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14400" windowHeight="11580" activeTab="2"/>
  </bookViews>
  <sheets>
    <sheet name="Eje economico" sheetId="1" r:id="rId1"/>
    <sheet name="Eje. socio cultural" sheetId="7" r:id="rId2"/>
    <sheet name="Eje.Ambiental" sheetId="4" r:id="rId3"/>
    <sheet name="Eje. Institucional" sheetId="6" r:id="rId4"/>
  </sheets>
  <externalReferences>
    <externalReference r:id="rId5"/>
    <externalReference r:id="rId6"/>
    <externalReference r:id="rId7"/>
  </externalReferences>
  <definedNames>
    <definedName name="Aidee">'[1]CAS 2016'!$I$11</definedName>
    <definedName name="Alejandro">'[1]CAS 2016'!$I$13</definedName>
    <definedName name="Angel">'[1]CAS 2016'!$I$4</definedName>
    <definedName name="_xlnm.Print_Area" localSheetId="0">'Eje economico'!$A$1:$AA$849</definedName>
    <definedName name="_xlnm.Print_Area" localSheetId="3">'Eje. Institucional'!$A$1:$AA$1168</definedName>
    <definedName name="_xlnm.Print_Area" localSheetId="1">'Eje. socio cultural'!$A$1:$AA$6073</definedName>
    <definedName name="_xlnm.Print_Area" localSheetId="2">Eje.Ambiental!$A$1:$AC$311</definedName>
    <definedName name="Carlos">'[1]CAS 2016'!$I$14</definedName>
    <definedName name="David">'[1]CAS 2016'!$I$5</definedName>
    <definedName name="Eliter">'[1]CAS 2016'!$I$10</definedName>
    <definedName name="Franklin">'[1]CAS 2016'!$I$15</definedName>
    <definedName name="Jhuly">'[1]CAS 2016'!$I$8</definedName>
    <definedName name="Monica">'[1]CAS 2016'!$I$6</definedName>
    <definedName name="Olga">'[1]CAS 2016'!$I$9</definedName>
    <definedName name="_xlnm.Print_Titles" localSheetId="0">'Eje economico'!$538:$539</definedName>
    <definedName name="_xlnm.Print_Titles" localSheetId="3">'Eje. Institucional'!$12:$13</definedName>
    <definedName name="_xlnm.Print_Titles" localSheetId="1">'Eje. socio cultural'!$4283:$4284</definedName>
    <definedName name="_xlnm.Print_Titles" localSheetId="2">Eje.Ambiental!$227:$228</definedName>
    <definedName name="Ubaldo">'[1]CAS 2016'!$I$12</definedName>
    <definedName name="Willam">'[1]CAS 2016'!$I$7</definedName>
  </definedNames>
  <calcPr calcId="145621"/>
</workbook>
</file>

<file path=xl/calcChain.xml><?xml version="1.0" encoding="utf-8"?>
<calcChain xmlns="http://schemas.openxmlformats.org/spreadsheetml/2006/main">
  <c r="AA2041" i="7" l="1"/>
  <c r="AA2055" i="7"/>
  <c r="Z1107" i="6" l="1"/>
  <c r="Y1107" i="6"/>
  <c r="X1107" i="6"/>
  <c r="W1107" i="6"/>
  <c r="V1107" i="6"/>
  <c r="U1107" i="6"/>
  <c r="T1107" i="6"/>
  <c r="S1107" i="6"/>
  <c r="R1107" i="6"/>
  <c r="Q1107" i="6"/>
  <c r="P1107" i="6"/>
  <c r="O1107" i="6"/>
  <c r="AA1107" i="6" s="1"/>
  <c r="Z1113" i="6"/>
  <c r="Y1113" i="6"/>
  <c r="X1113" i="6"/>
  <c r="W1113" i="6"/>
  <c r="V1113" i="6"/>
  <c r="U1113" i="6"/>
  <c r="T1113" i="6"/>
  <c r="S1113" i="6"/>
  <c r="R1113" i="6"/>
  <c r="Q1113" i="6"/>
  <c r="P1113" i="6"/>
  <c r="Z1112" i="6"/>
  <c r="Y1112" i="6"/>
  <c r="X1112" i="6"/>
  <c r="W1112" i="6"/>
  <c r="V1112" i="6"/>
  <c r="U1112" i="6"/>
  <c r="T1112" i="6"/>
  <c r="S1112" i="6"/>
  <c r="R1112" i="6"/>
  <c r="Q1112" i="6"/>
  <c r="P1112" i="6"/>
  <c r="Z1111" i="6"/>
  <c r="Y1111" i="6"/>
  <c r="X1111" i="6"/>
  <c r="W1111" i="6"/>
  <c r="V1111" i="6"/>
  <c r="U1111" i="6"/>
  <c r="T1111" i="6"/>
  <c r="S1111" i="6"/>
  <c r="R1111" i="6"/>
  <c r="Q1111" i="6"/>
  <c r="P1111" i="6"/>
  <c r="Z1110" i="6"/>
  <c r="Y1110" i="6"/>
  <c r="X1110" i="6"/>
  <c r="X1108" i="6" s="1"/>
  <c r="W1110" i="6"/>
  <c r="V1110" i="6"/>
  <c r="U1110" i="6"/>
  <c r="T1110" i="6"/>
  <c r="T1108" i="6" s="1"/>
  <c r="S1110" i="6"/>
  <c r="R1110" i="6"/>
  <c r="Q1110" i="6"/>
  <c r="P1110" i="6"/>
  <c r="Z1109" i="6"/>
  <c r="Y1109" i="6"/>
  <c r="X1109" i="6"/>
  <c r="W1109" i="6"/>
  <c r="V1109" i="6"/>
  <c r="U1109" i="6"/>
  <c r="T1109" i="6"/>
  <c r="S1109" i="6"/>
  <c r="R1109" i="6"/>
  <c r="Q1109" i="6"/>
  <c r="P1109" i="6"/>
  <c r="O1112" i="6"/>
  <c r="O1111" i="6"/>
  <c r="O1110" i="6"/>
  <c r="O1108" i="6" s="1"/>
  <c r="O1109" i="6"/>
  <c r="U1101" i="6"/>
  <c r="Z1108" i="6"/>
  <c r="Y1108" i="6"/>
  <c r="W1108" i="6"/>
  <c r="V1108" i="6"/>
  <c r="U1108" i="6"/>
  <c r="S1108" i="6"/>
  <c r="R1108" i="6"/>
  <c r="P1108" i="6"/>
  <c r="O1113" i="6"/>
  <c r="X1163" i="6"/>
  <c r="V1163" i="6"/>
  <c r="S1163" i="6"/>
  <c r="P1163" i="6"/>
  <c r="U1157" i="6"/>
  <c r="P1157" i="6"/>
  <c r="P1151" i="6"/>
  <c r="V1145" i="6"/>
  <c r="Q1145" i="6"/>
  <c r="Y1139" i="6"/>
  <c r="W1139" i="6"/>
  <c r="T1139" i="6"/>
  <c r="S1139" i="6"/>
  <c r="T1133" i="6"/>
  <c r="S1127" i="6"/>
  <c r="AA1121" i="6"/>
  <c r="K658" i="6"/>
  <c r="AA697" i="6"/>
  <c r="AA698" i="6"/>
  <c r="AA807" i="1"/>
  <c r="AA806" i="1"/>
  <c r="T805" i="1"/>
  <c r="AA805" i="1" s="1"/>
  <c r="Z804" i="1"/>
  <c r="Y804" i="1"/>
  <c r="X804" i="1"/>
  <c r="W804" i="1"/>
  <c r="V804" i="1"/>
  <c r="U804" i="1"/>
  <c r="S804" i="1"/>
  <c r="R804" i="1"/>
  <c r="Q804" i="1"/>
  <c r="P804" i="1"/>
  <c r="O804" i="1"/>
  <c r="AA803" i="1"/>
  <c r="AA793" i="1"/>
  <c r="AA792" i="1"/>
  <c r="AA791" i="1"/>
  <c r="Z790" i="1"/>
  <c r="Y790" i="1"/>
  <c r="X790" i="1"/>
  <c r="W790" i="1"/>
  <c r="V790" i="1"/>
  <c r="U790" i="1"/>
  <c r="T790" i="1"/>
  <c r="S790" i="1"/>
  <c r="R790" i="1"/>
  <c r="Q790" i="1"/>
  <c r="P790" i="1"/>
  <c r="O790" i="1"/>
  <c r="AA789" i="1"/>
  <c r="AA779" i="1"/>
  <c r="AA778" i="1"/>
  <c r="AA777" i="1"/>
  <c r="V776" i="1"/>
  <c r="U776" i="1"/>
  <c r="T776" i="1"/>
  <c r="S776" i="1"/>
  <c r="P776" i="1"/>
  <c r="O776" i="1"/>
  <c r="AA775" i="1"/>
  <c r="S765" i="1"/>
  <c r="AA765" i="1" s="1"/>
  <c r="R764" i="1"/>
  <c r="AA764" i="1" s="1"/>
  <c r="S763" i="1"/>
  <c r="P763" i="1"/>
  <c r="V762" i="1"/>
  <c r="U762" i="1"/>
  <c r="T762" i="1"/>
  <c r="Q762" i="1"/>
  <c r="P762" i="1"/>
  <c r="O762" i="1"/>
  <c r="AA761" i="1"/>
  <c r="AA751" i="1"/>
  <c r="S750" i="1"/>
  <c r="R750" i="1"/>
  <c r="R748" i="1" s="1"/>
  <c r="Q750" i="1"/>
  <c r="Q748" i="1" s="1"/>
  <c r="S749" i="1"/>
  <c r="AA749" i="1" s="1"/>
  <c r="Z748" i="1"/>
  <c r="Y748" i="1"/>
  <c r="X748" i="1"/>
  <c r="W748" i="1"/>
  <c r="V748" i="1"/>
  <c r="U748" i="1"/>
  <c r="T748" i="1"/>
  <c r="P748" i="1"/>
  <c r="O748" i="1"/>
  <c r="AA747" i="1"/>
  <c r="AA737" i="1"/>
  <c r="Z736" i="1"/>
  <c r="Z731" i="1" s="1"/>
  <c r="Y736" i="1"/>
  <c r="Y731" i="1" s="1"/>
  <c r="X736" i="1"/>
  <c r="X731" i="1" s="1"/>
  <c r="W736" i="1"/>
  <c r="W731" i="1" s="1"/>
  <c r="V736" i="1"/>
  <c r="V731" i="1" s="1"/>
  <c r="U736" i="1"/>
  <c r="U731" i="1" s="1"/>
  <c r="T736" i="1"/>
  <c r="T731" i="1" s="1"/>
  <c r="S736" i="1"/>
  <c r="S731" i="1" s="1"/>
  <c r="R736" i="1"/>
  <c r="Q736" i="1"/>
  <c r="Q731" i="1" s="1"/>
  <c r="P736" i="1"/>
  <c r="O736" i="1"/>
  <c r="AA735" i="1"/>
  <c r="R734" i="1"/>
  <c r="O734" i="1"/>
  <c r="R733" i="1"/>
  <c r="O733" i="1"/>
  <c r="AA732" i="1"/>
  <c r="P731" i="1"/>
  <c r="AA730" i="1"/>
  <c r="AA720" i="1"/>
  <c r="AA719" i="1"/>
  <c r="AA718" i="1"/>
  <c r="AA717" i="1"/>
  <c r="AA716" i="1"/>
  <c r="Z715" i="1"/>
  <c r="Y715" i="1"/>
  <c r="X715" i="1"/>
  <c r="W715" i="1"/>
  <c r="V715" i="1"/>
  <c r="U715" i="1"/>
  <c r="T715" i="1"/>
  <c r="S715" i="1"/>
  <c r="R715" i="1"/>
  <c r="Q715" i="1"/>
  <c r="P715" i="1"/>
  <c r="O715" i="1"/>
  <c r="AA714" i="1"/>
  <c r="AA703" i="1"/>
  <c r="AA702" i="1"/>
  <c r="AA701" i="1"/>
  <c r="AA700" i="1"/>
  <c r="AA699" i="1"/>
  <c r="O698" i="1"/>
  <c r="AA698" i="1" s="1"/>
  <c r="AA697" i="1"/>
  <c r="AA696" i="1"/>
  <c r="Z695" i="1"/>
  <c r="Y695" i="1"/>
  <c r="X695" i="1"/>
  <c r="W695" i="1"/>
  <c r="V695" i="1"/>
  <c r="U695" i="1"/>
  <c r="T695" i="1"/>
  <c r="S695" i="1"/>
  <c r="R695" i="1"/>
  <c r="Q695" i="1"/>
  <c r="P695" i="1"/>
  <c r="AA694" i="1"/>
  <c r="Q1108" i="6" l="1"/>
  <c r="S748" i="1"/>
  <c r="AA790" i="1"/>
  <c r="K789" i="1" s="1"/>
  <c r="AA1113" i="6"/>
  <c r="AA1112" i="6"/>
  <c r="AA1110" i="6"/>
  <c r="AA1111" i="6"/>
  <c r="AA715" i="1"/>
  <c r="K714" i="1" s="1"/>
  <c r="AA736" i="1"/>
  <c r="AA763" i="1"/>
  <c r="AA734" i="1"/>
  <c r="O695" i="1"/>
  <c r="AA750" i="1"/>
  <c r="R762" i="1"/>
  <c r="T804" i="1"/>
  <c r="AA804" i="1" s="1"/>
  <c r="K805" i="1" s="1"/>
  <c r="R731" i="1"/>
  <c r="AA776" i="1"/>
  <c r="K775" i="1" s="1"/>
  <c r="AA733" i="1"/>
  <c r="AA695" i="1"/>
  <c r="O731" i="1"/>
  <c r="S762" i="1"/>
  <c r="AA1108" i="6" l="1"/>
  <c r="AA1109" i="6"/>
  <c r="AA731" i="1"/>
  <c r="K730" i="1" s="1"/>
  <c r="Z4904" i="7" l="1"/>
  <c r="O4905" i="7"/>
  <c r="O4900" i="7"/>
  <c r="O4898" i="7"/>
  <c r="O4897" i="7"/>
  <c r="AA5994" i="7"/>
  <c r="AA5993" i="7"/>
  <c r="Z5992" i="7"/>
  <c r="O5992" i="7"/>
  <c r="AA5991" i="7"/>
  <c r="AA5990" i="7"/>
  <c r="Z5988" i="7"/>
  <c r="Y5988" i="7"/>
  <c r="X5988" i="7"/>
  <c r="W5988" i="7"/>
  <c r="V5988" i="7"/>
  <c r="U5988" i="7"/>
  <c r="T5988" i="7"/>
  <c r="S5988" i="7"/>
  <c r="R5988" i="7"/>
  <c r="P5988" i="7"/>
  <c r="O5988" i="7"/>
  <c r="AA5986" i="7"/>
  <c r="AA5989" i="7" l="1"/>
  <c r="AA5988" i="7"/>
  <c r="AA5992" i="7"/>
  <c r="AA5987" i="7" l="1"/>
  <c r="K808" i="1" l="1"/>
  <c r="O5786" i="7"/>
  <c r="P5786" i="7"/>
  <c r="Q5786" i="7"/>
  <c r="R5786" i="7"/>
  <c r="S5786" i="7"/>
  <c r="T5786" i="7"/>
  <c r="U5786" i="7"/>
  <c r="V5786" i="7"/>
  <c r="W5786" i="7"/>
  <c r="X5786" i="7"/>
  <c r="Y5786" i="7"/>
  <c r="Z5786" i="7"/>
  <c r="O5787" i="7"/>
  <c r="P5787" i="7"/>
  <c r="AA5787" i="7" s="1"/>
  <c r="Q5787" i="7"/>
  <c r="R5787" i="7"/>
  <c r="S5787" i="7"/>
  <c r="T5787" i="7"/>
  <c r="U5787" i="7"/>
  <c r="V5787" i="7"/>
  <c r="W5787" i="7"/>
  <c r="X5787" i="7"/>
  <c r="Y5787" i="7"/>
  <c r="Z5787" i="7"/>
  <c r="AA5789" i="7"/>
  <c r="AA5791" i="7"/>
  <c r="AA5792" i="7"/>
  <c r="AA5793" i="7"/>
  <c r="AA5794" i="7"/>
  <c r="AA5795" i="7"/>
  <c r="AA5796" i="7"/>
  <c r="AA5797" i="7"/>
  <c r="AA5798" i="7"/>
  <c r="AA5799" i="7"/>
  <c r="AA5800" i="7"/>
  <c r="AA5801" i="7"/>
  <c r="AA5802" i="7"/>
  <c r="AA5803" i="7"/>
  <c r="AA5804" i="7"/>
  <c r="O5805" i="7"/>
  <c r="P5805" i="7"/>
  <c r="Q5805" i="7"/>
  <c r="R5805" i="7"/>
  <c r="S5805" i="7"/>
  <c r="T5805" i="7"/>
  <c r="U5805" i="7"/>
  <c r="V5805" i="7"/>
  <c r="W5805" i="7"/>
  <c r="X5805" i="7"/>
  <c r="Y5805" i="7"/>
  <c r="Z5805" i="7"/>
  <c r="AA5806" i="7"/>
  <c r="AA5807" i="7"/>
  <c r="AA5808" i="7"/>
  <c r="O5809" i="7"/>
  <c r="P5809" i="7"/>
  <c r="Q5809" i="7"/>
  <c r="R5809" i="7"/>
  <c r="S5809" i="7"/>
  <c r="T5809" i="7"/>
  <c r="U5809" i="7"/>
  <c r="V5809" i="7"/>
  <c r="W5809" i="7"/>
  <c r="X5809" i="7"/>
  <c r="Y5809" i="7"/>
  <c r="Z5809" i="7"/>
  <c r="AA5810" i="7"/>
  <c r="AA5811" i="7"/>
  <c r="AA5812" i="7"/>
  <c r="O5813" i="7"/>
  <c r="P5813" i="7"/>
  <c r="Q5813" i="7"/>
  <c r="R5813" i="7"/>
  <c r="AA5813" i="7" s="1"/>
  <c r="S5813" i="7"/>
  <c r="T5813" i="7"/>
  <c r="U5813" i="7"/>
  <c r="V5813" i="7"/>
  <c r="W5813" i="7"/>
  <c r="X5813" i="7"/>
  <c r="Y5813" i="7"/>
  <c r="Z5813" i="7"/>
  <c r="AA5814" i="7"/>
  <c r="AA5815" i="7"/>
  <c r="AA5816" i="7"/>
  <c r="O5817" i="7"/>
  <c r="P5817" i="7"/>
  <c r="Q5817" i="7"/>
  <c r="R5817" i="7"/>
  <c r="S5817" i="7"/>
  <c r="T5817" i="7"/>
  <c r="U5817" i="7"/>
  <c r="V5817" i="7"/>
  <c r="W5817" i="7"/>
  <c r="X5817" i="7"/>
  <c r="Y5817" i="7"/>
  <c r="Z5817" i="7"/>
  <c r="AA5818" i="7"/>
  <c r="AA5819" i="7"/>
  <c r="AA5820" i="7"/>
  <c r="O5821" i="7"/>
  <c r="P5821" i="7"/>
  <c r="Q5821" i="7"/>
  <c r="R5821" i="7"/>
  <c r="S5821" i="7"/>
  <c r="T5821" i="7"/>
  <c r="U5821" i="7"/>
  <c r="V5821" i="7"/>
  <c r="W5821" i="7"/>
  <c r="X5821" i="7"/>
  <c r="Y5821" i="7"/>
  <c r="Z5821" i="7"/>
  <c r="AA5822" i="7"/>
  <c r="AA5823" i="7"/>
  <c r="AA5824" i="7"/>
  <c r="O5825" i="7"/>
  <c r="P5825" i="7"/>
  <c r="Q5825" i="7"/>
  <c r="R5825" i="7"/>
  <c r="S5825" i="7"/>
  <c r="T5825" i="7"/>
  <c r="U5825" i="7"/>
  <c r="V5825" i="7"/>
  <c r="W5825" i="7"/>
  <c r="X5825" i="7"/>
  <c r="Y5825" i="7"/>
  <c r="Z5825" i="7"/>
  <c r="AA5826" i="7"/>
  <c r="AA5827" i="7"/>
  <c r="AA5828" i="7"/>
  <c r="O5829" i="7"/>
  <c r="P5829" i="7"/>
  <c r="Q5829" i="7"/>
  <c r="R5829" i="7"/>
  <c r="S5829" i="7"/>
  <c r="T5829" i="7"/>
  <c r="U5829" i="7"/>
  <c r="V5829" i="7"/>
  <c r="W5829" i="7"/>
  <c r="X5829" i="7"/>
  <c r="Y5829" i="7"/>
  <c r="Z5829" i="7"/>
  <c r="AA5830" i="7"/>
  <c r="AA5831" i="7"/>
  <c r="AA5832" i="7"/>
  <c r="O5833" i="7"/>
  <c r="P5833" i="7"/>
  <c r="Q5833" i="7"/>
  <c r="R5833" i="7"/>
  <c r="S5833" i="7"/>
  <c r="T5833" i="7"/>
  <c r="U5833" i="7"/>
  <c r="V5833" i="7"/>
  <c r="W5833" i="7"/>
  <c r="X5833" i="7"/>
  <c r="Y5833" i="7"/>
  <c r="Z5833" i="7"/>
  <c r="AA5834" i="7"/>
  <c r="AA5835" i="7"/>
  <c r="AA5836" i="7"/>
  <c r="O5837" i="7"/>
  <c r="P5837" i="7"/>
  <c r="Q5837" i="7"/>
  <c r="R5837" i="7"/>
  <c r="S5837" i="7"/>
  <c r="T5837" i="7"/>
  <c r="U5837" i="7"/>
  <c r="V5837" i="7"/>
  <c r="W5837" i="7"/>
  <c r="X5837" i="7"/>
  <c r="Y5837" i="7"/>
  <c r="Z5837" i="7"/>
  <c r="AA5838" i="7"/>
  <c r="AA5839" i="7"/>
  <c r="AA5840" i="7"/>
  <c r="O5841" i="7"/>
  <c r="P5841" i="7"/>
  <c r="Q5841" i="7"/>
  <c r="R5841" i="7"/>
  <c r="S5841" i="7"/>
  <c r="T5841" i="7"/>
  <c r="U5841" i="7"/>
  <c r="V5841" i="7"/>
  <c r="W5841" i="7"/>
  <c r="X5841" i="7"/>
  <c r="Y5841" i="7"/>
  <c r="Z5841" i="7"/>
  <c r="AA5842" i="7"/>
  <c r="AA5843" i="7"/>
  <c r="AA5844" i="7"/>
  <c r="O5845" i="7"/>
  <c r="P5845" i="7"/>
  <c r="Q5845" i="7"/>
  <c r="R5845" i="7"/>
  <c r="S5845" i="7"/>
  <c r="T5845" i="7"/>
  <c r="U5845" i="7"/>
  <c r="V5845" i="7"/>
  <c r="W5845" i="7"/>
  <c r="X5845" i="7"/>
  <c r="Y5845" i="7"/>
  <c r="Z5845" i="7"/>
  <c r="AA5846" i="7"/>
  <c r="AA5847" i="7"/>
  <c r="AA5848" i="7"/>
  <c r="O5849" i="7"/>
  <c r="P5849" i="7"/>
  <c r="Q5849" i="7"/>
  <c r="R5849" i="7"/>
  <c r="S5849" i="7"/>
  <c r="T5849" i="7"/>
  <c r="U5849" i="7"/>
  <c r="V5849" i="7"/>
  <c r="W5849" i="7"/>
  <c r="X5849" i="7"/>
  <c r="Y5849" i="7"/>
  <c r="Z5849" i="7"/>
  <c r="AA5850" i="7"/>
  <c r="AA5851" i="7"/>
  <c r="AA5852" i="7"/>
  <c r="O5853" i="7"/>
  <c r="P5853" i="7"/>
  <c r="Q5853" i="7"/>
  <c r="R5853" i="7"/>
  <c r="S5853" i="7"/>
  <c r="T5853" i="7"/>
  <c r="U5853" i="7"/>
  <c r="V5853" i="7"/>
  <c r="W5853" i="7"/>
  <c r="X5853" i="7"/>
  <c r="Y5853" i="7"/>
  <c r="Z5853" i="7"/>
  <c r="AA5854" i="7"/>
  <c r="AA5855" i="7"/>
  <c r="AA5856" i="7"/>
  <c r="O5857" i="7"/>
  <c r="P5857" i="7"/>
  <c r="Q5857" i="7"/>
  <c r="R5857" i="7"/>
  <c r="S5857" i="7"/>
  <c r="T5857" i="7"/>
  <c r="U5857" i="7"/>
  <c r="V5857" i="7"/>
  <c r="W5857" i="7"/>
  <c r="X5857" i="7"/>
  <c r="Y5857" i="7"/>
  <c r="Z5857" i="7"/>
  <c r="AA5858" i="7"/>
  <c r="AA5859" i="7"/>
  <c r="AA5860" i="7"/>
  <c r="O5861" i="7"/>
  <c r="P5861" i="7"/>
  <c r="Q5861" i="7"/>
  <c r="R5861" i="7"/>
  <c r="S5861" i="7"/>
  <c r="T5861" i="7"/>
  <c r="U5861" i="7"/>
  <c r="V5861" i="7"/>
  <c r="W5861" i="7"/>
  <c r="X5861" i="7"/>
  <c r="Y5861" i="7"/>
  <c r="Z5861" i="7"/>
  <c r="AA5862" i="7"/>
  <c r="AA5863" i="7"/>
  <c r="AA5864" i="7"/>
  <c r="O5865" i="7"/>
  <c r="P5865" i="7"/>
  <c r="Q5865" i="7"/>
  <c r="R5865" i="7"/>
  <c r="S5865" i="7"/>
  <c r="T5865" i="7"/>
  <c r="U5865" i="7"/>
  <c r="V5865" i="7"/>
  <c r="W5865" i="7"/>
  <c r="X5865" i="7"/>
  <c r="Y5865" i="7"/>
  <c r="Z5865" i="7"/>
  <c r="AA5866" i="7"/>
  <c r="AA5867" i="7"/>
  <c r="AA5868" i="7"/>
  <c r="O5869" i="7"/>
  <c r="P5869" i="7"/>
  <c r="Q5869" i="7"/>
  <c r="R5869" i="7"/>
  <c r="S5869" i="7"/>
  <c r="T5869" i="7"/>
  <c r="U5869" i="7"/>
  <c r="V5869" i="7"/>
  <c r="W5869" i="7"/>
  <c r="X5869" i="7"/>
  <c r="Y5869" i="7"/>
  <c r="Z5869" i="7"/>
  <c r="AA5870" i="7"/>
  <c r="AA5871" i="7"/>
  <c r="AA5872" i="7"/>
  <c r="O5873" i="7"/>
  <c r="P5873" i="7"/>
  <c r="Q5873" i="7"/>
  <c r="R5873" i="7"/>
  <c r="S5873" i="7"/>
  <c r="T5873" i="7"/>
  <c r="U5873" i="7"/>
  <c r="V5873" i="7"/>
  <c r="W5873" i="7"/>
  <c r="X5873" i="7"/>
  <c r="Y5873" i="7"/>
  <c r="Z5873" i="7"/>
  <c r="AA5874" i="7"/>
  <c r="AA5875" i="7"/>
  <c r="AA5876" i="7"/>
  <c r="O5877" i="7"/>
  <c r="P5877" i="7"/>
  <c r="Q5877" i="7"/>
  <c r="R5877" i="7"/>
  <c r="S5877" i="7"/>
  <c r="T5877" i="7"/>
  <c r="U5877" i="7"/>
  <c r="V5877" i="7"/>
  <c r="W5877" i="7"/>
  <c r="X5877" i="7"/>
  <c r="Y5877" i="7"/>
  <c r="Z5877" i="7"/>
  <c r="AA5878" i="7"/>
  <c r="AA5879" i="7"/>
  <c r="AA5880" i="7"/>
  <c r="O5881" i="7"/>
  <c r="P5881" i="7"/>
  <c r="Q5881" i="7"/>
  <c r="R5881" i="7"/>
  <c r="S5881" i="7"/>
  <c r="T5881" i="7"/>
  <c r="U5881" i="7"/>
  <c r="V5881" i="7"/>
  <c r="W5881" i="7"/>
  <c r="X5881" i="7"/>
  <c r="Y5881" i="7"/>
  <c r="Z5881" i="7"/>
  <c r="AA5882" i="7"/>
  <c r="AA5883" i="7"/>
  <c r="AA5884" i="7"/>
  <c r="O5885" i="7"/>
  <c r="P5885" i="7"/>
  <c r="Q5885" i="7"/>
  <c r="R5885" i="7"/>
  <c r="S5885" i="7"/>
  <c r="T5885" i="7"/>
  <c r="U5885" i="7"/>
  <c r="V5885" i="7"/>
  <c r="W5885" i="7"/>
  <c r="X5885" i="7"/>
  <c r="Y5885" i="7"/>
  <c r="Z5885" i="7"/>
  <c r="AA5886" i="7"/>
  <c r="AA5887" i="7"/>
  <c r="AA5888" i="7"/>
  <c r="O5889" i="7"/>
  <c r="P5889" i="7"/>
  <c r="Q5889" i="7"/>
  <c r="R5889" i="7"/>
  <c r="S5889" i="7"/>
  <c r="T5889" i="7"/>
  <c r="U5889" i="7"/>
  <c r="V5889" i="7"/>
  <c r="W5889" i="7"/>
  <c r="X5889" i="7"/>
  <c r="Y5889" i="7"/>
  <c r="Z5889" i="7"/>
  <c r="AA5890" i="7"/>
  <c r="AA5891" i="7"/>
  <c r="AA5892" i="7"/>
  <c r="O5893" i="7"/>
  <c r="P5893" i="7"/>
  <c r="Q5893" i="7"/>
  <c r="R5893" i="7"/>
  <c r="S5893" i="7"/>
  <c r="T5893" i="7"/>
  <c r="U5893" i="7"/>
  <c r="V5893" i="7"/>
  <c r="W5893" i="7"/>
  <c r="X5893" i="7"/>
  <c r="Y5893" i="7"/>
  <c r="Z5893" i="7"/>
  <c r="AA5894" i="7"/>
  <c r="AA5895" i="7"/>
  <c r="AA5896" i="7"/>
  <c r="O5897" i="7"/>
  <c r="P5897" i="7"/>
  <c r="Q5897" i="7"/>
  <c r="R5897" i="7"/>
  <c r="S5897" i="7"/>
  <c r="T5897" i="7"/>
  <c r="U5897" i="7"/>
  <c r="V5897" i="7"/>
  <c r="W5897" i="7"/>
  <c r="X5897" i="7"/>
  <c r="Y5897" i="7"/>
  <c r="Z5897" i="7"/>
  <c r="AA5898" i="7"/>
  <c r="AA5899" i="7"/>
  <c r="AA5900" i="7"/>
  <c r="O5901" i="7"/>
  <c r="P5901" i="7"/>
  <c r="Q5901" i="7"/>
  <c r="R5901" i="7"/>
  <c r="S5901" i="7"/>
  <c r="T5901" i="7"/>
  <c r="U5901" i="7"/>
  <c r="V5901" i="7"/>
  <c r="W5901" i="7"/>
  <c r="X5901" i="7"/>
  <c r="Y5901" i="7"/>
  <c r="Z5901" i="7"/>
  <c r="AA5902" i="7"/>
  <c r="AA5904" i="7"/>
  <c r="AA5905" i="7"/>
  <c r="O5906" i="7"/>
  <c r="P5906" i="7"/>
  <c r="Q5906" i="7"/>
  <c r="R5906" i="7"/>
  <c r="S5906" i="7"/>
  <c r="T5906" i="7"/>
  <c r="U5906" i="7"/>
  <c r="V5906" i="7"/>
  <c r="W5906" i="7"/>
  <c r="X5906" i="7"/>
  <c r="Y5906" i="7"/>
  <c r="Z5906" i="7"/>
  <c r="AA5907" i="7"/>
  <c r="AA5908" i="7"/>
  <c r="AA5909" i="7"/>
  <c r="O5910" i="7"/>
  <c r="P5910" i="7"/>
  <c r="Q5910" i="7"/>
  <c r="R5910" i="7"/>
  <c r="S5910" i="7"/>
  <c r="T5910" i="7"/>
  <c r="U5910" i="7"/>
  <c r="V5910" i="7"/>
  <c r="W5910" i="7"/>
  <c r="X5910" i="7"/>
  <c r="Y5910" i="7"/>
  <c r="Z5910" i="7"/>
  <c r="AA5911" i="7"/>
  <c r="AA5912" i="7"/>
  <c r="AA5913" i="7"/>
  <c r="AA5914" i="7"/>
  <c r="AA5915" i="7"/>
  <c r="AA5916" i="7"/>
  <c r="AA5917" i="7"/>
  <c r="AA5918" i="7"/>
  <c r="AA5919" i="7"/>
  <c r="AA5920" i="7"/>
  <c r="AA5921" i="7"/>
  <c r="AA5922" i="7"/>
  <c r="AA5923" i="7"/>
  <c r="AA5924" i="7"/>
  <c r="AA5925" i="7"/>
  <c r="AA5926" i="7"/>
  <c r="AA5927" i="7"/>
  <c r="AA5928" i="7"/>
  <c r="AA5929" i="7"/>
  <c r="AA5930" i="7"/>
  <c r="AA5931" i="7"/>
  <c r="AA5932" i="7"/>
  <c r="AA5933" i="7"/>
  <c r="AA5934" i="7"/>
  <c r="O5935" i="7"/>
  <c r="P5935" i="7"/>
  <c r="Q5935" i="7"/>
  <c r="R5935" i="7"/>
  <c r="S5935" i="7"/>
  <c r="T5935" i="7"/>
  <c r="U5935" i="7"/>
  <c r="V5935" i="7"/>
  <c r="W5935" i="7"/>
  <c r="X5935" i="7"/>
  <c r="Y5935" i="7"/>
  <c r="Z5935" i="7"/>
  <c r="AA5935" i="7"/>
  <c r="O5936" i="7"/>
  <c r="P5936" i="7"/>
  <c r="Q5936" i="7"/>
  <c r="R5936" i="7"/>
  <c r="S5936" i="7"/>
  <c r="T5936" i="7"/>
  <c r="U5936" i="7"/>
  <c r="V5936" i="7"/>
  <c r="W5936" i="7"/>
  <c r="X5936" i="7"/>
  <c r="AA5936" i="7" s="1"/>
  <c r="Y5936" i="7"/>
  <c r="Z5936" i="7"/>
  <c r="AA5937" i="7"/>
  <c r="AA5938" i="7"/>
  <c r="AA5939" i="7"/>
  <c r="AA5940" i="7"/>
  <c r="AA5941" i="7"/>
  <c r="AA5942" i="7"/>
  <c r="AA5943" i="7"/>
  <c r="AA5944" i="7"/>
  <c r="AA5945" i="7"/>
  <c r="AA5946" i="7"/>
  <c r="AA5947" i="7"/>
  <c r="AA5948" i="7"/>
  <c r="AA5949" i="7"/>
  <c r="AA5950" i="7"/>
  <c r="AA5951" i="7"/>
  <c r="AA5952" i="7"/>
  <c r="AA5953" i="7"/>
  <c r="AA5954" i="7"/>
  <c r="AA5955" i="7"/>
  <c r="AA5956" i="7"/>
  <c r="AA5957" i="7"/>
  <c r="AA5958" i="7"/>
  <c r="AA5959" i="7"/>
  <c r="AA5960" i="7"/>
  <c r="AA5961" i="7"/>
  <c r="AA5962" i="7"/>
  <c r="AA5963" i="7"/>
  <c r="AA5964" i="7"/>
  <c r="AA5965" i="7"/>
  <c r="AA5966" i="7"/>
  <c r="AA5901" i="7" l="1"/>
  <c r="AA5906" i="7"/>
  <c r="AA5786" i="7"/>
  <c r="AA5910" i="7"/>
  <c r="AA5805" i="7"/>
  <c r="AA5809" i="7"/>
  <c r="AA678" i="1" l="1"/>
  <c r="AA1168" i="6" l="1"/>
  <c r="AA1166" i="6"/>
  <c r="AA1165" i="6"/>
  <c r="AA1164" i="6"/>
  <c r="AA1163" i="6"/>
  <c r="AA1162" i="6"/>
  <c r="AA1161" i="6"/>
  <c r="AA1160" i="6"/>
  <c r="AA1159" i="6"/>
  <c r="AA1158" i="6"/>
  <c r="AA1157" i="6"/>
  <c r="AA1156" i="6"/>
  <c r="AA1155" i="6"/>
  <c r="AA1154" i="6"/>
  <c r="AA1153" i="6"/>
  <c r="AA1152" i="6"/>
  <c r="AA1151" i="6"/>
  <c r="AA1150" i="6"/>
  <c r="AA1149" i="6"/>
  <c r="AA1148" i="6"/>
  <c r="AA1147" i="6"/>
  <c r="AA1146" i="6"/>
  <c r="AA1145" i="6"/>
  <c r="AA1144" i="6"/>
  <c r="AA1143" i="6"/>
  <c r="AA1142" i="6"/>
  <c r="AA1141" i="6"/>
  <c r="AA1140" i="6"/>
  <c r="AA1139" i="6"/>
  <c r="AA1138" i="6"/>
  <c r="AA1137" i="6"/>
  <c r="AA1136" i="6"/>
  <c r="AA1135" i="6"/>
  <c r="AA1134" i="6"/>
  <c r="AA1133" i="6"/>
  <c r="AA1132" i="6"/>
  <c r="AA1131" i="6"/>
  <c r="AA1130" i="6"/>
  <c r="AA1129" i="6"/>
  <c r="AA1128" i="6"/>
  <c r="AA1127" i="6"/>
  <c r="AA1126" i="6"/>
  <c r="AA1125" i="6"/>
  <c r="AA1124" i="6"/>
  <c r="AA1123" i="6"/>
  <c r="AA1122" i="6"/>
  <c r="AA1120" i="6"/>
  <c r="AA1119" i="6"/>
  <c r="AA1118" i="6"/>
  <c r="AA1117" i="6"/>
  <c r="AA1116" i="6"/>
  <c r="K1114" i="6" s="1"/>
  <c r="AA1115" i="6"/>
  <c r="AA1114" i="6"/>
  <c r="K1132" i="6" l="1"/>
  <c r="K1138" i="6"/>
  <c r="K1144" i="6"/>
  <c r="K1156" i="6"/>
  <c r="K1120" i="6"/>
  <c r="K1162" i="6"/>
  <c r="K1126" i="6"/>
  <c r="K1150" i="6"/>
  <c r="K85" i="4"/>
  <c r="J1091" i="6" l="1"/>
  <c r="AA1045" i="6"/>
  <c r="AA1020" i="6"/>
  <c r="AA1019" i="6"/>
  <c r="AA1016" i="6"/>
  <c r="AA1013" i="6"/>
  <c r="AA1012" i="6"/>
  <c r="AA1011" i="6"/>
  <c r="AA1010" i="6"/>
  <c r="AA1009" i="6"/>
  <c r="AA1008" i="6" l="1"/>
  <c r="Z993" i="6"/>
  <c r="Y993" i="6"/>
  <c r="Y941" i="6" s="1"/>
  <c r="X993" i="6"/>
  <c r="W993" i="6"/>
  <c r="V993" i="6"/>
  <c r="U993" i="6"/>
  <c r="T993" i="6"/>
  <c r="S993" i="6"/>
  <c r="R993" i="6"/>
  <c r="AA992" i="6"/>
  <c r="T991" i="6"/>
  <c r="Q991" i="6"/>
  <c r="AA990" i="6"/>
  <c r="T989" i="6"/>
  <c r="Q989" i="6"/>
  <c r="AA988" i="6"/>
  <c r="T987" i="6"/>
  <c r="Q987" i="6"/>
  <c r="AA987" i="6" s="1"/>
  <c r="AA986" i="6"/>
  <c r="W985" i="6"/>
  <c r="R985" i="6"/>
  <c r="AA985" i="6" s="1"/>
  <c r="AA984" i="6"/>
  <c r="V983" i="6"/>
  <c r="Q983" i="6"/>
  <c r="AA982" i="6"/>
  <c r="Z981" i="6"/>
  <c r="Z941" i="6" s="1"/>
  <c r="Z940" i="6" s="1"/>
  <c r="T981" i="6"/>
  <c r="AA980" i="6"/>
  <c r="U979" i="6"/>
  <c r="S979" i="6"/>
  <c r="AA979" i="6" s="1"/>
  <c r="AA978" i="6"/>
  <c r="T977" i="6"/>
  <c r="R977" i="6"/>
  <c r="AA977" i="6" s="1"/>
  <c r="AA976" i="6"/>
  <c r="AA975" i="6"/>
  <c r="AA974" i="6"/>
  <c r="AA973" i="6"/>
  <c r="AA972" i="6"/>
  <c r="V971" i="6"/>
  <c r="S971" i="6"/>
  <c r="AA970" i="6"/>
  <c r="AA969" i="6"/>
  <c r="AA968" i="6"/>
  <c r="AA967" i="6"/>
  <c r="AA966" i="6"/>
  <c r="V965" i="6"/>
  <c r="S965" i="6"/>
  <c r="AA964" i="6"/>
  <c r="V963" i="6"/>
  <c r="S963" i="6"/>
  <c r="AA963" i="6" s="1"/>
  <c r="AA962" i="6"/>
  <c r="V961" i="6"/>
  <c r="S961" i="6"/>
  <c r="AA961" i="6" s="1"/>
  <c r="AA960" i="6"/>
  <c r="Q959" i="6"/>
  <c r="P959" i="6"/>
  <c r="AA958" i="6"/>
  <c r="U957" i="6"/>
  <c r="U941" i="6" s="1"/>
  <c r="T957" i="6"/>
  <c r="Q957" i="6"/>
  <c r="AA956" i="6"/>
  <c r="X955" i="6"/>
  <c r="X941" i="6" s="1"/>
  <c r="V955" i="6"/>
  <c r="T955" i="6"/>
  <c r="AA954" i="6"/>
  <c r="AA953" i="6"/>
  <c r="AA952" i="6"/>
  <c r="AA951" i="6"/>
  <c r="AA950" i="6"/>
  <c r="T949" i="6"/>
  <c r="AA949" i="6" s="1"/>
  <c r="R949" i="6"/>
  <c r="AA948" i="6"/>
  <c r="AA947" i="6"/>
  <c r="AA946" i="6"/>
  <c r="AA945" i="6"/>
  <c r="AA944" i="6"/>
  <c r="Z943" i="6"/>
  <c r="V943" i="6"/>
  <c r="Z942" i="6"/>
  <c r="Y942" i="6"/>
  <c r="Y943" i="6" s="1"/>
  <c r="X942" i="6"/>
  <c r="X943" i="6" s="1"/>
  <c r="W942" i="6"/>
  <c r="W943" i="6" s="1"/>
  <c r="V942" i="6"/>
  <c r="U942" i="6"/>
  <c r="U943" i="6" s="1"/>
  <c r="T942" i="6"/>
  <c r="T943" i="6" s="1"/>
  <c r="S942" i="6"/>
  <c r="S943" i="6" s="1"/>
  <c r="R942" i="6"/>
  <c r="R943" i="6" s="1"/>
  <c r="Q942" i="6"/>
  <c r="Q943" i="6" s="1"/>
  <c r="P942" i="6"/>
  <c r="P943" i="6" s="1"/>
  <c r="O942" i="6"/>
  <c r="O943" i="6" s="1"/>
  <c r="W941" i="6"/>
  <c r="R941" i="6"/>
  <c r="P941" i="6"/>
  <c r="AA939" i="6"/>
  <c r="V5760" i="7"/>
  <c r="U5760" i="7"/>
  <c r="T5760" i="7"/>
  <c r="S5760" i="7"/>
  <c r="R5760" i="7"/>
  <c r="Q5760" i="7"/>
  <c r="P5760" i="7"/>
  <c r="O5760" i="7"/>
  <c r="T5769" i="7"/>
  <c r="O5769" i="7"/>
  <c r="S5769" i="7"/>
  <c r="R5769" i="7"/>
  <c r="AA5759" i="7"/>
  <c r="P5768" i="7"/>
  <c r="P5769" i="7" s="1"/>
  <c r="S5768" i="7"/>
  <c r="AA668" i="1"/>
  <c r="U669" i="1"/>
  <c r="V669" i="1"/>
  <c r="W669" i="1"/>
  <c r="X669" i="1"/>
  <c r="Y669" i="1"/>
  <c r="Z669" i="1"/>
  <c r="AA677" i="1"/>
  <c r="T941" i="6" l="1"/>
  <c r="V941" i="6"/>
  <c r="V940" i="6" s="1"/>
  <c r="P940" i="6"/>
  <c r="Q941" i="6"/>
  <c r="Q940" i="6" s="1"/>
  <c r="S941" i="6"/>
  <c r="AA943" i="6"/>
  <c r="AA955" i="6"/>
  <c r="AA965" i="6"/>
  <c r="AA981" i="6"/>
  <c r="AA989" i="6"/>
  <c r="X940" i="6"/>
  <c r="U940" i="6"/>
  <c r="Y940" i="6"/>
  <c r="AA993" i="6"/>
  <c r="T940" i="6"/>
  <c r="R940" i="6"/>
  <c r="AA957" i="6"/>
  <c r="AA959" i="6"/>
  <c r="AA971" i="6"/>
  <c r="AA983" i="6"/>
  <c r="AA991" i="6"/>
  <c r="O940" i="6"/>
  <c r="S940" i="6"/>
  <c r="W940" i="6"/>
  <c r="AA942" i="6"/>
  <c r="AA5760" i="7"/>
  <c r="AA669" i="1"/>
  <c r="Q5768" i="7"/>
  <c r="AA941" i="6" l="1"/>
  <c r="AA940" i="6" s="1"/>
  <c r="AA5769" i="7"/>
  <c r="Q5769" i="7"/>
  <c r="AA5768" i="7"/>
  <c r="AA925" i="6"/>
  <c r="AA924" i="6"/>
  <c r="Z923" i="6"/>
  <c r="Y923" i="6"/>
  <c r="X923" i="6"/>
  <c r="W923" i="6"/>
  <c r="V923" i="6"/>
  <c r="U923" i="6"/>
  <c r="T923" i="6"/>
  <c r="S923" i="6"/>
  <c r="R923" i="6"/>
  <c r="Q923" i="6"/>
  <c r="P923" i="6"/>
  <c r="O923" i="6"/>
  <c r="AA922" i="6"/>
  <c r="AA921" i="6"/>
  <c r="AA920" i="6"/>
  <c r="Z919" i="6"/>
  <c r="Y919" i="6"/>
  <c r="X919" i="6"/>
  <c r="W919" i="6"/>
  <c r="V919" i="6"/>
  <c r="U919" i="6"/>
  <c r="T919" i="6"/>
  <c r="S919" i="6"/>
  <c r="R919" i="6"/>
  <c r="Q919" i="6"/>
  <c r="P919" i="6"/>
  <c r="O919" i="6"/>
  <c r="AA918" i="6"/>
  <c r="AA917" i="6"/>
  <c r="AA916" i="6"/>
  <c r="Z915" i="6"/>
  <c r="Y915" i="6"/>
  <c r="X915" i="6"/>
  <c r="W915" i="6"/>
  <c r="V915" i="6"/>
  <c r="U915" i="6"/>
  <c r="T915" i="6"/>
  <c r="S915" i="6"/>
  <c r="R915" i="6"/>
  <c r="Q915" i="6"/>
  <c r="P915" i="6"/>
  <c r="O915" i="6"/>
  <c r="AA914" i="6"/>
  <c r="Q913" i="6"/>
  <c r="O913" i="6"/>
  <c r="O909" i="6" s="1"/>
  <c r="AA912" i="6"/>
  <c r="Z911" i="6"/>
  <c r="Y911" i="6"/>
  <c r="X911" i="6"/>
  <c r="W911" i="6"/>
  <c r="V911" i="6"/>
  <c r="U911" i="6"/>
  <c r="T911" i="6"/>
  <c r="S911" i="6"/>
  <c r="R911" i="6"/>
  <c r="Q911" i="6"/>
  <c r="P911" i="6"/>
  <c r="AA910" i="6"/>
  <c r="Z909" i="6"/>
  <c r="Y909" i="6"/>
  <c r="X909" i="6"/>
  <c r="W909" i="6"/>
  <c r="V909" i="6"/>
  <c r="U909" i="6"/>
  <c r="T909" i="6"/>
  <c r="S909" i="6"/>
  <c r="R909" i="6"/>
  <c r="Q909" i="6"/>
  <c r="P909" i="6"/>
  <c r="Z908" i="6"/>
  <c r="Y908" i="6"/>
  <c r="X908" i="6"/>
  <c r="X907" i="6" s="1"/>
  <c r="W908" i="6"/>
  <c r="V908" i="6"/>
  <c r="V907" i="6" s="1"/>
  <c r="U908" i="6"/>
  <c r="T908" i="6"/>
  <c r="T907" i="6" s="1"/>
  <c r="S908" i="6"/>
  <c r="R908" i="6"/>
  <c r="R907" i="6" s="1"/>
  <c r="Q908" i="6"/>
  <c r="P908" i="6"/>
  <c r="P907" i="6" s="1"/>
  <c r="O908" i="6"/>
  <c r="Y907" i="6"/>
  <c r="Z906" i="6"/>
  <c r="Y906" i="6"/>
  <c r="X906" i="6"/>
  <c r="W906" i="6"/>
  <c r="V906" i="6"/>
  <c r="U906" i="6"/>
  <c r="T906" i="6"/>
  <c r="S906" i="6"/>
  <c r="R906" i="6"/>
  <c r="Q906" i="6"/>
  <c r="P906" i="6"/>
  <c r="O906" i="6"/>
  <c r="T5745" i="7"/>
  <c r="S5745" i="7"/>
  <c r="S5744" i="7" s="1"/>
  <c r="Z5744" i="7"/>
  <c r="Y5744" i="7"/>
  <c r="X5744" i="7"/>
  <c r="W5744" i="7"/>
  <c r="V5744" i="7"/>
  <c r="R5744" i="7"/>
  <c r="Q5744" i="7"/>
  <c r="P5744" i="7"/>
  <c r="O5744" i="7"/>
  <c r="AA5743" i="7"/>
  <c r="AA164"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Q907" i="6" l="1"/>
  <c r="U907" i="6"/>
  <c r="Z907" i="6"/>
  <c r="O907" i="6"/>
  <c r="AA923" i="6"/>
  <c r="K922" i="6" s="1"/>
  <c r="AA908" i="6"/>
  <c r="S907" i="6"/>
  <c r="W907" i="6"/>
  <c r="AA915" i="6"/>
  <c r="K914" i="6" s="1"/>
  <c r="AA913" i="6"/>
  <c r="AA906" i="6"/>
  <c r="AA919" i="6"/>
  <c r="K918" i="6" s="1"/>
  <c r="O911" i="6"/>
  <c r="AA911" i="6" s="1"/>
  <c r="K910" i="6" s="1"/>
  <c r="AA909" i="6"/>
  <c r="T5744" i="7"/>
  <c r="U5745" i="7"/>
  <c r="U5744" i="7" s="1"/>
  <c r="AA907" i="6" l="1"/>
  <c r="AA5744" i="7"/>
  <c r="AA5745" i="7"/>
  <c r="AA655" i="1" l="1"/>
  <c r="Z654" i="1"/>
  <c r="Y654" i="1"/>
  <c r="X654" i="1"/>
  <c r="W654" i="1"/>
  <c r="V654" i="1"/>
  <c r="U654" i="1"/>
  <c r="T654" i="1"/>
  <c r="S654" i="1"/>
  <c r="R654" i="1"/>
  <c r="Q654" i="1"/>
  <c r="P654" i="1"/>
  <c r="O654" i="1"/>
  <c r="AA653" i="1"/>
  <c r="J653" i="1" s="1"/>
  <c r="AA652" i="1"/>
  <c r="T651" i="1"/>
  <c r="S651" i="1"/>
  <c r="R651" i="1"/>
  <c r="AA650" i="1"/>
  <c r="J650" i="1" s="1"/>
  <c r="Z649" i="1"/>
  <c r="T649" i="1"/>
  <c r="Z647" i="1"/>
  <c r="Z648" i="1" s="1"/>
  <c r="Z646" i="1" s="1"/>
  <c r="Y647" i="1"/>
  <c r="Y648" i="1" s="1"/>
  <c r="Y646" i="1" s="1"/>
  <c r="Y644" i="1" s="1"/>
  <c r="X647" i="1"/>
  <c r="X648" i="1" s="1"/>
  <c r="X646" i="1" s="1"/>
  <c r="X644" i="1" s="1"/>
  <c r="W647" i="1"/>
  <c r="W648" i="1" s="1"/>
  <c r="V647" i="1"/>
  <c r="V648" i="1" s="1"/>
  <c r="V646" i="1" s="1"/>
  <c r="V644" i="1" s="1"/>
  <c r="U647" i="1"/>
  <c r="T647" i="1"/>
  <c r="T648" i="1" s="1"/>
  <c r="S647" i="1"/>
  <c r="S648" i="1" s="1"/>
  <c r="R647" i="1"/>
  <c r="R648" i="1" s="1"/>
  <c r="R646" i="1" s="1"/>
  <c r="R644" i="1" s="1"/>
  <c r="Q647" i="1"/>
  <c r="P647" i="1"/>
  <c r="P648" i="1" s="1"/>
  <c r="P646" i="1" s="1"/>
  <c r="P644" i="1" s="1"/>
  <c r="O647" i="1"/>
  <c r="O648" i="1" s="1"/>
  <c r="AA645" i="1"/>
  <c r="J645" i="1" s="1"/>
  <c r="AA643" i="1"/>
  <c r="AA642" i="1"/>
  <c r="AA641" i="1"/>
  <c r="AA640" i="1"/>
  <c r="AA639" i="1"/>
  <c r="Z638" i="1"/>
  <c r="Y638" i="1"/>
  <c r="X638" i="1"/>
  <c r="W638" i="1"/>
  <c r="V638" i="1"/>
  <c r="U638" i="1"/>
  <c r="T638" i="1"/>
  <c r="S638" i="1"/>
  <c r="R638" i="1"/>
  <c r="Q638" i="1"/>
  <c r="P638" i="1"/>
  <c r="O638" i="1"/>
  <c r="AA637" i="1"/>
  <c r="J637" i="1" s="1"/>
  <c r="AA636" i="1"/>
  <c r="AA635" i="1"/>
  <c r="Z634" i="1"/>
  <c r="Y634" i="1"/>
  <c r="X634" i="1"/>
  <c r="W634" i="1"/>
  <c r="V634" i="1"/>
  <c r="U634" i="1"/>
  <c r="T634" i="1"/>
  <c r="S634" i="1"/>
  <c r="R634" i="1"/>
  <c r="Q634" i="1"/>
  <c r="P634" i="1"/>
  <c r="O634" i="1"/>
  <c r="AA633" i="1"/>
  <c r="J633" i="1" s="1"/>
  <c r="AA632" i="1"/>
  <c r="Z631" i="1"/>
  <c r="Y631" i="1"/>
  <c r="X631" i="1"/>
  <c r="W631" i="1"/>
  <c r="V631" i="1"/>
  <c r="U631" i="1"/>
  <c r="T631" i="1"/>
  <c r="S631" i="1"/>
  <c r="R631" i="1"/>
  <c r="Q631" i="1"/>
  <c r="P631" i="1"/>
  <c r="O631" i="1"/>
  <c r="AA630" i="1"/>
  <c r="J630" i="1" s="1"/>
  <c r="AA629" i="1"/>
  <c r="AA628" i="1"/>
  <c r="Z627" i="1"/>
  <c r="Y627" i="1"/>
  <c r="X627" i="1"/>
  <c r="W627" i="1"/>
  <c r="V627" i="1"/>
  <c r="U627" i="1"/>
  <c r="T627" i="1"/>
  <c r="S627" i="1"/>
  <c r="R627" i="1"/>
  <c r="Q627" i="1"/>
  <c r="P627" i="1"/>
  <c r="O627" i="1"/>
  <c r="AA626" i="1"/>
  <c r="J626" i="1" s="1"/>
  <c r="AA625" i="1"/>
  <c r="AA624" i="1"/>
  <c r="Z623" i="1"/>
  <c r="Y623" i="1"/>
  <c r="X623" i="1"/>
  <c r="W623" i="1"/>
  <c r="V623" i="1"/>
  <c r="V621" i="1" s="1"/>
  <c r="U623" i="1"/>
  <c r="T623" i="1"/>
  <c r="S623" i="1"/>
  <c r="R623" i="1"/>
  <c r="Q623" i="1"/>
  <c r="P623" i="1"/>
  <c r="O623" i="1"/>
  <c r="AA622" i="1"/>
  <c r="J622" i="1" s="1"/>
  <c r="AA620" i="1"/>
  <c r="AA619" i="1"/>
  <c r="AA618" i="1"/>
  <c r="AA617" i="1"/>
  <c r="Z616" i="1"/>
  <c r="Y616" i="1"/>
  <c r="X616" i="1"/>
  <c r="W616" i="1"/>
  <c r="V616" i="1"/>
  <c r="U616" i="1"/>
  <c r="T616" i="1"/>
  <c r="S616" i="1"/>
  <c r="R616" i="1"/>
  <c r="Q616" i="1"/>
  <c r="P616" i="1"/>
  <c r="O616" i="1"/>
  <c r="AA615" i="1"/>
  <c r="J615" i="1" s="1"/>
  <c r="AA614" i="1"/>
  <c r="Z613" i="1"/>
  <c r="Y613" i="1"/>
  <c r="X613" i="1"/>
  <c r="W613" i="1"/>
  <c r="V613" i="1"/>
  <c r="U613" i="1"/>
  <c r="T613" i="1"/>
  <c r="S613" i="1"/>
  <c r="R613" i="1"/>
  <c r="Q613" i="1"/>
  <c r="P613" i="1"/>
  <c r="O613" i="1"/>
  <c r="AA612" i="1"/>
  <c r="J612" i="1" s="1"/>
  <c r="AA611" i="1"/>
  <c r="Z610" i="1"/>
  <c r="Y610" i="1"/>
  <c r="X610" i="1"/>
  <c r="W610" i="1"/>
  <c r="V610" i="1"/>
  <c r="U610" i="1"/>
  <c r="T610" i="1"/>
  <c r="S610" i="1"/>
  <c r="R610" i="1"/>
  <c r="Q610" i="1"/>
  <c r="P610" i="1"/>
  <c r="O610" i="1"/>
  <c r="AA609" i="1"/>
  <c r="J609" i="1" s="1"/>
  <c r="AA608" i="1"/>
  <c r="AA607" i="1"/>
  <c r="AA606" i="1"/>
  <c r="AA605" i="1"/>
  <c r="AA604" i="1"/>
  <c r="AA603" i="1"/>
  <c r="AA602" i="1"/>
  <c r="AA601" i="1"/>
  <c r="AA600" i="1"/>
  <c r="AA599" i="1"/>
  <c r="AA598" i="1"/>
  <c r="AA597" i="1"/>
  <c r="AA596" i="1"/>
  <c r="AA595" i="1"/>
  <c r="AA594" i="1"/>
  <c r="Z593" i="1"/>
  <c r="AA593" i="1" s="1"/>
  <c r="Z591" i="1"/>
  <c r="Y591" i="1"/>
  <c r="Y592" i="1" s="1"/>
  <c r="Y590" i="1" s="1"/>
  <c r="X591" i="1"/>
  <c r="X592" i="1" s="1"/>
  <c r="W591" i="1"/>
  <c r="V591" i="1"/>
  <c r="U591" i="1"/>
  <c r="U592" i="1" s="1"/>
  <c r="U590" i="1" s="1"/>
  <c r="T591" i="1"/>
  <c r="T592" i="1" s="1"/>
  <c r="S591" i="1"/>
  <c r="R591" i="1"/>
  <c r="Q591" i="1"/>
  <c r="Q592" i="1" s="1"/>
  <c r="Q590" i="1" s="1"/>
  <c r="P591" i="1"/>
  <c r="P592" i="1" s="1"/>
  <c r="O591" i="1"/>
  <c r="AA589" i="1"/>
  <c r="J589" i="1" s="1"/>
  <c r="AA587" i="1"/>
  <c r="T646" i="1" l="1"/>
  <c r="T644" i="1" s="1"/>
  <c r="AA649" i="1"/>
  <c r="Q588" i="1"/>
  <c r="U588" i="1"/>
  <c r="Y588" i="1"/>
  <c r="P621" i="1"/>
  <c r="T621" i="1"/>
  <c r="X621" i="1"/>
  <c r="AA591" i="1"/>
  <c r="AA631" i="1"/>
  <c r="K630" i="1" s="1"/>
  <c r="Q621" i="1"/>
  <c r="U621" i="1"/>
  <c r="Y621" i="1"/>
  <c r="AA610" i="1"/>
  <c r="K609" i="1" s="1"/>
  <c r="R621" i="1"/>
  <c r="Z621" i="1"/>
  <c r="AA627" i="1"/>
  <c r="K626" i="1" s="1"/>
  <c r="Z644" i="1"/>
  <c r="W592" i="1"/>
  <c r="W590" i="1" s="1"/>
  <c r="W588" i="1" s="1"/>
  <c r="S592" i="1"/>
  <c r="S590" i="1" s="1"/>
  <c r="S588" i="1" s="1"/>
  <c r="AA613" i="1"/>
  <c r="K612" i="1" s="1"/>
  <c r="O621" i="1"/>
  <c r="S621" i="1"/>
  <c r="W621" i="1"/>
  <c r="AA638" i="1"/>
  <c r="K637" i="1" s="1"/>
  <c r="AA651" i="1"/>
  <c r="K650" i="1" s="1"/>
  <c r="O592" i="1"/>
  <c r="O590" i="1" s="1"/>
  <c r="O588" i="1" s="1"/>
  <c r="AA616" i="1"/>
  <c r="K615" i="1" s="1"/>
  <c r="AA623" i="1"/>
  <c r="K622" i="1" s="1"/>
  <c r="AA654" i="1"/>
  <c r="K653" i="1" s="1"/>
  <c r="AA634" i="1"/>
  <c r="K633" i="1" s="1"/>
  <c r="P590" i="1"/>
  <c r="P588" i="1" s="1"/>
  <c r="T590" i="1"/>
  <c r="T588" i="1" s="1"/>
  <c r="X590" i="1"/>
  <c r="X588" i="1" s="1"/>
  <c r="R592" i="1"/>
  <c r="R590" i="1" s="1"/>
  <c r="R588" i="1" s="1"/>
  <c r="V592" i="1"/>
  <c r="V590" i="1" s="1"/>
  <c r="V588" i="1" s="1"/>
  <c r="Z592" i="1"/>
  <c r="Z590" i="1" s="1"/>
  <c r="Z588" i="1" s="1"/>
  <c r="O646" i="1"/>
  <c r="S646" i="1"/>
  <c r="S644" i="1" s="1"/>
  <c r="W646" i="1"/>
  <c r="W644" i="1" s="1"/>
  <c r="Q648" i="1"/>
  <c r="Q646" i="1" s="1"/>
  <c r="Q644" i="1" s="1"/>
  <c r="U648" i="1"/>
  <c r="U646" i="1" s="1"/>
  <c r="U644" i="1" s="1"/>
  <c r="AA647" i="1"/>
  <c r="AA621" i="1" l="1"/>
  <c r="K620" i="1"/>
  <c r="AA588" i="1"/>
  <c r="AA646" i="1"/>
  <c r="K645" i="1" s="1"/>
  <c r="K643" i="1" s="1"/>
  <c r="O644" i="1"/>
  <c r="AA644" i="1" s="1"/>
  <c r="AA592" i="1"/>
  <c r="AA648" i="1"/>
  <c r="AA590" i="1"/>
  <c r="K589" i="1" s="1"/>
  <c r="AA892" i="6" l="1"/>
  <c r="AA891" i="6"/>
  <c r="AA890" i="6"/>
  <c r="AA889" i="6"/>
  <c r="AA888" i="6"/>
  <c r="AA887" i="6"/>
  <c r="AA886" i="6"/>
  <c r="AA885" i="6"/>
  <c r="AA884" i="6"/>
  <c r="AA883" i="6"/>
  <c r="AA882" i="6"/>
  <c r="AA881" i="6"/>
  <c r="AA880" i="6"/>
  <c r="AA879" i="6"/>
  <c r="AA878" i="6"/>
  <c r="AA877" i="6"/>
  <c r="AA876" i="6"/>
  <c r="AA875" i="6"/>
  <c r="AA874" i="6"/>
  <c r="AA871" i="6"/>
  <c r="AA870" i="6"/>
  <c r="AA869" i="6"/>
  <c r="AA866" i="6"/>
  <c r="AA865" i="6"/>
  <c r="AA864" i="6"/>
  <c r="AA863" i="6"/>
  <c r="AA862" i="6"/>
  <c r="AA861" i="6"/>
  <c r="AA860" i="6"/>
  <c r="AA859" i="6"/>
  <c r="AA858" i="6"/>
  <c r="AA857" i="6"/>
  <c r="AA856" i="6"/>
  <c r="AA855" i="6"/>
  <c r="AA854" i="6"/>
  <c r="AA853" i="6"/>
  <c r="AA852" i="6"/>
  <c r="AA851" i="6"/>
  <c r="AA850" i="6"/>
  <c r="AA849" i="6"/>
  <c r="AA848" i="6"/>
  <c r="AA847" i="6"/>
  <c r="AA846" i="6"/>
  <c r="AA845" i="6"/>
  <c r="AA844" i="6"/>
  <c r="AA843" i="6"/>
  <c r="AA842" i="6"/>
  <c r="AA841" i="6"/>
  <c r="AA840" i="6"/>
  <c r="AA839" i="6"/>
  <c r="AA838" i="6"/>
  <c r="AA837" i="6"/>
  <c r="AA836" i="6"/>
  <c r="AA835" i="6"/>
  <c r="AA834" i="6"/>
  <c r="AA833" i="6"/>
  <c r="AA832" i="6"/>
  <c r="AA831" i="6"/>
  <c r="AA830" i="6"/>
  <c r="AA829" i="6"/>
  <c r="AA828" i="6"/>
  <c r="AA826" i="6"/>
  <c r="AA825" i="6"/>
  <c r="AA824" i="6"/>
  <c r="AA823" i="6"/>
  <c r="AA822" i="6"/>
  <c r="AA821" i="6"/>
  <c r="AA820" i="6"/>
  <c r="AA819" i="6"/>
  <c r="AA818" i="6"/>
  <c r="AA817" i="6"/>
  <c r="AA827" i="6" l="1"/>
  <c r="Z261" i="1" l="1"/>
  <c r="Y261" i="1"/>
  <c r="X261" i="1"/>
  <c r="W261" i="1"/>
  <c r="V261" i="1"/>
  <c r="U261" i="1"/>
  <c r="T261" i="1"/>
  <c r="S261" i="1"/>
  <c r="R261" i="1"/>
  <c r="Q261" i="1"/>
  <c r="P261" i="1"/>
  <c r="Z260" i="1"/>
  <c r="Y260" i="1"/>
  <c r="X260" i="1"/>
  <c r="W260" i="1"/>
  <c r="V260" i="1"/>
  <c r="U260" i="1"/>
  <c r="T260" i="1"/>
  <c r="S260" i="1"/>
  <c r="R260" i="1"/>
  <c r="Q260" i="1"/>
  <c r="P260" i="1"/>
  <c r="O261" i="1"/>
  <c r="O260" i="1"/>
  <c r="V777" i="6"/>
  <c r="V776" i="6" s="1"/>
  <c r="R777" i="6"/>
  <c r="AA777" i="6" s="1"/>
  <c r="Z776" i="6"/>
  <c r="Y776" i="6"/>
  <c r="X776" i="6"/>
  <c r="W776" i="6"/>
  <c r="U776" i="6"/>
  <c r="T776" i="6"/>
  <c r="S776" i="6"/>
  <c r="Q776" i="6"/>
  <c r="P776" i="6"/>
  <c r="O776" i="6"/>
  <c r="U770" i="6"/>
  <c r="U769" i="6"/>
  <c r="AA769" i="6" s="1"/>
  <c r="Z768" i="6"/>
  <c r="Y768" i="6"/>
  <c r="X768" i="6"/>
  <c r="W768" i="6"/>
  <c r="V768" i="6"/>
  <c r="T768" i="6"/>
  <c r="S768" i="6"/>
  <c r="R768" i="6"/>
  <c r="Q768" i="6"/>
  <c r="P768" i="6"/>
  <c r="O768" i="6"/>
  <c r="T766" i="6"/>
  <c r="R766" i="6"/>
  <c r="P766" i="6"/>
  <c r="T765" i="6"/>
  <c r="R765" i="6"/>
  <c r="P765" i="6"/>
  <c r="X764" i="6"/>
  <c r="T764" i="6"/>
  <c r="S764" i="6"/>
  <c r="S763" i="6" s="1"/>
  <c r="R764" i="6"/>
  <c r="Q764" i="6"/>
  <c r="Q763" i="6" s="1"/>
  <c r="P764" i="6"/>
  <c r="Z763" i="6"/>
  <c r="Y763" i="6"/>
  <c r="X763" i="6"/>
  <c r="W763" i="6"/>
  <c r="V763" i="6"/>
  <c r="U763" i="6"/>
  <c r="O763" i="6"/>
  <c r="Y761" i="6"/>
  <c r="AA761" i="6" s="1"/>
  <c r="X760" i="6"/>
  <c r="AA760" i="6" s="1"/>
  <c r="AA759" i="6"/>
  <c r="Z758" i="6"/>
  <c r="Y758" i="6"/>
  <c r="X758" i="6"/>
  <c r="AA758" i="6" s="1"/>
  <c r="Y757" i="6"/>
  <c r="AA757" i="6" s="1"/>
  <c r="X757" i="6"/>
  <c r="Z756" i="6"/>
  <c r="Y756" i="6"/>
  <c r="X756" i="6"/>
  <c r="AA755" i="6"/>
  <c r="W754" i="6"/>
  <c r="V754" i="6"/>
  <c r="U754" i="6"/>
  <c r="T754" i="6"/>
  <c r="S754" i="6"/>
  <c r="R754" i="6"/>
  <c r="Q754" i="6"/>
  <c r="P754" i="6"/>
  <c r="O754" i="6"/>
  <c r="O752" i="6"/>
  <c r="AA752" i="6" s="1"/>
  <c r="Y751" i="6"/>
  <c r="W751" i="6"/>
  <c r="U751" i="6"/>
  <c r="T751" i="6"/>
  <c r="S751" i="6"/>
  <c r="R751" i="6"/>
  <c r="Q751" i="6"/>
  <c r="X750" i="6"/>
  <c r="X744" i="6" s="1"/>
  <c r="W750" i="6"/>
  <c r="T750" i="6"/>
  <c r="S750" i="6"/>
  <c r="R750" i="6"/>
  <c r="Q750" i="6"/>
  <c r="O749" i="6"/>
  <c r="AA749" i="6" s="1"/>
  <c r="Z748" i="6"/>
  <c r="Y748" i="6"/>
  <c r="X748" i="6"/>
  <c r="W748" i="6"/>
  <c r="V748" i="6"/>
  <c r="U748" i="6"/>
  <c r="T748" i="6"/>
  <c r="S748" i="6"/>
  <c r="R748" i="6"/>
  <c r="Q748" i="6"/>
  <c r="P748" i="6"/>
  <c r="Y747" i="6"/>
  <c r="X747" i="6"/>
  <c r="W747" i="6"/>
  <c r="U747" i="6"/>
  <c r="T747" i="6"/>
  <c r="S747" i="6"/>
  <c r="R747" i="6"/>
  <c r="Q747" i="6"/>
  <c r="P747" i="6"/>
  <c r="P744" i="6" s="1"/>
  <c r="Z746" i="6"/>
  <c r="Z744" i="6" s="1"/>
  <c r="Y746" i="6"/>
  <c r="X746" i="6"/>
  <c r="W746" i="6"/>
  <c r="V746" i="6"/>
  <c r="V744" i="6" s="1"/>
  <c r="U746" i="6"/>
  <c r="T746" i="6"/>
  <c r="S746" i="6"/>
  <c r="R746" i="6"/>
  <c r="Q746" i="6"/>
  <c r="P746" i="6"/>
  <c r="O745" i="6"/>
  <c r="AA745" i="6" s="1"/>
  <c r="AA742" i="6"/>
  <c r="Y741" i="6"/>
  <c r="Y740" i="6" s="1"/>
  <c r="V741" i="6"/>
  <c r="S741" i="6"/>
  <c r="P741" i="6"/>
  <c r="Z740" i="6"/>
  <c r="X740" i="6"/>
  <c r="W740" i="6"/>
  <c r="V740" i="6"/>
  <c r="U740" i="6"/>
  <c r="T740" i="6"/>
  <c r="S740" i="6"/>
  <c r="R740" i="6"/>
  <c r="Q740" i="6"/>
  <c r="O740" i="6"/>
  <c r="X738" i="6"/>
  <c r="X735" i="6" s="1"/>
  <c r="W738" i="6"/>
  <c r="T738" i="6"/>
  <c r="T735" i="6" s="1"/>
  <c r="S738" i="6"/>
  <c r="R738" i="6"/>
  <c r="Q738" i="6"/>
  <c r="Q735" i="6" s="1"/>
  <c r="P738" i="6"/>
  <c r="P735" i="6" s="1"/>
  <c r="O738" i="6"/>
  <c r="W737" i="6"/>
  <c r="U737" i="6"/>
  <c r="R737" i="6"/>
  <c r="O737" i="6"/>
  <c r="W736" i="6"/>
  <c r="U736" i="6"/>
  <c r="U735" i="6" s="1"/>
  <c r="R736" i="6"/>
  <c r="O736" i="6"/>
  <c r="Z735" i="6"/>
  <c r="Y735" i="6"/>
  <c r="V735" i="6"/>
  <c r="S735" i="6"/>
  <c r="AA729" i="6"/>
  <c r="S728" i="6"/>
  <c r="S724" i="6" s="1"/>
  <c r="T727" i="6"/>
  <c r="AA727" i="6" s="1"/>
  <c r="R726" i="6"/>
  <c r="R724" i="6" s="1"/>
  <c r="P726" i="6"/>
  <c r="AA726" i="6" s="1"/>
  <c r="R725" i="6"/>
  <c r="P725" i="6"/>
  <c r="Z724" i="6"/>
  <c r="Y724" i="6"/>
  <c r="X724" i="6"/>
  <c r="W724" i="6"/>
  <c r="V724" i="6"/>
  <c r="U724" i="6"/>
  <c r="Q724" i="6"/>
  <c r="O724" i="6"/>
  <c r="P722" i="6"/>
  <c r="P714" i="6" s="1"/>
  <c r="Q721" i="6"/>
  <c r="Q711" i="6" s="1"/>
  <c r="P721" i="6"/>
  <c r="Q720" i="6"/>
  <c r="Q710" i="6" s="1"/>
  <c r="P720" i="6"/>
  <c r="Z719" i="6"/>
  <c r="Y719" i="6"/>
  <c r="X719" i="6"/>
  <c r="W719" i="6"/>
  <c r="V719" i="6"/>
  <c r="U719" i="6"/>
  <c r="T719" i="6"/>
  <c r="S719" i="6"/>
  <c r="R719" i="6"/>
  <c r="O719" i="6"/>
  <c r="Z717" i="6"/>
  <c r="Y717" i="6"/>
  <c r="X717" i="6"/>
  <c r="W717" i="6"/>
  <c r="V717" i="6"/>
  <c r="U717" i="6"/>
  <c r="T717" i="6"/>
  <c r="S717" i="6"/>
  <c r="R717" i="6"/>
  <c r="Q717" i="6"/>
  <c r="P717" i="6"/>
  <c r="O717" i="6"/>
  <c r="Z716" i="6"/>
  <c r="Y716" i="6"/>
  <c r="X716" i="6"/>
  <c r="W716" i="6"/>
  <c r="V716" i="6"/>
  <c r="U716" i="6"/>
  <c r="T716" i="6"/>
  <c r="R716" i="6"/>
  <c r="Q716" i="6"/>
  <c r="P716" i="6"/>
  <c r="O716" i="6"/>
  <c r="W715" i="6"/>
  <c r="V715" i="6"/>
  <c r="U715" i="6"/>
  <c r="T715" i="6"/>
  <c r="R715" i="6"/>
  <c r="Q715" i="6"/>
  <c r="P715" i="6"/>
  <c r="Z714" i="6"/>
  <c r="Y714" i="6"/>
  <c r="X714" i="6"/>
  <c r="W714" i="6"/>
  <c r="V714" i="6"/>
  <c r="U714" i="6"/>
  <c r="S714" i="6"/>
  <c r="R714" i="6"/>
  <c r="Q714" i="6"/>
  <c r="O714" i="6"/>
  <c r="Z713" i="6"/>
  <c r="Y713" i="6"/>
  <c r="X713" i="6"/>
  <c r="W713" i="6"/>
  <c r="V713" i="6"/>
  <c r="U713" i="6"/>
  <c r="T713" i="6"/>
  <c r="S713" i="6"/>
  <c r="R713" i="6"/>
  <c r="Q713" i="6"/>
  <c r="P713" i="6"/>
  <c r="O713" i="6"/>
  <c r="Z712" i="6"/>
  <c r="Y712" i="6"/>
  <c r="X712" i="6"/>
  <c r="W712" i="6"/>
  <c r="V712" i="6"/>
  <c r="U712" i="6"/>
  <c r="T712" i="6"/>
  <c r="S712" i="6"/>
  <c r="R712" i="6"/>
  <c r="Q712" i="6"/>
  <c r="P712" i="6"/>
  <c r="O712" i="6"/>
  <c r="Z711" i="6"/>
  <c r="Y711" i="6"/>
  <c r="X711" i="6"/>
  <c r="W711" i="6"/>
  <c r="V711" i="6"/>
  <c r="U711" i="6"/>
  <c r="T711" i="6"/>
  <c r="S711" i="6"/>
  <c r="R711" i="6"/>
  <c r="O711" i="6"/>
  <c r="Z710" i="6"/>
  <c r="Z708" i="6" s="1"/>
  <c r="Y710" i="6"/>
  <c r="X710" i="6"/>
  <c r="W710" i="6"/>
  <c r="W708" i="6" s="1"/>
  <c r="V710" i="6"/>
  <c r="V708" i="6" s="1"/>
  <c r="U710" i="6"/>
  <c r="T710" i="6"/>
  <c r="S710" i="6"/>
  <c r="R710" i="6"/>
  <c r="P710" i="6"/>
  <c r="O710" i="6"/>
  <c r="AA709" i="6"/>
  <c r="T744" i="6" l="1"/>
  <c r="R744" i="6"/>
  <c r="AA750" i="6"/>
  <c r="Y754" i="6"/>
  <c r="AA764" i="6"/>
  <c r="T763" i="6"/>
  <c r="Z754" i="6"/>
  <c r="AA766" i="6"/>
  <c r="U768" i="6"/>
  <c r="AA712" i="6"/>
  <c r="AA717" i="6"/>
  <c r="X708" i="6"/>
  <c r="P711" i="6"/>
  <c r="P708" i="6" s="1"/>
  <c r="AA725" i="6"/>
  <c r="AA711" i="6"/>
  <c r="AA713" i="6"/>
  <c r="P724" i="6"/>
  <c r="AA728" i="6"/>
  <c r="AA741" i="6"/>
  <c r="S744" i="6"/>
  <c r="AA715" i="6"/>
  <c r="AA770" i="6"/>
  <c r="R708" i="6"/>
  <c r="Q744" i="6"/>
  <c r="U744" i="6"/>
  <c r="Y744" i="6"/>
  <c r="W744" i="6"/>
  <c r="AA751" i="6"/>
  <c r="AA756" i="6"/>
  <c r="R763" i="6"/>
  <c r="AA710" i="6"/>
  <c r="W735" i="6"/>
  <c r="Q719" i="6"/>
  <c r="AA720" i="6"/>
  <c r="AA736" i="6"/>
  <c r="AA737" i="6"/>
  <c r="AA738" i="6"/>
  <c r="Q708" i="6"/>
  <c r="U708" i="6"/>
  <c r="Y708" i="6"/>
  <c r="P719" i="6"/>
  <c r="AA719" i="6" s="1"/>
  <c r="K718" i="6" s="1"/>
  <c r="R735" i="6"/>
  <c r="P740" i="6"/>
  <c r="AA740" i="6" s="1"/>
  <c r="K739" i="6" s="1"/>
  <c r="AA746" i="6"/>
  <c r="AA747" i="6"/>
  <c r="AA748" i="6"/>
  <c r="P763" i="6"/>
  <c r="AA765" i="6"/>
  <c r="AA768" i="6"/>
  <c r="K767" i="6" s="1"/>
  <c r="O708" i="6"/>
  <c r="AA721" i="6"/>
  <c r="T724" i="6"/>
  <c r="AA724" i="6" s="1"/>
  <c r="K723" i="6" s="1"/>
  <c r="O735" i="6"/>
  <c r="O744" i="6"/>
  <c r="T714" i="6"/>
  <c r="T708" i="6" s="1"/>
  <c r="S716" i="6"/>
  <c r="AA716" i="6" s="1"/>
  <c r="X754" i="6"/>
  <c r="AA754" i="6" s="1"/>
  <c r="K753" i="6" s="1"/>
  <c r="R776" i="6"/>
  <c r="AA776" i="6" s="1"/>
  <c r="K775" i="6" s="1"/>
  <c r="AA763" i="6" l="1"/>
  <c r="K762" i="6" s="1"/>
  <c r="AA735" i="6"/>
  <c r="K734" i="6" s="1"/>
  <c r="AA714" i="6"/>
  <c r="AA744" i="6"/>
  <c r="K743" i="6" s="1"/>
  <c r="S708" i="6"/>
  <c r="AA708" i="6" s="1"/>
  <c r="Z787" i="6" l="1"/>
  <c r="Y787" i="6"/>
  <c r="X787" i="6"/>
  <c r="W787" i="6"/>
  <c r="V787" i="6"/>
  <c r="U787" i="6"/>
  <c r="T787" i="6"/>
  <c r="Q787" i="6"/>
  <c r="P787" i="6"/>
  <c r="O787" i="6"/>
  <c r="AA805" i="6"/>
  <c r="AA804" i="6"/>
  <c r="AA803" i="6"/>
  <c r="AA802" i="6"/>
  <c r="AA801" i="6"/>
  <c r="AA800" i="6"/>
  <c r="AA799" i="6"/>
  <c r="AA798" i="6"/>
  <c r="AA797" i="6"/>
  <c r="AA795" i="6"/>
  <c r="AA794" i="6"/>
  <c r="AA792" i="6"/>
  <c r="AA791" i="6"/>
  <c r="AA790" i="6"/>
  <c r="AA789" i="6"/>
  <c r="AA788" i="6"/>
  <c r="AA786" i="6"/>
  <c r="S796" i="6"/>
  <c r="S787" i="6" s="1"/>
  <c r="R793" i="6"/>
  <c r="R787" i="6" s="1"/>
  <c r="AA796" i="6" l="1"/>
  <c r="AA793" i="6"/>
  <c r="AA787" i="6"/>
  <c r="T4139" i="7" l="1"/>
  <c r="AB529" i="1" l="1"/>
  <c r="K528" i="1" s="1"/>
  <c r="AB528" i="1"/>
  <c r="AA527" i="1"/>
  <c r="V527" i="1"/>
  <c r="AB526" i="1"/>
  <c r="AB524" i="1"/>
  <c r="K524" i="1"/>
  <c r="AB523" i="1"/>
  <c r="K522" i="1" s="1"/>
  <c r="AB522" i="1"/>
  <c r="R521" i="1"/>
  <c r="AB521" i="1" s="1"/>
  <c r="K520" i="1" s="1"/>
  <c r="AB520" i="1"/>
  <c r="AB519" i="1"/>
  <c r="Z518" i="1"/>
  <c r="AB518" i="1" s="1"/>
  <c r="AB517" i="1"/>
  <c r="AB516" i="1"/>
  <c r="AB515" i="1"/>
  <c r="AB514" i="1"/>
  <c r="S513" i="1"/>
  <c r="AB513" i="1" s="1"/>
  <c r="K512" i="1" s="1"/>
  <c r="AB512" i="1"/>
  <c r="AB511" i="1"/>
  <c r="AB510" i="1"/>
  <c r="AB509" i="1"/>
  <c r="AB508" i="1"/>
  <c r="K507" i="1" s="1"/>
  <c r="AB507" i="1"/>
  <c r="AB504" i="1"/>
  <c r="AB503" i="1"/>
  <c r="AB502" i="1"/>
  <c r="Y501" i="1"/>
  <c r="W501" i="1"/>
  <c r="AB500" i="1"/>
  <c r="AB499" i="1"/>
  <c r="S498" i="1"/>
  <c r="AB498" i="1" s="1"/>
  <c r="S497" i="1"/>
  <c r="AB497" i="1" s="1"/>
  <c r="AB496" i="1"/>
  <c r="W495" i="1"/>
  <c r="T495" i="1"/>
  <c r="AB494" i="1"/>
  <c r="AB493" i="1"/>
  <c r="K492" i="1" s="1"/>
  <c r="AB492" i="1"/>
  <c r="AB491" i="1"/>
  <c r="Y490" i="1"/>
  <c r="X490" i="1"/>
  <c r="V490" i="1"/>
  <c r="U490" i="1"/>
  <c r="T490" i="1"/>
  <c r="R490" i="1"/>
  <c r="AB489" i="1"/>
  <c r="AB488" i="1"/>
  <c r="Z487" i="1"/>
  <c r="X487" i="1"/>
  <c r="V487" i="1"/>
  <c r="R487" i="1"/>
  <c r="AB486" i="1"/>
  <c r="AB483" i="1"/>
  <c r="K482" i="1" s="1"/>
  <c r="AB482" i="1"/>
  <c r="AB481" i="1"/>
  <c r="AB480" i="1"/>
  <c r="AB479" i="1"/>
  <c r="AB478" i="1"/>
  <c r="AB477" i="1"/>
  <c r="U476" i="1"/>
  <c r="AB476" i="1" s="1"/>
  <c r="K475" i="1" s="1"/>
  <c r="AB475" i="1"/>
  <c r="AB474" i="1"/>
  <c r="U473" i="1"/>
  <c r="AB473" i="1" s="1"/>
  <c r="AB472" i="1"/>
  <c r="AB471" i="1"/>
  <c r="AB470" i="1"/>
  <c r="K469" i="1" s="1"/>
  <c r="AB469" i="1"/>
  <c r="AB468" i="1"/>
  <c r="K467" i="1" s="1"/>
  <c r="AB467" i="1"/>
  <c r="AB466" i="1"/>
  <c r="S465" i="1"/>
  <c r="R465" i="1"/>
  <c r="AB464" i="1"/>
  <c r="AB463" i="1"/>
  <c r="K462" i="1" s="1"/>
  <c r="AB462" i="1"/>
  <c r="AB461" i="1"/>
  <c r="K460" i="1" s="1"/>
  <c r="AB460" i="1"/>
  <c r="AB459" i="1"/>
  <c r="K458" i="1" s="1"/>
  <c r="AB458" i="1"/>
  <c r="AB457" i="1"/>
  <c r="K456" i="1" s="1"/>
  <c r="AB456" i="1"/>
  <c r="AB455" i="1"/>
  <c r="Z454" i="1"/>
  <c r="X454" i="1"/>
  <c r="V454" i="1"/>
  <c r="T454" i="1"/>
  <c r="R454" i="1"/>
  <c r="AB453" i="1"/>
  <c r="AB452" i="1"/>
  <c r="AB451" i="1"/>
  <c r="AB450"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4" i="1"/>
  <c r="AB423" i="1"/>
  <c r="AB422" i="1"/>
  <c r="AB421" i="1"/>
  <c r="AB420" i="1"/>
  <c r="AB419" i="1"/>
  <c r="AB418" i="1"/>
  <c r="AB417" i="1"/>
  <c r="AB416" i="1"/>
  <c r="AB415" i="1"/>
  <c r="J415" i="1"/>
  <c r="AB414" i="1"/>
  <c r="AB413" i="1"/>
  <c r="AB412" i="1"/>
  <c r="K496" i="1" l="1"/>
  <c r="AB501" i="1"/>
  <c r="K500" i="1" s="1"/>
  <c r="K509" i="1"/>
  <c r="K517" i="1"/>
  <c r="K502" i="1"/>
  <c r="K412" i="1"/>
  <c r="K415" i="1"/>
  <c r="AB465" i="1"/>
  <c r="K464" i="1" s="1"/>
  <c r="AB495" i="1"/>
  <c r="K494" i="1" s="1"/>
  <c r="AB527" i="1"/>
  <c r="K526" i="1" s="1"/>
  <c r="K471" i="1"/>
  <c r="AB411" i="1"/>
  <c r="K450" i="1"/>
  <c r="K514" i="1"/>
  <c r="AB454" i="1"/>
  <c r="K453" i="1" s="1"/>
  <c r="K477" i="1"/>
  <c r="AB487" i="1"/>
  <c r="AB490" i="1"/>
  <c r="K489" i="1" s="1"/>
  <c r="AB505" i="1"/>
  <c r="AB484" i="1" l="1"/>
  <c r="AB448" i="1"/>
  <c r="K486" i="1"/>
  <c r="AB410" i="1" l="1"/>
  <c r="AA125" i="6"/>
  <c r="AA124" i="6"/>
  <c r="AA123" i="6"/>
  <c r="Z188" i="1" l="1"/>
  <c r="Y188" i="1"/>
  <c r="X188" i="1"/>
  <c r="W188" i="1"/>
  <c r="V188" i="1"/>
  <c r="U188" i="1"/>
  <c r="T188" i="1"/>
  <c r="S188" i="1"/>
  <c r="R188" i="1"/>
  <c r="Q188" i="1"/>
  <c r="P188" i="1"/>
  <c r="O188" i="1"/>
  <c r="AA188" i="1" l="1"/>
  <c r="Z118" i="1"/>
  <c r="Y118" i="1"/>
  <c r="X118" i="1"/>
  <c r="W118" i="1"/>
  <c r="V118" i="1"/>
  <c r="U118" i="1"/>
  <c r="T118" i="1"/>
  <c r="S118" i="1"/>
  <c r="R118" i="1"/>
  <c r="Q118" i="1"/>
  <c r="P118" i="1"/>
  <c r="O118" i="1"/>
  <c r="Z122" i="1"/>
  <c r="Y122" i="1"/>
  <c r="X122" i="1"/>
  <c r="W122" i="1"/>
  <c r="V122" i="1"/>
  <c r="U122" i="1"/>
  <c r="T122" i="1"/>
  <c r="S122" i="1"/>
  <c r="R122" i="1"/>
  <c r="Q122" i="1"/>
  <c r="P122" i="1"/>
  <c r="O122" i="1"/>
  <c r="Z126" i="1"/>
  <c r="Y126" i="1"/>
  <c r="X126" i="1"/>
  <c r="W126" i="1"/>
  <c r="V126" i="1"/>
  <c r="U126" i="1"/>
  <c r="T126" i="1"/>
  <c r="S126" i="1"/>
  <c r="R126" i="1"/>
  <c r="Q126" i="1"/>
  <c r="P126" i="1"/>
  <c r="O126" i="1"/>
  <c r="Z132" i="1"/>
  <c r="Y132" i="1"/>
  <c r="X132" i="1"/>
  <c r="W132" i="1"/>
  <c r="V132" i="1"/>
  <c r="U132" i="1"/>
  <c r="T132" i="1"/>
  <c r="S132" i="1"/>
  <c r="R132" i="1"/>
  <c r="Q132" i="1"/>
  <c r="P132" i="1"/>
  <c r="O132" i="1"/>
  <c r="Z135" i="1"/>
  <c r="Y135" i="1"/>
  <c r="X135" i="1"/>
  <c r="W135" i="1"/>
  <c r="V135" i="1"/>
  <c r="U135" i="1"/>
  <c r="T135" i="1"/>
  <c r="S135" i="1"/>
  <c r="R135" i="1"/>
  <c r="Q135" i="1"/>
  <c r="P135" i="1"/>
  <c r="O135" i="1"/>
  <c r="Z138" i="1"/>
  <c r="Y138" i="1"/>
  <c r="X138" i="1"/>
  <c r="W138" i="1"/>
  <c r="V138" i="1"/>
  <c r="U138" i="1"/>
  <c r="T138" i="1"/>
  <c r="S138" i="1"/>
  <c r="R138" i="1"/>
  <c r="Q138" i="1"/>
  <c r="P138" i="1"/>
  <c r="O138" i="1"/>
  <c r="Z141" i="1"/>
  <c r="Y141" i="1"/>
  <c r="X141" i="1"/>
  <c r="W141" i="1"/>
  <c r="V141" i="1"/>
  <c r="U141" i="1"/>
  <c r="T141" i="1"/>
  <c r="S141" i="1"/>
  <c r="R141" i="1"/>
  <c r="Q141" i="1"/>
  <c r="P141" i="1"/>
  <c r="O141" i="1"/>
  <c r="Z144" i="1"/>
  <c r="Y144" i="1"/>
  <c r="X144" i="1"/>
  <c r="W144" i="1"/>
  <c r="V144" i="1"/>
  <c r="U144" i="1"/>
  <c r="T144" i="1"/>
  <c r="S144" i="1"/>
  <c r="R144" i="1"/>
  <c r="Q144" i="1"/>
  <c r="P144" i="1"/>
  <c r="O144" i="1"/>
  <c r="Z147" i="1"/>
  <c r="Y147" i="1"/>
  <c r="X147" i="1"/>
  <c r="W147" i="1"/>
  <c r="V147" i="1"/>
  <c r="U147" i="1"/>
  <c r="T147" i="1"/>
  <c r="S147" i="1"/>
  <c r="R147" i="1"/>
  <c r="Q147" i="1"/>
  <c r="P147" i="1"/>
  <c r="O147" i="1"/>
  <c r="Z150" i="1"/>
  <c r="Y150" i="1"/>
  <c r="X150" i="1"/>
  <c r="W150" i="1"/>
  <c r="V150" i="1"/>
  <c r="U150" i="1"/>
  <c r="T150" i="1"/>
  <c r="S150" i="1"/>
  <c r="R150" i="1"/>
  <c r="Q150" i="1"/>
  <c r="P150" i="1"/>
  <c r="O150" i="1"/>
  <c r="Z153" i="1"/>
  <c r="Y153" i="1"/>
  <c r="X153" i="1"/>
  <c r="W153" i="1"/>
  <c r="V153" i="1"/>
  <c r="U153" i="1"/>
  <c r="T153" i="1"/>
  <c r="S153" i="1"/>
  <c r="R153" i="1"/>
  <c r="Q153" i="1"/>
  <c r="P153" i="1"/>
  <c r="O153" i="1"/>
  <c r="Z156" i="1"/>
  <c r="Y156" i="1"/>
  <c r="X156" i="1"/>
  <c r="W156" i="1"/>
  <c r="V156" i="1"/>
  <c r="U156" i="1"/>
  <c r="T156" i="1"/>
  <c r="S156" i="1"/>
  <c r="R156" i="1"/>
  <c r="Q156" i="1"/>
  <c r="P156" i="1"/>
  <c r="O156" i="1"/>
  <c r="Z159" i="1"/>
  <c r="Y159" i="1"/>
  <c r="X159" i="1"/>
  <c r="W159" i="1"/>
  <c r="V159" i="1"/>
  <c r="U159" i="1"/>
  <c r="T159" i="1"/>
  <c r="S159" i="1"/>
  <c r="R159" i="1"/>
  <c r="Q159" i="1"/>
  <c r="P159" i="1"/>
  <c r="O159" i="1"/>
  <c r="Z162" i="1"/>
  <c r="Y162" i="1"/>
  <c r="X162" i="1"/>
  <c r="W162" i="1"/>
  <c r="V162" i="1"/>
  <c r="U162" i="1"/>
  <c r="T162" i="1"/>
  <c r="S162" i="1"/>
  <c r="R162" i="1"/>
  <c r="Q162" i="1"/>
  <c r="P162" i="1"/>
  <c r="O162" i="1"/>
  <c r="Z165" i="1"/>
  <c r="Y165" i="1"/>
  <c r="X165" i="1"/>
  <c r="W165" i="1"/>
  <c r="V165" i="1"/>
  <c r="U165" i="1"/>
  <c r="T165" i="1"/>
  <c r="S165" i="1"/>
  <c r="R165" i="1"/>
  <c r="Q165" i="1"/>
  <c r="P165" i="1"/>
  <c r="O165" i="1"/>
  <c r="Z168" i="1"/>
  <c r="Y168" i="1"/>
  <c r="X168" i="1"/>
  <c r="W168" i="1"/>
  <c r="V168" i="1"/>
  <c r="U168" i="1"/>
  <c r="T168" i="1"/>
  <c r="S168" i="1"/>
  <c r="R168" i="1"/>
  <c r="Q168" i="1"/>
  <c r="P168" i="1"/>
  <c r="O168" i="1"/>
  <c r="Z171" i="1"/>
  <c r="Y171" i="1"/>
  <c r="X171" i="1"/>
  <c r="W171" i="1"/>
  <c r="V171" i="1"/>
  <c r="U171" i="1"/>
  <c r="T171" i="1"/>
  <c r="S171" i="1"/>
  <c r="R171" i="1"/>
  <c r="Q171" i="1"/>
  <c r="P171" i="1"/>
  <c r="O171" i="1"/>
  <c r="Z174" i="1"/>
  <c r="Y174" i="1"/>
  <c r="X174" i="1"/>
  <c r="W174" i="1"/>
  <c r="V174" i="1"/>
  <c r="U174" i="1"/>
  <c r="T174" i="1"/>
  <c r="S174" i="1"/>
  <c r="R174" i="1"/>
  <c r="Q174" i="1"/>
  <c r="P174" i="1"/>
  <c r="O174" i="1"/>
  <c r="Z177" i="1"/>
  <c r="Y177" i="1"/>
  <c r="X177" i="1"/>
  <c r="W177" i="1"/>
  <c r="V177" i="1"/>
  <c r="U177" i="1"/>
  <c r="T177" i="1"/>
  <c r="S177" i="1"/>
  <c r="R177" i="1"/>
  <c r="Q177" i="1"/>
  <c r="P177" i="1"/>
  <c r="O177" i="1"/>
  <c r="Z180" i="1"/>
  <c r="Y180" i="1"/>
  <c r="X180" i="1"/>
  <c r="W180" i="1"/>
  <c r="V180" i="1"/>
  <c r="U180" i="1"/>
  <c r="T180" i="1"/>
  <c r="S180" i="1"/>
  <c r="R180" i="1"/>
  <c r="Q180" i="1"/>
  <c r="P180" i="1"/>
  <c r="O180" i="1"/>
  <c r="Z185" i="1"/>
  <c r="Y185" i="1"/>
  <c r="X185" i="1"/>
  <c r="W185" i="1"/>
  <c r="V185" i="1"/>
  <c r="U185" i="1"/>
  <c r="T185" i="1"/>
  <c r="S185" i="1"/>
  <c r="R185" i="1"/>
  <c r="Q185" i="1"/>
  <c r="P185" i="1"/>
  <c r="O185" i="1"/>
  <c r="AA185" i="1" l="1"/>
  <c r="AA177" i="1"/>
  <c r="AA171" i="1"/>
  <c r="AA162" i="1"/>
  <c r="AA180" i="1"/>
  <c r="AA174" i="1"/>
  <c r="AA168" i="1"/>
  <c r="AA165" i="1"/>
  <c r="AA159" i="1"/>
  <c r="AA126" i="1"/>
  <c r="AA122" i="1"/>
  <c r="AA150" i="1"/>
  <c r="AA135" i="1"/>
  <c r="AA156" i="1"/>
  <c r="AA153" i="1"/>
  <c r="AA147" i="1"/>
  <c r="AA144" i="1"/>
  <c r="AA141" i="1"/>
  <c r="AA138" i="1"/>
  <c r="AA132" i="1"/>
  <c r="O5445" i="7" l="1"/>
  <c r="AA5445" i="7" s="1"/>
  <c r="J5424" i="7"/>
  <c r="O5385" i="7"/>
  <c r="AA5385" i="7" s="1"/>
  <c r="O5383" i="7"/>
  <c r="AA5383" i="7" s="1"/>
  <c r="O5489" i="7"/>
  <c r="AA5489" i="7" s="1"/>
  <c r="O5487" i="7"/>
  <c r="AA5487" i="7" s="1"/>
  <c r="O5485" i="7"/>
  <c r="AA5485" i="7" s="1"/>
  <c r="O5483" i="7"/>
  <c r="AA5483" i="7" s="1"/>
  <c r="O5481" i="7"/>
  <c r="AA5481" i="7" s="1"/>
  <c r="O5479" i="7"/>
  <c r="AA5479" i="7" s="1"/>
  <c r="O5477" i="7"/>
  <c r="AA5477" i="7" s="1"/>
  <c r="O5475" i="7"/>
  <c r="AA5475" i="7" s="1"/>
  <c r="O5465" i="7"/>
  <c r="AA5465" i="7" s="1"/>
  <c r="O5457" i="7"/>
  <c r="AA5457" i="7" s="1"/>
  <c r="I5456" i="7"/>
  <c r="O5455" i="7"/>
  <c r="AA5455" i="7" s="1"/>
  <c r="I5454" i="7"/>
  <c r="O5447" i="7"/>
  <c r="AA5447" i="7" s="1"/>
  <c r="O5443" i="7"/>
  <c r="AA5443" i="7" s="1"/>
  <c r="O5441" i="7"/>
  <c r="AA5441" i="7" s="1"/>
  <c r="J5434" i="7"/>
  <c r="O5431" i="7"/>
  <c r="AA5431" i="7" s="1"/>
  <c r="O5423" i="7"/>
  <c r="AA5423" i="7" s="1"/>
  <c r="O5421" i="7"/>
  <c r="AA5421" i="7" s="1"/>
  <c r="O5419" i="7"/>
  <c r="AA5419" i="7" s="1"/>
  <c r="O5417" i="7"/>
  <c r="AA5417" i="7" s="1"/>
  <c r="O5415" i="7"/>
  <c r="AA5415" i="7" s="1"/>
  <c r="O5411" i="7"/>
  <c r="AA5411" i="7" s="1"/>
  <c r="O5409" i="7"/>
  <c r="AA5409" i="7" s="1"/>
  <c r="O5407" i="7"/>
  <c r="AA5407" i="7" s="1"/>
  <c r="O5405" i="7"/>
  <c r="AA5405" i="7" s="1"/>
  <c r="O5403" i="7"/>
  <c r="AA5403" i="7" s="1"/>
  <c r="O5401" i="7"/>
  <c r="AA5401" i="7" s="1"/>
  <c r="O5399" i="7"/>
  <c r="AA5399" i="7" s="1"/>
  <c r="O5397" i="7"/>
  <c r="AA5397" i="7" s="1"/>
  <c r="O5395" i="7"/>
  <c r="AA5395" i="7" s="1"/>
  <c r="O5393" i="7"/>
  <c r="AA5393" i="7" s="1"/>
  <c r="O5391" i="7"/>
  <c r="AA5391" i="7" s="1"/>
  <c r="O5389" i="7"/>
  <c r="AA5389" i="7" s="1"/>
  <c r="O5387" i="7"/>
  <c r="AA5387" i="7" s="1"/>
  <c r="O5381" i="7"/>
  <c r="AA5381" i="7" s="1"/>
  <c r="O5379" i="7"/>
  <c r="AA5379" i="7" s="1"/>
  <c r="O5377" i="7"/>
  <c r="AA5377" i="7" s="1"/>
  <c r="O5375" i="7"/>
  <c r="AA5375" i="7" s="1"/>
  <c r="O5373" i="7"/>
  <c r="AA5373" i="7" s="1"/>
  <c r="O5371" i="7"/>
  <c r="AA5371" i="7" s="1"/>
  <c r="O5365" i="7"/>
  <c r="AA5365" i="7" s="1"/>
  <c r="AA5358" i="7"/>
  <c r="AA5354" i="7"/>
  <c r="R5353" i="7"/>
  <c r="AA5448" i="7" l="1"/>
  <c r="AA5424" i="7"/>
  <c r="AA5458" i="7"/>
  <c r="O5473" i="7"/>
  <c r="AA5473" i="7" s="1"/>
  <c r="AA5490" i="7" s="1"/>
  <c r="O5433" i="7"/>
  <c r="J5448" i="7"/>
  <c r="AA5433" i="7"/>
  <c r="AA5434" i="7" s="1"/>
  <c r="K5339" i="7" l="1"/>
  <c r="AA5265" i="7"/>
  <c r="P5152" i="7"/>
  <c r="Q5152" i="7"/>
  <c r="R5152" i="7"/>
  <c r="S5152" i="7"/>
  <c r="T5152" i="7"/>
  <c r="U5152" i="7"/>
  <c r="V5152" i="7"/>
  <c r="W5152" i="7"/>
  <c r="X5152" i="7"/>
  <c r="Y5152" i="7"/>
  <c r="Z5152" i="7"/>
  <c r="O5152" i="7"/>
  <c r="L4273" i="7"/>
  <c r="K3777" i="7"/>
  <c r="K3598" i="7"/>
  <c r="AA5152" i="7" l="1"/>
  <c r="AA27" i="1" l="1"/>
  <c r="AA26" i="1"/>
  <c r="AA25" i="1"/>
  <c r="AA4397" i="7" l="1"/>
  <c r="O4396" i="7"/>
  <c r="AA4396" i="7" s="1"/>
  <c r="K4395" i="7" s="1"/>
  <c r="AA4395" i="7"/>
  <c r="AA4394" i="7"/>
  <c r="Z4393" i="7"/>
  <c r="Y4393" i="7"/>
  <c r="X4393" i="7"/>
  <c r="W4393" i="7"/>
  <c r="V4393" i="7"/>
  <c r="U4393" i="7"/>
  <c r="T4393" i="7"/>
  <c r="S4393" i="7"/>
  <c r="R4393" i="7"/>
  <c r="Q4393" i="7"/>
  <c r="P4393" i="7"/>
  <c r="O4393" i="7"/>
  <c r="Z4392" i="7"/>
  <c r="Y4392" i="7"/>
  <c r="X4392" i="7"/>
  <c r="W4392" i="7"/>
  <c r="V4392" i="7"/>
  <c r="U4392" i="7"/>
  <c r="T4392" i="7"/>
  <c r="S4392" i="7"/>
  <c r="R4392" i="7"/>
  <c r="Q4392" i="7"/>
  <c r="P4392" i="7"/>
  <c r="O4392" i="7"/>
  <c r="AA4391" i="7"/>
  <c r="O4390" i="7"/>
  <c r="AA4390" i="7" s="1"/>
  <c r="K4389" i="7" s="1"/>
  <c r="AA4389" i="7"/>
  <c r="AA4388" i="7"/>
  <c r="V4387" i="7"/>
  <c r="AA4387" i="7" s="1"/>
  <c r="K4386" i="7" s="1"/>
  <c r="AA4386" i="7"/>
  <c r="AA4385" i="7"/>
  <c r="O4384" i="7"/>
  <c r="AA4384" i="7" s="1"/>
  <c r="K4383" i="7" s="1"/>
  <c r="AA4383" i="7"/>
  <c r="AA4382" i="7"/>
  <c r="Z4381" i="7"/>
  <c r="T4381" i="7"/>
  <c r="AA4380" i="7"/>
  <c r="AA4379" i="7"/>
  <c r="Z4378" i="7"/>
  <c r="Y4378" i="7"/>
  <c r="X4378" i="7"/>
  <c r="W4378" i="7"/>
  <c r="V4378" i="7"/>
  <c r="U4378" i="7"/>
  <c r="T4378" i="7"/>
  <c r="S4378" i="7"/>
  <c r="R4378" i="7"/>
  <c r="Q4378" i="7"/>
  <c r="P4378" i="7"/>
  <c r="O4378" i="7"/>
  <c r="AA4377" i="7"/>
  <c r="AA4376" i="7"/>
  <c r="Y4375" i="7"/>
  <c r="X4375" i="7"/>
  <c r="W4375" i="7"/>
  <c r="V4375" i="7"/>
  <c r="U4375" i="7"/>
  <c r="T4375" i="7"/>
  <c r="S4375" i="7"/>
  <c r="R4375" i="7"/>
  <c r="Q4375" i="7"/>
  <c r="P4375" i="7"/>
  <c r="O4375" i="7"/>
  <c r="AA4374" i="7"/>
  <c r="AA4373" i="7"/>
  <c r="Z4372" i="7"/>
  <c r="Y4372" i="7"/>
  <c r="X4372" i="7"/>
  <c r="W4372" i="7"/>
  <c r="V4372" i="7"/>
  <c r="U4372" i="7"/>
  <c r="T4372" i="7"/>
  <c r="S4372" i="7"/>
  <c r="R4372" i="7"/>
  <c r="Q4372" i="7"/>
  <c r="P4372" i="7"/>
  <c r="O4372" i="7"/>
  <c r="AA4371" i="7"/>
  <c r="AA4370" i="7"/>
  <c r="AA4369" i="7"/>
  <c r="Y4368" i="7"/>
  <c r="X4368" i="7"/>
  <c r="W4368" i="7"/>
  <c r="U4368" i="7"/>
  <c r="T4368" i="7"/>
  <c r="R4368" i="7"/>
  <c r="Q4368" i="7"/>
  <c r="O4368" i="7"/>
  <c r="AA4367" i="7"/>
  <c r="AA4366" i="7"/>
  <c r="AA4365" i="7"/>
  <c r="Z4364" i="7"/>
  <c r="AA4364" i="7" s="1"/>
  <c r="AA4363" i="7"/>
  <c r="Z4362" i="7"/>
  <c r="Y4362" i="7"/>
  <c r="X4362" i="7"/>
  <c r="W4362" i="7"/>
  <c r="V4362" i="7"/>
  <c r="U4362" i="7"/>
  <c r="T4362" i="7"/>
  <c r="S4362" i="7"/>
  <c r="R4362" i="7"/>
  <c r="Q4362" i="7"/>
  <c r="P4362" i="7"/>
  <c r="O4362" i="7"/>
  <c r="AA4361" i="7"/>
  <c r="AA4360" i="7"/>
  <c r="AA4359" i="7"/>
  <c r="AA4358" i="7"/>
  <c r="AA4357" i="7"/>
  <c r="AA4356" i="7"/>
  <c r="AA4355" i="7"/>
  <c r="AA4354" i="7"/>
  <c r="AA4353" i="7"/>
  <c r="AA4352" i="7"/>
  <c r="AA4351" i="7"/>
  <c r="AA4350" i="7"/>
  <c r="AA4349" i="7"/>
  <c r="AA4348" i="7"/>
  <c r="AA4347" i="7"/>
  <c r="AA4346" i="7"/>
  <c r="AA4345" i="7"/>
  <c r="AA4344" i="7"/>
  <c r="AA4343" i="7"/>
  <c r="Z4342" i="7"/>
  <c r="Y4342" i="7"/>
  <c r="X4342" i="7"/>
  <c r="W4342" i="7"/>
  <c r="V4342" i="7"/>
  <c r="U4342" i="7"/>
  <c r="T4342" i="7"/>
  <c r="S4342" i="7"/>
  <c r="R4342" i="7"/>
  <c r="Q4342" i="7"/>
  <c r="P4342" i="7"/>
  <c r="O4342" i="7"/>
  <c r="AA4341" i="7"/>
  <c r="AA4340" i="7"/>
  <c r="AA4339" i="7"/>
  <c r="W4338" i="7"/>
  <c r="AA4338" i="7" s="1"/>
  <c r="AA4337" i="7"/>
  <c r="AA4336" i="7"/>
  <c r="AA4335" i="7"/>
  <c r="AA4334" i="7"/>
  <c r="AA4333" i="7"/>
  <c r="Z4332" i="7"/>
  <c r="Y4332" i="7"/>
  <c r="X4332" i="7"/>
  <c r="V4332" i="7"/>
  <c r="U4332" i="7"/>
  <c r="T4332" i="7"/>
  <c r="S4332" i="7"/>
  <c r="R4332" i="7"/>
  <c r="Q4332" i="7"/>
  <c r="P4332" i="7"/>
  <c r="O4332" i="7"/>
  <c r="AA4331" i="7"/>
  <c r="AA4372" i="7" l="1"/>
  <c r="AA4342" i="7"/>
  <c r="K4341" i="7" s="1"/>
  <c r="AA4368" i="7"/>
  <c r="W4332" i="7"/>
  <c r="AA4332" i="7" s="1"/>
  <c r="K4331" i="7" s="1"/>
  <c r="AA4362" i="7"/>
  <c r="K4361" i="7" s="1"/>
  <c r="AA4378" i="7"/>
  <c r="K4377" i="7" s="1"/>
  <c r="AA4375" i="7"/>
  <c r="K4374" i="7" s="1"/>
  <c r="AA4381" i="7"/>
  <c r="K4380" i="7" s="1"/>
  <c r="AA4392" i="7"/>
  <c r="AA4393" i="7"/>
  <c r="K4392" i="7" s="1"/>
  <c r="AA5729" i="7"/>
  <c r="AA5728" i="7"/>
  <c r="AA5727" i="7"/>
  <c r="AA5725" i="7"/>
  <c r="AA5724" i="7"/>
  <c r="AA5723" i="7"/>
  <c r="AA5722" i="7"/>
  <c r="O5721" i="7"/>
  <c r="AA5721" i="7" s="1"/>
  <c r="AA5720" i="7"/>
  <c r="AA5719" i="7"/>
  <c r="AA5718" i="7"/>
  <c r="AA5717" i="7"/>
  <c r="AA5716" i="7"/>
  <c r="AA5714" i="7"/>
  <c r="AA5713" i="7"/>
  <c r="AA5712" i="7"/>
  <c r="AA5711" i="7"/>
  <c r="AA5710" i="7"/>
  <c r="AA5709" i="7"/>
  <c r="AA5708" i="7"/>
  <c r="AA5707" i="7"/>
  <c r="AA5706" i="7"/>
  <c r="AA5705" i="7"/>
  <c r="AA5704" i="7"/>
  <c r="Z5703" i="7"/>
  <c r="Y5703" i="7"/>
  <c r="X5703" i="7"/>
  <c r="W5703" i="7"/>
  <c r="V5703" i="7"/>
  <c r="U5703" i="7"/>
  <c r="T5703" i="7"/>
  <c r="S5703" i="7"/>
  <c r="R5703" i="7"/>
  <c r="Q5703" i="7"/>
  <c r="P5703" i="7"/>
  <c r="O5703" i="7"/>
  <c r="AA5693" i="7"/>
  <c r="AA5692" i="7"/>
  <c r="AA5691" i="7"/>
  <c r="AA5690" i="7"/>
  <c r="AA5689" i="7"/>
  <c r="AA5688" i="7"/>
  <c r="AA5687" i="7"/>
  <c r="AA5686" i="7"/>
  <c r="AA5685" i="7"/>
  <c r="AA5684" i="7"/>
  <c r="AA5683" i="7"/>
  <c r="AA5682" i="7"/>
  <c r="AA5681" i="7"/>
  <c r="AA5680" i="7"/>
  <c r="AA5679" i="7"/>
  <c r="AA5678" i="7"/>
  <c r="AA5677" i="7"/>
  <c r="AA5676" i="7"/>
  <c r="AA5675" i="7"/>
  <c r="AA5674" i="7"/>
  <c r="AA5673" i="7"/>
  <c r="AA5672" i="7"/>
  <c r="AA5671" i="7"/>
  <c r="AA5670" i="7"/>
  <c r="AA5669" i="7"/>
  <c r="AA5668" i="7"/>
  <c r="AA5667" i="7"/>
  <c r="AA5666" i="7"/>
  <c r="AA5665" i="7"/>
  <c r="AA5664" i="7"/>
  <c r="AA5663" i="7"/>
  <c r="AA5662" i="7"/>
  <c r="AA5661" i="7"/>
  <c r="AA5660" i="7"/>
  <c r="AA5659" i="7"/>
  <c r="AA5658" i="7"/>
  <c r="AA5657" i="7"/>
  <c r="AA5656" i="7"/>
  <c r="AA5655" i="7"/>
  <c r="AA5654" i="7"/>
  <c r="AA5653" i="7"/>
  <c r="AA5652" i="7"/>
  <c r="AA5651" i="7"/>
  <c r="AA5650" i="7"/>
  <c r="AA5649" i="7"/>
  <c r="AA5648" i="7"/>
  <c r="AA5647" i="7"/>
  <c r="AA5646" i="7"/>
  <c r="AA5645" i="7"/>
  <c r="AA5644" i="7"/>
  <c r="AA5643" i="7"/>
  <c r="AA5642" i="7"/>
  <c r="AA5641" i="7"/>
  <c r="AA5640" i="7"/>
  <c r="AA5639" i="7"/>
  <c r="AA5638" i="7"/>
  <c r="AA5637" i="7"/>
  <c r="AA5636" i="7"/>
  <c r="Y5634" i="7"/>
  <c r="X5634" i="7"/>
  <c r="W5634" i="7"/>
  <c r="V5634" i="7"/>
  <c r="U5634" i="7"/>
  <c r="T5634" i="7"/>
  <c r="S5634" i="7"/>
  <c r="R5634" i="7"/>
  <c r="Q5634" i="7"/>
  <c r="P5634" i="7"/>
  <c r="O5634" i="7"/>
  <c r="AA5633" i="7"/>
  <c r="AA5624" i="7"/>
  <c r="AA5623" i="7"/>
  <c r="AA5622" i="7"/>
  <c r="AA5621" i="7"/>
  <c r="AA5620" i="7"/>
  <c r="AA5619" i="7"/>
  <c r="AA5618" i="7"/>
  <c r="AA5617" i="7"/>
  <c r="AA5616" i="7"/>
  <c r="AA5615" i="7"/>
  <c r="AA5614" i="7"/>
  <c r="AA5613" i="7"/>
  <c r="Z5612" i="7"/>
  <c r="Y5612" i="7"/>
  <c r="X5612" i="7"/>
  <c r="W5612" i="7"/>
  <c r="V5612" i="7"/>
  <c r="U5612" i="7"/>
  <c r="T5612" i="7"/>
  <c r="S5612" i="7"/>
  <c r="R5612" i="7"/>
  <c r="Q5612" i="7"/>
  <c r="P5612" i="7"/>
  <c r="O5612" i="7"/>
  <c r="AA5600" i="7"/>
  <c r="AA5596" i="7"/>
  <c r="AA5593" i="7"/>
  <c r="AA5589" i="7"/>
  <c r="O5587" i="7"/>
  <c r="AA5587" i="7" s="1"/>
  <c r="Z5586" i="7"/>
  <c r="Y5586" i="7"/>
  <c r="X5586" i="7"/>
  <c r="W5586" i="7"/>
  <c r="V5586" i="7"/>
  <c r="U5586" i="7"/>
  <c r="T5586" i="7"/>
  <c r="S5586" i="7"/>
  <c r="R5586" i="7"/>
  <c r="Q5586" i="7"/>
  <c r="P5586" i="7"/>
  <c r="O5586" i="7"/>
  <c r="P5585" i="7"/>
  <c r="AA5585" i="7" s="1"/>
  <c r="AA5581" i="7"/>
  <c r="O5579" i="7"/>
  <c r="AA5577" i="7"/>
  <c r="O5575" i="7"/>
  <c r="AA5573" i="7"/>
  <c r="O5571" i="7"/>
  <c r="Z5570" i="7"/>
  <c r="Y5570" i="7"/>
  <c r="X5570" i="7"/>
  <c r="W5570" i="7"/>
  <c r="V5570" i="7"/>
  <c r="U5570" i="7"/>
  <c r="T5570" i="7"/>
  <c r="S5570" i="7"/>
  <c r="R5570" i="7"/>
  <c r="Q5570" i="7"/>
  <c r="P5570" i="7"/>
  <c r="O5570" i="7"/>
  <c r="AA5569" i="7"/>
  <c r="AA5557" i="7"/>
  <c r="K5555" i="7" s="1"/>
  <c r="Z5556" i="7"/>
  <c r="Y5556" i="7"/>
  <c r="X5556" i="7"/>
  <c r="W5556" i="7"/>
  <c r="V5556" i="7"/>
  <c r="U5556" i="7"/>
  <c r="T5556" i="7"/>
  <c r="S5556" i="7"/>
  <c r="R5556" i="7"/>
  <c r="Q5556" i="7"/>
  <c r="P5556" i="7"/>
  <c r="O5556" i="7"/>
  <c r="AA5555" i="7"/>
  <c r="AA5553" i="7"/>
  <c r="K5551" i="7" s="1"/>
  <c r="Z5552" i="7"/>
  <c r="Y5552" i="7"/>
  <c r="X5552" i="7"/>
  <c r="W5552" i="7"/>
  <c r="V5552" i="7"/>
  <c r="U5552" i="7"/>
  <c r="T5552" i="7"/>
  <c r="S5552" i="7"/>
  <c r="R5552" i="7"/>
  <c r="Q5552" i="7"/>
  <c r="P5552" i="7"/>
  <c r="O5552" i="7"/>
  <c r="AA5551" i="7"/>
  <c r="AA5549" i="7"/>
  <c r="K5547" i="7" s="1"/>
  <c r="Z5548" i="7"/>
  <c r="Y5548" i="7"/>
  <c r="X5548" i="7"/>
  <c r="W5548" i="7"/>
  <c r="V5548" i="7"/>
  <c r="U5548" i="7"/>
  <c r="T5548" i="7"/>
  <c r="S5548" i="7"/>
  <c r="R5548" i="7"/>
  <c r="Q5548" i="7"/>
  <c r="P5548" i="7"/>
  <c r="O5548" i="7"/>
  <c r="AA5547" i="7"/>
  <c r="AA5545" i="7"/>
  <c r="K5544" i="7" s="1"/>
  <c r="Z5544" i="7"/>
  <c r="Y5544" i="7"/>
  <c r="X5544" i="7"/>
  <c r="W5544" i="7"/>
  <c r="V5544" i="7"/>
  <c r="U5544" i="7"/>
  <c r="T5544" i="7"/>
  <c r="S5544" i="7"/>
  <c r="R5544" i="7"/>
  <c r="Q5544" i="7"/>
  <c r="P5544" i="7"/>
  <c r="O5544" i="7"/>
  <c r="AA5543" i="7"/>
  <c r="AA5538" i="7"/>
  <c r="K5536" i="7" s="1"/>
  <c r="Z5537" i="7"/>
  <c r="Y5537" i="7"/>
  <c r="X5537" i="7"/>
  <c r="W5537" i="7"/>
  <c r="V5537" i="7"/>
  <c r="U5537" i="7"/>
  <c r="T5537" i="7"/>
  <c r="S5537" i="7"/>
  <c r="R5537" i="7"/>
  <c r="Q5537" i="7"/>
  <c r="P5537" i="7"/>
  <c r="O5537" i="7"/>
  <c r="AA5534" i="7"/>
  <c r="Z5533" i="7"/>
  <c r="Z5525" i="7" s="1"/>
  <c r="Y5533" i="7"/>
  <c r="X5533" i="7"/>
  <c r="W5533" i="7"/>
  <c r="V5533" i="7"/>
  <c r="V5525" i="7" s="1"/>
  <c r="U5533" i="7"/>
  <c r="T5533" i="7"/>
  <c r="S5533" i="7"/>
  <c r="R5533" i="7"/>
  <c r="R5525" i="7" s="1"/>
  <c r="Q5533" i="7"/>
  <c r="P5533" i="7"/>
  <c r="O5533" i="7"/>
  <c r="K5532" i="7"/>
  <c r="AA5526" i="7"/>
  <c r="Z5515" i="7"/>
  <c r="Y5515" i="7"/>
  <c r="X5515" i="7"/>
  <c r="W5515" i="7"/>
  <c r="V5515" i="7"/>
  <c r="U5515" i="7"/>
  <c r="T5515" i="7"/>
  <c r="S5515" i="7"/>
  <c r="R5515" i="7"/>
  <c r="Q5515" i="7"/>
  <c r="P5515" i="7"/>
  <c r="O5515" i="7"/>
  <c r="Z5511" i="7"/>
  <c r="Z5506" i="7" s="1"/>
  <c r="Y5511" i="7"/>
  <c r="X5511" i="7"/>
  <c r="X5506" i="7" s="1"/>
  <c r="W5511" i="7"/>
  <c r="W5506" i="7" s="1"/>
  <c r="V5511" i="7"/>
  <c r="V5506" i="7" s="1"/>
  <c r="U5511" i="7"/>
  <c r="U5506" i="7" s="1"/>
  <c r="T5511" i="7"/>
  <c r="T5506" i="7" s="1"/>
  <c r="S5511" i="7"/>
  <c r="S5506" i="7" s="1"/>
  <c r="R5511" i="7"/>
  <c r="Q5511" i="7"/>
  <c r="Q5506" i="7" s="1"/>
  <c r="P5511" i="7"/>
  <c r="P5506" i="7" s="1"/>
  <c r="O5511" i="7"/>
  <c r="AA5510" i="7"/>
  <c r="R5507" i="7"/>
  <c r="Y5506" i="7"/>
  <c r="AA5338" i="7"/>
  <c r="AA5337" i="7"/>
  <c r="AA5336" i="7"/>
  <c r="AA5335" i="7"/>
  <c r="AA5334" i="7"/>
  <c r="AA5333" i="7"/>
  <c r="AA5332" i="7"/>
  <c r="AA5331" i="7"/>
  <c r="AA5330" i="7"/>
  <c r="AA5329" i="7"/>
  <c r="AA5328" i="7"/>
  <c r="AA5327" i="7"/>
  <c r="AA5326" i="7"/>
  <c r="AA5325" i="7"/>
  <c r="AA5324" i="7"/>
  <c r="AA5323" i="7"/>
  <c r="AA5322" i="7"/>
  <c r="AA5321" i="7"/>
  <c r="AA5320" i="7"/>
  <c r="AA5319" i="7"/>
  <c r="AA5318" i="7"/>
  <c r="AA5317" i="7"/>
  <c r="AA5316" i="7"/>
  <c r="AA5315" i="7"/>
  <c r="AA5314" i="7"/>
  <c r="AA5313" i="7"/>
  <c r="AA5312" i="7"/>
  <c r="AA5311" i="7"/>
  <c r="AA5310" i="7"/>
  <c r="AA5309" i="7"/>
  <c r="Z5308" i="7"/>
  <c r="Y5308" i="7"/>
  <c r="X5308" i="7"/>
  <c r="W5308" i="7"/>
  <c r="V5308" i="7"/>
  <c r="U5308" i="7"/>
  <c r="T5308" i="7"/>
  <c r="S5308" i="7"/>
  <c r="R5308" i="7"/>
  <c r="Q5308" i="7"/>
  <c r="P5308" i="7"/>
  <c r="O5308" i="7"/>
  <c r="Z5307" i="7"/>
  <c r="Y5307" i="7"/>
  <c r="X5307" i="7"/>
  <c r="W5307" i="7"/>
  <c r="V5307" i="7"/>
  <c r="U5307" i="7"/>
  <c r="T5307" i="7"/>
  <c r="S5307" i="7"/>
  <c r="R5307" i="7"/>
  <c r="Q5307" i="7"/>
  <c r="P5307" i="7"/>
  <c r="O5307" i="7"/>
  <c r="AA5306" i="7"/>
  <c r="AA5305" i="7"/>
  <c r="AA5304" i="7"/>
  <c r="AA5303" i="7"/>
  <c r="AA5302" i="7"/>
  <c r="AA5301" i="7"/>
  <c r="AA5300" i="7"/>
  <c r="AA5299" i="7"/>
  <c r="AA5298" i="7"/>
  <c r="AA5297" i="7"/>
  <c r="AA5296" i="7"/>
  <c r="AA5295" i="7"/>
  <c r="AA5294" i="7"/>
  <c r="AA5293" i="7"/>
  <c r="AA5292" i="7"/>
  <c r="AA5291" i="7"/>
  <c r="AA5290" i="7"/>
  <c r="AA5289" i="7"/>
  <c r="AA5288" i="7"/>
  <c r="AA5287" i="7"/>
  <c r="AA5286" i="7"/>
  <c r="AA5285" i="7"/>
  <c r="AA5284" i="7"/>
  <c r="AA5283" i="7"/>
  <c r="Z5282" i="7"/>
  <c r="Y5282" i="7"/>
  <c r="X5282" i="7"/>
  <c r="W5282" i="7"/>
  <c r="V5282" i="7"/>
  <c r="U5282" i="7"/>
  <c r="T5282" i="7"/>
  <c r="S5282" i="7"/>
  <c r="R5282" i="7"/>
  <c r="Q5282" i="7"/>
  <c r="P5282" i="7"/>
  <c r="O5282" i="7"/>
  <c r="AA5281" i="7"/>
  <c r="AA5280" i="7"/>
  <c r="AA5279" i="7"/>
  <c r="Z5278" i="7"/>
  <c r="Y5278" i="7"/>
  <c r="X5278" i="7"/>
  <c r="W5278" i="7"/>
  <c r="V5278" i="7"/>
  <c r="U5278" i="7"/>
  <c r="T5278" i="7"/>
  <c r="S5278" i="7"/>
  <c r="R5278" i="7"/>
  <c r="Q5278" i="7"/>
  <c r="P5278" i="7"/>
  <c r="O5278" i="7"/>
  <c r="AA5277" i="7"/>
  <c r="AA5266" i="7"/>
  <c r="AA5264" i="7"/>
  <c r="Z5263" i="7"/>
  <c r="Y5263" i="7"/>
  <c r="X5263" i="7"/>
  <c r="W5263" i="7"/>
  <c r="V5263" i="7"/>
  <c r="U5263" i="7"/>
  <c r="T5263" i="7"/>
  <c r="S5263" i="7"/>
  <c r="R5263" i="7"/>
  <c r="Q5263" i="7"/>
  <c r="P5263" i="7"/>
  <c r="O5263" i="7"/>
  <c r="AA5262" i="7"/>
  <c r="AA5261" i="7"/>
  <c r="AA5260" i="7"/>
  <c r="Z5259" i="7"/>
  <c r="Y5259" i="7"/>
  <c r="X5259" i="7"/>
  <c r="W5259" i="7"/>
  <c r="V5259" i="7"/>
  <c r="U5259" i="7"/>
  <c r="T5259" i="7"/>
  <c r="S5259" i="7"/>
  <c r="R5259" i="7"/>
  <c r="Q5259" i="7"/>
  <c r="P5259" i="7"/>
  <c r="O5259" i="7"/>
  <c r="AA5258" i="7"/>
  <c r="AA5257" i="7"/>
  <c r="AA5256" i="7"/>
  <c r="Z5255" i="7"/>
  <c r="Y5255" i="7"/>
  <c r="X5255" i="7"/>
  <c r="W5255" i="7"/>
  <c r="V5255" i="7"/>
  <c r="U5255" i="7"/>
  <c r="T5255" i="7"/>
  <c r="S5255" i="7"/>
  <c r="R5255" i="7"/>
  <c r="Q5255" i="7"/>
  <c r="P5255" i="7"/>
  <c r="O5255" i="7"/>
  <c r="AA5254" i="7"/>
  <c r="AA5253" i="7"/>
  <c r="AA5252" i="7"/>
  <c r="Z5251" i="7"/>
  <c r="Y5251" i="7"/>
  <c r="X5251" i="7"/>
  <c r="W5251" i="7"/>
  <c r="V5251" i="7"/>
  <c r="U5251" i="7"/>
  <c r="T5251" i="7"/>
  <c r="S5251" i="7"/>
  <c r="R5251" i="7"/>
  <c r="Q5251" i="7"/>
  <c r="P5251" i="7"/>
  <c r="O5251" i="7"/>
  <c r="AA5250" i="7"/>
  <c r="AA5249" i="7"/>
  <c r="AA5248" i="7"/>
  <c r="Z5247" i="7"/>
  <c r="Y5247" i="7"/>
  <c r="X5247" i="7"/>
  <c r="W5247" i="7"/>
  <c r="V5247" i="7"/>
  <c r="U5247" i="7"/>
  <c r="T5247" i="7"/>
  <c r="S5247" i="7"/>
  <c r="R5247" i="7"/>
  <c r="Q5247" i="7"/>
  <c r="P5247" i="7"/>
  <c r="O5247" i="7"/>
  <c r="AA5246" i="7"/>
  <c r="AA5245" i="7"/>
  <c r="AA5244" i="7"/>
  <c r="Z5243" i="7"/>
  <c r="Y5243" i="7"/>
  <c r="X5243" i="7"/>
  <c r="W5243" i="7"/>
  <c r="V5243" i="7"/>
  <c r="U5243" i="7"/>
  <c r="T5243" i="7"/>
  <c r="S5243" i="7"/>
  <c r="R5243" i="7"/>
  <c r="Q5243" i="7"/>
  <c r="P5243" i="7"/>
  <c r="O5243" i="7"/>
  <c r="AA5242" i="7"/>
  <c r="AA5241" i="7"/>
  <c r="AA5240" i="7"/>
  <c r="Z5239" i="7"/>
  <c r="Y5239" i="7"/>
  <c r="X5239" i="7"/>
  <c r="W5239" i="7"/>
  <c r="V5239" i="7"/>
  <c r="U5239" i="7"/>
  <c r="T5239" i="7"/>
  <c r="S5239" i="7"/>
  <c r="R5239" i="7"/>
  <c r="Q5239" i="7"/>
  <c r="P5239" i="7"/>
  <c r="O5239" i="7"/>
  <c r="AA5238" i="7"/>
  <c r="AA5237" i="7"/>
  <c r="AA5236" i="7"/>
  <c r="Z5235" i="7"/>
  <c r="Y5235" i="7"/>
  <c r="X5235" i="7"/>
  <c r="W5235" i="7"/>
  <c r="V5235" i="7"/>
  <c r="U5235" i="7"/>
  <c r="T5235" i="7"/>
  <c r="S5235" i="7"/>
  <c r="R5235" i="7"/>
  <c r="Q5235" i="7"/>
  <c r="P5235" i="7"/>
  <c r="O5235" i="7"/>
  <c r="AA5234" i="7"/>
  <c r="AA5233" i="7"/>
  <c r="AA5232" i="7"/>
  <c r="Z5231" i="7"/>
  <c r="Y5231" i="7"/>
  <c r="X5231" i="7"/>
  <c r="W5231" i="7"/>
  <c r="V5231" i="7"/>
  <c r="U5231" i="7"/>
  <c r="T5231" i="7"/>
  <c r="S5231" i="7"/>
  <c r="R5231" i="7"/>
  <c r="Q5231" i="7"/>
  <c r="P5231" i="7"/>
  <c r="O5231" i="7"/>
  <c r="AA5230" i="7"/>
  <c r="AA5229" i="7"/>
  <c r="AA5228" i="7"/>
  <c r="Z5227" i="7"/>
  <c r="Y5227" i="7"/>
  <c r="X5227" i="7"/>
  <c r="W5227" i="7"/>
  <c r="V5227" i="7"/>
  <c r="U5227" i="7"/>
  <c r="T5227" i="7"/>
  <c r="S5227" i="7"/>
  <c r="R5227" i="7"/>
  <c r="Q5227" i="7"/>
  <c r="P5227" i="7"/>
  <c r="O5227" i="7"/>
  <c r="AA5226" i="7"/>
  <c r="AA5225" i="7"/>
  <c r="AA5224" i="7"/>
  <c r="Z5223" i="7"/>
  <c r="Y5223" i="7"/>
  <c r="X5223" i="7"/>
  <c r="W5223" i="7"/>
  <c r="V5223" i="7"/>
  <c r="U5223" i="7"/>
  <c r="T5223" i="7"/>
  <c r="S5223" i="7"/>
  <c r="R5223" i="7"/>
  <c r="Q5223" i="7"/>
  <c r="P5223" i="7"/>
  <c r="O5223" i="7"/>
  <c r="AA5222" i="7"/>
  <c r="AA5221" i="7"/>
  <c r="AA5220" i="7"/>
  <c r="Z5219" i="7"/>
  <c r="Y5219" i="7"/>
  <c r="X5219" i="7"/>
  <c r="W5219" i="7"/>
  <c r="V5219" i="7"/>
  <c r="U5219" i="7"/>
  <c r="T5219" i="7"/>
  <c r="S5219" i="7"/>
  <c r="R5219" i="7"/>
  <c r="Q5219" i="7"/>
  <c r="P5219" i="7"/>
  <c r="O5219" i="7"/>
  <c r="AA5218" i="7"/>
  <c r="AA5217" i="7"/>
  <c r="AA5216" i="7"/>
  <c r="Z5215" i="7"/>
  <c r="Y5215" i="7"/>
  <c r="X5215" i="7"/>
  <c r="W5215" i="7"/>
  <c r="V5215" i="7"/>
  <c r="U5215" i="7"/>
  <c r="T5215" i="7"/>
  <c r="S5215" i="7"/>
  <c r="R5215" i="7"/>
  <c r="Q5215" i="7"/>
  <c r="P5215" i="7"/>
  <c r="O5215" i="7"/>
  <c r="AA5214" i="7"/>
  <c r="AA5213" i="7"/>
  <c r="AA5212" i="7"/>
  <c r="Z5211" i="7"/>
  <c r="Y5211" i="7"/>
  <c r="X5211" i="7"/>
  <c r="W5211" i="7"/>
  <c r="V5211" i="7"/>
  <c r="U5211" i="7"/>
  <c r="T5211" i="7"/>
  <c r="S5211" i="7"/>
  <c r="R5211" i="7"/>
  <c r="Q5211" i="7"/>
  <c r="P5211" i="7"/>
  <c r="O5211" i="7"/>
  <c r="AA5210" i="7"/>
  <c r="AA5209" i="7"/>
  <c r="AA5208" i="7"/>
  <c r="Z5207" i="7"/>
  <c r="Y5207" i="7"/>
  <c r="X5207" i="7"/>
  <c r="W5207" i="7"/>
  <c r="V5207" i="7"/>
  <c r="U5207" i="7"/>
  <c r="T5207" i="7"/>
  <c r="S5207" i="7"/>
  <c r="R5207" i="7"/>
  <c r="Q5207" i="7"/>
  <c r="P5207" i="7"/>
  <c r="O5207" i="7"/>
  <c r="AA5206" i="7"/>
  <c r="AA5205" i="7"/>
  <c r="AA5204" i="7"/>
  <c r="Z5203" i="7"/>
  <c r="Y5203" i="7"/>
  <c r="X5203" i="7"/>
  <c r="W5203" i="7"/>
  <c r="V5203" i="7"/>
  <c r="U5203" i="7"/>
  <c r="T5203" i="7"/>
  <c r="S5203" i="7"/>
  <c r="R5203" i="7"/>
  <c r="Q5203" i="7"/>
  <c r="P5203" i="7"/>
  <c r="O5203" i="7"/>
  <c r="AA5202" i="7"/>
  <c r="AA5201" i="7"/>
  <c r="AA5200" i="7"/>
  <c r="Z5199" i="7"/>
  <c r="Y5199" i="7"/>
  <c r="X5199" i="7"/>
  <c r="W5199" i="7"/>
  <c r="V5199" i="7"/>
  <c r="U5199" i="7"/>
  <c r="T5199" i="7"/>
  <c r="S5199" i="7"/>
  <c r="R5199" i="7"/>
  <c r="Q5199" i="7"/>
  <c r="P5199" i="7"/>
  <c r="O5199" i="7"/>
  <c r="AA5198" i="7"/>
  <c r="AA5197" i="7"/>
  <c r="AA5196" i="7"/>
  <c r="Z5195" i="7"/>
  <c r="Y5195" i="7"/>
  <c r="X5195" i="7"/>
  <c r="W5195" i="7"/>
  <c r="V5195" i="7"/>
  <c r="U5195" i="7"/>
  <c r="T5195" i="7"/>
  <c r="S5195" i="7"/>
  <c r="R5195" i="7"/>
  <c r="Q5195" i="7"/>
  <c r="P5195" i="7"/>
  <c r="O5195" i="7"/>
  <c r="AA5194" i="7"/>
  <c r="AA5193" i="7"/>
  <c r="AA5192" i="7"/>
  <c r="Z5191" i="7"/>
  <c r="Y5191" i="7"/>
  <c r="X5191" i="7"/>
  <c r="W5191" i="7"/>
  <c r="V5191" i="7"/>
  <c r="U5191" i="7"/>
  <c r="T5191" i="7"/>
  <c r="S5191" i="7"/>
  <c r="R5191" i="7"/>
  <c r="Q5191" i="7"/>
  <c r="P5191" i="7"/>
  <c r="O5191" i="7"/>
  <c r="AA5190" i="7"/>
  <c r="AA5189" i="7"/>
  <c r="AA5188" i="7"/>
  <c r="Z5187" i="7"/>
  <c r="Y5187" i="7"/>
  <c r="X5187" i="7"/>
  <c r="W5187" i="7"/>
  <c r="V5187" i="7"/>
  <c r="U5187" i="7"/>
  <c r="T5187" i="7"/>
  <c r="S5187" i="7"/>
  <c r="R5187" i="7"/>
  <c r="Q5187" i="7"/>
  <c r="P5187" i="7"/>
  <c r="O5187" i="7"/>
  <c r="AA5186" i="7"/>
  <c r="AA5185" i="7"/>
  <c r="AA5184" i="7"/>
  <c r="Z5183" i="7"/>
  <c r="Y5183" i="7"/>
  <c r="X5183" i="7"/>
  <c r="W5183" i="7"/>
  <c r="V5183" i="7"/>
  <c r="U5183" i="7"/>
  <c r="T5183" i="7"/>
  <c r="S5183" i="7"/>
  <c r="R5183" i="7"/>
  <c r="Q5183" i="7"/>
  <c r="P5183" i="7"/>
  <c r="O5183" i="7"/>
  <c r="AA5182" i="7"/>
  <c r="AA5181" i="7"/>
  <c r="AA5180" i="7"/>
  <c r="Z5179" i="7"/>
  <c r="Y5179" i="7"/>
  <c r="X5179" i="7"/>
  <c r="W5179" i="7"/>
  <c r="V5179" i="7"/>
  <c r="U5179" i="7"/>
  <c r="T5179" i="7"/>
  <c r="S5179" i="7"/>
  <c r="R5179" i="7"/>
  <c r="Q5179" i="7"/>
  <c r="P5179" i="7"/>
  <c r="O5179" i="7"/>
  <c r="AA5178" i="7"/>
  <c r="AA5177" i="7"/>
  <c r="AA5176" i="7"/>
  <c r="Z5175" i="7"/>
  <c r="Y5175" i="7"/>
  <c r="X5175" i="7"/>
  <c r="W5175" i="7"/>
  <c r="V5175" i="7"/>
  <c r="U5175" i="7"/>
  <c r="T5175" i="7"/>
  <c r="S5175" i="7"/>
  <c r="R5175" i="7"/>
  <c r="Q5175" i="7"/>
  <c r="P5175" i="7"/>
  <c r="O5175" i="7"/>
  <c r="AA5174" i="7"/>
  <c r="AA5173" i="7"/>
  <c r="AA5172" i="7"/>
  <c r="Z5171" i="7"/>
  <c r="Y5171" i="7"/>
  <c r="X5171" i="7"/>
  <c r="W5171" i="7"/>
  <c r="V5171" i="7"/>
  <c r="U5171" i="7"/>
  <c r="T5171" i="7"/>
  <c r="S5171" i="7"/>
  <c r="R5171" i="7"/>
  <c r="Q5171" i="7"/>
  <c r="P5171" i="7"/>
  <c r="O5171" i="7"/>
  <c r="AA5170" i="7"/>
  <c r="AA5169" i="7"/>
  <c r="AA5168" i="7"/>
  <c r="Z5167" i="7"/>
  <c r="Y5167" i="7"/>
  <c r="X5167" i="7"/>
  <c r="W5167" i="7"/>
  <c r="V5167" i="7"/>
  <c r="U5167" i="7"/>
  <c r="T5167" i="7"/>
  <c r="S5167" i="7"/>
  <c r="R5167" i="7"/>
  <c r="Q5167" i="7"/>
  <c r="P5167" i="7"/>
  <c r="O5167" i="7"/>
  <c r="AA5166" i="7"/>
  <c r="AA5165" i="7"/>
  <c r="AA5164" i="7"/>
  <c r="AA5163" i="7"/>
  <c r="AA5162" i="7"/>
  <c r="AA5161" i="7"/>
  <c r="AA5160" i="7"/>
  <c r="AA5159" i="7"/>
  <c r="AA5158" i="7"/>
  <c r="AA5157" i="7"/>
  <c r="AA5156" i="7"/>
  <c r="AA5155" i="7"/>
  <c r="AA5154" i="7"/>
  <c r="AA5153" i="7"/>
  <c r="AA5151" i="7"/>
  <c r="Z5149" i="7"/>
  <c r="Y5149" i="7"/>
  <c r="X5149" i="7"/>
  <c r="W5149" i="7"/>
  <c r="V5149" i="7"/>
  <c r="U5149" i="7"/>
  <c r="T5149" i="7"/>
  <c r="S5149" i="7"/>
  <c r="R5149" i="7"/>
  <c r="Q5149" i="7"/>
  <c r="P5149" i="7"/>
  <c r="O5149" i="7"/>
  <c r="Z5148" i="7"/>
  <c r="Y5148" i="7"/>
  <c r="X5148" i="7"/>
  <c r="W5148" i="7"/>
  <c r="V5148" i="7"/>
  <c r="U5148" i="7"/>
  <c r="T5148" i="7"/>
  <c r="S5148" i="7"/>
  <c r="R5148" i="7"/>
  <c r="Q5148" i="7"/>
  <c r="P5148" i="7"/>
  <c r="O5148" i="7"/>
  <c r="AA5135" i="7"/>
  <c r="AA5134" i="7"/>
  <c r="AA5133" i="7"/>
  <c r="AA5132" i="7"/>
  <c r="AA5131" i="7"/>
  <c r="AA5130" i="7"/>
  <c r="AA5129" i="7"/>
  <c r="AA5128" i="7"/>
  <c r="AA5127" i="7"/>
  <c r="AA5126" i="7"/>
  <c r="Z5125" i="7"/>
  <c r="Y5125" i="7"/>
  <c r="X5125" i="7"/>
  <c r="W5125" i="7"/>
  <c r="V5125" i="7"/>
  <c r="U5125" i="7"/>
  <c r="T5125" i="7"/>
  <c r="S5125" i="7"/>
  <c r="R5125" i="7"/>
  <c r="Q5125" i="7"/>
  <c r="P5125" i="7"/>
  <c r="O5125" i="7"/>
  <c r="AA5124" i="7"/>
  <c r="AA5123" i="7"/>
  <c r="AA5122" i="7"/>
  <c r="AA5121" i="7"/>
  <c r="AA5120" i="7"/>
  <c r="AA5119" i="7"/>
  <c r="AA5118" i="7"/>
  <c r="AA5117" i="7"/>
  <c r="AA5116" i="7"/>
  <c r="AA5115" i="7"/>
  <c r="AA5114" i="7"/>
  <c r="Z5113" i="7"/>
  <c r="Y5113" i="7"/>
  <c r="X5113" i="7"/>
  <c r="W5113" i="7"/>
  <c r="V5113" i="7"/>
  <c r="U5113" i="7"/>
  <c r="T5113" i="7"/>
  <c r="S5113" i="7"/>
  <c r="R5113" i="7"/>
  <c r="Q5113" i="7"/>
  <c r="P5113" i="7"/>
  <c r="O5113" i="7"/>
  <c r="AA5112" i="7"/>
  <c r="AA5111" i="7"/>
  <c r="AA5110" i="7"/>
  <c r="AA5109" i="7"/>
  <c r="AA5108" i="7"/>
  <c r="AA5107" i="7"/>
  <c r="AA5106" i="7"/>
  <c r="AA5105" i="7"/>
  <c r="AA5104" i="7"/>
  <c r="AA5103" i="7"/>
  <c r="AA5102" i="7"/>
  <c r="Z5101" i="7"/>
  <c r="Y5101" i="7"/>
  <c r="X5101" i="7"/>
  <c r="W5101" i="7"/>
  <c r="V5101" i="7"/>
  <c r="U5101" i="7"/>
  <c r="T5101" i="7"/>
  <c r="S5101" i="7"/>
  <c r="R5101" i="7"/>
  <c r="Q5101" i="7"/>
  <c r="P5101" i="7"/>
  <c r="O5101" i="7"/>
  <c r="AA5100" i="7"/>
  <c r="AA5099" i="7"/>
  <c r="AA5098" i="7"/>
  <c r="AA5097" i="7"/>
  <c r="AA5096" i="7"/>
  <c r="AA5095" i="7"/>
  <c r="AA5094" i="7"/>
  <c r="AA5093" i="7"/>
  <c r="AA5092" i="7"/>
  <c r="AA5091" i="7"/>
  <c r="AA5090" i="7"/>
  <c r="Z5089" i="7"/>
  <c r="W5089" i="7"/>
  <c r="T5089" i="7"/>
  <c r="Q5089" i="7"/>
  <c r="AA5088" i="7"/>
  <c r="AA5087" i="7"/>
  <c r="AA5086" i="7"/>
  <c r="AA5085" i="7"/>
  <c r="AA5084" i="7"/>
  <c r="AA5083" i="7"/>
  <c r="AA5082" i="7"/>
  <c r="AA5081" i="7"/>
  <c r="AA5080" i="7"/>
  <c r="AA5079" i="7"/>
  <c r="AA5078" i="7"/>
  <c r="Z5077" i="7"/>
  <c r="Y5077" i="7"/>
  <c r="X5077" i="7"/>
  <c r="W5077" i="7"/>
  <c r="V5077" i="7"/>
  <c r="U5077" i="7"/>
  <c r="T5077" i="7"/>
  <c r="S5077" i="7"/>
  <c r="R5077" i="7"/>
  <c r="Q5077" i="7"/>
  <c r="P5077" i="7"/>
  <c r="O5077" i="7"/>
  <c r="AA5076" i="7"/>
  <c r="AA5072" i="7"/>
  <c r="AA5071" i="7"/>
  <c r="AA5070" i="7"/>
  <c r="AA5069" i="7"/>
  <c r="Z5068" i="7"/>
  <c r="AA5068" i="7" s="1"/>
  <c r="AA5067" i="7"/>
  <c r="AA5066" i="7"/>
  <c r="Y5065" i="7"/>
  <c r="X5065" i="7"/>
  <c r="W5065" i="7"/>
  <c r="V5065" i="7"/>
  <c r="U5065" i="7"/>
  <c r="T5065" i="7"/>
  <c r="S5065" i="7"/>
  <c r="R5065" i="7"/>
  <c r="Q5065" i="7"/>
  <c r="P5065" i="7"/>
  <c r="O5065" i="7"/>
  <c r="AA5064" i="7"/>
  <c r="AA5063" i="7"/>
  <c r="AA5062" i="7"/>
  <c r="AA5061" i="7"/>
  <c r="AA5060" i="7"/>
  <c r="AA5059" i="7"/>
  <c r="AA5058" i="7"/>
  <c r="AA5057" i="7"/>
  <c r="AA5056" i="7"/>
  <c r="AA5055" i="7"/>
  <c r="AA5054" i="7"/>
  <c r="Z5053" i="7"/>
  <c r="Y5053" i="7"/>
  <c r="X5053" i="7"/>
  <c r="W5053" i="7"/>
  <c r="V5053" i="7"/>
  <c r="U5053" i="7"/>
  <c r="T5053" i="7"/>
  <c r="S5053" i="7"/>
  <c r="R5053" i="7"/>
  <c r="Q5053" i="7"/>
  <c r="P5053" i="7"/>
  <c r="O5053" i="7"/>
  <c r="AA5052" i="7"/>
  <c r="AA5051" i="7"/>
  <c r="AA5050" i="7"/>
  <c r="AA5049" i="7"/>
  <c r="AA5048" i="7"/>
  <c r="AA5047" i="7"/>
  <c r="AA5046" i="7"/>
  <c r="AA5045" i="7"/>
  <c r="AA5044" i="7"/>
  <c r="AA5043" i="7"/>
  <c r="AA5042" i="7"/>
  <c r="X5041" i="7"/>
  <c r="S5041" i="7"/>
  <c r="AA5040" i="7"/>
  <c r="AA5036" i="7"/>
  <c r="AA5035" i="7"/>
  <c r="AA5034" i="7"/>
  <c r="AA5033" i="7"/>
  <c r="AA5032" i="7"/>
  <c r="AA5031" i="7"/>
  <c r="AA5030" i="7"/>
  <c r="Z5029" i="7"/>
  <c r="Y5029" i="7"/>
  <c r="X5029" i="7"/>
  <c r="W5029" i="7"/>
  <c r="V5029" i="7"/>
  <c r="U5029" i="7"/>
  <c r="T5029" i="7"/>
  <c r="S5029" i="7"/>
  <c r="R5029" i="7"/>
  <c r="Q5029" i="7"/>
  <c r="P5029" i="7"/>
  <c r="O5029" i="7"/>
  <c r="AA5028" i="7"/>
  <c r="AA5027" i="7"/>
  <c r="AA5026" i="7"/>
  <c r="AA5025" i="7"/>
  <c r="AA5024" i="7"/>
  <c r="AA5023" i="7"/>
  <c r="AA5022" i="7"/>
  <c r="AA5021" i="7"/>
  <c r="AA5020" i="7"/>
  <c r="AA5019" i="7"/>
  <c r="AA5018" i="7"/>
  <c r="Z5017" i="7"/>
  <c r="Y5017" i="7"/>
  <c r="X5017" i="7"/>
  <c r="W5017" i="7"/>
  <c r="V5017" i="7"/>
  <c r="U5017" i="7"/>
  <c r="T5017" i="7"/>
  <c r="S5017" i="7"/>
  <c r="R5017" i="7"/>
  <c r="Q5017" i="7"/>
  <c r="P5017" i="7"/>
  <c r="O5017" i="7"/>
  <c r="AA5016" i="7"/>
  <c r="AA5012" i="7"/>
  <c r="AA5011" i="7"/>
  <c r="AA5010" i="7"/>
  <c r="AA5009" i="7"/>
  <c r="AA5008" i="7"/>
  <c r="AA5007" i="7"/>
  <c r="AA5006" i="7"/>
  <c r="Z5005" i="7"/>
  <c r="Y5005" i="7"/>
  <c r="X5005" i="7"/>
  <c r="W5005" i="7"/>
  <c r="V5005" i="7"/>
  <c r="U5005" i="7"/>
  <c r="T5005" i="7"/>
  <c r="S5005" i="7"/>
  <c r="R5005" i="7"/>
  <c r="Q5005" i="7"/>
  <c r="P5005" i="7"/>
  <c r="O5005" i="7"/>
  <c r="AA5004" i="7"/>
  <c r="AA5003" i="7"/>
  <c r="AA5002" i="7"/>
  <c r="AA5001" i="7"/>
  <c r="AA5000" i="7"/>
  <c r="AA4999" i="7"/>
  <c r="AA4998" i="7"/>
  <c r="AA4997" i="7"/>
  <c r="AA4996" i="7"/>
  <c r="AA4995" i="7"/>
  <c r="AA4994" i="7"/>
  <c r="Z4993" i="7"/>
  <c r="Y4993" i="7"/>
  <c r="X4993" i="7"/>
  <c r="W4993" i="7"/>
  <c r="V4993" i="7"/>
  <c r="U4993" i="7"/>
  <c r="T4993" i="7"/>
  <c r="S4993" i="7"/>
  <c r="R4993" i="7"/>
  <c r="Q4993" i="7"/>
  <c r="P4993" i="7"/>
  <c r="O4993" i="7"/>
  <c r="AA4992" i="7"/>
  <c r="AA4991" i="7"/>
  <c r="AA4990" i="7"/>
  <c r="AA4989" i="7"/>
  <c r="AA4988" i="7"/>
  <c r="AA4987" i="7"/>
  <c r="AA4986" i="7"/>
  <c r="AA4985" i="7"/>
  <c r="AA4984" i="7"/>
  <c r="AA4983" i="7"/>
  <c r="AA4982" i="7"/>
  <c r="Z4981" i="7"/>
  <c r="Y4981" i="7"/>
  <c r="X4981" i="7"/>
  <c r="W4981" i="7"/>
  <c r="V4981" i="7"/>
  <c r="U4981" i="7"/>
  <c r="T4981" i="7"/>
  <c r="S4981" i="7"/>
  <c r="R4981" i="7"/>
  <c r="Q4981" i="7"/>
  <c r="P4981" i="7"/>
  <c r="O4981" i="7"/>
  <c r="AA4980" i="7"/>
  <c r="AA4979" i="7"/>
  <c r="AA4978" i="7"/>
  <c r="AA4977" i="7"/>
  <c r="AA4976" i="7"/>
  <c r="AA4975" i="7"/>
  <c r="AA4974" i="7"/>
  <c r="AA4973" i="7"/>
  <c r="Z4972" i="7"/>
  <c r="Y4972" i="7"/>
  <c r="X4972" i="7"/>
  <c r="W4972" i="7"/>
  <c r="V4972" i="7"/>
  <c r="U4972" i="7"/>
  <c r="T4972" i="7"/>
  <c r="S4972" i="7"/>
  <c r="R4972" i="7"/>
  <c r="Q4972" i="7"/>
  <c r="P4972" i="7"/>
  <c r="O4972" i="7"/>
  <c r="AA4971" i="7"/>
  <c r="AA4959" i="7"/>
  <c r="AA4958" i="7"/>
  <c r="AA4957" i="7"/>
  <c r="AA4956" i="7"/>
  <c r="AA4955" i="7"/>
  <c r="AA4954" i="7"/>
  <c r="AA4953" i="7"/>
  <c r="Z4952" i="7"/>
  <c r="Y4952" i="7"/>
  <c r="X4952" i="7"/>
  <c r="W4952" i="7"/>
  <c r="V4952" i="7"/>
  <c r="U4952" i="7"/>
  <c r="T4952" i="7"/>
  <c r="S4952" i="7"/>
  <c r="R4952" i="7"/>
  <c r="Q4952" i="7"/>
  <c r="P4952" i="7"/>
  <c r="O4952" i="7"/>
  <c r="AA4951" i="7"/>
  <c r="J4951" i="7"/>
  <c r="AA4950" i="7"/>
  <c r="AA4949" i="7"/>
  <c r="AA4948" i="7"/>
  <c r="AA4947" i="7"/>
  <c r="AA4946" i="7"/>
  <c r="AA4945" i="7"/>
  <c r="Z4944" i="7"/>
  <c r="Y4944" i="7"/>
  <c r="X4944" i="7"/>
  <c r="W4944" i="7"/>
  <c r="V4944" i="7"/>
  <c r="U4944" i="7"/>
  <c r="T4944" i="7"/>
  <c r="S4944" i="7"/>
  <c r="R4944" i="7"/>
  <c r="Q4944" i="7"/>
  <c r="P4944" i="7"/>
  <c r="O4944" i="7"/>
  <c r="AA4943" i="7"/>
  <c r="AA4942" i="7"/>
  <c r="AA4941" i="7"/>
  <c r="AA4940" i="7"/>
  <c r="AA4939" i="7"/>
  <c r="AA4938" i="7"/>
  <c r="AA4937" i="7"/>
  <c r="AA4936" i="7"/>
  <c r="Z4935" i="7"/>
  <c r="Y4935" i="7"/>
  <c r="X4935" i="7"/>
  <c r="W4935" i="7"/>
  <c r="V4935" i="7"/>
  <c r="U4935" i="7"/>
  <c r="T4935" i="7"/>
  <c r="S4935" i="7"/>
  <c r="R4935" i="7"/>
  <c r="Q4935" i="7"/>
  <c r="P4935" i="7"/>
  <c r="O4935" i="7"/>
  <c r="AA4934" i="7"/>
  <c r="AA4933" i="7"/>
  <c r="AA4932" i="7"/>
  <c r="AA4931" i="7"/>
  <c r="AA4930" i="7"/>
  <c r="AA4929" i="7"/>
  <c r="AA4928" i="7"/>
  <c r="Z4927" i="7"/>
  <c r="Y4927" i="7"/>
  <c r="X4927" i="7"/>
  <c r="W4927" i="7"/>
  <c r="V4927" i="7"/>
  <c r="U4927" i="7"/>
  <c r="T4927" i="7"/>
  <c r="S4927" i="7"/>
  <c r="R4927" i="7"/>
  <c r="Q4927" i="7"/>
  <c r="P4927" i="7"/>
  <c r="O4927" i="7"/>
  <c r="AA4926" i="7"/>
  <c r="AA4925" i="7"/>
  <c r="AA4924" i="7"/>
  <c r="AA4923" i="7"/>
  <c r="AA4922" i="7"/>
  <c r="AA4921" i="7"/>
  <c r="AA4920" i="7"/>
  <c r="AA4907" i="7"/>
  <c r="AA4906" i="7"/>
  <c r="AA4905" i="7"/>
  <c r="AA4904" i="7"/>
  <c r="AA4903" i="7"/>
  <c r="AA4902" i="7"/>
  <c r="AA4901" i="7"/>
  <c r="AA4900" i="7"/>
  <c r="AA4899" i="7"/>
  <c r="AA4898" i="7"/>
  <c r="AA4897" i="7"/>
  <c r="Z4896" i="7"/>
  <c r="Y4896" i="7"/>
  <c r="X4896" i="7"/>
  <c r="W4896" i="7"/>
  <c r="V4896" i="7"/>
  <c r="U4896" i="7"/>
  <c r="T4896" i="7"/>
  <c r="S4896" i="7"/>
  <c r="R4896" i="7"/>
  <c r="Q4896" i="7"/>
  <c r="P4896" i="7"/>
  <c r="O4896" i="7"/>
  <c r="AA4895" i="7"/>
  <c r="J4895" i="7" s="1"/>
  <c r="AA4882" i="7"/>
  <c r="K4882" i="7" s="1"/>
  <c r="AA4881" i="7"/>
  <c r="Z4880" i="7"/>
  <c r="Y4880" i="7"/>
  <c r="X4880" i="7"/>
  <c r="W4880" i="7"/>
  <c r="V4880" i="7"/>
  <c r="U4880" i="7"/>
  <c r="T4880" i="7"/>
  <c r="S4880" i="7"/>
  <c r="R4880" i="7"/>
  <c r="Q4880" i="7"/>
  <c r="P4880" i="7"/>
  <c r="O4880" i="7"/>
  <c r="AA4878" i="7"/>
  <c r="AA4877" i="7"/>
  <c r="Z4876" i="7"/>
  <c r="Y4876" i="7"/>
  <c r="X4876" i="7"/>
  <c r="W4876" i="7"/>
  <c r="V4876" i="7"/>
  <c r="U4876" i="7"/>
  <c r="T4876" i="7"/>
  <c r="S4876" i="7"/>
  <c r="R4876" i="7"/>
  <c r="Q4876" i="7"/>
  <c r="O4876" i="7"/>
  <c r="AA4873" i="7"/>
  <c r="AA4872" i="7" s="1"/>
  <c r="K4871" i="7" s="1"/>
  <c r="Z4872" i="7"/>
  <c r="Y4872" i="7"/>
  <c r="W4872" i="7"/>
  <c r="V4872" i="7"/>
  <c r="U4872" i="7"/>
  <c r="S4872" i="7"/>
  <c r="R4872" i="7"/>
  <c r="Q4872" i="7"/>
  <c r="O4872" i="7"/>
  <c r="AA4870" i="7"/>
  <c r="AA4869" i="7"/>
  <c r="AA4868" i="7"/>
  <c r="AA4867" i="7"/>
  <c r="AA4866" i="7"/>
  <c r="Y4865" i="7"/>
  <c r="X4865" i="7"/>
  <c r="W4865" i="7"/>
  <c r="V4865" i="7"/>
  <c r="U4865" i="7"/>
  <c r="T4865" i="7"/>
  <c r="S4865" i="7"/>
  <c r="R4865" i="7"/>
  <c r="Q4865" i="7"/>
  <c r="P4865" i="7"/>
  <c r="O4865" i="7"/>
  <c r="AA4864" i="7"/>
  <c r="AA4863" i="7"/>
  <c r="AA4862" i="7"/>
  <c r="AA4861" i="7"/>
  <c r="Z4860" i="7"/>
  <c r="X4860" i="7"/>
  <c r="W4860" i="7"/>
  <c r="V4860" i="7"/>
  <c r="U4860" i="7"/>
  <c r="T4860" i="7"/>
  <c r="S4860" i="7"/>
  <c r="R4860" i="7"/>
  <c r="Q4860" i="7"/>
  <c r="P4860" i="7"/>
  <c r="O4860" i="7"/>
  <c r="AA4858" i="7"/>
  <c r="Z4857" i="7"/>
  <c r="W4857" i="7"/>
  <c r="U4857" i="7"/>
  <c r="S4857" i="7"/>
  <c r="R4857" i="7"/>
  <c r="Q4857" i="7"/>
  <c r="O4857" i="7"/>
  <c r="AA4856" i="7"/>
  <c r="AA4855" i="7"/>
  <c r="AA4854" i="7"/>
  <c r="AA4853" i="7"/>
  <c r="AA4852" i="7"/>
  <c r="Z4851" i="7"/>
  <c r="Y4851" i="7"/>
  <c r="W4851" i="7"/>
  <c r="V4851" i="7"/>
  <c r="U4851" i="7"/>
  <c r="T4851" i="7"/>
  <c r="R4851" i="7"/>
  <c r="Q4851" i="7"/>
  <c r="P4851" i="7"/>
  <c r="O4851" i="7"/>
  <c r="AA4849" i="7"/>
  <c r="AA4848" i="7"/>
  <c r="Z4847" i="7"/>
  <c r="Y4847" i="7"/>
  <c r="X4847" i="7"/>
  <c r="W4847" i="7"/>
  <c r="V4847" i="7"/>
  <c r="U4847" i="7"/>
  <c r="T4847" i="7"/>
  <c r="S4847" i="7"/>
  <c r="R4847" i="7"/>
  <c r="Q4847" i="7"/>
  <c r="P4847" i="7"/>
  <c r="AA4845" i="7"/>
  <c r="AA4844" i="7" s="1"/>
  <c r="Z4844" i="7"/>
  <c r="Y4844" i="7"/>
  <c r="X4844" i="7"/>
  <c r="W4844" i="7"/>
  <c r="V4844" i="7"/>
  <c r="U4844" i="7"/>
  <c r="T4844" i="7"/>
  <c r="S4844" i="7"/>
  <c r="Q4844" i="7"/>
  <c r="O4844" i="7"/>
  <c r="AA4843" i="7"/>
  <c r="AA4842" i="7"/>
  <c r="AA4841" i="7"/>
  <c r="AA4840" i="7"/>
  <c r="AA4839" i="7"/>
  <c r="AA4838" i="7"/>
  <c r="Z4837" i="7"/>
  <c r="Y4837" i="7"/>
  <c r="X4837" i="7"/>
  <c r="W4837" i="7"/>
  <c r="V4837" i="7"/>
  <c r="U4837" i="7"/>
  <c r="T4837" i="7"/>
  <c r="S4837" i="7"/>
  <c r="R4837" i="7"/>
  <c r="Q4837" i="7"/>
  <c r="P4837" i="7"/>
  <c r="AA4835" i="7"/>
  <c r="AA4834" i="7"/>
  <c r="AA4833" i="7"/>
  <c r="AA4832" i="7"/>
  <c r="AA4831" i="7"/>
  <c r="AA4830" i="7"/>
  <c r="Z4829" i="7"/>
  <c r="Y4829" i="7"/>
  <c r="X4829" i="7"/>
  <c r="V4829" i="7"/>
  <c r="U4829" i="7"/>
  <c r="T4829" i="7"/>
  <c r="S4829" i="7"/>
  <c r="J4827" i="7"/>
  <c r="AA4813" i="7"/>
  <c r="K4811" i="7" s="1"/>
  <c r="Z4812" i="7"/>
  <c r="Y4812" i="7"/>
  <c r="X4812" i="7"/>
  <c r="W4812" i="7"/>
  <c r="V4812" i="7"/>
  <c r="U4812" i="7"/>
  <c r="T4812" i="7"/>
  <c r="R4812" i="7"/>
  <c r="Q4812" i="7"/>
  <c r="O4812" i="7"/>
  <c r="AA4811" i="7"/>
  <c r="J4811" i="7" s="1"/>
  <c r="J4762" i="7" s="1"/>
  <c r="AA4810" i="7"/>
  <c r="K4808" i="7" s="1"/>
  <c r="Z4809" i="7"/>
  <c r="Y4809" i="7"/>
  <c r="X4809" i="7"/>
  <c r="W4809" i="7"/>
  <c r="V4809" i="7"/>
  <c r="U4809" i="7"/>
  <c r="T4809" i="7"/>
  <c r="S4809" i="7"/>
  <c r="R4809" i="7"/>
  <c r="P4809" i="7"/>
  <c r="O4809" i="7"/>
  <c r="AA4808" i="7"/>
  <c r="AA4807" i="7"/>
  <c r="Y4806" i="7"/>
  <c r="X4806" i="7"/>
  <c r="W4806" i="7"/>
  <c r="V4806" i="7"/>
  <c r="U4806" i="7"/>
  <c r="T4806" i="7"/>
  <c r="R4806" i="7"/>
  <c r="P4806" i="7"/>
  <c r="O4806" i="7"/>
  <c r="AA4805" i="7"/>
  <c r="AA4804" i="7"/>
  <c r="K4802" i="7" s="1"/>
  <c r="Z4803" i="7"/>
  <c r="Y4803" i="7"/>
  <c r="X4803" i="7"/>
  <c r="W4803" i="7"/>
  <c r="V4803" i="7"/>
  <c r="U4803" i="7"/>
  <c r="T4803" i="7"/>
  <c r="S4803" i="7"/>
  <c r="R4803" i="7"/>
  <c r="Q4803" i="7"/>
  <c r="P4803" i="7"/>
  <c r="AA4802" i="7"/>
  <c r="AA4801" i="7"/>
  <c r="AA4800" i="7"/>
  <c r="Z4799" i="7"/>
  <c r="Y4799" i="7"/>
  <c r="X4799" i="7"/>
  <c r="W4799" i="7"/>
  <c r="V4799" i="7"/>
  <c r="U4799" i="7"/>
  <c r="T4799" i="7"/>
  <c r="S4799" i="7"/>
  <c r="R4799" i="7"/>
  <c r="Q4799" i="7"/>
  <c r="O4799" i="7"/>
  <c r="AA4797" i="7"/>
  <c r="AA4796" i="7"/>
  <c r="AA4795" i="7"/>
  <c r="AA4794" i="7"/>
  <c r="Z4793" i="7"/>
  <c r="Y4793" i="7"/>
  <c r="X4793" i="7"/>
  <c r="W4793" i="7"/>
  <c r="V4793" i="7"/>
  <c r="U4793" i="7"/>
  <c r="T4793" i="7"/>
  <c r="AA4792" i="7"/>
  <c r="AA4791" i="7"/>
  <c r="AA4790" i="7"/>
  <c r="Z4789" i="7"/>
  <c r="Y4789" i="7"/>
  <c r="V4789" i="7"/>
  <c r="U4789" i="7"/>
  <c r="T4789" i="7"/>
  <c r="Q4789" i="7"/>
  <c r="P4789" i="7"/>
  <c r="O4789" i="7"/>
  <c r="AA4788" i="7"/>
  <c r="AA4787" i="7"/>
  <c r="O4786" i="7"/>
  <c r="AA4786" i="7" s="1"/>
  <c r="AA4785" i="7"/>
  <c r="Z4784" i="7"/>
  <c r="Y4784" i="7"/>
  <c r="W4784" i="7"/>
  <c r="V4784" i="7"/>
  <c r="U4784" i="7"/>
  <c r="T4784" i="7"/>
  <c r="S4784" i="7"/>
  <c r="R4784" i="7"/>
  <c r="P4784" i="7"/>
  <c r="AA4783" i="7"/>
  <c r="AA4782" i="7"/>
  <c r="AA4781" i="7"/>
  <c r="Z4780" i="7"/>
  <c r="Y4780" i="7"/>
  <c r="X4780" i="7"/>
  <c r="W4780" i="7"/>
  <c r="V4780" i="7"/>
  <c r="U4780" i="7"/>
  <c r="T4780" i="7"/>
  <c r="S4780" i="7"/>
  <c r="P4780" i="7"/>
  <c r="O4780" i="7"/>
  <c r="AA4779" i="7"/>
  <c r="AA4778" i="7"/>
  <c r="Z4777" i="7"/>
  <c r="X4777" i="7"/>
  <c r="W4777" i="7"/>
  <c r="V4777" i="7"/>
  <c r="U4777" i="7"/>
  <c r="T4777" i="7"/>
  <c r="R4777" i="7"/>
  <c r="Q4777" i="7"/>
  <c r="O4777" i="7"/>
  <c r="AA4776" i="7"/>
  <c r="AA4775" i="7"/>
  <c r="AA4774" i="7"/>
  <c r="AA4773" i="7"/>
  <c r="S4772" i="7"/>
  <c r="AA4772" i="7" s="1"/>
  <c r="AA4771" i="7"/>
  <c r="Z4770" i="7"/>
  <c r="X4770" i="7"/>
  <c r="W4770" i="7"/>
  <c r="V4770" i="7"/>
  <c r="U4770" i="7"/>
  <c r="T4770" i="7"/>
  <c r="R4770" i="7"/>
  <c r="Q4770" i="7"/>
  <c r="P4770" i="7"/>
  <c r="O4770" i="7"/>
  <c r="AA4769" i="7"/>
  <c r="AA4768" i="7"/>
  <c r="O4766" i="7"/>
  <c r="AA4766" i="7" s="1"/>
  <c r="AA4765" i="7"/>
  <c r="Z4764" i="7"/>
  <c r="Y4764" i="7"/>
  <c r="X4764" i="7"/>
  <c r="W4764" i="7"/>
  <c r="V4764" i="7"/>
  <c r="U4764" i="7"/>
  <c r="T4764" i="7"/>
  <c r="S4764" i="7"/>
  <c r="R4764" i="7"/>
  <c r="Q4764" i="7"/>
  <c r="P4764" i="7"/>
  <c r="AA4763" i="7"/>
  <c r="AA4753" i="7"/>
  <c r="AA4752" i="7"/>
  <c r="Z4751" i="7"/>
  <c r="Y4751" i="7"/>
  <c r="X4751" i="7"/>
  <c r="W4751" i="7"/>
  <c r="V4751" i="7"/>
  <c r="U4751" i="7"/>
  <c r="T4751" i="7"/>
  <c r="S4751" i="7"/>
  <c r="R4751" i="7"/>
  <c r="Q4751" i="7"/>
  <c r="P4751" i="7"/>
  <c r="O4751" i="7"/>
  <c r="AA4750" i="7"/>
  <c r="AA4749" i="7"/>
  <c r="AA4748" i="7"/>
  <c r="Z4747" i="7"/>
  <c r="Y4747" i="7"/>
  <c r="X4747" i="7"/>
  <c r="W4747" i="7"/>
  <c r="V4747" i="7"/>
  <c r="U4747" i="7"/>
  <c r="T4747" i="7"/>
  <c r="R4747" i="7"/>
  <c r="Q4747" i="7"/>
  <c r="P4747" i="7"/>
  <c r="AA4746" i="7"/>
  <c r="AA4745" i="7"/>
  <c r="AA4744" i="7"/>
  <c r="Z4743" i="7"/>
  <c r="Y4743" i="7"/>
  <c r="X4743" i="7"/>
  <c r="W4743" i="7"/>
  <c r="V4743" i="7"/>
  <c r="U4743" i="7"/>
  <c r="T4743" i="7"/>
  <c r="S4743" i="7"/>
  <c r="P4743" i="7"/>
  <c r="O4743" i="7"/>
  <c r="AA4741" i="7"/>
  <c r="AA4740" i="7"/>
  <c r="Y4739" i="7"/>
  <c r="X4739" i="7"/>
  <c r="W4739" i="7"/>
  <c r="U4739" i="7"/>
  <c r="T4739" i="7"/>
  <c r="S4739" i="7"/>
  <c r="Q4739" i="7"/>
  <c r="P4739" i="7"/>
  <c r="O4739" i="7"/>
  <c r="AA4737" i="7"/>
  <c r="AA4736" i="7"/>
  <c r="Z4735" i="7"/>
  <c r="Y4735" i="7"/>
  <c r="X4735" i="7"/>
  <c r="W4735" i="7"/>
  <c r="V4735" i="7"/>
  <c r="U4735" i="7"/>
  <c r="T4735" i="7"/>
  <c r="S4735" i="7"/>
  <c r="R4735" i="7"/>
  <c r="Q4735" i="7"/>
  <c r="P4735" i="7"/>
  <c r="O4735" i="7"/>
  <c r="AA4733" i="7"/>
  <c r="AA4732" i="7"/>
  <c r="AA4731" i="7"/>
  <c r="AA4730" i="7"/>
  <c r="AA4729" i="7"/>
  <c r="Z4728" i="7"/>
  <c r="Y4728" i="7"/>
  <c r="X4728" i="7"/>
  <c r="W4728" i="7"/>
  <c r="V4728" i="7"/>
  <c r="T4728" i="7"/>
  <c r="S4728" i="7"/>
  <c r="R4728" i="7"/>
  <c r="Q4728" i="7"/>
  <c r="P4728" i="7"/>
  <c r="AA4726" i="7"/>
  <c r="AA4725" i="7"/>
  <c r="AA4724" i="7"/>
  <c r="Z4723" i="7"/>
  <c r="Y4723" i="7"/>
  <c r="X4723" i="7"/>
  <c r="W4723" i="7"/>
  <c r="V4723" i="7"/>
  <c r="U4723" i="7"/>
  <c r="T4723" i="7"/>
  <c r="S4723" i="7"/>
  <c r="R4723" i="7"/>
  <c r="Q4723" i="7"/>
  <c r="P4723" i="7"/>
  <c r="O4723" i="7"/>
  <c r="AA4721" i="7"/>
  <c r="AA4720" i="7" s="1"/>
  <c r="Z4720" i="7"/>
  <c r="Y4720" i="7"/>
  <c r="X4720" i="7"/>
  <c r="W4720" i="7"/>
  <c r="V4720" i="7"/>
  <c r="U4720" i="7"/>
  <c r="T4720" i="7"/>
  <c r="S4720" i="7"/>
  <c r="R4720" i="7"/>
  <c r="Q4720" i="7"/>
  <c r="P4720" i="7"/>
  <c r="O4720" i="7"/>
  <c r="AA4718" i="7"/>
  <c r="AA4717" i="7" s="1"/>
  <c r="K4716" i="7" s="1"/>
  <c r="Z4717" i="7"/>
  <c r="Y4717" i="7"/>
  <c r="X4717" i="7"/>
  <c r="W4717" i="7"/>
  <c r="V4717" i="7"/>
  <c r="U4717" i="7"/>
  <c r="T4717" i="7"/>
  <c r="S4717" i="7"/>
  <c r="R4717" i="7"/>
  <c r="Q4717" i="7"/>
  <c r="P4717" i="7"/>
  <c r="O4717" i="7"/>
  <c r="AA4715" i="7"/>
  <c r="AA4714" i="7"/>
  <c r="AA4713" i="7"/>
  <c r="Z4712" i="7"/>
  <c r="Y4712" i="7"/>
  <c r="X4712" i="7"/>
  <c r="W4712" i="7"/>
  <c r="V4712" i="7"/>
  <c r="U4712" i="7"/>
  <c r="T4712" i="7"/>
  <c r="S4712" i="7"/>
  <c r="R4712" i="7"/>
  <c r="Q4712" i="7"/>
  <c r="P4712" i="7"/>
  <c r="O4712" i="7"/>
  <c r="AA4711" i="7"/>
  <c r="AA4710" i="7"/>
  <c r="AA4709" i="7"/>
  <c r="Z4708" i="7"/>
  <c r="Y4708" i="7"/>
  <c r="X4708" i="7"/>
  <c r="W4708" i="7"/>
  <c r="V4708" i="7"/>
  <c r="U4708" i="7"/>
  <c r="T4708" i="7"/>
  <c r="S4708" i="7"/>
  <c r="R4708" i="7"/>
  <c r="Q4708" i="7"/>
  <c r="P4708" i="7"/>
  <c r="O4708" i="7"/>
  <c r="AA4706" i="7"/>
  <c r="AA4705" i="7"/>
  <c r="K4704" i="7" s="1"/>
  <c r="AA4704" i="7"/>
  <c r="AA4703" i="7"/>
  <c r="AA4702" i="7"/>
  <c r="Z4701" i="7"/>
  <c r="Y4701" i="7"/>
  <c r="X4701" i="7"/>
  <c r="W4701" i="7"/>
  <c r="V4701" i="7"/>
  <c r="U4701" i="7"/>
  <c r="T4701" i="7"/>
  <c r="S4701" i="7"/>
  <c r="R4701" i="7"/>
  <c r="Q4701" i="7"/>
  <c r="P4701" i="7"/>
  <c r="O4701" i="7"/>
  <c r="AA4700" i="7"/>
  <c r="AA4699" i="7"/>
  <c r="AA4698" i="7"/>
  <c r="AA4697" i="7"/>
  <c r="AA4696" i="7"/>
  <c r="Z4695" i="7"/>
  <c r="Y4695" i="7"/>
  <c r="X4695" i="7"/>
  <c r="W4695" i="7"/>
  <c r="V4695" i="7"/>
  <c r="U4695" i="7"/>
  <c r="T4695" i="7"/>
  <c r="S4695" i="7"/>
  <c r="R4695" i="7"/>
  <c r="Q4695" i="7"/>
  <c r="O4695" i="7"/>
  <c r="AA4693" i="7"/>
  <c r="AA4692" i="7"/>
  <c r="Z4691" i="7"/>
  <c r="Y4691" i="7"/>
  <c r="X4691" i="7"/>
  <c r="W4691" i="7"/>
  <c r="V4691" i="7"/>
  <c r="U4691" i="7"/>
  <c r="T4691" i="7"/>
  <c r="S4691" i="7"/>
  <c r="R4691" i="7"/>
  <c r="Q4691" i="7"/>
  <c r="P4691" i="7"/>
  <c r="O4691" i="7"/>
  <c r="AA4689" i="7"/>
  <c r="AA4688" i="7" s="1"/>
  <c r="K4687" i="7" s="1"/>
  <c r="Z4688" i="7"/>
  <c r="Y4688" i="7"/>
  <c r="X4688" i="7"/>
  <c r="U4688" i="7"/>
  <c r="R4688" i="7"/>
  <c r="Q4688" i="7"/>
  <c r="P4688" i="7"/>
  <c r="O4688" i="7"/>
  <c r="AA4686" i="7"/>
  <c r="AA4685" i="7" s="1"/>
  <c r="K4684" i="7" s="1"/>
  <c r="Z4685" i="7"/>
  <c r="Y4685" i="7"/>
  <c r="X4685" i="7"/>
  <c r="W4685" i="7"/>
  <c r="V4685" i="7"/>
  <c r="U4685" i="7"/>
  <c r="T4685" i="7"/>
  <c r="S4685" i="7"/>
  <c r="R4685" i="7"/>
  <c r="Q4685" i="7"/>
  <c r="P4685" i="7"/>
  <c r="O4685" i="7"/>
  <c r="AA4683" i="7"/>
  <c r="AA4682" i="7"/>
  <c r="AA4681" i="7"/>
  <c r="AA4680" i="7"/>
  <c r="AA4679" i="7"/>
  <c r="Z4678" i="7"/>
  <c r="Y4678" i="7"/>
  <c r="X4678" i="7"/>
  <c r="W4678" i="7"/>
  <c r="U4678" i="7"/>
  <c r="T4678" i="7"/>
  <c r="S4678" i="7"/>
  <c r="R4678" i="7"/>
  <c r="Q4678" i="7"/>
  <c r="P4678" i="7"/>
  <c r="O4678" i="7"/>
  <c r="AA4676" i="7"/>
  <c r="AA4675" i="7"/>
  <c r="AA4674" i="7"/>
  <c r="AA4673" i="7"/>
  <c r="Z4672" i="7"/>
  <c r="Y4672" i="7"/>
  <c r="X4672" i="7"/>
  <c r="W4672" i="7"/>
  <c r="V4672" i="7"/>
  <c r="U4672" i="7"/>
  <c r="T4672" i="7"/>
  <c r="S4672" i="7"/>
  <c r="R4672" i="7"/>
  <c r="Q4672" i="7"/>
  <c r="P4672" i="7"/>
  <c r="O4672" i="7"/>
  <c r="AA4671" i="7"/>
  <c r="AA4670" i="7"/>
  <c r="AA4669" i="7"/>
  <c r="AA4668" i="7"/>
  <c r="AA4667" i="7"/>
  <c r="AA4666" i="7"/>
  <c r="Z4665" i="7"/>
  <c r="Y4665" i="7"/>
  <c r="X4665" i="7"/>
  <c r="W4665" i="7"/>
  <c r="V4665" i="7"/>
  <c r="U4665" i="7"/>
  <c r="S4665" i="7"/>
  <c r="R4665" i="7"/>
  <c r="Q4665" i="7"/>
  <c r="P4665" i="7"/>
  <c r="J4663" i="7"/>
  <c r="AA4650" i="7"/>
  <c r="AA4649" i="7"/>
  <c r="Z4648" i="7"/>
  <c r="Y4648" i="7"/>
  <c r="X4648" i="7"/>
  <c r="W4648" i="7"/>
  <c r="V4648" i="7"/>
  <c r="U4648" i="7"/>
  <c r="T4648" i="7"/>
  <c r="S4648" i="7"/>
  <c r="R4648" i="7"/>
  <c r="Q4648" i="7"/>
  <c r="P4648" i="7"/>
  <c r="O4648" i="7"/>
  <c r="AA4647" i="7"/>
  <c r="L4647" i="7"/>
  <c r="L4650" i="7" s="1"/>
  <c r="AA4646" i="7"/>
  <c r="Z4645" i="7"/>
  <c r="Y4645" i="7"/>
  <c r="X4645" i="7"/>
  <c r="V4645" i="7"/>
  <c r="U4645" i="7"/>
  <c r="T4645" i="7"/>
  <c r="S4645" i="7"/>
  <c r="R4645" i="7"/>
  <c r="Q4645" i="7"/>
  <c r="P4645" i="7"/>
  <c r="O4645" i="7"/>
  <c r="AA4644" i="7"/>
  <c r="AA4643" i="7"/>
  <c r="Z4642" i="7"/>
  <c r="X4642" i="7"/>
  <c r="W4642" i="7"/>
  <c r="V4642" i="7"/>
  <c r="T4642" i="7"/>
  <c r="S4642" i="7"/>
  <c r="R4642" i="7"/>
  <c r="P4642" i="7"/>
  <c r="O4642" i="7"/>
  <c r="AA4641" i="7"/>
  <c r="AA4640" i="7"/>
  <c r="K4638" i="7" s="1"/>
  <c r="Z4639" i="7"/>
  <c r="Y4639" i="7"/>
  <c r="X4639" i="7"/>
  <c r="W4639" i="7"/>
  <c r="V4639" i="7"/>
  <c r="T4639" i="7"/>
  <c r="S4639" i="7"/>
  <c r="R4639" i="7"/>
  <c r="Q4639" i="7"/>
  <c r="P4639" i="7"/>
  <c r="O4639" i="7"/>
  <c r="AA4638" i="7"/>
  <c r="AA4637" i="7"/>
  <c r="Y4636" i="7"/>
  <c r="X4636" i="7"/>
  <c r="V4636" i="7"/>
  <c r="U4636" i="7"/>
  <c r="T4636" i="7"/>
  <c r="S4636" i="7"/>
  <c r="R4636" i="7"/>
  <c r="P4636" i="7"/>
  <c r="O4636" i="7"/>
  <c r="AA4635" i="7"/>
  <c r="AA4634" i="7"/>
  <c r="K4632" i="7" s="1"/>
  <c r="Y4633" i="7"/>
  <c r="X4633" i="7"/>
  <c r="W4633" i="7"/>
  <c r="V4633" i="7"/>
  <c r="T4633" i="7"/>
  <c r="S4633" i="7"/>
  <c r="R4633" i="7"/>
  <c r="Q4633" i="7"/>
  <c r="P4633" i="7"/>
  <c r="AA4632" i="7"/>
  <c r="I4632" i="7"/>
  <c r="H4632" i="7"/>
  <c r="AA4631" i="7"/>
  <c r="Z4630" i="7"/>
  <c r="Y4630" i="7"/>
  <c r="X4630" i="7"/>
  <c r="W4630" i="7"/>
  <c r="V4630" i="7"/>
  <c r="U4630" i="7"/>
  <c r="T4630" i="7"/>
  <c r="S4630" i="7"/>
  <c r="R4630" i="7"/>
  <c r="Q4630" i="7"/>
  <c r="P4630" i="7"/>
  <c r="O4630" i="7"/>
  <c r="AA4629" i="7"/>
  <c r="AA4628" i="7"/>
  <c r="AA4627" i="7"/>
  <c r="Y4626" i="7"/>
  <c r="X4626" i="7"/>
  <c r="W4626" i="7"/>
  <c r="V4626" i="7"/>
  <c r="T4626" i="7"/>
  <c r="S4626" i="7"/>
  <c r="R4626" i="7"/>
  <c r="Q4626" i="7"/>
  <c r="P4626" i="7"/>
  <c r="O4626" i="7"/>
  <c r="AA4625" i="7"/>
  <c r="AA4624" i="7"/>
  <c r="AA4623" i="7"/>
  <c r="AA4622" i="7"/>
  <c r="AA4621" i="7"/>
  <c r="S4620" i="7"/>
  <c r="R4620" i="7"/>
  <c r="Q4620" i="7"/>
  <c r="P4620" i="7"/>
  <c r="O4620" i="7"/>
  <c r="AA4619" i="7"/>
  <c r="AA4618" i="7"/>
  <c r="AA4617" i="7"/>
  <c r="Z4616" i="7"/>
  <c r="Y4616" i="7"/>
  <c r="V4616" i="7"/>
  <c r="U4616" i="7"/>
  <c r="T4616" i="7"/>
  <c r="S4616" i="7"/>
  <c r="Q4616" i="7"/>
  <c r="P4616" i="7"/>
  <c r="O4616" i="7"/>
  <c r="AA4614" i="7"/>
  <c r="AA4613" i="7"/>
  <c r="AA4612" i="7"/>
  <c r="Z4611" i="7"/>
  <c r="Y4611" i="7"/>
  <c r="X4611" i="7"/>
  <c r="W4611" i="7"/>
  <c r="V4611" i="7"/>
  <c r="U4611" i="7"/>
  <c r="T4611" i="7"/>
  <c r="S4611" i="7"/>
  <c r="R4611" i="7"/>
  <c r="Q4611" i="7"/>
  <c r="P4611" i="7"/>
  <c r="O4611" i="7"/>
  <c r="AA4610" i="7"/>
  <c r="AA4609" i="7"/>
  <c r="AA4607" i="7"/>
  <c r="Z4606" i="7"/>
  <c r="Y4606" i="7"/>
  <c r="X4606" i="7"/>
  <c r="W4606" i="7"/>
  <c r="V4606" i="7"/>
  <c r="U4606" i="7"/>
  <c r="T4606" i="7"/>
  <c r="S4606" i="7"/>
  <c r="R4606" i="7"/>
  <c r="Q4606" i="7"/>
  <c r="P4606" i="7"/>
  <c r="O4606" i="7"/>
  <c r="AA4604" i="7"/>
  <c r="AA4603" i="7"/>
  <c r="Z4602" i="7"/>
  <c r="Y4602" i="7"/>
  <c r="X4602" i="7"/>
  <c r="W4602" i="7"/>
  <c r="V4602" i="7"/>
  <c r="U4602" i="7"/>
  <c r="T4602" i="7"/>
  <c r="S4602" i="7"/>
  <c r="R4602" i="7"/>
  <c r="Q4602" i="7"/>
  <c r="AA4601" i="7"/>
  <c r="AA4600" i="7"/>
  <c r="Z4599" i="7"/>
  <c r="Y4599" i="7"/>
  <c r="X4599" i="7"/>
  <c r="W4599" i="7"/>
  <c r="V4599" i="7"/>
  <c r="U4599" i="7"/>
  <c r="T4599" i="7"/>
  <c r="S4599" i="7"/>
  <c r="R4599" i="7"/>
  <c r="Q4599" i="7"/>
  <c r="P4599" i="7"/>
  <c r="O4599" i="7"/>
  <c r="AA4598" i="7"/>
  <c r="AA4597" i="7"/>
  <c r="AA4596" i="7"/>
  <c r="AA4595" i="7"/>
  <c r="AA4594" i="7"/>
  <c r="AA4593" i="7"/>
  <c r="Z4592" i="7"/>
  <c r="Y4592" i="7"/>
  <c r="X4592" i="7"/>
  <c r="W4592" i="7"/>
  <c r="V4592" i="7"/>
  <c r="U4592" i="7"/>
  <c r="T4592" i="7"/>
  <c r="S4592" i="7"/>
  <c r="R4592" i="7"/>
  <c r="Q4592" i="7"/>
  <c r="P4592" i="7"/>
  <c r="O4592" i="7"/>
  <c r="AA4591" i="7"/>
  <c r="AA4590" i="7"/>
  <c r="AA4589" i="7"/>
  <c r="AA4588" i="7"/>
  <c r="AA4587" i="7"/>
  <c r="Z4586" i="7"/>
  <c r="Y4586" i="7"/>
  <c r="X4586" i="7"/>
  <c r="W4586" i="7"/>
  <c r="V4586" i="7"/>
  <c r="U4586" i="7"/>
  <c r="T4586" i="7"/>
  <c r="S4586" i="7"/>
  <c r="R4586" i="7"/>
  <c r="Q4586" i="7"/>
  <c r="P4586" i="7"/>
  <c r="O4586" i="7"/>
  <c r="J4584" i="7"/>
  <c r="AA4575" i="7"/>
  <c r="I4575" i="7"/>
  <c r="AA4574" i="7"/>
  <c r="Z4573" i="7"/>
  <c r="Y4573" i="7"/>
  <c r="X4573" i="7"/>
  <c r="W4573" i="7"/>
  <c r="V4573" i="7"/>
  <c r="U4573" i="7"/>
  <c r="T4573" i="7"/>
  <c r="S4573" i="7"/>
  <c r="R4573" i="7"/>
  <c r="Q4573" i="7"/>
  <c r="P4573" i="7"/>
  <c r="O4573" i="7"/>
  <c r="AA4571" i="7"/>
  <c r="AA4570" i="7"/>
  <c r="Z4569" i="7"/>
  <c r="Y4569" i="7"/>
  <c r="X4569" i="7"/>
  <c r="W4569" i="7"/>
  <c r="V4569" i="7"/>
  <c r="U4569" i="7"/>
  <c r="T4569" i="7"/>
  <c r="S4569" i="7"/>
  <c r="R4569" i="7"/>
  <c r="Q4569" i="7"/>
  <c r="P4569" i="7"/>
  <c r="O4569" i="7"/>
  <c r="AA4567" i="7"/>
  <c r="AA4566" i="7"/>
  <c r="Z4565" i="7"/>
  <c r="Y4565" i="7"/>
  <c r="X4565" i="7"/>
  <c r="W4565" i="7"/>
  <c r="V4565" i="7"/>
  <c r="U4565" i="7"/>
  <c r="T4565" i="7"/>
  <c r="S4565" i="7"/>
  <c r="R4565" i="7"/>
  <c r="Q4565" i="7"/>
  <c r="P4565" i="7"/>
  <c r="O4565" i="7"/>
  <c r="AA4563" i="7"/>
  <c r="AA4562" i="7"/>
  <c r="Z4561" i="7"/>
  <c r="Y4561" i="7"/>
  <c r="X4561" i="7"/>
  <c r="W4561" i="7"/>
  <c r="V4561" i="7"/>
  <c r="U4561" i="7"/>
  <c r="T4561" i="7"/>
  <c r="S4561" i="7"/>
  <c r="R4561" i="7"/>
  <c r="Q4561" i="7"/>
  <c r="P4561" i="7"/>
  <c r="O4561" i="7"/>
  <c r="J4560" i="7"/>
  <c r="AA4559" i="7"/>
  <c r="AA4558" i="7"/>
  <c r="Z4557" i="7"/>
  <c r="Y4557" i="7"/>
  <c r="X4557" i="7"/>
  <c r="W4557" i="7"/>
  <c r="V4557" i="7"/>
  <c r="U4557" i="7"/>
  <c r="T4557" i="7"/>
  <c r="S4557" i="7"/>
  <c r="R4557" i="7"/>
  <c r="Q4557" i="7"/>
  <c r="P4557" i="7"/>
  <c r="O4557" i="7"/>
  <c r="AA4555" i="7"/>
  <c r="AA4554" i="7"/>
  <c r="AA4553" i="7"/>
  <c r="AA4552" i="7"/>
  <c r="AA4551" i="7"/>
  <c r="Z4550" i="7"/>
  <c r="Y4550" i="7"/>
  <c r="X4550" i="7"/>
  <c r="W4550" i="7"/>
  <c r="V4550" i="7"/>
  <c r="U4550" i="7"/>
  <c r="T4550" i="7"/>
  <c r="S4550" i="7"/>
  <c r="R4550" i="7"/>
  <c r="Q4550" i="7"/>
  <c r="P4550" i="7"/>
  <c r="O4550" i="7"/>
  <c r="AA4549" i="7"/>
  <c r="AA4548" i="7"/>
  <c r="AA4547" i="7"/>
  <c r="AA4546" i="7"/>
  <c r="Z4545" i="7"/>
  <c r="Y4545" i="7"/>
  <c r="X4545" i="7"/>
  <c r="W4545" i="7"/>
  <c r="V4545" i="7"/>
  <c r="U4545" i="7"/>
  <c r="T4545" i="7"/>
  <c r="S4545" i="7"/>
  <c r="R4545" i="7"/>
  <c r="Q4545" i="7"/>
  <c r="P4545" i="7"/>
  <c r="O4545" i="7"/>
  <c r="AA4543" i="7"/>
  <c r="AA4542" i="7" s="1"/>
  <c r="K4541" i="7" s="1"/>
  <c r="Z4542" i="7"/>
  <c r="Y4542" i="7"/>
  <c r="X4542" i="7"/>
  <c r="W4542" i="7"/>
  <c r="V4542" i="7"/>
  <c r="U4542" i="7"/>
  <c r="T4542" i="7"/>
  <c r="S4542" i="7"/>
  <c r="R4542" i="7"/>
  <c r="Q4542" i="7"/>
  <c r="P4542" i="7"/>
  <c r="O4542" i="7"/>
  <c r="AA4540" i="7"/>
  <c r="AA4539" i="7" s="1"/>
  <c r="K4538" i="7" s="1"/>
  <c r="Z4539" i="7"/>
  <c r="Y4539" i="7"/>
  <c r="X4539" i="7"/>
  <c r="W4539" i="7"/>
  <c r="V4539" i="7"/>
  <c r="U4539" i="7"/>
  <c r="T4539" i="7"/>
  <c r="S4539" i="7"/>
  <c r="R4539" i="7"/>
  <c r="Q4539" i="7"/>
  <c r="P4539" i="7"/>
  <c r="O4539" i="7"/>
  <c r="AA4537" i="7"/>
  <c r="AA4536" i="7"/>
  <c r="AA4535" i="7"/>
  <c r="Z4534" i="7"/>
  <c r="Y4534" i="7"/>
  <c r="X4534" i="7"/>
  <c r="W4534" i="7"/>
  <c r="V4534" i="7"/>
  <c r="U4534" i="7"/>
  <c r="T4534" i="7"/>
  <c r="S4534" i="7"/>
  <c r="R4534" i="7"/>
  <c r="Q4534" i="7"/>
  <c r="P4534" i="7"/>
  <c r="O4534" i="7"/>
  <c r="AA4533" i="7"/>
  <c r="AA4532" i="7"/>
  <c r="AA4531" i="7"/>
  <c r="Z4530" i="7"/>
  <c r="Y4530" i="7"/>
  <c r="X4530" i="7"/>
  <c r="W4530" i="7"/>
  <c r="V4530" i="7"/>
  <c r="U4530" i="7"/>
  <c r="T4530" i="7"/>
  <c r="S4530" i="7"/>
  <c r="R4530" i="7"/>
  <c r="Q4530" i="7"/>
  <c r="P4530" i="7"/>
  <c r="O4530" i="7"/>
  <c r="AA4528" i="7"/>
  <c r="AA4527" i="7"/>
  <c r="K4526" i="7" s="1"/>
  <c r="Z4527" i="7"/>
  <c r="Y4527" i="7"/>
  <c r="X4527" i="7"/>
  <c r="W4527" i="7"/>
  <c r="V4527" i="7"/>
  <c r="U4527" i="7"/>
  <c r="T4527" i="7"/>
  <c r="S4527" i="7"/>
  <c r="R4527" i="7"/>
  <c r="Q4527" i="7"/>
  <c r="P4527" i="7"/>
  <c r="O4527" i="7"/>
  <c r="AA4525" i="7"/>
  <c r="AA4524" i="7"/>
  <c r="Z4523" i="7"/>
  <c r="Y4523" i="7"/>
  <c r="X4523" i="7"/>
  <c r="W4523" i="7"/>
  <c r="V4523" i="7"/>
  <c r="U4523" i="7"/>
  <c r="T4523" i="7"/>
  <c r="S4523" i="7"/>
  <c r="R4523" i="7"/>
  <c r="Q4523" i="7"/>
  <c r="P4523" i="7"/>
  <c r="O4523" i="7"/>
  <c r="AA4521" i="7"/>
  <c r="AA4520" i="7"/>
  <c r="AA4519" i="7"/>
  <c r="AA4518" i="7"/>
  <c r="Z4517" i="7"/>
  <c r="Y4517" i="7"/>
  <c r="X4517" i="7"/>
  <c r="W4517" i="7"/>
  <c r="V4517" i="7"/>
  <c r="U4517" i="7"/>
  <c r="T4517" i="7"/>
  <c r="S4517" i="7"/>
  <c r="R4517" i="7"/>
  <c r="Q4517" i="7"/>
  <c r="P4517" i="7"/>
  <c r="O4517" i="7"/>
  <c r="AA4515" i="7"/>
  <c r="AA4514" i="7"/>
  <c r="Z4513" i="7"/>
  <c r="Y4513" i="7"/>
  <c r="X4513" i="7"/>
  <c r="W4513" i="7"/>
  <c r="V4513" i="7"/>
  <c r="U4513" i="7"/>
  <c r="T4513" i="7"/>
  <c r="S4513" i="7"/>
  <c r="R4513" i="7"/>
  <c r="Q4513" i="7"/>
  <c r="P4513" i="7"/>
  <c r="O4513" i="7"/>
  <c r="AA4511" i="7"/>
  <c r="AA4510" i="7" s="1"/>
  <c r="K4509" i="7" s="1"/>
  <c r="Z4510" i="7"/>
  <c r="Y4510" i="7"/>
  <c r="X4510" i="7"/>
  <c r="W4510" i="7"/>
  <c r="V4510" i="7"/>
  <c r="U4510" i="7"/>
  <c r="T4510" i="7"/>
  <c r="S4510" i="7"/>
  <c r="R4510" i="7"/>
  <c r="Q4510" i="7"/>
  <c r="P4510" i="7"/>
  <c r="O4510" i="7"/>
  <c r="AA4508" i="7"/>
  <c r="AA4507" i="7" s="1"/>
  <c r="K4506" i="7" s="1"/>
  <c r="Z4507" i="7"/>
  <c r="Y4507" i="7"/>
  <c r="X4507" i="7"/>
  <c r="W4507" i="7"/>
  <c r="V4507" i="7"/>
  <c r="U4507" i="7"/>
  <c r="T4507" i="7"/>
  <c r="S4507" i="7"/>
  <c r="R4507" i="7"/>
  <c r="Q4507" i="7"/>
  <c r="P4507" i="7"/>
  <c r="O4507" i="7"/>
  <c r="AA4505" i="7"/>
  <c r="AA4504" i="7"/>
  <c r="AA4503" i="7"/>
  <c r="AA4502" i="7"/>
  <c r="AA4501" i="7"/>
  <c r="Z4500" i="7"/>
  <c r="Y4500" i="7"/>
  <c r="X4500" i="7"/>
  <c r="W4500" i="7"/>
  <c r="V4500" i="7"/>
  <c r="U4500" i="7"/>
  <c r="T4500" i="7"/>
  <c r="S4500" i="7"/>
  <c r="R4500" i="7"/>
  <c r="Q4500" i="7"/>
  <c r="P4500" i="7"/>
  <c r="O4500" i="7"/>
  <c r="AA4498" i="7"/>
  <c r="AA4497" i="7"/>
  <c r="AA4496" i="7"/>
  <c r="AA4495" i="7"/>
  <c r="Z4494" i="7"/>
  <c r="Y4494" i="7"/>
  <c r="X4494" i="7"/>
  <c r="W4494" i="7"/>
  <c r="V4494" i="7"/>
  <c r="U4494" i="7"/>
  <c r="T4494" i="7"/>
  <c r="S4494" i="7"/>
  <c r="R4494" i="7"/>
  <c r="Q4494" i="7"/>
  <c r="P4494" i="7"/>
  <c r="O4494" i="7"/>
  <c r="AA4492" i="7"/>
  <c r="AA4491" i="7"/>
  <c r="AA4490" i="7"/>
  <c r="AA4489" i="7"/>
  <c r="AA4488" i="7"/>
  <c r="AA4487" i="7"/>
  <c r="Z4486" i="7"/>
  <c r="Y4486" i="7"/>
  <c r="X4486" i="7"/>
  <c r="W4486" i="7"/>
  <c r="V4486" i="7"/>
  <c r="U4486" i="7"/>
  <c r="T4486" i="7"/>
  <c r="S4486" i="7"/>
  <c r="R4486" i="7"/>
  <c r="J4484" i="7"/>
  <c r="AA4471" i="7"/>
  <c r="AA4470" i="7"/>
  <c r="Z4469" i="7"/>
  <c r="Y4469" i="7"/>
  <c r="X4469" i="7"/>
  <c r="W4469" i="7"/>
  <c r="V4469" i="7"/>
  <c r="U4469" i="7"/>
  <c r="T4469" i="7"/>
  <c r="S4469" i="7"/>
  <c r="R4469" i="7"/>
  <c r="Q4469" i="7"/>
  <c r="P4469" i="7"/>
  <c r="O4469" i="7"/>
  <c r="AA4468" i="7"/>
  <c r="L4468" i="7"/>
  <c r="L4471" i="7" s="1"/>
  <c r="E4468" i="7"/>
  <c r="AA4467" i="7"/>
  <c r="K4465" i="7" s="1"/>
  <c r="Z4466" i="7"/>
  <c r="Y4466" i="7"/>
  <c r="X4466" i="7"/>
  <c r="W4466" i="7"/>
  <c r="V4466" i="7"/>
  <c r="U4466" i="7"/>
  <c r="T4466" i="7"/>
  <c r="S4466" i="7"/>
  <c r="R4466" i="7"/>
  <c r="Q4466" i="7"/>
  <c r="P4466" i="7"/>
  <c r="O4466" i="7"/>
  <c r="AA4465" i="7"/>
  <c r="J4465" i="7" s="1"/>
  <c r="AA4464" i="7"/>
  <c r="Z4463" i="7"/>
  <c r="X4463" i="7"/>
  <c r="W4463" i="7"/>
  <c r="V4463" i="7"/>
  <c r="T4463" i="7"/>
  <c r="S4463" i="7"/>
  <c r="R4463" i="7"/>
  <c r="P4463" i="7"/>
  <c r="O4463" i="7"/>
  <c r="AA4462" i="7"/>
  <c r="J4462" i="7" s="1"/>
  <c r="AA4461" i="7"/>
  <c r="K4459" i="7" s="1"/>
  <c r="Z4460" i="7"/>
  <c r="Y4460" i="7"/>
  <c r="X4460" i="7"/>
  <c r="W4460" i="7"/>
  <c r="V4460" i="7"/>
  <c r="U4460" i="7"/>
  <c r="T4460" i="7"/>
  <c r="S4460" i="7"/>
  <c r="R4460" i="7"/>
  <c r="Q4460" i="7"/>
  <c r="P4460" i="7"/>
  <c r="O4460" i="7"/>
  <c r="AA4459" i="7"/>
  <c r="J4459" i="7" s="1"/>
  <c r="AA4458" i="7"/>
  <c r="Z4457" i="7"/>
  <c r="Y4457" i="7"/>
  <c r="X4457" i="7"/>
  <c r="W4457" i="7"/>
  <c r="V4457" i="7"/>
  <c r="U4457" i="7"/>
  <c r="T4457" i="7"/>
  <c r="S4457" i="7"/>
  <c r="R4457" i="7"/>
  <c r="Q4457" i="7"/>
  <c r="P4457" i="7"/>
  <c r="O4457" i="7"/>
  <c r="AA4456" i="7"/>
  <c r="J4456" i="7" s="1"/>
  <c r="AA4455" i="7"/>
  <c r="K4453" i="7" s="1"/>
  <c r="Z4454" i="7"/>
  <c r="Y4454" i="7"/>
  <c r="X4454" i="7"/>
  <c r="W4454" i="7"/>
  <c r="V4454" i="7"/>
  <c r="U4454" i="7"/>
  <c r="T4454" i="7"/>
  <c r="S4454" i="7"/>
  <c r="R4454" i="7"/>
  <c r="Q4454" i="7"/>
  <c r="P4454" i="7"/>
  <c r="O4454" i="7"/>
  <c r="AA4453" i="7"/>
  <c r="J4453" i="7" s="1"/>
  <c r="I4453" i="7"/>
  <c r="H4453" i="7"/>
  <c r="AA4452" i="7"/>
  <c r="Z4451" i="7"/>
  <c r="Y4451" i="7"/>
  <c r="X4451" i="7"/>
  <c r="W4451" i="7"/>
  <c r="V4451" i="7"/>
  <c r="U4451" i="7"/>
  <c r="T4451" i="7"/>
  <c r="S4451" i="7"/>
  <c r="R4451" i="7"/>
  <c r="Q4451" i="7"/>
  <c r="P4451" i="7"/>
  <c r="O4451" i="7"/>
  <c r="AA4450" i="7"/>
  <c r="J4450" i="7" s="1"/>
  <c r="AA4449" i="7"/>
  <c r="AA4448" i="7"/>
  <c r="Z4447" i="7"/>
  <c r="Y4447" i="7"/>
  <c r="X4447" i="7"/>
  <c r="W4447" i="7"/>
  <c r="V4447" i="7"/>
  <c r="U4447" i="7"/>
  <c r="T4447" i="7"/>
  <c r="S4447" i="7"/>
  <c r="R4447" i="7"/>
  <c r="Q4447" i="7"/>
  <c r="P4447" i="7"/>
  <c r="O4447" i="7"/>
  <c r="AA4446" i="7"/>
  <c r="J4446" i="7" s="1"/>
  <c r="AA4445" i="7"/>
  <c r="AA4444" i="7"/>
  <c r="AA4443" i="7"/>
  <c r="AA4442" i="7"/>
  <c r="Z4441" i="7"/>
  <c r="Y4441" i="7"/>
  <c r="X4441" i="7"/>
  <c r="W4441" i="7"/>
  <c r="V4441" i="7"/>
  <c r="U4441" i="7"/>
  <c r="T4441" i="7"/>
  <c r="S4441" i="7"/>
  <c r="R4441" i="7"/>
  <c r="Q4441" i="7"/>
  <c r="P4441" i="7"/>
  <c r="O4441" i="7"/>
  <c r="AA4440" i="7"/>
  <c r="J4440" i="7" s="1"/>
  <c r="AA4439" i="7"/>
  <c r="AA4438" i="7"/>
  <c r="Z4437" i="7"/>
  <c r="Y4437" i="7"/>
  <c r="X4437" i="7"/>
  <c r="W4437" i="7"/>
  <c r="V4437" i="7"/>
  <c r="U4437" i="7"/>
  <c r="T4437" i="7"/>
  <c r="S4437" i="7"/>
  <c r="R4437" i="7"/>
  <c r="Q4437" i="7"/>
  <c r="P4437" i="7"/>
  <c r="O4437" i="7"/>
  <c r="AA4436" i="7"/>
  <c r="J4436" i="7" s="1"/>
  <c r="AA4435" i="7"/>
  <c r="AA4434" i="7"/>
  <c r="AA4433" i="7"/>
  <c r="Z4432" i="7"/>
  <c r="Y4432" i="7"/>
  <c r="X4432" i="7"/>
  <c r="W4432" i="7"/>
  <c r="V4432" i="7"/>
  <c r="U4432" i="7"/>
  <c r="T4432" i="7"/>
  <c r="S4432" i="7"/>
  <c r="R4432" i="7"/>
  <c r="Q4432" i="7"/>
  <c r="O4432" i="7"/>
  <c r="AA4431" i="7"/>
  <c r="J4431" i="7" s="1"/>
  <c r="AA4430" i="7"/>
  <c r="AA4429" i="7"/>
  <c r="AA4428" i="7"/>
  <c r="Z4427" i="7"/>
  <c r="Y4427" i="7"/>
  <c r="X4427" i="7"/>
  <c r="W4427" i="7"/>
  <c r="V4427" i="7"/>
  <c r="U4427" i="7"/>
  <c r="T4427" i="7"/>
  <c r="S4427" i="7"/>
  <c r="R4427" i="7"/>
  <c r="Q4427" i="7"/>
  <c r="P4427" i="7"/>
  <c r="O4427" i="7"/>
  <c r="AA4426" i="7"/>
  <c r="AA4425" i="7"/>
  <c r="AA4424" i="7"/>
  <c r="Z4423" i="7"/>
  <c r="Y4423" i="7"/>
  <c r="X4423" i="7"/>
  <c r="W4423" i="7"/>
  <c r="V4423" i="7"/>
  <c r="U4423" i="7"/>
  <c r="T4423" i="7"/>
  <c r="S4423" i="7"/>
  <c r="R4423" i="7"/>
  <c r="Q4423" i="7"/>
  <c r="O4423" i="7"/>
  <c r="AA4422" i="7"/>
  <c r="AA4421" i="7"/>
  <c r="Z4420" i="7"/>
  <c r="X4420" i="7"/>
  <c r="W4420" i="7"/>
  <c r="V4420" i="7"/>
  <c r="U4420" i="7"/>
  <c r="T4420" i="7"/>
  <c r="R4420" i="7"/>
  <c r="Q4420" i="7"/>
  <c r="P4420" i="7"/>
  <c r="O4420" i="7"/>
  <c r="AA4419" i="7"/>
  <c r="J4419" i="7" s="1"/>
  <c r="AA4418" i="7"/>
  <c r="AA4417" i="7"/>
  <c r="AA4416" i="7"/>
  <c r="AA4415" i="7"/>
  <c r="AA4414" i="7"/>
  <c r="Z4413" i="7"/>
  <c r="Y4413" i="7"/>
  <c r="X4413" i="7"/>
  <c r="W4413" i="7"/>
  <c r="V4413" i="7"/>
  <c r="U4413" i="7"/>
  <c r="T4413" i="7"/>
  <c r="S4413" i="7"/>
  <c r="R4413" i="7"/>
  <c r="Q4413" i="7"/>
  <c r="P4413" i="7"/>
  <c r="O4413" i="7"/>
  <c r="AA4412" i="7"/>
  <c r="J4412" i="7" s="1"/>
  <c r="AA4411" i="7"/>
  <c r="AA4410" i="7"/>
  <c r="AA4409" i="7"/>
  <c r="AA4408" i="7"/>
  <c r="Z4407" i="7"/>
  <c r="Y4407" i="7"/>
  <c r="X4407" i="7"/>
  <c r="W4407" i="7"/>
  <c r="V4407" i="7"/>
  <c r="U4407" i="7"/>
  <c r="T4407" i="7"/>
  <c r="S4407" i="7"/>
  <c r="R4407" i="7"/>
  <c r="Q4407" i="7"/>
  <c r="P4407" i="7"/>
  <c r="O4407" i="7"/>
  <c r="AA4406" i="7"/>
  <c r="J4406" i="7" s="1"/>
  <c r="AA4320" i="7"/>
  <c r="Z4319" i="7"/>
  <c r="Y4319" i="7"/>
  <c r="X4319" i="7"/>
  <c r="W4319" i="7"/>
  <c r="V4319" i="7"/>
  <c r="U4319" i="7"/>
  <c r="T4319" i="7"/>
  <c r="S4319" i="7"/>
  <c r="R4319" i="7"/>
  <c r="Q4319" i="7"/>
  <c r="P4319" i="7"/>
  <c r="O4319" i="7"/>
  <c r="Z4318" i="7"/>
  <c r="Y4318" i="7"/>
  <c r="X4318" i="7"/>
  <c r="W4318" i="7"/>
  <c r="V4318" i="7"/>
  <c r="U4318" i="7"/>
  <c r="T4318" i="7"/>
  <c r="S4318" i="7"/>
  <c r="R4318" i="7"/>
  <c r="Q4318" i="7"/>
  <c r="P4318" i="7"/>
  <c r="O4318" i="7"/>
  <c r="AA4316" i="7"/>
  <c r="K4315" i="7" s="1"/>
  <c r="AA4315" i="7"/>
  <c r="AA4314" i="7"/>
  <c r="O4313" i="7"/>
  <c r="AA4313" i="7" s="1"/>
  <c r="K4312" i="7" s="1"/>
  <c r="AA4312" i="7"/>
  <c r="AA4311" i="7"/>
  <c r="Z4310" i="7"/>
  <c r="Y4310" i="7"/>
  <c r="X4310" i="7"/>
  <c r="W4310" i="7"/>
  <c r="V4310" i="7"/>
  <c r="U4310" i="7"/>
  <c r="T4310" i="7"/>
  <c r="S4310" i="7"/>
  <c r="R4310" i="7"/>
  <c r="Q4310" i="7"/>
  <c r="P4310" i="7"/>
  <c r="O4310" i="7"/>
  <c r="Z4309" i="7"/>
  <c r="Y4309" i="7"/>
  <c r="X4309" i="7"/>
  <c r="W4309" i="7"/>
  <c r="V4309" i="7"/>
  <c r="U4309" i="7"/>
  <c r="T4309" i="7"/>
  <c r="S4309" i="7"/>
  <c r="R4309" i="7"/>
  <c r="Q4309" i="7"/>
  <c r="P4309" i="7"/>
  <c r="O4309" i="7"/>
  <c r="AA4308" i="7"/>
  <c r="AA4307" i="7"/>
  <c r="K4306" i="7" s="1"/>
  <c r="AA4306" i="7"/>
  <c r="AA4305" i="7"/>
  <c r="T4304" i="7"/>
  <c r="AA4304" i="7" s="1"/>
  <c r="K4303" i="7" s="1"/>
  <c r="AA4303" i="7"/>
  <c r="AA4302" i="7"/>
  <c r="U4301" i="7"/>
  <c r="O4301" i="7"/>
  <c r="AA4300" i="7"/>
  <c r="AA4299" i="7"/>
  <c r="O4298" i="7"/>
  <c r="AA4298" i="7" s="1"/>
  <c r="K4297" i="7" s="1"/>
  <c r="AA4297" i="7"/>
  <c r="AA4296" i="7"/>
  <c r="O4295" i="7"/>
  <c r="AA4295" i="7" s="1"/>
  <c r="K4294" i="7" s="1"/>
  <c r="AA4294" i="7"/>
  <c r="AA4293" i="7"/>
  <c r="AA4292" i="7"/>
  <c r="K4291" i="7" s="1"/>
  <c r="AA4291" i="7"/>
  <c r="AA4290" i="7"/>
  <c r="Z4289" i="7"/>
  <c r="Y4289" i="7"/>
  <c r="X4289" i="7"/>
  <c r="W4289" i="7"/>
  <c r="V4289" i="7"/>
  <c r="U4289" i="7"/>
  <c r="T4289" i="7"/>
  <c r="S4289" i="7"/>
  <c r="R4289" i="7"/>
  <c r="Q4289" i="7"/>
  <c r="P4289" i="7"/>
  <c r="O4289" i="7"/>
  <c r="AA4288" i="7"/>
  <c r="AA4287" i="7"/>
  <c r="Z4286" i="7"/>
  <c r="Y4286" i="7"/>
  <c r="X4286" i="7"/>
  <c r="W4286" i="7"/>
  <c r="V4286" i="7"/>
  <c r="U4286" i="7"/>
  <c r="T4286" i="7"/>
  <c r="S4286" i="7"/>
  <c r="R4286" i="7"/>
  <c r="Q4286" i="7"/>
  <c r="P4286" i="7"/>
  <c r="O4286" i="7"/>
  <c r="AA4285" i="7"/>
  <c r="M4273" i="7"/>
  <c r="AC4272" i="7"/>
  <c r="AB4270" i="7"/>
  <c r="AA4270" i="7"/>
  <c r="Z4270" i="7"/>
  <c r="Y4270" i="7"/>
  <c r="X4270" i="7"/>
  <c r="W4270" i="7"/>
  <c r="V4270" i="7"/>
  <c r="U4270" i="7"/>
  <c r="T4270" i="7"/>
  <c r="S4270" i="7"/>
  <c r="R4270" i="7"/>
  <c r="Q4270" i="7"/>
  <c r="AC4269" i="7"/>
  <c r="M4266" i="7"/>
  <c r="L4266" i="7"/>
  <c r="AC4265" i="7"/>
  <c r="AC4264" i="7"/>
  <c r="AC4263" i="7"/>
  <c r="AB4262" i="7"/>
  <c r="AA4262" i="7"/>
  <c r="Z4262" i="7"/>
  <c r="Y4262" i="7"/>
  <c r="X4262" i="7"/>
  <c r="W4262" i="7"/>
  <c r="V4262" i="7"/>
  <c r="U4262" i="7"/>
  <c r="T4262" i="7"/>
  <c r="S4262" i="7"/>
  <c r="R4262" i="7"/>
  <c r="Q4262" i="7"/>
  <c r="AC4261" i="7"/>
  <c r="M4258" i="7"/>
  <c r="L4258" i="7"/>
  <c r="AC4257" i="7"/>
  <c r="AB4256" i="7"/>
  <c r="AA4256" i="7"/>
  <c r="Z4256" i="7"/>
  <c r="Y4256" i="7"/>
  <c r="X4256" i="7"/>
  <c r="W4256" i="7"/>
  <c r="V4256" i="7"/>
  <c r="U4256" i="7"/>
  <c r="T4256" i="7"/>
  <c r="S4256" i="7"/>
  <c r="R4256" i="7"/>
  <c r="Q4256" i="7"/>
  <c r="AC4255" i="7"/>
  <c r="M4252" i="7"/>
  <c r="L4252" i="7"/>
  <c r="AC4251" i="7"/>
  <c r="AC4250" i="7"/>
  <c r="AC4249" i="7"/>
  <c r="AC4248" i="7"/>
  <c r="AC4247" i="7"/>
  <c r="AC4246" i="7"/>
  <c r="AB4245" i="7"/>
  <c r="AA4245" i="7"/>
  <c r="Z4245" i="7"/>
  <c r="Y4245" i="7"/>
  <c r="X4245" i="7"/>
  <c r="W4245" i="7"/>
  <c r="V4245" i="7"/>
  <c r="U4245" i="7"/>
  <c r="T4245" i="7"/>
  <c r="S4245" i="7"/>
  <c r="R4245" i="7"/>
  <c r="Q4245" i="7"/>
  <c r="AC4244" i="7"/>
  <c r="AC4240" i="7"/>
  <c r="AB4239" i="7"/>
  <c r="AA4239" i="7"/>
  <c r="Z4239" i="7"/>
  <c r="Y4239" i="7"/>
  <c r="X4239" i="7"/>
  <c r="W4239" i="7"/>
  <c r="V4239" i="7"/>
  <c r="U4239" i="7"/>
  <c r="T4239" i="7"/>
  <c r="S4239" i="7"/>
  <c r="R4239" i="7"/>
  <c r="Q4239" i="7"/>
  <c r="Q4238" i="7"/>
  <c r="R4238" i="7" s="1"/>
  <c r="S4238" i="7" s="1"/>
  <c r="T4238" i="7" s="1"/>
  <c r="U4238" i="7" s="1"/>
  <c r="V4238" i="7" s="1"/>
  <c r="W4238" i="7" s="1"/>
  <c r="X4238" i="7" s="1"/>
  <c r="Y4238" i="7" s="1"/>
  <c r="Z4238" i="7" s="1"/>
  <c r="AA4238" i="7" s="1"/>
  <c r="AB4238" i="7" s="1"/>
  <c r="M4235" i="7"/>
  <c r="M4241" i="7" s="1"/>
  <c r="L4235" i="7"/>
  <c r="L4241" i="7" s="1"/>
  <c r="AC4234" i="7"/>
  <c r="AC4233" i="7"/>
  <c r="AC4232" i="7"/>
  <c r="AC4231" i="7"/>
  <c r="AC4230" i="7"/>
  <c r="AC4229" i="7"/>
  <c r="AB4228" i="7"/>
  <c r="AA4228" i="7"/>
  <c r="Z4228" i="7"/>
  <c r="Y4228" i="7"/>
  <c r="X4228" i="7"/>
  <c r="W4228" i="7"/>
  <c r="V4228" i="7"/>
  <c r="U4228" i="7"/>
  <c r="T4228" i="7"/>
  <c r="S4228" i="7"/>
  <c r="R4228" i="7"/>
  <c r="Q4228" i="7"/>
  <c r="AC4227" i="7"/>
  <c r="M4224" i="7"/>
  <c r="L4224" i="7"/>
  <c r="AC4223" i="7"/>
  <c r="AC4222" i="7"/>
  <c r="AC4221" i="7"/>
  <c r="AB4220" i="7"/>
  <c r="AA4220" i="7"/>
  <c r="Z4220" i="7"/>
  <c r="Y4220" i="7"/>
  <c r="X4220" i="7"/>
  <c r="W4220" i="7"/>
  <c r="V4220" i="7"/>
  <c r="U4220" i="7"/>
  <c r="T4220" i="7"/>
  <c r="S4220" i="7"/>
  <c r="R4220" i="7"/>
  <c r="Q4220" i="7"/>
  <c r="AC4219" i="7"/>
  <c r="M4216" i="7"/>
  <c r="L4216" i="7"/>
  <c r="AC4215" i="7"/>
  <c r="AC4214" i="7"/>
  <c r="AC4213" i="7"/>
  <c r="AC4212" i="7"/>
  <c r="AC4211" i="7"/>
  <c r="AC4210" i="7"/>
  <c r="AC4209" i="7"/>
  <c r="AC4208" i="7"/>
  <c r="AC4207" i="7"/>
  <c r="AC4206" i="7"/>
  <c r="AC4205" i="7"/>
  <c r="AC4204" i="7"/>
  <c r="AC4203" i="7"/>
  <c r="AC4202" i="7"/>
  <c r="AC4201" i="7"/>
  <c r="AC4200" i="7"/>
  <c r="AC4199" i="7"/>
  <c r="AC4198" i="7"/>
  <c r="AC4197" i="7"/>
  <c r="AC4196" i="7"/>
  <c r="AC4195" i="7"/>
  <c r="AC4194" i="7"/>
  <c r="AC4193" i="7"/>
  <c r="AC4192" i="7"/>
  <c r="AC4191" i="7"/>
  <c r="AC4190" i="7"/>
  <c r="AC4189" i="7"/>
  <c r="AC4188" i="7"/>
  <c r="AC4187" i="7"/>
  <c r="AC4186" i="7"/>
  <c r="AC4185" i="7"/>
  <c r="AC4184" i="7"/>
  <c r="AC4183" i="7"/>
  <c r="AC4182" i="7"/>
  <c r="AC4181" i="7"/>
  <c r="AC4180" i="7"/>
  <c r="AC4179" i="7"/>
  <c r="AC4178" i="7"/>
  <c r="AC4177" i="7"/>
  <c r="AC4176" i="7"/>
  <c r="AC4175" i="7"/>
  <c r="AC4174" i="7"/>
  <c r="AC4173" i="7"/>
  <c r="AC4172" i="7"/>
  <c r="AC4171" i="7"/>
  <c r="AC4170" i="7"/>
  <c r="AC4169" i="7"/>
  <c r="AC4168" i="7"/>
  <c r="AC4167" i="7"/>
  <c r="AC4166" i="7"/>
  <c r="AC4165" i="7"/>
  <c r="AC4164" i="7"/>
  <c r="AC4163" i="7"/>
  <c r="AC4162" i="7"/>
  <c r="AC4161" i="7"/>
  <c r="AC4160" i="7"/>
  <c r="AB4159" i="7"/>
  <c r="AA4159" i="7"/>
  <c r="Z4159" i="7"/>
  <c r="Y4159" i="7"/>
  <c r="X4159" i="7"/>
  <c r="W4159" i="7"/>
  <c r="V4159" i="7"/>
  <c r="U4159" i="7"/>
  <c r="T4159" i="7"/>
  <c r="S4159" i="7"/>
  <c r="R4159" i="7"/>
  <c r="Q4159" i="7"/>
  <c r="AC4158" i="7"/>
  <c r="M4155" i="7"/>
  <c r="L4155" i="7"/>
  <c r="U4154" i="7"/>
  <c r="AC4154" i="7" s="1"/>
  <c r="Q4153" i="7"/>
  <c r="AC4153" i="7" s="1"/>
  <c r="AC4152" i="7"/>
  <c r="K4151" i="7" s="1"/>
  <c r="AC4151" i="7"/>
  <c r="AC4150" i="7"/>
  <c r="S4149" i="7"/>
  <c r="AC4149" i="7" s="1"/>
  <c r="AC4148" i="7"/>
  <c r="AC4147" i="7"/>
  <c r="AC4146" i="7"/>
  <c r="AC4145" i="7"/>
  <c r="AC4144" i="7"/>
  <c r="AC4143" i="7"/>
  <c r="S4142" i="7"/>
  <c r="AC4142" i="7" s="1"/>
  <c r="AB4141" i="7"/>
  <c r="AA4141" i="7"/>
  <c r="Z4141" i="7"/>
  <c r="Y4141" i="7"/>
  <c r="X4141" i="7"/>
  <c r="W4141" i="7"/>
  <c r="V4141" i="7"/>
  <c r="U4141" i="7"/>
  <c r="T4141" i="7"/>
  <c r="S4141" i="7"/>
  <c r="R4141" i="7"/>
  <c r="Q4141" i="7"/>
  <c r="AB4140" i="7"/>
  <c r="AA4140" i="7"/>
  <c r="Z4140" i="7"/>
  <c r="Y4140" i="7"/>
  <c r="X4140" i="7"/>
  <c r="W4140" i="7"/>
  <c r="V4140" i="7"/>
  <c r="U4140" i="7"/>
  <c r="T4140" i="7"/>
  <c r="S4140" i="7"/>
  <c r="AC4139" i="7"/>
  <c r="AC4138" i="7"/>
  <c r="AC4137" i="7"/>
  <c r="AC4136" i="7"/>
  <c r="AC4135" i="7"/>
  <c r="AC4134" i="7"/>
  <c r="AC4133" i="7"/>
  <c r="R4132" i="7"/>
  <c r="AC4132" i="7" s="1"/>
  <c r="S4131" i="7"/>
  <c r="AC4131" i="7" s="1"/>
  <c r="AC4130" i="7"/>
  <c r="AC4129" i="7"/>
  <c r="T4128" i="7"/>
  <c r="AC4128" i="7" s="1"/>
  <c r="AC4127" i="7"/>
  <c r="T4126" i="7"/>
  <c r="AC4126" i="7" s="1"/>
  <c r="AC4125" i="7"/>
  <c r="AC4124" i="7"/>
  <c r="AC4123" i="7"/>
  <c r="AC4122" i="7"/>
  <c r="AC4121" i="7"/>
  <c r="AC4120" i="7"/>
  <c r="AC4119" i="7"/>
  <c r="AB4118" i="7"/>
  <c r="AA4118" i="7"/>
  <c r="Z4118" i="7"/>
  <c r="Y4118" i="7"/>
  <c r="X4118" i="7"/>
  <c r="X4112" i="7" s="1"/>
  <c r="W4118" i="7"/>
  <c r="V4118" i="7"/>
  <c r="U4118" i="7"/>
  <c r="T4118" i="7"/>
  <c r="S4118" i="7"/>
  <c r="R4118" i="7"/>
  <c r="Q4118" i="7"/>
  <c r="Q4117" i="7"/>
  <c r="AC4117" i="7" s="1"/>
  <c r="Q4116" i="7"/>
  <c r="AC4116" i="7" s="1"/>
  <c r="Q4115" i="7"/>
  <c r="AC4115" i="7" s="1"/>
  <c r="Q4114" i="7"/>
  <c r="AC4114" i="7" s="1"/>
  <c r="Q4113" i="7"/>
  <c r="AC4113" i="7" s="1"/>
  <c r="AC4111" i="7"/>
  <c r="M4108" i="7"/>
  <c r="L4108" i="7"/>
  <c r="AC4107" i="7"/>
  <c r="AC4106" i="7"/>
  <c r="S4105" i="7"/>
  <c r="AC4105" i="7" s="1"/>
  <c r="T4104" i="7"/>
  <c r="AC4104" i="7" s="1"/>
  <c r="AC4103" i="7"/>
  <c r="AC4102" i="7"/>
  <c r="AC4101" i="7"/>
  <c r="AC4100" i="7"/>
  <c r="AC4099" i="7"/>
  <c r="AC4098" i="7"/>
  <c r="AC4097" i="7"/>
  <c r="AC4096" i="7"/>
  <c r="AC4095" i="7"/>
  <c r="AB4094" i="7"/>
  <c r="AA4094" i="7"/>
  <c r="Z4094" i="7"/>
  <c r="Y4094" i="7"/>
  <c r="X4094" i="7"/>
  <c r="W4094" i="7"/>
  <c r="V4094" i="7"/>
  <c r="U4094" i="7"/>
  <c r="R4094" i="7"/>
  <c r="Q4094" i="7"/>
  <c r="Q4093" i="7"/>
  <c r="R4093" i="7" s="1"/>
  <c r="S4093" i="7" s="1"/>
  <c r="T4093" i="7" s="1"/>
  <c r="U4093" i="7" s="1"/>
  <c r="V4093" i="7" s="1"/>
  <c r="W4093" i="7" s="1"/>
  <c r="X4093" i="7" s="1"/>
  <c r="Y4093" i="7" s="1"/>
  <c r="Z4093" i="7" s="1"/>
  <c r="AA4093" i="7" s="1"/>
  <c r="AB4093" i="7" s="1"/>
  <c r="M4090" i="7"/>
  <c r="L4090" i="7"/>
  <c r="AC4089" i="7"/>
  <c r="AC4088" i="7"/>
  <c r="AC4087" i="7"/>
  <c r="AC4086" i="7"/>
  <c r="AC4085" i="7"/>
  <c r="AC4084" i="7"/>
  <c r="AC4083" i="7"/>
  <c r="AC4082" i="7"/>
  <c r="AC4081" i="7"/>
  <c r="AC4080" i="7"/>
  <c r="AC4079" i="7"/>
  <c r="AC4078" i="7"/>
  <c r="AB4077" i="7"/>
  <c r="AA4077" i="7"/>
  <c r="Z4077" i="7"/>
  <c r="Y4077" i="7"/>
  <c r="X4077" i="7"/>
  <c r="W4077" i="7"/>
  <c r="V4077" i="7"/>
  <c r="U4077" i="7"/>
  <c r="T4077" i="7"/>
  <c r="S4077" i="7"/>
  <c r="R4077" i="7"/>
  <c r="Q4077" i="7"/>
  <c r="R4076" i="7"/>
  <c r="Q4076" i="7" s="1"/>
  <c r="M4073" i="7"/>
  <c r="L4073" i="7"/>
  <c r="AC4072" i="7"/>
  <c r="AC4071" i="7"/>
  <c r="AC4070" i="7"/>
  <c r="AC4069" i="7"/>
  <c r="AC4068" i="7"/>
  <c r="AC4067" i="7"/>
  <c r="AC4066" i="7"/>
  <c r="AC4065" i="7"/>
  <c r="AC4064" i="7"/>
  <c r="AC4063" i="7"/>
  <c r="AC4062" i="7"/>
  <c r="AC4061" i="7"/>
  <c r="AC4060" i="7"/>
  <c r="AB4059" i="7"/>
  <c r="AA4059" i="7"/>
  <c r="Z4059" i="7"/>
  <c r="Y4059" i="7"/>
  <c r="X4059" i="7"/>
  <c r="W4059" i="7"/>
  <c r="V4059" i="7"/>
  <c r="U4059" i="7"/>
  <c r="T4059" i="7"/>
  <c r="S4059" i="7"/>
  <c r="R4059" i="7"/>
  <c r="Q4059" i="7"/>
  <c r="AC4058" i="7"/>
  <c r="L4055" i="7"/>
  <c r="AC4054" i="7"/>
  <c r="AC4053" i="7"/>
  <c r="AC4052" i="7"/>
  <c r="AC4051" i="7"/>
  <c r="AB4050" i="7"/>
  <c r="AA4050" i="7"/>
  <c r="Z4050" i="7"/>
  <c r="Y4050" i="7"/>
  <c r="X4050" i="7"/>
  <c r="W4050" i="7"/>
  <c r="V4050" i="7"/>
  <c r="U4050" i="7"/>
  <c r="T4050" i="7"/>
  <c r="S4050" i="7"/>
  <c r="R4050" i="7"/>
  <c r="Q4050" i="7"/>
  <c r="AC4049" i="7"/>
  <c r="L4046" i="7"/>
  <c r="AC4045" i="7"/>
  <c r="AC4044" i="7"/>
  <c r="AC4043" i="7"/>
  <c r="AC4042" i="7"/>
  <c r="AC4041" i="7"/>
  <c r="AC4040" i="7"/>
  <c r="AC4039" i="7"/>
  <c r="AC4038" i="7"/>
  <c r="AB4037" i="7"/>
  <c r="AA4037" i="7"/>
  <c r="Z4037" i="7"/>
  <c r="Y4037" i="7"/>
  <c r="X4037" i="7"/>
  <c r="W4037" i="7"/>
  <c r="V4037" i="7"/>
  <c r="U4037" i="7"/>
  <c r="T4037" i="7"/>
  <c r="S4037" i="7"/>
  <c r="R4037" i="7"/>
  <c r="Q4037" i="7"/>
  <c r="AC4036" i="7"/>
  <c r="L4033" i="7"/>
  <c r="Q4032" i="7"/>
  <c r="AC4032" i="7" s="1"/>
  <c r="K4032" i="7"/>
  <c r="Q4031" i="7"/>
  <c r="AC4031" i="7" s="1"/>
  <c r="AC4030" i="7"/>
  <c r="AC4029" i="7"/>
  <c r="AC4028" i="7"/>
  <c r="AC4027" i="7"/>
  <c r="AC4026" i="7"/>
  <c r="AC4025" i="7"/>
  <c r="AC4024" i="7"/>
  <c r="AC4023" i="7"/>
  <c r="AC4022" i="7"/>
  <c r="AC4021" i="7"/>
  <c r="AC4020" i="7"/>
  <c r="AC4019" i="7"/>
  <c r="AC4018" i="7"/>
  <c r="AC4017" i="7"/>
  <c r="AB4016" i="7"/>
  <c r="AA4016" i="7"/>
  <c r="Z4016" i="7"/>
  <c r="Y4016" i="7"/>
  <c r="X4016" i="7"/>
  <c r="W4016" i="7"/>
  <c r="V4016" i="7"/>
  <c r="U4016" i="7"/>
  <c r="T4016" i="7"/>
  <c r="S4016" i="7"/>
  <c r="R4016" i="7"/>
  <c r="AC4015" i="7"/>
  <c r="L4012" i="7"/>
  <c r="AC4011" i="7"/>
  <c r="K4011" i="7"/>
  <c r="S4010" i="7"/>
  <c r="AC4010" i="7" s="1"/>
  <c r="AC4009" i="7"/>
  <c r="AC4008" i="7"/>
  <c r="AC4007" i="7"/>
  <c r="AC4006" i="7"/>
  <c r="AC4005" i="7"/>
  <c r="AC4004" i="7"/>
  <c r="AC4003" i="7"/>
  <c r="AC4002" i="7"/>
  <c r="AC4001" i="7"/>
  <c r="AC4000" i="7"/>
  <c r="AC3999" i="7"/>
  <c r="AB3998" i="7"/>
  <c r="AA3998" i="7"/>
  <c r="Z3998" i="7"/>
  <c r="Y3998" i="7"/>
  <c r="X3998" i="7"/>
  <c r="W3998" i="7"/>
  <c r="V3998" i="7"/>
  <c r="U3998" i="7"/>
  <c r="T3998" i="7"/>
  <c r="R3998" i="7"/>
  <c r="Q3998" i="7"/>
  <c r="AC3997" i="7"/>
  <c r="L3994" i="7"/>
  <c r="AC3993" i="7"/>
  <c r="AC3992" i="7"/>
  <c r="AB3991" i="7"/>
  <c r="AA3991" i="7"/>
  <c r="Z3991" i="7"/>
  <c r="Y3991" i="7"/>
  <c r="X3991" i="7"/>
  <c r="W3991" i="7"/>
  <c r="V3991" i="7"/>
  <c r="U3991" i="7"/>
  <c r="T3991" i="7"/>
  <c r="S3991" i="7"/>
  <c r="R3991" i="7"/>
  <c r="Q3991" i="7"/>
  <c r="AC3990" i="7"/>
  <c r="M3987" i="7"/>
  <c r="L3987" i="7"/>
  <c r="AC3986" i="7"/>
  <c r="Q3985" i="7"/>
  <c r="AC3985" i="7" s="1"/>
  <c r="AC3984" i="7"/>
  <c r="S3983" i="7"/>
  <c r="AC3983" i="7" s="1"/>
  <c r="AC3982" i="7"/>
  <c r="AC3981" i="7"/>
  <c r="Q3980" i="7"/>
  <c r="AC3980" i="7" s="1"/>
  <c r="Q3979" i="7"/>
  <c r="AC3979" i="7" s="1"/>
  <c r="AC3978" i="7"/>
  <c r="AC3977" i="7"/>
  <c r="AC3976" i="7"/>
  <c r="AC3975" i="7"/>
  <c r="AB3974" i="7"/>
  <c r="AA3974" i="7"/>
  <c r="Z3974" i="7"/>
  <c r="Y3974" i="7"/>
  <c r="X3974" i="7"/>
  <c r="W3974" i="7"/>
  <c r="V3974" i="7"/>
  <c r="U3974" i="7"/>
  <c r="T3974" i="7"/>
  <c r="R3974" i="7"/>
  <c r="R3973" i="7"/>
  <c r="S3973" i="7" s="1"/>
  <c r="T3973" i="7" s="1"/>
  <c r="U3973" i="7" s="1"/>
  <c r="V3973" i="7" s="1"/>
  <c r="W3973" i="7" s="1"/>
  <c r="X3973" i="7" s="1"/>
  <c r="Y3973" i="7" s="1"/>
  <c r="Z3973" i="7" s="1"/>
  <c r="AA3973" i="7" s="1"/>
  <c r="AB3973" i="7" s="1"/>
  <c r="L3970" i="7"/>
  <c r="AC3969" i="7"/>
  <c r="AC3968" i="7"/>
  <c r="AC3967" i="7"/>
  <c r="AC3966" i="7"/>
  <c r="AC3965" i="7"/>
  <c r="AB3964" i="7"/>
  <c r="AA3964" i="7"/>
  <c r="Z3964" i="7"/>
  <c r="Y3964" i="7"/>
  <c r="X3964" i="7"/>
  <c r="W3964" i="7"/>
  <c r="V3964" i="7"/>
  <c r="U3964" i="7"/>
  <c r="T3964" i="7"/>
  <c r="S3964" i="7"/>
  <c r="R3964" i="7"/>
  <c r="Q3964" i="7"/>
  <c r="AC3963" i="7"/>
  <c r="L3960" i="7"/>
  <c r="R3959" i="7"/>
  <c r="AC3959" i="7" s="1"/>
  <c r="K3959" i="7"/>
  <c r="Q3958" i="7"/>
  <c r="AC3958" i="7" s="1"/>
  <c r="AB3957" i="7"/>
  <c r="AA3957" i="7"/>
  <c r="Z3957" i="7"/>
  <c r="Z3956" i="7" s="1"/>
  <c r="Y3957" i="7"/>
  <c r="Y3956" i="7" s="1"/>
  <c r="X3957" i="7"/>
  <c r="X3956" i="7" s="1"/>
  <c r="W3957" i="7"/>
  <c r="W3956" i="7" s="1"/>
  <c r="V3957" i="7"/>
  <c r="V3956" i="7" s="1"/>
  <c r="U3957" i="7"/>
  <c r="U3956" i="7" s="1"/>
  <c r="T3957" i="7"/>
  <c r="T3956" i="7" s="1"/>
  <c r="S3957" i="7"/>
  <c r="S3956" i="7" s="1"/>
  <c r="R3957" i="7"/>
  <c r="R3956" i="7" s="1"/>
  <c r="Q3957" i="7"/>
  <c r="AB3956" i="7"/>
  <c r="AA3956" i="7"/>
  <c r="AC3955" i="7"/>
  <c r="L3952" i="7"/>
  <c r="AC3951" i="7"/>
  <c r="AC3950" i="7"/>
  <c r="AC3949" i="7"/>
  <c r="AB3948" i="7"/>
  <c r="AA3948" i="7"/>
  <c r="Z3948" i="7"/>
  <c r="Y3948" i="7"/>
  <c r="X3948" i="7"/>
  <c r="W3948" i="7"/>
  <c r="V3948" i="7"/>
  <c r="U3948" i="7"/>
  <c r="T3948" i="7"/>
  <c r="S3948" i="7"/>
  <c r="R3948" i="7"/>
  <c r="Q3948" i="7"/>
  <c r="AC3947" i="7"/>
  <c r="L3944" i="7"/>
  <c r="AC3943" i="7"/>
  <c r="AC3942" i="7"/>
  <c r="AC3941" i="7"/>
  <c r="AC3940" i="7"/>
  <c r="AB3939" i="7"/>
  <c r="AA3939" i="7"/>
  <c r="Z3939" i="7"/>
  <c r="Y3939" i="7"/>
  <c r="X3939" i="7"/>
  <c r="W3939" i="7"/>
  <c r="V3939" i="7"/>
  <c r="U3939" i="7"/>
  <c r="T3939" i="7"/>
  <c r="S3939" i="7"/>
  <c r="R3939" i="7"/>
  <c r="Q3939" i="7"/>
  <c r="AC3938" i="7"/>
  <c r="L3935" i="7"/>
  <c r="AC3934" i="7"/>
  <c r="AC3933" i="7"/>
  <c r="AC3932" i="7"/>
  <c r="AC3931" i="7"/>
  <c r="AB3930" i="7"/>
  <c r="AA3930" i="7"/>
  <c r="Z3930" i="7"/>
  <c r="Y3930" i="7"/>
  <c r="X3930" i="7"/>
  <c r="W3930" i="7"/>
  <c r="V3930" i="7"/>
  <c r="U3930" i="7"/>
  <c r="T3930" i="7"/>
  <c r="S3930" i="7"/>
  <c r="R3930" i="7"/>
  <c r="Q3930" i="7"/>
  <c r="AC3929" i="7"/>
  <c r="M3926" i="7"/>
  <c r="L3926" i="7"/>
  <c r="AC3925" i="7"/>
  <c r="AC3924" i="7"/>
  <c r="AC3923" i="7"/>
  <c r="AC3922" i="7"/>
  <c r="AC3921" i="7"/>
  <c r="AC3920" i="7"/>
  <c r="AC3919" i="7"/>
  <c r="AB3918" i="7"/>
  <c r="AA3918" i="7"/>
  <c r="Z3918" i="7"/>
  <c r="Y3918" i="7"/>
  <c r="X3918" i="7"/>
  <c r="W3918" i="7"/>
  <c r="V3918" i="7"/>
  <c r="U3918" i="7"/>
  <c r="T3918" i="7"/>
  <c r="S3918" i="7"/>
  <c r="R3918" i="7"/>
  <c r="Q3918" i="7"/>
  <c r="AC3917" i="7"/>
  <c r="M3914" i="7"/>
  <c r="L3914" i="7"/>
  <c r="AC3913" i="7"/>
  <c r="AC3912" i="7"/>
  <c r="AC3911" i="7"/>
  <c r="AC3910" i="7"/>
  <c r="AC3909" i="7"/>
  <c r="S3908" i="7"/>
  <c r="AC3908" i="7" s="1"/>
  <c r="S3907" i="7"/>
  <c r="AC3907" i="7" s="1"/>
  <c r="AC3906" i="7"/>
  <c r="AC3905" i="7"/>
  <c r="AC3904" i="7"/>
  <c r="AC3903" i="7"/>
  <c r="AC3902" i="7"/>
  <c r="AC3901" i="7"/>
  <c r="AB3900" i="7"/>
  <c r="AA3900" i="7"/>
  <c r="Z3900" i="7"/>
  <c r="Y3900" i="7"/>
  <c r="X3900" i="7"/>
  <c r="W3900" i="7"/>
  <c r="V3900" i="7"/>
  <c r="U3900" i="7"/>
  <c r="T3900" i="7"/>
  <c r="R3900" i="7"/>
  <c r="Q3900" i="7"/>
  <c r="AC3899" i="7"/>
  <c r="M3896" i="7"/>
  <c r="L3896" i="7"/>
  <c r="U3895" i="7"/>
  <c r="AC3895" i="7" s="1"/>
  <c r="AC3894" i="7"/>
  <c r="AC3893" i="7"/>
  <c r="AC3892" i="7"/>
  <c r="AC3891" i="7"/>
  <c r="T3890" i="7"/>
  <c r="AC3890" i="7" s="1"/>
  <c r="U3889" i="7"/>
  <c r="AC3889" i="7" s="1"/>
  <c r="AC3888" i="7"/>
  <c r="Q3887" i="7"/>
  <c r="AC3887" i="7" s="1"/>
  <c r="Q3886" i="7"/>
  <c r="AC3886" i="7" s="1"/>
  <c r="AC3885" i="7"/>
  <c r="AC3884" i="7"/>
  <c r="AC3883" i="7"/>
  <c r="S3882" i="7"/>
  <c r="AC3882" i="7" s="1"/>
  <c r="AC3881" i="7"/>
  <c r="AC3880" i="7"/>
  <c r="AC3879" i="7"/>
  <c r="AC3878" i="7"/>
  <c r="AC3877" i="7"/>
  <c r="AC3876" i="7"/>
  <c r="AC3875" i="7"/>
  <c r="AC3874" i="7"/>
  <c r="AC3873" i="7"/>
  <c r="AC3872" i="7"/>
  <c r="AC3871" i="7"/>
  <c r="AC3870" i="7"/>
  <c r="AC3869" i="7"/>
  <c r="AC3868" i="7"/>
  <c r="Q3867" i="7"/>
  <c r="AC3867" i="7" s="1"/>
  <c r="Q3866" i="7"/>
  <c r="AC3866" i="7" s="1"/>
  <c r="Q3865" i="7"/>
  <c r="AC3865" i="7" s="1"/>
  <c r="AC3864" i="7"/>
  <c r="AC3863" i="7"/>
  <c r="AC3862" i="7"/>
  <c r="AC3861" i="7"/>
  <c r="AC3860" i="7"/>
  <c r="AC3859" i="7"/>
  <c r="AC3858" i="7"/>
  <c r="AC3857" i="7"/>
  <c r="AC3856" i="7"/>
  <c r="AC3855" i="7"/>
  <c r="AC3854" i="7"/>
  <c r="AC3853" i="7"/>
  <c r="AC3852" i="7"/>
  <c r="AC3851" i="7"/>
  <c r="AC3850" i="7"/>
  <c r="AC3849" i="7"/>
  <c r="AC3848" i="7"/>
  <c r="X3847" i="7"/>
  <c r="AC3847" i="7" s="1"/>
  <c r="AC3846" i="7"/>
  <c r="V3845" i="7"/>
  <c r="AC3845" i="7" s="1"/>
  <c r="T3844" i="7"/>
  <c r="AC3844" i="7" s="1"/>
  <c r="R3843" i="7"/>
  <c r="AC3843" i="7" s="1"/>
  <c r="AC3842" i="7"/>
  <c r="AC3841" i="7"/>
  <c r="AC3840" i="7"/>
  <c r="X3839" i="7"/>
  <c r="U3839" i="7"/>
  <c r="X3838" i="7"/>
  <c r="S3838" i="7"/>
  <c r="AC3837" i="7"/>
  <c r="U3836" i="7"/>
  <c r="AC3836" i="7" s="1"/>
  <c r="V3835" i="7"/>
  <c r="AC3835" i="7" s="1"/>
  <c r="V3834" i="7"/>
  <c r="AC3834" i="7" s="1"/>
  <c r="W3833" i="7"/>
  <c r="AC3833" i="7" s="1"/>
  <c r="V3832" i="7"/>
  <c r="AC3832" i="7" s="1"/>
  <c r="AC3831" i="7"/>
  <c r="AB3830" i="7"/>
  <c r="AA3830" i="7"/>
  <c r="Z3830" i="7"/>
  <c r="Y3830" i="7"/>
  <c r="X3830" i="7"/>
  <c r="W3830" i="7"/>
  <c r="V3830" i="7"/>
  <c r="U3830" i="7"/>
  <c r="T3830" i="7"/>
  <c r="S3830" i="7"/>
  <c r="R3830" i="7"/>
  <c r="AB3829" i="7"/>
  <c r="AA3829" i="7"/>
  <c r="Z3829" i="7"/>
  <c r="Y3829" i="7"/>
  <c r="X3829" i="7"/>
  <c r="W3829" i="7"/>
  <c r="V3829" i="7"/>
  <c r="U3829" i="7"/>
  <c r="T3829" i="7"/>
  <c r="S3829" i="7"/>
  <c r="R3829" i="7"/>
  <c r="Q3829" i="7"/>
  <c r="AB3828" i="7"/>
  <c r="AA3828" i="7"/>
  <c r="Z3828" i="7"/>
  <c r="Y3828" i="7"/>
  <c r="X3828" i="7"/>
  <c r="W3828" i="7"/>
  <c r="V3828" i="7"/>
  <c r="U3828" i="7"/>
  <c r="T3828" i="7"/>
  <c r="S3828" i="7"/>
  <c r="R3828" i="7"/>
  <c r="Q3828" i="7"/>
  <c r="Q3827" i="7"/>
  <c r="AC3827" i="7" s="1"/>
  <c r="AB3826" i="7"/>
  <c r="W3826" i="7"/>
  <c r="AC3826" i="7" s="1"/>
  <c r="AB3825" i="7"/>
  <c r="AA3825" i="7"/>
  <c r="Z3825" i="7"/>
  <c r="Y3825" i="7"/>
  <c r="X3825" i="7"/>
  <c r="W3825" i="7"/>
  <c r="V3825" i="7"/>
  <c r="U3825" i="7"/>
  <c r="T3825" i="7"/>
  <c r="S3825" i="7"/>
  <c r="R3825" i="7"/>
  <c r="Q3825" i="7"/>
  <c r="AB3823" i="7"/>
  <c r="AA3823" i="7"/>
  <c r="Z3823" i="7"/>
  <c r="Y3823" i="7"/>
  <c r="X3823" i="7"/>
  <c r="W3823" i="7"/>
  <c r="V3823" i="7"/>
  <c r="U3823" i="7"/>
  <c r="T3823" i="7"/>
  <c r="S3823" i="7"/>
  <c r="R3823" i="7"/>
  <c r="Q3823" i="7"/>
  <c r="AC3822" i="7"/>
  <c r="AC3820" i="7"/>
  <c r="L3817" i="7"/>
  <c r="AB3816" i="7"/>
  <c r="AA3816" i="7"/>
  <c r="AA3815" i="7" s="1"/>
  <c r="Z3816" i="7"/>
  <c r="Z3815" i="7" s="1"/>
  <c r="Y3816" i="7"/>
  <c r="Y3815" i="7" s="1"/>
  <c r="X3816" i="7"/>
  <c r="X3815" i="7" s="1"/>
  <c r="W3816" i="7"/>
  <c r="W3815" i="7" s="1"/>
  <c r="V3816" i="7"/>
  <c r="V3815" i="7" s="1"/>
  <c r="U3816" i="7"/>
  <c r="U3815" i="7" s="1"/>
  <c r="T3816" i="7"/>
  <c r="T3815" i="7" s="1"/>
  <c r="S3816" i="7"/>
  <c r="S3815" i="7" s="1"/>
  <c r="R3816" i="7"/>
  <c r="R3815" i="7" s="1"/>
  <c r="Q3816" i="7"/>
  <c r="AB3815" i="7"/>
  <c r="AC3814" i="7"/>
  <c r="L3811" i="7"/>
  <c r="AB3810" i="7"/>
  <c r="AA3810" i="7"/>
  <c r="Z3810" i="7"/>
  <c r="Y3810" i="7"/>
  <c r="X3810" i="7"/>
  <c r="W3810" i="7"/>
  <c r="V3810" i="7"/>
  <c r="U3810" i="7"/>
  <c r="T3810" i="7"/>
  <c r="S3810" i="7"/>
  <c r="R3810" i="7"/>
  <c r="Q3810" i="7"/>
  <c r="AB3809" i="7"/>
  <c r="AA3809" i="7"/>
  <c r="Z3809" i="7"/>
  <c r="Y3809" i="7"/>
  <c r="X3809" i="7"/>
  <c r="W3809" i="7"/>
  <c r="V3809" i="7"/>
  <c r="U3809" i="7"/>
  <c r="T3809" i="7"/>
  <c r="S3809" i="7"/>
  <c r="R3809" i="7"/>
  <c r="Q3809" i="7"/>
  <c r="AC3808" i="7"/>
  <c r="AB3807" i="7"/>
  <c r="AA3807" i="7"/>
  <c r="Z3807" i="7"/>
  <c r="Y3807" i="7"/>
  <c r="X3807" i="7"/>
  <c r="W3807" i="7"/>
  <c r="V3807" i="7"/>
  <c r="U3807" i="7"/>
  <c r="T3807" i="7"/>
  <c r="S3807" i="7"/>
  <c r="R3807" i="7"/>
  <c r="Q3807" i="7"/>
  <c r="AB3806" i="7"/>
  <c r="AA3806" i="7"/>
  <c r="Z3806" i="7"/>
  <c r="Y3806" i="7"/>
  <c r="X3806" i="7"/>
  <c r="W3806" i="7"/>
  <c r="V3806" i="7"/>
  <c r="U3806" i="7"/>
  <c r="T3806" i="7"/>
  <c r="S3806" i="7"/>
  <c r="R3806" i="7"/>
  <c r="Q3806" i="7"/>
  <c r="AB3805" i="7"/>
  <c r="AA3805" i="7"/>
  <c r="Z3805" i="7"/>
  <c r="Y3805" i="7"/>
  <c r="X3805" i="7"/>
  <c r="W3805" i="7"/>
  <c r="V3805" i="7"/>
  <c r="U3805" i="7"/>
  <c r="T3805" i="7"/>
  <c r="S3805" i="7"/>
  <c r="R3805" i="7"/>
  <c r="Q3805" i="7"/>
  <c r="AB3804" i="7"/>
  <c r="AA3804" i="7"/>
  <c r="Z3804" i="7"/>
  <c r="Y3804" i="7"/>
  <c r="X3804" i="7"/>
  <c r="W3804" i="7"/>
  <c r="V3804" i="7"/>
  <c r="U3804" i="7"/>
  <c r="T3804" i="7"/>
  <c r="S3804" i="7"/>
  <c r="R3804" i="7"/>
  <c r="Q3804" i="7"/>
  <c r="AB3803" i="7"/>
  <c r="AA3803" i="7"/>
  <c r="Z3803" i="7"/>
  <c r="Y3803" i="7"/>
  <c r="X3803" i="7"/>
  <c r="W3803" i="7"/>
  <c r="V3803" i="7"/>
  <c r="U3803" i="7"/>
  <c r="T3803" i="7"/>
  <c r="S3803" i="7"/>
  <c r="R3803" i="7"/>
  <c r="AC3802" i="7"/>
  <c r="AA3801" i="7"/>
  <c r="Y3801" i="7"/>
  <c r="W3801" i="7"/>
  <c r="U3801" i="7"/>
  <c r="S3801" i="7"/>
  <c r="AC3799" i="7"/>
  <c r="AC3798" i="7"/>
  <c r="AB3797" i="7"/>
  <c r="AA3797" i="7"/>
  <c r="Z3797" i="7"/>
  <c r="Y3797" i="7"/>
  <c r="X3797" i="7"/>
  <c r="W3797" i="7"/>
  <c r="V3797" i="7"/>
  <c r="U3797" i="7"/>
  <c r="T3797" i="7"/>
  <c r="S3797" i="7"/>
  <c r="R3797" i="7"/>
  <c r="AB3796" i="7"/>
  <c r="AA3796" i="7"/>
  <c r="Z3796" i="7"/>
  <c r="Y3796" i="7"/>
  <c r="X3796" i="7"/>
  <c r="W3796" i="7"/>
  <c r="V3796" i="7"/>
  <c r="U3796" i="7"/>
  <c r="T3796" i="7"/>
  <c r="S3796" i="7"/>
  <c r="R3796" i="7"/>
  <c r="AC3795" i="7"/>
  <c r="AB3794" i="7"/>
  <c r="AA3794" i="7"/>
  <c r="Z3794" i="7"/>
  <c r="Y3794" i="7"/>
  <c r="X3794" i="7"/>
  <c r="W3794" i="7"/>
  <c r="V3794" i="7"/>
  <c r="U3794" i="7"/>
  <c r="T3794" i="7"/>
  <c r="S3794" i="7"/>
  <c r="R3794" i="7"/>
  <c r="Q3794" i="7"/>
  <c r="Q3793" i="7"/>
  <c r="AC3793" i="7" s="1"/>
  <c r="AB3792" i="7"/>
  <c r="W3792" i="7"/>
  <c r="AB3791" i="7"/>
  <c r="AA3791" i="7"/>
  <c r="Z3791" i="7"/>
  <c r="Y3791" i="7"/>
  <c r="X3791" i="7"/>
  <c r="W3791" i="7"/>
  <c r="V3791" i="7"/>
  <c r="U3791" i="7"/>
  <c r="T3791" i="7"/>
  <c r="S3791" i="7"/>
  <c r="R3791" i="7"/>
  <c r="Q3791" i="7"/>
  <c r="AB3790" i="7"/>
  <c r="AA3790" i="7"/>
  <c r="Z3790" i="7"/>
  <c r="Y3790" i="7"/>
  <c r="X3790" i="7"/>
  <c r="W3790" i="7"/>
  <c r="V3790" i="7"/>
  <c r="U3790" i="7"/>
  <c r="T3790" i="7"/>
  <c r="S3790" i="7"/>
  <c r="R3790" i="7"/>
  <c r="Q3790" i="7"/>
  <c r="AB3789" i="7"/>
  <c r="AA3789" i="7"/>
  <c r="Z3789" i="7"/>
  <c r="Y3789" i="7"/>
  <c r="X3789" i="7"/>
  <c r="W3789" i="7"/>
  <c r="V3789" i="7"/>
  <c r="U3789" i="7"/>
  <c r="T3789" i="7"/>
  <c r="S3789" i="7"/>
  <c r="R3789" i="7"/>
  <c r="Q3789" i="7"/>
  <c r="AC3787" i="7"/>
  <c r="AC3776" i="7"/>
  <c r="N3775" i="7"/>
  <c r="M3775" i="7"/>
  <c r="AC3774" i="7"/>
  <c r="Q3773" i="7"/>
  <c r="AC3773" i="7" s="1"/>
  <c r="AB3772" i="7"/>
  <c r="AB3775" i="7" s="1"/>
  <c r="AA3772" i="7"/>
  <c r="AA3775" i="7" s="1"/>
  <c r="Z3772" i="7"/>
  <c r="Z3775" i="7" s="1"/>
  <c r="Y3772" i="7"/>
  <c r="Y3775" i="7" s="1"/>
  <c r="X3772" i="7"/>
  <c r="X3775" i="7" s="1"/>
  <c r="W3772" i="7"/>
  <c r="W3775" i="7" s="1"/>
  <c r="V3772" i="7"/>
  <c r="V3775" i="7" s="1"/>
  <c r="U3772" i="7"/>
  <c r="U3775" i="7" s="1"/>
  <c r="T3772" i="7"/>
  <c r="T3775" i="7" s="1"/>
  <c r="S3772" i="7"/>
  <c r="R3772" i="7"/>
  <c r="R3775" i="7" s="1"/>
  <c r="Q3771" i="7"/>
  <c r="AC3771" i="7" s="1"/>
  <c r="Q3770" i="7"/>
  <c r="AC3770" i="7" s="1"/>
  <c r="Q3769" i="7"/>
  <c r="AC3769" i="7" s="1"/>
  <c r="S3768" i="7"/>
  <c r="AC3768" i="7" s="1"/>
  <c r="Y3767" i="7"/>
  <c r="AC3766" i="7"/>
  <c r="AC3765" i="7"/>
  <c r="N3765" i="7"/>
  <c r="M3765" i="7"/>
  <c r="Q3764" i="7"/>
  <c r="AC3764" i="7" s="1"/>
  <c r="Q3763" i="7"/>
  <c r="AC3763" i="7" s="1"/>
  <c r="AC3762" i="7"/>
  <c r="Q3761" i="7"/>
  <c r="AC3761" i="7" s="1"/>
  <c r="Q3760" i="7"/>
  <c r="AC3760" i="7" s="1"/>
  <c r="R3759" i="7"/>
  <c r="AC3759" i="7" s="1"/>
  <c r="Q3758" i="7"/>
  <c r="AC3758" i="7" s="1"/>
  <c r="Q3757" i="7"/>
  <c r="AC3757" i="7" s="1"/>
  <c r="Q3756" i="7"/>
  <c r="AC3756" i="7" s="1"/>
  <c r="AC3755" i="7"/>
  <c r="AC3754" i="7"/>
  <c r="AC3753" i="7"/>
  <c r="AC3752" i="7"/>
  <c r="AC3751" i="7"/>
  <c r="AC3750" i="7"/>
  <c r="Q3749" i="7"/>
  <c r="Q3748" i="7"/>
  <c r="AC3748" i="7" s="1"/>
  <c r="AB3747" i="7"/>
  <c r="AA3747" i="7"/>
  <c r="Z3747" i="7"/>
  <c r="Y3747" i="7"/>
  <c r="X3747" i="7"/>
  <c r="W3747" i="7"/>
  <c r="V3747" i="7"/>
  <c r="U3747" i="7"/>
  <c r="T3747" i="7"/>
  <c r="S3747" i="7"/>
  <c r="AC3746" i="7"/>
  <c r="AC3745" i="7"/>
  <c r="M3745" i="7"/>
  <c r="Q3744" i="7"/>
  <c r="AC3744" i="7" s="1"/>
  <c r="Q3743" i="7"/>
  <c r="AC3743" i="7" s="1"/>
  <c r="Q3742" i="7"/>
  <c r="AC3742" i="7" s="1"/>
  <c r="Q3741" i="7"/>
  <c r="AC3741" i="7" s="1"/>
  <c r="Q3740" i="7"/>
  <c r="AC3740" i="7" s="1"/>
  <c r="AC3739" i="7"/>
  <c r="AC3738" i="7"/>
  <c r="AC3737" i="7"/>
  <c r="Q3736" i="7"/>
  <c r="AC3736" i="7" s="1"/>
  <c r="AB3735" i="7"/>
  <c r="AA3735" i="7"/>
  <c r="Z3735" i="7"/>
  <c r="Y3735" i="7"/>
  <c r="X3735" i="7"/>
  <c r="W3735" i="7"/>
  <c r="V3735" i="7"/>
  <c r="U3735" i="7"/>
  <c r="T3735" i="7"/>
  <c r="S3735" i="7"/>
  <c r="R3735" i="7"/>
  <c r="AC3734" i="7"/>
  <c r="AC3733" i="7"/>
  <c r="N3733" i="7"/>
  <c r="M3733" i="7"/>
  <c r="AC3732" i="7"/>
  <c r="Q3731" i="7"/>
  <c r="AC3731" i="7" s="1"/>
  <c r="Q3730" i="7"/>
  <c r="AC3730" i="7" s="1"/>
  <c r="Q3729" i="7"/>
  <c r="AC3729" i="7" s="1"/>
  <c r="Q3728" i="7"/>
  <c r="AC3728" i="7" s="1"/>
  <c r="Q3727" i="7"/>
  <c r="AC3727" i="7" s="1"/>
  <c r="Q3726" i="7"/>
  <c r="AC3726" i="7" s="1"/>
  <c r="Q3725" i="7"/>
  <c r="AC3725" i="7" s="1"/>
  <c r="Q3724" i="7"/>
  <c r="AC3724" i="7" s="1"/>
  <c r="Q3723" i="7"/>
  <c r="AC3723" i="7" s="1"/>
  <c r="Q3722" i="7"/>
  <c r="AC3722" i="7" s="1"/>
  <c r="R3721" i="7"/>
  <c r="AC3721" i="7" s="1"/>
  <c r="Q3720" i="7"/>
  <c r="AC3720" i="7" s="1"/>
  <c r="Q3719" i="7"/>
  <c r="AC3719" i="7" s="1"/>
  <c r="Q3718" i="7"/>
  <c r="AC3718" i="7" s="1"/>
  <c r="Q3717" i="7"/>
  <c r="AC3717" i="7" s="1"/>
  <c r="Q3716" i="7"/>
  <c r="AC3716" i="7" s="1"/>
  <c r="S3715" i="7"/>
  <c r="AC3715" i="7" s="1"/>
  <c r="R3714" i="7"/>
  <c r="AC3714" i="7" s="1"/>
  <c r="Q3713" i="7"/>
  <c r="AC3713" i="7" s="1"/>
  <c r="Q3712" i="7"/>
  <c r="AC3712" i="7" s="1"/>
  <c r="Q3711" i="7"/>
  <c r="AC3711" i="7" s="1"/>
  <c r="Q3710" i="7"/>
  <c r="AC3710" i="7" s="1"/>
  <c r="AC3709" i="7"/>
  <c r="Q3708" i="7"/>
  <c r="AC3708" i="7" s="1"/>
  <c r="Q3707" i="7"/>
  <c r="AC3707" i="7" s="1"/>
  <c r="Q3706" i="7"/>
  <c r="AC3706" i="7" s="1"/>
  <c r="Q3705" i="7"/>
  <c r="AC3705" i="7" s="1"/>
  <c r="Q3704" i="7"/>
  <c r="AC3704" i="7" s="1"/>
  <c r="Q3703" i="7"/>
  <c r="AC3703" i="7" s="1"/>
  <c r="Q3702" i="7"/>
  <c r="AC3702" i="7" s="1"/>
  <c r="Q3701" i="7"/>
  <c r="AC3701" i="7" s="1"/>
  <c r="Q3700" i="7"/>
  <c r="AC3700" i="7" s="1"/>
  <c r="Q3699" i="7"/>
  <c r="AC3699" i="7" s="1"/>
  <c r="Q3698" i="7"/>
  <c r="AC3698" i="7" s="1"/>
  <c r="Q3697" i="7"/>
  <c r="AC3697" i="7" s="1"/>
  <c r="Q3696" i="7"/>
  <c r="AC3696" i="7" s="1"/>
  <c r="Q3695" i="7"/>
  <c r="AC3695" i="7" s="1"/>
  <c r="Q3694" i="7"/>
  <c r="AC3694" i="7" s="1"/>
  <c r="Q3693" i="7"/>
  <c r="AC3693" i="7" s="1"/>
  <c r="Q3692" i="7"/>
  <c r="AC3692" i="7" s="1"/>
  <c r="Q3691" i="7"/>
  <c r="AC3691" i="7" s="1"/>
  <c r="Q3690" i="7"/>
  <c r="AC3690" i="7" s="1"/>
  <c r="Q3689" i="7"/>
  <c r="AC3689" i="7" s="1"/>
  <c r="Q3688" i="7"/>
  <c r="AC3688" i="7" s="1"/>
  <c r="Q3687" i="7"/>
  <c r="AC3687" i="7" s="1"/>
  <c r="Q3686" i="7"/>
  <c r="AC3686" i="7" s="1"/>
  <c r="Q3685" i="7"/>
  <c r="AC3685" i="7" s="1"/>
  <c r="Q3684" i="7"/>
  <c r="AC3684" i="7" s="1"/>
  <c r="Q3683" i="7"/>
  <c r="AC3683" i="7" s="1"/>
  <c r="Q3682" i="7"/>
  <c r="AC3682" i="7" s="1"/>
  <c r="Q3681" i="7"/>
  <c r="AC3681" i="7" s="1"/>
  <c r="Q3680" i="7"/>
  <c r="AC3680" i="7" s="1"/>
  <c r="Q3679" i="7"/>
  <c r="AC3679" i="7" s="1"/>
  <c r="T3678" i="7"/>
  <c r="AC3678" i="7" s="1"/>
  <c r="Q3677" i="7"/>
  <c r="AC3677" i="7" s="1"/>
  <c r="Q3676" i="7"/>
  <c r="AC3676" i="7" s="1"/>
  <c r="Q3675" i="7"/>
  <c r="AC3675" i="7" s="1"/>
  <c r="Q3674" i="7"/>
  <c r="AC3674" i="7" s="1"/>
  <c r="Q3673" i="7"/>
  <c r="AC3673" i="7" s="1"/>
  <c r="Q3672" i="7"/>
  <c r="AC3672" i="7" s="1"/>
  <c r="Q3671" i="7"/>
  <c r="AC3671" i="7" s="1"/>
  <c r="Q3670" i="7"/>
  <c r="AC3670" i="7" s="1"/>
  <c r="Q3669" i="7"/>
  <c r="AC3669" i="7" s="1"/>
  <c r="Q3668" i="7"/>
  <c r="AC3668" i="7" s="1"/>
  <c r="Q3667" i="7"/>
  <c r="AC3667" i="7" s="1"/>
  <c r="Q3666" i="7"/>
  <c r="AC3666" i="7" s="1"/>
  <c r="Q3665" i="7"/>
  <c r="AC3665" i="7" s="1"/>
  <c r="Q3664" i="7"/>
  <c r="AC3664" i="7" s="1"/>
  <c r="Q3663" i="7"/>
  <c r="AC3663" i="7" s="1"/>
  <c r="AC3662" i="7"/>
  <c r="Q3661" i="7"/>
  <c r="AC3661" i="7" s="1"/>
  <c r="Q3660" i="7"/>
  <c r="AC3660" i="7" s="1"/>
  <c r="Q3659" i="7"/>
  <c r="AC3659" i="7" s="1"/>
  <c r="Q3658" i="7"/>
  <c r="AC3658" i="7" s="1"/>
  <c r="Q3657" i="7"/>
  <c r="AC3657" i="7" s="1"/>
  <c r="S3656" i="7"/>
  <c r="Q3655" i="7"/>
  <c r="AC3655" i="7" s="1"/>
  <c r="Q3654" i="7"/>
  <c r="Q3653" i="7"/>
  <c r="AC3653" i="7" s="1"/>
  <c r="Q3652" i="7"/>
  <c r="AC3652" i="7" s="1"/>
  <c r="Q3651" i="7"/>
  <c r="Q3650" i="7"/>
  <c r="AC3650" i="7" s="1"/>
  <c r="Q3649" i="7"/>
  <c r="AC3649" i="7" s="1"/>
  <c r="Q3648" i="7"/>
  <c r="AC3648" i="7" s="1"/>
  <c r="Q3647" i="7"/>
  <c r="Q3646" i="7"/>
  <c r="AC3646" i="7" s="1"/>
  <c r="Q3645" i="7"/>
  <c r="AC3645" i="7" s="1"/>
  <c r="Q3644" i="7"/>
  <c r="AC3644" i="7" s="1"/>
  <c r="AB3643" i="7"/>
  <c r="AA3643" i="7"/>
  <c r="Z3643" i="7"/>
  <c r="Y3643" i="7"/>
  <c r="X3643" i="7"/>
  <c r="W3643" i="7"/>
  <c r="V3643" i="7"/>
  <c r="U3643" i="7"/>
  <c r="AC3642" i="7"/>
  <c r="AB3641" i="7"/>
  <c r="AA3641" i="7"/>
  <c r="Z3641" i="7"/>
  <c r="Y3641" i="7"/>
  <c r="X3641" i="7"/>
  <c r="W3641" i="7"/>
  <c r="V3641" i="7"/>
  <c r="U3641" i="7"/>
  <c r="T3641" i="7"/>
  <c r="Q3641" i="7"/>
  <c r="N3641" i="7"/>
  <c r="M3641" i="7"/>
  <c r="R3640" i="7"/>
  <c r="R3637" i="7" s="1"/>
  <c r="S3639" i="7"/>
  <c r="AC3639" i="7" s="1"/>
  <c r="S3638" i="7"/>
  <c r="AC3638" i="7" s="1"/>
  <c r="AB3637" i="7"/>
  <c r="AA3637" i="7"/>
  <c r="Z3637" i="7"/>
  <c r="Y3637" i="7"/>
  <c r="X3637" i="7"/>
  <c r="W3637" i="7"/>
  <c r="V3637" i="7"/>
  <c r="U3637" i="7"/>
  <c r="T3637" i="7"/>
  <c r="Q3637" i="7"/>
  <c r="AC3636" i="7"/>
  <c r="N3635" i="7"/>
  <c r="M3635" i="7"/>
  <c r="Q3634" i="7"/>
  <c r="AC3634" i="7" s="1"/>
  <c r="Q3633" i="7"/>
  <c r="AC3633" i="7" s="1"/>
  <c r="Q3632" i="7"/>
  <c r="AC3632" i="7" s="1"/>
  <c r="R3631" i="7"/>
  <c r="AC3631" i="7" s="1"/>
  <c r="S3630" i="7"/>
  <c r="AC3630" i="7" s="1"/>
  <c r="Q3629" i="7"/>
  <c r="AC3629" i="7" s="1"/>
  <c r="R3628" i="7"/>
  <c r="AC3628" i="7" s="1"/>
  <c r="S3627" i="7"/>
  <c r="AC3627" i="7" s="1"/>
  <c r="S3626" i="7"/>
  <c r="AC3626" i="7" s="1"/>
  <c r="T3625" i="7"/>
  <c r="AC3625" i="7" s="1"/>
  <c r="AC3624" i="7"/>
  <c r="AC3623" i="7"/>
  <c r="T3622" i="7"/>
  <c r="AC3622" i="7" s="1"/>
  <c r="S3621" i="7"/>
  <c r="AC3621" i="7" s="1"/>
  <c r="S3620" i="7"/>
  <c r="AC3620" i="7" s="1"/>
  <c r="S3619" i="7"/>
  <c r="AC3619" i="7" s="1"/>
  <c r="R3618" i="7"/>
  <c r="AC3618" i="7" s="1"/>
  <c r="Q3617" i="7"/>
  <c r="AC3617" i="7" s="1"/>
  <c r="AC3616" i="7"/>
  <c r="W3615" i="7"/>
  <c r="AC3615" i="7" s="1"/>
  <c r="Q3614" i="7"/>
  <c r="AC3614" i="7" s="1"/>
  <c r="Q3613" i="7"/>
  <c r="AC3613" i="7" s="1"/>
  <c r="Q3612" i="7"/>
  <c r="AC3612" i="7" s="1"/>
  <c r="AB3611" i="7"/>
  <c r="AA3611" i="7"/>
  <c r="Z3611" i="7"/>
  <c r="Y3611" i="7"/>
  <c r="X3611" i="7"/>
  <c r="V3611" i="7"/>
  <c r="U3611" i="7"/>
  <c r="Q3610" i="7"/>
  <c r="AC3610" i="7" s="1"/>
  <c r="R3597" i="7"/>
  <c r="AA3597" i="7" s="1"/>
  <c r="P3596" i="7"/>
  <c r="AA3596" i="7" s="1"/>
  <c r="Q3595" i="7"/>
  <c r="AA3595" i="7" s="1"/>
  <c r="Z3594" i="7"/>
  <c r="Y3594" i="7"/>
  <c r="X3594" i="7"/>
  <c r="W3594" i="7"/>
  <c r="V3594" i="7"/>
  <c r="U3594" i="7"/>
  <c r="T3594" i="7"/>
  <c r="S3594" i="7"/>
  <c r="R3594" i="7"/>
  <c r="Q3594" i="7"/>
  <c r="P3594" i="7"/>
  <c r="O3594" i="7"/>
  <c r="O3593" i="7"/>
  <c r="AA3593" i="7" s="1"/>
  <c r="Z3592" i="7"/>
  <c r="T3592" i="7"/>
  <c r="Z3591" i="7"/>
  <c r="Y3591" i="7"/>
  <c r="X3591" i="7"/>
  <c r="W3591" i="7"/>
  <c r="V3591" i="7"/>
  <c r="U3591" i="7"/>
  <c r="T3591" i="7"/>
  <c r="S3591" i="7"/>
  <c r="R3591" i="7"/>
  <c r="Q3591" i="7"/>
  <c r="P3591" i="7"/>
  <c r="O3591" i="7"/>
  <c r="Z3590" i="7"/>
  <c r="Y3590" i="7"/>
  <c r="X3590" i="7"/>
  <c r="W3590" i="7"/>
  <c r="V3590" i="7"/>
  <c r="U3590" i="7"/>
  <c r="T3590" i="7"/>
  <c r="S3590" i="7"/>
  <c r="R3590" i="7"/>
  <c r="Q3590" i="7"/>
  <c r="P3590" i="7"/>
  <c r="O3590" i="7"/>
  <c r="Z3589" i="7"/>
  <c r="Y3589" i="7"/>
  <c r="X3589" i="7"/>
  <c r="W3589" i="7"/>
  <c r="V3589" i="7"/>
  <c r="U3589" i="7"/>
  <c r="T3589" i="7"/>
  <c r="S3589" i="7"/>
  <c r="R3589" i="7"/>
  <c r="Q3589" i="7"/>
  <c r="P3589" i="7"/>
  <c r="O3589" i="7"/>
  <c r="AA3587" i="7"/>
  <c r="K3584" i="7"/>
  <c r="Z3583" i="7"/>
  <c r="Y3583" i="7"/>
  <c r="X3583" i="7"/>
  <c r="W3583" i="7"/>
  <c r="V3583" i="7"/>
  <c r="U3583" i="7"/>
  <c r="T3583" i="7"/>
  <c r="S3583" i="7"/>
  <c r="R3583" i="7"/>
  <c r="Q3583" i="7"/>
  <c r="P3583" i="7"/>
  <c r="R3582" i="7"/>
  <c r="AA3582" i="7" s="1"/>
  <c r="Q3581" i="7"/>
  <c r="AA3581" i="7" s="1"/>
  <c r="Q3580" i="7"/>
  <c r="AA3580" i="7" s="1"/>
  <c r="Z3579" i="7"/>
  <c r="Y3579" i="7"/>
  <c r="X3579" i="7"/>
  <c r="W3579" i="7"/>
  <c r="V3579" i="7"/>
  <c r="U3579" i="7"/>
  <c r="T3579" i="7"/>
  <c r="S3579" i="7"/>
  <c r="R3579" i="7"/>
  <c r="Q3579" i="7"/>
  <c r="P3579" i="7"/>
  <c r="O3579" i="7"/>
  <c r="O3578" i="7"/>
  <c r="AA3578" i="7" s="1"/>
  <c r="Z3577" i="7"/>
  <c r="T3577" i="7"/>
  <c r="Z3576" i="7"/>
  <c r="Y3576" i="7"/>
  <c r="X3576" i="7"/>
  <c r="W3576" i="7"/>
  <c r="V3576" i="7"/>
  <c r="U3576" i="7"/>
  <c r="T3576" i="7"/>
  <c r="S3576" i="7"/>
  <c r="R3576" i="7"/>
  <c r="Q3576" i="7"/>
  <c r="P3576" i="7"/>
  <c r="O3576" i="7"/>
  <c r="Z3575" i="7"/>
  <c r="Y3575" i="7"/>
  <c r="X3575" i="7"/>
  <c r="W3575" i="7"/>
  <c r="V3575" i="7"/>
  <c r="U3575" i="7"/>
  <c r="T3575" i="7"/>
  <c r="S3575" i="7"/>
  <c r="R3575" i="7"/>
  <c r="Q3575" i="7"/>
  <c r="P3575" i="7"/>
  <c r="O3575" i="7"/>
  <c r="Z3574" i="7"/>
  <c r="Y3574" i="7"/>
  <c r="X3574" i="7"/>
  <c r="W3574" i="7"/>
  <c r="V3574" i="7"/>
  <c r="U3574" i="7"/>
  <c r="T3574" i="7"/>
  <c r="S3574" i="7"/>
  <c r="R3574" i="7"/>
  <c r="Q3574" i="7"/>
  <c r="P3574" i="7"/>
  <c r="O3574" i="7"/>
  <c r="Z3573" i="7"/>
  <c r="Y3573" i="7"/>
  <c r="X3573" i="7"/>
  <c r="W3573" i="7"/>
  <c r="V3573" i="7"/>
  <c r="U3573" i="7"/>
  <c r="T3573" i="7"/>
  <c r="S3573" i="7"/>
  <c r="R3573" i="7"/>
  <c r="Q3573" i="7"/>
  <c r="P3573" i="7"/>
  <c r="O3573" i="7"/>
  <c r="AA3572" i="7"/>
  <c r="AA3571" i="7"/>
  <c r="K3568" i="7"/>
  <c r="U3567" i="7"/>
  <c r="Q3567" i="7"/>
  <c r="Q3566" i="7"/>
  <c r="AA3566" i="7" s="1"/>
  <c r="Z3565" i="7"/>
  <c r="Y3565" i="7"/>
  <c r="X3565" i="7"/>
  <c r="W3565" i="7"/>
  <c r="V3565" i="7"/>
  <c r="U3565" i="7"/>
  <c r="T3565" i="7"/>
  <c r="S3565" i="7"/>
  <c r="R3565" i="7"/>
  <c r="Q3565" i="7"/>
  <c r="P3565" i="7"/>
  <c r="P3564" i="7"/>
  <c r="AA3564" i="7" s="1"/>
  <c r="P3563" i="7"/>
  <c r="AA3563" i="7" s="1"/>
  <c r="Q3562" i="7"/>
  <c r="AA3562" i="7" s="1"/>
  <c r="Q3561" i="7"/>
  <c r="AA3561" i="7" s="1"/>
  <c r="Z3560" i="7"/>
  <c r="Y3560" i="7"/>
  <c r="X3560" i="7"/>
  <c r="W3560" i="7"/>
  <c r="V3560" i="7"/>
  <c r="U3560" i="7"/>
  <c r="T3560" i="7"/>
  <c r="S3560" i="7"/>
  <c r="R3560" i="7"/>
  <c r="Q3560" i="7"/>
  <c r="P3560" i="7"/>
  <c r="O3560" i="7"/>
  <c r="O3559" i="7"/>
  <c r="AA3559" i="7" s="1"/>
  <c r="Z3558" i="7"/>
  <c r="T3558" i="7"/>
  <c r="Z3557" i="7"/>
  <c r="Y3557" i="7"/>
  <c r="X3557" i="7"/>
  <c r="W3557" i="7"/>
  <c r="V3557" i="7"/>
  <c r="U3557" i="7"/>
  <c r="T3557" i="7"/>
  <c r="S3557" i="7"/>
  <c r="R3557" i="7"/>
  <c r="Q3557" i="7"/>
  <c r="P3557" i="7"/>
  <c r="O3557" i="7"/>
  <c r="Z3556" i="7"/>
  <c r="Y3556" i="7"/>
  <c r="X3556" i="7"/>
  <c r="W3556" i="7"/>
  <c r="V3556" i="7"/>
  <c r="U3556" i="7"/>
  <c r="T3556" i="7"/>
  <c r="S3556" i="7"/>
  <c r="R3556" i="7"/>
  <c r="Q3556" i="7"/>
  <c r="P3556" i="7"/>
  <c r="O3556" i="7"/>
  <c r="Z3555" i="7"/>
  <c r="Y3555" i="7"/>
  <c r="X3555" i="7"/>
  <c r="W3555" i="7"/>
  <c r="V3555" i="7"/>
  <c r="U3555" i="7"/>
  <c r="T3555" i="7"/>
  <c r="S3555" i="7"/>
  <c r="R3555" i="7"/>
  <c r="Q3555" i="7"/>
  <c r="P3555" i="7"/>
  <c r="O3555" i="7"/>
  <c r="Z3554" i="7"/>
  <c r="Y3554" i="7"/>
  <c r="X3554" i="7"/>
  <c r="W3554" i="7"/>
  <c r="V3554" i="7"/>
  <c r="U3554" i="7"/>
  <c r="T3554" i="7"/>
  <c r="S3554" i="7"/>
  <c r="R3554" i="7"/>
  <c r="Q3554" i="7"/>
  <c r="P3554" i="7"/>
  <c r="O3554" i="7"/>
  <c r="AA3552" i="7"/>
  <c r="K3546" i="7"/>
  <c r="Q3545" i="7"/>
  <c r="R3544" i="7"/>
  <c r="Z3543" i="7"/>
  <c r="Z3539" i="7" s="1"/>
  <c r="Y3543" i="7"/>
  <c r="Y3539" i="7" s="1"/>
  <c r="X3543" i="7"/>
  <c r="X3539" i="7" s="1"/>
  <c r="W3543" i="7"/>
  <c r="W3539" i="7" s="1"/>
  <c r="V3543" i="7"/>
  <c r="V3539" i="7" s="1"/>
  <c r="U3543" i="7"/>
  <c r="U3539" i="7" s="1"/>
  <c r="T3543" i="7"/>
  <c r="T3539" i="7" s="1"/>
  <c r="S3543" i="7"/>
  <c r="S3539" i="7" s="1"/>
  <c r="R3543" i="7"/>
  <c r="Q3543" i="7"/>
  <c r="P3543" i="7"/>
  <c r="P3542" i="7"/>
  <c r="R3541" i="7"/>
  <c r="Q3540" i="7"/>
  <c r="O3539" i="7"/>
  <c r="AA3538" i="7"/>
  <c r="K3533" i="7"/>
  <c r="Z3532" i="7"/>
  <c r="Y3532" i="7"/>
  <c r="X3532" i="7"/>
  <c r="W3532" i="7"/>
  <c r="V3532" i="7"/>
  <c r="U3532" i="7"/>
  <c r="T3532" i="7"/>
  <c r="S3532" i="7"/>
  <c r="R3532" i="7"/>
  <c r="Q3532" i="7"/>
  <c r="P3532" i="7"/>
  <c r="O3532" i="7"/>
  <c r="Z3531" i="7"/>
  <c r="Y3531" i="7"/>
  <c r="X3531" i="7"/>
  <c r="W3531" i="7"/>
  <c r="V3531" i="7"/>
  <c r="U3531" i="7"/>
  <c r="T3531" i="7"/>
  <c r="S3531" i="7"/>
  <c r="R3531" i="7"/>
  <c r="Q3531" i="7"/>
  <c r="P3531" i="7"/>
  <c r="O3531" i="7"/>
  <c r="Z3530" i="7"/>
  <c r="X3530" i="7"/>
  <c r="V3530" i="7"/>
  <c r="T3530" i="7"/>
  <c r="R3530" i="7"/>
  <c r="R3529" i="7"/>
  <c r="AA3529" i="7" s="1"/>
  <c r="Z3528" i="7"/>
  <c r="Y3528" i="7"/>
  <c r="X3528" i="7"/>
  <c r="W3528" i="7"/>
  <c r="V3528" i="7"/>
  <c r="U3528" i="7"/>
  <c r="T3528" i="7"/>
  <c r="S3528" i="7"/>
  <c r="R3528" i="7"/>
  <c r="Q3528" i="7"/>
  <c r="P3528" i="7"/>
  <c r="Z3527" i="7"/>
  <c r="Y3527" i="7"/>
  <c r="X3527" i="7"/>
  <c r="W3527" i="7"/>
  <c r="V3527" i="7"/>
  <c r="U3527" i="7"/>
  <c r="T3527" i="7"/>
  <c r="S3527" i="7"/>
  <c r="R3527" i="7"/>
  <c r="Q3527" i="7"/>
  <c r="P3527" i="7"/>
  <c r="P3526" i="7"/>
  <c r="AA3526" i="7" s="1"/>
  <c r="V3525" i="7"/>
  <c r="Q3525" i="7"/>
  <c r="R3524" i="7"/>
  <c r="AA3524" i="7" s="1"/>
  <c r="R3523" i="7"/>
  <c r="AA3523" i="7" s="1"/>
  <c r="V3522" i="7"/>
  <c r="P3522" i="7"/>
  <c r="V3521" i="7"/>
  <c r="Q3521" i="7"/>
  <c r="S3520" i="7"/>
  <c r="AA3520" i="7" s="1"/>
  <c r="Z3519" i="7"/>
  <c r="Y3519" i="7"/>
  <c r="X3519" i="7"/>
  <c r="W3519" i="7"/>
  <c r="V3519" i="7"/>
  <c r="U3519" i="7"/>
  <c r="T3519" i="7"/>
  <c r="S3519" i="7"/>
  <c r="R3519" i="7"/>
  <c r="Q3519" i="7"/>
  <c r="P3519" i="7"/>
  <c r="O3519" i="7"/>
  <c r="Z3518" i="7"/>
  <c r="Y3518" i="7"/>
  <c r="X3518" i="7"/>
  <c r="W3518" i="7"/>
  <c r="V3518" i="7"/>
  <c r="U3518" i="7"/>
  <c r="T3518" i="7"/>
  <c r="S3518" i="7"/>
  <c r="R3518" i="7"/>
  <c r="Q3518" i="7"/>
  <c r="P3518" i="7"/>
  <c r="O3518" i="7"/>
  <c r="O3517" i="7"/>
  <c r="AA3517" i="7" s="1"/>
  <c r="Z3516" i="7"/>
  <c r="T3516" i="7"/>
  <c r="Z3515" i="7"/>
  <c r="Y3515" i="7"/>
  <c r="X3515" i="7"/>
  <c r="W3515" i="7"/>
  <c r="V3515" i="7"/>
  <c r="U3515" i="7"/>
  <c r="T3515" i="7"/>
  <c r="S3515" i="7"/>
  <c r="R3515" i="7"/>
  <c r="Q3515" i="7"/>
  <c r="P3515" i="7"/>
  <c r="O3515" i="7"/>
  <c r="Z3514" i="7"/>
  <c r="Y3514" i="7"/>
  <c r="X3514" i="7"/>
  <c r="W3514" i="7"/>
  <c r="V3514" i="7"/>
  <c r="U3514" i="7"/>
  <c r="T3514" i="7"/>
  <c r="S3514" i="7"/>
  <c r="R3514" i="7"/>
  <c r="Q3514" i="7"/>
  <c r="P3514" i="7"/>
  <c r="O3514" i="7"/>
  <c r="Z3513" i="7"/>
  <c r="Y3513" i="7"/>
  <c r="X3513" i="7"/>
  <c r="W3513" i="7"/>
  <c r="V3513" i="7"/>
  <c r="U3513" i="7"/>
  <c r="T3513" i="7"/>
  <c r="S3513" i="7"/>
  <c r="R3513" i="7"/>
  <c r="Q3513" i="7"/>
  <c r="P3513" i="7"/>
  <c r="O3513" i="7"/>
  <c r="Z3512" i="7"/>
  <c r="Y3512" i="7"/>
  <c r="X3512" i="7"/>
  <c r="W3512" i="7"/>
  <c r="V3512" i="7"/>
  <c r="U3512" i="7"/>
  <c r="T3512" i="7"/>
  <c r="S3512" i="7"/>
  <c r="R3512" i="7"/>
  <c r="Q3512" i="7"/>
  <c r="P3512" i="7"/>
  <c r="O3512" i="7"/>
  <c r="Z3511" i="7"/>
  <c r="Y3511" i="7"/>
  <c r="X3511" i="7"/>
  <c r="W3511" i="7"/>
  <c r="V3511" i="7"/>
  <c r="U3511" i="7"/>
  <c r="T3511" i="7"/>
  <c r="S3511" i="7"/>
  <c r="R3511" i="7"/>
  <c r="Q3511" i="7"/>
  <c r="P3511" i="7"/>
  <c r="O3511" i="7"/>
  <c r="AA3509" i="7"/>
  <c r="K3506" i="7"/>
  <c r="Y3505" i="7"/>
  <c r="W3505" i="7"/>
  <c r="U3505" i="7"/>
  <c r="S3505" i="7"/>
  <c r="Q3505" i="7"/>
  <c r="Z3504" i="7"/>
  <c r="Y3504" i="7"/>
  <c r="X3504" i="7"/>
  <c r="W3504" i="7"/>
  <c r="V3504" i="7"/>
  <c r="U3504" i="7"/>
  <c r="T3504" i="7"/>
  <c r="S3504" i="7"/>
  <c r="R3504" i="7"/>
  <c r="Q3504" i="7"/>
  <c r="P3504" i="7"/>
  <c r="O3504" i="7"/>
  <c r="O3503" i="7"/>
  <c r="AA3503" i="7" s="1"/>
  <c r="Z3502" i="7"/>
  <c r="T3502" i="7"/>
  <c r="Z3501" i="7"/>
  <c r="Y3501" i="7"/>
  <c r="X3501" i="7"/>
  <c r="W3501" i="7"/>
  <c r="V3501" i="7"/>
  <c r="U3501" i="7"/>
  <c r="T3501" i="7"/>
  <c r="S3501" i="7"/>
  <c r="R3501" i="7"/>
  <c r="Q3501" i="7"/>
  <c r="P3501" i="7"/>
  <c r="O3501" i="7"/>
  <c r="Z3500" i="7"/>
  <c r="Y3500" i="7"/>
  <c r="X3500" i="7"/>
  <c r="W3500" i="7"/>
  <c r="V3500" i="7"/>
  <c r="U3500" i="7"/>
  <c r="T3500" i="7"/>
  <c r="S3500" i="7"/>
  <c r="R3500" i="7"/>
  <c r="Q3500" i="7"/>
  <c r="P3500" i="7"/>
  <c r="O3500" i="7"/>
  <c r="AA3498" i="7"/>
  <c r="K3495" i="7"/>
  <c r="U3494" i="7"/>
  <c r="Q3494" i="7"/>
  <c r="Z3493" i="7"/>
  <c r="Y3493" i="7"/>
  <c r="X3493" i="7"/>
  <c r="W3493" i="7"/>
  <c r="V3493" i="7"/>
  <c r="U3493" i="7"/>
  <c r="T3493" i="7"/>
  <c r="S3493" i="7"/>
  <c r="R3493" i="7"/>
  <c r="Q3493" i="7"/>
  <c r="P3493" i="7"/>
  <c r="O3493" i="7"/>
  <c r="O3492" i="7"/>
  <c r="AA3492" i="7" s="1"/>
  <c r="Z3491" i="7"/>
  <c r="T3491" i="7"/>
  <c r="Z3490" i="7"/>
  <c r="Y3490" i="7"/>
  <c r="X3490" i="7"/>
  <c r="W3490" i="7"/>
  <c r="V3490" i="7"/>
  <c r="U3490" i="7"/>
  <c r="T3490" i="7"/>
  <c r="S3490" i="7"/>
  <c r="R3490" i="7"/>
  <c r="Q3490" i="7"/>
  <c r="P3490" i="7"/>
  <c r="O3490" i="7"/>
  <c r="Z3489" i="7"/>
  <c r="Y3489" i="7"/>
  <c r="X3489" i="7"/>
  <c r="W3489" i="7"/>
  <c r="V3489" i="7"/>
  <c r="U3489" i="7"/>
  <c r="T3489" i="7"/>
  <c r="S3489" i="7"/>
  <c r="R3489" i="7"/>
  <c r="Q3489" i="7"/>
  <c r="P3489" i="7"/>
  <c r="O3489" i="7"/>
  <c r="AA3487" i="7"/>
  <c r="K3482" i="7"/>
  <c r="Z3481" i="7"/>
  <c r="Z3480" i="7" s="1"/>
  <c r="Y3481" i="7"/>
  <c r="Y3480" i="7" s="1"/>
  <c r="X3481" i="7"/>
  <c r="X3480" i="7" s="1"/>
  <c r="W3481" i="7"/>
  <c r="W3480" i="7" s="1"/>
  <c r="V3481" i="7"/>
  <c r="V3480" i="7" s="1"/>
  <c r="U3481" i="7"/>
  <c r="U3480" i="7" s="1"/>
  <c r="T3481" i="7"/>
  <c r="T3480" i="7" s="1"/>
  <c r="S3481" i="7"/>
  <c r="S3480" i="7" s="1"/>
  <c r="R3481" i="7"/>
  <c r="R3480" i="7" s="1"/>
  <c r="Q3481" i="7"/>
  <c r="Q3480" i="7" s="1"/>
  <c r="P3481" i="7"/>
  <c r="P3480" i="7" s="1"/>
  <c r="O3480" i="7"/>
  <c r="AA3479" i="7"/>
  <c r="K3476" i="7"/>
  <c r="Z3475" i="7"/>
  <c r="Z3472" i="7" s="1"/>
  <c r="Y3475" i="7"/>
  <c r="X3475" i="7"/>
  <c r="W3475" i="7"/>
  <c r="W3472" i="7" s="1"/>
  <c r="V3475" i="7"/>
  <c r="V3472" i="7" s="1"/>
  <c r="U3475" i="7"/>
  <c r="U3472" i="7" s="1"/>
  <c r="T3475" i="7"/>
  <c r="T3472" i="7" s="1"/>
  <c r="S3475" i="7"/>
  <c r="S3472" i="7" s="1"/>
  <c r="R3475" i="7"/>
  <c r="Q3475" i="7"/>
  <c r="Q3472" i="7" s="1"/>
  <c r="P3475" i="7"/>
  <c r="P3474" i="7"/>
  <c r="AA3474" i="7" s="1"/>
  <c r="R3473" i="7"/>
  <c r="Y3472" i="7"/>
  <c r="X3472" i="7"/>
  <c r="O3472" i="7"/>
  <c r="AA3471" i="7"/>
  <c r="K3468" i="7"/>
  <c r="Y3467" i="7"/>
  <c r="W3467" i="7"/>
  <c r="U3467" i="7"/>
  <c r="S3467" i="7"/>
  <c r="Q3467" i="7"/>
  <c r="Q3466" i="7"/>
  <c r="AA3466" i="7" s="1"/>
  <c r="R3465" i="7"/>
  <c r="AA3465" i="7" s="1"/>
  <c r="Z3464" i="7"/>
  <c r="Y3464" i="7"/>
  <c r="X3464" i="7"/>
  <c r="W3464" i="7"/>
  <c r="V3464" i="7"/>
  <c r="U3464" i="7"/>
  <c r="T3464" i="7"/>
  <c r="S3464" i="7"/>
  <c r="R3464" i="7"/>
  <c r="Q3464" i="7"/>
  <c r="P3464" i="7"/>
  <c r="Z3463" i="7"/>
  <c r="Y3463" i="7"/>
  <c r="X3463" i="7"/>
  <c r="W3463" i="7"/>
  <c r="V3463" i="7"/>
  <c r="U3463" i="7"/>
  <c r="T3463" i="7"/>
  <c r="S3463" i="7"/>
  <c r="R3463" i="7"/>
  <c r="Q3463" i="7"/>
  <c r="P3463" i="7"/>
  <c r="V3462" i="7"/>
  <c r="P3462" i="7"/>
  <c r="Q3461" i="7"/>
  <c r="AA3461" i="7" s="1"/>
  <c r="P3460" i="7"/>
  <c r="AA3460" i="7" s="1"/>
  <c r="Q3459" i="7"/>
  <c r="AA3459" i="7" s="1"/>
  <c r="S3458" i="7"/>
  <c r="AA3458" i="7" s="1"/>
  <c r="O3457" i="7"/>
  <c r="AA3457" i="7" s="1"/>
  <c r="Z3456" i="7"/>
  <c r="Y3456" i="7"/>
  <c r="X3456" i="7"/>
  <c r="W3456" i="7"/>
  <c r="V3456" i="7"/>
  <c r="U3456" i="7"/>
  <c r="T3456" i="7"/>
  <c r="S3456" i="7"/>
  <c r="R3456" i="7"/>
  <c r="Q3456" i="7"/>
  <c r="P3456" i="7"/>
  <c r="O3456" i="7"/>
  <c r="Z3455" i="7"/>
  <c r="Y3455" i="7"/>
  <c r="X3455" i="7"/>
  <c r="W3455" i="7"/>
  <c r="V3455" i="7"/>
  <c r="U3455" i="7"/>
  <c r="T3455" i="7"/>
  <c r="S3455" i="7"/>
  <c r="R3455" i="7"/>
  <c r="Q3455" i="7"/>
  <c r="P3455" i="7"/>
  <c r="O3455" i="7"/>
  <c r="O3454" i="7"/>
  <c r="AA3454" i="7" s="1"/>
  <c r="Z3453" i="7"/>
  <c r="T3453" i="7"/>
  <c r="Z3452" i="7"/>
  <c r="Y3452" i="7"/>
  <c r="X3452" i="7"/>
  <c r="W3452" i="7"/>
  <c r="V3452" i="7"/>
  <c r="U3452" i="7"/>
  <c r="T3452" i="7"/>
  <c r="S3452" i="7"/>
  <c r="R3452" i="7"/>
  <c r="Q3452" i="7"/>
  <c r="P3452" i="7"/>
  <c r="O3452" i="7"/>
  <c r="Z3451" i="7"/>
  <c r="Y3451" i="7"/>
  <c r="X3451" i="7"/>
  <c r="W3451" i="7"/>
  <c r="V3451" i="7"/>
  <c r="U3451" i="7"/>
  <c r="T3451" i="7"/>
  <c r="S3451" i="7"/>
  <c r="R3451" i="7"/>
  <c r="Q3451" i="7"/>
  <c r="P3451" i="7"/>
  <c r="O3451" i="7"/>
  <c r="Z3450" i="7"/>
  <c r="Y3450" i="7"/>
  <c r="X3450" i="7"/>
  <c r="W3450" i="7"/>
  <c r="V3450" i="7"/>
  <c r="U3450" i="7"/>
  <c r="T3450" i="7"/>
  <c r="S3450" i="7"/>
  <c r="R3450" i="7"/>
  <c r="Q3450" i="7"/>
  <c r="P3450" i="7"/>
  <c r="O3450" i="7"/>
  <c r="Z3449" i="7"/>
  <c r="Y3449" i="7"/>
  <c r="X3449" i="7"/>
  <c r="W3449" i="7"/>
  <c r="V3449" i="7"/>
  <c r="U3449" i="7"/>
  <c r="T3449" i="7"/>
  <c r="S3449" i="7"/>
  <c r="R3449" i="7"/>
  <c r="Q3449" i="7"/>
  <c r="P3449" i="7"/>
  <c r="O3449" i="7"/>
  <c r="AA3447" i="7"/>
  <c r="K3437" i="7"/>
  <c r="Z3436" i="7"/>
  <c r="Y3436" i="7"/>
  <c r="X3436" i="7"/>
  <c r="W3436" i="7"/>
  <c r="V3436" i="7"/>
  <c r="U3436" i="7"/>
  <c r="T3436" i="7"/>
  <c r="S3436" i="7"/>
  <c r="R3436" i="7"/>
  <c r="Q3436" i="7"/>
  <c r="V3435" i="7"/>
  <c r="R3435" i="7"/>
  <c r="Z3434" i="7"/>
  <c r="Y3434" i="7"/>
  <c r="X3434" i="7"/>
  <c r="W3434" i="7"/>
  <c r="V3434" i="7"/>
  <c r="U3434" i="7"/>
  <c r="T3434" i="7"/>
  <c r="S3434" i="7"/>
  <c r="R3434" i="7"/>
  <c r="Q3434" i="7"/>
  <c r="P3434" i="7"/>
  <c r="O3434" i="7"/>
  <c r="O3433" i="7"/>
  <c r="AA3433" i="7" s="1"/>
  <c r="Z3432" i="7"/>
  <c r="U3432" i="7"/>
  <c r="Z3431" i="7"/>
  <c r="Y3431" i="7"/>
  <c r="X3431" i="7"/>
  <c r="W3431" i="7"/>
  <c r="V3431" i="7"/>
  <c r="U3431" i="7"/>
  <c r="T3431" i="7"/>
  <c r="S3431" i="7"/>
  <c r="R3431" i="7"/>
  <c r="Q3431" i="7"/>
  <c r="P3431" i="7"/>
  <c r="O3431" i="7"/>
  <c r="Z3430" i="7"/>
  <c r="Y3430" i="7"/>
  <c r="X3430" i="7"/>
  <c r="W3430" i="7"/>
  <c r="V3430" i="7"/>
  <c r="U3430" i="7"/>
  <c r="T3430" i="7"/>
  <c r="S3430" i="7"/>
  <c r="R3430" i="7"/>
  <c r="Q3430" i="7"/>
  <c r="P3430" i="7"/>
  <c r="O3430" i="7"/>
  <c r="Z3429" i="7"/>
  <c r="Y3429" i="7"/>
  <c r="X3429" i="7"/>
  <c r="W3429" i="7"/>
  <c r="V3429" i="7"/>
  <c r="U3429" i="7"/>
  <c r="T3429" i="7"/>
  <c r="S3429" i="7"/>
  <c r="R3429" i="7"/>
  <c r="Q3429" i="7"/>
  <c r="P3429" i="7"/>
  <c r="O3429" i="7"/>
  <c r="Z3428" i="7"/>
  <c r="Y3428" i="7"/>
  <c r="X3428" i="7"/>
  <c r="W3428" i="7"/>
  <c r="V3428" i="7"/>
  <c r="U3428" i="7"/>
  <c r="T3428" i="7"/>
  <c r="S3428" i="7"/>
  <c r="R3428" i="7"/>
  <c r="Q3428" i="7"/>
  <c r="P3428" i="7"/>
  <c r="O3428" i="7"/>
  <c r="Z3427" i="7"/>
  <c r="Y3427" i="7"/>
  <c r="X3427" i="7"/>
  <c r="W3427" i="7"/>
  <c r="V3427" i="7"/>
  <c r="U3427" i="7"/>
  <c r="T3427" i="7"/>
  <c r="S3427" i="7"/>
  <c r="R3427" i="7"/>
  <c r="Q3427" i="7"/>
  <c r="P3427" i="7"/>
  <c r="O3427" i="7"/>
  <c r="Z3426" i="7"/>
  <c r="Y3426" i="7"/>
  <c r="X3426" i="7"/>
  <c r="W3426" i="7"/>
  <c r="V3426" i="7"/>
  <c r="U3426" i="7"/>
  <c r="T3426" i="7"/>
  <c r="S3426" i="7"/>
  <c r="R3426" i="7"/>
  <c r="Q3426" i="7"/>
  <c r="P3426" i="7"/>
  <c r="O3426" i="7"/>
  <c r="Z3425" i="7"/>
  <c r="Y3425" i="7"/>
  <c r="X3425" i="7"/>
  <c r="W3425" i="7"/>
  <c r="V3425" i="7"/>
  <c r="U3425" i="7"/>
  <c r="T3425" i="7"/>
  <c r="S3425" i="7"/>
  <c r="R3425" i="7"/>
  <c r="Q3425" i="7"/>
  <c r="P3425" i="7"/>
  <c r="O3425" i="7"/>
  <c r="AA3423" i="7"/>
  <c r="K3420" i="7"/>
  <c r="Y3419" i="7"/>
  <c r="W3419" i="7"/>
  <c r="U3419" i="7"/>
  <c r="S3419" i="7"/>
  <c r="Q3419" i="7"/>
  <c r="V3418" i="7"/>
  <c r="R3418" i="7"/>
  <c r="R3417" i="7"/>
  <c r="AA3417" i="7" s="1"/>
  <c r="Z3416" i="7"/>
  <c r="Y3416" i="7"/>
  <c r="X3416" i="7"/>
  <c r="W3416" i="7"/>
  <c r="V3416" i="7"/>
  <c r="U3416" i="7"/>
  <c r="T3416" i="7"/>
  <c r="S3416" i="7"/>
  <c r="R3416" i="7"/>
  <c r="Q3416" i="7"/>
  <c r="P3416" i="7"/>
  <c r="O3416" i="7"/>
  <c r="O3415" i="7"/>
  <c r="AA3415" i="7" s="1"/>
  <c r="Z3414" i="7"/>
  <c r="U3414" i="7"/>
  <c r="Z3413" i="7"/>
  <c r="Y3413" i="7"/>
  <c r="X3413" i="7"/>
  <c r="W3413" i="7"/>
  <c r="V3413" i="7"/>
  <c r="U3413" i="7"/>
  <c r="T3413" i="7"/>
  <c r="S3413" i="7"/>
  <c r="R3413" i="7"/>
  <c r="Q3413" i="7"/>
  <c r="P3413" i="7"/>
  <c r="O3413" i="7"/>
  <c r="Z3412" i="7"/>
  <c r="Y3412" i="7"/>
  <c r="X3412" i="7"/>
  <c r="W3412" i="7"/>
  <c r="V3412" i="7"/>
  <c r="U3412" i="7"/>
  <c r="T3412" i="7"/>
  <c r="S3412" i="7"/>
  <c r="R3412" i="7"/>
  <c r="Q3412" i="7"/>
  <c r="P3412" i="7"/>
  <c r="O3412" i="7"/>
  <c r="Z3411" i="7"/>
  <c r="Y3411" i="7"/>
  <c r="X3411" i="7"/>
  <c r="W3411" i="7"/>
  <c r="V3411" i="7"/>
  <c r="U3411" i="7"/>
  <c r="T3411" i="7"/>
  <c r="S3411" i="7"/>
  <c r="R3411" i="7"/>
  <c r="Q3411" i="7"/>
  <c r="P3411" i="7"/>
  <c r="O3411" i="7"/>
  <c r="Z3410" i="7"/>
  <c r="Y3410" i="7"/>
  <c r="X3410" i="7"/>
  <c r="W3410" i="7"/>
  <c r="V3410" i="7"/>
  <c r="U3410" i="7"/>
  <c r="T3410" i="7"/>
  <c r="S3410" i="7"/>
  <c r="R3410" i="7"/>
  <c r="Q3410" i="7"/>
  <c r="P3410" i="7"/>
  <c r="O3410" i="7"/>
  <c r="Z3409" i="7"/>
  <c r="Y3409" i="7"/>
  <c r="X3409" i="7"/>
  <c r="W3409" i="7"/>
  <c r="V3409" i="7"/>
  <c r="U3409" i="7"/>
  <c r="T3409" i="7"/>
  <c r="S3409" i="7"/>
  <c r="R3409" i="7"/>
  <c r="Q3409" i="7"/>
  <c r="P3409" i="7"/>
  <c r="O3409" i="7"/>
  <c r="Z3408" i="7"/>
  <c r="Y3408" i="7"/>
  <c r="X3408" i="7"/>
  <c r="W3408" i="7"/>
  <c r="V3408" i="7"/>
  <c r="U3408" i="7"/>
  <c r="T3408" i="7"/>
  <c r="S3408" i="7"/>
  <c r="R3408" i="7"/>
  <c r="Q3408" i="7"/>
  <c r="P3408" i="7"/>
  <c r="O3408" i="7"/>
  <c r="AA3406" i="7"/>
  <c r="U3400" i="7"/>
  <c r="U3399" i="7" s="1"/>
  <c r="Q3400" i="7"/>
  <c r="Z3399" i="7"/>
  <c r="Y3399" i="7"/>
  <c r="X3399" i="7"/>
  <c r="W3399" i="7"/>
  <c r="V3399" i="7"/>
  <c r="T3399" i="7"/>
  <c r="S3399" i="7"/>
  <c r="R3399" i="7"/>
  <c r="P3399" i="7"/>
  <c r="O3399" i="7"/>
  <c r="AA3398" i="7"/>
  <c r="K3393" i="7"/>
  <c r="V3392" i="7"/>
  <c r="R3392" i="7"/>
  <c r="R3391" i="7"/>
  <c r="AA3391" i="7" s="1"/>
  <c r="Q3390" i="7"/>
  <c r="AA3390" i="7" s="1"/>
  <c r="S3389" i="7"/>
  <c r="AA3389" i="7" s="1"/>
  <c r="Z3388" i="7"/>
  <c r="Y3388" i="7"/>
  <c r="X3388" i="7"/>
  <c r="W3388" i="7"/>
  <c r="V3388" i="7"/>
  <c r="U3388" i="7"/>
  <c r="T3388" i="7"/>
  <c r="S3388" i="7"/>
  <c r="R3388" i="7"/>
  <c r="Q3388" i="7"/>
  <c r="P3388" i="7"/>
  <c r="O3388" i="7"/>
  <c r="O3387" i="7"/>
  <c r="AA3387" i="7" s="1"/>
  <c r="Z3386" i="7"/>
  <c r="U3386" i="7"/>
  <c r="Z3385" i="7"/>
  <c r="Y3385" i="7"/>
  <c r="X3385" i="7"/>
  <c r="W3385" i="7"/>
  <c r="V3385" i="7"/>
  <c r="U3385" i="7"/>
  <c r="T3385" i="7"/>
  <c r="S3385" i="7"/>
  <c r="R3385" i="7"/>
  <c r="Q3385" i="7"/>
  <c r="P3385" i="7"/>
  <c r="O3385" i="7"/>
  <c r="Z3384" i="7"/>
  <c r="Y3384" i="7"/>
  <c r="X3384" i="7"/>
  <c r="W3384" i="7"/>
  <c r="V3384" i="7"/>
  <c r="U3384" i="7"/>
  <c r="T3384" i="7"/>
  <c r="S3384" i="7"/>
  <c r="R3384" i="7"/>
  <c r="Q3384" i="7"/>
  <c r="P3384" i="7"/>
  <c r="O3384" i="7"/>
  <c r="Z3383" i="7"/>
  <c r="Y3383" i="7"/>
  <c r="X3383" i="7"/>
  <c r="W3383" i="7"/>
  <c r="V3383" i="7"/>
  <c r="U3383" i="7"/>
  <c r="T3383" i="7"/>
  <c r="S3383" i="7"/>
  <c r="R3383" i="7"/>
  <c r="Q3383" i="7"/>
  <c r="P3383" i="7"/>
  <c r="O3383" i="7"/>
  <c r="Z3382" i="7"/>
  <c r="Y3382" i="7"/>
  <c r="X3382" i="7"/>
  <c r="W3382" i="7"/>
  <c r="V3382" i="7"/>
  <c r="U3382" i="7"/>
  <c r="T3382" i="7"/>
  <c r="S3382" i="7"/>
  <c r="R3382" i="7"/>
  <c r="Q3382" i="7"/>
  <c r="P3382" i="7"/>
  <c r="O3382" i="7"/>
  <c r="Z3381" i="7"/>
  <c r="Y3381" i="7"/>
  <c r="X3381" i="7"/>
  <c r="W3381" i="7"/>
  <c r="V3381" i="7"/>
  <c r="U3381" i="7"/>
  <c r="T3381" i="7"/>
  <c r="S3381" i="7"/>
  <c r="R3381" i="7"/>
  <c r="Q3381" i="7"/>
  <c r="P3381" i="7"/>
  <c r="O3381" i="7"/>
  <c r="AA3379" i="7"/>
  <c r="K3374" i="7"/>
  <c r="Z3373" i="7"/>
  <c r="Y3373" i="7"/>
  <c r="X3373" i="7"/>
  <c r="W3373" i="7"/>
  <c r="V3373" i="7"/>
  <c r="U3373" i="7"/>
  <c r="T3373" i="7"/>
  <c r="S3373" i="7"/>
  <c r="R3373" i="7"/>
  <c r="Q3373" i="7"/>
  <c r="P3373" i="7"/>
  <c r="O3373" i="7"/>
  <c r="Z3372" i="7"/>
  <c r="Y3372" i="7"/>
  <c r="Y3371" i="7" s="1"/>
  <c r="X3372" i="7"/>
  <c r="X3371" i="7" s="1"/>
  <c r="W3372" i="7"/>
  <c r="V3372" i="7"/>
  <c r="V3371" i="7" s="1"/>
  <c r="U3372" i="7"/>
  <c r="U3371" i="7" s="1"/>
  <c r="T3372" i="7"/>
  <c r="T3371" i="7" s="1"/>
  <c r="S3372" i="7"/>
  <c r="R3372" i="7"/>
  <c r="R3371" i="7" s="1"/>
  <c r="Q3372" i="7"/>
  <c r="Q3371" i="7" s="1"/>
  <c r="P3372" i="7"/>
  <c r="P3371" i="7" s="1"/>
  <c r="O3372" i="7"/>
  <c r="Z3371" i="7"/>
  <c r="AA3370" i="7"/>
  <c r="K3365" i="7"/>
  <c r="S3364" i="7"/>
  <c r="AA3364" i="7" s="1"/>
  <c r="Z3363" i="7"/>
  <c r="U3363" i="7"/>
  <c r="Z3362" i="7"/>
  <c r="Y3362" i="7"/>
  <c r="X3362" i="7"/>
  <c r="W3362" i="7"/>
  <c r="V3362" i="7"/>
  <c r="U3362" i="7"/>
  <c r="T3362" i="7"/>
  <c r="S3362" i="7"/>
  <c r="R3362" i="7"/>
  <c r="Q3362" i="7"/>
  <c r="P3362" i="7"/>
  <c r="O3362" i="7"/>
  <c r="Z3361" i="7"/>
  <c r="Y3361" i="7"/>
  <c r="Y3360" i="7" s="1"/>
  <c r="X3361" i="7"/>
  <c r="X3360" i="7" s="1"/>
  <c r="W3361" i="7"/>
  <c r="W3360" i="7" s="1"/>
  <c r="V3361" i="7"/>
  <c r="U3361" i="7"/>
  <c r="T3361" i="7"/>
  <c r="T3360" i="7" s="1"/>
  <c r="S3361" i="7"/>
  <c r="R3361" i="7"/>
  <c r="Q3361" i="7"/>
  <c r="Q3360" i="7" s="1"/>
  <c r="P3361" i="7"/>
  <c r="P3360" i="7" s="1"/>
  <c r="O3361" i="7"/>
  <c r="O3360" i="7" s="1"/>
  <c r="AA3359" i="7"/>
  <c r="K3353" i="7"/>
  <c r="Z3352" i="7"/>
  <c r="Y3352" i="7"/>
  <c r="X3352" i="7"/>
  <c r="W3352" i="7"/>
  <c r="V3352" i="7"/>
  <c r="U3352" i="7"/>
  <c r="T3352" i="7"/>
  <c r="S3352" i="7"/>
  <c r="R3352" i="7"/>
  <c r="Q3352" i="7"/>
  <c r="P3352" i="7"/>
  <c r="O3352" i="7"/>
  <c r="O3351" i="7"/>
  <c r="AA3351" i="7" s="1"/>
  <c r="Z3350" i="7"/>
  <c r="U3350" i="7"/>
  <c r="Z3349" i="7"/>
  <c r="Y3349" i="7"/>
  <c r="X3349" i="7"/>
  <c r="W3349" i="7"/>
  <c r="V3349" i="7"/>
  <c r="U3349" i="7"/>
  <c r="T3349" i="7"/>
  <c r="S3349" i="7"/>
  <c r="R3349" i="7"/>
  <c r="Q3349" i="7"/>
  <c r="P3349" i="7"/>
  <c r="O3349" i="7"/>
  <c r="Z3348" i="7"/>
  <c r="Y3348" i="7"/>
  <c r="X3348" i="7"/>
  <c r="W3348" i="7"/>
  <c r="V3348" i="7"/>
  <c r="U3348" i="7"/>
  <c r="T3348" i="7"/>
  <c r="S3348" i="7"/>
  <c r="R3348" i="7"/>
  <c r="Q3348" i="7"/>
  <c r="P3348" i="7"/>
  <c r="O3348" i="7"/>
  <c r="Z3347" i="7"/>
  <c r="Y3347" i="7"/>
  <c r="X3347" i="7"/>
  <c r="W3347" i="7"/>
  <c r="V3347" i="7"/>
  <c r="U3347" i="7"/>
  <c r="T3347" i="7"/>
  <c r="S3347" i="7"/>
  <c r="R3347" i="7"/>
  <c r="Q3347" i="7"/>
  <c r="P3347" i="7"/>
  <c r="O3347" i="7"/>
  <c r="AA3345" i="7"/>
  <c r="K3335" i="7"/>
  <c r="Z3334" i="7"/>
  <c r="Y3334" i="7"/>
  <c r="X3334" i="7"/>
  <c r="W3334" i="7"/>
  <c r="V3334" i="7"/>
  <c r="U3334" i="7"/>
  <c r="T3334" i="7"/>
  <c r="S3334" i="7"/>
  <c r="R3334" i="7"/>
  <c r="Q3334" i="7"/>
  <c r="V3333" i="7"/>
  <c r="R3333" i="7"/>
  <c r="Z3332" i="7"/>
  <c r="Y3332" i="7"/>
  <c r="X3332" i="7"/>
  <c r="W3332" i="7"/>
  <c r="V3332" i="7"/>
  <c r="U3332" i="7"/>
  <c r="T3332" i="7"/>
  <c r="S3332" i="7"/>
  <c r="R3332" i="7"/>
  <c r="Q3332" i="7"/>
  <c r="P3332" i="7"/>
  <c r="O3332" i="7"/>
  <c r="O3331" i="7"/>
  <c r="AA3331" i="7" s="1"/>
  <c r="Z3330" i="7"/>
  <c r="U3330" i="7"/>
  <c r="Z3329" i="7"/>
  <c r="Y3329" i="7"/>
  <c r="X3329" i="7"/>
  <c r="W3329" i="7"/>
  <c r="V3329" i="7"/>
  <c r="U3329" i="7"/>
  <c r="T3329" i="7"/>
  <c r="S3329" i="7"/>
  <c r="R3329" i="7"/>
  <c r="Q3329" i="7"/>
  <c r="P3329" i="7"/>
  <c r="O3329" i="7"/>
  <c r="Z3328" i="7"/>
  <c r="Y3328" i="7"/>
  <c r="X3328" i="7"/>
  <c r="W3328" i="7"/>
  <c r="V3328" i="7"/>
  <c r="U3328" i="7"/>
  <c r="T3328" i="7"/>
  <c r="S3328" i="7"/>
  <c r="R3328" i="7"/>
  <c r="Q3328" i="7"/>
  <c r="P3328" i="7"/>
  <c r="O3328" i="7"/>
  <c r="Z3327" i="7"/>
  <c r="Y3327" i="7"/>
  <c r="X3327" i="7"/>
  <c r="W3327" i="7"/>
  <c r="V3327" i="7"/>
  <c r="U3327" i="7"/>
  <c r="T3327" i="7"/>
  <c r="S3327" i="7"/>
  <c r="R3327" i="7"/>
  <c r="Q3327" i="7"/>
  <c r="P3327" i="7"/>
  <c r="O3327" i="7"/>
  <c r="Z3326" i="7"/>
  <c r="Y3326" i="7"/>
  <c r="X3326" i="7"/>
  <c r="W3326" i="7"/>
  <c r="V3326" i="7"/>
  <c r="U3326" i="7"/>
  <c r="T3326" i="7"/>
  <c r="S3326" i="7"/>
  <c r="R3326" i="7"/>
  <c r="Q3326" i="7"/>
  <c r="P3326" i="7"/>
  <c r="O3326" i="7"/>
  <c r="Z3325" i="7"/>
  <c r="Y3325" i="7"/>
  <c r="X3325" i="7"/>
  <c r="W3325" i="7"/>
  <c r="V3325" i="7"/>
  <c r="U3325" i="7"/>
  <c r="T3325" i="7"/>
  <c r="S3325" i="7"/>
  <c r="R3325" i="7"/>
  <c r="Q3325" i="7"/>
  <c r="P3325" i="7"/>
  <c r="O3325" i="7"/>
  <c r="Z3324" i="7"/>
  <c r="Y3324" i="7"/>
  <c r="X3324" i="7"/>
  <c r="W3324" i="7"/>
  <c r="V3324" i="7"/>
  <c r="U3324" i="7"/>
  <c r="T3324" i="7"/>
  <c r="S3324" i="7"/>
  <c r="R3324" i="7"/>
  <c r="Q3324" i="7"/>
  <c r="P3324" i="7"/>
  <c r="O3324" i="7"/>
  <c r="Z3323" i="7"/>
  <c r="Y3323" i="7"/>
  <c r="X3323" i="7"/>
  <c r="W3323" i="7"/>
  <c r="V3323" i="7"/>
  <c r="U3323" i="7"/>
  <c r="T3323" i="7"/>
  <c r="S3323" i="7"/>
  <c r="R3323" i="7"/>
  <c r="Q3323" i="7"/>
  <c r="P3323" i="7"/>
  <c r="O3323" i="7"/>
  <c r="AA3321" i="7"/>
  <c r="K3318" i="7"/>
  <c r="Y3317" i="7"/>
  <c r="W3317" i="7"/>
  <c r="U3317" i="7"/>
  <c r="S3317" i="7"/>
  <c r="Q3317" i="7"/>
  <c r="V3316" i="7"/>
  <c r="R3316" i="7"/>
  <c r="R3315" i="7"/>
  <c r="AA3315" i="7" s="1"/>
  <c r="Z3314" i="7"/>
  <c r="Y3314" i="7"/>
  <c r="X3314" i="7"/>
  <c r="W3314" i="7"/>
  <c r="V3314" i="7"/>
  <c r="U3314" i="7"/>
  <c r="T3314" i="7"/>
  <c r="S3314" i="7"/>
  <c r="R3314" i="7"/>
  <c r="Q3314" i="7"/>
  <c r="P3314" i="7"/>
  <c r="O3314" i="7"/>
  <c r="O3313" i="7"/>
  <c r="AA3313" i="7" s="1"/>
  <c r="Z3312" i="7"/>
  <c r="U3312" i="7"/>
  <c r="Z3311" i="7"/>
  <c r="Y3311" i="7"/>
  <c r="X3311" i="7"/>
  <c r="W3311" i="7"/>
  <c r="V3311" i="7"/>
  <c r="U3311" i="7"/>
  <c r="T3311" i="7"/>
  <c r="S3311" i="7"/>
  <c r="R3311" i="7"/>
  <c r="Q3311" i="7"/>
  <c r="P3311" i="7"/>
  <c r="O3311" i="7"/>
  <c r="Z3310" i="7"/>
  <c r="Y3310" i="7"/>
  <c r="X3310" i="7"/>
  <c r="W3310" i="7"/>
  <c r="V3310" i="7"/>
  <c r="U3310" i="7"/>
  <c r="T3310" i="7"/>
  <c r="S3310" i="7"/>
  <c r="R3310" i="7"/>
  <c r="Q3310" i="7"/>
  <c r="P3310" i="7"/>
  <c r="O3310" i="7"/>
  <c r="Z3309" i="7"/>
  <c r="Y3309" i="7"/>
  <c r="X3309" i="7"/>
  <c r="W3309" i="7"/>
  <c r="V3309" i="7"/>
  <c r="U3309" i="7"/>
  <c r="T3309" i="7"/>
  <c r="S3309" i="7"/>
  <c r="R3309" i="7"/>
  <c r="Q3309" i="7"/>
  <c r="P3309" i="7"/>
  <c r="O3309" i="7"/>
  <c r="Z3308" i="7"/>
  <c r="Y3308" i="7"/>
  <c r="X3308" i="7"/>
  <c r="W3308" i="7"/>
  <c r="V3308" i="7"/>
  <c r="U3308" i="7"/>
  <c r="T3308" i="7"/>
  <c r="S3308" i="7"/>
  <c r="R3308" i="7"/>
  <c r="Q3308" i="7"/>
  <c r="P3308" i="7"/>
  <c r="O3308" i="7"/>
  <c r="Z3307" i="7"/>
  <c r="Y3307" i="7"/>
  <c r="X3307" i="7"/>
  <c r="W3307" i="7"/>
  <c r="V3307" i="7"/>
  <c r="U3307" i="7"/>
  <c r="T3307" i="7"/>
  <c r="S3307" i="7"/>
  <c r="R3307" i="7"/>
  <c r="Q3307" i="7"/>
  <c r="P3307" i="7"/>
  <c r="O3307" i="7"/>
  <c r="Z3306" i="7"/>
  <c r="Y3306" i="7"/>
  <c r="X3306" i="7"/>
  <c r="W3306" i="7"/>
  <c r="V3306" i="7"/>
  <c r="U3306" i="7"/>
  <c r="T3306" i="7"/>
  <c r="S3306" i="7"/>
  <c r="R3306" i="7"/>
  <c r="Q3306" i="7"/>
  <c r="P3306" i="7"/>
  <c r="O3306" i="7"/>
  <c r="AA3304" i="7"/>
  <c r="U3298" i="7"/>
  <c r="U3297" i="7" s="1"/>
  <c r="Q3298" i="7"/>
  <c r="Q3297" i="7" s="1"/>
  <c r="Z3297" i="7"/>
  <c r="Y3297" i="7"/>
  <c r="X3297" i="7"/>
  <c r="W3297" i="7"/>
  <c r="V3297" i="7"/>
  <c r="T3297" i="7"/>
  <c r="S3297" i="7"/>
  <c r="R3297" i="7"/>
  <c r="P3297" i="7"/>
  <c r="O3297" i="7"/>
  <c r="AA3296" i="7"/>
  <c r="K3291" i="7"/>
  <c r="V3290" i="7"/>
  <c r="R3290" i="7"/>
  <c r="R3289" i="7"/>
  <c r="AA3289" i="7" s="1"/>
  <c r="Q3288" i="7"/>
  <c r="AA3288" i="7" s="1"/>
  <c r="S3287" i="7"/>
  <c r="AA3287" i="7" s="1"/>
  <c r="Z3286" i="7"/>
  <c r="Y3286" i="7"/>
  <c r="X3286" i="7"/>
  <c r="W3286" i="7"/>
  <c r="V3286" i="7"/>
  <c r="U3286" i="7"/>
  <c r="T3286" i="7"/>
  <c r="S3286" i="7"/>
  <c r="R3286" i="7"/>
  <c r="Q3286" i="7"/>
  <c r="P3286" i="7"/>
  <c r="O3286" i="7"/>
  <c r="O3285" i="7"/>
  <c r="AA3285" i="7" s="1"/>
  <c r="Z3284" i="7"/>
  <c r="U3284" i="7"/>
  <c r="Z3283" i="7"/>
  <c r="Y3283" i="7"/>
  <c r="X3283" i="7"/>
  <c r="W3283" i="7"/>
  <c r="V3283" i="7"/>
  <c r="U3283" i="7"/>
  <c r="T3283" i="7"/>
  <c r="S3283" i="7"/>
  <c r="R3283" i="7"/>
  <c r="Q3283" i="7"/>
  <c r="P3283" i="7"/>
  <c r="O3283" i="7"/>
  <c r="Z3282" i="7"/>
  <c r="Y3282" i="7"/>
  <c r="X3282" i="7"/>
  <c r="W3282" i="7"/>
  <c r="V3282" i="7"/>
  <c r="U3282" i="7"/>
  <c r="T3282" i="7"/>
  <c r="S3282" i="7"/>
  <c r="R3282" i="7"/>
  <c r="Q3282" i="7"/>
  <c r="P3282" i="7"/>
  <c r="O3282" i="7"/>
  <c r="Z3281" i="7"/>
  <c r="Y3281" i="7"/>
  <c r="X3281" i="7"/>
  <c r="W3281" i="7"/>
  <c r="V3281" i="7"/>
  <c r="U3281" i="7"/>
  <c r="T3281" i="7"/>
  <c r="S3281" i="7"/>
  <c r="R3281" i="7"/>
  <c r="Q3281" i="7"/>
  <c r="P3281" i="7"/>
  <c r="O3281" i="7"/>
  <c r="Z3280" i="7"/>
  <c r="Y3280" i="7"/>
  <c r="X3280" i="7"/>
  <c r="W3280" i="7"/>
  <c r="V3280" i="7"/>
  <c r="U3280" i="7"/>
  <c r="T3280" i="7"/>
  <c r="S3280" i="7"/>
  <c r="R3280" i="7"/>
  <c r="Q3280" i="7"/>
  <c r="P3280" i="7"/>
  <c r="O3280" i="7"/>
  <c r="Z3279" i="7"/>
  <c r="Y3279" i="7"/>
  <c r="X3279" i="7"/>
  <c r="W3279" i="7"/>
  <c r="V3279" i="7"/>
  <c r="U3279" i="7"/>
  <c r="T3279" i="7"/>
  <c r="S3279" i="7"/>
  <c r="R3279" i="7"/>
  <c r="Q3279" i="7"/>
  <c r="P3279" i="7"/>
  <c r="O3279" i="7"/>
  <c r="AA3277" i="7"/>
  <c r="K3272" i="7"/>
  <c r="Z3271" i="7"/>
  <c r="Y3271" i="7"/>
  <c r="X3271" i="7"/>
  <c r="W3271" i="7"/>
  <c r="V3271" i="7"/>
  <c r="U3271" i="7"/>
  <c r="T3271" i="7"/>
  <c r="S3271" i="7"/>
  <c r="R3271" i="7"/>
  <c r="Q3271" i="7"/>
  <c r="P3271" i="7"/>
  <c r="O3271" i="7"/>
  <c r="Z3270" i="7"/>
  <c r="Y3270" i="7"/>
  <c r="X3270" i="7"/>
  <c r="W3270" i="7"/>
  <c r="V3270" i="7"/>
  <c r="V3269" i="7" s="1"/>
  <c r="U3270" i="7"/>
  <c r="U3269" i="7" s="1"/>
  <c r="T3270" i="7"/>
  <c r="T3269" i="7" s="1"/>
  <c r="S3270" i="7"/>
  <c r="R3270" i="7"/>
  <c r="R3269" i="7" s="1"/>
  <c r="Q3270" i="7"/>
  <c r="Q3269" i="7" s="1"/>
  <c r="P3270" i="7"/>
  <c r="P3269" i="7" s="1"/>
  <c r="O3270" i="7"/>
  <c r="Z3269" i="7"/>
  <c r="Y3269" i="7"/>
  <c r="X3269" i="7"/>
  <c r="AA3268" i="7"/>
  <c r="K3263" i="7"/>
  <c r="S3262" i="7"/>
  <c r="AA3262" i="7" s="1"/>
  <c r="Z3261" i="7"/>
  <c r="U3261" i="7"/>
  <c r="Z3260" i="7"/>
  <c r="Y3260" i="7"/>
  <c r="X3260" i="7"/>
  <c r="W3260" i="7"/>
  <c r="V3260" i="7"/>
  <c r="U3260" i="7"/>
  <c r="T3260" i="7"/>
  <c r="S3260" i="7"/>
  <c r="R3260" i="7"/>
  <c r="Q3260" i="7"/>
  <c r="P3260" i="7"/>
  <c r="O3260" i="7"/>
  <c r="Z3259" i="7"/>
  <c r="Y3259" i="7"/>
  <c r="Y3258" i="7" s="1"/>
  <c r="X3259" i="7"/>
  <c r="W3259" i="7"/>
  <c r="W3258" i="7" s="1"/>
  <c r="V3259" i="7"/>
  <c r="U3259" i="7"/>
  <c r="T3259" i="7"/>
  <c r="T3258" i="7" s="1"/>
  <c r="S3259" i="7"/>
  <c r="R3259" i="7"/>
  <c r="R3258" i="7" s="1"/>
  <c r="Q3259" i="7"/>
  <c r="Q3258" i="7" s="1"/>
  <c r="P3259" i="7"/>
  <c r="O3259" i="7"/>
  <c r="O3258" i="7" s="1"/>
  <c r="AA3257" i="7"/>
  <c r="K3251" i="7"/>
  <c r="Z3250" i="7"/>
  <c r="Y3250" i="7"/>
  <c r="X3250" i="7"/>
  <c r="W3250" i="7"/>
  <c r="V3250" i="7"/>
  <c r="U3250" i="7"/>
  <c r="T3250" i="7"/>
  <c r="S3250" i="7"/>
  <c r="R3250" i="7"/>
  <c r="Q3250" i="7"/>
  <c r="P3250" i="7"/>
  <c r="O3250" i="7"/>
  <c r="O3249" i="7"/>
  <c r="AA3249" i="7" s="1"/>
  <c r="Z3248" i="7"/>
  <c r="U3248" i="7"/>
  <c r="Z3247" i="7"/>
  <c r="Y3247" i="7"/>
  <c r="X3247" i="7"/>
  <c r="W3247" i="7"/>
  <c r="V3247" i="7"/>
  <c r="U3247" i="7"/>
  <c r="T3247" i="7"/>
  <c r="S3247" i="7"/>
  <c r="R3247" i="7"/>
  <c r="Q3247" i="7"/>
  <c r="P3247" i="7"/>
  <c r="O3247" i="7"/>
  <c r="Z3246" i="7"/>
  <c r="Y3246" i="7"/>
  <c r="X3246" i="7"/>
  <c r="W3246" i="7"/>
  <c r="V3246" i="7"/>
  <c r="U3246" i="7"/>
  <c r="T3246" i="7"/>
  <c r="S3246" i="7"/>
  <c r="R3246" i="7"/>
  <c r="Q3246" i="7"/>
  <c r="P3246" i="7"/>
  <c r="O3246" i="7"/>
  <c r="Z3245" i="7"/>
  <c r="Y3245" i="7"/>
  <c r="X3245" i="7"/>
  <c r="W3245" i="7"/>
  <c r="V3245" i="7"/>
  <c r="U3245" i="7"/>
  <c r="T3245" i="7"/>
  <c r="S3245" i="7"/>
  <c r="R3245" i="7"/>
  <c r="Q3245" i="7"/>
  <c r="P3245" i="7"/>
  <c r="O3245" i="7"/>
  <c r="AA3243" i="7"/>
  <c r="K3233" i="7"/>
  <c r="Q3232" i="7"/>
  <c r="AA3232" i="7" s="1"/>
  <c r="V3231" i="7"/>
  <c r="Q3231" i="7"/>
  <c r="Z3230" i="7"/>
  <c r="Y3230" i="7"/>
  <c r="X3230" i="7"/>
  <c r="W3230" i="7"/>
  <c r="V3230" i="7"/>
  <c r="U3230" i="7"/>
  <c r="T3230" i="7"/>
  <c r="S3230" i="7"/>
  <c r="R3230" i="7"/>
  <c r="Q3230" i="7"/>
  <c r="P3230" i="7"/>
  <c r="O3230" i="7"/>
  <c r="Z3229" i="7"/>
  <c r="Y3229" i="7"/>
  <c r="Y3224" i="7" s="1"/>
  <c r="X3229" i="7"/>
  <c r="X3224" i="7" s="1"/>
  <c r="W3229" i="7"/>
  <c r="V3229" i="7"/>
  <c r="U3229" i="7"/>
  <c r="U3224" i="7" s="1"/>
  <c r="T3229" i="7"/>
  <c r="S3229" i="7"/>
  <c r="S3224" i="7" s="1"/>
  <c r="R3229" i="7"/>
  <c r="Q3229" i="7"/>
  <c r="P3229" i="7"/>
  <c r="P3224" i="7" s="1"/>
  <c r="O3229" i="7"/>
  <c r="O3224" i="7" s="1"/>
  <c r="R3228" i="7"/>
  <c r="AA3228" i="7" s="1"/>
  <c r="R3227" i="7"/>
  <c r="AA3227" i="7" s="1"/>
  <c r="W3226" i="7"/>
  <c r="T3226" i="7"/>
  <c r="Q3226" i="7"/>
  <c r="R3225" i="7"/>
  <c r="AA3225" i="7" s="1"/>
  <c r="AA3223" i="7"/>
  <c r="K3220" i="7"/>
  <c r="V3219" i="7"/>
  <c r="V3218" i="7" s="1"/>
  <c r="Q3219" i="7"/>
  <c r="Z3218" i="7"/>
  <c r="Y3218" i="7"/>
  <c r="X3218" i="7"/>
  <c r="W3218" i="7"/>
  <c r="U3218" i="7"/>
  <c r="T3218" i="7"/>
  <c r="S3218" i="7"/>
  <c r="R3218" i="7"/>
  <c r="P3218" i="7"/>
  <c r="O3218" i="7"/>
  <c r="AA3217" i="7"/>
  <c r="K3212" i="7"/>
  <c r="W3211" i="7"/>
  <c r="R3211" i="7"/>
  <c r="Y3210" i="7"/>
  <c r="W3210" i="7"/>
  <c r="U3210" i="7"/>
  <c r="S3210" i="7"/>
  <c r="Q3210" i="7"/>
  <c r="Q3209" i="7"/>
  <c r="AA3209" i="7" s="1"/>
  <c r="Z3208" i="7"/>
  <c r="Y3208" i="7"/>
  <c r="X3208" i="7"/>
  <c r="W3208" i="7"/>
  <c r="V3208" i="7"/>
  <c r="U3208" i="7"/>
  <c r="T3208" i="7"/>
  <c r="S3208" i="7"/>
  <c r="R3208" i="7"/>
  <c r="Q3208" i="7"/>
  <c r="P3208" i="7"/>
  <c r="Z3207" i="7"/>
  <c r="Y3207" i="7"/>
  <c r="X3207" i="7"/>
  <c r="W3207" i="7"/>
  <c r="V3207" i="7"/>
  <c r="U3207" i="7"/>
  <c r="T3207" i="7"/>
  <c r="S3207" i="7"/>
  <c r="R3207" i="7"/>
  <c r="Q3207" i="7"/>
  <c r="P3207" i="7"/>
  <c r="Y3206" i="7"/>
  <c r="V3206" i="7"/>
  <c r="S3206" i="7"/>
  <c r="P3206" i="7"/>
  <c r="R3205" i="7"/>
  <c r="AA3205" i="7" s="1"/>
  <c r="R3204" i="7"/>
  <c r="AA3204" i="7" s="1"/>
  <c r="X3203" i="7"/>
  <c r="R3203" i="7"/>
  <c r="V3202" i="7"/>
  <c r="Q3202" i="7"/>
  <c r="S3201" i="7"/>
  <c r="AA3201" i="7" s="1"/>
  <c r="R3200" i="7"/>
  <c r="AA3200" i="7" s="1"/>
  <c r="Z3199" i="7"/>
  <c r="Y3199" i="7"/>
  <c r="X3199" i="7"/>
  <c r="W3199" i="7"/>
  <c r="V3199" i="7"/>
  <c r="U3199" i="7"/>
  <c r="T3199" i="7"/>
  <c r="S3199" i="7"/>
  <c r="R3199" i="7"/>
  <c r="Q3199" i="7"/>
  <c r="P3199" i="7"/>
  <c r="O3199" i="7"/>
  <c r="O3198" i="7" s="1"/>
  <c r="AA3197" i="7"/>
  <c r="K3192" i="7"/>
  <c r="AA3191" i="7"/>
  <c r="Z3191" i="7"/>
  <c r="Y3191" i="7"/>
  <c r="X3191" i="7"/>
  <c r="W3191" i="7"/>
  <c r="V3191" i="7"/>
  <c r="U3191" i="7"/>
  <c r="T3191" i="7"/>
  <c r="S3191" i="7"/>
  <c r="R3191" i="7"/>
  <c r="Q3191" i="7"/>
  <c r="P3191" i="7"/>
  <c r="O3191" i="7"/>
  <c r="AA3190" i="7"/>
  <c r="Z3190" i="7"/>
  <c r="Y3190" i="7"/>
  <c r="X3190" i="7"/>
  <c r="W3190" i="7"/>
  <c r="V3190" i="7"/>
  <c r="U3190" i="7"/>
  <c r="T3190" i="7"/>
  <c r="S3190" i="7"/>
  <c r="R3190" i="7"/>
  <c r="Q3190" i="7"/>
  <c r="P3190" i="7"/>
  <c r="O3190" i="7"/>
  <c r="AA3189" i="7"/>
  <c r="Q3189" i="7"/>
  <c r="AA3188" i="7"/>
  <c r="Q3188" i="7"/>
  <c r="AA3187" i="7"/>
  <c r="R3187" i="7"/>
  <c r="AA3186" i="7"/>
  <c r="Z3186" i="7"/>
  <c r="Y3186" i="7"/>
  <c r="X3186" i="7"/>
  <c r="W3186" i="7"/>
  <c r="V3186" i="7"/>
  <c r="U3186" i="7"/>
  <c r="T3186" i="7"/>
  <c r="S3186" i="7"/>
  <c r="R3186" i="7"/>
  <c r="Q3186" i="7"/>
  <c r="P3186" i="7"/>
  <c r="O3186" i="7"/>
  <c r="AA3185" i="7"/>
  <c r="Z3185" i="7"/>
  <c r="Y3185" i="7"/>
  <c r="X3185" i="7"/>
  <c r="W3185" i="7"/>
  <c r="V3185" i="7"/>
  <c r="U3185" i="7"/>
  <c r="T3185" i="7"/>
  <c r="S3185" i="7"/>
  <c r="R3185" i="7"/>
  <c r="Q3185" i="7"/>
  <c r="AA3184" i="7"/>
  <c r="V3184" i="7"/>
  <c r="Q3184" i="7"/>
  <c r="AA3183" i="7"/>
  <c r="Z3183" i="7"/>
  <c r="Y3183" i="7"/>
  <c r="X3183" i="7"/>
  <c r="W3183" i="7"/>
  <c r="V3183" i="7"/>
  <c r="U3183" i="7"/>
  <c r="T3183" i="7"/>
  <c r="S3183" i="7"/>
  <c r="R3183" i="7"/>
  <c r="Q3183" i="7"/>
  <c r="P3183" i="7"/>
  <c r="AA3182" i="7"/>
  <c r="Z3182" i="7"/>
  <c r="Y3182" i="7"/>
  <c r="X3182" i="7"/>
  <c r="W3182" i="7"/>
  <c r="V3182" i="7"/>
  <c r="U3182" i="7"/>
  <c r="T3182" i="7"/>
  <c r="S3182" i="7"/>
  <c r="R3182" i="7"/>
  <c r="Q3182" i="7"/>
  <c r="P3182" i="7"/>
  <c r="AA3181" i="7"/>
  <c r="Y3181" i="7"/>
  <c r="V3181" i="7"/>
  <c r="S3181" i="7"/>
  <c r="P3181" i="7"/>
  <c r="AA3180" i="7"/>
  <c r="Z3180" i="7"/>
  <c r="Y3180" i="7"/>
  <c r="X3180" i="7"/>
  <c r="W3180" i="7"/>
  <c r="V3180" i="7"/>
  <c r="U3180" i="7"/>
  <c r="T3180" i="7"/>
  <c r="S3180" i="7"/>
  <c r="R3180" i="7"/>
  <c r="Q3180" i="7"/>
  <c r="P3180" i="7"/>
  <c r="O3180" i="7"/>
  <c r="Q3179" i="7"/>
  <c r="AA3179" i="7" s="1"/>
  <c r="S3178" i="7"/>
  <c r="AA3178" i="7" s="1"/>
  <c r="R3177" i="7"/>
  <c r="O3176" i="7"/>
  <c r="AA3176" i="7" s="1"/>
  <c r="AA3174" i="7"/>
  <c r="K3169" i="7"/>
  <c r="R3168" i="7"/>
  <c r="AA3168" i="7" s="1"/>
  <c r="Q3167" i="7"/>
  <c r="AA3167" i="7" s="1"/>
  <c r="Z3166" i="7"/>
  <c r="Z3162" i="7" s="1"/>
  <c r="Y3166" i="7"/>
  <c r="X3166" i="7"/>
  <c r="X3162" i="7" s="1"/>
  <c r="W3166" i="7"/>
  <c r="W3162" i="7" s="1"/>
  <c r="V3166" i="7"/>
  <c r="U3166" i="7"/>
  <c r="U3162" i="7" s="1"/>
  <c r="T3166" i="7"/>
  <c r="T3162" i="7" s="1"/>
  <c r="S3166" i="7"/>
  <c r="R3166" i="7"/>
  <c r="Q3166" i="7"/>
  <c r="P3166" i="7"/>
  <c r="Y3165" i="7"/>
  <c r="V3165" i="7"/>
  <c r="V3162" i="7" s="1"/>
  <c r="S3165" i="7"/>
  <c r="P3165" i="7"/>
  <c r="P3162" i="7" s="1"/>
  <c r="Q3164" i="7"/>
  <c r="S3163" i="7"/>
  <c r="AA3163" i="7" s="1"/>
  <c r="O3162" i="7"/>
  <c r="AA3161" i="7"/>
  <c r="K3156" i="7"/>
  <c r="Z3155" i="7"/>
  <c r="Y3155" i="7"/>
  <c r="X3155" i="7"/>
  <c r="W3155" i="7"/>
  <c r="V3155" i="7"/>
  <c r="U3155" i="7"/>
  <c r="T3155" i="7"/>
  <c r="S3155" i="7"/>
  <c r="R3155" i="7"/>
  <c r="Q3155" i="7"/>
  <c r="P3155" i="7"/>
  <c r="O3155" i="7"/>
  <c r="Z3154" i="7"/>
  <c r="Y3154" i="7"/>
  <c r="X3154" i="7"/>
  <c r="W3154" i="7"/>
  <c r="V3154" i="7"/>
  <c r="U3154" i="7"/>
  <c r="T3154" i="7"/>
  <c r="S3154" i="7"/>
  <c r="R3154" i="7"/>
  <c r="Q3154" i="7"/>
  <c r="P3154" i="7"/>
  <c r="O3154" i="7"/>
  <c r="W3153" i="7"/>
  <c r="R3153" i="7"/>
  <c r="W3152" i="7"/>
  <c r="R3152" i="7"/>
  <c r="Z3151" i="7"/>
  <c r="Y3151" i="7"/>
  <c r="X3151" i="7"/>
  <c r="W3151" i="7"/>
  <c r="V3151" i="7"/>
  <c r="U3151" i="7"/>
  <c r="T3151" i="7"/>
  <c r="S3151" i="7"/>
  <c r="R3151" i="7"/>
  <c r="Q3151" i="7"/>
  <c r="P3151" i="7"/>
  <c r="O3151" i="7"/>
  <c r="V3150" i="7"/>
  <c r="Q3150" i="7"/>
  <c r="W3149" i="7"/>
  <c r="S3149" i="7"/>
  <c r="Q3148" i="7"/>
  <c r="AA3148" i="7" s="1"/>
  <c r="Z3147" i="7"/>
  <c r="Y3147" i="7"/>
  <c r="X3147" i="7"/>
  <c r="W3147" i="7"/>
  <c r="V3147" i="7"/>
  <c r="U3147" i="7"/>
  <c r="T3147" i="7"/>
  <c r="S3147" i="7"/>
  <c r="R3147" i="7"/>
  <c r="Q3147" i="7"/>
  <c r="P3147" i="7"/>
  <c r="O3147" i="7"/>
  <c r="Z3146" i="7"/>
  <c r="Y3146" i="7"/>
  <c r="X3146" i="7"/>
  <c r="W3146" i="7"/>
  <c r="V3146" i="7"/>
  <c r="U3146" i="7"/>
  <c r="T3146" i="7"/>
  <c r="S3146" i="7"/>
  <c r="R3146" i="7"/>
  <c r="Q3146" i="7"/>
  <c r="P3146" i="7"/>
  <c r="Y3145" i="7"/>
  <c r="V3145" i="7"/>
  <c r="S3145" i="7"/>
  <c r="P3145" i="7"/>
  <c r="Q3144" i="7"/>
  <c r="AA3144" i="7" s="1"/>
  <c r="R3143" i="7"/>
  <c r="AA3143" i="7" s="1"/>
  <c r="Z3142" i="7"/>
  <c r="V3142" i="7"/>
  <c r="R3142" i="7"/>
  <c r="X3141" i="7"/>
  <c r="R3141" i="7"/>
  <c r="V3140" i="7"/>
  <c r="Q3140" i="7"/>
  <c r="P3139" i="7"/>
  <c r="AA3139" i="7" s="1"/>
  <c r="V3138" i="7"/>
  <c r="Q3138" i="7"/>
  <c r="V3137" i="7"/>
  <c r="Q3137" i="7"/>
  <c r="S3136" i="7"/>
  <c r="AA3136" i="7" s="1"/>
  <c r="W3135" i="7"/>
  <c r="R3135" i="7"/>
  <c r="T3134" i="7"/>
  <c r="O3134" i="7"/>
  <c r="Z3133" i="7"/>
  <c r="Y3133" i="7"/>
  <c r="X3133" i="7"/>
  <c r="W3133" i="7"/>
  <c r="V3133" i="7"/>
  <c r="U3133" i="7"/>
  <c r="T3133" i="7"/>
  <c r="S3133" i="7"/>
  <c r="R3133" i="7"/>
  <c r="Q3133" i="7"/>
  <c r="P3133" i="7"/>
  <c r="O3133" i="7"/>
  <c r="O3132" i="7"/>
  <c r="AA3132" i="7" s="1"/>
  <c r="Z3131" i="7"/>
  <c r="U3131" i="7"/>
  <c r="Z3130" i="7"/>
  <c r="Y3130" i="7"/>
  <c r="X3130" i="7"/>
  <c r="W3130" i="7"/>
  <c r="V3130" i="7"/>
  <c r="U3130" i="7"/>
  <c r="T3130" i="7"/>
  <c r="S3130" i="7"/>
  <c r="R3130" i="7"/>
  <c r="Q3130" i="7"/>
  <c r="P3130" i="7"/>
  <c r="O3130" i="7"/>
  <c r="Z3129" i="7"/>
  <c r="Y3129" i="7"/>
  <c r="X3129" i="7"/>
  <c r="W3129" i="7"/>
  <c r="V3129" i="7"/>
  <c r="U3129" i="7"/>
  <c r="T3129" i="7"/>
  <c r="S3129" i="7"/>
  <c r="R3129" i="7"/>
  <c r="Q3129" i="7"/>
  <c r="P3129" i="7"/>
  <c r="O3129" i="7"/>
  <c r="Z3128" i="7"/>
  <c r="Y3128" i="7"/>
  <c r="X3128" i="7"/>
  <c r="W3128" i="7"/>
  <c r="V3128" i="7"/>
  <c r="U3128" i="7"/>
  <c r="T3128" i="7"/>
  <c r="S3128" i="7"/>
  <c r="R3128" i="7"/>
  <c r="Q3128" i="7"/>
  <c r="P3128" i="7"/>
  <c r="O3128" i="7"/>
  <c r="AA3126" i="7"/>
  <c r="K3123" i="7"/>
  <c r="R3122" i="7"/>
  <c r="AA3122" i="7" s="1"/>
  <c r="Y3121" i="7"/>
  <c r="U3121" i="7"/>
  <c r="R3121" i="7"/>
  <c r="Z3120" i="7"/>
  <c r="Y3120" i="7"/>
  <c r="X3120" i="7"/>
  <c r="W3120" i="7"/>
  <c r="V3120" i="7"/>
  <c r="U3120" i="7"/>
  <c r="T3120" i="7"/>
  <c r="S3120" i="7"/>
  <c r="R3120" i="7"/>
  <c r="Q3120" i="7"/>
  <c r="P3120" i="7"/>
  <c r="O3120" i="7"/>
  <c r="Z3119" i="7"/>
  <c r="Y3119" i="7"/>
  <c r="X3119" i="7"/>
  <c r="W3119" i="7"/>
  <c r="V3119" i="7"/>
  <c r="U3119" i="7"/>
  <c r="T3119" i="7"/>
  <c r="S3119" i="7"/>
  <c r="R3119" i="7"/>
  <c r="Q3119" i="7"/>
  <c r="P3119" i="7"/>
  <c r="O3119" i="7"/>
  <c r="Z3118" i="7"/>
  <c r="Y3118" i="7"/>
  <c r="X3118" i="7"/>
  <c r="W3118" i="7"/>
  <c r="V3118" i="7"/>
  <c r="U3118" i="7"/>
  <c r="T3118" i="7"/>
  <c r="S3118" i="7"/>
  <c r="R3118" i="7"/>
  <c r="Q3118" i="7"/>
  <c r="V3117" i="7"/>
  <c r="R3117" i="7"/>
  <c r="Z3116" i="7"/>
  <c r="Z3107" i="7" s="1"/>
  <c r="Y3116" i="7"/>
  <c r="X3116" i="7"/>
  <c r="W3116" i="7"/>
  <c r="V3116" i="7"/>
  <c r="U3116" i="7"/>
  <c r="T3116" i="7"/>
  <c r="S3116" i="7"/>
  <c r="R3116" i="7"/>
  <c r="Q3116" i="7"/>
  <c r="P3116" i="7"/>
  <c r="O3116" i="7"/>
  <c r="O3107" i="7" s="1"/>
  <c r="V3115" i="7"/>
  <c r="R3115" i="7"/>
  <c r="R3114" i="7"/>
  <c r="P3113" i="7"/>
  <c r="AA3113" i="7" s="1"/>
  <c r="Q3112" i="7"/>
  <c r="AA3112" i="7" s="1"/>
  <c r="S3111" i="7"/>
  <c r="AA3111" i="7" s="1"/>
  <c r="Q3110" i="7"/>
  <c r="AA3110" i="7" s="1"/>
  <c r="Q3109" i="7"/>
  <c r="AA3109" i="7" s="1"/>
  <c r="Q3108" i="7"/>
  <c r="AA3108" i="7" s="1"/>
  <c r="AA3106" i="7"/>
  <c r="K3102" i="7"/>
  <c r="U3101" i="7"/>
  <c r="Q3101" i="7"/>
  <c r="V3100" i="7"/>
  <c r="R3100" i="7"/>
  <c r="R3099" i="7"/>
  <c r="AA3099" i="7" s="1"/>
  <c r="Z3098" i="7"/>
  <c r="X3098" i="7"/>
  <c r="V3098" i="7"/>
  <c r="T3098" i="7"/>
  <c r="R3098" i="7"/>
  <c r="Q3097" i="7"/>
  <c r="AA3097" i="7" s="1"/>
  <c r="Z3096" i="7"/>
  <c r="Y3096" i="7"/>
  <c r="X3096" i="7"/>
  <c r="W3096" i="7"/>
  <c r="V3096" i="7"/>
  <c r="U3096" i="7"/>
  <c r="T3096" i="7"/>
  <c r="S3096" i="7"/>
  <c r="R3096" i="7"/>
  <c r="Q3096" i="7"/>
  <c r="P3096" i="7"/>
  <c r="Y3095" i="7"/>
  <c r="V3095" i="7"/>
  <c r="S3095" i="7"/>
  <c r="P3095" i="7"/>
  <c r="W3094" i="7"/>
  <c r="T3094" i="7"/>
  <c r="Q3094" i="7"/>
  <c r="Q3093" i="7"/>
  <c r="AA3093" i="7" s="1"/>
  <c r="V3092" i="7"/>
  <c r="R3092" i="7"/>
  <c r="V3091" i="7"/>
  <c r="Q3091" i="7"/>
  <c r="W3090" i="7"/>
  <c r="T3090" i="7"/>
  <c r="Q3090" i="7"/>
  <c r="V3089" i="7"/>
  <c r="Q3089" i="7"/>
  <c r="Q3088" i="7"/>
  <c r="AA3088" i="7" s="1"/>
  <c r="W3087" i="7"/>
  <c r="T3087" i="7"/>
  <c r="Q3087" i="7"/>
  <c r="Z3086" i="7"/>
  <c r="Y3086" i="7"/>
  <c r="X3086" i="7"/>
  <c r="W3086" i="7"/>
  <c r="V3086" i="7"/>
  <c r="U3086" i="7"/>
  <c r="T3086" i="7"/>
  <c r="S3086" i="7"/>
  <c r="R3086" i="7"/>
  <c r="Q3086" i="7"/>
  <c r="P3086" i="7"/>
  <c r="O3086" i="7"/>
  <c r="T3085" i="7"/>
  <c r="O3085" i="7"/>
  <c r="AA3083" i="7"/>
  <c r="K3079" i="7"/>
  <c r="X3078" i="7"/>
  <c r="U3078" i="7"/>
  <c r="R3078" i="7"/>
  <c r="V3077" i="7"/>
  <c r="Q3077" i="7"/>
  <c r="V3076" i="7"/>
  <c r="Q3076" i="7"/>
  <c r="Z3075" i="7"/>
  <c r="Z3068" i="7" s="1"/>
  <c r="Y3075" i="7"/>
  <c r="X3075" i="7"/>
  <c r="W3075" i="7"/>
  <c r="W3068" i="7" s="1"/>
  <c r="V3075" i="7"/>
  <c r="U3075" i="7"/>
  <c r="T3075" i="7"/>
  <c r="T3068" i="7" s="1"/>
  <c r="S3075" i="7"/>
  <c r="S3068" i="7" s="1"/>
  <c r="R3075" i="7"/>
  <c r="Q3075" i="7"/>
  <c r="P3075" i="7"/>
  <c r="P3074" i="7"/>
  <c r="AA3074" i="7" s="1"/>
  <c r="V3073" i="7"/>
  <c r="Q3073" i="7"/>
  <c r="Y3072" i="7"/>
  <c r="U3072" i="7"/>
  <c r="Q3072" i="7"/>
  <c r="V3071" i="7"/>
  <c r="Q3071" i="7"/>
  <c r="U3070" i="7"/>
  <c r="Q3070" i="7"/>
  <c r="U3069" i="7"/>
  <c r="O3069" i="7"/>
  <c r="O3068" i="7" s="1"/>
  <c r="AA3067" i="7"/>
  <c r="K3062" i="7"/>
  <c r="Q3061" i="7"/>
  <c r="AA3061" i="7" s="1"/>
  <c r="Y3060" i="7"/>
  <c r="W3060" i="7"/>
  <c r="U3060" i="7"/>
  <c r="S3060" i="7"/>
  <c r="Q3060" i="7"/>
  <c r="R3059" i="7"/>
  <c r="AA3059" i="7" s="1"/>
  <c r="Z3058" i="7"/>
  <c r="Y3058" i="7"/>
  <c r="X3058" i="7"/>
  <c r="W3058" i="7"/>
  <c r="V3058" i="7"/>
  <c r="U3058" i="7"/>
  <c r="T3058" i="7"/>
  <c r="S3058" i="7"/>
  <c r="R3058" i="7"/>
  <c r="Q3058" i="7"/>
  <c r="P3058" i="7"/>
  <c r="Z3057" i="7"/>
  <c r="Y3057" i="7"/>
  <c r="X3057" i="7"/>
  <c r="W3057" i="7"/>
  <c r="V3057" i="7"/>
  <c r="U3057" i="7"/>
  <c r="T3057" i="7"/>
  <c r="S3057" i="7"/>
  <c r="R3057" i="7"/>
  <c r="Q3057" i="7"/>
  <c r="P3057" i="7"/>
  <c r="Y3056" i="7"/>
  <c r="V3056" i="7"/>
  <c r="S3056" i="7"/>
  <c r="P3056" i="7"/>
  <c r="Q3055" i="7"/>
  <c r="AA3055" i="7" s="1"/>
  <c r="Q3054" i="7"/>
  <c r="AA3054" i="7" s="1"/>
  <c r="Z3053" i="7"/>
  <c r="Y3053" i="7"/>
  <c r="X3053" i="7"/>
  <c r="W3053" i="7"/>
  <c r="V3053" i="7"/>
  <c r="U3053" i="7"/>
  <c r="T3053" i="7"/>
  <c r="S3053" i="7"/>
  <c r="R3053" i="7"/>
  <c r="Q3053" i="7"/>
  <c r="P3053" i="7"/>
  <c r="O3053" i="7"/>
  <c r="O3052" i="7"/>
  <c r="AA3052" i="7" s="1"/>
  <c r="Z3051" i="7"/>
  <c r="U3051" i="7"/>
  <c r="Z3050" i="7"/>
  <c r="Y3050" i="7"/>
  <c r="X3050" i="7"/>
  <c r="W3050" i="7"/>
  <c r="V3050" i="7"/>
  <c r="U3050" i="7"/>
  <c r="T3050" i="7"/>
  <c r="S3050" i="7"/>
  <c r="R3050" i="7"/>
  <c r="Q3050" i="7"/>
  <c r="P3050" i="7"/>
  <c r="O3050" i="7"/>
  <c r="AA3048" i="7"/>
  <c r="K3045" i="7"/>
  <c r="Y3044" i="7"/>
  <c r="W3044" i="7"/>
  <c r="U3044" i="7"/>
  <c r="S3044" i="7"/>
  <c r="Q3044" i="7"/>
  <c r="Q3043" i="7"/>
  <c r="AA3043" i="7" s="1"/>
  <c r="Z3042" i="7"/>
  <c r="Z3038" i="7" s="1"/>
  <c r="Y3042" i="7"/>
  <c r="X3042" i="7"/>
  <c r="X3038" i="7" s="1"/>
  <c r="W3042" i="7"/>
  <c r="V3042" i="7"/>
  <c r="U3042" i="7"/>
  <c r="T3042" i="7"/>
  <c r="S3042" i="7"/>
  <c r="R3042" i="7"/>
  <c r="R3038" i="7" s="1"/>
  <c r="Q3042" i="7"/>
  <c r="P3042" i="7"/>
  <c r="V3041" i="7"/>
  <c r="P3041" i="7"/>
  <c r="W3040" i="7"/>
  <c r="T3040" i="7"/>
  <c r="Q3040" i="7"/>
  <c r="T3039" i="7"/>
  <c r="O3039" i="7"/>
  <c r="O3038" i="7" s="1"/>
  <c r="AA3037" i="7"/>
  <c r="K3034" i="7"/>
  <c r="R3033" i="7"/>
  <c r="AA3033" i="7" s="1"/>
  <c r="Z3032" i="7"/>
  <c r="Y3032" i="7"/>
  <c r="X3032" i="7"/>
  <c r="W3032" i="7"/>
  <c r="V3032" i="7"/>
  <c r="U3032" i="7"/>
  <c r="T3032" i="7"/>
  <c r="S3032" i="7"/>
  <c r="R3032" i="7"/>
  <c r="Q3032" i="7"/>
  <c r="P3032" i="7"/>
  <c r="Z3031" i="7"/>
  <c r="Y3031" i="7"/>
  <c r="X3031" i="7"/>
  <c r="W3031" i="7"/>
  <c r="V3031" i="7"/>
  <c r="U3031" i="7"/>
  <c r="T3031" i="7"/>
  <c r="S3031" i="7"/>
  <c r="R3031" i="7"/>
  <c r="Q3031" i="7"/>
  <c r="P3031" i="7"/>
  <c r="Y3030" i="7"/>
  <c r="V3030" i="7"/>
  <c r="S3030" i="7"/>
  <c r="P3030" i="7"/>
  <c r="Q3029" i="7"/>
  <c r="AA3029" i="7" s="1"/>
  <c r="S3028" i="7"/>
  <c r="AA3028" i="7" s="1"/>
  <c r="O3027" i="7"/>
  <c r="AA3027" i="7" s="1"/>
  <c r="Z3026" i="7"/>
  <c r="Y3026" i="7"/>
  <c r="X3026" i="7"/>
  <c r="W3026" i="7"/>
  <c r="V3026" i="7"/>
  <c r="U3026" i="7"/>
  <c r="T3026" i="7"/>
  <c r="S3026" i="7"/>
  <c r="R3026" i="7"/>
  <c r="Q3026" i="7"/>
  <c r="P3026" i="7"/>
  <c r="O3026" i="7"/>
  <c r="Z3025" i="7"/>
  <c r="Y3025" i="7"/>
  <c r="X3025" i="7"/>
  <c r="W3025" i="7"/>
  <c r="V3025" i="7"/>
  <c r="U3025" i="7"/>
  <c r="T3025" i="7"/>
  <c r="S3025" i="7"/>
  <c r="R3025" i="7"/>
  <c r="Q3025" i="7"/>
  <c r="P3025" i="7"/>
  <c r="O3025" i="7"/>
  <c r="O3024" i="7"/>
  <c r="Z3023" i="7"/>
  <c r="U3023" i="7"/>
  <c r="Z3022" i="7"/>
  <c r="Y3022" i="7"/>
  <c r="X3022" i="7"/>
  <c r="W3022" i="7"/>
  <c r="V3022" i="7"/>
  <c r="U3022" i="7"/>
  <c r="T3022" i="7"/>
  <c r="S3022" i="7"/>
  <c r="R3022" i="7"/>
  <c r="Q3022" i="7"/>
  <c r="P3022" i="7"/>
  <c r="O3022" i="7"/>
  <c r="Z3021" i="7"/>
  <c r="Y3021" i="7"/>
  <c r="X3021" i="7"/>
  <c r="W3021" i="7"/>
  <c r="V3021" i="7"/>
  <c r="U3021" i="7"/>
  <c r="T3021" i="7"/>
  <c r="S3021" i="7"/>
  <c r="R3021" i="7"/>
  <c r="Q3021" i="7"/>
  <c r="P3021" i="7"/>
  <c r="O3021" i="7"/>
  <c r="Z3020" i="7"/>
  <c r="Y3020" i="7"/>
  <c r="X3020" i="7"/>
  <c r="W3020" i="7"/>
  <c r="V3020" i="7"/>
  <c r="U3020" i="7"/>
  <c r="T3020" i="7"/>
  <c r="S3020" i="7"/>
  <c r="R3020" i="7"/>
  <c r="Q3020" i="7"/>
  <c r="P3020" i="7"/>
  <c r="O3020" i="7"/>
  <c r="AA3018" i="7"/>
  <c r="K3007" i="7"/>
  <c r="AA3006" i="7"/>
  <c r="AA3005" i="7"/>
  <c r="AA3004" i="7"/>
  <c r="AA3003" i="7"/>
  <c r="AA3002" i="7"/>
  <c r="AA3001" i="7"/>
  <c r="AA3000" i="7"/>
  <c r="AA2999" i="7"/>
  <c r="AA2998" i="7"/>
  <c r="AA2997" i="7"/>
  <c r="Z2996" i="7"/>
  <c r="Y2996" i="7"/>
  <c r="X2996" i="7"/>
  <c r="W2996" i="7"/>
  <c r="V2996" i="7"/>
  <c r="U2996" i="7"/>
  <c r="T2996" i="7"/>
  <c r="S2996" i="7"/>
  <c r="R2996" i="7"/>
  <c r="Q2996" i="7"/>
  <c r="P2996" i="7"/>
  <c r="O2996" i="7"/>
  <c r="AA2995" i="7"/>
  <c r="K2990" i="7"/>
  <c r="Z2989" i="7"/>
  <c r="Y2989" i="7"/>
  <c r="X2989" i="7"/>
  <c r="W2989" i="7"/>
  <c r="V2989" i="7"/>
  <c r="U2989" i="7"/>
  <c r="T2989" i="7"/>
  <c r="S2989" i="7"/>
  <c r="R2989" i="7"/>
  <c r="Q2989" i="7"/>
  <c r="P2989" i="7"/>
  <c r="O2989" i="7"/>
  <c r="Z2988" i="7"/>
  <c r="Y2988" i="7"/>
  <c r="X2988" i="7"/>
  <c r="W2988" i="7"/>
  <c r="V2988" i="7"/>
  <c r="U2988" i="7"/>
  <c r="T2988" i="7"/>
  <c r="S2988" i="7"/>
  <c r="R2988" i="7"/>
  <c r="Q2988" i="7"/>
  <c r="P2988" i="7"/>
  <c r="O2988" i="7"/>
  <c r="Z2987" i="7"/>
  <c r="X2987" i="7"/>
  <c r="V2987" i="7"/>
  <c r="T2987" i="7"/>
  <c r="R2987" i="7"/>
  <c r="Q2986" i="7"/>
  <c r="AA2986" i="7" s="1"/>
  <c r="Z2985" i="7"/>
  <c r="Y2985" i="7"/>
  <c r="X2985" i="7"/>
  <c r="W2985" i="7"/>
  <c r="V2985" i="7"/>
  <c r="U2985" i="7"/>
  <c r="T2985" i="7"/>
  <c r="S2985" i="7"/>
  <c r="R2985" i="7"/>
  <c r="Q2985" i="7"/>
  <c r="P2985" i="7"/>
  <c r="W2984" i="7"/>
  <c r="T2984" i="7"/>
  <c r="Q2984" i="7"/>
  <c r="U2983" i="7"/>
  <c r="Q2983" i="7"/>
  <c r="R2982" i="7"/>
  <c r="AA2982" i="7" s="1"/>
  <c r="P2981" i="7"/>
  <c r="AA2981" i="7" s="1"/>
  <c r="V2980" i="7"/>
  <c r="Q2980" i="7"/>
  <c r="S2979" i="7"/>
  <c r="AA2979" i="7" s="1"/>
  <c r="Z2978" i="7"/>
  <c r="Y2978" i="7"/>
  <c r="X2978" i="7"/>
  <c r="W2978" i="7"/>
  <c r="V2978" i="7"/>
  <c r="U2978" i="7"/>
  <c r="T2978" i="7"/>
  <c r="S2978" i="7"/>
  <c r="R2978" i="7"/>
  <c r="Q2978" i="7"/>
  <c r="P2978" i="7"/>
  <c r="O2978" i="7"/>
  <c r="O2977" i="7"/>
  <c r="AA2977" i="7" s="1"/>
  <c r="Z2976" i="7"/>
  <c r="U2976" i="7"/>
  <c r="Z2975" i="7"/>
  <c r="Y2975" i="7"/>
  <c r="X2975" i="7"/>
  <c r="W2975" i="7"/>
  <c r="V2975" i="7"/>
  <c r="U2975" i="7"/>
  <c r="T2975" i="7"/>
  <c r="S2975" i="7"/>
  <c r="R2975" i="7"/>
  <c r="Q2975" i="7"/>
  <c r="P2975" i="7"/>
  <c r="O2975" i="7"/>
  <c r="Z2974" i="7"/>
  <c r="Y2974" i="7"/>
  <c r="X2974" i="7"/>
  <c r="W2974" i="7"/>
  <c r="V2974" i="7"/>
  <c r="U2974" i="7"/>
  <c r="T2974" i="7"/>
  <c r="S2974" i="7"/>
  <c r="R2974" i="7"/>
  <c r="Q2974" i="7"/>
  <c r="P2974" i="7"/>
  <c r="O2974" i="7"/>
  <c r="Z2973" i="7"/>
  <c r="Y2973" i="7"/>
  <c r="X2973" i="7"/>
  <c r="W2973" i="7"/>
  <c r="V2973" i="7"/>
  <c r="U2973" i="7"/>
  <c r="T2973" i="7"/>
  <c r="S2973" i="7"/>
  <c r="R2973" i="7"/>
  <c r="Q2973" i="7"/>
  <c r="P2973" i="7"/>
  <c r="O2973" i="7"/>
  <c r="Z2972" i="7"/>
  <c r="Y2972" i="7"/>
  <c r="X2972" i="7"/>
  <c r="W2972" i="7"/>
  <c r="V2972" i="7"/>
  <c r="U2972" i="7"/>
  <c r="T2972" i="7"/>
  <c r="S2972" i="7"/>
  <c r="R2972" i="7"/>
  <c r="Q2972" i="7"/>
  <c r="P2972" i="7"/>
  <c r="O2972" i="7"/>
  <c r="AA2970" i="7"/>
  <c r="K2965" i="7"/>
  <c r="AA2964" i="7"/>
  <c r="AA2963" i="7"/>
  <c r="AA2962" i="7"/>
  <c r="AA2961" i="7"/>
  <c r="AA2960" i="7"/>
  <c r="AA2959" i="7"/>
  <c r="AA2958" i="7"/>
  <c r="AA2957" i="7"/>
  <c r="AA2956" i="7"/>
  <c r="AA2955" i="7"/>
  <c r="AA2954" i="7"/>
  <c r="AA2953" i="7"/>
  <c r="AA2952" i="7"/>
  <c r="AA2951" i="7"/>
  <c r="AA2950" i="7"/>
  <c r="AA2949" i="7"/>
  <c r="AA2948" i="7"/>
  <c r="Z2947" i="7"/>
  <c r="Y2947" i="7"/>
  <c r="X2947" i="7"/>
  <c r="W2947" i="7"/>
  <c r="V2947" i="7"/>
  <c r="U2947" i="7"/>
  <c r="T2947" i="7"/>
  <c r="S2947" i="7"/>
  <c r="R2947" i="7"/>
  <c r="Q2947" i="7"/>
  <c r="P2947" i="7"/>
  <c r="O2947" i="7"/>
  <c r="AA2946" i="7"/>
  <c r="K2941" i="7"/>
  <c r="AA2940" i="7"/>
  <c r="AA2939" i="7"/>
  <c r="AA2938" i="7"/>
  <c r="AA2937" i="7"/>
  <c r="AA2936" i="7"/>
  <c r="AA2935" i="7"/>
  <c r="AA2934" i="7"/>
  <c r="AA2933" i="7"/>
  <c r="AA2932" i="7"/>
  <c r="AA2931" i="7"/>
  <c r="AA2930" i="7"/>
  <c r="Z2929" i="7"/>
  <c r="Y2929" i="7"/>
  <c r="X2929" i="7"/>
  <c r="W2929" i="7"/>
  <c r="V2929" i="7"/>
  <c r="U2929" i="7"/>
  <c r="T2929" i="7"/>
  <c r="S2929" i="7"/>
  <c r="R2929" i="7"/>
  <c r="Q2929" i="7"/>
  <c r="P2929" i="7"/>
  <c r="O2929" i="7"/>
  <c r="AA2928" i="7"/>
  <c r="K2923" i="7"/>
  <c r="AA2922" i="7"/>
  <c r="AA2921" i="7"/>
  <c r="AA2920" i="7"/>
  <c r="AA2919" i="7"/>
  <c r="AA2918" i="7"/>
  <c r="AA2917" i="7"/>
  <c r="AA2916" i="7"/>
  <c r="AA2915" i="7"/>
  <c r="AA2914" i="7"/>
  <c r="AA2913" i="7"/>
  <c r="AA2912" i="7"/>
  <c r="AA2911" i="7"/>
  <c r="AA2910" i="7"/>
  <c r="AA2909" i="7"/>
  <c r="AA2908" i="7"/>
  <c r="AA2907" i="7"/>
  <c r="Z2906" i="7"/>
  <c r="Y2906" i="7"/>
  <c r="X2906" i="7"/>
  <c r="W2906" i="7"/>
  <c r="V2906" i="7"/>
  <c r="U2906" i="7"/>
  <c r="T2906" i="7"/>
  <c r="S2906" i="7"/>
  <c r="R2906" i="7"/>
  <c r="Q2906" i="7"/>
  <c r="P2906" i="7"/>
  <c r="O2906" i="7"/>
  <c r="AA2905" i="7"/>
  <c r="K2900" i="7"/>
  <c r="Q2899" i="7"/>
  <c r="AA2899" i="7" s="1"/>
  <c r="V2898" i="7"/>
  <c r="Q2898" i="7"/>
  <c r="P2897" i="7"/>
  <c r="AA2897" i="7" s="1"/>
  <c r="R2896" i="7"/>
  <c r="AA2896" i="7" s="1"/>
  <c r="S2895" i="7"/>
  <c r="AA2895" i="7" s="1"/>
  <c r="Z2894" i="7"/>
  <c r="Y2894" i="7"/>
  <c r="X2894" i="7"/>
  <c r="W2894" i="7"/>
  <c r="V2894" i="7"/>
  <c r="U2894" i="7"/>
  <c r="T2894" i="7"/>
  <c r="S2894" i="7"/>
  <c r="R2894" i="7"/>
  <c r="Q2894" i="7"/>
  <c r="P2894" i="7"/>
  <c r="O2894" i="7"/>
  <c r="Z2893" i="7"/>
  <c r="Y2893" i="7"/>
  <c r="X2893" i="7"/>
  <c r="W2893" i="7"/>
  <c r="V2893" i="7"/>
  <c r="U2893" i="7"/>
  <c r="T2893" i="7"/>
  <c r="S2893" i="7"/>
  <c r="R2893" i="7"/>
  <c r="Q2893" i="7"/>
  <c r="P2893" i="7"/>
  <c r="O2893" i="7"/>
  <c r="O2892" i="7"/>
  <c r="AA2892" i="7" s="1"/>
  <c r="Z2891" i="7"/>
  <c r="U2891" i="7"/>
  <c r="Z2890" i="7"/>
  <c r="Y2890" i="7"/>
  <c r="X2890" i="7"/>
  <c r="W2890" i="7"/>
  <c r="V2890" i="7"/>
  <c r="U2890" i="7"/>
  <c r="T2890" i="7"/>
  <c r="S2890" i="7"/>
  <c r="R2890" i="7"/>
  <c r="Q2890" i="7"/>
  <c r="P2890" i="7"/>
  <c r="O2890" i="7"/>
  <c r="Z2889" i="7"/>
  <c r="Y2889" i="7"/>
  <c r="X2889" i="7"/>
  <c r="W2889" i="7"/>
  <c r="V2889" i="7"/>
  <c r="U2889" i="7"/>
  <c r="T2889" i="7"/>
  <c r="S2889" i="7"/>
  <c r="R2889" i="7"/>
  <c r="Q2889" i="7"/>
  <c r="P2889" i="7"/>
  <c r="O2889" i="7"/>
  <c r="Z2888" i="7"/>
  <c r="Y2888" i="7"/>
  <c r="X2888" i="7"/>
  <c r="W2888" i="7"/>
  <c r="V2888" i="7"/>
  <c r="U2888" i="7"/>
  <c r="T2888" i="7"/>
  <c r="S2888" i="7"/>
  <c r="R2888" i="7"/>
  <c r="Q2888" i="7"/>
  <c r="P2888" i="7"/>
  <c r="O2888" i="7"/>
  <c r="Z2887" i="7"/>
  <c r="Y2887" i="7"/>
  <c r="X2887" i="7"/>
  <c r="W2887" i="7"/>
  <c r="V2887" i="7"/>
  <c r="U2887" i="7"/>
  <c r="T2887" i="7"/>
  <c r="S2887" i="7"/>
  <c r="R2887" i="7"/>
  <c r="Q2887" i="7"/>
  <c r="P2887" i="7"/>
  <c r="O2887" i="7"/>
  <c r="AA2885" i="7"/>
  <c r="K2880" i="7"/>
  <c r="AA2879" i="7"/>
  <c r="AA2878" i="7"/>
  <c r="AA2877" i="7"/>
  <c r="AA2876" i="7"/>
  <c r="AA2875" i="7"/>
  <c r="AA2874" i="7"/>
  <c r="AA2873" i="7"/>
  <c r="AA2872" i="7"/>
  <c r="AA2871" i="7"/>
  <c r="AA2870" i="7"/>
  <c r="AA2869" i="7"/>
  <c r="AA2868" i="7"/>
  <c r="AA2867" i="7"/>
  <c r="AA2866" i="7"/>
  <c r="AA2865" i="7"/>
  <c r="AA2864" i="7"/>
  <c r="AA2863" i="7"/>
  <c r="Z2862" i="7"/>
  <c r="Y2862" i="7"/>
  <c r="X2862" i="7"/>
  <c r="W2862" i="7"/>
  <c r="V2862" i="7"/>
  <c r="U2862" i="7"/>
  <c r="T2862" i="7"/>
  <c r="S2862" i="7"/>
  <c r="R2862" i="7"/>
  <c r="Q2862" i="7"/>
  <c r="P2862" i="7"/>
  <c r="O2862" i="7"/>
  <c r="AA2861" i="7"/>
  <c r="K2856" i="7"/>
  <c r="AA2855" i="7"/>
  <c r="AA2854" i="7"/>
  <c r="AA2853" i="7"/>
  <c r="AA2852" i="7"/>
  <c r="AA2851" i="7"/>
  <c r="AA2850" i="7"/>
  <c r="AA2849" i="7"/>
  <c r="AA2848" i="7"/>
  <c r="AA2847" i="7"/>
  <c r="AA2846" i="7"/>
  <c r="Z2845" i="7"/>
  <c r="Y2845" i="7"/>
  <c r="X2845" i="7"/>
  <c r="W2845" i="7"/>
  <c r="V2845" i="7"/>
  <c r="U2845" i="7"/>
  <c r="T2845" i="7"/>
  <c r="S2845" i="7"/>
  <c r="R2845" i="7"/>
  <c r="Q2845" i="7"/>
  <c r="P2845" i="7"/>
  <c r="O2845" i="7"/>
  <c r="AA2844" i="7"/>
  <c r="K2839" i="7"/>
  <c r="AA2838" i="7"/>
  <c r="AA2837" i="7"/>
  <c r="AA2836" i="7"/>
  <c r="AA2835" i="7"/>
  <c r="AA2834" i="7"/>
  <c r="AA2833" i="7"/>
  <c r="AA2832" i="7"/>
  <c r="AA2831" i="7"/>
  <c r="AA2830" i="7"/>
  <c r="AA2829" i="7"/>
  <c r="AA2828" i="7"/>
  <c r="AA2827" i="7"/>
  <c r="AA2826" i="7"/>
  <c r="AA2825" i="7"/>
  <c r="AA2824" i="7"/>
  <c r="AA2823" i="7"/>
  <c r="AA2822" i="7"/>
  <c r="Z2821" i="7"/>
  <c r="Y2821" i="7"/>
  <c r="X2821" i="7"/>
  <c r="W2821" i="7"/>
  <c r="V2821" i="7"/>
  <c r="U2821" i="7"/>
  <c r="T2821" i="7"/>
  <c r="S2821" i="7"/>
  <c r="R2821" i="7"/>
  <c r="Q2821" i="7"/>
  <c r="P2821" i="7"/>
  <c r="O2821" i="7"/>
  <c r="AA2820" i="7"/>
  <c r="K2815" i="7"/>
  <c r="Z2814" i="7"/>
  <c r="Y2814" i="7"/>
  <c r="X2814" i="7"/>
  <c r="W2814" i="7"/>
  <c r="V2814" i="7"/>
  <c r="U2814" i="7"/>
  <c r="T2814" i="7"/>
  <c r="S2814" i="7"/>
  <c r="R2814" i="7"/>
  <c r="Q2814" i="7"/>
  <c r="P2814" i="7"/>
  <c r="O2814" i="7"/>
  <c r="Z2813" i="7"/>
  <c r="Y2813" i="7"/>
  <c r="X2813" i="7"/>
  <c r="W2813" i="7"/>
  <c r="V2813" i="7"/>
  <c r="U2813" i="7"/>
  <c r="T2813" i="7"/>
  <c r="S2813" i="7"/>
  <c r="R2813" i="7"/>
  <c r="Q2813" i="7"/>
  <c r="P2813" i="7"/>
  <c r="O2813" i="7"/>
  <c r="R2812" i="7"/>
  <c r="AA2812" i="7" s="1"/>
  <c r="Z2811" i="7"/>
  <c r="Y2811" i="7"/>
  <c r="X2811" i="7"/>
  <c r="W2811" i="7"/>
  <c r="V2811" i="7"/>
  <c r="U2811" i="7"/>
  <c r="T2811" i="7"/>
  <c r="S2811" i="7"/>
  <c r="R2811" i="7"/>
  <c r="Q2811" i="7"/>
  <c r="P2811" i="7"/>
  <c r="Q2810" i="7"/>
  <c r="AA2810" i="7" s="1"/>
  <c r="P2809" i="7"/>
  <c r="AA2809" i="7" s="1"/>
  <c r="V2808" i="7"/>
  <c r="Q2808" i="7"/>
  <c r="R2807" i="7"/>
  <c r="AA2807" i="7" s="1"/>
  <c r="Z2806" i="7"/>
  <c r="Y2806" i="7"/>
  <c r="X2806" i="7"/>
  <c r="W2806" i="7"/>
  <c r="V2806" i="7"/>
  <c r="U2806" i="7"/>
  <c r="T2806" i="7"/>
  <c r="S2806" i="7"/>
  <c r="R2806" i="7"/>
  <c r="Q2806" i="7"/>
  <c r="P2806" i="7"/>
  <c r="O2806" i="7"/>
  <c r="Z2805" i="7"/>
  <c r="Y2805" i="7"/>
  <c r="X2805" i="7"/>
  <c r="W2805" i="7"/>
  <c r="V2805" i="7"/>
  <c r="U2805" i="7"/>
  <c r="T2805" i="7"/>
  <c r="S2805" i="7"/>
  <c r="R2805" i="7"/>
  <c r="Q2805" i="7"/>
  <c r="P2805" i="7"/>
  <c r="O2805" i="7"/>
  <c r="O2804" i="7"/>
  <c r="AA2804" i="7" s="1"/>
  <c r="Z2803" i="7"/>
  <c r="U2803" i="7"/>
  <c r="Z2802" i="7"/>
  <c r="Y2802" i="7"/>
  <c r="X2802" i="7"/>
  <c r="W2802" i="7"/>
  <c r="V2802" i="7"/>
  <c r="U2802" i="7"/>
  <c r="T2802" i="7"/>
  <c r="S2802" i="7"/>
  <c r="R2802" i="7"/>
  <c r="Q2802" i="7"/>
  <c r="P2802" i="7"/>
  <c r="O2802" i="7"/>
  <c r="Z2801" i="7"/>
  <c r="Y2801" i="7"/>
  <c r="X2801" i="7"/>
  <c r="W2801" i="7"/>
  <c r="V2801" i="7"/>
  <c r="U2801" i="7"/>
  <c r="T2801" i="7"/>
  <c r="S2801" i="7"/>
  <c r="R2801" i="7"/>
  <c r="Q2801" i="7"/>
  <c r="P2801" i="7"/>
  <c r="O2801" i="7"/>
  <c r="Z2800" i="7"/>
  <c r="Y2800" i="7"/>
  <c r="X2800" i="7"/>
  <c r="W2800" i="7"/>
  <c r="V2800" i="7"/>
  <c r="U2800" i="7"/>
  <c r="T2800" i="7"/>
  <c r="S2800" i="7"/>
  <c r="R2800" i="7"/>
  <c r="Q2800" i="7"/>
  <c r="P2800" i="7"/>
  <c r="O2800" i="7"/>
  <c r="Z2799" i="7"/>
  <c r="Y2799" i="7"/>
  <c r="X2799" i="7"/>
  <c r="W2799" i="7"/>
  <c r="V2799" i="7"/>
  <c r="U2799" i="7"/>
  <c r="T2799" i="7"/>
  <c r="S2799" i="7"/>
  <c r="R2799" i="7"/>
  <c r="Q2799" i="7"/>
  <c r="P2799" i="7"/>
  <c r="O2799" i="7"/>
  <c r="AA2797" i="7"/>
  <c r="K2792" i="7"/>
  <c r="AA2791" i="7"/>
  <c r="AA2790" i="7"/>
  <c r="AA2789" i="7"/>
  <c r="AA2788" i="7"/>
  <c r="AA2787" i="7"/>
  <c r="AA2786" i="7"/>
  <c r="AA2785" i="7"/>
  <c r="AA2784" i="7"/>
  <c r="AA2783" i="7"/>
  <c r="AA2782" i="7"/>
  <c r="AA2781" i="7"/>
  <c r="AA2780" i="7"/>
  <c r="AA2779" i="7"/>
  <c r="AA2778" i="7"/>
  <c r="AA2777" i="7"/>
  <c r="AA2776" i="7"/>
  <c r="AA2775" i="7"/>
  <c r="AA2774" i="7"/>
  <c r="AA2773" i="7"/>
  <c r="Z2772" i="7"/>
  <c r="Y2772" i="7"/>
  <c r="X2772" i="7"/>
  <c r="W2772" i="7"/>
  <c r="V2772" i="7"/>
  <c r="U2772" i="7"/>
  <c r="T2772" i="7"/>
  <c r="S2772" i="7"/>
  <c r="R2772" i="7"/>
  <c r="Q2772" i="7"/>
  <c r="P2772" i="7"/>
  <c r="O2772" i="7"/>
  <c r="AA2771" i="7"/>
  <c r="K2766" i="7"/>
  <c r="AA2765" i="7"/>
  <c r="AA2764" i="7"/>
  <c r="AA2763" i="7"/>
  <c r="Z2762" i="7"/>
  <c r="Y2762" i="7"/>
  <c r="X2762" i="7"/>
  <c r="W2762" i="7"/>
  <c r="V2762" i="7"/>
  <c r="U2762" i="7"/>
  <c r="T2762" i="7"/>
  <c r="S2762" i="7"/>
  <c r="R2762" i="7"/>
  <c r="Q2762" i="7"/>
  <c r="P2762" i="7"/>
  <c r="O2762" i="7"/>
  <c r="AA2761" i="7"/>
  <c r="K2756" i="7"/>
  <c r="AA2755" i="7"/>
  <c r="AA2754" i="7"/>
  <c r="AA2753" i="7"/>
  <c r="AA2752" i="7"/>
  <c r="AA2751" i="7"/>
  <c r="AA2750" i="7"/>
  <c r="AA2749" i="7"/>
  <c r="Z2748" i="7"/>
  <c r="Y2748" i="7"/>
  <c r="X2748" i="7"/>
  <c r="W2748" i="7"/>
  <c r="V2748" i="7"/>
  <c r="U2748" i="7"/>
  <c r="T2748" i="7"/>
  <c r="S2748" i="7"/>
  <c r="R2748" i="7"/>
  <c r="Q2748" i="7"/>
  <c r="P2748" i="7"/>
  <c r="O2748" i="7"/>
  <c r="AA2747" i="7"/>
  <c r="K2742" i="7"/>
  <c r="AA2741" i="7"/>
  <c r="AA2740" i="7"/>
  <c r="AA2739" i="7"/>
  <c r="AA2738" i="7"/>
  <c r="AA2737" i="7"/>
  <c r="AA2736" i="7"/>
  <c r="AA2735" i="7"/>
  <c r="AA2734" i="7"/>
  <c r="Z2733" i="7"/>
  <c r="Y2733" i="7"/>
  <c r="X2733" i="7"/>
  <c r="W2733" i="7"/>
  <c r="V2733" i="7"/>
  <c r="U2733" i="7"/>
  <c r="T2733" i="7"/>
  <c r="S2733" i="7"/>
  <c r="R2733" i="7"/>
  <c r="Q2733" i="7"/>
  <c r="P2733" i="7"/>
  <c r="O2733" i="7"/>
  <c r="AA2732" i="7"/>
  <c r="K2727" i="7"/>
  <c r="AA2726" i="7"/>
  <c r="Z2725" i="7"/>
  <c r="Y2725" i="7"/>
  <c r="X2725" i="7"/>
  <c r="W2725" i="7"/>
  <c r="V2725" i="7"/>
  <c r="U2725" i="7"/>
  <c r="T2725" i="7"/>
  <c r="S2725" i="7"/>
  <c r="R2725" i="7"/>
  <c r="Q2725" i="7"/>
  <c r="P2725" i="7"/>
  <c r="O2725" i="7"/>
  <c r="AA2724" i="7"/>
  <c r="K2719" i="7"/>
  <c r="AA2718" i="7"/>
  <c r="AA2717" i="7"/>
  <c r="AA2716" i="7"/>
  <c r="AA2715" i="7"/>
  <c r="AA2714" i="7"/>
  <c r="AA2713" i="7"/>
  <c r="AA2712" i="7"/>
  <c r="AA2711" i="7"/>
  <c r="AA2710" i="7"/>
  <c r="Z2709" i="7"/>
  <c r="Y2709" i="7"/>
  <c r="X2709" i="7"/>
  <c r="W2709" i="7"/>
  <c r="V2709" i="7"/>
  <c r="U2709" i="7"/>
  <c r="T2709" i="7"/>
  <c r="S2709" i="7"/>
  <c r="R2709" i="7"/>
  <c r="Q2709" i="7"/>
  <c r="P2709" i="7"/>
  <c r="O2709" i="7"/>
  <c r="AA2708" i="7"/>
  <c r="K2703" i="7"/>
  <c r="AA2702" i="7"/>
  <c r="AA2701" i="7"/>
  <c r="Z2700" i="7"/>
  <c r="Y2700" i="7"/>
  <c r="X2700" i="7"/>
  <c r="W2700" i="7"/>
  <c r="V2700" i="7"/>
  <c r="U2700" i="7"/>
  <c r="T2700" i="7"/>
  <c r="S2700" i="7"/>
  <c r="R2700" i="7"/>
  <c r="Q2700" i="7"/>
  <c r="P2700" i="7"/>
  <c r="O2700" i="7"/>
  <c r="AA2699" i="7"/>
  <c r="K2694" i="7"/>
  <c r="AA2693" i="7"/>
  <c r="AA2692" i="7"/>
  <c r="AA2691" i="7"/>
  <c r="AA2690" i="7"/>
  <c r="AA2689" i="7"/>
  <c r="AA2688" i="7"/>
  <c r="AA2687" i="7"/>
  <c r="AA2686" i="7"/>
  <c r="AA2685" i="7"/>
  <c r="Z2684" i="7"/>
  <c r="Y2684" i="7"/>
  <c r="X2684" i="7"/>
  <c r="W2684" i="7"/>
  <c r="V2684" i="7"/>
  <c r="U2684" i="7"/>
  <c r="T2684" i="7"/>
  <c r="S2684" i="7"/>
  <c r="R2684" i="7"/>
  <c r="Q2684" i="7"/>
  <c r="P2684" i="7"/>
  <c r="O2684" i="7"/>
  <c r="AA2683" i="7"/>
  <c r="K2678" i="7"/>
  <c r="AA2677" i="7"/>
  <c r="AA2676" i="7"/>
  <c r="AA2675" i="7"/>
  <c r="AA2674" i="7"/>
  <c r="AA2673" i="7"/>
  <c r="AA2672" i="7"/>
  <c r="Z2671" i="7"/>
  <c r="Y2671" i="7"/>
  <c r="X2671" i="7"/>
  <c r="W2671" i="7"/>
  <c r="V2671" i="7"/>
  <c r="U2671" i="7"/>
  <c r="T2671" i="7"/>
  <c r="S2671" i="7"/>
  <c r="R2671" i="7"/>
  <c r="Q2671" i="7"/>
  <c r="P2671" i="7"/>
  <c r="O2671" i="7"/>
  <c r="AA2670" i="7"/>
  <c r="K2665" i="7"/>
  <c r="AA2664" i="7"/>
  <c r="AA2663" i="7"/>
  <c r="AA2662" i="7"/>
  <c r="AA2661" i="7"/>
  <c r="AA2660" i="7"/>
  <c r="AA2659" i="7"/>
  <c r="AA2658" i="7"/>
  <c r="AA2657" i="7"/>
  <c r="AA2656" i="7"/>
  <c r="AA2655" i="7"/>
  <c r="Z2654" i="7"/>
  <c r="Y2654" i="7"/>
  <c r="X2654" i="7"/>
  <c r="W2654" i="7"/>
  <c r="V2654" i="7"/>
  <c r="U2654" i="7"/>
  <c r="T2654" i="7"/>
  <c r="S2654" i="7"/>
  <c r="R2654" i="7"/>
  <c r="Q2654" i="7"/>
  <c r="P2654" i="7"/>
  <c r="O2654" i="7"/>
  <c r="AA2653" i="7"/>
  <c r="K2648" i="7"/>
  <c r="AA2647" i="7"/>
  <c r="AA2646" i="7"/>
  <c r="AA2645" i="7"/>
  <c r="AA2644" i="7"/>
  <c r="AA2643" i="7"/>
  <c r="AA2642" i="7"/>
  <c r="AA2641" i="7"/>
  <c r="AA2640" i="7"/>
  <c r="AA2639" i="7"/>
  <c r="AA2638" i="7"/>
  <c r="AA2637" i="7"/>
  <c r="AA2636" i="7"/>
  <c r="Z2635" i="7"/>
  <c r="Y2635" i="7"/>
  <c r="X2635" i="7"/>
  <c r="W2635" i="7"/>
  <c r="V2635" i="7"/>
  <c r="U2635" i="7"/>
  <c r="T2635" i="7"/>
  <c r="S2635" i="7"/>
  <c r="R2635" i="7"/>
  <c r="Q2635" i="7"/>
  <c r="P2635" i="7"/>
  <c r="O2635" i="7"/>
  <c r="AA2634" i="7"/>
  <c r="K2629" i="7"/>
  <c r="AA2628" i="7"/>
  <c r="AA2627" i="7"/>
  <c r="AA2626" i="7"/>
  <c r="AA2625" i="7"/>
  <c r="AA2624" i="7"/>
  <c r="AA2623" i="7"/>
  <c r="AA2622" i="7"/>
  <c r="AA2621" i="7"/>
  <c r="AA2620" i="7"/>
  <c r="Z2619" i="7"/>
  <c r="Y2619" i="7"/>
  <c r="X2619" i="7"/>
  <c r="W2619" i="7"/>
  <c r="V2619" i="7"/>
  <c r="U2619" i="7"/>
  <c r="T2619" i="7"/>
  <c r="S2619" i="7"/>
  <c r="R2619" i="7"/>
  <c r="Q2619" i="7"/>
  <c r="P2619" i="7"/>
  <c r="O2619" i="7"/>
  <c r="AA2618" i="7"/>
  <c r="K2613" i="7"/>
  <c r="AA2612" i="7"/>
  <c r="AA2611" i="7"/>
  <c r="AA2610" i="7"/>
  <c r="AA2609" i="7"/>
  <c r="AA2608" i="7"/>
  <c r="AA2607" i="7"/>
  <c r="AA2606" i="7"/>
  <c r="AA2605" i="7"/>
  <c r="AA2604" i="7"/>
  <c r="AA2603" i="7"/>
  <c r="AA2602" i="7"/>
  <c r="Z2601" i="7"/>
  <c r="Y2601" i="7"/>
  <c r="X2601" i="7"/>
  <c r="W2601" i="7"/>
  <c r="V2601" i="7"/>
  <c r="U2601" i="7"/>
  <c r="T2601" i="7"/>
  <c r="S2601" i="7"/>
  <c r="R2601" i="7"/>
  <c r="Q2601" i="7"/>
  <c r="P2601" i="7"/>
  <c r="O2601" i="7"/>
  <c r="AA2600" i="7"/>
  <c r="K2595" i="7"/>
  <c r="AA2594" i="7"/>
  <c r="AA2593" i="7"/>
  <c r="Z2592" i="7"/>
  <c r="Y2592" i="7"/>
  <c r="X2592" i="7"/>
  <c r="W2592" i="7"/>
  <c r="V2592" i="7"/>
  <c r="U2592" i="7"/>
  <c r="T2592" i="7"/>
  <c r="S2592" i="7"/>
  <c r="R2592" i="7"/>
  <c r="Q2592" i="7"/>
  <c r="P2592" i="7"/>
  <c r="O2592" i="7"/>
  <c r="AA2591" i="7"/>
  <c r="K2586" i="7"/>
  <c r="AA2585" i="7"/>
  <c r="AA2584" i="7"/>
  <c r="AA2583" i="7"/>
  <c r="AA2582" i="7"/>
  <c r="AA2581" i="7"/>
  <c r="AA2580" i="7"/>
  <c r="AA2579" i="7"/>
  <c r="AA2578" i="7"/>
  <c r="AA2577" i="7"/>
  <c r="AA2576" i="7"/>
  <c r="AA2575" i="7"/>
  <c r="AA2574" i="7"/>
  <c r="Z2573" i="7"/>
  <c r="Y2573" i="7"/>
  <c r="X2573" i="7"/>
  <c r="W2573" i="7"/>
  <c r="V2573" i="7"/>
  <c r="U2573" i="7"/>
  <c r="T2573" i="7"/>
  <c r="S2573" i="7"/>
  <c r="R2573" i="7"/>
  <c r="Q2573" i="7"/>
  <c r="P2573" i="7"/>
  <c r="O2573" i="7"/>
  <c r="AA2572" i="7"/>
  <c r="K2567" i="7"/>
  <c r="AA2566" i="7"/>
  <c r="AA2565" i="7"/>
  <c r="AA2564" i="7"/>
  <c r="AA2563" i="7"/>
  <c r="AA2562" i="7"/>
  <c r="AA2561" i="7"/>
  <c r="AA2560" i="7"/>
  <c r="AA2559" i="7"/>
  <c r="AA2558" i="7"/>
  <c r="AA2557" i="7"/>
  <c r="AA2556" i="7"/>
  <c r="Z2555" i="7"/>
  <c r="Y2555" i="7"/>
  <c r="X2555" i="7"/>
  <c r="W2555" i="7"/>
  <c r="V2555" i="7"/>
  <c r="U2555" i="7"/>
  <c r="T2555" i="7"/>
  <c r="S2555" i="7"/>
  <c r="R2555" i="7"/>
  <c r="Q2555" i="7"/>
  <c r="P2555" i="7"/>
  <c r="O2555" i="7"/>
  <c r="AA2554" i="7"/>
  <c r="K2549" i="7"/>
  <c r="AA2548" i="7"/>
  <c r="AA2547" i="7"/>
  <c r="AA2546" i="7"/>
  <c r="AA2545" i="7"/>
  <c r="AA2544" i="7"/>
  <c r="AA2543" i="7"/>
  <c r="AA2542" i="7"/>
  <c r="AA2541" i="7"/>
  <c r="AA2540" i="7"/>
  <c r="Z2539" i="7"/>
  <c r="Y2539" i="7"/>
  <c r="X2539" i="7"/>
  <c r="W2539" i="7"/>
  <c r="V2539" i="7"/>
  <c r="U2539" i="7"/>
  <c r="T2539" i="7"/>
  <c r="S2539" i="7"/>
  <c r="R2539" i="7"/>
  <c r="Q2539" i="7"/>
  <c r="P2539" i="7"/>
  <c r="O2539" i="7"/>
  <c r="AA2538" i="7"/>
  <c r="K2533" i="7"/>
  <c r="AA2532" i="7"/>
  <c r="AA2531" i="7"/>
  <c r="AA2530" i="7"/>
  <c r="AA2529" i="7"/>
  <c r="AA2528" i="7"/>
  <c r="AA2527" i="7"/>
  <c r="AA2526" i="7"/>
  <c r="AA2525" i="7"/>
  <c r="AA2524" i="7"/>
  <c r="Z2523" i="7"/>
  <c r="Y2523" i="7"/>
  <c r="X2523" i="7"/>
  <c r="W2523" i="7"/>
  <c r="V2523" i="7"/>
  <c r="U2523" i="7"/>
  <c r="T2523" i="7"/>
  <c r="S2523" i="7"/>
  <c r="R2523" i="7"/>
  <c r="Q2523" i="7"/>
  <c r="P2523" i="7"/>
  <c r="O2523" i="7"/>
  <c r="AA2522" i="7"/>
  <c r="K2517" i="7"/>
  <c r="AA2516" i="7"/>
  <c r="AA2515" i="7"/>
  <c r="AA2514" i="7"/>
  <c r="AA2513" i="7"/>
  <c r="AA2512" i="7"/>
  <c r="AA2511" i="7"/>
  <c r="AA2510" i="7"/>
  <c r="AA2509" i="7"/>
  <c r="AA2508" i="7"/>
  <c r="AA2507" i="7"/>
  <c r="AA2506" i="7"/>
  <c r="AA2505" i="7"/>
  <c r="AA2504" i="7"/>
  <c r="AA2503" i="7"/>
  <c r="AA2502" i="7"/>
  <c r="AA2501" i="7"/>
  <c r="AA2500" i="7"/>
  <c r="AA2499" i="7"/>
  <c r="AA2498" i="7"/>
  <c r="AA2497" i="7"/>
  <c r="AA2496" i="7"/>
  <c r="AA2495" i="7"/>
  <c r="AA2494" i="7"/>
  <c r="AA2493" i="7"/>
  <c r="AA2492" i="7"/>
  <c r="AA2491" i="7"/>
  <c r="AA2490" i="7"/>
  <c r="Z2489" i="7"/>
  <c r="Y2489" i="7"/>
  <c r="X2489" i="7"/>
  <c r="W2489" i="7"/>
  <c r="V2489" i="7"/>
  <c r="U2489" i="7"/>
  <c r="T2489" i="7"/>
  <c r="S2489" i="7"/>
  <c r="R2489" i="7"/>
  <c r="Q2489" i="7"/>
  <c r="P2489" i="7"/>
  <c r="O2489" i="7"/>
  <c r="AA2488" i="7"/>
  <c r="K2483" i="7"/>
  <c r="AA2482" i="7"/>
  <c r="AA2481" i="7"/>
  <c r="AA2480" i="7"/>
  <c r="AA2479" i="7"/>
  <c r="AA2478" i="7"/>
  <c r="AA2477" i="7"/>
  <c r="AA2476" i="7"/>
  <c r="AA2475" i="7"/>
  <c r="AA2474" i="7"/>
  <c r="AA2473" i="7"/>
  <c r="AA2472" i="7"/>
  <c r="AA2471" i="7"/>
  <c r="AA2470" i="7"/>
  <c r="AA2469" i="7"/>
  <c r="AA2468" i="7"/>
  <c r="Z2467" i="7"/>
  <c r="Y2467" i="7"/>
  <c r="X2467" i="7"/>
  <c r="W2467" i="7"/>
  <c r="V2467" i="7"/>
  <c r="U2467" i="7"/>
  <c r="T2467" i="7"/>
  <c r="S2467" i="7"/>
  <c r="R2467" i="7"/>
  <c r="Q2467" i="7"/>
  <c r="P2467" i="7"/>
  <c r="O2467" i="7"/>
  <c r="AA2466" i="7"/>
  <c r="K2461" i="7"/>
  <c r="AA2460" i="7"/>
  <c r="AA2459" i="7"/>
  <c r="AA2458" i="7"/>
  <c r="AA2457" i="7"/>
  <c r="AA2456" i="7"/>
  <c r="AA2455" i="7"/>
  <c r="AA2454" i="7"/>
  <c r="Z2453" i="7"/>
  <c r="Y2453" i="7"/>
  <c r="X2453" i="7"/>
  <c r="W2453" i="7"/>
  <c r="V2453" i="7"/>
  <c r="U2453" i="7"/>
  <c r="T2453" i="7"/>
  <c r="S2453" i="7"/>
  <c r="R2453" i="7"/>
  <c r="Q2453" i="7"/>
  <c r="P2453" i="7"/>
  <c r="O2453" i="7"/>
  <c r="AA2452" i="7"/>
  <c r="K2449" i="7"/>
  <c r="AA2448" i="7"/>
  <c r="AA2447" i="7"/>
  <c r="AA2446" i="7"/>
  <c r="AA2445" i="7"/>
  <c r="AA2444" i="7"/>
  <c r="AA2443" i="7"/>
  <c r="AA2442" i="7"/>
  <c r="AA2441" i="7"/>
  <c r="AA2440" i="7"/>
  <c r="AA2439" i="7"/>
  <c r="AA2438" i="7"/>
  <c r="AA2437" i="7"/>
  <c r="AA2436" i="7"/>
  <c r="AA2435" i="7"/>
  <c r="AA2434" i="7"/>
  <c r="AA2433" i="7"/>
  <c r="AA2432" i="7"/>
  <c r="AA2431" i="7"/>
  <c r="AA2430" i="7"/>
  <c r="AA2429" i="7"/>
  <c r="AA2428" i="7"/>
  <c r="Z2427" i="7"/>
  <c r="Y2427" i="7"/>
  <c r="X2427" i="7"/>
  <c r="W2427" i="7"/>
  <c r="V2427" i="7"/>
  <c r="U2427" i="7"/>
  <c r="T2427" i="7"/>
  <c r="S2427" i="7"/>
  <c r="R2427" i="7"/>
  <c r="Q2427" i="7"/>
  <c r="P2427" i="7"/>
  <c r="O2427" i="7"/>
  <c r="AA2426" i="7"/>
  <c r="K2416" i="7"/>
  <c r="AA2415" i="7"/>
  <c r="AA2414" i="7"/>
  <c r="AA2413" i="7"/>
  <c r="AA2412" i="7"/>
  <c r="AA2411" i="7"/>
  <c r="AA2410" i="7"/>
  <c r="AA2409" i="7"/>
  <c r="AA2408" i="7"/>
  <c r="AA2407" i="7"/>
  <c r="AA2406" i="7"/>
  <c r="AA2405" i="7"/>
  <c r="AA2404" i="7"/>
  <c r="Z2403" i="7"/>
  <c r="Y2403" i="7"/>
  <c r="X2403" i="7"/>
  <c r="W2403" i="7"/>
  <c r="V2403" i="7"/>
  <c r="U2403" i="7"/>
  <c r="T2403" i="7"/>
  <c r="S2403" i="7"/>
  <c r="R2403" i="7"/>
  <c r="Q2403" i="7"/>
  <c r="P2403" i="7"/>
  <c r="O2403" i="7"/>
  <c r="AA2402" i="7"/>
  <c r="K2395" i="7"/>
  <c r="AA2394" i="7"/>
  <c r="AA2393" i="7"/>
  <c r="AA2392" i="7"/>
  <c r="AA2391" i="7"/>
  <c r="AA2390" i="7"/>
  <c r="AA2389" i="7"/>
  <c r="Z2388" i="7"/>
  <c r="Y2388" i="7"/>
  <c r="X2388" i="7"/>
  <c r="W2388" i="7"/>
  <c r="V2388" i="7"/>
  <c r="U2388" i="7"/>
  <c r="T2388" i="7"/>
  <c r="S2388" i="7"/>
  <c r="R2388" i="7"/>
  <c r="Q2388" i="7"/>
  <c r="P2388" i="7"/>
  <c r="O2388" i="7"/>
  <c r="AA2387" i="7"/>
  <c r="K2380" i="7"/>
  <c r="AA2379" i="7"/>
  <c r="AA2378" i="7"/>
  <c r="AA2377" i="7"/>
  <c r="AA2376" i="7"/>
  <c r="AA2375" i="7"/>
  <c r="AA2374" i="7"/>
  <c r="AA2373" i="7"/>
  <c r="AA2372" i="7"/>
  <c r="AA2371" i="7"/>
  <c r="AA2370" i="7"/>
  <c r="AA2369" i="7"/>
  <c r="AA2368" i="7"/>
  <c r="Z2367" i="7"/>
  <c r="Y2367" i="7"/>
  <c r="X2367" i="7"/>
  <c r="W2367" i="7"/>
  <c r="V2367" i="7"/>
  <c r="U2367" i="7"/>
  <c r="T2367" i="7"/>
  <c r="S2367" i="7"/>
  <c r="R2367" i="7"/>
  <c r="Q2367" i="7"/>
  <c r="P2367" i="7"/>
  <c r="O2367" i="7"/>
  <c r="AA2366" i="7"/>
  <c r="K2359" i="7"/>
  <c r="AA2358" i="7"/>
  <c r="AA2357" i="7"/>
  <c r="AA2356" i="7"/>
  <c r="AA2355" i="7"/>
  <c r="AA2354" i="7"/>
  <c r="AA2353" i="7"/>
  <c r="AA2352" i="7"/>
  <c r="AA2351" i="7"/>
  <c r="AA2350" i="7"/>
  <c r="AA2349" i="7"/>
  <c r="AA2348" i="7"/>
  <c r="AA2347" i="7"/>
  <c r="AA2346" i="7"/>
  <c r="AA2345" i="7"/>
  <c r="AA2344" i="7"/>
  <c r="Z2343" i="7"/>
  <c r="Y2343" i="7"/>
  <c r="X2343" i="7"/>
  <c r="W2343" i="7"/>
  <c r="V2343" i="7"/>
  <c r="U2343" i="7"/>
  <c r="T2343" i="7"/>
  <c r="S2343" i="7"/>
  <c r="R2343" i="7"/>
  <c r="Q2343" i="7"/>
  <c r="P2343" i="7"/>
  <c r="O2343" i="7"/>
  <c r="AA2342" i="7"/>
  <c r="K2335" i="7"/>
  <c r="AA2334" i="7"/>
  <c r="AA2333" i="7"/>
  <c r="AA2332" i="7"/>
  <c r="AA2331" i="7"/>
  <c r="AA2330" i="7"/>
  <c r="AA2329" i="7"/>
  <c r="AA2328" i="7"/>
  <c r="AA2327" i="7"/>
  <c r="AA2326" i="7"/>
  <c r="AA2325" i="7"/>
  <c r="AA2324" i="7"/>
  <c r="AA2323" i="7"/>
  <c r="AA2322" i="7"/>
  <c r="AA2321" i="7"/>
  <c r="AA2320" i="7"/>
  <c r="AA2319" i="7"/>
  <c r="Z2318" i="7"/>
  <c r="Y2318" i="7"/>
  <c r="X2318" i="7"/>
  <c r="W2318" i="7"/>
  <c r="V2318" i="7"/>
  <c r="U2318" i="7"/>
  <c r="T2318" i="7"/>
  <c r="S2318" i="7"/>
  <c r="R2318" i="7"/>
  <c r="Q2318" i="7"/>
  <c r="P2318" i="7"/>
  <c r="O2318" i="7"/>
  <c r="AA2317" i="7"/>
  <c r="K2310" i="7"/>
  <c r="AA2309" i="7"/>
  <c r="AA2308" i="7"/>
  <c r="AA2307" i="7"/>
  <c r="AA2306" i="7"/>
  <c r="AA2305" i="7"/>
  <c r="AA2304" i="7"/>
  <c r="AA2303" i="7"/>
  <c r="AA2302" i="7"/>
  <c r="AA2301" i="7"/>
  <c r="AA2300" i="7"/>
  <c r="AA2299" i="7"/>
  <c r="AA2298" i="7"/>
  <c r="Z2297" i="7"/>
  <c r="Y2297" i="7"/>
  <c r="X2297" i="7"/>
  <c r="W2297" i="7"/>
  <c r="V2297" i="7"/>
  <c r="U2297" i="7"/>
  <c r="T2297" i="7"/>
  <c r="S2297" i="7"/>
  <c r="R2297" i="7"/>
  <c r="Q2297" i="7"/>
  <c r="P2297" i="7"/>
  <c r="O2297" i="7"/>
  <c r="AA2296" i="7"/>
  <c r="K2289" i="7"/>
  <c r="AA2288" i="7"/>
  <c r="AA2287" i="7"/>
  <c r="AA2286" i="7"/>
  <c r="AA2285" i="7"/>
  <c r="AA2284" i="7"/>
  <c r="AA2283" i="7"/>
  <c r="AA2282" i="7"/>
  <c r="AA2281" i="7"/>
  <c r="AA2280" i="7"/>
  <c r="AA2279" i="7"/>
  <c r="AA2278" i="7"/>
  <c r="AA2277" i="7"/>
  <c r="AA2276" i="7"/>
  <c r="Z2275" i="7"/>
  <c r="Y2275" i="7"/>
  <c r="X2275" i="7"/>
  <c r="W2275" i="7"/>
  <c r="V2275" i="7"/>
  <c r="U2275" i="7"/>
  <c r="T2275" i="7"/>
  <c r="S2275" i="7"/>
  <c r="R2275" i="7"/>
  <c r="Q2275" i="7"/>
  <c r="P2275" i="7"/>
  <c r="O2275" i="7"/>
  <c r="AA2274" i="7"/>
  <c r="K2267" i="7"/>
  <c r="AA2266" i="7"/>
  <c r="AA2265" i="7"/>
  <c r="AA2264" i="7"/>
  <c r="AA2263" i="7"/>
  <c r="AA2262" i="7"/>
  <c r="AA2261" i="7"/>
  <c r="AA2260" i="7"/>
  <c r="AA2259" i="7"/>
  <c r="AA2258" i="7"/>
  <c r="AA2257" i="7"/>
  <c r="AA2256" i="7"/>
  <c r="AA2255" i="7"/>
  <c r="AA2254" i="7"/>
  <c r="AA2253" i="7"/>
  <c r="AA2252" i="7"/>
  <c r="AA2251" i="7"/>
  <c r="AA2250" i="7"/>
  <c r="AA2249" i="7"/>
  <c r="Z2248" i="7"/>
  <c r="Y2248" i="7"/>
  <c r="X2248" i="7"/>
  <c r="W2248" i="7"/>
  <c r="V2248" i="7"/>
  <c r="U2248" i="7"/>
  <c r="T2248" i="7"/>
  <c r="S2248" i="7"/>
  <c r="R2248" i="7"/>
  <c r="Q2248" i="7"/>
  <c r="P2248" i="7"/>
  <c r="O2248" i="7"/>
  <c r="AA2247" i="7"/>
  <c r="K2240" i="7"/>
  <c r="AA2239" i="7"/>
  <c r="AA2238" i="7"/>
  <c r="AA2237" i="7"/>
  <c r="AA2236" i="7"/>
  <c r="AA2235" i="7"/>
  <c r="AA2234" i="7"/>
  <c r="AA2233" i="7"/>
  <c r="AA2232" i="7"/>
  <c r="AA2231" i="7"/>
  <c r="AA2230" i="7"/>
  <c r="AA2229" i="7"/>
  <c r="AA2228" i="7"/>
  <c r="AA2227" i="7"/>
  <c r="AA2226" i="7"/>
  <c r="AA2225" i="7"/>
  <c r="Z2224" i="7"/>
  <c r="Y2224" i="7"/>
  <c r="X2224" i="7"/>
  <c r="W2224" i="7"/>
  <c r="V2224" i="7"/>
  <c r="U2224" i="7"/>
  <c r="T2224" i="7"/>
  <c r="S2224" i="7"/>
  <c r="R2224" i="7"/>
  <c r="Q2224" i="7"/>
  <c r="P2224" i="7"/>
  <c r="O2224" i="7"/>
  <c r="AA2223" i="7"/>
  <c r="K2218" i="7"/>
  <c r="AA2217" i="7"/>
  <c r="AA2216" i="7"/>
  <c r="AA2215" i="7"/>
  <c r="AA2214" i="7"/>
  <c r="AA2213" i="7"/>
  <c r="AA2212" i="7"/>
  <c r="AA2211" i="7"/>
  <c r="AA2210" i="7"/>
  <c r="AA2209" i="7"/>
  <c r="AA2208" i="7"/>
  <c r="AA2207" i="7"/>
  <c r="AA2206" i="7"/>
  <c r="AA2205" i="7"/>
  <c r="AA2204" i="7"/>
  <c r="AA2203" i="7"/>
  <c r="AA2202" i="7"/>
  <c r="AA2201" i="7"/>
  <c r="AA2200" i="7"/>
  <c r="AA2199" i="7"/>
  <c r="AA2198" i="7"/>
  <c r="AA2197" i="7"/>
  <c r="AA2196" i="7"/>
  <c r="AA2195" i="7"/>
  <c r="Z2194" i="7"/>
  <c r="Y2194" i="7"/>
  <c r="X2194" i="7"/>
  <c r="W2194" i="7"/>
  <c r="V2194" i="7"/>
  <c r="U2194" i="7"/>
  <c r="T2194" i="7"/>
  <c r="S2194" i="7"/>
  <c r="R2194" i="7"/>
  <c r="Q2194" i="7"/>
  <c r="P2194" i="7"/>
  <c r="O2194" i="7"/>
  <c r="AA2193" i="7"/>
  <c r="K2188" i="7"/>
  <c r="AA2187" i="7"/>
  <c r="AA2186" i="7"/>
  <c r="AA2185" i="7"/>
  <c r="AA2184" i="7"/>
  <c r="AA2183" i="7"/>
  <c r="AA2182" i="7"/>
  <c r="AA2181" i="7"/>
  <c r="AA2180" i="7"/>
  <c r="AA2179" i="7"/>
  <c r="AA2178" i="7"/>
  <c r="AA2177" i="7"/>
  <c r="AA2176" i="7"/>
  <c r="AA2175" i="7"/>
  <c r="AA2174" i="7"/>
  <c r="AA2173" i="7"/>
  <c r="AA2172" i="7"/>
  <c r="Z2171" i="7"/>
  <c r="Y2171" i="7"/>
  <c r="X2171" i="7"/>
  <c r="W2171" i="7"/>
  <c r="V2171" i="7"/>
  <c r="U2171" i="7"/>
  <c r="T2171" i="7"/>
  <c r="S2171" i="7"/>
  <c r="R2171" i="7"/>
  <c r="Q2171" i="7"/>
  <c r="P2171" i="7"/>
  <c r="O2171" i="7"/>
  <c r="AA2170" i="7"/>
  <c r="K2165" i="7"/>
  <c r="AA2164" i="7"/>
  <c r="AA2163" i="7"/>
  <c r="AA2162" i="7"/>
  <c r="AA2161" i="7"/>
  <c r="AA2160" i="7"/>
  <c r="AA2159" i="7"/>
  <c r="AA2158" i="7"/>
  <c r="Z2157" i="7"/>
  <c r="Y2157" i="7"/>
  <c r="X2157" i="7"/>
  <c r="W2157" i="7"/>
  <c r="V2157" i="7"/>
  <c r="U2157" i="7"/>
  <c r="T2157" i="7"/>
  <c r="S2157" i="7"/>
  <c r="R2157" i="7"/>
  <c r="Q2157" i="7"/>
  <c r="P2157" i="7"/>
  <c r="O2157" i="7"/>
  <c r="AA2156" i="7"/>
  <c r="K2151" i="7"/>
  <c r="AA2150" i="7"/>
  <c r="AA2149" i="7"/>
  <c r="AA2148" i="7"/>
  <c r="AA2147" i="7"/>
  <c r="AA2146" i="7"/>
  <c r="AA2145" i="7"/>
  <c r="AA2144" i="7"/>
  <c r="AA2143" i="7"/>
  <c r="AA2142" i="7"/>
  <c r="AA2141" i="7"/>
  <c r="AA2140" i="7"/>
  <c r="AA2139" i="7"/>
  <c r="AA2138" i="7"/>
  <c r="AA2137" i="7"/>
  <c r="AA2136" i="7"/>
  <c r="AA2135" i="7"/>
  <c r="AA2134" i="7"/>
  <c r="AA2133" i="7"/>
  <c r="Z2132" i="7"/>
  <c r="Y2132" i="7"/>
  <c r="X2132" i="7"/>
  <c r="W2132" i="7"/>
  <c r="V2132" i="7"/>
  <c r="U2132" i="7"/>
  <c r="T2132" i="7"/>
  <c r="S2132" i="7"/>
  <c r="R2132" i="7"/>
  <c r="Q2132" i="7"/>
  <c r="P2132" i="7"/>
  <c r="O2132" i="7"/>
  <c r="AA2131" i="7"/>
  <c r="K2126" i="7"/>
  <c r="AA2125" i="7"/>
  <c r="AA2124" i="7"/>
  <c r="AA2123" i="7"/>
  <c r="AA2122" i="7"/>
  <c r="AA2121" i="7"/>
  <c r="AA2120" i="7"/>
  <c r="AA2119" i="7"/>
  <c r="AA2118" i="7"/>
  <c r="AA2117" i="7"/>
  <c r="AA2116" i="7"/>
  <c r="AA2115" i="7"/>
  <c r="Z2114" i="7"/>
  <c r="Y2114" i="7"/>
  <c r="X2114" i="7"/>
  <c r="W2114" i="7"/>
  <c r="V2114" i="7"/>
  <c r="U2114" i="7"/>
  <c r="T2114" i="7"/>
  <c r="S2114" i="7"/>
  <c r="R2114" i="7"/>
  <c r="Q2114" i="7"/>
  <c r="P2114" i="7"/>
  <c r="O2114" i="7"/>
  <c r="AA2113" i="7"/>
  <c r="K2108" i="7"/>
  <c r="AA2107" i="7"/>
  <c r="AA2106" i="7"/>
  <c r="AA2105" i="7"/>
  <c r="AA2104" i="7"/>
  <c r="AA2103" i="7"/>
  <c r="AA2102" i="7"/>
  <c r="AA2101" i="7"/>
  <c r="AA2100" i="7"/>
  <c r="AA2099" i="7"/>
  <c r="AA2098" i="7"/>
  <c r="AA2097" i="7"/>
  <c r="AA2096" i="7"/>
  <c r="AA2095" i="7"/>
  <c r="AA2094" i="7"/>
  <c r="AA2093" i="7"/>
  <c r="AA2092" i="7"/>
  <c r="Z2091" i="7"/>
  <c r="Y2091" i="7"/>
  <c r="X2091" i="7"/>
  <c r="W2091" i="7"/>
  <c r="V2091" i="7"/>
  <c r="U2091" i="7"/>
  <c r="T2091" i="7"/>
  <c r="S2091" i="7"/>
  <c r="R2091" i="7"/>
  <c r="Q2091" i="7"/>
  <c r="P2091" i="7"/>
  <c r="O2091" i="7"/>
  <c r="AA2090" i="7"/>
  <c r="K2085" i="7"/>
  <c r="Z2084" i="7"/>
  <c r="Y2084" i="7"/>
  <c r="X2084" i="7"/>
  <c r="W2084" i="7"/>
  <c r="V2084" i="7"/>
  <c r="U2084" i="7"/>
  <c r="T2084" i="7"/>
  <c r="S2084" i="7"/>
  <c r="R2084" i="7"/>
  <c r="Q2084" i="7"/>
  <c r="P2084" i="7"/>
  <c r="O2084" i="7"/>
  <c r="Z2083" i="7"/>
  <c r="Y2083" i="7"/>
  <c r="X2083" i="7"/>
  <c r="W2083" i="7"/>
  <c r="V2083" i="7"/>
  <c r="U2083" i="7"/>
  <c r="T2083" i="7"/>
  <c r="S2083" i="7"/>
  <c r="R2083" i="7"/>
  <c r="Q2083" i="7"/>
  <c r="P2083" i="7"/>
  <c r="O2083" i="7"/>
  <c r="Z2082" i="7"/>
  <c r="Y2082" i="7"/>
  <c r="Y2081" i="7" s="1"/>
  <c r="X2082" i="7"/>
  <c r="X2081" i="7" s="1"/>
  <c r="W2082" i="7"/>
  <c r="V2082" i="7"/>
  <c r="V2081" i="7" s="1"/>
  <c r="U2082" i="7"/>
  <c r="U2081" i="7" s="1"/>
  <c r="T2082" i="7"/>
  <c r="T2081" i="7" s="1"/>
  <c r="S2082" i="7"/>
  <c r="R2082" i="7"/>
  <c r="R2081" i="7" s="1"/>
  <c r="Q2082" i="7"/>
  <c r="Q2081" i="7" s="1"/>
  <c r="P2082" i="7"/>
  <c r="P2081" i="7" s="1"/>
  <c r="O2082" i="7"/>
  <c r="Z2081" i="7"/>
  <c r="AA2080" i="7"/>
  <c r="K2075" i="7"/>
  <c r="AA2074" i="7"/>
  <c r="AA2073" i="7"/>
  <c r="AA2072" i="7"/>
  <c r="AA2071" i="7"/>
  <c r="AA2070" i="7"/>
  <c r="AA2069" i="7"/>
  <c r="AA2068" i="7"/>
  <c r="AA2067" i="7"/>
  <c r="AA2066" i="7"/>
  <c r="AA2065" i="7"/>
  <c r="AA2064" i="7"/>
  <c r="Z2063" i="7"/>
  <c r="Y2063" i="7"/>
  <c r="X2063" i="7"/>
  <c r="W2063" i="7"/>
  <c r="V2063" i="7"/>
  <c r="U2063" i="7"/>
  <c r="T2063" i="7"/>
  <c r="S2063" i="7"/>
  <c r="R2063" i="7"/>
  <c r="Q2063" i="7"/>
  <c r="P2063" i="7"/>
  <c r="O2063" i="7"/>
  <c r="AA2062" i="7"/>
  <c r="Z2055" i="7"/>
  <c r="Y2055" i="7"/>
  <c r="X2055" i="7"/>
  <c r="W2055" i="7"/>
  <c r="V2055" i="7"/>
  <c r="U2055" i="7"/>
  <c r="T2055" i="7"/>
  <c r="S2055" i="7"/>
  <c r="R2055" i="7"/>
  <c r="Q2055" i="7"/>
  <c r="P2055" i="7"/>
  <c r="O2055" i="7"/>
  <c r="K2055" i="7"/>
  <c r="AA2054" i="7"/>
  <c r="AA2053" i="7"/>
  <c r="AA2052" i="7"/>
  <c r="AA2051" i="7"/>
  <c r="AA2050" i="7"/>
  <c r="AA2049" i="7"/>
  <c r="AA2048" i="7"/>
  <c r="AA2047" i="7"/>
  <c r="AA2046" i="7"/>
  <c r="AA2045" i="7"/>
  <c r="AA2044" i="7"/>
  <c r="Z2041" i="7"/>
  <c r="Y2041" i="7"/>
  <c r="X2041" i="7"/>
  <c r="W2041" i="7"/>
  <c r="V2041" i="7"/>
  <c r="U2041" i="7"/>
  <c r="T2041" i="7"/>
  <c r="S2041" i="7"/>
  <c r="R2041" i="7"/>
  <c r="Q2041" i="7"/>
  <c r="P2041" i="7"/>
  <c r="O2041" i="7"/>
  <c r="K2041" i="7"/>
  <c r="AA2040" i="7"/>
  <c r="AA2039" i="7"/>
  <c r="AA2038" i="7"/>
  <c r="AA2037" i="7"/>
  <c r="AA2036" i="7"/>
  <c r="AA2035" i="7"/>
  <c r="AA2034" i="7"/>
  <c r="AA2033" i="7"/>
  <c r="AA2032" i="7"/>
  <c r="AA2031" i="7"/>
  <c r="AA2030" i="7"/>
  <c r="AA2029" i="7"/>
  <c r="AA2028" i="7"/>
  <c r="AA2027" i="7"/>
  <c r="AA2026" i="7"/>
  <c r="AA2025" i="7"/>
  <c r="AA2024" i="7"/>
  <c r="AA2023" i="7"/>
  <c r="AA2022" i="7"/>
  <c r="Z2021" i="7"/>
  <c r="Y2021" i="7"/>
  <c r="X2021" i="7"/>
  <c r="W2021" i="7"/>
  <c r="V2021" i="7"/>
  <c r="U2021" i="7"/>
  <c r="T2021" i="7"/>
  <c r="S2021" i="7"/>
  <c r="R2021" i="7"/>
  <c r="Q2021" i="7"/>
  <c r="P2021" i="7"/>
  <c r="O2021" i="7"/>
  <c r="AA2020" i="7"/>
  <c r="K2010" i="7"/>
  <c r="AA2009" i="7"/>
  <c r="AA2008" i="7"/>
  <c r="AA2007" i="7"/>
  <c r="AA2006" i="7"/>
  <c r="AA2005" i="7"/>
  <c r="AA2004" i="7"/>
  <c r="AA2003" i="7"/>
  <c r="AA2002" i="7"/>
  <c r="AA2001" i="7"/>
  <c r="AA2000" i="7"/>
  <c r="AA1999" i="7"/>
  <c r="AA1998" i="7"/>
  <c r="AA1997" i="7"/>
  <c r="AA1996" i="7"/>
  <c r="AA1995" i="7"/>
  <c r="AA1994" i="7"/>
  <c r="AA1993" i="7"/>
  <c r="Z1992" i="7"/>
  <c r="Y1992" i="7"/>
  <c r="X1992" i="7"/>
  <c r="W1992" i="7"/>
  <c r="V1992" i="7"/>
  <c r="U1992" i="7"/>
  <c r="T1992" i="7"/>
  <c r="S1992" i="7"/>
  <c r="R1992" i="7"/>
  <c r="Q1992" i="7"/>
  <c r="P1992" i="7"/>
  <c r="O1992" i="7"/>
  <c r="AA1991" i="7"/>
  <c r="K1984" i="7"/>
  <c r="AA1983" i="7"/>
  <c r="AA1982" i="7"/>
  <c r="AA1981" i="7"/>
  <c r="AA1980" i="7"/>
  <c r="AA1979" i="7"/>
  <c r="AA1978" i="7"/>
  <c r="AA1977" i="7"/>
  <c r="AA1976" i="7"/>
  <c r="AA1975" i="7"/>
  <c r="AA1974" i="7"/>
  <c r="AA1973" i="7"/>
  <c r="AA1972" i="7"/>
  <c r="AA1971" i="7"/>
  <c r="AA1970" i="7"/>
  <c r="AA1969" i="7"/>
  <c r="AA1968" i="7"/>
  <c r="AA1967" i="7"/>
  <c r="AA1966" i="7"/>
  <c r="AA1965" i="7"/>
  <c r="AA1964" i="7"/>
  <c r="AA1963" i="7"/>
  <c r="AA1962" i="7"/>
  <c r="AA1961" i="7"/>
  <c r="AA1960" i="7"/>
  <c r="Z1959" i="7"/>
  <c r="Y1959" i="7"/>
  <c r="X1959" i="7"/>
  <c r="W1959" i="7"/>
  <c r="V1959" i="7"/>
  <c r="U1959" i="7"/>
  <c r="T1959" i="7"/>
  <c r="S1959" i="7"/>
  <c r="R1959" i="7"/>
  <c r="Q1959" i="7"/>
  <c r="P1959" i="7"/>
  <c r="O1959" i="7"/>
  <c r="AA1958" i="7"/>
  <c r="AA1952" i="7"/>
  <c r="AA1951" i="7"/>
  <c r="AA1950" i="7"/>
  <c r="AA1949" i="7"/>
  <c r="AA1948" i="7"/>
  <c r="AA1947" i="7"/>
  <c r="AA1946" i="7"/>
  <c r="AA1945" i="7"/>
  <c r="AA1944" i="7"/>
  <c r="AA1943" i="7"/>
  <c r="AA1942" i="7"/>
  <c r="AA1941" i="7"/>
  <c r="AA1940" i="7"/>
  <c r="AA1939" i="7"/>
  <c r="AA1938" i="7"/>
  <c r="AA1937" i="7"/>
  <c r="AA1936" i="7"/>
  <c r="AA1935" i="7"/>
  <c r="AA1934" i="7"/>
  <c r="AA1933" i="7"/>
  <c r="AA1932" i="7"/>
  <c r="AA1931" i="7"/>
  <c r="Z1930" i="7"/>
  <c r="Y1930" i="7"/>
  <c r="X1930" i="7"/>
  <c r="W1930" i="7"/>
  <c r="V1930" i="7"/>
  <c r="U1930" i="7"/>
  <c r="T1930" i="7"/>
  <c r="S1930" i="7"/>
  <c r="R1930" i="7"/>
  <c r="Q1930" i="7"/>
  <c r="P1930" i="7"/>
  <c r="O1930" i="7"/>
  <c r="AA1929" i="7"/>
  <c r="AA1923" i="7"/>
  <c r="AA1922" i="7"/>
  <c r="AA1921" i="7"/>
  <c r="AA1920" i="7"/>
  <c r="AA1919" i="7"/>
  <c r="AA1918" i="7"/>
  <c r="AA1917" i="7"/>
  <c r="AA1916" i="7"/>
  <c r="AA1915" i="7"/>
  <c r="AA1914" i="7"/>
  <c r="AA1913" i="7"/>
  <c r="AA1912" i="7"/>
  <c r="AA1911" i="7"/>
  <c r="AA1910" i="7"/>
  <c r="AA1909" i="7"/>
  <c r="AA1908" i="7"/>
  <c r="AA1907" i="7"/>
  <c r="AA1906" i="7"/>
  <c r="AA1905" i="7"/>
  <c r="AA1904" i="7"/>
  <c r="AA1903" i="7"/>
  <c r="AA1902" i="7"/>
  <c r="AA1901" i="7"/>
  <c r="AA1900" i="7"/>
  <c r="AA1899" i="7"/>
  <c r="Z1898" i="7"/>
  <c r="Y1898" i="7"/>
  <c r="X1898" i="7"/>
  <c r="W1898" i="7"/>
  <c r="V1898" i="7"/>
  <c r="U1898" i="7"/>
  <c r="T1898" i="7"/>
  <c r="S1898" i="7"/>
  <c r="R1898" i="7"/>
  <c r="Q1898" i="7"/>
  <c r="P1898" i="7"/>
  <c r="O1898" i="7"/>
  <c r="AA1897" i="7"/>
  <c r="AA1890" i="7"/>
  <c r="AA1889" i="7"/>
  <c r="AA1888" i="7"/>
  <c r="AA1887" i="7"/>
  <c r="AA1886" i="7"/>
  <c r="AA1885" i="7"/>
  <c r="AA1884" i="7"/>
  <c r="AA1883" i="7"/>
  <c r="AA1882" i="7"/>
  <c r="AA1881" i="7"/>
  <c r="AA1880" i="7"/>
  <c r="AA1879" i="7"/>
  <c r="AA1878" i="7"/>
  <c r="AA1877" i="7"/>
  <c r="AA1876" i="7"/>
  <c r="AA1875" i="7"/>
  <c r="AA1874" i="7"/>
  <c r="AA1873" i="7"/>
  <c r="AA1872" i="7"/>
  <c r="AA1871" i="7"/>
  <c r="AA1870" i="7"/>
  <c r="AA1869" i="7"/>
  <c r="AA1868" i="7"/>
  <c r="AA1867" i="7"/>
  <c r="AA1866" i="7"/>
  <c r="Z1865" i="7"/>
  <c r="Y1865" i="7"/>
  <c r="X1865" i="7"/>
  <c r="W1865" i="7"/>
  <c r="V1865" i="7"/>
  <c r="U1865" i="7"/>
  <c r="T1865" i="7"/>
  <c r="S1865" i="7"/>
  <c r="R1865" i="7"/>
  <c r="Q1865" i="7"/>
  <c r="P1865" i="7"/>
  <c r="O1865" i="7"/>
  <c r="AA1864" i="7"/>
  <c r="AA1858" i="7"/>
  <c r="AA1857" i="7"/>
  <c r="AA1856" i="7"/>
  <c r="AA1855" i="7"/>
  <c r="AA1854" i="7"/>
  <c r="AA1853" i="7"/>
  <c r="AA1852" i="7"/>
  <c r="AA1851" i="7"/>
  <c r="AA1850" i="7"/>
  <c r="AA1849" i="7"/>
  <c r="AA1848" i="7"/>
  <c r="AA1847" i="7"/>
  <c r="AA1846" i="7"/>
  <c r="AA1845" i="7"/>
  <c r="AA1844" i="7"/>
  <c r="Z1843" i="7"/>
  <c r="Y1843" i="7"/>
  <c r="X1843" i="7"/>
  <c r="W1843" i="7"/>
  <c r="V1843" i="7"/>
  <c r="U1843" i="7"/>
  <c r="T1843" i="7"/>
  <c r="S1843" i="7"/>
  <c r="R1843" i="7"/>
  <c r="Q1843" i="7"/>
  <c r="P1843" i="7"/>
  <c r="O1843" i="7"/>
  <c r="AA1842" i="7"/>
  <c r="AA1836" i="7"/>
  <c r="AA1835" i="7"/>
  <c r="AA1834" i="7"/>
  <c r="AA1833" i="7"/>
  <c r="AA1832" i="7"/>
  <c r="AA1831" i="7"/>
  <c r="AA1830" i="7"/>
  <c r="AA1829" i="7"/>
  <c r="AA1828" i="7"/>
  <c r="AA1827" i="7"/>
  <c r="AA1826" i="7"/>
  <c r="AA1825" i="7"/>
  <c r="AA1824" i="7"/>
  <c r="AA1823" i="7"/>
  <c r="AA1822" i="7"/>
  <c r="AA1821" i="7"/>
  <c r="AA1820" i="7"/>
  <c r="Z1819" i="7"/>
  <c r="Y1819" i="7"/>
  <c r="X1819" i="7"/>
  <c r="W1819" i="7"/>
  <c r="V1819" i="7"/>
  <c r="U1819" i="7"/>
  <c r="T1819" i="7"/>
  <c r="S1819" i="7"/>
  <c r="R1819" i="7"/>
  <c r="Q1819" i="7"/>
  <c r="P1819" i="7"/>
  <c r="O1819" i="7"/>
  <c r="AA1818" i="7"/>
  <c r="Z1811" i="7"/>
  <c r="Y1811" i="7"/>
  <c r="X1811" i="7"/>
  <c r="W1811" i="7"/>
  <c r="V1811" i="7"/>
  <c r="U1811" i="7"/>
  <c r="T1811" i="7"/>
  <c r="S1811" i="7"/>
  <c r="R1811" i="7"/>
  <c r="Q1811" i="7"/>
  <c r="P1811" i="7"/>
  <c r="O1811" i="7"/>
  <c r="K1811" i="7"/>
  <c r="AA1810" i="7"/>
  <c r="AA1809" i="7"/>
  <c r="AA1808" i="7"/>
  <c r="AA1807" i="7"/>
  <c r="AA1806" i="7"/>
  <c r="AA1805" i="7"/>
  <c r="AA1804" i="7"/>
  <c r="AA1803" i="7"/>
  <c r="AA1802" i="7"/>
  <c r="AA1801" i="7"/>
  <c r="AA1800" i="7"/>
  <c r="AA1799" i="7"/>
  <c r="AA1798" i="7"/>
  <c r="Z1797" i="7"/>
  <c r="Y1797" i="7"/>
  <c r="X1797" i="7"/>
  <c r="W1797" i="7"/>
  <c r="V1797" i="7"/>
  <c r="U1797" i="7"/>
  <c r="T1797" i="7"/>
  <c r="S1797" i="7"/>
  <c r="R1797" i="7"/>
  <c r="Q1797" i="7"/>
  <c r="P1797" i="7"/>
  <c r="O1797" i="7"/>
  <c r="AA1796" i="7"/>
  <c r="AA1790" i="7"/>
  <c r="AA1789" i="7"/>
  <c r="AA1788" i="7"/>
  <c r="AA1787" i="7"/>
  <c r="AA1786" i="7"/>
  <c r="AA1785" i="7"/>
  <c r="AA1784" i="7"/>
  <c r="AA1783" i="7"/>
  <c r="AA1782" i="7"/>
  <c r="AA1781" i="7"/>
  <c r="AA1780" i="7"/>
  <c r="AA1779" i="7"/>
  <c r="AA1778" i="7"/>
  <c r="AA1777" i="7"/>
  <c r="AA1776" i="7"/>
  <c r="AA1775" i="7"/>
  <c r="AA1774" i="7"/>
  <c r="AA1773" i="7"/>
  <c r="AA1772" i="7"/>
  <c r="Z1771" i="7"/>
  <c r="Y1771" i="7"/>
  <c r="X1771" i="7"/>
  <c r="W1771" i="7"/>
  <c r="V1771" i="7"/>
  <c r="U1771" i="7"/>
  <c r="T1771" i="7"/>
  <c r="S1771" i="7"/>
  <c r="R1771" i="7"/>
  <c r="Q1771" i="7"/>
  <c r="P1771" i="7"/>
  <c r="O1771" i="7"/>
  <c r="AA1770" i="7"/>
  <c r="AA1764" i="7"/>
  <c r="AA1763" i="7"/>
  <c r="AA1762" i="7"/>
  <c r="AA1761" i="7"/>
  <c r="AA1760" i="7"/>
  <c r="AA1759" i="7"/>
  <c r="AA1758" i="7"/>
  <c r="AA1757" i="7"/>
  <c r="AA1756" i="7"/>
  <c r="AA1755" i="7"/>
  <c r="AA1754" i="7"/>
  <c r="AA1753" i="7"/>
  <c r="Z1752" i="7"/>
  <c r="Y1752" i="7"/>
  <c r="X1752" i="7"/>
  <c r="W1752" i="7"/>
  <c r="V1752" i="7"/>
  <c r="U1752" i="7"/>
  <c r="T1752" i="7"/>
  <c r="S1752" i="7"/>
  <c r="R1752" i="7"/>
  <c r="Q1752" i="7"/>
  <c r="P1752" i="7"/>
  <c r="O1752" i="7"/>
  <c r="AA1751" i="7"/>
  <c r="Z1748" i="7"/>
  <c r="Y1748" i="7"/>
  <c r="X1748" i="7"/>
  <c r="W1748" i="7"/>
  <c r="V1748" i="7"/>
  <c r="U1748" i="7"/>
  <c r="T1748" i="7"/>
  <c r="S1748" i="7"/>
  <c r="R1748" i="7"/>
  <c r="Q1748" i="7"/>
  <c r="P1748" i="7"/>
  <c r="O1748" i="7"/>
  <c r="AA1747" i="7"/>
  <c r="AA1746" i="7"/>
  <c r="AA1745" i="7"/>
  <c r="AA1744" i="7"/>
  <c r="AA1743" i="7"/>
  <c r="AA1742" i="7"/>
  <c r="AA1741" i="7"/>
  <c r="AA1740" i="7"/>
  <c r="AA1739" i="7"/>
  <c r="AA1738" i="7"/>
  <c r="AA1737" i="7"/>
  <c r="AA1736" i="7"/>
  <c r="AA1735" i="7"/>
  <c r="AA1734" i="7"/>
  <c r="AA1733" i="7"/>
  <c r="AA1732" i="7"/>
  <c r="AA1731" i="7"/>
  <c r="AA1730" i="7"/>
  <c r="AA1729" i="7"/>
  <c r="AA1728" i="7"/>
  <c r="AA1727" i="7"/>
  <c r="AA1726" i="7"/>
  <c r="Z1725" i="7"/>
  <c r="Y1725" i="7"/>
  <c r="X1725" i="7"/>
  <c r="W1725" i="7"/>
  <c r="V1725" i="7"/>
  <c r="U1725" i="7"/>
  <c r="T1725" i="7"/>
  <c r="S1725" i="7"/>
  <c r="R1725" i="7"/>
  <c r="Q1725" i="7"/>
  <c r="P1725" i="7"/>
  <c r="O1725" i="7"/>
  <c r="AA1724" i="7"/>
  <c r="K1713" i="7"/>
  <c r="Z1712" i="7"/>
  <c r="Y1712" i="7"/>
  <c r="X1712" i="7"/>
  <c r="W1712" i="7"/>
  <c r="V1712" i="7"/>
  <c r="U1712" i="7"/>
  <c r="T1712" i="7"/>
  <c r="S1712" i="7"/>
  <c r="R1712" i="7"/>
  <c r="Q1712" i="7"/>
  <c r="P1712" i="7"/>
  <c r="O1712" i="7"/>
  <c r="Z1711" i="7"/>
  <c r="Y1711" i="7"/>
  <c r="X1711" i="7"/>
  <c r="W1711" i="7"/>
  <c r="V1711" i="7"/>
  <c r="U1711" i="7"/>
  <c r="T1711" i="7"/>
  <c r="S1711" i="7"/>
  <c r="R1711" i="7"/>
  <c r="Q1711" i="7"/>
  <c r="P1711" i="7"/>
  <c r="O1711" i="7"/>
  <c r="Z1710" i="7"/>
  <c r="Y1710" i="7"/>
  <c r="X1710" i="7"/>
  <c r="W1710" i="7"/>
  <c r="V1710" i="7"/>
  <c r="U1710" i="7"/>
  <c r="T1710" i="7"/>
  <c r="S1710" i="7"/>
  <c r="R1710" i="7"/>
  <c r="Q1710" i="7"/>
  <c r="P1710" i="7"/>
  <c r="V1709" i="7"/>
  <c r="R1709" i="7"/>
  <c r="T1708" i="7"/>
  <c r="O1708" i="7"/>
  <c r="Z1707" i="7"/>
  <c r="Y1707" i="7"/>
  <c r="X1707" i="7"/>
  <c r="W1707" i="7"/>
  <c r="V1707" i="7"/>
  <c r="U1707" i="7"/>
  <c r="T1707" i="7"/>
  <c r="S1707" i="7"/>
  <c r="R1707" i="7"/>
  <c r="Q1707" i="7"/>
  <c r="P1707" i="7"/>
  <c r="O1707" i="7"/>
  <c r="Z1706" i="7"/>
  <c r="Y1706" i="7"/>
  <c r="X1706" i="7"/>
  <c r="W1706" i="7"/>
  <c r="V1706" i="7"/>
  <c r="U1706" i="7"/>
  <c r="T1706" i="7"/>
  <c r="S1706" i="7"/>
  <c r="R1706" i="7"/>
  <c r="Q1706" i="7"/>
  <c r="P1706" i="7"/>
  <c r="O1706" i="7"/>
  <c r="O1705" i="7"/>
  <c r="AA1705" i="7" s="1"/>
  <c r="Z1704" i="7"/>
  <c r="U1704" i="7"/>
  <c r="Z1703" i="7"/>
  <c r="Y1703" i="7"/>
  <c r="X1703" i="7"/>
  <c r="W1703" i="7"/>
  <c r="V1703" i="7"/>
  <c r="U1703" i="7"/>
  <c r="T1703" i="7"/>
  <c r="S1703" i="7"/>
  <c r="R1703" i="7"/>
  <c r="Q1703" i="7"/>
  <c r="P1703" i="7"/>
  <c r="O1703" i="7"/>
  <c r="Z1702" i="7"/>
  <c r="Y1702" i="7"/>
  <c r="X1702" i="7"/>
  <c r="W1702" i="7"/>
  <c r="V1702" i="7"/>
  <c r="U1702" i="7"/>
  <c r="T1702" i="7"/>
  <c r="S1702" i="7"/>
  <c r="R1702" i="7"/>
  <c r="Q1702" i="7"/>
  <c r="P1702" i="7"/>
  <c r="O1702" i="7"/>
  <c r="Z1701" i="7"/>
  <c r="Y1701" i="7"/>
  <c r="X1701" i="7"/>
  <c r="W1701" i="7"/>
  <c r="V1701" i="7"/>
  <c r="U1701" i="7"/>
  <c r="T1701" i="7"/>
  <c r="S1701" i="7"/>
  <c r="R1701" i="7"/>
  <c r="Q1701" i="7"/>
  <c r="P1701" i="7"/>
  <c r="O1701" i="7"/>
  <c r="Z1700" i="7"/>
  <c r="Y1700" i="7"/>
  <c r="X1700" i="7"/>
  <c r="W1700" i="7"/>
  <c r="V1700" i="7"/>
  <c r="U1700" i="7"/>
  <c r="T1700" i="7"/>
  <c r="S1700" i="7"/>
  <c r="R1700" i="7"/>
  <c r="Q1700" i="7"/>
  <c r="P1700" i="7"/>
  <c r="O1700" i="7"/>
  <c r="Z1699" i="7"/>
  <c r="Y1699" i="7"/>
  <c r="X1699" i="7"/>
  <c r="W1699" i="7"/>
  <c r="V1699" i="7"/>
  <c r="U1699" i="7"/>
  <c r="T1699" i="7"/>
  <c r="S1699" i="7"/>
  <c r="R1699" i="7"/>
  <c r="Q1699" i="7"/>
  <c r="P1699" i="7"/>
  <c r="O1699" i="7"/>
  <c r="AA1697" i="7"/>
  <c r="K1692" i="7"/>
  <c r="R1691" i="7"/>
  <c r="AA1691" i="7" s="1"/>
  <c r="R1690" i="7"/>
  <c r="AA1690" i="7" s="1"/>
  <c r="V1689" i="7"/>
  <c r="V1688" i="7" s="1"/>
  <c r="R1689" i="7"/>
  <c r="Z1688" i="7"/>
  <c r="Y1688" i="7"/>
  <c r="X1688" i="7"/>
  <c r="W1688" i="7"/>
  <c r="U1688" i="7"/>
  <c r="T1688" i="7"/>
  <c r="S1688" i="7"/>
  <c r="Q1688" i="7"/>
  <c r="P1688" i="7"/>
  <c r="O1688" i="7"/>
  <c r="AA1687" i="7"/>
  <c r="Z1681" i="7"/>
  <c r="Y1681" i="7"/>
  <c r="X1681" i="7"/>
  <c r="W1681" i="7"/>
  <c r="V1681" i="7"/>
  <c r="U1681" i="7"/>
  <c r="T1681" i="7"/>
  <c r="S1681" i="7"/>
  <c r="R1681" i="7"/>
  <c r="Q1681" i="7"/>
  <c r="P1681" i="7"/>
  <c r="P1680" i="7"/>
  <c r="AA1680" i="7" s="1"/>
  <c r="U1679" i="7"/>
  <c r="Q1679" i="7"/>
  <c r="V1678" i="7"/>
  <c r="R1678" i="7"/>
  <c r="V1677" i="7"/>
  <c r="R1677" i="7"/>
  <c r="Z1676" i="7"/>
  <c r="Y1676" i="7"/>
  <c r="X1676" i="7"/>
  <c r="W1676" i="7"/>
  <c r="V1676" i="7"/>
  <c r="U1676" i="7"/>
  <c r="T1676" i="7"/>
  <c r="S1676" i="7"/>
  <c r="R1676" i="7"/>
  <c r="Q1676" i="7"/>
  <c r="P1676" i="7"/>
  <c r="O1676" i="7"/>
  <c r="Z1675" i="7"/>
  <c r="Y1675" i="7"/>
  <c r="X1675" i="7"/>
  <c r="W1675" i="7"/>
  <c r="V1675" i="7"/>
  <c r="U1675" i="7"/>
  <c r="T1675" i="7"/>
  <c r="S1675" i="7"/>
  <c r="R1675" i="7"/>
  <c r="Q1675" i="7"/>
  <c r="P1675" i="7"/>
  <c r="O1675" i="7"/>
  <c r="O1674" i="7"/>
  <c r="AA1674" i="7" s="1"/>
  <c r="Z1673" i="7"/>
  <c r="U1673" i="7"/>
  <c r="Z1672" i="7"/>
  <c r="U1672" i="7"/>
  <c r="Z1671" i="7"/>
  <c r="Y1671" i="7"/>
  <c r="X1671" i="7"/>
  <c r="W1671" i="7"/>
  <c r="V1671" i="7"/>
  <c r="U1671" i="7"/>
  <c r="T1671" i="7"/>
  <c r="S1671" i="7"/>
  <c r="R1671" i="7"/>
  <c r="Q1671" i="7"/>
  <c r="P1671" i="7"/>
  <c r="O1671" i="7"/>
  <c r="Z1670" i="7"/>
  <c r="Y1670" i="7"/>
  <c r="X1670" i="7"/>
  <c r="W1670" i="7"/>
  <c r="V1670" i="7"/>
  <c r="U1670" i="7"/>
  <c r="T1670" i="7"/>
  <c r="S1670" i="7"/>
  <c r="R1670" i="7"/>
  <c r="Q1670" i="7"/>
  <c r="P1670" i="7"/>
  <c r="O1670" i="7"/>
  <c r="Z1669" i="7"/>
  <c r="Y1669" i="7"/>
  <c r="X1669" i="7"/>
  <c r="W1669" i="7"/>
  <c r="V1669" i="7"/>
  <c r="U1669" i="7"/>
  <c r="T1669" i="7"/>
  <c r="S1669" i="7"/>
  <c r="R1669" i="7"/>
  <c r="Q1669" i="7"/>
  <c r="P1669" i="7"/>
  <c r="O1669" i="7"/>
  <c r="Z1668" i="7"/>
  <c r="Y1668" i="7"/>
  <c r="X1668" i="7"/>
  <c r="W1668" i="7"/>
  <c r="V1668" i="7"/>
  <c r="U1668" i="7"/>
  <c r="T1668" i="7"/>
  <c r="S1668" i="7"/>
  <c r="R1668" i="7"/>
  <c r="Q1668" i="7"/>
  <c r="P1668" i="7"/>
  <c r="O1668" i="7"/>
  <c r="Z1667" i="7"/>
  <c r="Y1667" i="7"/>
  <c r="X1667" i="7"/>
  <c r="W1667" i="7"/>
  <c r="V1667" i="7"/>
  <c r="U1667" i="7"/>
  <c r="T1667" i="7"/>
  <c r="S1667" i="7"/>
  <c r="R1667" i="7"/>
  <c r="Q1667" i="7"/>
  <c r="P1667" i="7"/>
  <c r="O1667" i="7"/>
  <c r="Z1666" i="7"/>
  <c r="Y1666" i="7"/>
  <c r="X1666" i="7"/>
  <c r="W1666" i="7"/>
  <c r="V1666" i="7"/>
  <c r="U1666" i="7"/>
  <c r="T1666" i="7"/>
  <c r="S1666" i="7"/>
  <c r="R1666" i="7"/>
  <c r="Q1666" i="7"/>
  <c r="P1666" i="7"/>
  <c r="O1666" i="7"/>
  <c r="AA1664" i="7"/>
  <c r="Z1658" i="7"/>
  <c r="Y1658" i="7"/>
  <c r="X1658" i="7"/>
  <c r="W1658" i="7"/>
  <c r="V1658" i="7"/>
  <c r="U1658" i="7"/>
  <c r="T1658" i="7"/>
  <c r="S1658" i="7"/>
  <c r="R1658" i="7"/>
  <c r="Q1658" i="7"/>
  <c r="P1658" i="7"/>
  <c r="O1658" i="7"/>
  <c r="Z1657" i="7"/>
  <c r="Y1657" i="7"/>
  <c r="X1657" i="7"/>
  <c r="W1657" i="7"/>
  <c r="V1657" i="7"/>
  <c r="U1657" i="7"/>
  <c r="T1657" i="7"/>
  <c r="S1657" i="7"/>
  <c r="R1657" i="7"/>
  <c r="Q1657" i="7"/>
  <c r="P1657" i="7"/>
  <c r="O1657" i="7"/>
  <c r="R1656" i="7"/>
  <c r="AA1656" i="7" s="1"/>
  <c r="V1655" i="7"/>
  <c r="R1655" i="7"/>
  <c r="Z1654" i="7"/>
  <c r="Y1654" i="7"/>
  <c r="X1654" i="7"/>
  <c r="W1654" i="7"/>
  <c r="V1654" i="7"/>
  <c r="U1654" i="7"/>
  <c r="T1654" i="7"/>
  <c r="S1654" i="7"/>
  <c r="R1654" i="7"/>
  <c r="Q1654" i="7"/>
  <c r="P1654" i="7"/>
  <c r="V1653" i="7"/>
  <c r="R1653" i="7"/>
  <c r="Q1652" i="7"/>
  <c r="AA1652" i="7" s="1"/>
  <c r="U1651" i="7"/>
  <c r="P1651" i="7"/>
  <c r="Q1650" i="7"/>
  <c r="AA1650" i="7" s="1"/>
  <c r="Z1649" i="7"/>
  <c r="Y1649" i="7"/>
  <c r="X1649" i="7"/>
  <c r="W1649" i="7"/>
  <c r="V1649" i="7"/>
  <c r="U1649" i="7"/>
  <c r="T1649" i="7"/>
  <c r="S1649" i="7"/>
  <c r="R1649" i="7"/>
  <c r="Q1649" i="7"/>
  <c r="P1649" i="7"/>
  <c r="O1648" i="7"/>
  <c r="AA1648" i="7" s="1"/>
  <c r="Z1647" i="7"/>
  <c r="Y1647" i="7"/>
  <c r="X1647" i="7"/>
  <c r="W1647" i="7"/>
  <c r="V1647" i="7"/>
  <c r="U1647" i="7"/>
  <c r="T1647" i="7"/>
  <c r="S1647" i="7"/>
  <c r="R1647" i="7"/>
  <c r="Q1647" i="7"/>
  <c r="P1647" i="7"/>
  <c r="O1647" i="7"/>
  <c r="Z1646" i="7"/>
  <c r="Y1646" i="7"/>
  <c r="X1646" i="7"/>
  <c r="W1646" i="7"/>
  <c r="V1646" i="7"/>
  <c r="U1646" i="7"/>
  <c r="T1646" i="7"/>
  <c r="S1646" i="7"/>
  <c r="R1646" i="7"/>
  <c r="Q1646" i="7"/>
  <c r="P1646" i="7"/>
  <c r="O1646" i="7"/>
  <c r="O1645" i="7"/>
  <c r="AA1645" i="7" s="1"/>
  <c r="Z1644" i="7"/>
  <c r="U1644" i="7"/>
  <c r="Z1643" i="7"/>
  <c r="U1643" i="7"/>
  <c r="Z1642" i="7"/>
  <c r="Y1642" i="7"/>
  <c r="X1642" i="7"/>
  <c r="W1642" i="7"/>
  <c r="V1642" i="7"/>
  <c r="U1642" i="7"/>
  <c r="T1642" i="7"/>
  <c r="S1642" i="7"/>
  <c r="R1642" i="7"/>
  <c r="Q1642" i="7"/>
  <c r="P1642" i="7"/>
  <c r="O1642" i="7"/>
  <c r="Z1641" i="7"/>
  <c r="Y1641" i="7"/>
  <c r="X1641" i="7"/>
  <c r="W1641" i="7"/>
  <c r="V1641" i="7"/>
  <c r="U1641" i="7"/>
  <c r="T1641" i="7"/>
  <c r="S1641" i="7"/>
  <c r="R1641" i="7"/>
  <c r="Q1641" i="7"/>
  <c r="P1641" i="7"/>
  <c r="O1641" i="7"/>
  <c r="Z1640" i="7"/>
  <c r="Y1640" i="7"/>
  <c r="X1640" i="7"/>
  <c r="W1640" i="7"/>
  <c r="V1640" i="7"/>
  <c r="U1640" i="7"/>
  <c r="T1640" i="7"/>
  <c r="S1640" i="7"/>
  <c r="R1640" i="7"/>
  <c r="Q1640" i="7"/>
  <c r="P1640" i="7"/>
  <c r="O1640" i="7"/>
  <c r="Z1639" i="7"/>
  <c r="Y1639" i="7"/>
  <c r="X1639" i="7"/>
  <c r="W1639" i="7"/>
  <c r="V1639" i="7"/>
  <c r="U1639" i="7"/>
  <c r="T1639" i="7"/>
  <c r="S1639" i="7"/>
  <c r="R1639" i="7"/>
  <c r="Q1639" i="7"/>
  <c r="P1639" i="7"/>
  <c r="O1639" i="7"/>
  <c r="AA1637" i="7"/>
  <c r="Z1631" i="7"/>
  <c r="Y1631" i="7"/>
  <c r="X1631" i="7"/>
  <c r="W1631" i="7"/>
  <c r="V1631" i="7"/>
  <c r="U1631" i="7"/>
  <c r="T1631" i="7"/>
  <c r="S1631" i="7"/>
  <c r="R1631" i="7"/>
  <c r="Q1631" i="7"/>
  <c r="P1631" i="7"/>
  <c r="O1631" i="7"/>
  <c r="Z1630" i="7"/>
  <c r="Y1630" i="7"/>
  <c r="X1630" i="7"/>
  <c r="W1630" i="7"/>
  <c r="V1630" i="7"/>
  <c r="U1630" i="7"/>
  <c r="T1630" i="7"/>
  <c r="S1630" i="7"/>
  <c r="R1630" i="7"/>
  <c r="Q1630" i="7"/>
  <c r="P1630" i="7"/>
  <c r="O1630" i="7"/>
  <c r="Z1629" i="7"/>
  <c r="Y1629" i="7"/>
  <c r="X1629" i="7"/>
  <c r="W1629" i="7"/>
  <c r="V1629" i="7"/>
  <c r="U1629" i="7"/>
  <c r="T1629" i="7"/>
  <c r="S1629" i="7"/>
  <c r="R1629" i="7"/>
  <c r="Q1629" i="7"/>
  <c r="P1629" i="7"/>
  <c r="V1628" i="7"/>
  <c r="Q1628" i="7"/>
  <c r="Q1627" i="7"/>
  <c r="AA1627" i="7" s="1"/>
  <c r="R1626" i="7"/>
  <c r="AA1626" i="7" s="1"/>
  <c r="V1625" i="7"/>
  <c r="R1625" i="7"/>
  <c r="P1624" i="7"/>
  <c r="AA1624" i="7" s="1"/>
  <c r="Q1623" i="7"/>
  <c r="AA1623" i="7" s="1"/>
  <c r="T1622" i="7"/>
  <c r="O1622" i="7"/>
  <c r="Z1621" i="7"/>
  <c r="Y1621" i="7"/>
  <c r="X1621" i="7"/>
  <c r="W1621" i="7"/>
  <c r="V1621" i="7"/>
  <c r="U1621" i="7"/>
  <c r="T1621" i="7"/>
  <c r="S1621" i="7"/>
  <c r="R1621" i="7"/>
  <c r="Q1621" i="7"/>
  <c r="P1621" i="7"/>
  <c r="O1621" i="7"/>
  <c r="Z1620" i="7"/>
  <c r="Y1620" i="7"/>
  <c r="X1620" i="7"/>
  <c r="W1620" i="7"/>
  <c r="V1620" i="7"/>
  <c r="U1620" i="7"/>
  <c r="T1620" i="7"/>
  <c r="S1620" i="7"/>
  <c r="R1620" i="7"/>
  <c r="Q1620" i="7"/>
  <c r="P1620" i="7"/>
  <c r="O1620" i="7"/>
  <c r="O1619" i="7"/>
  <c r="AA1619" i="7" s="1"/>
  <c r="Z1618" i="7"/>
  <c r="U1618" i="7"/>
  <c r="Z1617" i="7"/>
  <c r="Y1617" i="7"/>
  <c r="X1617" i="7"/>
  <c r="W1617" i="7"/>
  <c r="V1617" i="7"/>
  <c r="U1617" i="7"/>
  <c r="T1617" i="7"/>
  <c r="S1617" i="7"/>
  <c r="R1617" i="7"/>
  <c r="Q1617" i="7"/>
  <c r="P1617" i="7"/>
  <c r="O1617" i="7"/>
  <c r="Z1616" i="7"/>
  <c r="Y1616" i="7"/>
  <c r="X1616" i="7"/>
  <c r="W1616" i="7"/>
  <c r="V1616" i="7"/>
  <c r="U1616" i="7"/>
  <c r="T1616" i="7"/>
  <c r="S1616" i="7"/>
  <c r="R1616" i="7"/>
  <c r="Q1616" i="7"/>
  <c r="P1616" i="7"/>
  <c r="O1616" i="7"/>
  <c r="Z1615" i="7"/>
  <c r="Y1615" i="7"/>
  <c r="X1615" i="7"/>
  <c r="W1615" i="7"/>
  <c r="V1615" i="7"/>
  <c r="U1615" i="7"/>
  <c r="T1615" i="7"/>
  <c r="S1615" i="7"/>
  <c r="R1615" i="7"/>
  <c r="Q1615" i="7"/>
  <c r="P1615" i="7"/>
  <c r="O1615" i="7"/>
  <c r="Z1614" i="7"/>
  <c r="Y1614" i="7"/>
  <c r="X1614" i="7"/>
  <c r="W1614" i="7"/>
  <c r="V1614" i="7"/>
  <c r="U1614" i="7"/>
  <c r="T1614" i="7"/>
  <c r="S1614" i="7"/>
  <c r="R1614" i="7"/>
  <c r="Q1614" i="7"/>
  <c r="P1614" i="7"/>
  <c r="O1614" i="7"/>
  <c r="Z1613" i="7"/>
  <c r="Y1613" i="7"/>
  <c r="X1613" i="7"/>
  <c r="W1613" i="7"/>
  <c r="V1613" i="7"/>
  <c r="U1613" i="7"/>
  <c r="T1613" i="7"/>
  <c r="S1613" i="7"/>
  <c r="R1613" i="7"/>
  <c r="Q1613" i="7"/>
  <c r="P1613" i="7"/>
  <c r="O1613" i="7"/>
  <c r="AA1611" i="7"/>
  <c r="Z1605" i="7"/>
  <c r="Y1605" i="7"/>
  <c r="X1605" i="7"/>
  <c r="W1605" i="7"/>
  <c r="V1605" i="7"/>
  <c r="U1605" i="7"/>
  <c r="T1605" i="7"/>
  <c r="S1605" i="7"/>
  <c r="R1605" i="7"/>
  <c r="Q1605" i="7"/>
  <c r="P1605" i="7"/>
  <c r="O1605" i="7"/>
  <c r="Z1604" i="7"/>
  <c r="Y1604" i="7"/>
  <c r="X1604" i="7"/>
  <c r="W1604" i="7"/>
  <c r="V1604" i="7"/>
  <c r="U1604" i="7"/>
  <c r="T1604" i="7"/>
  <c r="S1604" i="7"/>
  <c r="R1604" i="7"/>
  <c r="Q1604" i="7"/>
  <c r="P1604" i="7"/>
  <c r="O1604" i="7"/>
  <c r="X1603" i="7"/>
  <c r="U1603" i="7"/>
  <c r="R1603" i="7"/>
  <c r="V1602" i="7"/>
  <c r="Q1602" i="7"/>
  <c r="V1601" i="7"/>
  <c r="R1601" i="7"/>
  <c r="V1600" i="7"/>
  <c r="R1600" i="7"/>
  <c r="Z1599" i="7"/>
  <c r="Y1599" i="7"/>
  <c r="X1599" i="7"/>
  <c r="W1599" i="7"/>
  <c r="V1599" i="7"/>
  <c r="U1599" i="7"/>
  <c r="T1599" i="7"/>
  <c r="S1599" i="7"/>
  <c r="R1599" i="7"/>
  <c r="Q1599" i="7"/>
  <c r="P1599" i="7"/>
  <c r="U1598" i="7"/>
  <c r="P1598" i="7"/>
  <c r="Q1597" i="7"/>
  <c r="AA1597" i="7" s="1"/>
  <c r="Q1596" i="7"/>
  <c r="AA1596" i="7" s="1"/>
  <c r="Z1595" i="7"/>
  <c r="Y1595" i="7"/>
  <c r="X1595" i="7"/>
  <c r="W1595" i="7"/>
  <c r="V1595" i="7"/>
  <c r="U1595" i="7"/>
  <c r="T1595" i="7"/>
  <c r="S1595" i="7"/>
  <c r="R1595" i="7"/>
  <c r="Q1595" i="7"/>
  <c r="P1595" i="7"/>
  <c r="O1595" i="7"/>
  <c r="Z1594" i="7"/>
  <c r="Y1594" i="7"/>
  <c r="X1594" i="7"/>
  <c r="W1594" i="7"/>
  <c r="V1594" i="7"/>
  <c r="U1594" i="7"/>
  <c r="T1594" i="7"/>
  <c r="S1594" i="7"/>
  <c r="R1594" i="7"/>
  <c r="Q1594" i="7"/>
  <c r="P1594" i="7"/>
  <c r="O1594" i="7"/>
  <c r="O1593" i="7"/>
  <c r="AA1593" i="7" s="1"/>
  <c r="Z1592" i="7"/>
  <c r="U1592" i="7"/>
  <c r="Z1591" i="7"/>
  <c r="Y1591" i="7"/>
  <c r="X1591" i="7"/>
  <c r="W1591" i="7"/>
  <c r="V1591" i="7"/>
  <c r="U1591" i="7"/>
  <c r="T1591" i="7"/>
  <c r="S1591" i="7"/>
  <c r="R1591" i="7"/>
  <c r="Q1591" i="7"/>
  <c r="P1591" i="7"/>
  <c r="O1591" i="7"/>
  <c r="Z1590" i="7"/>
  <c r="Y1590" i="7"/>
  <c r="X1590" i="7"/>
  <c r="W1590" i="7"/>
  <c r="V1590" i="7"/>
  <c r="U1590" i="7"/>
  <c r="T1590" i="7"/>
  <c r="S1590" i="7"/>
  <c r="R1590" i="7"/>
  <c r="Q1590" i="7"/>
  <c r="P1590" i="7"/>
  <c r="O1590" i="7"/>
  <c r="Z1589" i="7"/>
  <c r="Y1589" i="7"/>
  <c r="X1589" i="7"/>
  <c r="W1589" i="7"/>
  <c r="V1589" i="7"/>
  <c r="U1589" i="7"/>
  <c r="T1589" i="7"/>
  <c r="S1589" i="7"/>
  <c r="R1589" i="7"/>
  <c r="Q1589" i="7"/>
  <c r="P1589" i="7"/>
  <c r="O1589" i="7"/>
  <c r="Z1588" i="7"/>
  <c r="Y1588" i="7"/>
  <c r="X1588" i="7"/>
  <c r="W1588" i="7"/>
  <c r="V1588" i="7"/>
  <c r="U1588" i="7"/>
  <c r="T1588" i="7"/>
  <c r="S1588" i="7"/>
  <c r="R1588" i="7"/>
  <c r="Q1588" i="7"/>
  <c r="P1588" i="7"/>
  <c r="O1588" i="7"/>
  <c r="Z1587" i="7"/>
  <c r="Y1587" i="7"/>
  <c r="X1587" i="7"/>
  <c r="W1587" i="7"/>
  <c r="V1587" i="7"/>
  <c r="U1587" i="7"/>
  <c r="T1587" i="7"/>
  <c r="S1587" i="7"/>
  <c r="R1587" i="7"/>
  <c r="Q1587" i="7"/>
  <c r="P1587" i="7"/>
  <c r="O1587" i="7"/>
  <c r="AA1585" i="7"/>
  <c r="K1580" i="7"/>
  <c r="Z1579" i="7"/>
  <c r="Y1579" i="7"/>
  <c r="X1579" i="7"/>
  <c r="W1579" i="7"/>
  <c r="V1579" i="7"/>
  <c r="U1579" i="7"/>
  <c r="T1579" i="7"/>
  <c r="S1579" i="7"/>
  <c r="R1579" i="7"/>
  <c r="Q1579" i="7"/>
  <c r="P1579" i="7"/>
  <c r="O1579" i="7"/>
  <c r="Z1578" i="7"/>
  <c r="Y1578" i="7"/>
  <c r="X1578" i="7"/>
  <c r="W1578" i="7"/>
  <c r="V1578" i="7"/>
  <c r="U1578" i="7"/>
  <c r="T1578" i="7"/>
  <c r="S1578" i="7"/>
  <c r="R1578" i="7"/>
  <c r="Q1578" i="7"/>
  <c r="P1578" i="7"/>
  <c r="O1578" i="7"/>
  <c r="Z1577" i="7"/>
  <c r="Y1577" i="7"/>
  <c r="X1577" i="7"/>
  <c r="W1577" i="7"/>
  <c r="V1577" i="7"/>
  <c r="U1577" i="7"/>
  <c r="T1577" i="7"/>
  <c r="S1577" i="7"/>
  <c r="R1577" i="7"/>
  <c r="Q1577" i="7"/>
  <c r="P1577" i="7"/>
  <c r="Z1576" i="7"/>
  <c r="X1576" i="7"/>
  <c r="V1576" i="7"/>
  <c r="T1576" i="7"/>
  <c r="R1576" i="7"/>
  <c r="Z1575" i="7"/>
  <c r="Y1575" i="7"/>
  <c r="X1575" i="7"/>
  <c r="W1575" i="7"/>
  <c r="V1575" i="7"/>
  <c r="U1575" i="7"/>
  <c r="T1575" i="7"/>
  <c r="S1575" i="7"/>
  <c r="R1575" i="7"/>
  <c r="Q1575" i="7"/>
  <c r="P1575" i="7"/>
  <c r="Z1574" i="7"/>
  <c r="Y1574" i="7"/>
  <c r="X1574" i="7"/>
  <c r="W1574" i="7"/>
  <c r="V1574" i="7"/>
  <c r="U1574" i="7"/>
  <c r="T1574" i="7"/>
  <c r="S1574" i="7"/>
  <c r="R1574" i="7"/>
  <c r="Q1574" i="7"/>
  <c r="P1574" i="7"/>
  <c r="Y1573" i="7"/>
  <c r="V1573" i="7"/>
  <c r="S1573" i="7"/>
  <c r="P1573" i="7"/>
  <c r="U1572" i="7"/>
  <c r="Q1572" i="7"/>
  <c r="V1571" i="7"/>
  <c r="R1571" i="7"/>
  <c r="V1570" i="7"/>
  <c r="R1570" i="7"/>
  <c r="X1569" i="7"/>
  <c r="T1569" i="7"/>
  <c r="P1569" i="7"/>
  <c r="V1568" i="7"/>
  <c r="Q1568" i="7"/>
  <c r="Z1567" i="7"/>
  <c r="Y1567" i="7"/>
  <c r="X1567" i="7"/>
  <c r="W1567" i="7"/>
  <c r="V1567" i="7"/>
  <c r="U1567" i="7"/>
  <c r="T1567" i="7"/>
  <c r="S1567" i="7"/>
  <c r="R1567" i="7"/>
  <c r="Q1567" i="7"/>
  <c r="P1567" i="7"/>
  <c r="Z1566" i="7"/>
  <c r="Y1566" i="7"/>
  <c r="X1566" i="7"/>
  <c r="W1566" i="7"/>
  <c r="V1566" i="7"/>
  <c r="U1566" i="7"/>
  <c r="T1566" i="7"/>
  <c r="S1566" i="7"/>
  <c r="R1566" i="7"/>
  <c r="Q1566" i="7"/>
  <c r="P1566" i="7"/>
  <c r="O1566" i="7"/>
  <c r="Z1565" i="7"/>
  <c r="Y1565" i="7"/>
  <c r="X1565" i="7"/>
  <c r="W1565" i="7"/>
  <c r="V1565" i="7"/>
  <c r="U1565" i="7"/>
  <c r="T1565" i="7"/>
  <c r="S1565" i="7"/>
  <c r="R1565" i="7"/>
  <c r="Q1565" i="7"/>
  <c r="P1565" i="7"/>
  <c r="O1565" i="7"/>
  <c r="O1564" i="7"/>
  <c r="AA1564" i="7" s="1"/>
  <c r="Z1563" i="7"/>
  <c r="U1563" i="7"/>
  <c r="Z1562" i="7"/>
  <c r="Y1562" i="7"/>
  <c r="X1562" i="7"/>
  <c r="W1562" i="7"/>
  <c r="V1562" i="7"/>
  <c r="U1562" i="7"/>
  <c r="T1562" i="7"/>
  <c r="S1562" i="7"/>
  <c r="R1562" i="7"/>
  <c r="Q1562" i="7"/>
  <c r="P1562" i="7"/>
  <c r="O1562" i="7"/>
  <c r="Z1561" i="7"/>
  <c r="Y1561" i="7"/>
  <c r="X1561" i="7"/>
  <c r="W1561" i="7"/>
  <c r="V1561" i="7"/>
  <c r="U1561" i="7"/>
  <c r="T1561" i="7"/>
  <c r="S1561" i="7"/>
  <c r="R1561" i="7"/>
  <c r="Q1561" i="7"/>
  <c r="P1561" i="7"/>
  <c r="O1561" i="7"/>
  <c r="Z1560" i="7"/>
  <c r="Y1560" i="7"/>
  <c r="X1560" i="7"/>
  <c r="W1560" i="7"/>
  <c r="V1560" i="7"/>
  <c r="U1560" i="7"/>
  <c r="T1560" i="7"/>
  <c r="S1560" i="7"/>
  <c r="R1560" i="7"/>
  <c r="Q1560" i="7"/>
  <c r="P1560" i="7"/>
  <c r="O1560" i="7"/>
  <c r="Z1559" i="7"/>
  <c r="Y1559" i="7"/>
  <c r="X1559" i="7"/>
  <c r="W1559" i="7"/>
  <c r="V1559" i="7"/>
  <c r="U1559" i="7"/>
  <c r="T1559" i="7"/>
  <c r="S1559" i="7"/>
  <c r="R1559" i="7"/>
  <c r="Q1559" i="7"/>
  <c r="P1559" i="7"/>
  <c r="O1559" i="7"/>
  <c r="Z1558" i="7"/>
  <c r="Y1558" i="7"/>
  <c r="X1558" i="7"/>
  <c r="W1558" i="7"/>
  <c r="V1558" i="7"/>
  <c r="U1558" i="7"/>
  <c r="T1558" i="7"/>
  <c r="S1558" i="7"/>
  <c r="R1558" i="7"/>
  <c r="Q1558" i="7"/>
  <c r="P1558" i="7"/>
  <c r="O1558" i="7"/>
  <c r="AA1556" i="7"/>
  <c r="K1551" i="7"/>
  <c r="Z1550" i="7"/>
  <c r="Y1550" i="7"/>
  <c r="X1550" i="7"/>
  <c r="W1550" i="7"/>
  <c r="V1550" i="7"/>
  <c r="U1550" i="7"/>
  <c r="T1550" i="7"/>
  <c r="S1550" i="7"/>
  <c r="R1550" i="7"/>
  <c r="Q1550" i="7"/>
  <c r="P1550" i="7"/>
  <c r="O1550" i="7"/>
  <c r="Z1549" i="7"/>
  <c r="Y1549" i="7"/>
  <c r="X1549" i="7"/>
  <c r="W1549" i="7"/>
  <c r="V1549" i="7"/>
  <c r="U1549" i="7"/>
  <c r="T1549" i="7"/>
  <c r="S1549" i="7"/>
  <c r="R1549" i="7"/>
  <c r="Q1549" i="7"/>
  <c r="P1549" i="7"/>
  <c r="O1549" i="7"/>
  <c r="Q1548" i="7"/>
  <c r="AA1548" i="7" s="1"/>
  <c r="Q1547" i="7"/>
  <c r="AA1547" i="7" s="1"/>
  <c r="Z1546" i="7"/>
  <c r="Y1546" i="7"/>
  <c r="X1546" i="7"/>
  <c r="W1546" i="7"/>
  <c r="V1546" i="7"/>
  <c r="U1546" i="7"/>
  <c r="T1546" i="7"/>
  <c r="S1546" i="7"/>
  <c r="R1546" i="7"/>
  <c r="Q1546" i="7"/>
  <c r="P1546" i="7"/>
  <c r="Z1545" i="7"/>
  <c r="Y1545" i="7"/>
  <c r="X1545" i="7"/>
  <c r="W1545" i="7"/>
  <c r="V1545" i="7"/>
  <c r="U1545" i="7"/>
  <c r="T1545" i="7"/>
  <c r="S1545" i="7"/>
  <c r="R1545" i="7"/>
  <c r="Q1545" i="7"/>
  <c r="P1545" i="7"/>
  <c r="V1544" i="7"/>
  <c r="Q1544" i="7"/>
  <c r="V1543" i="7"/>
  <c r="R1543" i="7"/>
  <c r="Z1542" i="7"/>
  <c r="Y1542" i="7"/>
  <c r="X1542" i="7"/>
  <c r="W1542" i="7"/>
  <c r="V1542" i="7"/>
  <c r="U1542" i="7"/>
  <c r="T1542" i="7"/>
  <c r="S1542" i="7"/>
  <c r="R1542" i="7"/>
  <c r="Q1542" i="7"/>
  <c r="P1542" i="7"/>
  <c r="O1542" i="7"/>
  <c r="Z1541" i="7"/>
  <c r="Y1541" i="7"/>
  <c r="X1541" i="7"/>
  <c r="W1541" i="7"/>
  <c r="V1541" i="7"/>
  <c r="U1541" i="7"/>
  <c r="T1541" i="7"/>
  <c r="S1541" i="7"/>
  <c r="R1541" i="7"/>
  <c r="Q1541" i="7"/>
  <c r="P1541" i="7"/>
  <c r="O1541" i="7"/>
  <c r="O1540" i="7"/>
  <c r="AA1540" i="7" s="1"/>
  <c r="Z1539" i="7"/>
  <c r="U1539" i="7"/>
  <c r="Z1538" i="7"/>
  <c r="Y1538" i="7"/>
  <c r="X1538" i="7"/>
  <c r="W1538" i="7"/>
  <c r="V1538" i="7"/>
  <c r="U1538" i="7"/>
  <c r="T1538" i="7"/>
  <c r="S1538" i="7"/>
  <c r="R1538" i="7"/>
  <c r="Q1538" i="7"/>
  <c r="P1538" i="7"/>
  <c r="O1538" i="7"/>
  <c r="Z1537" i="7"/>
  <c r="Y1537" i="7"/>
  <c r="X1537" i="7"/>
  <c r="W1537" i="7"/>
  <c r="V1537" i="7"/>
  <c r="U1537" i="7"/>
  <c r="T1537" i="7"/>
  <c r="S1537" i="7"/>
  <c r="R1537" i="7"/>
  <c r="Q1537" i="7"/>
  <c r="P1537" i="7"/>
  <c r="O1537" i="7"/>
  <c r="Z1536" i="7"/>
  <c r="Y1536" i="7"/>
  <c r="X1536" i="7"/>
  <c r="W1536" i="7"/>
  <c r="V1536" i="7"/>
  <c r="U1536" i="7"/>
  <c r="T1536" i="7"/>
  <c r="S1536" i="7"/>
  <c r="R1536" i="7"/>
  <c r="Q1536" i="7"/>
  <c r="P1536" i="7"/>
  <c r="O1536" i="7"/>
  <c r="Z1535" i="7"/>
  <c r="Y1535" i="7"/>
  <c r="X1535" i="7"/>
  <c r="W1535" i="7"/>
  <c r="V1535" i="7"/>
  <c r="U1535" i="7"/>
  <c r="T1535" i="7"/>
  <c r="S1535" i="7"/>
  <c r="R1535" i="7"/>
  <c r="Q1535" i="7"/>
  <c r="P1535" i="7"/>
  <c r="O1535" i="7"/>
  <c r="Z1534" i="7"/>
  <c r="Y1534" i="7"/>
  <c r="X1534" i="7"/>
  <c r="W1534" i="7"/>
  <c r="V1534" i="7"/>
  <c r="U1534" i="7"/>
  <c r="T1534" i="7"/>
  <c r="S1534" i="7"/>
  <c r="R1534" i="7"/>
  <c r="Q1534" i="7"/>
  <c r="P1534" i="7"/>
  <c r="O1534" i="7"/>
  <c r="Z1533" i="7"/>
  <c r="Y1533" i="7"/>
  <c r="X1533" i="7"/>
  <c r="W1533" i="7"/>
  <c r="V1533" i="7"/>
  <c r="U1533" i="7"/>
  <c r="T1533" i="7"/>
  <c r="S1533" i="7"/>
  <c r="R1533" i="7"/>
  <c r="Q1533" i="7"/>
  <c r="P1533" i="7"/>
  <c r="O1533" i="7"/>
  <c r="AA1531" i="7"/>
  <c r="K1526" i="7"/>
  <c r="Z1525" i="7"/>
  <c r="Y1525" i="7"/>
  <c r="X1525" i="7"/>
  <c r="W1525" i="7"/>
  <c r="V1525" i="7"/>
  <c r="U1525" i="7"/>
  <c r="T1525" i="7"/>
  <c r="S1525" i="7"/>
  <c r="R1525" i="7"/>
  <c r="Q1525" i="7"/>
  <c r="P1525" i="7"/>
  <c r="O1525" i="7"/>
  <c r="Z1524" i="7"/>
  <c r="Y1524" i="7"/>
  <c r="X1524" i="7"/>
  <c r="W1524" i="7"/>
  <c r="V1524" i="7"/>
  <c r="U1524" i="7"/>
  <c r="T1524" i="7"/>
  <c r="S1524" i="7"/>
  <c r="R1524" i="7"/>
  <c r="Q1524" i="7"/>
  <c r="P1524" i="7"/>
  <c r="O1524" i="7"/>
  <c r="R1523" i="7"/>
  <c r="AA1523" i="7" s="1"/>
  <c r="Y1522" i="7"/>
  <c r="W1522" i="7"/>
  <c r="U1522" i="7"/>
  <c r="S1522" i="7"/>
  <c r="Q1522" i="7"/>
  <c r="Q1521" i="7"/>
  <c r="AA1521" i="7" s="1"/>
  <c r="Z1520" i="7"/>
  <c r="Y1520" i="7"/>
  <c r="X1520" i="7"/>
  <c r="W1520" i="7"/>
  <c r="V1520" i="7"/>
  <c r="U1520" i="7"/>
  <c r="T1520" i="7"/>
  <c r="S1520" i="7"/>
  <c r="R1520" i="7"/>
  <c r="Q1520" i="7"/>
  <c r="P1520" i="7"/>
  <c r="W1519" i="7"/>
  <c r="T1519" i="7"/>
  <c r="Q1519" i="7"/>
  <c r="R1518" i="7"/>
  <c r="AA1518" i="7" s="1"/>
  <c r="V1517" i="7"/>
  <c r="R1517" i="7"/>
  <c r="Q1516" i="7"/>
  <c r="AA1516" i="7" s="1"/>
  <c r="Z1515" i="7"/>
  <c r="Y1515" i="7"/>
  <c r="X1515" i="7"/>
  <c r="W1515" i="7"/>
  <c r="V1515" i="7"/>
  <c r="U1515" i="7"/>
  <c r="T1515" i="7"/>
  <c r="S1515" i="7"/>
  <c r="R1515" i="7"/>
  <c r="Q1515" i="7"/>
  <c r="P1515" i="7"/>
  <c r="X1514" i="7"/>
  <c r="T1514" i="7"/>
  <c r="P1514" i="7"/>
  <c r="X1513" i="7"/>
  <c r="T1513" i="7"/>
  <c r="Q1513" i="7"/>
  <c r="Z1512" i="7"/>
  <c r="Y1512" i="7"/>
  <c r="X1512" i="7"/>
  <c r="W1512" i="7"/>
  <c r="V1512" i="7"/>
  <c r="U1512" i="7"/>
  <c r="T1512" i="7"/>
  <c r="S1512" i="7"/>
  <c r="R1512" i="7"/>
  <c r="Q1512" i="7"/>
  <c r="P1512" i="7"/>
  <c r="O1512" i="7"/>
  <c r="Z1511" i="7"/>
  <c r="Y1511" i="7"/>
  <c r="X1511" i="7"/>
  <c r="W1511" i="7"/>
  <c r="V1511" i="7"/>
  <c r="U1511" i="7"/>
  <c r="T1511" i="7"/>
  <c r="S1511" i="7"/>
  <c r="R1511" i="7"/>
  <c r="Q1511" i="7"/>
  <c r="P1511" i="7"/>
  <c r="O1511" i="7"/>
  <c r="O1510" i="7"/>
  <c r="AA1510" i="7" s="1"/>
  <c r="Z1509" i="7"/>
  <c r="U1509" i="7"/>
  <c r="Z1508" i="7"/>
  <c r="Y1508" i="7"/>
  <c r="X1508" i="7"/>
  <c r="W1508" i="7"/>
  <c r="V1508" i="7"/>
  <c r="U1508" i="7"/>
  <c r="T1508" i="7"/>
  <c r="S1508" i="7"/>
  <c r="R1508" i="7"/>
  <c r="Q1508" i="7"/>
  <c r="P1508" i="7"/>
  <c r="O1508" i="7"/>
  <c r="Z1507" i="7"/>
  <c r="Y1507" i="7"/>
  <c r="X1507" i="7"/>
  <c r="W1507" i="7"/>
  <c r="V1507" i="7"/>
  <c r="U1507" i="7"/>
  <c r="T1507" i="7"/>
  <c r="S1507" i="7"/>
  <c r="R1507" i="7"/>
  <c r="Q1507" i="7"/>
  <c r="P1507" i="7"/>
  <c r="O1507" i="7"/>
  <c r="Z1506" i="7"/>
  <c r="Y1506" i="7"/>
  <c r="X1506" i="7"/>
  <c r="W1506" i="7"/>
  <c r="V1506" i="7"/>
  <c r="U1506" i="7"/>
  <c r="T1506" i="7"/>
  <c r="S1506" i="7"/>
  <c r="R1506" i="7"/>
  <c r="Q1506" i="7"/>
  <c r="P1506" i="7"/>
  <c r="O1506" i="7"/>
  <c r="Z1505" i="7"/>
  <c r="Y1505" i="7"/>
  <c r="X1505" i="7"/>
  <c r="W1505" i="7"/>
  <c r="V1505" i="7"/>
  <c r="U1505" i="7"/>
  <c r="T1505" i="7"/>
  <c r="S1505" i="7"/>
  <c r="R1505" i="7"/>
  <c r="Q1505" i="7"/>
  <c r="P1505" i="7"/>
  <c r="O1505" i="7"/>
  <c r="AA1503" i="7"/>
  <c r="K1498" i="7"/>
  <c r="Q1497" i="7"/>
  <c r="AA1497" i="7" s="1"/>
  <c r="Q1496" i="7"/>
  <c r="AA1496" i="7" s="1"/>
  <c r="Z1495" i="7"/>
  <c r="Y1495" i="7"/>
  <c r="X1495" i="7"/>
  <c r="W1495" i="7"/>
  <c r="V1495" i="7"/>
  <c r="U1495" i="7"/>
  <c r="T1495" i="7"/>
  <c r="S1495" i="7"/>
  <c r="R1495" i="7"/>
  <c r="Q1495" i="7"/>
  <c r="P1495" i="7"/>
  <c r="Z1494" i="7"/>
  <c r="Y1494" i="7"/>
  <c r="X1494" i="7"/>
  <c r="W1494" i="7"/>
  <c r="V1494" i="7"/>
  <c r="U1494" i="7"/>
  <c r="T1494" i="7"/>
  <c r="S1494" i="7"/>
  <c r="R1494" i="7"/>
  <c r="Q1494" i="7"/>
  <c r="P1494" i="7"/>
  <c r="Q1493" i="7"/>
  <c r="AA1493" i="7" s="1"/>
  <c r="Z1492" i="7"/>
  <c r="Y1492" i="7"/>
  <c r="X1492" i="7"/>
  <c r="W1492" i="7"/>
  <c r="V1492" i="7"/>
  <c r="U1492" i="7"/>
  <c r="T1492" i="7"/>
  <c r="S1492" i="7"/>
  <c r="R1492" i="7"/>
  <c r="Q1492" i="7"/>
  <c r="P1492" i="7"/>
  <c r="O1492" i="7"/>
  <c r="Z1491" i="7"/>
  <c r="Y1491" i="7"/>
  <c r="X1491" i="7"/>
  <c r="W1491" i="7"/>
  <c r="V1491" i="7"/>
  <c r="U1491" i="7"/>
  <c r="T1491" i="7"/>
  <c r="S1491" i="7"/>
  <c r="R1491" i="7"/>
  <c r="Q1491" i="7"/>
  <c r="P1491" i="7"/>
  <c r="O1491" i="7"/>
  <c r="O1490" i="7"/>
  <c r="AA1490" i="7" s="1"/>
  <c r="Z1489" i="7"/>
  <c r="U1489" i="7"/>
  <c r="Z1488" i="7"/>
  <c r="Y1488" i="7"/>
  <c r="X1488" i="7"/>
  <c r="W1488" i="7"/>
  <c r="V1488" i="7"/>
  <c r="U1488" i="7"/>
  <c r="T1488" i="7"/>
  <c r="S1488" i="7"/>
  <c r="R1488" i="7"/>
  <c r="Q1488" i="7"/>
  <c r="P1488" i="7"/>
  <c r="O1488" i="7"/>
  <c r="Z1487" i="7"/>
  <c r="Y1487" i="7"/>
  <c r="X1487" i="7"/>
  <c r="W1487" i="7"/>
  <c r="V1487" i="7"/>
  <c r="U1487" i="7"/>
  <c r="T1487" i="7"/>
  <c r="S1487" i="7"/>
  <c r="R1487" i="7"/>
  <c r="Q1487" i="7"/>
  <c r="P1487" i="7"/>
  <c r="O1487" i="7"/>
  <c r="Z1486" i="7"/>
  <c r="Y1486" i="7"/>
  <c r="X1486" i="7"/>
  <c r="W1486" i="7"/>
  <c r="V1486" i="7"/>
  <c r="U1486" i="7"/>
  <c r="T1486" i="7"/>
  <c r="S1486" i="7"/>
  <c r="R1486" i="7"/>
  <c r="Q1486" i="7"/>
  <c r="P1486" i="7"/>
  <c r="O1486" i="7"/>
  <c r="Z1485" i="7"/>
  <c r="Y1485" i="7"/>
  <c r="X1485" i="7"/>
  <c r="W1485" i="7"/>
  <c r="V1485" i="7"/>
  <c r="U1485" i="7"/>
  <c r="T1485" i="7"/>
  <c r="S1485" i="7"/>
  <c r="R1485" i="7"/>
  <c r="Q1485" i="7"/>
  <c r="P1485" i="7"/>
  <c r="O1485" i="7"/>
  <c r="AA1483" i="7"/>
  <c r="K1478" i="7"/>
  <c r="Z1477" i="7"/>
  <c r="X1477" i="7"/>
  <c r="V1477" i="7"/>
  <c r="T1477" i="7"/>
  <c r="R1477" i="7"/>
  <c r="Z1476" i="7"/>
  <c r="Y1476" i="7"/>
  <c r="X1476" i="7"/>
  <c r="W1476" i="7"/>
  <c r="V1476" i="7"/>
  <c r="U1476" i="7"/>
  <c r="T1476" i="7"/>
  <c r="S1476" i="7"/>
  <c r="R1476" i="7"/>
  <c r="Q1476" i="7"/>
  <c r="P1476" i="7"/>
  <c r="Q1475" i="7"/>
  <c r="AA1475" i="7" s="1"/>
  <c r="S1474" i="7"/>
  <c r="AA1474" i="7" s="1"/>
  <c r="Z1473" i="7"/>
  <c r="Y1473" i="7"/>
  <c r="X1473" i="7"/>
  <c r="W1473" i="7"/>
  <c r="V1473" i="7"/>
  <c r="U1473" i="7"/>
  <c r="T1473" i="7"/>
  <c r="S1473" i="7"/>
  <c r="R1473" i="7"/>
  <c r="Q1473" i="7"/>
  <c r="P1473" i="7"/>
  <c r="O1473" i="7"/>
  <c r="Z1472" i="7"/>
  <c r="Y1472" i="7"/>
  <c r="X1472" i="7"/>
  <c r="W1472" i="7"/>
  <c r="V1472" i="7"/>
  <c r="U1472" i="7"/>
  <c r="T1472" i="7"/>
  <c r="S1472" i="7"/>
  <c r="R1472" i="7"/>
  <c r="Q1472" i="7"/>
  <c r="P1472" i="7"/>
  <c r="O1472" i="7"/>
  <c r="O1471" i="7"/>
  <c r="AA1471" i="7" s="1"/>
  <c r="Z1470" i="7"/>
  <c r="U1470" i="7"/>
  <c r="Z1469" i="7"/>
  <c r="Y1469" i="7"/>
  <c r="X1469" i="7"/>
  <c r="W1469" i="7"/>
  <c r="V1469" i="7"/>
  <c r="U1469" i="7"/>
  <c r="T1469" i="7"/>
  <c r="S1469" i="7"/>
  <c r="R1469" i="7"/>
  <c r="Q1469" i="7"/>
  <c r="P1469" i="7"/>
  <c r="O1469" i="7"/>
  <c r="Z1468" i="7"/>
  <c r="Y1468" i="7"/>
  <c r="X1468" i="7"/>
  <c r="W1468" i="7"/>
  <c r="V1468" i="7"/>
  <c r="U1468" i="7"/>
  <c r="T1468" i="7"/>
  <c r="S1468" i="7"/>
  <c r="R1468" i="7"/>
  <c r="Q1468" i="7"/>
  <c r="P1468" i="7"/>
  <c r="O1468" i="7"/>
  <c r="Z1467" i="7"/>
  <c r="Y1467" i="7"/>
  <c r="X1467" i="7"/>
  <c r="W1467" i="7"/>
  <c r="V1467" i="7"/>
  <c r="U1467" i="7"/>
  <c r="T1467" i="7"/>
  <c r="S1467" i="7"/>
  <c r="R1467" i="7"/>
  <c r="Q1467" i="7"/>
  <c r="P1467" i="7"/>
  <c r="O1467" i="7"/>
  <c r="Z1466" i="7"/>
  <c r="Y1466" i="7"/>
  <c r="X1466" i="7"/>
  <c r="W1466" i="7"/>
  <c r="V1466" i="7"/>
  <c r="U1466" i="7"/>
  <c r="T1466" i="7"/>
  <c r="S1466" i="7"/>
  <c r="R1466" i="7"/>
  <c r="Q1466" i="7"/>
  <c r="P1466" i="7"/>
  <c r="O1466" i="7"/>
  <c r="Z1465" i="7"/>
  <c r="Y1465" i="7"/>
  <c r="X1465" i="7"/>
  <c r="W1465" i="7"/>
  <c r="V1465" i="7"/>
  <c r="U1465" i="7"/>
  <c r="T1465" i="7"/>
  <c r="S1465" i="7"/>
  <c r="R1465" i="7"/>
  <c r="Q1465" i="7"/>
  <c r="P1465" i="7"/>
  <c r="O1465" i="7"/>
  <c r="AA1463" i="7"/>
  <c r="K1458" i="7"/>
  <c r="Z1457" i="7"/>
  <c r="Y1457" i="7"/>
  <c r="X1457" i="7"/>
  <c r="W1457" i="7"/>
  <c r="V1457" i="7"/>
  <c r="U1457" i="7"/>
  <c r="T1457" i="7"/>
  <c r="S1457" i="7"/>
  <c r="R1457" i="7"/>
  <c r="Q1457" i="7"/>
  <c r="P1457" i="7"/>
  <c r="O1457" i="7"/>
  <c r="Z1456" i="7"/>
  <c r="Y1456" i="7"/>
  <c r="X1456" i="7"/>
  <c r="W1456" i="7"/>
  <c r="V1456" i="7"/>
  <c r="U1456" i="7"/>
  <c r="T1456" i="7"/>
  <c r="S1456" i="7"/>
  <c r="R1456" i="7"/>
  <c r="Q1456" i="7"/>
  <c r="P1456" i="7"/>
  <c r="Q1455" i="7"/>
  <c r="AA1455" i="7" s="1"/>
  <c r="O1454" i="7"/>
  <c r="AA1454" i="7" s="1"/>
  <c r="Z1453" i="7"/>
  <c r="Y1453" i="7"/>
  <c r="X1453" i="7"/>
  <c r="W1453" i="7"/>
  <c r="V1453" i="7"/>
  <c r="U1453" i="7"/>
  <c r="T1453" i="7"/>
  <c r="S1453" i="7"/>
  <c r="R1453" i="7"/>
  <c r="Q1453" i="7"/>
  <c r="P1453" i="7"/>
  <c r="O1453" i="7"/>
  <c r="Z1452" i="7"/>
  <c r="Y1452" i="7"/>
  <c r="X1452" i="7"/>
  <c r="W1452" i="7"/>
  <c r="V1452" i="7"/>
  <c r="U1452" i="7"/>
  <c r="T1452" i="7"/>
  <c r="S1452" i="7"/>
  <c r="R1452" i="7"/>
  <c r="Q1452" i="7"/>
  <c r="P1452" i="7"/>
  <c r="O1452" i="7"/>
  <c r="O1451" i="7"/>
  <c r="AA1451" i="7" s="1"/>
  <c r="Z1450" i="7"/>
  <c r="U1450" i="7"/>
  <c r="Z1449" i="7"/>
  <c r="Y1449" i="7"/>
  <c r="X1449" i="7"/>
  <c r="W1449" i="7"/>
  <c r="V1449" i="7"/>
  <c r="U1449" i="7"/>
  <c r="T1449" i="7"/>
  <c r="S1449" i="7"/>
  <c r="R1449" i="7"/>
  <c r="Q1449" i="7"/>
  <c r="P1449" i="7"/>
  <c r="O1449" i="7"/>
  <c r="Z1448" i="7"/>
  <c r="Y1448" i="7"/>
  <c r="X1448" i="7"/>
  <c r="W1448" i="7"/>
  <c r="V1448" i="7"/>
  <c r="U1448" i="7"/>
  <c r="T1448" i="7"/>
  <c r="S1448" i="7"/>
  <c r="R1448" i="7"/>
  <c r="Q1448" i="7"/>
  <c r="P1448" i="7"/>
  <c r="O1448" i="7"/>
  <c r="Z1447" i="7"/>
  <c r="Y1447" i="7"/>
  <c r="X1447" i="7"/>
  <c r="W1447" i="7"/>
  <c r="V1447" i="7"/>
  <c r="U1447" i="7"/>
  <c r="T1447" i="7"/>
  <c r="S1447" i="7"/>
  <c r="R1447" i="7"/>
  <c r="Q1447" i="7"/>
  <c r="P1447" i="7"/>
  <c r="O1447" i="7"/>
  <c r="Z1446" i="7"/>
  <c r="Y1446" i="7"/>
  <c r="X1446" i="7"/>
  <c r="W1446" i="7"/>
  <c r="V1446" i="7"/>
  <c r="U1446" i="7"/>
  <c r="T1446" i="7"/>
  <c r="S1446" i="7"/>
  <c r="R1446" i="7"/>
  <c r="Q1446" i="7"/>
  <c r="P1446" i="7"/>
  <c r="O1446" i="7"/>
  <c r="AA1444" i="7"/>
  <c r="K1439" i="7"/>
  <c r="Z1438" i="7"/>
  <c r="Y1438" i="7"/>
  <c r="X1438" i="7"/>
  <c r="W1438" i="7"/>
  <c r="V1438" i="7"/>
  <c r="U1438" i="7"/>
  <c r="T1438" i="7"/>
  <c r="S1438" i="7"/>
  <c r="R1438" i="7"/>
  <c r="Q1438" i="7"/>
  <c r="P1438" i="7"/>
  <c r="O1438" i="7"/>
  <c r="Z1437" i="7"/>
  <c r="Y1437" i="7"/>
  <c r="X1437" i="7"/>
  <c r="W1437" i="7"/>
  <c r="V1437" i="7"/>
  <c r="U1437" i="7"/>
  <c r="T1437" i="7"/>
  <c r="S1437" i="7"/>
  <c r="R1437" i="7"/>
  <c r="Q1437" i="7"/>
  <c r="P1437" i="7"/>
  <c r="O1437" i="7"/>
  <c r="Z1436" i="7"/>
  <c r="Y1436" i="7"/>
  <c r="X1436" i="7"/>
  <c r="W1436" i="7"/>
  <c r="V1436" i="7"/>
  <c r="U1436" i="7"/>
  <c r="T1436" i="7"/>
  <c r="S1436" i="7"/>
  <c r="R1436" i="7"/>
  <c r="Q1436" i="7"/>
  <c r="P1436" i="7"/>
  <c r="Z1435" i="7"/>
  <c r="Y1435" i="7"/>
  <c r="X1435" i="7"/>
  <c r="W1435" i="7"/>
  <c r="V1435" i="7"/>
  <c r="U1435" i="7"/>
  <c r="T1435" i="7"/>
  <c r="S1435" i="7"/>
  <c r="R1435" i="7"/>
  <c r="Q1435" i="7"/>
  <c r="P1435" i="7"/>
  <c r="O1435" i="7"/>
  <c r="Z1434" i="7"/>
  <c r="Y1434" i="7"/>
  <c r="X1434" i="7"/>
  <c r="W1434" i="7"/>
  <c r="V1434" i="7"/>
  <c r="U1434" i="7"/>
  <c r="T1434" i="7"/>
  <c r="S1434" i="7"/>
  <c r="R1434" i="7"/>
  <c r="Q1434" i="7"/>
  <c r="P1434" i="7"/>
  <c r="O1434" i="7"/>
  <c r="O1433" i="7"/>
  <c r="AA1433" i="7" s="1"/>
  <c r="Z1432" i="7"/>
  <c r="U1432" i="7"/>
  <c r="Z1431" i="7"/>
  <c r="Y1431" i="7"/>
  <c r="X1431" i="7"/>
  <c r="W1431" i="7"/>
  <c r="V1431" i="7"/>
  <c r="U1431" i="7"/>
  <c r="T1431" i="7"/>
  <c r="S1431" i="7"/>
  <c r="R1431" i="7"/>
  <c r="Q1431" i="7"/>
  <c r="P1431" i="7"/>
  <c r="O1431" i="7"/>
  <c r="Z1430" i="7"/>
  <c r="Y1430" i="7"/>
  <c r="X1430" i="7"/>
  <c r="W1430" i="7"/>
  <c r="V1430" i="7"/>
  <c r="U1430" i="7"/>
  <c r="T1430" i="7"/>
  <c r="S1430" i="7"/>
  <c r="R1430" i="7"/>
  <c r="Q1430" i="7"/>
  <c r="P1430" i="7"/>
  <c r="O1430" i="7"/>
  <c r="Z1429" i="7"/>
  <c r="Y1429" i="7"/>
  <c r="X1429" i="7"/>
  <c r="W1429" i="7"/>
  <c r="V1429" i="7"/>
  <c r="U1429" i="7"/>
  <c r="T1429" i="7"/>
  <c r="S1429" i="7"/>
  <c r="R1429" i="7"/>
  <c r="Q1429" i="7"/>
  <c r="P1429" i="7"/>
  <c r="O1429" i="7"/>
  <c r="Z1428" i="7"/>
  <c r="Y1428" i="7"/>
  <c r="X1428" i="7"/>
  <c r="W1428" i="7"/>
  <c r="V1428" i="7"/>
  <c r="U1428" i="7"/>
  <c r="T1428" i="7"/>
  <c r="S1428" i="7"/>
  <c r="R1428" i="7"/>
  <c r="Q1428" i="7"/>
  <c r="P1428" i="7"/>
  <c r="O1428" i="7"/>
  <c r="Z1427" i="7"/>
  <c r="Y1427" i="7"/>
  <c r="X1427" i="7"/>
  <c r="W1427" i="7"/>
  <c r="V1427" i="7"/>
  <c r="U1427" i="7"/>
  <c r="T1427" i="7"/>
  <c r="S1427" i="7"/>
  <c r="R1427" i="7"/>
  <c r="Q1427" i="7"/>
  <c r="P1427" i="7"/>
  <c r="O1427" i="7"/>
  <c r="AA1425" i="7"/>
  <c r="K1420" i="7"/>
  <c r="Z1419" i="7"/>
  <c r="Y1419" i="7"/>
  <c r="X1419" i="7"/>
  <c r="W1419" i="7"/>
  <c r="V1419" i="7"/>
  <c r="U1419" i="7"/>
  <c r="T1419" i="7"/>
  <c r="S1419" i="7"/>
  <c r="R1419" i="7"/>
  <c r="Q1419" i="7"/>
  <c r="P1419" i="7"/>
  <c r="O1419" i="7"/>
  <c r="Z1418" i="7"/>
  <c r="Y1418" i="7"/>
  <c r="X1418" i="7"/>
  <c r="W1418" i="7"/>
  <c r="V1418" i="7"/>
  <c r="U1418" i="7"/>
  <c r="T1418" i="7"/>
  <c r="S1418" i="7"/>
  <c r="R1418" i="7"/>
  <c r="Q1418" i="7"/>
  <c r="P1418" i="7"/>
  <c r="O1418" i="7"/>
  <c r="Z1417" i="7"/>
  <c r="X1417" i="7"/>
  <c r="V1417" i="7"/>
  <c r="T1417" i="7"/>
  <c r="R1417" i="7"/>
  <c r="Z1416" i="7"/>
  <c r="Y1416" i="7"/>
  <c r="X1416" i="7"/>
  <c r="W1416" i="7"/>
  <c r="V1416" i="7"/>
  <c r="U1416" i="7"/>
  <c r="T1416" i="7"/>
  <c r="S1416" i="7"/>
  <c r="R1416" i="7"/>
  <c r="Q1416" i="7"/>
  <c r="P1416" i="7"/>
  <c r="AA1415" i="7"/>
  <c r="V1414" i="7"/>
  <c r="Q1414" i="7"/>
  <c r="Q1413" i="7"/>
  <c r="AA1413" i="7" s="1"/>
  <c r="Q1412" i="7"/>
  <c r="AA1412" i="7" s="1"/>
  <c r="Z1411" i="7"/>
  <c r="Y1411" i="7"/>
  <c r="X1411" i="7"/>
  <c r="W1411" i="7"/>
  <c r="V1411" i="7"/>
  <c r="U1411" i="7"/>
  <c r="T1411" i="7"/>
  <c r="S1411" i="7"/>
  <c r="R1411" i="7"/>
  <c r="Q1411" i="7"/>
  <c r="P1411" i="7"/>
  <c r="O1411" i="7"/>
  <c r="O1410" i="7"/>
  <c r="AA1410" i="7" s="1"/>
  <c r="Z1409" i="7"/>
  <c r="U1409" i="7"/>
  <c r="Z1408" i="7"/>
  <c r="Y1408" i="7"/>
  <c r="X1408" i="7"/>
  <c r="W1408" i="7"/>
  <c r="V1408" i="7"/>
  <c r="U1408" i="7"/>
  <c r="T1408" i="7"/>
  <c r="S1408" i="7"/>
  <c r="R1408" i="7"/>
  <c r="Q1408" i="7"/>
  <c r="P1408" i="7"/>
  <c r="O1408" i="7"/>
  <c r="Z1407" i="7"/>
  <c r="Y1407" i="7"/>
  <c r="X1407" i="7"/>
  <c r="W1407" i="7"/>
  <c r="V1407" i="7"/>
  <c r="U1407" i="7"/>
  <c r="T1407" i="7"/>
  <c r="S1407" i="7"/>
  <c r="R1407" i="7"/>
  <c r="Q1407" i="7"/>
  <c r="P1407" i="7"/>
  <c r="O1407" i="7"/>
  <c r="Z1406" i="7"/>
  <c r="Y1406" i="7"/>
  <c r="X1406" i="7"/>
  <c r="W1406" i="7"/>
  <c r="V1406" i="7"/>
  <c r="U1406" i="7"/>
  <c r="T1406" i="7"/>
  <c r="S1406" i="7"/>
  <c r="R1406" i="7"/>
  <c r="Q1406" i="7"/>
  <c r="P1406" i="7"/>
  <c r="O1406" i="7"/>
  <c r="Z1405" i="7"/>
  <c r="Y1405" i="7"/>
  <c r="X1405" i="7"/>
  <c r="W1405" i="7"/>
  <c r="V1405" i="7"/>
  <c r="U1405" i="7"/>
  <c r="T1405" i="7"/>
  <c r="S1405" i="7"/>
  <c r="R1405" i="7"/>
  <c r="Q1405" i="7"/>
  <c r="P1405" i="7"/>
  <c r="O1405" i="7"/>
  <c r="Z1404" i="7"/>
  <c r="Y1404" i="7"/>
  <c r="X1404" i="7"/>
  <c r="W1404" i="7"/>
  <c r="V1404" i="7"/>
  <c r="U1404" i="7"/>
  <c r="T1404" i="7"/>
  <c r="S1404" i="7"/>
  <c r="R1404" i="7"/>
  <c r="Q1404" i="7"/>
  <c r="P1404" i="7"/>
  <c r="O1404" i="7"/>
  <c r="AA1402" i="7"/>
  <c r="K1397" i="7"/>
  <c r="V1396" i="7"/>
  <c r="R1396" i="7"/>
  <c r="V1395" i="7"/>
  <c r="R1395" i="7"/>
  <c r="U1394" i="7"/>
  <c r="P1394" i="7"/>
  <c r="Z1393" i="7"/>
  <c r="Y1393" i="7"/>
  <c r="X1393" i="7"/>
  <c r="W1393" i="7"/>
  <c r="V1393" i="7"/>
  <c r="U1393" i="7"/>
  <c r="T1393" i="7"/>
  <c r="S1393" i="7"/>
  <c r="R1393" i="7"/>
  <c r="Q1393" i="7"/>
  <c r="P1393" i="7"/>
  <c r="O1393" i="7"/>
  <c r="Z1392" i="7"/>
  <c r="Y1392" i="7"/>
  <c r="X1392" i="7"/>
  <c r="W1392" i="7"/>
  <c r="V1392" i="7"/>
  <c r="U1392" i="7"/>
  <c r="T1392" i="7"/>
  <c r="S1392" i="7"/>
  <c r="R1392" i="7"/>
  <c r="Q1392" i="7"/>
  <c r="P1392" i="7"/>
  <c r="O1392" i="7"/>
  <c r="O1391" i="7"/>
  <c r="AA1391" i="7" s="1"/>
  <c r="Z1390" i="7"/>
  <c r="U1390" i="7"/>
  <c r="Z1389" i="7"/>
  <c r="Y1389" i="7"/>
  <c r="X1389" i="7"/>
  <c r="W1389" i="7"/>
  <c r="V1389" i="7"/>
  <c r="U1389" i="7"/>
  <c r="T1389" i="7"/>
  <c r="S1389" i="7"/>
  <c r="R1389" i="7"/>
  <c r="Q1389" i="7"/>
  <c r="P1389" i="7"/>
  <c r="O1389" i="7"/>
  <c r="Z1388" i="7"/>
  <c r="Y1388" i="7"/>
  <c r="X1388" i="7"/>
  <c r="W1388" i="7"/>
  <c r="V1388" i="7"/>
  <c r="U1388" i="7"/>
  <c r="T1388" i="7"/>
  <c r="S1388" i="7"/>
  <c r="R1388" i="7"/>
  <c r="Q1388" i="7"/>
  <c r="P1388" i="7"/>
  <c r="O1388" i="7"/>
  <c r="Z1387" i="7"/>
  <c r="Y1387" i="7"/>
  <c r="X1387" i="7"/>
  <c r="W1387" i="7"/>
  <c r="V1387" i="7"/>
  <c r="U1387" i="7"/>
  <c r="T1387" i="7"/>
  <c r="S1387" i="7"/>
  <c r="R1387" i="7"/>
  <c r="Q1387" i="7"/>
  <c r="P1387" i="7"/>
  <c r="O1387" i="7"/>
  <c r="Z1386" i="7"/>
  <c r="Y1386" i="7"/>
  <c r="X1386" i="7"/>
  <c r="W1386" i="7"/>
  <c r="V1386" i="7"/>
  <c r="U1386" i="7"/>
  <c r="T1386" i="7"/>
  <c r="S1386" i="7"/>
  <c r="R1386" i="7"/>
  <c r="Q1386" i="7"/>
  <c r="P1386" i="7"/>
  <c r="O1386" i="7"/>
  <c r="Z1385" i="7"/>
  <c r="Y1385" i="7"/>
  <c r="X1385" i="7"/>
  <c r="W1385" i="7"/>
  <c r="V1385" i="7"/>
  <c r="U1385" i="7"/>
  <c r="T1385" i="7"/>
  <c r="S1385" i="7"/>
  <c r="R1385" i="7"/>
  <c r="Q1385" i="7"/>
  <c r="P1385" i="7"/>
  <c r="O1385" i="7"/>
  <c r="AA1383" i="7"/>
  <c r="Q1378" i="7"/>
  <c r="AA1378" i="7" s="1"/>
  <c r="V1377" i="7"/>
  <c r="R1377" i="7"/>
  <c r="V1376" i="7"/>
  <c r="R1376" i="7"/>
  <c r="Z1375" i="7"/>
  <c r="Y1375" i="7"/>
  <c r="X1375" i="7"/>
  <c r="W1375" i="7"/>
  <c r="V1375" i="7"/>
  <c r="U1375" i="7"/>
  <c r="T1375" i="7"/>
  <c r="S1375" i="7"/>
  <c r="R1375" i="7"/>
  <c r="Q1375" i="7"/>
  <c r="P1375" i="7"/>
  <c r="O1375" i="7"/>
  <c r="Z1374" i="7"/>
  <c r="Y1374" i="7"/>
  <c r="Y1373" i="7" s="1"/>
  <c r="X1374" i="7"/>
  <c r="X1373" i="7" s="1"/>
  <c r="W1374" i="7"/>
  <c r="W1373" i="7" s="1"/>
  <c r="V1374" i="7"/>
  <c r="U1374" i="7"/>
  <c r="U1373" i="7" s="1"/>
  <c r="T1374" i="7"/>
  <c r="T1373" i="7" s="1"/>
  <c r="S1374" i="7"/>
  <c r="S1373" i="7" s="1"/>
  <c r="R1374" i="7"/>
  <c r="Q1374" i="7"/>
  <c r="P1374" i="7"/>
  <c r="P1373" i="7" s="1"/>
  <c r="O1374" i="7"/>
  <c r="O1373" i="7" s="1"/>
  <c r="AA1372" i="7"/>
  <c r="Z1367" i="7"/>
  <c r="Y1367" i="7"/>
  <c r="X1367" i="7"/>
  <c r="W1367" i="7"/>
  <c r="V1367" i="7"/>
  <c r="U1367" i="7"/>
  <c r="T1367" i="7"/>
  <c r="S1367" i="7"/>
  <c r="R1367" i="7"/>
  <c r="Q1367" i="7"/>
  <c r="P1367" i="7"/>
  <c r="O1367" i="7"/>
  <c r="Z1366" i="7"/>
  <c r="Y1366" i="7"/>
  <c r="X1366" i="7"/>
  <c r="W1366" i="7"/>
  <c r="V1366" i="7"/>
  <c r="U1366" i="7"/>
  <c r="T1366" i="7"/>
  <c r="S1366" i="7"/>
  <c r="R1366" i="7"/>
  <c r="Q1366" i="7"/>
  <c r="P1366" i="7"/>
  <c r="O1366" i="7"/>
  <c r="Z1365" i="7"/>
  <c r="Y1365" i="7"/>
  <c r="X1365" i="7"/>
  <c r="W1365" i="7"/>
  <c r="V1365" i="7"/>
  <c r="U1365" i="7"/>
  <c r="T1365" i="7"/>
  <c r="S1365" i="7"/>
  <c r="R1365" i="7"/>
  <c r="Q1365" i="7"/>
  <c r="P1365" i="7"/>
  <c r="V1364" i="7"/>
  <c r="R1364" i="7"/>
  <c r="V1363" i="7"/>
  <c r="R1363" i="7"/>
  <c r="Z1362" i="7"/>
  <c r="Y1362" i="7"/>
  <c r="X1362" i="7"/>
  <c r="W1362" i="7"/>
  <c r="V1362" i="7"/>
  <c r="U1362" i="7"/>
  <c r="T1362" i="7"/>
  <c r="S1362" i="7"/>
  <c r="R1362" i="7"/>
  <c r="Q1362" i="7"/>
  <c r="P1362" i="7"/>
  <c r="O1362" i="7"/>
  <c r="Z1361" i="7"/>
  <c r="Y1361" i="7"/>
  <c r="X1361" i="7"/>
  <c r="W1361" i="7"/>
  <c r="V1361" i="7"/>
  <c r="U1361" i="7"/>
  <c r="T1361" i="7"/>
  <c r="S1361" i="7"/>
  <c r="R1361" i="7"/>
  <c r="Q1361" i="7"/>
  <c r="P1361" i="7"/>
  <c r="O1361" i="7"/>
  <c r="O1360" i="7"/>
  <c r="AA1360" i="7" s="1"/>
  <c r="Z1359" i="7"/>
  <c r="U1359" i="7"/>
  <c r="Z1358" i="7"/>
  <c r="Y1358" i="7"/>
  <c r="X1358" i="7"/>
  <c r="W1358" i="7"/>
  <c r="V1358" i="7"/>
  <c r="U1358" i="7"/>
  <c r="T1358" i="7"/>
  <c r="S1358" i="7"/>
  <c r="R1358" i="7"/>
  <c r="Q1358" i="7"/>
  <c r="P1358" i="7"/>
  <c r="O1358" i="7"/>
  <c r="Z1357" i="7"/>
  <c r="Y1357" i="7"/>
  <c r="X1357" i="7"/>
  <c r="W1357" i="7"/>
  <c r="V1357" i="7"/>
  <c r="U1357" i="7"/>
  <c r="T1357" i="7"/>
  <c r="S1357" i="7"/>
  <c r="R1357" i="7"/>
  <c r="Q1357" i="7"/>
  <c r="P1357" i="7"/>
  <c r="O1357" i="7"/>
  <c r="Z1356" i="7"/>
  <c r="Y1356" i="7"/>
  <c r="X1356" i="7"/>
  <c r="W1356" i="7"/>
  <c r="V1356" i="7"/>
  <c r="U1356" i="7"/>
  <c r="T1356" i="7"/>
  <c r="S1356" i="7"/>
  <c r="R1356" i="7"/>
  <c r="Q1356" i="7"/>
  <c r="P1356" i="7"/>
  <c r="O1356" i="7"/>
  <c r="Z1355" i="7"/>
  <c r="Y1355" i="7"/>
  <c r="X1355" i="7"/>
  <c r="W1355" i="7"/>
  <c r="V1355" i="7"/>
  <c r="U1355" i="7"/>
  <c r="T1355" i="7"/>
  <c r="S1355" i="7"/>
  <c r="R1355" i="7"/>
  <c r="Q1355" i="7"/>
  <c r="P1355" i="7"/>
  <c r="O1355" i="7"/>
  <c r="Z1354" i="7"/>
  <c r="Y1354" i="7"/>
  <c r="X1354" i="7"/>
  <c r="W1354" i="7"/>
  <c r="V1354" i="7"/>
  <c r="U1354" i="7"/>
  <c r="T1354" i="7"/>
  <c r="S1354" i="7"/>
  <c r="R1354" i="7"/>
  <c r="Q1354" i="7"/>
  <c r="P1354" i="7"/>
  <c r="O1354" i="7"/>
  <c r="AA1352" i="7"/>
  <c r="Z1347" i="7"/>
  <c r="Y1347" i="7"/>
  <c r="X1347" i="7"/>
  <c r="W1347" i="7"/>
  <c r="V1347" i="7"/>
  <c r="U1347" i="7"/>
  <c r="T1347" i="7"/>
  <c r="S1347" i="7"/>
  <c r="R1347" i="7"/>
  <c r="Q1347" i="7"/>
  <c r="P1347" i="7"/>
  <c r="O1347" i="7"/>
  <c r="Z1346" i="7"/>
  <c r="Y1346" i="7"/>
  <c r="X1346" i="7"/>
  <c r="W1346" i="7"/>
  <c r="V1346" i="7"/>
  <c r="U1346" i="7"/>
  <c r="T1346" i="7"/>
  <c r="S1346" i="7"/>
  <c r="R1346" i="7"/>
  <c r="Q1346" i="7"/>
  <c r="P1346" i="7"/>
  <c r="O1346" i="7"/>
  <c r="Z1345" i="7"/>
  <c r="Y1345" i="7"/>
  <c r="X1345" i="7"/>
  <c r="W1345" i="7"/>
  <c r="V1345" i="7"/>
  <c r="U1345" i="7"/>
  <c r="T1345" i="7"/>
  <c r="S1345" i="7"/>
  <c r="R1345" i="7"/>
  <c r="Q1345" i="7"/>
  <c r="P1345" i="7"/>
  <c r="V1344" i="7"/>
  <c r="R1344" i="7"/>
  <c r="V1343" i="7"/>
  <c r="R1343" i="7"/>
  <c r="Q1342" i="7"/>
  <c r="AA1342" i="7" s="1"/>
  <c r="Z1341" i="7"/>
  <c r="Y1341" i="7"/>
  <c r="X1341" i="7"/>
  <c r="W1341" i="7"/>
  <c r="V1341" i="7"/>
  <c r="U1341" i="7"/>
  <c r="T1341" i="7"/>
  <c r="S1341" i="7"/>
  <c r="R1341" i="7"/>
  <c r="Q1341" i="7"/>
  <c r="P1341" i="7"/>
  <c r="O1341" i="7"/>
  <c r="O1340" i="7"/>
  <c r="AA1340" i="7" s="1"/>
  <c r="Z1339" i="7"/>
  <c r="U1339" i="7"/>
  <c r="Z1338" i="7"/>
  <c r="Y1338" i="7"/>
  <c r="X1338" i="7"/>
  <c r="W1338" i="7"/>
  <c r="V1338" i="7"/>
  <c r="U1338" i="7"/>
  <c r="T1338" i="7"/>
  <c r="S1338" i="7"/>
  <c r="R1338" i="7"/>
  <c r="Q1338" i="7"/>
  <c r="P1338" i="7"/>
  <c r="O1338" i="7"/>
  <c r="Z1337" i="7"/>
  <c r="Y1337" i="7"/>
  <c r="X1337" i="7"/>
  <c r="W1337" i="7"/>
  <c r="V1337" i="7"/>
  <c r="U1337" i="7"/>
  <c r="T1337" i="7"/>
  <c r="S1337" i="7"/>
  <c r="R1337" i="7"/>
  <c r="Q1337" i="7"/>
  <c r="P1337" i="7"/>
  <c r="O1337" i="7"/>
  <c r="Z1336" i="7"/>
  <c r="Y1336" i="7"/>
  <c r="X1336" i="7"/>
  <c r="W1336" i="7"/>
  <c r="V1336" i="7"/>
  <c r="U1336" i="7"/>
  <c r="T1336" i="7"/>
  <c r="S1336" i="7"/>
  <c r="R1336" i="7"/>
  <c r="Q1336" i="7"/>
  <c r="P1336" i="7"/>
  <c r="O1336" i="7"/>
  <c r="Z1335" i="7"/>
  <c r="Y1335" i="7"/>
  <c r="X1335" i="7"/>
  <c r="W1335" i="7"/>
  <c r="V1335" i="7"/>
  <c r="U1335" i="7"/>
  <c r="T1335" i="7"/>
  <c r="S1335" i="7"/>
  <c r="R1335" i="7"/>
  <c r="Q1335" i="7"/>
  <c r="P1335" i="7"/>
  <c r="O1335" i="7"/>
  <c r="AA1333" i="7"/>
  <c r="R1328" i="7"/>
  <c r="AA1328" i="7" s="1"/>
  <c r="V1327" i="7"/>
  <c r="V1326" i="7" s="1"/>
  <c r="R1327" i="7"/>
  <c r="Z1326" i="7"/>
  <c r="Y1326" i="7"/>
  <c r="X1326" i="7"/>
  <c r="W1326" i="7"/>
  <c r="U1326" i="7"/>
  <c r="T1326" i="7"/>
  <c r="S1326" i="7"/>
  <c r="Q1326" i="7"/>
  <c r="P1326" i="7"/>
  <c r="O1326" i="7"/>
  <c r="AA1325" i="7"/>
  <c r="Z1320" i="7"/>
  <c r="Y1320" i="7"/>
  <c r="X1320" i="7"/>
  <c r="W1320" i="7"/>
  <c r="V1320" i="7"/>
  <c r="U1320" i="7"/>
  <c r="T1320" i="7"/>
  <c r="S1320" i="7"/>
  <c r="R1320" i="7"/>
  <c r="Q1320" i="7"/>
  <c r="P1320" i="7"/>
  <c r="O1320" i="7"/>
  <c r="Z1319" i="7"/>
  <c r="Y1319" i="7"/>
  <c r="X1319" i="7"/>
  <c r="W1319" i="7"/>
  <c r="V1319" i="7"/>
  <c r="U1319" i="7"/>
  <c r="T1319" i="7"/>
  <c r="S1319" i="7"/>
  <c r="R1319" i="7"/>
  <c r="Q1319" i="7"/>
  <c r="P1319" i="7"/>
  <c r="O1319" i="7"/>
  <c r="V1318" i="7"/>
  <c r="R1318" i="7"/>
  <c r="V1317" i="7"/>
  <c r="R1317" i="7"/>
  <c r="V1316" i="7"/>
  <c r="R1316" i="7"/>
  <c r="Q1315" i="7"/>
  <c r="AA1315" i="7" s="1"/>
  <c r="Z1314" i="7"/>
  <c r="Y1314" i="7"/>
  <c r="X1314" i="7"/>
  <c r="W1314" i="7"/>
  <c r="V1314" i="7"/>
  <c r="U1314" i="7"/>
  <c r="T1314" i="7"/>
  <c r="S1314" i="7"/>
  <c r="R1314" i="7"/>
  <c r="Q1314" i="7"/>
  <c r="P1314" i="7"/>
  <c r="O1314" i="7"/>
  <c r="Z1313" i="7"/>
  <c r="Y1313" i="7"/>
  <c r="X1313" i="7"/>
  <c r="W1313" i="7"/>
  <c r="V1313" i="7"/>
  <c r="U1313" i="7"/>
  <c r="T1313" i="7"/>
  <c r="S1313" i="7"/>
  <c r="R1313" i="7"/>
  <c r="Q1313" i="7"/>
  <c r="P1313" i="7"/>
  <c r="O1313" i="7"/>
  <c r="O1312" i="7"/>
  <c r="AA1312" i="7" s="1"/>
  <c r="Z1311" i="7"/>
  <c r="U1311" i="7"/>
  <c r="Z1310" i="7"/>
  <c r="Y1310" i="7"/>
  <c r="X1310" i="7"/>
  <c r="W1310" i="7"/>
  <c r="V1310" i="7"/>
  <c r="U1310" i="7"/>
  <c r="T1310" i="7"/>
  <c r="S1310" i="7"/>
  <c r="R1310" i="7"/>
  <c r="Q1310" i="7"/>
  <c r="P1310" i="7"/>
  <c r="O1310" i="7"/>
  <c r="Z1309" i="7"/>
  <c r="Y1309" i="7"/>
  <c r="X1309" i="7"/>
  <c r="W1309" i="7"/>
  <c r="V1309" i="7"/>
  <c r="U1309" i="7"/>
  <c r="T1309" i="7"/>
  <c r="S1309" i="7"/>
  <c r="R1309" i="7"/>
  <c r="Q1309" i="7"/>
  <c r="P1309" i="7"/>
  <c r="O1309" i="7"/>
  <c r="Z1308" i="7"/>
  <c r="Y1308" i="7"/>
  <c r="X1308" i="7"/>
  <c r="W1308" i="7"/>
  <c r="V1308" i="7"/>
  <c r="U1308" i="7"/>
  <c r="T1308" i="7"/>
  <c r="S1308" i="7"/>
  <c r="R1308" i="7"/>
  <c r="Q1308" i="7"/>
  <c r="P1308" i="7"/>
  <c r="O1308" i="7"/>
  <c r="Z1307" i="7"/>
  <c r="Y1307" i="7"/>
  <c r="X1307" i="7"/>
  <c r="W1307" i="7"/>
  <c r="V1307" i="7"/>
  <c r="U1307" i="7"/>
  <c r="T1307" i="7"/>
  <c r="S1307" i="7"/>
  <c r="R1307" i="7"/>
  <c r="Q1307" i="7"/>
  <c r="P1307" i="7"/>
  <c r="O1307" i="7"/>
  <c r="Z1306" i="7"/>
  <c r="Y1306" i="7"/>
  <c r="X1306" i="7"/>
  <c r="W1306" i="7"/>
  <c r="V1306" i="7"/>
  <c r="U1306" i="7"/>
  <c r="T1306" i="7"/>
  <c r="S1306" i="7"/>
  <c r="R1306" i="7"/>
  <c r="Q1306" i="7"/>
  <c r="P1306" i="7"/>
  <c r="O1306" i="7"/>
  <c r="AA1304" i="7"/>
  <c r="Z1298" i="7"/>
  <c r="Y1298" i="7"/>
  <c r="X1298" i="7"/>
  <c r="W1298" i="7"/>
  <c r="V1298" i="7"/>
  <c r="U1298" i="7"/>
  <c r="T1298" i="7"/>
  <c r="S1298" i="7"/>
  <c r="R1298" i="7"/>
  <c r="Q1298" i="7"/>
  <c r="P1298" i="7"/>
  <c r="O1298" i="7"/>
  <c r="Z1297" i="7"/>
  <c r="Y1297" i="7"/>
  <c r="X1297" i="7"/>
  <c r="W1297" i="7"/>
  <c r="V1297" i="7"/>
  <c r="U1297" i="7"/>
  <c r="T1297" i="7"/>
  <c r="S1297" i="7"/>
  <c r="R1297" i="7"/>
  <c r="Q1297" i="7"/>
  <c r="P1297" i="7"/>
  <c r="O1297" i="7"/>
  <c r="Z1296" i="7"/>
  <c r="Y1296" i="7"/>
  <c r="X1296" i="7"/>
  <c r="W1296" i="7"/>
  <c r="V1296" i="7"/>
  <c r="U1296" i="7"/>
  <c r="T1296" i="7"/>
  <c r="S1296" i="7"/>
  <c r="R1296" i="7"/>
  <c r="Q1296" i="7"/>
  <c r="P1296" i="7"/>
  <c r="V1295" i="7"/>
  <c r="R1295" i="7"/>
  <c r="V1294" i="7"/>
  <c r="R1294" i="7"/>
  <c r="Z1293" i="7"/>
  <c r="Y1293" i="7"/>
  <c r="X1293" i="7"/>
  <c r="W1293" i="7"/>
  <c r="V1293" i="7"/>
  <c r="U1293" i="7"/>
  <c r="T1293" i="7"/>
  <c r="S1293" i="7"/>
  <c r="R1293" i="7"/>
  <c r="Q1293" i="7"/>
  <c r="P1293" i="7"/>
  <c r="O1293" i="7"/>
  <c r="Z1292" i="7"/>
  <c r="Y1292" i="7"/>
  <c r="X1292" i="7"/>
  <c r="W1292" i="7"/>
  <c r="V1292" i="7"/>
  <c r="U1292" i="7"/>
  <c r="T1292" i="7"/>
  <c r="S1292" i="7"/>
  <c r="R1292" i="7"/>
  <c r="Q1292" i="7"/>
  <c r="P1292" i="7"/>
  <c r="O1292" i="7"/>
  <c r="O1291" i="7"/>
  <c r="AA1291" i="7" s="1"/>
  <c r="Z1290" i="7"/>
  <c r="U1290" i="7"/>
  <c r="Z1289" i="7"/>
  <c r="Y1289" i="7"/>
  <c r="X1289" i="7"/>
  <c r="W1289" i="7"/>
  <c r="V1289" i="7"/>
  <c r="U1289" i="7"/>
  <c r="T1289" i="7"/>
  <c r="S1289" i="7"/>
  <c r="R1289" i="7"/>
  <c r="Q1289" i="7"/>
  <c r="P1289" i="7"/>
  <c r="O1289" i="7"/>
  <c r="Z1288" i="7"/>
  <c r="Y1288" i="7"/>
  <c r="X1288" i="7"/>
  <c r="W1288" i="7"/>
  <c r="V1288" i="7"/>
  <c r="U1288" i="7"/>
  <c r="T1288" i="7"/>
  <c r="S1288" i="7"/>
  <c r="R1288" i="7"/>
  <c r="Q1288" i="7"/>
  <c r="P1288" i="7"/>
  <c r="O1288" i="7"/>
  <c r="Z1287" i="7"/>
  <c r="Y1287" i="7"/>
  <c r="X1287" i="7"/>
  <c r="W1287" i="7"/>
  <c r="V1287" i="7"/>
  <c r="U1287" i="7"/>
  <c r="T1287" i="7"/>
  <c r="S1287" i="7"/>
  <c r="R1287" i="7"/>
  <c r="Q1287" i="7"/>
  <c r="P1287" i="7"/>
  <c r="O1287" i="7"/>
  <c r="Z1286" i="7"/>
  <c r="Y1286" i="7"/>
  <c r="X1286" i="7"/>
  <c r="W1286" i="7"/>
  <c r="V1286" i="7"/>
  <c r="U1286" i="7"/>
  <c r="T1286" i="7"/>
  <c r="S1286" i="7"/>
  <c r="R1286" i="7"/>
  <c r="Q1286" i="7"/>
  <c r="P1286" i="7"/>
  <c r="O1286" i="7"/>
  <c r="Z1285" i="7"/>
  <c r="Y1285" i="7"/>
  <c r="X1285" i="7"/>
  <c r="W1285" i="7"/>
  <c r="V1285" i="7"/>
  <c r="U1285" i="7"/>
  <c r="T1285" i="7"/>
  <c r="S1285" i="7"/>
  <c r="R1285" i="7"/>
  <c r="Q1285" i="7"/>
  <c r="P1285" i="7"/>
  <c r="O1285" i="7"/>
  <c r="AA1283" i="7"/>
  <c r="Z1278" i="7"/>
  <c r="Y1278" i="7"/>
  <c r="X1278" i="7"/>
  <c r="W1278" i="7"/>
  <c r="V1278" i="7"/>
  <c r="U1278" i="7"/>
  <c r="T1278" i="7"/>
  <c r="S1278" i="7"/>
  <c r="R1278" i="7"/>
  <c r="Q1278" i="7"/>
  <c r="P1278" i="7"/>
  <c r="O1278" i="7"/>
  <c r="Z1277" i="7"/>
  <c r="Y1277" i="7"/>
  <c r="X1277" i="7"/>
  <c r="W1277" i="7"/>
  <c r="V1277" i="7"/>
  <c r="U1277" i="7"/>
  <c r="T1277" i="7"/>
  <c r="S1277" i="7"/>
  <c r="R1277" i="7"/>
  <c r="Q1277" i="7"/>
  <c r="P1277" i="7"/>
  <c r="O1277" i="7"/>
  <c r="Z1276" i="7"/>
  <c r="Y1276" i="7"/>
  <c r="X1276" i="7"/>
  <c r="W1276" i="7"/>
  <c r="V1276" i="7"/>
  <c r="U1276" i="7"/>
  <c r="T1276" i="7"/>
  <c r="S1276" i="7"/>
  <c r="R1276" i="7"/>
  <c r="Q1276" i="7"/>
  <c r="P1276" i="7"/>
  <c r="O1276" i="7"/>
  <c r="Z1275" i="7"/>
  <c r="Y1275" i="7"/>
  <c r="X1275" i="7"/>
  <c r="W1275" i="7"/>
  <c r="V1275" i="7"/>
  <c r="U1275" i="7"/>
  <c r="T1275" i="7"/>
  <c r="S1275" i="7"/>
  <c r="R1275" i="7"/>
  <c r="Q1275" i="7"/>
  <c r="P1275" i="7"/>
  <c r="Z1274" i="7"/>
  <c r="Y1274" i="7"/>
  <c r="X1274" i="7"/>
  <c r="W1274" i="7"/>
  <c r="V1274" i="7"/>
  <c r="U1274" i="7"/>
  <c r="T1274" i="7"/>
  <c r="S1274" i="7"/>
  <c r="R1274" i="7"/>
  <c r="Q1274" i="7"/>
  <c r="V1273" i="7"/>
  <c r="R1273" i="7"/>
  <c r="P1272" i="7"/>
  <c r="AA1272" i="7" s="1"/>
  <c r="Q1271" i="7"/>
  <c r="AA1271" i="7" s="1"/>
  <c r="Z1270" i="7"/>
  <c r="Y1270" i="7"/>
  <c r="X1270" i="7"/>
  <c r="W1270" i="7"/>
  <c r="V1270" i="7"/>
  <c r="U1270" i="7"/>
  <c r="T1270" i="7"/>
  <c r="S1270" i="7"/>
  <c r="R1270" i="7"/>
  <c r="Q1270" i="7"/>
  <c r="P1270" i="7"/>
  <c r="O1270" i="7"/>
  <c r="Z1269" i="7"/>
  <c r="Y1269" i="7"/>
  <c r="X1269" i="7"/>
  <c r="W1269" i="7"/>
  <c r="V1269" i="7"/>
  <c r="U1269" i="7"/>
  <c r="T1269" i="7"/>
  <c r="S1269" i="7"/>
  <c r="R1269" i="7"/>
  <c r="Q1269" i="7"/>
  <c r="P1269" i="7"/>
  <c r="O1269" i="7"/>
  <c r="O1268" i="7"/>
  <c r="AA1268" i="7" s="1"/>
  <c r="Z1267" i="7"/>
  <c r="U1267" i="7"/>
  <c r="Z1266" i="7"/>
  <c r="Y1266" i="7"/>
  <c r="X1266" i="7"/>
  <c r="W1266" i="7"/>
  <c r="V1266" i="7"/>
  <c r="U1266" i="7"/>
  <c r="T1266" i="7"/>
  <c r="S1266" i="7"/>
  <c r="R1266" i="7"/>
  <c r="Q1266" i="7"/>
  <c r="P1266" i="7"/>
  <c r="O1266" i="7"/>
  <c r="Z1265" i="7"/>
  <c r="Y1265" i="7"/>
  <c r="X1265" i="7"/>
  <c r="W1265" i="7"/>
  <c r="V1265" i="7"/>
  <c r="U1265" i="7"/>
  <c r="T1265" i="7"/>
  <c r="S1265" i="7"/>
  <c r="R1265" i="7"/>
  <c r="Q1265" i="7"/>
  <c r="P1265" i="7"/>
  <c r="O1265" i="7"/>
  <c r="Z1264" i="7"/>
  <c r="Y1264" i="7"/>
  <c r="X1264" i="7"/>
  <c r="W1264" i="7"/>
  <c r="V1264" i="7"/>
  <c r="U1264" i="7"/>
  <c r="T1264" i="7"/>
  <c r="S1264" i="7"/>
  <c r="R1264" i="7"/>
  <c r="Q1264" i="7"/>
  <c r="P1264" i="7"/>
  <c r="O1264" i="7"/>
  <c r="Z1263" i="7"/>
  <c r="Y1263" i="7"/>
  <c r="X1263" i="7"/>
  <c r="W1263" i="7"/>
  <c r="V1263" i="7"/>
  <c r="U1263" i="7"/>
  <c r="T1263" i="7"/>
  <c r="S1263" i="7"/>
  <c r="R1263" i="7"/>
  <c r="Q1263" i="7"/>
  <c r="P1263" i="7"/>
  <c r="O1263" i="7"/>
  <c r="Z1262" i="7"/>
  <c r="Y1262" i="7"/>
  <c r="X1262" i="7"/>
  <c r="W1262" i="7"/>
  <c r="V1262" i="7"/>
  <c r="U1262" i="7"/>
  <c r="T1262" i="7"/>
  <c r="S1262" i="7"/>
  <c r="R1262" i="7"/>
  <c r="Q1262" i="7"/>
  <c r="P1262" i="7"/>
  <c r="O1262" i="7"/>
  <c r="AA1260" i="7"/>
  <c r="Y1255" i="7"/>
  <c r="W1255" i="7"/>
  <c r="U1255" i="7"/>
  <c r="S1255" i="7"/>
  <c r="Q1255" i="7"/>
  <c r="U1254" i="7"/>
  <c r="Q1254" i="7"/>
  <c r="Z1253" i="7"/>
  <c r="Y1253" i="7"/>
  <c r="X1253" i="7"/>
  <c r="W1253" i="7"/>
  <c r="V1253" i="7"/>
  <c r="U1253" i="7"/>
  <c r="T1253" i="7"/>
  <c r="S1253" i="7"/>
  <c r="R1253" i="7"/>
  <c r="Q1253" i="7"/>
  <c r="P1253" i="7"/>
  <c r="Z1252" i="7"/>
  <c r="Y1252" i="7"/>
  <c r="X1252" i="7"/>
  <c r="W1252" i="7"/>
  <c r="V1252" i="7"/>
  <c r="U1252" i="7"/>
  <c r="T1252" i="7"/>
  <c r="S1252" i="7"/>
  <c r="R1252" i="7"/>
  <c r="Q1252" i="7"/>
  <c r="P1252" i="7"/>
  <c r="Y1251" i="7"/>
  <c r="V1251" i="7"/>
  <c r="S1251" i="7"/>
  <c r="P1251" i="7"/>
  <c r="Q1250" i="7"/>
  <c r="AA1250" i="7" s="1"/>
  <c r="Z1249" i="7"/>
  <c r="Y1249" i="7"/>
  <c r="X1249" i="7"/>
  <c r="W1249" i="7"/>
  <c r="V1249" i="7"/>
  <c r="U1249" i="7"/>
  <c r="T1249" i="7"/>
  <c r="S1249" i="7"/>
  <c r="R1249" i="7"/>
  <c r="Q1249" i="7"/>
  <c r="P1249" i="7"/>
  <c r="O1249" i="7"/>
  <c r="Z1248" i="7"/>
  <c r="Y1248" i="7"/>
  <c r="X1248" i="7"/>
  <c r="W1248" i="7"/>
  <c r="V1248" i="7"/>
  <c r="U1248" i="7"/>
  <c r="T1248" i="7"/>
  <c r="S1248" i="7"/>
  <c r="R1248" i="7"/>
  <c r="Q1248" i="7"/>
  <c r="P1248" i="7"/>
  <c r="O1248" i="7"/>
  <c r="O1247" i="7"/>
  <c r="AA1247" i="7" s="1"/>
  <c r="Z1246" i="7"/>
  <c r="U1246" i="7"/>
  <c r="Z1245" i="7"/>
  <c r="Y1245" i="7"/>
  <c r="X1245" i="7"/>
  <c r="W1245" i="7"/>
  <c r="V1245" i="7"/>
  <c r="U1245" i="7"/>
  <c r="T1245" i="7"/>
  <c r="S1245" i="7"/>
  <c r="R1245" i="7"/>
  <c r="Q1245" i="7"/>
  <c r="P1245" i="7"/>
  <c r="O1245" i="7"/>
  <c r="AA1243" i="7"/>
  <c r="Z1240" i="7"/>
  <c r="Y1240" i="7"/>
  <c r="X1240" i="7"/>
  <c r="W1240" i="7"/>
  <c r="V1240" i="7"/>
  <c r="U1240" i="7"/>
  <c r="T1240" i="7"/>
  <c r="S1240" i="7"/>
  <c r="R1240" i="7"/>
  <c r="Q1240" i="7"/>
  <c r="P1240" i="7"/>
  <c r="Y1239" i="7"/>
  <c r="W1239" i="7"/>
  <c r="U1239" i="7"/>
  <c r="S1239" i="7"/>
  <c r="Q1239" i="7"/>
  <c r="Q1238" i="7"/>
  <c r="AA1238" i="7" s="1"/>
  <c r="T1237" i="7"/>
  <c r="Q1237" i="7"/>
  <c r="Z1236" i="7"/>
  <c r="Y1236" i="7"/>
  <c r="X1236" i="7"/>
  <c r="W1236" i="7"/>
  <c r="V1236" i="7"/>
  <c r="U1236" i="7"/>
  <c r="T1236" i="7"/>
  <c r="S1236" i="7"/>
  <c r="R1236" i="7"/>
  <c r="Q1236" i="7"/>
  <c r="P1236" i="7"/>
  <c r="Z1235" i="7"/>
  <c r="Y1235" i="7"/>
  <c r="X1235" i="7"/>
  <c r="W1235" i="7"/>
  <c r="V1235" i="7"/>
  <c r="U1235" i="7"/>
  <c r="T1235" i="7"/>
  <c r="S1235" i="7"/>
  <c r="R1235" i="7"/>
  <c r="Q1235" i="7"/>
  <c r="P1235" i="7"/>
  <c r="Y1234" i="7"/>
  <c r="V1234" i="7"/>
  <c r="S1234" i="7"/>
  <c r="P1234" i="7"/>
  <c r="R1233" i="7"/>
  <c r="AA1233" i="7" s="1"/>
  <c r="V1232" i="7"/>
  <c r="Q1232" i="7"/>
  <c r="S1231" i="7"/>
  <c r="AA1231" i="7" s="1"/>
  <c r="O1230" i="7"/>
  <c r="AA1230" i="7" s="1"/>
  <c r="Z1229" i="7"/>
  <c r="Y1229" i="7"/>
  <c r="X1229" i="7"/>
  <c r="W1229" i="7"/>
  <c r="V1229" i="7"/>
  <c r="U1229" i="7"/>
  <c r="T1229" i="7"/>
  <c r="S1229" i="7"/>
  <c r="R1229" i="7"/>
  <c r="Q1229" i="7"/>
  <c r="P1229" i="7"/>
  <c r="O1229" i="7"/>
  <c r="Z1228" i="7"/>
  <c r="Y1228" i="7"/>
  <c r="X1228" i="7"/>
  <c r="W1228" i="7"/>
  <c r="V1228" i="7"/>
  <c r="U1228" i="7"/>
  <c r="T1228" i="7"/>
  <c r="S1228" i="7"/>
  <c r="R1228" i="7"/>
  <c r="Q1228" i="7"/>
  <c r="P1228" i="7"/>
  <c r="O1228" i="7"/>
  <c r="Z1227" i="7"/>
  <c r="Y1227" i="7"/>
  <c r="X1227" i="7"/>
  <c r="W1227" i="7"/>
  <c r="V1227" i="7"/>
  <c r="U1227" i="7"/>
  <c r="T1227" i="7"/>
  <c r="S1227" i="7"/>
  <c r="R1227" i="7"/>
  <c r="Q1227" i="7"/>
  <c r="P1227" i="7"/>
  <c r="O1227" i="7"/>
  <c r="O1226" i="7"/>
  <c r="AA1226" i="7" s="1"/>
  <c r="Z1225" i="7"/>
  <c r="U1225" i="7"/>
  <c r="Z1224" i="7"/>
  <c r="Y1224" i="7"/>
  <c r="X1224" i="7"/>
  <c r="W1224" i="7"/>
  <c r="V1224" i="7"/>
  <c r="U1224" i="7"/>
  <c r="T1224" i="7"/>
  <c r="S1224" i="7"/>
  <c r="R1224" i="7"/>
  <c r="Q1224" i="7"/>
  <c r="P1224" i="7"/>
  <c r="O1224" i="7"/>
  <c r="Z1223" i="7"/>
  <c r="Y1223" i="7"/>
  <c r="X1223" i="7"/>
  <c r="W1223" i="7"/>
  <c r="V1223" i="7"/>
  <c r="U1223" i="7"/>
  <c r="T1223" i="7"/>
  <c r="S1223" i="7"/>
  <c r="R1223" i="7"/>
  <c r="Q1223" i="7"/>
  <c r="P1223" i="7"/>
  <c r="O1223" i="7"/>
  <c r="Z1222" i="7"/>
  <c r="Y1222" i="7"/>
  <c r="X1222" i="7"/>
  <c r="W1222" i="7"/>
  <c r="V1222" i="7"/>
  <c r="U1222" i="7"/>
  <c r="T1222" i="7"/>
  <c r="S1222" i="7"/>
  <c r="R1222" i="7"/>
  <c r="Q1222" i="7"/>
  <c r="P1222" i="7"/>
  <c r="O1222" i="7"/>
  <c r="Z1221" i="7"/>
  <c r="Y1221" i="7"/>
  <c r="X1221" i="7"/>
  <c r="W1221" i="7"/>
  <c r="V1221" i="7"/>
  <c r="U1221" i="7"/>
  <c r="T1221" i="7"/>
  <c r="S1221" i="7"/>
  <c r="R1221" i="7"/>
  <c r="Q1221" i="7"/>
  <c r="P1221" i="7"/>
  <c r="O1221" i="7"/>
  <c r="Z1220" i="7"/>
  <c r="Y1220" i="7"/>
  <c r="X1220" i="7"/>
  <c r="W1220" i="7"/>
  <c r="V1220" i="7"/>
  <c r="U1220" i="7"/>
  <c r="T1220" i="7"/>
  <c r="S1220" i="7"/>
  <c r="R1220" i="7"/>
  <c r="Q1220" i="7"/>
  <c r="P1220" i="7"/>
  <c r="O1220" i="7"/>
  <c r="Z1219" i="7"/>
  <c r="Y1219" i="7"/>
  <c r="X1219" i="7"/>
  <c r="W1219" i="7"/>
  <c r="V1219" i="7"/>
  <c r="U1219" i="7"/>
  <c r="T1219" i="7"/>
  <c r="S1219" i="7"/>
  <c r="R1219" i="7"/>
  <c r="Q1219" i="7"/>
  <c r="P1219" i="7"/>
  <c r="O1219" i="7"/>
  <c r="Z1218" i="7"/>
  <c r="Y1218" i="7"/>
  <c r="X1218" i="7"/>
  <c r="W1218" i="7"/>
  <c r="V1218" i="7"/>
  <c r="U1218" i="7"/>
  <c r="T1218" i="7"/>
  <c r="S1218" i="7"/>
  <c r="R1218" i="7"/>
  <c r="Q1218" i="7"/>
  <c r="P1218" i="7"/>
  <c r="O1218" i="7"/>
  <c r="Z1217" i="7"/>
  <c r="Y1217" i="7"/>
  <c r="X1217" i="7"/>
  <c r="W1217" i="7"/>
  <c r="V1217" i="7"/>
  <c r="U1217" i="7"/>
  <c r="T1217" i="7"/>
  <c r="S1217" i="7"/>
  <c r="R1217" i="7"/>
  <c r="Q1217" i="7"/>
  <c r="P1217" i="7"/>
  <c r="O1217" i="7"/>
  <c r="AA1215" i="7"/>
  <c r="Z1207" i="7"/>
  <c r="Y1207" i="7"/>
  <c r="X1207" i="7"/>
  <c r="W1207" i="7"/>
  <c r="V1207" i="7"/>
  <c r="U1207" i="7"/>
  <c r="T1207" i="7"/>
  <c r="S1207" i="7"/>
  <c r="R1207" i="7"/>
  <c r="Q1207" i="7"/>
  <c r="P1207" i="7"/>
  <c r="O1207" i="7"/>
  <c r="Z1206" i="7"/>
  <c r="Y1206" i="7"/>
  <c r="X1206" i="7"/>
  <c r="W1206" i="7"/>
  <c r="V1206" i="7"/>
  <c r="U1206" i="7"/>
  <c r="T1206" i="7"/>
  <c r="S1206" i="7"/>
  <c r="R1206" i="7"/>
  <c r="Q1206" i="7"/>
  <c r="P1206" i="7"/>
  <c r="O1206" i="7"/>
  <c r="Y1205" i="7"/>
  <c r="W1205" i="7"/>
  <c r="U1205" i="7"/>
  <c r="S1205" i="7"/>
  <c r="Q1205" i="7"/>
  <c r="R1204" i="7"/>
  <c r="AA1204" i="7" s="1"/>
  <c r="Z1203" i="7"/>
  <c r="Y1203" i="7"/>
  <c r="X1203" i="7"/>
  <c r="W1203" i="7"/>
  <c r="V1203" i="7"/>
  <c r="U1203" i="7"/>
  <c r="T1203" i="7"/>
  <c r="S1203" i="7"/>
  <c r="R1203" i="7"/>
  <c r="Q1203" i="7"/>
  <c r="Y1202" i="7"/>
  <c r="V1202" i="7"/>
  <c r="S1202" i="7"/>
  <c r="R1202" i="7"/>
  <c r="Q1201" i="7"/>
  <c r="AA1201" i="7" s="1"/>
  <c r="V1200" i="7"/>
  <c r="Q1200" i="7"/>
  <c r="T1199" i="7"/>
  <c r="O1199" i="7"/>
  <c r="Z1198" i="7"/>
  <c r="Y1198" i="7"/>
  <c r="X1198" i="7"/>
  <c r="W1198" i="7"/>
  <c r="V1198" i="7"/>
  <c r="U1198" i="7"/>
  <c r="T1198" i="7"/>
  <c r="S1198" i="7"/>
  <c r="R1198" i="7"/>
  <c r="Q1198" i="7"/>
  <c r="P1198" i="7"/>
  <c r="O1198" i="7"/>
  <c r="Z1197" i="7"/>
  <c r="Y1197" i="7"/>
  <c r="X1197" i="7"/>
  <c r="W1197" i="7"/>
  <c r="V1197" i="7"/>
  <c r="U1197" i="7"/>
  <c r="T1197" i="7"/>
  <c r="S1197" i="7"/>
  <c r="R1197" i="7"/>
  <c r="Q1197" i="7"/>
  <c r="P1197" i="7"/>
  <c r="O1197" i="7"/>
  <c r="O1196" i="7"/>
  <c r="AA1196" i="7" s="1"/>
  <c r="Z1195" i="7"/>
  <c r="U1195" i="7"/>
  <c r="Z1194" i="7"/>
  <c r="Y1194" i="7"/>
  <c r="X1194" i="7"/>
  <c r="W1194" i="7"/>
  <c r="V1194" i="7"/>
  <c r="U1194" i="7"/>
  <c r="T1194" i="7"/>
  <c r="S1194" i="7"/>
  <c r="R1194" i="7"/>
  <c r="Q1194" i="7"/>
  <c r="P1194" i="7"/>
  <c r="O1194" i="7"/>
  <c r="Z1193" i="7"/>
  <c r="Y1193" i="7"/>
  <c r="X1193" i="7"/>
  <c r="W1193" i="7"/>
  <c r="V1193" i="7"/>
  <c r="U1193" i="7"/>
  <c r="T1193" i="7"/>
  <c r="S1193" i="7"/>
  <c r="R1193" i="7"/>
  <c r="Q1193" i="7"/>
  <c r="P1193" i="7"/>
  <c r="O1193" i="7"/>
  <c r="Z1192" i="7"/>
  <c r="Y1192" i="7"/>
  <c r="X1192" i="7"/>
  <c r="W1192" i="7"/>
  <c r="V1192" i="7"/>
  <c r="U1192" i="7"/>
  <c r="T1192" i="7"/>
  <c r="S1192" i="7"/>
  <c r="R1192" i="7"/>
  <c r="Q1192" i="7"/>
  <c r="P1192" i="7"/>
  <c r="O1192" i="7"/>
  <c r="Z1191" i="7"/>
  <c r="Y1191" i="7"/>
  <c r="X1191" i="7"/>
  <c r="W1191" i="7"/>
  <c r="V1191" i="7"/>
  <c r="U1191" i="7"/>
  <c r="T1191" i="7"/>
  <c r="S1191" i="7"/>
  <c r="R1191" i="7"/>
  <c r="Q1191" i="7"/>
  <c r="P1191" i="7"/>
  <c r="O1191" i="7"/>
  <c r="Z1190" i="7"/>
  <c r="Y1190" i="7"/>
  <c r="X1190" i="7"/>
  <c r="W1190" i="7"/>
  <c r="V1190" i="7"/>
  <c r="U1190" i="7"/>
  <c r="T1190" i="7"/>
  <c r="S1190" i="7"/>
  <c r="R1190" i="7"/>
  <c r="Q1190" i="7"/>
  <c r="P1190" i="7"/>
  <c r="O1190" i="7"/>
  <c r="AA1188" i="7"/>
  <c r="Z1183" i="7"/>
  <c r="Y1183" i="7"/>
  <c r="X1183" i="7"/>
  <c r="W1183" i="7"/>
  <c r="V1183" i="7"/>
  <c r="U1183" i="7"/>
  <c r="T1183" i="7"/>
  <c r="S1183" i="7"/>
  <c r="R1183" i="7"/>
  <c r="Q1183" i="7"/>
  <c r="P1183" i="7"/>
  <c r="O1183" i="7"/>
  <c r="Z1182" i="7"/>
  <c r="Y1182" i="7"/>
  <c r="X1182" i="7"/>
  <c r="W1182" i="7"/>
  <c r="V1182" i="7"/>
  <c r="U1182" i="7"/>
  <c r="T1182" i="7"/>
  <c r="S1182" i="7"/>
  <c r="R1182" i="7"/>
  <c r="Q1182" i="7"/>
  <c r="P1182" i="7"/>
  <c r="O1182" i="7"/>
  <c r="Z1181" i="7"/>
  <c r="Y1181" i="7"/>
  <c r="X1181" i="7"/>
  <c r="W1181" i="7"/>
  <c r="V1181" i="7"/>
  <c r="U1181" i="7"/>
  <c r="T1181" i="7"/>
  <c r="S1181" i="7"/>
  <c r="R1181" i="7"/>
  <c r="Q1181" i="7"/>
  <c r="P1181" i="7"/>
  <c r="O1181" i="7"/>
  <c r="P1180" i="7"/>
  <c r="AA1180" i="7" s="1"/>
  <c r="O1179" i="7"/>
  <c r="AA1179" i="7" s="1"/>
  <c r="Z1178" i="7"/>
  <c r="Y1178" i="7"/>
  <c r="X1178" i="7"/>
  <c r="W1178" i="7"/>
  <c r="V1178" i="7"/>
  <c r="U1178" i="7"/>
  <c r="T1178" i="7"/>
  <c r="S1178" i="7"/>
  <c r="R1178" i="7"/>
  <c r="Q1178" i="7"/>
  <c r="P1178" i="7"/>
  <c r="O1178" i="7"/>
  <c r="O1177" i="7"/>
  <c r="AA1177" i="7" s="1"/>
  <c r="Z1176" i="7"/>
  <c r="U1176" i="7"/>
  <c r="AA1176" i="7" s="1"/>
  <c r="Z1175" i="7"/>
  <c r="Y1175" i="7"/>
  <c r="X1175" i="7"/>
  <c r="W1175" i="7"/>
  <c r="V1175" i="7"/>
  <c r="U1175" i="7"/>
  <c r="T1175" i="7"/>
  <c r="S1175" i="7"/>
  <c r="R1175" i="7"/>
  <c r="Q1175" i="7"/>
  <c r="P1175" i="7"/>
  <c r="O1175" i="7"/>
  <c r="Z1174" i="7"/>
  <c r="Y1174" i="7"/>
  <c r="X1174" i="7"/>
  <c r="W1174" i="7"/>
  <c r="V1174" i="7"/>
  <c r="U1174" i="7"/>
  <c r="T1174" i="7"/>
  <c r="S1174" i="7"/>
  <c r="R1174" i="7"/>
  <c r="Q1174" i="7"/>
  <c r="P1174" i="7"/>
  <c r="O1174" i="7"/>
  <c r="Z1173" i="7"/>
  <c r="Y1173" i="7"/>
  <c r="X1173" i="7"/>
  <c r="W1173" i="7"/>
  <c r="V1173" i="7"/>
  <c r="U1173" i="7"/>
  <c r="T1173" i="7"/>
  <c r="S1173" i="7"/>
  <c r="R1173" i="7"/>
  <c r="Q1173" i="7"/>
  <c r="P1173" i="7"/>
  <c r="O1173" i="7"/>
  <c r="Z1172" i="7"/>
  <c r="Y1172" i="7"/>
  <c r="X1172" i="7"/>
  <c r="W1172" i="7"/>
  <c r="V1172" i="7"/>
  <c r="U1172" i="7"/>
  <c r="T1172" i="7"/>
  <c r="S1172" i="7"/>
  <c r="R1172" i="7"/>
  <c r="Q1172" i="7"/>
  <c r="P1172" i="7"/>
  <c r="O1172" i="7"/>
  <c r="Z1171" i="7"/>
  <c r="Y1171" i="7"/>
  <c r="X1171" i="7"/>
  <c r="W1171" i="7"/>
  <c r="V1171" i="7"/>
  <c r="U1171" i="7"/>
  <c r="T1171" i="7"/>
  <c r="S1171" i="7"/>
  <c r="R1171" i="7"/>
  <c r="Q1171" i="7"/>
  <c r="P1171" i="7"/>
  <c r="O1171" i="7"/>
  <c r="Z1170" i="7"/>
  <c r="Y1170" i="7"/>
  <c r="X1170" i="7"/>
  <c r="W1170" i="7"/>
  <c r="V1170" i="7"/>
  <c r="U1170" i="7"/>
  <c r="T1170" i="7"/>
  <c r="S1170" i="7"/>
  <c r="R1170" i="7"/>
  <c r="Q1170" i="7"/>
  <c r="P1170" i="7"/>
  <c r="O1170" i="7"/>
  <c r="AA1168" i="7"/>
  <c r="Z1163" i="7"/>
  <c r="Y1163" i="7"/>
  <c r="X1163" i="7"/>
  <c r="W1163" i="7"/>
  <c r="V1163" i="7"/>
  <c r="U1163" i="7"/>
  <c r="T1163" i="7"/>
  <c r="S1163" i="7"/>
  <c r="R1163" i="7"/>
  <c r="Q1163" i="7"/>
  <c r="P1163" i="7"/>
  <c r="O1163" i="7"/>
  <c r="Z1162" i="7"/>
  <c r="Y1162" i="7"/>
  <c r="X1162" i="7"/>
  <c r="W1162" i="7"/>
  <c r="V1162" i="7"/>
  <c r="U1162" i="7"/>
  <c r="T1162" i="7"/>
  <c r="S1162" i="7"/>
  <c r="R1162" i="7"/>
  <c r="Q1162" i="7"/>
  <c r="P1162" i="7"/>
  <c r="O1162" i="7"/>
  <c r="Z1161" i="7"/>
  <c r="Y1161" i="7"/>
  <c r="X1161" i="7"/>
  <c r="W1161" i="7"/>
  <c r="V1161" i="7"/>
  <c r="U1161" i="7"/>
  <c r="T1161" i="7"/>
  <c r="S1161" i="7"/>
  <c r="R1161" i="7"/>
  <c r="Q1161" i="7"/>
  <c r="P1161" i="7"/>
  <c r="O1161" i="7"/>
  <c r="Z1160" i="7"/>
  <c r="Y1160" i="7"/>
  <c r="X1160" i="7"/>
  <c r="W1160" i="7"/>
  <c r="V1160" i="7"/>
  <c r="U1160" i="7"/>
  <c r="T1160" i="7"/>
  <c r="S1160" i="7"/>
  <c r="R1160" i="7"/>
  <c r="Q1160" i="7"/>
  <c r="P1160" i="7"/>
  <c r="O1160" i="7"/>
  <c r="Z1159" i="7"/>
  <c r="Y1159" i="7"/>
  <c r="X1159" i="7"/>
  <c r="W1159" i="7"/>
  <c r="V1159" i="7"/>
  <c r="U1159" i="7"/>
  <c r="T1159" i="7"/>
  <c r="S1159" i="7"/>
  <c r="R1159" i="7"/>
  <c r="V1158" i="7"/>
  <c r="R1158" i="7"/>
  <c r="U1157" i="7"/>
  <c r="P1157" i="7"/>
  <c r="Q1156" i="7"/>
  <c r="AA1156" i="7" s="1"/>
  <c r="T1155" i="7"/>
  <c r="O1155" i="7"/>
  <c r="Z1154" i="7"/>
  <c r="Y1154" i="7"/>
  <c r="X1154" i="7"/>
  <c r="W1154" i="7"/>
  <c r="V1154" i="7"/>
  <c r="U1154" i="7"/>
  <c r="T1154" i="7"/>
  <c r="S1154" i="7"/>
  <c r="R1154" i="7"/>
  <c r="Q1154" i="7"/>
  <c r="P1154" i="7"/>
  <c r="O1154" i="7"/>
  <c r="Z1153" i="7"/>
  <c r="Y1153" i="7"/>
  <c r="X1153" i="7"/>
  <c r="W1153" i="7"/>
  <c r="V1153" i="7"/>
  <c r="U1153" i="7"/>
  <c r="T1153" i="7"/>
  <c r="S1153" i="7"/>
  <c r="R1153" i="7"/>
  <c r="Q1153" i="7"/>
  <c r="P1153" i="7"/>
  <c r="O1153" i="7"/>
  <c r="O1152" i="7"/>
  <c r="AA1152" i="7" s="1"/>
  <c r="Z1151" i="7"/>
  <c r="U1151" i="7"/>
  <c r="Z1150" i="7"/>
  <c r="Y1150" i="7"/>
  <c r="X1150" i="7"/>
  <c r="W1150" i="7"/>
  <c r="V1150" i="7"/>
  <c r="U1150" i="7"/>
  <c r="T1150" i="7"/>
  <c r="S1150" i="7"/>
  <c r="R1150" i="7"/>
  <c r="Q1150" i="7"/>
  <c r="P1150" i="7"/>
  <c r="O1150" i="7"/>
  <c r="Z1149" i="7"/>
  <c r="Y1149" i="7"/>
  <c r="X1149" i="7"/>
  <c r="W1149" i="7"/>
  <c r="V1149" i="7"/>
  <c r="U1149" i="7"/>
  <c r="T1149" i="7"/>
  <c r="S1149" i="7"/>
  <c r="R1149" i="7"/>
  <c r="Q1149" i="7"/>
  <c r="P1149" i="7"/>
  <c r="O1149" i="7"/>
  <c r="Z1148" i="7"/>
  <c r="Y1148" i="7"/>
  <c r="X1148" i="7"/>
  <c r="W1148" i="7"/>
  <c r="V1148" i="7"/>
  <c r="U1148" i="7"/>
  <c r="T1148" i="7"/>
  <c r="S1148" i="7"/>
  <c r="R1148" i="7"/>
  <c r="Q1148" i="7"/>
  <c r="P1148" i="7"/>
  <c r="O1148" i="7"/>
  <c r="Z1147" i="7"/>
  <c r="Y1147" i="7"/>
  <c r="X1147" i="7"/>
  <c r="W1147" i="7"/>
  <c r="V1147" i="7"/>
  <c r="U1147" i="7"/>
  <c r="T1147" i="7"/>
  <c r="S1147" i="7"/>
  <c r="R1147" i="7"/>
  <c r="Q1147" i="7"/>
  <c r="P1147" i="7"/>
  <c r="O1147" i="7"/>
  <c r="Z1146" i="7"/>
  <c r="Y1146" i="7"/>
  <c r="X1146" i="7"/>
  <c r="W1146" i="7"/>
  <c r="V1146" i="7"/>
  <c r="U1146" i="7"/>
  <c r="T1146" i="7"/>
  <c r="S1146" i="7"/>
  <c r="R1146" i="7"/>
  <c r="Q1146" i="7"/>
  <c r="P1146" i="7"/>
  <c r="O1146" i="7"/>
  <c r="AA1144" i="7"/>
  <c r="Z1139" i="7"/>
  <c r="Y1139" i="7"/>
  <c r="X1139" i="7"/>
  <c r="W1139" i="7"/>
  <c r="V1139" i="7"/>
  <c r="U1139" i="7"/>
  <c r="T1139" i="7"/>
  <c r="S1139" i="7"/>
  <c r="R1139" i="7"/>
  <c r="Q1139" i="7"/>
  <c r="P1139" i="7"/>
  <c r="O1139" i="7"/>
  <c r="Z1138" i="7"/>
  <c r="Y1138" i="7"/>
  <c r="X1138" i="7"/>
  <c r="W1138" i="7"/>
  <c r="V1138" i="7"/>
  <c r="U1138" i="7"/>
  <c r="T1138" i="7"/>
  <c r="S1138" i="7"/>
  <c r="R1138" i="7"/>
  <c r="Q1138" i="7"/>
  <c r="P1138" i="7"/>
  <c r="O1138" i="7"/>
  <c r="Z1137" i="7"/>
  <c r="X1137" i="7"/>
  <c r="V1137" i="7"/>
  <c r="T1137" i="7"/>
  <c r="R1137" i="7"/>
  <c r="Y1136" i="7"/>
  <c r="V1136" i="7"/>
  <c r="S1136" i="7"/>
  <c r="R1136" i="7"/>
  <c r="Z1135" i="7"/>
  <c r="Y1135" i="7"/>
  <c r="X1135" i="7"/>
  <c r="W1135" i="7"/>
  <c r="V1135" i="7"/>
  <c r="U1135" i="7"/>
  <c r="T1135" i="7"/>
  <c r="S1135" i="7"/>
  <c r="R1135" i="7"/>
  <c r="V1134" i="7"/>
  <c r="R1134" i="7"/>
  <c r="P1133" i="7"/>
  <c r="AA1133" i="7" s="1"/>
  <c r="Q1132" i="7"/>
  <c r="AA1132" i="7" s="1"/>
  <c r="O1131" i="7"/>
  <c r="AA1131" i="7" s="1"/>
  <c r="Z1130" i="7"/>
  <c r="Y1130" i="7"/>
  <c r="X1130" i="7"/>
  <c r="W1130" i="7"/>
  <c r="V1130" i="7"/>
  <c r="U1130" i="7"/>
  <c r="T1130" i="7"/>
  <c r="S1130" i="7"/>
  <c r="R1130" i="7"/>
  <c r="Q1130" i="7"/>
  <c r="P1130" i="7"/>
  <c r="O1130" i="7"/>
  <c r="Z1129" i="7"/>
  <c r="Y1129" i="7"/>
  <c r="X1129" i="7"/>
  <c r="W1129" i="7"/>
  <c r="V1129" i="7"/>
  <c r="U1129" i="7"/>
  <c r="T1129" i="7"/>
  <c r="S1129" i="7"/>
  <c r="R1129" i="7"/>
  <c r="Q1129" i="7"/>
  <c r="P1129" i="7"/>
  <c r="O1129" i="7"/>
  <c r="O1128" i="7"/>
  <c r="AA1128" i="7" s="1"/>
  <c r="Z1127" i="7"/>
  <c r="U1127" i="7"/>
  <c r="Z1126" i="7"/>
  <c r="Y1126" i="7"/>
  <c r="X1126" i="7"/>
  <c r="W1126" i="7"/>
  <c r="V1126" i="7"/>
  <c r="U1126" i="7"/>
  <c r="T1126" i="7"/>
  <c r="S1126" i="7"/>
  <c r="R1126" i="7"/>
  <c r="Q1126" i="7"/>
  <c r="P1126" i="7"/>
  <c r="O1126" i="7"/>
  <c r="Z1125" i="7"/>
  <c r="Y1125" i="7"/>
  <c r="X1125" i="7"/>
  <c r="W1125" i="7"/>
  <c r="V1125" i="7"/>
  <c r="U1125" i="7"/>
  <c r="T1125" i="7"/>
  <c r="S1125" i="7"/>
  <c r="R1125" i="7"/>
  <c r="Q1125" i="7"/>
  <c r="P1125" i="7"/>
  <c r="O1125" i="7"/>
  <c r="Z1124" i="7"/>
  <c r="Y1124" i="7"/>
  <c r="X1124" i="7"/>
  <c r="W1124" i="7"/>
  <c r="V1124" i="7"/>
  <c r="U1124" i="7"/>
  <c r="T1124" i="7"/>
  <c r="S1124" i="7"/>
  <c r="R1124" i="7"/>
  <c r="Q1124" i="7"/>
  <c r="P1124" i="7"/>
  <c r="O1124" i="7"/>
  <c r="Z1123" i="7"/>
  <c r="Y1123" i="7"/>
  <c r="X1123" i="7"/>
  <c r="W1123" i="7"/>
  <c r="V1123" i="7"/>
  <c r="U1123" i="7"/>
  <c r="T1123" i="7"/>
  <c r="S1123" i="7"/>
  <c r="R1123" i="7"/>
  <c r="Q1123" i="7"/>
  <c r="P1123" i="7"/>
  <c r="O1123" i="7"/>
  <c r="Z1122" i="7"/>
  <c r="Y1122" i="7"/>
  <c r="X1122" i="7"/>
  <c r="W1122" i="7"/>
  <c r="V1122" i="7"/>
  <c r="U1122" i="7"/>
  <c r="T1122" i="7"/>
  <c r="S1122" i="7"/>
  <c r="R1122" i="7"/>
  <c r="Q1122" i="7"/>
  <c r="P1122" i="7"/>
  <c r="O1122" i="7"/>
  <c r="Z1121" i="7"/>
  <c r="Y1121" i="7"/>
  <c r="X1121" i="7"/>
  <c r="W1121" i="7"/>
  <c r="V1121" i="7"/>
  <c r="U1121" i="7"/>
  <c r="T1121" i="7"/>
  <c r="S1121" i="7"/>
  <c r="R1121" i="7"/>
  <c r="Q1121" i="7"/>
  <c r="P1121" i="7"/>
  <c r="O1121" i="7"/>
  <c r="AA1119" i="7"/>
  <c r="Z1114" i="7"/>
  <c r="Y1114" i="7"/>
  <c r="X1114" i="7"/>
  <c r="W1114" i="7"/>
  <c r="V1114" i="7"/>
  <c r="U1114" i="7"/>
  <c r="T1114" i="7"/>
  <c r="S1114" i="7"/>
  <c r="R1114" i="7"/>
  <c r="Q1114" i="7"/>
  <c r="P1114" i="7"/>
  <c r="O1114" i="7"/>
  <c r="Z1113" i="7"/>
  <c r="Y1113" i="7"/>
  <c r="X1113" i="7"/>
  <c r="W1113" i="7"/>
  <c r="V1113" i="7"/>
  <c r="U1113" i="7"/>
  <c r="T1113" i="7"/>
  <c r="S1113" i="7"/>
  <c r="R1113" i="7"/>
  <c r="Q1113" i="7"/>
  <c r="P1113" i="7"/>
  <c r="O1113" i="7"/>
  <c r="Z1112" i="7"/>
  <c r="X1112" i="7"/>
  <c r="V1112" i="7"/>
  <c r="T1112" i="7"/>
  <c r="R1112" i="7"/>
  <c r="Z1111" i="7"/>
  <c r="Y1111" i="7"/>
  <c r="X1111" i="7"/>
  <c r="W1111" i="7"/>
  <c r="V1111" i="7"/>
  <c r="U1111" i="7"/>
  <c r="T1111" i="7"/>
  <c r="S1111" i="7"/>
  <c r="R1111" i="7"/>
  <c r="Q1111" i="7"/>
  <c r="P1111" i="7"/>
  <c r="O1111" i="7"/>
  <c r="W1110" i="7"/>
  <c r="T1110" i="7"/>
  <c r="S1110" i="7"/>
  <c r="Q1110" i="7"/>
  <c r="W1109" i="7"/>
  <c r="T1109" i="7"/>
  <c r="S1109" i="7"/>
  <c r="Q1109" i="7"/>
  <c r="R1108" i="7"/>
  <c r="AA1108" i="7" s="1"/>
  <c r="X1107" i="7"/>
  <c r="U1107" i="7"/>
  <c r="R1107" i="7"/>
  <c r="V1106" i="7"/>
  <c r="R1106" i="7"/>
  <c r="Z1105" i="7"/>
  <c r="Y1105" i="7"/>
  <c r="X1105" i="7"/>
  <c r="W1105" i="7"/>
  <c r="V1105" i="7"/>
  <c r="U1105" i="7"/>
  <c r="T1105" i="7"/>
  <c r="S1105" i="7"/>
  <c r="R1105" i="7"/>
  <c r="Q1105" i="7"/>
  <c r="P1105" i="7"/>
  <c r="O1105" i="7"/>
  <c r="Q1104" i="7"/>
  <c r="AA1104" i="7" s="1"/>
  <c r="S1103" i="7"/>
  <c r="AA1103" i="7" s="1"/>
  <c r="Z1102" i="7"/>
  <c r="Y1102" i="7"/>
  <c r="X1102" i="7"/>
  <c r="W1102" i="7"/>
  <c r="V1102" i="7"/>
  <c r="U1102" i="7"/>
  <c r="T1102" i="7"/>
  <c r="S1102" i="7"/>
  <c r="R1102" i="7"/>
  <c r="Q1102" i="7"/>
  <c r="P1102" i="7"/>
  <c r="O1102" i="7"/>
  <c r="Z1101" i="7"/>
  <c r="Y1101" i="7"/>
  <c r="X1101" i="7"/>
  <c r="W1101" i="7"/>
  <c r="V1101" i="7"/>
  <c r="U1101" i="7"/>
  <c r="T1101" i="7"/>
  <c r="S1101" i="7"/>
  <c r="R1101" i="7"/>
  <c r="Q1101" i="7"/>
  <c r="P1101" i="7"/>
  <c r="O1101" i="7"/>
  <c r="O1100" i="7"/>
  <c r="AA1100" i="7" s="1"/>
  <c r="Z1099" i="7"/>
  <c r="U1099" i="7"/>
  <c r="Z1098" i="7"/>
  <c r="Y1098" i="7"/>
  <c r="X1098" i="7"/>
  <c r="W1098" i="7"/>
  <c r="V1098" i="7"/>
  <c r="U1098" i="7"/>
  <c r="T1098" i="7"/>
  <c r="S1098" i="7"/>
  <c r="R1098" i="7"/>
  <c r="Q1098" i="7"/>
  <c r="P1098" i="7"/>
  <c r="O1098" i="7"/>
  <c r="Z1097" i="7"/>
  <c r="Y1097" i="7"/>
  <c r="X1097" i="7"/>
  <c r="W1097" i="7"/>
  <c r="V1097" i="7"/>
  <c r="U1097" i="7"/>
  <c r="T1097" i="7"/>
  <c r="S1097" i="7"/>
  <c r="R1097" i="7"/>
  <c r="Q1097" i="7"/>
  <c r="P1097" i="7"/>
  <c r="O1097" i="7"/>
  <c r="Z1096" i="7"/>
  <c r="Y1096" i="7"/>
  <c r="X1096" i="7"/>
  <c r="W1096" i="7"/>
  <c r="V1096" i="7"/>
  <c r="U1096" i="7"/>
  <c r="T1096" i="7"/>
  <c r="S1096" i="7"/>
  <c r="R1096" i="7"/>
  <c r="Q1096" i="7"/>
  <c r="P1096" i="7"/>
  <c r="O1096" i="7"/>
  <c r="Z1095" i="7"/>
  <c r="Y1095" i="7"/>
  <c r="X1095" i="7"/>
  <c r="W1095" i="7"/>
  <c r="V1095" i="7"/>
  <c r="U1095" i="7"/>
  <c r="T1095" i="7"/>
  <c r="S1095" i="7"/>
  <c r="R1095" i="7"/>
  <c r="Q1095" i="7"/>
  <c r="P1095" i="7"/>
  <c r="O1095" i="7"/>
  <c r="Z1094" i="7"/>
  <c r="Y1094" i="7"/>
  <c r="X1094" i="7"/>
  <c r="W1094" i="7"/>
  <c r="V1094" i="7"/>
  <c r="U1094" i="7"/>
  <c r="T1094" i="7"/>
  <c r="S1094" i="7"/>
  <c r="R1094" i="7"/>
  <c r="Q1094" i="7"/>
  <c r="P1094" i="7"/>
  <c r="O1094" i="7"/>
  <c r="Z1093" i="7"/>
  <c r="Y1093" i="7"/>
  <c r="X1093" i="7"/>
  <c r="W1093" i="7"/>
  <c r="V1093" i="7"/>
  <c r="U1093" i="7"/>
  <c r="T1093" i="7"/>
  <c r="S1093" i="7"/>
  <c r="R1093" i="7"/>
  <c r="Q1093" i="7"/>
  <c r="P1093" i="7"/>
  <c r="O1093" i="7"/>
  <c r="Z1092" i="7"/>
  <c r="Y1092" i="7"/>
  <c r="X1092" i="7"/>
  <c r="W1092" i="7"/>
  <c r="V1092" i="7"/>
  <c r="U1092" i="7"/>
  <c r="T1092" i="7"/>
  <c r="S1092" i="7"/>
  <c r="R1092" i="7"/>
  <c r="Q1092" i="7"/>
  <c r="P1092" i="7"/>
  <c r="O1092" i="7"/>
  <c r="Z1091" i="7"/>
  <c r="Y1091" i="7"/>
  <c r="X1091" i="7"/>
  <c r="W1091" i="7"/>
  <c r="V1091" i="7"/>
  <c r="U1091" i="7"/>
  <c r="T1091" i="7"/>
  <c r="S1091" i="7"/>
  <c r="R1091" i="7"/>
  <c r="Q1091" i="7"/>
  <c r="P1091" i="7"/>
  <c r="O1091" i="7"/>
  <c r="Z1090" i="7"/>
  <c r="Y1090" i="7"/>
  <c r="X1090" i="7"/>
  <c r="W1090" i="7"/>
  <c r="V1090" i="7"/>
  <c r="U1090" i="7"/>
  <c r="T1090" i="7"/>
  <c r="S1090" i="7"/>
  <c r="R1090" i="7"/>
  <c r="Q1090" i="7"/>
  <c r="P1090" i="7"/>
  <c r="O1090" i="7"/>
  <c r="AA1088" i="7"/>
  <c r="Z1083" i="7"/>
  <c r="Y1083" i="7"/>
  <c r="X1083" i="7"/>
  <c r="W1083" i="7"/>
  <c r="V1083" i="7"/>
  <c r="U1083" i="7"/>
  <c r="T1083" i="7"/>
  <c r="S1083" i="7"/>
  <c r="R1083" i="7"/>
  <c r="Q1083" i="7"/>
  <c r="P1083" i="7"/>
  <c r="O1083" i="7"/>
  <c r="Z1082" i="7"/>
  <c r="Y1082" i="7"/>
  <c r="X1082" i="7"/>
  <c r="W1082" i="7"/>
  <c r="V1082" i="7"/>
  <c r="U1082" i="7"/>
  <c r="T1082" i="7"/>
  <c r="S1082" i="7"/>
  <c r="R1082" i="7"/>
  <c r="Q1082" i="7"/>
  <c r="P1082" i="7"/>
  <c r="O1082" i="7"/>
  <c r="Z1081" i="7"/>
  <c r="Y1081" i="7"/>
  <c r="X1081" i="7"/>
  <c r="W1081" i="7"/>
  <c r="V1081" i="7"/>
  <c r="U1081" i="7"/>
  <c r="T1081" i="7"/>
  <c r="S1081" i="7"/>
  <c r="R1081" i="7"/>
  <c r="V1080" i="7"/>
  <c r="R1080" i="7"/>
  <c r="Q1079" i="7"/>
  <c r="AA1079" i="7" s="1"/>
  <c r="Q1078" i="7"/>
  <c r="AA1078" i="7" s="1"/>
  <c r="Z1077" i="7"/>
  <c r="Y1077" i="7"/>
  <c r="X1077" i="7"/>
  <c r="W1077" i="7"/>
  <c r="V1077" i="7"/>
  <c r="U1077" i="7"/>
  <c r="T1077" i="7"/>
  <c r="S1077" i="7"/>
  <c r="R1077" i="7"/>
  <c r="Q1077" i="7"/>
  <c r="P1077" i="7"/>
  <c r="O1077" i="7"/>
  <c r="O1076" i="7"/>
  <c r="AA1076" i="7" s="1"/>
  <c r="Z1075" i="7"/>
  <c r="U1075" i="7"/>
  <c r="Z1074" i="7"/>
  <c r="Y1074" i="7"/>
  <c r="X1074" i="7"/>
  <c r="W1074" i="7"/>
  <c r="V1074" i="7"/>
  <c r="U1074" i="7"/>
  <c r="T1074" i="7"/>
  <c r="S1074" i="7"/>
  <c r="R1074" i="7"/>
  <c r="Q1074" i="7"/>
  <c r="P1074" i="7"/>
  <c r="O1074" i="7"/>
  <c r="Z1073" i="7"/>
  <c r="Y1073" i="7"/>
  <c r="X1073" i="7"/>
  <c r="W1073" i="7"/>
  <c r="V1073" i="7"/>
  <c r="U1073" i="7"/>
  <c r="T1073" i="7"/>
  <c r="S1073" i="7"/>
  <c r="R1073" i="7"/>
  <c r="Q1073" i="7"/>
  <c r="P1073" i="7"/>
  <c r="O1073" i="7"/>
  <c r="Z1072" i="7"/>
  <c r="Y1072" i="7"/>
  <c r="X1072" i="7"/>
  <c r="W1072" i="7"/>
  <c r="V1072" i="7"/>
  <c r="U1072" i="7"/>
  <c r="T1072" i="7"/>
  <c r="S1072" i="7"/>
  <c r="R1072" i="7"/>
  <c r="Q1072" i="7"/>
  <c r="P1072" i="7"/>
  <c r="O1072" i="7"/>
  <c r="Z1071" i="7"/>
  <c r="Y1071" i="7"/>
  <c r="X1071" i="7"/>
  <c r="W1071" i="7"/>
  <c r="V1071" i="7"/>
  <c r="U1071" i="7"/>
  <c r="T1071" i="7"/>
  <c r="S1071" i="7"/>
  <c r="R1071" i="7"/>
  <c r="Q1071" i="7"/>
  <c r="P1071" i="7"/>
  <c r="O1071" i="7"/>
  <c r="Z1070" i="7"/>
  <c r="Y1070" i="7"/>
  <c r="X1070" i="7"/>
  <c r="W1070" i="7"/>
  <c r="V1070" i="7"/>
  <c r="U1070" i="7"/>
  <c r="T1070" i="7"/>
  <c r="S1070" i="7"/>
  <c r="R1070" i="7"/>
  <c r="Q1070" i="7"/>
  <c r="P1070" i="7"/>
  <c r="O1070" i="7"/>
  <c r="AA1068" i="7"/>
  <c r="K1063" i="7"/>
  <c r="Z1062" i="7"/>
  <c r="Y1062" i="7"/>
  <c r="X1062" i="7"/>
  <c r="W1062" i="7"/>
  <c r="V1062" i="7"/>
  <c r="U1062" i="7"/>
  <c r="T1062" i="7"/>
  <c r="S1062" i="7"/>
  <c r="R1062" i="7"/>
  <c r="Q1062" i="7"/>
  <c r="P1062" i="7"/>
  <c r="O1062" i="7"/>
  <c r="Z1061" i="7"/>
  <c r="Y1061" i="7"/>
  <c r="X1061" i="7"/>
  <c r="W1061" i="7"/>
  <c r="V1061" i="7"/>
  <c r="U1061" i="7"/>
  <c r="T1061" i="7"/>
  <c r="S1061" i="7"/>
  <c r="R1061" i="7"/>
  <c r="Q1061" i="7"/>
  <c r="P1061" i="7"/>
  <c r="O1061" i="7"/>
  <c r="Z1060" i="7"/>
  <c r="Y1060" i="7"/>
  <c r="X1060" i="7"/>
  <c r="W1060" i="7"/>
  <c r="V1060" i="7"/>
  <c r="U1060" i="7"/>
  <c r="T1060" i="7"/>
  <c r="S1060" i="7"/>
  <c r="R1060" i="7"/>
  <c r="Q1060" i="7"/>
  <c r="Z1059" i="7"/>
  <c r="Y1059" i="7"/>
  <c r="X1059" i="7"/>
  <c r="W1059" i="7"/>
  <c r="V1059" i="7"/>
  <c r="U1059" i="7"/>
  <c r="T1059" i="7"/>
  <c r="S1059" i="7"/>
  <c r="R1059" i="7"/>
  <c r="V1058" i="7"/>
  <c r="R1058" i="7"/>
  <c r="W1057" i="7"/>
  <c r="S1057" i="7"/>
  <c r="P1057" i="7"/>
  <c r="Z1056" i="7"/>
  <c r="Y1056" i="7"/>
  <c r="X1056" i="7"/>
  <c r="W1056" i="7"/>
  <c r="V1056" i="7"/>
  <c r="U1056" i="7"/>
  <c r="T1056" i="7"/>
  <c r="S1056" i="7"/>
  <c r="R1056" i="7"/>
  <c r="Q1056" i="7"/>
  <c r="P1056" i="7"/>
  <c r="O1055" i="7"/>
  <c r="AA1055" i="7" s="1"/>
  <c r="Z1054" i="7"/>
  <c r="Y1054" i="7"/>
  <c r="X1054" i="7"/>
  <c r="W1054" i="7"/>
  <c r="V1054" i="7"/>
  <c r="U1054" i="7"/>
  <c r="T1054" i="7"/>
  <c r="S1054" i="7"/>
  <c r="R1054" i="7"/>
  <c r="Q1054" i="7"/>
  <c r="P1054" i="7"/>
  <c r="O1054" i="7"/>
  <c r="Z1053" i="7"/>
  <c r="Y1053" i="7"/>
  <c r="X1053" i="7"/>
  <c r="W1053" i="7"/>
  <c r="V1053" i="7"/>
  <c r="U1053" i="7"/>
  <c r="T1053" i="7"/>
  <c r="S1053" i="7"/>
  <c r="R1053" i="7"/>
  <c r="Q1053" i="7"/>
  <c r="P1053" i="7"/>
  <c r="O1053" i="7"/>
  <c r="O1052" i="7"/>
  <c r="AA1052" i="7" s="1"/>
  <c r="Z1051" i="7"/>
  <c r="U1051" i="7"/>
  <c r="Z1050" i="7"/>
  <c r="Y1050" i="7"/>
  <c r="X1050" i="7"/>
  <c r="W1050" i="7"/>
  <c r="V1050" i="7"/>
  <c r="U1050" i="7"/>
  <c r="T1050" i="7"/>
  <c r="S1050" i="7"/>
  <c r="R1050" i="7"/>
  <c r="Q1050" i="7"/>
  <c r="P1050" i="7"/>
  <c r="O1050" i="7"/>
  <c r="Z1049" i="7"/>
  <c r="Y1049" i="7"/>
  <c r="X1049" i="7"/>
  <c r="W1049" i="7"/>
  <c r="V1049" i="7"/>
  <c r="U1049" i="7"/>
  <c r="T1049" i="7"/>
  <c r="S1049" i="7"/>
  <c r="R1049" i="7"/>
  <c r="Q1049" i="7"/>
  <c r="P1049" i="7"/>
  <c r="O1049" i="7"/>
  <c r="Z1048" i="7"/>
  <c r="Y1048" i="7"/>
  <c r="X1048" i="7"/>
  <c r="W1048" i="7"/>
  <c r="V1048" i="7"/>
  <c r="U1048" i="7"/>
  <c r="T1048" i="7"/>
  <c r="S1048" i="7"/>
  <c r="R1048" i="7"/>
  <c r="Q1048" i="7"/>
  <c r="P1048" i="7"/>
  <c r="O1048" i="7"/>
  <c r="Z1047" i="7"/>
  <c r="Y1047" i="7"/>
  <c r="X1047" i="7"/>
  <c r="W1047" i="7"/>
  <c r="V1047" i="7"/>
  <c r="U1047" i="7"/>
  <c r="T1047" i="7"/>
  <c r="S1047" i="7"/>
  <c r="R1047" i="7"/>
  <c r="Q1047" i="7"/>
  <c r="P1047" i="7"/>
  <c r="O1047" i="7"/>
  <c r="Z1046" i="7"/>
  <c r="Y1046" i="7"/>
  <c r="X1046" i="7"/>
  <c r="W1046" i="7"/>
  <c r="V1046" i="7"/>
  <c r="U1046" i="7"/>
  <c r="T1046" i="7"/>
  <c r="S1046" i="7"/>
  <c r="R1046" i="7"/>
  <c r="Q1046" i="7"/>
  <c r="P1046" i="7"/>
  <c r="O1046" i="7"/>
  <c r="Z1045" i="7"/>
  <c r="Y1045" i="7"/>
  <c r="X1045" i="7"/>
  <c r="W1045" i="7"/>
  <c r="V1045" i="7"/>
  <c r="U1045" i="7"/>
  <c r="T1045" i="7"/>
  <c r="S1045" i="7"/>
  <c r="R1045" i="7"/>
  <c r="Q1045" i="7"/>
  <c r="P1045" i="7"/>
  <c r="O1045" i="7"/>
  <c r="Z1044" i="7"/>
  <c r="Y1044" i="7"/>
  <c r="X1044" i="7"/>
  <c r="W1044" i="7"/>
  <c r="V1044" i="7"/>
  <c r="U1044" i="7"/>
  <c r="T1044" i="7"/>
  <c r="S1044" i="7"/>
  <c r="R1044" i="7"/>
  <c r="Q1044" i="7"/>
  <c r="P1044" i="7"/>
  <c r="O1044" i="7"/>
  <c r="AA1042" i="7"/>
  <c r="Z1037" i="7"/>
  <c r="Y1037" i="7"/>
  <c r="X1037" i="7"/>
  <c r="W1037" i="7"/>
  <c r="V1037" i="7"/>
  <c r="U1037" i="7"/>
  <c r="T1037" i="7"/>
  <c r="S1037" i="7"/>
  <c r="R1037" i="7"/>
  <c r="Q1037" i="7"/>
  <c r="P1037" i="7"/>
  <c r="O1037" i="7"/>
  <c r="Z1036" i="7"/>
  <c r="Y1036" i="7"/>
  <c r="X1036" i="7"/>
  <c r="W1036" i="7"/>
  <c r="V1036" i="7"/>
  <c r="U1036" i="7"/>
  <c r="T1036" i="7"/>
  <c r="S1036" i="7"/>
  <c r="R1036" i="7"/>
  <c r="Q1036" i="7"/>
  <c r="P1036" i="7"/>
  <c r="O1036" i="7"/>
  <c r="V1035" i="7"/>
  <c r="R1035" i="7"/>
  <c r="Z1034" i="7"/>
  <c r="Y1034" i="7"/>
  <c r="X1034" i="7"/>
  <c r="W1034" i="7"/>
  <c r="V1034" i="7"/>
  <c r="U1034" i="7"/>
  <c r="T1034" i="7"/>
  <c r="S1034" i="7"/>
  <c r="R1034" i="7"/>
  <c r="Q1034" i="7"/>
  <c r="Z1033" i="7"/>
  <c r="Y1033" i="7"/>
  <c r="X1033" i="7"/>
  <c r="W1033" i="7"/>
  <c r="V1033" i="7"/>
  <c r="U1033" i="7"/>
  <c r="T1033" i="7"/>
  <c r="S1033" i="7"/>
  <c r="R1033" i="7"/>
  <c r="V1032" i="7"/>
  <c r="R1032" i="7"/>
  <c r="U1031" i="7"/>
  <c r="P1031" i="7"/>
  <c r="Z1030" i="7"/>
  <c r="Y1030" i="7"/>
  <c r="X1030" i="7"/>
  <c r="W1030" i="7"/>
  <c r="V1030" i="7"/>
  <c r="U1030" i="7"/>
  <c r="T1030" i="7"/>
  <c r="S1030" i="7"/>
  <c r="R1030" i="7"/>
  <c r="Q1030" i="7"/>
  <c r="P1030" i="7"/>
  <c r="O1030" i="7"/>
  <c r="Z1029" i="7"/>
  <c r="Y1029" i="7"/>
  <c r="X1029" i="7"/>
  <c r="W1029" i="7"/>
  <c r="V1029" i="7"/>
  <c r="U1029" i="7"/>
  <c r="T1029" i="7"/>
  <c r="S1029" i="7"/>
  <c r="R1029" i="7"/>
  <c r="Q1029" i="7"/>
  <c r="P1029" i="7"/>
  <c r="O1029" i="7"/>
  <c r="Z1028" i="7"/>
  <c r="Y1028" i="7"/>
  <c r="X1028" i="7"/>
  <c r="W1028" i="7"/>
  <c r="V1028" i="7"/>
  <c r="U1028" i="7"/>
  <c r="T1028" i="7"/>
  <c r="S1028" i="7"/>
  <c r="R1028" i="7"/>
  <c r="Q1028" i="7"/>
  <c r="P1028" i="7"/>
  <c r="O1028" i="7"/>
  <c r="O1027" i="7"/>
  <c r="AA1027" i="7" s="1"/>
  <c r="Z1026" i="7"/>
  <c r="U1026" i="7"/>
  <c r="Z1025" i="7"/>
  <c r="Y1025" i="7"/>
  <c r="X1025" i="7"/>
  <c r="W1025" i="7"/>
  <c r="V1025" i="7"/>
  <c r="U1025" i="7"/>
  <c r="T1025" i="7"/>
  <c r="S1025" i="7"/>
  <c r="R1025" i="7"/>
  <c r="Q1025" i="7"/>
  <c r="P1025" i="7"/>
  <c r="O1025" i="7"/>
  <c r="Z1024" i="7"/>
  <c r="Y1024" i="7"/>
  <c r="X1024" i="7"/>
  <c r="W1024" i="7"/>
  <c r="V1024" i="7"/>
  <c r="U1024" i="7"/>
  <c r="T1024" i="7"/>
  <c r="S1024" i="7"/>
  <c r="R1024" i="7"/>
  <c r="Q1024" i="7"/>
  <c r="P1024" i="7"/>
  <c r="O1024" i="7"/>
  <c r="Z1023" i="7"/>
  <c r="Y1023" i="7"/>
  <c r="X1023" i="7"/>
  <c r="W1023" i="7"/>
  <c r="V1023" i="7"/>
  <c r="U1023" i="7"/>
  <c r="T1023" i="7"/>
  <c r="S1023" i="7"/>
  <c r="R1023" i="7"/>
  <c r="Q1023" i="7"/>
  <c r="P1023" i="7"/>
  <c r="O1023" i="7"/>
  <c r="Z1022" i="7"/>
  <c r="Y1022" i="7"/>
  <c r="X1022" i="7"/>
  <c r="W1022" i="7"/>
  <c r="V1022" i="7"/>
  <c r="U1022" i="7"/>
  <c r="T1022" i="7"/>
  <c r="S1022" i="7"/>
  <c r="R1022" i="7"/>
  <c r="Q1022" i="7"/>
  <c r="P1022" i="7"/>
  <c r="O1022" i="7"/>
  <c r="Z1021" i="7"/>
  <c r="Y1021" i="7"/>
  <c r="X1021" i="7"/>
  <c r="W1021" i="7"/>
  <c r="V1021" i="7"/>
  <c r="U1021" i="7"/>
  <c r="T1021" i="7"/>
  <c r="S1021" i="7"/>
  <c r="R1021" i="7"/>
  <c r="Q1021" i="7"/>
  <c r="P1021" i="7"/>
  <c r="O1021" i="7"/>
  <c r="AA1019" i="7"/>
  <c r="Z1014" i="7"/>
  <c r="Y1014" i="7"/>
  <c r="X1014" i="7"/>
  <c r="W1014" i="7"/>
  <c r="V1014" i="7"/>
  <c r="U1014" i="7"/>
  <c r="T1014" i="7"/>
  <c r="S1014" i="7"/>
  <c r="R1014" i="7"/>
  <c r="Q1014" i="7"/>
  <c r="P1014" i="7"/>
  <c r="O1014" i="7"/>
  <c r="Z1013" i="7"/>
  <c r="Y1013" i="7"/>
  <c r="X1013" i="7"/>
  <c r="W1013" i="7"/>
  <c r="V1013" i="7"/>
  <c r="U1013" i="7"/>
  <c r="T1013" i="7"/>
  <c r="S1013" i="7"/>
  <c r="R1013" i="7"/>
  <c r="Q1013" i="7"/>
  <c r="P1013" i="7"/>
  <c r="O1013" i="7"/>
  <c r="Z1012" i="7"/>
  <c r="Y1012" i="7"/>
  <c r="X1012" i="7"/>
  <c r="W1012" i="7"/>
  <c r="V1012" i="7"/>
  <c r="U1012" i="7"/>
  <c r="T1012" i="7"/>
  <c r="S1012" i="7"/>
  <c r="R1012" i="7"/>
  <c r="Q1012" i="7"/>
  <c r="P1012" i="7"/>
  <c r="O1012" i="7"/>
  <c r="Z1011" i="7"/>
  <c r="Y1011" i="7"/>
  <c r="X1011" i="7"/>
  <c r="W1011" i="7"/>
  <c r="V1011" i="7"/>
  <c r="U1011" i="7"/>
  <c r="T1011" i="7"/>
  <c r="S1011" i="7"/>
  <c r="R1011" i="7"/>
  <c r="Q1011" i="7"/>
  <c r="P1011" i="7"/>
  <c r="Z1010" i="7"/>
  <c r="Y1010" i="7"/>
  <c r="X1010" i="7"/>
  <c r="W1010" i="7"/>
  <c r="V1010" i="7"/>
  <c r="U1010" i="7"/>
  <c r="T1010" i="7"/>
  <c r="S1010" i="7"/>
  <c r="R1010" i="7"/>
  <c r="Q1010" i="7"/>
  <c r="P1010" i="7"/>
  <c r="O1010" i="7"/>
  <c r="Z1009" i="7"/>
  <c r="Y1009" i="7"/>
  <c r="X1009" i="7"/>
  <c r="W1009" i="7"/>
  <c r="V1009" i="7"/>
  <c r="U1009" i="7"/>
  <c r="T1009" i="7"/>
  <c r="S1009" i="7"/>
  <c r="R1009" i="7"/>
  <c r="Q1009" i="7"/>
  <c r="P1009" i="7"/>
  <c r="O1009" i="7"/>
  <c r="Z1008" i="7"/>
  <c r="Y1008" i="7"/>
  <c r="X1008" i="7"/>
  <c r="W1008" i="7"/>
  <c r="V1008" i="7"/>
  <c r="U1008" i="7"/>
  <c r="T1008" i="7"/>
  <c r="S1008" i="7"/>
  <c r="R1008" i="7"/>
  <c r="Q1008" i="7"/>
  <c r="P1008" i="7"/>
  <c r="O1008" i="7"/>
  <c r="V1007" i="7"/>
  <c r="Q1007" i="7"/>
  <c r="Z1006" i="7"/>
  <c r="Y1006" i="7"/>
  <c r="X1006" i="7"/>
  <c r="W1006" i="7"/>
  <c r="V1006" i="7"/>
  <c r="U1006" i="7"/>
  <c r="T1006" i="7"/>
  <c r="S1006" i="7"/>
  <c r="R1006" i="7"/>
  <c r="V1005" i="7"/>
  <c r="R1005" i="7"/>
  <c r="P1004" i="7"/>
  <c r="AA1004" i="7" s="1"/>
  <c r="Q1003" i="7"/>
  <c r="AA1003" i="7" s="1"/>
  <c r="Z1002" i="7"/>
  <c r="Y1002" i="7"/>
  <c r="X1002" i="7"/>
  <c r="W1002" i="7"/>
  <c r="V1002" i="7"/>
  <c r="U1002" i="7"/>
  <c r="T1002" i="7"/>
  <c r="S1002" i="7"/>
  <c r="R1002" i="7"/>
  <c r="Q1002" i="7"/>
  <c r="P1002" i="7"/>
  <c r="O1002" i="7"/>
  <c r="Z1001" i="7"/>
  <c r="Y1001" i="7"/>
  <c r="X1001" i="7"/>
  <c r="W1001" i="7"/>
  <c r="V1001" i="7"/>
  <c r="U1001" i="7"/>
  <c r="T1001" i="7"/>
  <c r="S1001" i="7"/>
  <c r="R1001" i="7"/>
  <c r="Q1001" i="7"/>
  <c r="P1001" i="7"/>
  <c r="O1001" i="7"/>
  <c r="Z1000" i="7"/>
  <c r="Y1000" i="7"/>
  <c r="X1000" i="7"/>
  <c r="W1000" i="7"/>
  <c r="V1000" i="7"/>
  <c r="U1000" i="7"/>
  <c r="T1000" i="7"/>
  <c r="S1000" i="7"/>
  <c r="R1000" i="7"/>
  <c r="Q1000" i="7"/>
  <c r="P1000" i="7"/>
  <c r="O1000" i="7"/>
  <c r="T999" i="7"/>
  <c r="O999" i="7"/>
  <c r="Z998" i="7"/>
  <c r="Y998" i="7"/>
  <c r="X998" i="7"/>
  <c r="W998" i="7"/>
  <c r="V998" i="7"/>
  <c r="U998" i="7"/>
  <c r="T998" i="7"/>
  <c r="S998" i="7"/>
  <c r="R998" i="7"/>
  <c r="Q998" i="7"/>
  <c r="P998" i="7"/>
  <c r="O998" i="7"/>
  <c r="Z997" i="7"/>
  <c r="Y997" i="7"/>
  <c r="X997" i="7"/>
  <c r="W997" i="7"/>
  <c r="V997" i="7"/>
  <c r="U997" i="7"/>
  <c r="T997" i="7"/>
  <c r="S997" i="7"/>
  <c r="R997" i="7"/>
  <c r="Q997" i="7"/>
  <c r="P997" i="7"/>
  <c r="O997" i="7"/>
  <c r="O996" i="7"/>
  <c r="AA996" i="7" s="1"/>
  <c r="Z995" i="7"/>
  <c r="U995" i="7"/>
  <c r="Z994" i="7"/>
  <c r="Y994" i="7"/>
  <c r="X994" i="7"/>
  <c r="W994" i="7"/>
  <c r="V994" i="7"/>
  <c r="U994" i="7"/>
  <c r="T994" i="7"/>
  <c r="S994" i="7"/>
  <c r="R994" i="7"/>
  <c r="Q994" i="7"/>
  <c r="P994" i="7"/>
  <c r="O994" i="7"/>
  <c r="Z993" i="7"/>
  <c r="Y993" i="7"/>
  <c r="X993" i="7"/>
  <c r="W993" i="7"/>
  <c r="V993" i="7"/>
  <c r="U993" i="7"/>
  <c r="T993" i="7"/>
  <c r="S993" i="7"/>
  <c r="R993" i="7"/>
  <c r="Q993" i="7"/>
  <c r="P993" i="7"/>
  <c r="O993" i="7"/>
  <c r="Z992" i="7"/>
  <c r="Y992" i="7"/>
  <c r="X992" i="7"/>
  <c r="W992" i="7"/>
  <c r="V992" i="7"/>
  <c r="U992" i="7"/>
  <c r="T992" i="7"/>
  <c r="S992" i="7"/>
  <c r="R992" i="7"/>
  <c r="Q992" i="7"/>
  <c r="P992" i="7"/>
  <c r="O992" i="7"/>
  <c r="Z991" i="7"/>
  <c r="Y991" i="7"/>
  <c r="X991" i="7"/>
  <c r="W991" i="7"/>
  <c r="V991" i="7"/>
  <c r="U991" i="7"/>
  <c r="T991" i="7"/>
  <c r="S991" i="7"/>
  <c r="R991" i="7"/>
  <c r="Q991" i="7"/>
  <c r="P991" i="7"/>
  <c r="O991" i="7"/>
  <c r="Z990" i="7"/>
  <c r="Y990" i="7"/>
  <c r="X990" i="7"/>
  <c r="W990" i="7"/>
  <c r="V990" i="7"/>
  <c r="U990" i="7"/>
  <c r="T990" i="7"/>
  <c r="S990" i="7"/>
  <c r="R990" i="7"/>
  <c r="Q990" i="7"/>
  <c r="P990" i="7"/>
  <c r="O990" i="7"/>
  <c r="Z989" i="7"/>
  <c r="Y989" i="7"/>
  <c r="X989" i="7"/>
  <c r="W989" i="7"/>
  <c r="V989" i="7"/>
  <c r="U989" i="7"/>
  <c r="T989" i="7"/>
  <c r="S989" i="7"/>
  <c r="R989" i="7"/>
  <c r="Q989" i="7"/>
  <c r="P989" i="7"/>
  <c r="O989" i="7"/>
  <c r="Z988" i="7"/>
  <c r="Y988" i="7"/>
  <c r="X988" i="7"/>
  <c r="W988" i="7"/>
  <c r="V988" i="7"/>
  <c r="U988" i="7"/>
  <c r="T988" i="7"/>
  <c r="S988" i="7"/>
  <c r="R988" i="7"/>
  <c r="Q988" i="7"/>
  <c r="P988" i="7"/>
  <c r="O988" i="7"/>
  <c r="Z987" i="7"/>
  <c r="Y987" i="7"/>
  <c r="X987" i="7"/>
  <c r="W987" i="7"/>
  <c r="V987" i="7"/>
  <c r="U987" i="7"/>
  <c r="T987" i="7"/>
  <c r="S987" i="7"/>
  <c r="R987" i="7"/>
  <c r="Q987" i="7"/>
  <c r="P987" i="7"/>
  <c r="O987" i="7"/>
  <c r="AA985" i="7"/>
  <c r="Z980" i="7"/>
  <c r="Y980" i="7"/>
  <c r="X980" i="7"/>
  <c r="W980" i="7"/>
  <c r="V980" i="7"/>
  <c r="U980" i="7"/>
  <c r="T980" i="7"/>
  <c r="S980" i="7"/>
  <c r="R980" i="7"/>
  <c r="Q980" i="7"/>
  <c r="P980" i="7"/>
  <c r="O980" i="7"/>
  <c r="Z979" i="7"/>
  <c r="Y979" i="7"/>
  <c r="X979" i="7"/>
  <c r="W979" i="7"/>
  <c r="V979" i="7"/>
  <c r="U979" i="7"/>
  <c r="T979" i="7"/>
  <c r="S979" i="7"/>
  <c r="R979" i="7"/>
  <c r="Q979" i="7"/>
  <c r="P979" i="7"/>
  <c r="O979" i="7"/>
  <c r="Z978" i="7"/>
  <c r="Y978" i="7"/>
  <c r="X978" i="7"/>
  <c r="W978" i="7"/>
  <c r="V978" i="7"/>
  <c r="U978" i="7"/>
  <c r="T978" i="7"/>
  <c r="S978" i="7"/>
  <c r="R978" i="7"/>
  <c r="V977" i="7"/>
  <c r="R977" i="7"/>
  <c r="P976" i="7"/>
  <c r="AA976" i="7" s="1"/>
  <c r="Q975" i="7"/>
  <c r="AA975" i="7" s="1"/>
  <c r="Q974" i="7"/>
  <c r="AA974" i="7" s="1"/>
  <c r="Z973" i="7"/>
  <c r="Y973" i="7"/>
  <c r="X973" i="7"/>
  <c r="W973" i="7"/>
  <c r="V973" i="7"/>
  <c r="U973" i="7"/>
  <c r="T973" i="7"/>
  <c r="S973" i="7"/>
  <c r="R973" i="7"/>
  <c r="Q973" i="7"/>
  <c r="P973" i="7"/>
  <c r="O973" i="7"/>
  <c r="T972" i="7"/>
  <c r="O972" i="7"/>
  <c r="Z971" i="7"/>
  <c r="Y971" i="7"/>
  <c r="X971" i="7"/>
  <c r="W971" i="7"/>
  <c r="V971" i="7"/>
  <c r="U971" i="7"/>
  <c r="T971" i="7"/>
  <c r="S971" i="7"/>
  <c r="R971" i="7"/>
  <c r="Q971" i="7"/>
  <c r="P971" i="7"/>
  <c r="O971" i="7"/>
  <c r="Z970" i="7"/>
  <c r="Y970" i="7"/>
  <c r="X970" i="7"/>
  <c r="W970" i="7"/>
  <c r="V970" i="7"/>
  <c r="U970" i="7"/>
  <c r="T970" i="7"/>
  <c r="S970" i="7"/>
  <c r="R970" i="7"/>
  <c r="Q970" i="7"/>
  <c r="P970" i="7"/>
  <c r="O970" i="7"/>
  <c r="O969" i="7"/>
  <c r="AA969" i="7" s="1"/>
  <c r="Z968" i="7"/>
  <c r="U968" i="7"/>
  <c r="Z967" i="7"/>
  <c r="Y967" i="7"/>
  <c r="X967" i="7"/>
  <c r="W967" i="7"/>
  <c r="V967" i="7"/>
  <c r="U967" i="7"/>
  <c r="T967" i="7"/>
  <c r="S967" i="7"/>
  <c r="R967" i="7"/>
  <c r="Q967" i="7"/>
  <c r="P967" i="7"/>
  <c r="O967" i="7"/>
  <c r="Z966" i="7"/>
  <c r="Y966" i="7"/>
  <c r="X966" i="7"/>
  <c r="W966" i="7"/>
  <c r="V966" i="7"/>
  <c r="U966" i="7"/>
  <c r="T966" i="7"/>
  <c r="S966" i="7"/>
  <c r="R966" i="7"/>
  <c r="Q966" i="7"/>
  <c r="P966" i="7"/>
  <c r="O966" i="7"/>
  <c r="Z965" i="7"/>
  <c r="Y965" i="7"/>
  <c r="X965" i="7"/>
  <c r="W965" i="7"/>
  <c r="V965" i="7"/>
  <c r="U965" i="7"/>
  <c r="T965" i="7"/>
  <c r="S965" i="7"/>
  <c r="R965" i="7"/>
  <c r="Q965" i="7"/>
  <c r="P965" i="7"/>
  <c r="O965" i="7"/>
  <c r="Z964" i="7"/>
  <c r="Y964" i="7"/>
  <c r="X964" i="7"/>
  <c r="W964" i="7"/>
  <c r="V964" i="7"/>
  <c r="U964" i="7"/>
  <c r="T964" i="7"/>
  <c r="S964" i="7"/>
  <c r="R964" i="7"/>
  <c r="Q964" i="7"/>
  <c r="P964" i="7"/>
  <c r="O964" i="7"/>
  <c r="Z963" i="7"/>
  <c r="Y963" i="7"/>
  <c r="X963" i="7"/>
  <c r="W963" i="7"/>
  <c r="V963" i="7"/>
  <c r="U963" i="7"/>
  <c r="T963" i="7"/>
  <c r="S963" i="7"/>
  <c r="R963" i="7"/>
  <c r="Q963" i="7"/>
  <c r="P963" i="7"/>
  <c r="O963" i="7"/>
  <c r="AA961" i="7"/>
  <c r="Z956" i="7"/>
  <c r="Y956" i="7"/>
  <c r="X956" i="7"/>
  <c r="W956" i="7"/>
  <c r="V956" i="7"/>
  <c r="U956" i="7"/>
  <c r="T956" i="7"/>
  <c r="S956" i="7"/>
  <c r="R956" i="7"/>
  <c r="Q956" i="7"/>
  <c r="P956" i="7"/>
  <c r="O956" i="7"/>
  <c r="Z955" i="7"/>
  <c r="Y955" i="7"/>
  <c r="X955" i="7"/>
  <c r="W955" i="7"/>
  <c r="V955" i="7"/>
  <c r="U955" i="7"/>
  <c r="T955" i="7"/>
  <c r="S955" i="7"/>
  <c r="R955" i="7"/>
  <c r="Q955" i="7"/>
  <c r="P955" i="7"/>
  <c r="O955" i="7"/>
  <c r="Z954" i="7"/>
  <c r="Y954" i="7"/>
  <c r="X954" i="7"/>
  <c r="W954" i="7"/>
  <c r="V954" i="7"/>
  <c r="U954" i="7"/>
  <c r="T954" i="7"/>
  <c r="S954" i="7"/>
  <c r="R954" i="7"/>
  <c r="Q954" i="7"/>
  <c r="P954" i="7"/>
  <c r="O954" i="7"/>
  <c r="Y953" i="7"/>
  <c r="W953" i="7"/>
  <c r="U953" i="7"/>
  <c r="S953" i="7"/>
  <c r="Q953" i="7"/>
  <c r="Z952" i="7"/>
  <c r="Y952" i="7"/>
  <c r="X952" i="7"/>
  <c r="W952" i="7"/>
  <c r="V952" i="7"/>
  <c r="U952" i="7"/>
  <c r="T952" i="7"/>
  <c r="S952" i="7"/>
  <c r="R952" i="7"/>
  <c r="Q952" i="7"/>
  <c r="Z951" i="7"/>
  <c r="Y951" i="7"/>
  <c r="W951" i="7"/>
  <c r="V951" i="7"/>
  <c r="U951" i="7"/>
  <c r="R951" i="7"/>
  <c r="Q951" i="7"/>
  <c r="Z950" i="7"/>
  <c r="Y950" i="7"/>
  <c r="X950" i="7"/>
  <c r="W950" i="7"/>
  <c r="V950" i="7"/>
  <c r="U950" i="7"/>
  <c r="T950" i="7"/>
  <c r="S950" i="7"/>
  <c r="R950" i="7"/>
  <c r="V949" i="7"/>
  <c r="R949" i="7"/>
  <c r="Q948" i="7"/>
  <c r="AA948" i="7" s="1"/>
  <c r="P947" i="7"/>
  <c r="AA947" i="7" s="1"/>
  <c r="V946" i="7"/>
  <c r="Q946" i="7"/>
  <c r="Z945" i="7"/>
  <c r="Y945" i="7"/>
  <c r="X945" i="7"/>
  <c r="W945" i="7"/>
  <c r="V945" i="7"/>
  <c r="U945" i="7"/>
  <c r="T945" i="7"/>
  <c r="S945" i="7"/>
  <c r="R945" i="7"/>
  <c r="Q945" i="7"/>
  <c r="P945" i="7"/>
  <c r="O945" i="7"/>
  <c r="Z944" i="7"/>
  <c r="Y944" i="7"/>
  <c r="X944" i="7"/>
  <c r="W944" i="7"/>
  <c r="V944" i="7"/>
  <c r="U944" i="7"/>
  <c r="T944" i="7"/>
  <c r="S944" i="7"/>
  <c r="R944" i="7"/>
  <c r="Q944" i="7"/>
  <c r="P944" i="7"/>
  <c r="O944" i="7"/>
  <c r="Z943" i="7"/>
  <c r="Y943" i="7"/>
  <c r="X943" i="7"/>
  <c r="W943" i="7"/>
  <c r="V943" i="7"/>
  <c r="U943" i="7"/>
  <c r="T943" i="7"/>
  <c r="S943" i="7"/>
  <c r="R943" i="7"/>
  <c r="Q943" i="7"/>
  <c r="P943" i="7"/>
  <c r="O943" i="7"/>
  <c r="Z942" i="7"/>
  <c r="Y942" i="7"/>
  <c r="X942" i="7"/>
  <c r="W942" i="7"/>
  <c r="V942" i="7"/>
  <c r="U942" i="7"/>
  <c r="T942" i="7"/>
  <c r="S942" i="7"/>
  <c r="R942" i="7"/>
  <c r="Q942" i="7"/>
  <c r="P942" i="7"/>
  <c r="O942" i="7"/>
  <c r="O941" i="7"/>
  <c r="AA941" i="7" s="1"/>
  <c r="Z940" i="7"/>
  <c r="U940" i="7"/>
  <c r="Z939" i="7"/>
  <c r="Y939" i="7"/>
  <c r="X939" i="7"/>
  <c r="W939" i="7"/>
  <c r="V939" i="7"/>
  <c r="U939" i="7"/>
  <c r="T939" i="7"/>
  <c r="S939" i="7"/>
  <c r="R939" i="7"/>
  <c r="Q939" i="7"/>
  <c r="P939" i="7"/>
  <c r="O939" i="7"/>
  <c r="Z938" i="7"/>
  <c r="Y938" i="7"/>
  <c r="X938" i="7"/>
  <c r="W938" i="7"/>
  <c r="V938" i="7"/>
  <c r="U938" i="7"/>
  <c r="T938" i="7"/>
  <c r="S938" i="7"/>
  <c r="R938" i="7"/>
  <c r="Q938" i="7"/>
  <c r="P938" i="7"/>
  <c r="O938" i="7"/>
  <c r="Z937" i="7"/>
  <c r="Y937" i="7"/>
  <c r="X937" i="7"/>
  <c r="W937" i="7"/>
  <c r="V937" i="7"/>
  <c r="U937" i="7"/>
  <c r="T937" i="7"/>
  <c r="S937" i="7"/>
  <c r="R937" i="7"/>
  <c r="Q937" i="7"/>
  <c r="P937" i="7"/>
  <c r="O937" i="7"/>
  <c r="Z936" i="7"/>
  <c r="Y936" i="7"/>
  <c r="X936" i="7"/>
  <c r="W936" i="7"/>
  <c r="V936" i="7"/>
  <c r="U936" i="7"/>
  <c r="T936" i="7"/>
  <c r="S936" i="7"/>
  <c r="R936" i="7"/>
  <c r="Q936" i="7"/>
  <c r="P936" i="7"/>
  <c r="O936" i="7"/>
  <c r="Z935" i="7"/>
  <c r="Y935" i="7"/>
  <c r="X935" i="7"/>
  <c r="W935" i="7"/>
  <c r="V935" i="7"/>
  <c r="U935" i="7"/>
  <c r="T935" i="7"/>
  <c r="S935" i="7"/>
  <c r="R935" i="7"/>
  <c r="Q935" i="7"/>
  <c r="P935" i="7"/>
  <c r="O935" i="7"/>
  <c r="Z934" i="7"/>
  <c r="Y934" i="7"/>
  <c r="X934" i="7"/>
  <c r="W934" i="7"/>
  <c r="V934" i="7"/>
  <c r="U934" i="7"/>
  <c r="T934" i="7"/>
  <c r="S934" i="7"/>
  <c r="R934" i="7"/>
  <c r="Q934" i="7"/>
  <c r="P934" i="7"/>
  <c r="O934" i="7"/>
  <c r="Z933" i="7"/>
  <c r="Y933" i="7"/>
  <c r="X933" i="7"/>
  <c r="W933" i="7"/>
  <c r="V933" i="7"/>
  <c r="U933" i="7"/>
  <c r="T933" i="7"/>
  <c r="S933" i="7"/>
  <c r="R933" i="7"/>
  <c r="Q933" i="7"/>
  <c r="P933" i="7"/>
  <c r="O933" i="7"/>
  <c r="AA931" i="7"/>
  <c r="K926" i="7"/>
  <c r="Z925" i="7"/>
  <c r="Y925" i="7"/>
  <c r="X925" i="7"/>
  <c r="W925" i="7"/>
  <c r="V925" i="7"/>
  <c r="U925" i="7"/>
  <c r="T925" i="7"/>
  <c r="S925" i="7"/>
  <c r="R925" i="7"/>
  <c r="Q925" i="7"/>
  <c r="P925" i="7"/>
  <c r="O925" i="7"/>
  <c r="Z924" i="7"/>
  <c r="Y924" i="7"/>
  <c r="X924" i="7"/>
  <c r="W924" i="7"/>
  <c r="V924" i="7"/>
  <c r="U924" i="7"/>
  <c r="T924" i="7"/>
  <c r="S924" i="7"/>
  <c r="R924" i="7"/>
  <c r="Q924" i="7"/>
  <c r="P924" i="7"/>
  <c r="O924" i="7"/>
  <c r="Z923" i="7"/>
  <c r="Y923" i="7"/>
  <c r="X923" i="7"/>
  <c r="W923" i="7"/>
  <c r="V923" i="7"/>
  <c r="U923" i="7"/>
  <c r="T923" i="7"/>
  <c r="S923" i="7"/>
  <c r="R923" i="7"/>
  <c r="Q923" i="7"/>
  <c r="P923" i="7"/>
  <c r="O923" i="7"/>
  <c r="Z922" i="7"/>
  <c r="X922" i="7"/>
  <c r="V922" i="7"/>
  <c r="T922" i="7"/>
  <c r="R922" i="7"/>
  <c r="Q921" i="7"/>
  <c r="AA921" i="7" s="1"/>
  <c r="Q920" i="7"/>
  <c r="AA920" i="7" s="1"/>
  <c r="Z919" i="7"/>
  <c r="Y919" i="7"/>
  <c r="X919" i="7"/>
  <c r="W919" i="7"/>
  <c r="V919" i="7"/>
  <c r="U919" i="7"/>
  <c r="T919" i="7"/>
  <c r="S919" i="7"/>
  <c r="R919" i="7"/>
  <c r="V918" i="7"/>
  <c r="R918" i="7"/>
  <c r="P917" i="7"/>
  <c r="AA917" i="7" s="1"/>
  <c r="Q916" i="7"/>
  <c r="AA916" i="7" s="1"/>
  <c r="Z915" i="7"/>
  <c r="Y915" i="7"/>
  <c r="X915" i="7"/>
  <c r="W915" i="7"/>
  <c r="V915" i="7"/>
  <c r="U915" i="7"/>
  <c r="T915" i="7"/>
  <c r="S915" i="7"/>
  <c r="R915" i="7"/>
  <c r="Q915" i="7"/>
  <c r="P915" i="7"/>
  <c r="O915" i="7"/>
  <c r="Z914" i="7"/>
  <c r="Y914" i="7"/>
  <c r="X914" i="7"/>
  <c r="W914" i="7"/>
  <c r="V914" i="7"/>
  <c r="U914" i="7"/>
  <c r="T914" i="7"/>
  <c r="S914" i="7"/>
  <c r="R914" i="7"/>
  <c r="Q914" i="7"/>
  <c r="P914" i="7"/>
  <c r="O914" i="7"/>
  <c r="O913" i="7"/>
  <c r="AA913" i="7" s="1"/>
  <c r="Z912" i="7"/>
  <c r="U912" i="7"/>
  <c r="Z911" i="7"/>
  <c r="Y911" i="7"/>
  <c r="X911" i="7"/>
  <c r="W911" i="7"/>
  <c r="V911" i="7"/>
  <c r="U911" i="7"/>
  <c r="T911" i="7"/>
  <c r="S911" i="7"/>
  <c r="R911" i="7"/>
  <c r="Q911" i="7"/>
  <c r="P911" i="7"/>
  <c r="O911" i="7"/>
  <c r="Z910" i="7"/>
  <c r="Y910" i="7"/>
  <c r="X910" i="7"/>
  <c r="W910" i="7"/>
  <c r="V910" i="7"/>
  <c r="U910" i="7"/>
  <c r="T910" i="7"/>
  <c r="S910" i="7"/>
  <c r="R910" i="7"/>
  <c r="Q910" i="7"/>
  <c r="P910" i="7"/>
  <c r="O910" i="7"/>
  <c r="Z909" i="7"/>
  <c r="Y909" i="7"/>
  <c r="X909" i="7"/>
  <c r="W909" i="7"/>
  <c r="V909" i="7"/>
  <c r="U909" i="7"/>
  <c r="T909" i="7"/>
  <c r="S909" i="7"/>
  <c r="R909" i="7"/>
  <c r="Q909" i="7"/>
  <c r="P909" i="7"/>
  <c r="O909" i="7"/>
  <c r="Z908" i="7"/>
  <c r="Y908" i="7"/>
  <c r="X908" i="7"/>
  <c r="W908" i="7"/>
  <c r="V908" i="7"/>
  <c r="U908" i="7"/>
  <c r="T908" i="7"/>
  <c r="S908" i="7"/>
  <c r="R908" i="7"/>
  <c r="Q908" i="7"/>
  <c r="P908" i="7"/>
  <c r="O908" i="7"/>
  <c r="Z907" i="7"/>
  <c r="Y907" i="7"/>
  <c r="X907" i="7"/>
  <c r="W907" i="7"/>
  <c r="V907" i="7"/>
  <c r="U907" i="7"/>
  <c r="T907" i="7"/>
  <c r="S907" i="7"/>
  <c r="R907" i="7"/>
  <c r="Q907" i="7"/>
  <c r="P907" i="7"/>
  <c r="O907" i="7"/>
  <c r="AA905" i="7"/>
  <c r="K900" i="7"/>
  <c r="Z899" i="7"/>
  <c r="Y899" i="7"/>
  <c r="X899" i="7"/>
  <c r="W899" i="7"/>
  <c r="V899" i="7"/>
  <c r="U899" i="7"/>
  <c r="T899" i="7"/>
  <c r="S899" i="7"/>
  <c r="R899" i="7"/>
  <c r="Q899" i="7"/>
  <c r="P899" i="7"/>
  <c r="O899" i="7"/>
  <c r="Z898" i="7"/>
  <c r="Y898" i="7"/>
  <c r="X898" i="7"/>
  <c r="W898" i="7"/>
  <c r="V898" i="7"/>
  <c r="U898" i="7"/>
  <c r="T898" i="7"/>
  <c r="S898" i="7"/>
  <c r="R898" i="7"/>
  <c r="Q898" i="7"/>
  <c r="P898" i="7"/>
  <c r="O898" i="7"/>
  <c r="Y897" i="7"/>
  <c r="W897" i="7"/>
  <c r="U897" i="7"/>
  <c r="S897" i="7"/>
  <c r="Q897" i="7"/>
  <c r="Q896" i="7"/>
  <c r="AA896" i="7" s="1"/>
  <c r="Z895" i="7"/>
  <c r="Y895" i="7"/>
  <c r="X895" i="7"/>
  <c r="W895" i="7"/>
  <c r="V895" i="7"/>
  <c r="U895" i="7"/>
  <c r="T895" i="7"/>
  <c r="S895" i="7"/>
  <c r="R895" i="7"/>
  <c r="Q895" i="7"/>
  <c r="Z894" i="7"/>
  <c r="Y894" i="7"/>
  <c r="W894" i="7"/>
  <c r="V894" i="7"/>
  <c r="U894" i="7"/>
  <c r="R894" i="7"/>
  <c r="Q894" i="7"/>
  <c r="R893" i="7"/>
  <c r="AA893" i="7" s="1"/>
  <c r="U892" i="7"/>
  <c r="P892" i="7"/>
  <c r="Q891" i="7"/>
  <c r="AA891" i="7" s="1"/>
  <c r="Z890" i="7"/>
  <c r="Y890" i="7"/>
  <c r="X890" i="7"/>
  <c r="W890" i="7"/>
  <c r="V890" i="7"/>
  <c r="U890" i="7"/>
  <c r="T890" i="7"/>
  <c r="S890" i="7"/>
  <c r="R890" i="7"/>
  <c r="Q890" i="7"/>
  <c r="P890" i="7"/>
  <c r="O890" i="7"/>
  <c r="Z889" i="7"/>
  <c r="Y889" i="7"/>
  <c r="X889" i="7"/>
  <c r="W889" i="7"/>
  <c r="V889" i="7"/>
  <c r="U889" i="7"/>
  <c r="T889" i="7"/>
  <c r="S889" i="7"/>
  <c r="R889" i="7"/>
  <c r="Q889" i="7"/>
  <c r="P889" i="7"/>
  <c r="O889" i="7"/>
  <c r="O888" i="7"/>
  <c r="AA888" i="7" s="1"/>
  <c r="Z887" i="7"/>
  <c r="U887" i="7"/>
  <c r="Z886" i="7"/>
  <c r="Y886" i="7"/>
  <c r="X886" i="7"/>
  <c r="W886" i="7"/>
  <c r="V886" i="7"/>
  <c r="U886" i="7"/>
  <c r="T886" i="7"/>
  <c r="S886" i="7"/>
  <c r="R886" i="7"/>
  <c r="Q886" i="7"/>
  <c r="P886" i="7"/>
  <c r="O886" i="7"/>
  <c r="Z885" i="7"/>
  <c r="Y885" i="7"/>
  <c r="X885" i="7"/>
  <c r="W885" i="7"/>
  <c r="V885" i="7"/>
  <c r="U885" i="7"/>
  <c r="T885" i="7"/>
  <c r="S885" i="7"/>
  <c r="R885" i="7"/>
  <c r="Q885" i="7"/>
  <c r="P885" i="7"/>
  <c r="O885" i="7"/>
  <c r="Z884" i="7"/>
  <c r="Y884" i="7"/>
  <c r="X884" i="7"/>
  <c r="W884" i="7"/>
  <c r="V884" i="7"/>
  <c r="U884" i="7"/>
  <c r="T884" i="7"/>
  <c r="S884" i="7"/>
  <c r="R884" i="7"/>
  <c r="Q884" i="7"/>
  <c r="P884" i="7"/>
  <c r="O884" i="7"/>
  <c r="Z883" i="7"/>
  <c r="Y883" i="7"/>
  <c r="X883" i="7"/>
  <c r="W883" i="7"/>
  <c r="V883" i="7"/>
  <c r="U883" i="7"/>
  <c r="T883" i="7"/>
  <c r="S883" i="7"/>
  <c r="R883" i="7"/>
  <c r="Q883" i="7"/>
  <c r="P883" i="7"/>
  <c r="O883" i="7"/>
  <c r="Z882" i="7"/>
  <c r="Y882" i="7"/>
  <c r="X882" i="7"/>
  <c r="W882" i="7"/>
  <c r="V882" i="7"/>
  <c r="U882" i="7"/>
  <c r="T882" i="7"/>
  <c r="S882" i="7"/>
  <c r="R882" i="7"/>
  <c r="Q882" i="7"/>
  <c r="P882" i="7"/>
  <c r="O882" i="7"/>
  <c r="AA880" i="7"/>
  <c r="K875" i="7"/>
  <c r="Z874" i="7"/>
  <c r="Y874" i="7"/>
  <c r="X874" i="7"/>
  <c r="W874" i="7"/>
  <c r="V874" i="7"/>
  <c r="U874" i="7"/>
  <c r="T874" i="7"/>
  <c r="S874" i="7"/>
  <c r="R874" i="7"/>
  <c r="Q874" i="7"/>
  <c r="P874" i="7"/>
  <c r="O874" i="7"/>
  <c r="Z873" i="7"/>
  <c r="Y873" i="7"/>
  <c r="X873" i="7"/>
  <c r="W873" i="7"/>
  <c r="V873" i="7"/>
  <c r="U873" i="7"/>
  <c r="T873" i="7"/>
  <c r="S873" i="7"/>
  <c r="R873" i="7"/>
  <c r="Q873" i="7"/>
  <c r="P873" i="7"/>
  <c r="O873" i="7"/>
  <c r="W872" i="7"/>
  <c r="T872" i="7"/>
  <c r="Q872" i="7"/>
  <c r="Z871" i="7"/>
  <c r="Y871" i="7"/>
  <c r="X871" i="7"/>
  <c r="W871" i="7"/>
  <c r="V871" i="7"/>
  <c r="U871" i="7"/>
  <c r="T871" i="7"/>
  <c r="S871" i="7"/>
  <c r="R871" i="7"/>
  <c r="Q871" i="7"/>
  <c r="Z870" i="7"/>
  <c r="Y870" i="7"/>
  <c r="W870" i="7"/>
  <c r="V870" i="7"/>
  <c r="U870" i="7"/>
  <c r="R870" i="7"/>
  <c r="Q870" i="7"/>
  <c r="V869" i="7"/>
  <c r="Q869" i="7"/>
  <c r="Z868" i="7"/>
  <c r="Y868" i="7"/>
  <c r="X868" i="7"/>
  <c r="W868" i="7"/>
  <c r="V868" i="7"/>
  <c r="U868" i="7"/>
  <c r="T868" i="7"/>
  <c r="S868" i="7"/>
  <c r="R868" i="7"/>
  <c r="Q868" i="7"/>
  <c r="P868" i="7"/>
  <c r="Z867" i="7"/>
  <c r="Y867" i="7"/>
  <c r="X867" i="7"/>
  <c r="W867" i="7"/>
  <c r="V867" i="7"/>
  <c r="U867" i="7"/>
  <c r="T867" i="7"/>
  <c r="S867" i="7"/>
  <c r="R867" i="7"/>
  <c r="V866" i="7"/>
  <c r="R866" i="7"/>
  <c r="P865" i="7"/>
  <c r="AA865" i="7" s="1"/>
  <c r="Q864" i="7"/>
  <c r="AA864" i="7" s="1"/>
  <c r="Z863" i="7"/>
  <c r="Y863" i="7"/>
  <c r="X863" i="7"/>
  <c r="W863" i="7"/>
  <c r="V863" i="7"/>
  <c r="U863" i="7"/>
  <c r="T863" i="7"/>
  <c r="S863" i="7"/>
  <c r="R863" i="7"/>
  <c r="Q863" i="7"/>
  <c r="P863" i="7"/>
  <c r="O863" i="7"/>
  <c r="Z862" i="7"/>
  <c r="Y862" i="7"/>
  <c r="X862" i="7"/>
  <c r="W862" i="7"/>
  <c r="V862" i="7"/>
  <c r="U862" i="7"/>
  <c r="T862" i="7"/>
  <c r="S862" i="7"/>
  <c r="R862" i="7"/>
  <c r="Q862" i="7"/>
  <c r="P862" i="7"/>
  <c r="O862" i="7"/>
  <c r="O861" i="7"/>
  <c r="AA861" i="7" s="1"/>
  <c r="Z860" i="7"/>
  <c r="U860" i="7"/>
  <c r="Z859" i="7"/>
  <c r="Y859" i="7"/>
  <c r="X859" i="7"/>
  <c r="W859" i="7"/>
  <c r="V859" i="7"/>
  <c r="U859" i="7"/>
  <c r="T859" i="7"/>
  <c r="S859" i="7"/>
  <c r="R859" i="7"/>
  <c r="Q859" i="7"/>
  <c r="P859" i="7"/>
  <c r="O859" i="7"/>
  <c r="Z858" i="7"/>
  <c r="Y858" i="7"/>
  <c r="X858" i="7"/>
  <c r="W858" i="7"/>
  <c r="V858" i="7"/>
  <c r="U858" i="7"/>
  <c r="T858" i="7"/>
  <c r="S858" i="7"/>
  <c r="R858" i="7"/>
  <c r="Q858" i="7"/>
  <c r="P858" i="7"/>
  <c r="O858" i="7"/>
  <c r="Z857" i="7"/>
  <c r="Y857" i="7"/>
  <c r="X857" i="7"/>
  <c r="W857" i="7"/>
  <c r="V857" i="7"/>
  <c r="U857" i="7"/>
  <c r="T857" i="7"/>
  <c r="S857" i="7"/>
  <c r="R857" i="7"/>
  <c r="Q857" i="7"/>
  <c r="P857" i="7"/>
  <c r="O857" i="7"/>
  <c r="Z856" i="7"/>
  <c r="Y856" i="7"/>
  <c r="X856" i="7"/>
  <c r="W856" i="7"/>
  <c r="V856" i="7"/>
  <c r="U856" i="7"/>
  <c r="T856" i="7"/>
  <c r="S856" i="7"/>
  <c r="R856" i="7"/>
  <c r="Q856" i="7"/>
  <c r="P856" i="7"/>
  <c r="O856" i="7"/>
  <c r="Z855" i="7"/>
  <c r="Y855" i="7"/>
  <c r="X855" i="7"/>
  <c r="W855" i="7"/>
  <c r="V855" i="7"/>
  <c r="U855" i="7"/>
  <c r="T855" i="7"/>
  <c r="S855" i="7"/>
  <c r="R855" i="7"/>
  <c r="Q855" i="7"/>
  <c r="P855" i="7"/>
  <c r="O855" i="7"/>
  <c r="AA853" i="7"/>
  <c r="K848" i="7"/>
  <c r="Z847" i="7"/>
  <c r="Y847" i="7"/>
  <c r="X847" i="7"/>
  <c r="W847" i="7"/>
  <c r="V847" i="7"/>
  <c r="U847" i="7"/>
  <c r="T847" i="7"/>
  <c r="S847" i="7"/>
  <c r="R847" i="7"/>
  <c r="Q847" i="7"/>
  <c r="P847" i="7"/>
  <c r="O847" i="7"/>
  <c r="Z846" i="7"/>
  <c r="Y846" i="7"/>
  <c r="X846" i="7"/>
  <c r="W846" i="7"/>
  <c r="V846" i="7"/>
  <c r="U846" i="7"/>
  <c r="T846" i="7"/>
  <c r="S846" i="7"/>
  <c r="R846" i="7"/>
  <c r="Q846" i="7"/>
  <c r="P846" i="7"/>
  <c r="O846" i="7"/>
  <c r="Z845" i="7"/>
  <c r="X845" i="7"/>
  <c r="V845" i="7"/>
  <c r="T845" i="7"/>
  <c r="R845" i="7"/>
  <c r="U844" i="7"/>
  <c r="Q844" i="7"/>
  <c r="Z843" i="7"/>
  <c r="Y843" i="7"/>
  <c r="X843" i="7"/>
  <c r="W843" i="7"/>
  <c r="V843" i="7"/>
  <c r="U843" i="7"/>
  <c r="T843" i="7"/>
  <c r="S843" i="7"/>
  <c r="R843" i="7"/>
  <c r="Q843" i="7"/>
  <c r="Z842" i="7"/>
  <c r="Y842" i="7"/>
  <c r="W842" i="7"/>
  <c r="V842" i="7"/>
  <c r="U842" i="7"/>
  <c r="R842" i="7"/>
  <c r="Q842" i="7"/>
  <c r="Z841" i="7"/>
  <c r="Y841" i="7"/>
  <c r="X841" i="7"/>
  <c r="W841" i="7"/>
  <c r="V841" i="7"/>
  <c r="U841" i="7"/>
  <c r="T841" i="7"/>
  <c r="S841" i="7"/>
  <c r="R841" i="7"/>
  <c r="Q841" i="7"/>
  <c r="P841" i="7"/>
  <c r="O841" i="7"/>
  <c r="Q840" i="7"/>
  <c r="AA840" i="7" s="1"/>
  <c r="P839" i="7"/>
  <c r="AA839" i="7" s="1"/>
  <c r="Z838" i="7"/>
  <c r="Y838" i="7"/>
  <c r="X838" i="7"/>
  <c r="W838" i="7"/>
  <c r="V838" i="7"/>
  <c r="U838" i="7"/>
  <c r="T838" i="7"/>
  <c r="S838" i="7"/>
  <c r="R838" i="7"/>
  <c r="Q838" i="7"/>
  <c r="P838" i="7"/>
  <c r="O838" i="7"/>
  <c r="Z837" i="7"/>
  <c r="Y837" i="7"/>
  <c r="X837" i="7"/>
  <c r="W837" i="7"/>
  <c r="V837" i="7"/>
  <c r="U837" i="7"/>
  <c r="T837" i="7"/>
  <c r="S837" i="7"/>
  <c r="R837" i="7"/>
  <c r="Q837" i="7"/>
  <c r="P837" i="7"/>
  <c r="O837" i="7"/>
  <c r="O836" i="7"/>
  <c r="AA836" i="7" s="1"/>
  <c r="Z835" i="7"/>
  <c r="U835" i="7"/>
  <c r="Z834" i="7"/>
  <c r="Y834" i="7"/>
  <c r="X834" i="7"/>
  <c r="W834" i="7"/>
  <c r="V834" i="7"/>
  <c r="U834" i="7"/>
  <c r="T834" i="7"/>
  <c r="S834" i="7"/>
  <c r="R834" i="7"/>
  <c r="Q834" i="7"/>
  <c r="P834" i="7"/>
  <c r="O834" i="7"/>
  <c r="Z833" i="7"/>
  <c r="Y833" i="7"/>
  <c r="X833" i="7"/>
  <c r="W833" i="7"/>
  <c r="V833" i="7"/>
  <c r="U833" i="7"/>
  <c r="T833" i="7"/>
  <c r="S833" i="7"/>
  <c r="R833" i="7"/>
  <c r="Q833" i="7"/>
  <c r="P833" i="7"/>
  <c r="O833" i="7"/>
  <c r="Z832" i="7"/>
  <c r="Y832" i="7"/>
  <c r="X832" i="7"/>
  <c r="W832" i="7"/>
  <c r="V832" i="7"/>
  <c r="U832" i="7"/>
  <c r="T832" i="7"/>
  <c r="S832" i="7"/>
  <c r="R832" i="7"/>
  <c r="Q832" i="7"/>
  <c r="P832" i="7"/>
  <c r="O832" i="7"/>
  <c r="Z831" i="7"/>
  <c r="Y831" i="7"/>
  <c r="X831" i="7"/>
  <c r="W831" i="7"/>
  <c r="V831" i="7"/>
  <c r="U831" i="7"/>
  <c r="T831" i="7"/>
  <c r="S831" i="7"/>
  <c r="R831" i="7"/>
  <c r="Q831" i="7"/>
  <c r="P831" i="7"/>
  <c r="O831" i="7"/>
  <c r="Z830" i="7"/>
  <c r="Y830" i="7"/>
  <c r="X830" i="7"/>
  <c r="W830" i="7"/>
  <c r="V830" i="7"/>
  <c r="U830" i="7"/>
  <c r="T830" i="7"/>
  <c r="S830" i="7"/>
  <c r="R830" i="7"/>
  <c r="Q830" i="7"/>
  <c r="P830" i="7"/>
  <c r="O830" i="7"/>
  <c r="AA828" i="7"/>
  <c r="K823" i="7"/>
  <c r="Z822" i="7"/>
  <c r="Y822" i="7"/>
  <c r="X822" i="7"/>
  <c r="W822" i="7"/>
  <c r="V822" i="7"/>
  <c r="U822" i="7"/>
  <c r="T822" i="7"/>
  <c r="S822" i="7"/>
  <c r="R822" i="7"/>
  <c r="Q822" i="7"/>
  <c r="P822" i="7"/>
  <c r="O822" i="7"/>
  <c r="Z821" i="7"/>
  <c r="Y821" i="7"/>
  <c r="X821" i="7"/>
  <c r="W821" i="7"/>
  <c r="V821" i="7"/>
  <c r="U821" i="7"/>
  <c r="T821" i="7"/>
  <c r="S821" i="7"/>
  <c r="R821" i="7"/>
  <c r="Q821" i="7"/>
  <c r="P821" i="7"/>
  <c r="O821" i="7"/>
  <c r="Z820" i="7"/>
  <c r="X820" i="7"/>
  <c r="V820" i="7"/>
  <c r="T820" i="7"/>
  <c r="R820" i="7"/>
  <c r="R819" i="7"/>
  <c r="AA819" i="7" s="1"/>
  <c r="Z818" i="7"/>
  <c r="Y818" i="7"/>
  <c r="X818" i="7"/>
  <c r="W818" i="7"/>
  <c r="V818" i="7"/>
  <c r="U818" i="7"/>
  <c r="T818" i="7"/>
  <c r="S818" i="7"/>
  <c r="R818" i="7"/>
  <c r="Q818" i="7"/>
  <c r="W817" i="7"/>
  <c r="T817" i="7"/>
  <c r="S817" i="7"/>
  <c r="Q817" i="7"/>
  <c r="Q816" i="7"/>
  <c r="AA816" i="7" s="1"/>
  <c r="Q815" i="7"/>
  <c r="AA815" i="7" s="1"/>
  <c r="O814" i="7"/>
  <c r="AA814" i="7" s="1"/>
  <c r="Z813" i="7"/>
  <c r="Y813" i="7"/>
  <c r="X813" i="7"/>
  <c r="W813" i="7"/>
  <c r="V813" i="7"/>
  <c r="U813" i="7"/>
  <c r="T813" i="7"/>
  <c r="S813" i="7"/>
  <c r="R813" i="7"/>
  <c r="Q813" i="7"/>
  <c r="P813" i="7"/>
  <c r="O813" i="7"/>
  <c r="Z812" i="7"/>
  <c r="Y812" i="7"/>
  <c r="X812" i="7"/>
  <c r="W812" i="7"/>
  <c r="V812" i="7"/>
  <c r="U812" i="7"/>
  <c r="T812" i="7"/>
  <c r="S812" i="7"/>
  <c r="R812" i="7"/>
  <c r="Q812" i="7"/>
  <c r="P812" i="7"/>
  <c r="O812" i="7"/>
  <c r="O811" i="7"/>
  <c r="AA811" i="7" s="1"/>
  <c r="Z810" i="7"/>
  <c r="U810" i="7"/>
  <c r="Z809" i="7"/>
  <c r="Y809" i="7"/>
  <c r="X809" i="7"/>
  <c r="W809" i="7"/>
  <c r="V809" i="7"/>
  <c r="U809" i="7"/>
  <c r="T809" i="7"/>
  <c r="S809" i="7"/>
  <c r="R809" i="7"/>
  <c r="Q809" i="7"/>
  <c r="P809" i="7"/>
  <c r="O809" i="7"/>
  <c r="Z808" i="7"/>
  <c r="Y808" i="7"/>
  <c r="X808" i="7"/>
  <c r="W808" i="7"/>
  <c r="V808" i="7"/>
  <c r="U808" i="7"/>
  <c r="T808" i="7"/>
  <c r="S808" i="7"/>
  <c r="R808" i="7"/>
  <c r="Q808" i="7"/>
  <c r="P808" i="7"/>
  <c r="O808" i="7"/>
  <c r="Z807" i="7"/>
  <c r="Y807" i="7"/>
  <c r="X807" i="7"/>
  <c r="W807" i="7"/>
  <c r="V807" i="7"/>
  <c r="U807" i="7"/>
  <c r="T807" i="7"/>
  <c r="S807" i="7"/>
  <c r="R807" i="7"/>
  <c r="Q807" i="7"/>
  <c r="P807" i="7"/>
  <c r="O807" i="7"/>
  <c r="Z806" i="7"/>
  <c r="Y806" i="7"/>
  <c r="X806" i="7"/>
  <c r="W806" i="7"/>
  <c r="V806" i="7"/>
  <c r="U806" i="7"/>
  <c r="T806" i="7"/>
  <c r="S806" i="7"/>
  <c r="R806" i="7"/>
  <c r="Q806" i="7"/>
  <c r="P806" i="7"/>
  <c r="O806" i="7"/>
  <c r="Z805" i="7"/>
  <c r="Y805" i="7"/>
  <c r="X805" i="7"/>
  <c r="W805" i="7"/>
  <c r="V805" i="7"/>
  <c r="U805" i="7"/>
  <c r="T805" i="7"/>
  <c r="S805" i="7"/>
  <c r="R805" i="7"/>
  <c r="Q805" i="7"/>
  <c r="P805" i="7"/>
  <c r="O805" i="7"/>
  <c r="AA803" i="7"/>
  <c r="K798" i="7"/>
  <c r="Z797" i="7"/>
  <c r="Y797" i="7"/>
  <c r="X797" i="7"/>
  <c r="W797" i="7"/>
  <c r="V797" i="7"/>
  <c r="U797" i="7"/>
  <c r="T797" i="7"/>
  <c r="S797" i="7"/>
  <c r="R797" i="7"/>
  <c r="Q797" i="7"/>
  <c r="P797" i="7"/>
  <c r="O797" i="7"/>
  <c r="Z796" i="7"/>
  <c r="Y796" i="7"/>
  <c r="X796" i="7"/>
  <c r="W796" i="7"/>
  <c r="V796" i="7"/>
  <c r="U796" i="7"/>
  <c r="T796" i="7"/>
  <c r="S796" i="7"/>
  <c r="R796" i="7"/>
  <c r="Q796" i="7"/>
  <c r="P796" i="7"/>
  <c r="O796" i="7"/>
  <c r="Z795" i="7"/>
  <c r="X795" i="7"/>
  <c r="V795" i="7"/>
  <c r="T795" i="7"/>
  <c r="R795" i="7"/>
  <c r="Q794" i="7"/>
  <c r="AA794" i="7" s="1"/>
  <c r="Z793" i="7"/>
  <c r="Y793" i="7"/>
  <c r="X793" i="7"/>
  <c r="W793" i="7"/>
  <c r="V793" i="7"/>
  <c r="U793" i="7"/>
  <c r="T793" i="7"/>
  <c r="S793" i="7"/>
  <c r="R793" i="7"/>
  <c r="Q793" i="7"/>
  <c r="W792" i="7"/>
  <c r="T792" i="7"/>
  <c r="S792" i="7"/>
  <c r="Q792" i="7"/>
  <c r="W791" i="7"/>
  <c r="T791" i="7"/>
  <c r="S791" i="7"/>
  <c r="Q791" i="7"/>
  <c r="V790" i="7"/>
  <c r="Q790" i="7"/>
  <c r="P789" i="7"/>
  <c r="AA789" i="7" s="1"/>
  <c r="Z788" i="7"/>
  <c r="Y788" i="7"/>
  <c r="X788" i="7"/>
  <c r="W788" i="7"/>
  <c r="V788" i="7"/>
  <c r="U788" i="7"/>
  <c r="T788" i="7"/>
  <c r="S788" i="7"/>
  <c r="R788" i="7"/>
  <c r="Q788" i="7"/>
  <c r="P788" i="7"/>
  <c r="O788" i="7"/>
  <c r="Z787" i="7"/>
  <c r="Y787" i="7"/>
  <c r="X787" i="7"/>
  <c r="W787" i="7"/>
  <c r="V787" i="7"/>
  <c r="U787" i="7"/>
  <c r="T787" i="7"/>
  <c r="S787" i="7"/>
  <c r="R787" i="7"/>
  <c r="Q787" i="7"/>
  <c r="P787" i="7"/>
  <c r="O787" i="7"/>
  <c r="O786" i="7"/>
  <c r="AA786" i="7" s="1"/>
  <c r="Z785" i="7"/>
  <c r="U785" i="7"/>
  <c r="Z784" i="7"/>
  <c r="Y784" i="7"/>
  <c r="X784" i="7"/>
  <c r="W784" i="7"/>
  <c r="V784" i="7"/>
  <c r="U784" i="7"/>
  <c r="T784" i="7"/>
  <c r="S784" i="7"/>
  <c r="R784" i="7"/>
  <c r="Q784" i="7"/>
  <c r="P784" i="7"/>
  <c r="O784" i="7"/>
  <c r="Z783" i="7"/>
  <c r="Y783" i="7"/>
  <c r="X783" i="7"/>
  <c r="W783" i="7"/>
  <c r="V783" i="7"/>
  <c r="U783" i="7"/>
  <c r="T783" i="7"/>
  <c r="S783" i="7"/>
  <c r="R783" i="7"/>
  <c r="Q783" i="7"/>
  <c r="P783" i="7"/>
  <c r="O783" i="7"/>
  <c r="Z782" i="7"/>
  <c r="Y782" i="7"/>
  <c r="X782" i="7"/>
  <c r="W782" i="7"/>
  <c r="V782" i="7"/>
  <c r="U782" i="7"/>
  <c r="T782" i="7"/>
  <c r="S782" i="7"/>
  <c r="R782" i="7"/>
  <c r="Q782" i="7"/>
  <c r="P782" i="7"/>
  <c r="O782" i="7"/>
  <c r="Z781" i="7"/>
  <c r="Y781" i="7"/>
  <c r="X781" i="7"/>
  <c r="W781" i="7"/>
  <c r="V781" i="7"/>
  <c r="U781" i="7"/>
  <c r="T781" i="7"/>
  <c r="S781" i="7"/>
  <c r="R781" i="7"/>
  <c r="Q781" i="7"/>
  <c r="P781" i="7"/>
  <c r="O781" i="7"/>
  <c r="Z780" i="7"/>
  <c r="Y780" i="7"/>
  <c r="X780" i="7"/>
  <c r="W780" i="7"/>
  <c r="V780" i="7"/>
  <c r="U780" i="7"/>
  <c r="T780" i="7"/>
  <c r="S780" i="7"/>
  <c r="R780" i="7"/>
  <c r="Q780" i="7"/>
  <c r="P780" i="7"/>
  <c r="O780" i="7"/>
  <c r="AA778" i="7"/>
  <c r="K773" i="7"/>
  <c r="Z772" i="7"/>
  <c r="Y772" i="7"/>
  <c r="X772" i="7"/>
  <c r="W772" i="7"/>
  <c r="V772" i="7"/>
  <c r="U772" i="7"/>
  <c r="T772" i="7"/>
  <c r="S772" i="7"/>
  <c r="R772" i="7"/>
  <c r="Q772" i="7"/>
  <c r="P772" i="7"/>
  <c r="O772" i="7"/>
  <c r="Z771" i="7"/>
  <c r="Y771" i="7"/>
  <c r="X771" i="7"/>
  <c r="W771" i="7"/>
  <c r="V771" i="7"/>
  <c r="U771" i="7"/>
  <c r="T771" i="7"/>
  <c r="S771" i="7"/>
  <c r="R771" i="7"/>
  <c r="Q771" i="7"/>
  <c r="P771" i="7"/>
  <c r="O771" i="7"/>
  <c r="Z770" i="7"/>
  <c r="Y770" i="7"/>
  <c r="X770" i="7"/>
  <c r="W770" i="7"/>
  <c r="V770" i="7"/>
  <c r="U770" i="7"/>
  <c r="T770" i="7"/>
  <c r="S770" i="7"/>
  <c r="R770" i="7"/>
  <c r="Q770" i="7"/>
  <c r="P770" i="7"/>
  <c r="O770" i="7"/>
  <c r="Z769" i="7"/>
  <c r="Y769" i="7"/>
  <c r="X769" i="7"/>
  <c r="W769" i="7"/>
  <c r="V769" i="7"/>
  <c r="U769" i="7"/>
  <c r="T769" i="7"/>
  <c r="S769" i="7"/>
  <c r="R769" i="7"/>
  <c r="Q769" i="7"/>
  <c r="P769" i="7"/>
  <c r="Y768" i="7"/>
  <c r="W768" i="7"/>
  <c r="U768" i="7"/>
  <c r="S768" i="7"/>
  <c r="Q768" i="7"/>
  <c r="R767" i="7"/>
  <c r="AA767" i="7" s="1"/>
  <c r="Z766" i="7"/>
  <c r="Y766" i="7"/>
  <c r="X766" i="7"/>
  <c r="W766" i="7"/>
  <c r="V766" i="7"/>
  <c r="U766" i="7"/>
  <c r="T766" i="7"/>
  <c r="S766" i="7"/>
  <c r="R766" i="7"/>
  <c r="Q766" i="7"/>
  <c r="Z765" i="7"/>
  <c r="Y765" i="7"/>
  <c r="X765" i="7"/>
  <c r="W765" i="7"/>
  <c r="V765" i="7"/>
  <c r="U765" i="7"/>
  <c r="T765" i="7"/>
  <c r="S765" i="7"/>
  <c r="R765" i="7"/>
  <c r="Q765" i="7"/>
  <c r="P765" i="7"/>
  <c r="Z764" i="7"/>
  <c r="Y764" i="7"/>
  <c r="W764" i="7"/>
  <c r="V764" i="7"/>
  <c r="U764" i="7"/>
  <c r="R764" i="7"/>
  <c r="Q764" i="7"/>
  <c r="Z763" i="7"/>
  <c r="Y763" i="7"/>
  <c r="W763" i="7"/>
  <c r="V763" i="7"/>
  <c r="U763" i="7"/>
  <c r="R763" i="7"/>
  <c r="Q763" i="7"/>
  <c r="V762" i="7"/>
  <c r="Q762" i="7"/>
  <c r="Q761" i="7"/>
  <c r="AA761" i="7" s="1"/>
  <c r="Z760" i="7"/>
  <c r="Y760" i="7"/>
  <c r="X760" i="7"/>
  <c r="W760" i="7"/>
  <c r="V760" i="7"/>
  <c r="U760" i="7"/>
  <c r="T760" i="7"/>
  <c r="S760" i="7"/>
  <c r="R760" i="7"/>
  <c r="P759" i="7"/>
  <c r="AA759" i="7" s="1"/>
  <c r="Z758" i="7"/>
  <c r="Y758" i="7"/>
  <c r="X758" i="7"/>
  <c r="W758" i="7"/>
  <c r="V758" i="7"/>
  <c r="U758" i="7"/>
  <c r="T758" i="7"/>
  <c r="S758" i="7"/>
  <c r="R758" i="7"/>
  <c r="Q758" i="7"/>
  <c r="Z757" i="7"/>
  <c r="Y757" i="7"/>
  <c r="X757" i="7"/>
  <c r="W757" i="7"/>
  <c r="V757" i="7"/>
  <c r="U757" i="7"/>
  <c r="T757" i="7"/>
  <c r="S757" i="7"/>
  <c r="R757" i="7"/>
  <c r="Q757" i="7"/>
  <c r="P757" i="7"/>
  <c r="O757" i="7"/>
  <c r="Z756" i="7"/>
  <c r="Y756" i="7"/>
  <c r="X756" i="7"/>
  <c r="W756" i="7"/>
  <c r="V756" i="7"/>
  <c r="U756" i="7"/>
  <c r="T756" i="7"/>
  <c r="S756" i="7"/>
  <c r="R756" i="7"/>
  <c r="Q756" i="7"/>
  <c r="P756" i="7"/>
  <c r="O756" i="7"/>
  <c r="O755" i="7"/>
  <c r="AA755" i="7" s="1"/>
  <c r="Z754" i="7"/>
  <c r="U754" i="7"/>
  <c r="Z753" i="7"/>
  <c r="Y753" i="7"/>
  <c r="X753" i="7"/>
  <c r="W753" i="7"/>
  <c r="V753" i="7"/>
  <c r="U753" i="7"/>
  <c r="T753" i="7"/>
  <c r="S753" i="7"/>
  <c r="R753" i="7"/>
  <c r="Q753" i="7"/>
  <c r="P753" i="7"/>
  <c r="O753" i="7"/>
  <c r="Z752" i="7"/>
  <c r="Y752" i="7"/>
  <c r="X752" i="7"/>
  <c r="W752" i="7"/>
  <c r="V752" i="7"/>
  <c r="U752" i="7"/>
  <c r="T752" i="7"/>
  <c r="S752" i="7"/>
  <c r="R752" i="7"/>
  <c r="Q752" i="7"/>
  <c r="P752" i="7"/>
  <c r="O752" i="7"/>
  <c r="Z751" i="7"/>
  <c r="Y751" i="7"/>
  <c r="X751" i="7"/>
  <c r="W751" i="7"/>
  <c r="V751" i="7"/>
  <c r="U751" i="7"/>
  <c r="T751" i="7"/>
  <c r="S751" i="7"/>
  <c r="R751" i="7"/>
  <c r="Q751" i="7"/>
  <c r="P751" i="7"/>
  <c r="O751" i="7"/>
  <c r="Z750" i="7"/>
  <c r="Y750" i="7"/>
  <c r="X750" i="7"/>
  <c r="W750" i="7"/>
  <c r="V750" i="7"/>
  <c r="U750" i="7"/>
  <c r="T750" i="7"/>
  <c r="S750" i="7"/>
  <c r="R750" i="7"/>
  <c r="Q750" i="7"/>
  <c r="P750" i="7"/>
  <c r="O750" i="7"/>
  <c r="Z749" i="7"/>
  <c r="Y749" i="7"/>
  <c r="X749" i="7"/>
  <c r="W749" i="7"/>
  <c r="V749" i="7"/>
  <c r="U749" i="7"/>
  <c r="T749" i="7"/>
  <c r="S749" i="7"/>
  <c r="R749" i="7"/>
  <c r="Q749" i="7"/>
  <c r="P749" i="7"/>
  <c r="O749" i="7"/>
  <c r="Z748" i="7"/>
  <c r="Y748" i="7"/>
  <c r="X748" i="7"/>
  <c r="W748" i="7"/>
  <c r="V748" i="7"/>
  <c r="U748" i="7"/>
  <c r="T748" i="7"/>
  <c r="S748" i="7"/>
  <c r="R748" i="7"/>
  <c r="Q748" i="7"/>
  <c r="P748" i="7"/>
  <c r="O748" i="7"/>
  <c r="Z747" i="7"/>
  <c r="Y747" i="7"/>
  <c r="X747" i="7"/>
  <c r="W747" i="7"/>
  <c r="V747" i="7"/>
  <c r="U747" i="7"/>
  <c r="T747" i="7"/>
  <c r="S747" i="7"/>
  <c r="R747" i="7"/>
  <c r="Q747" i="7"/>
  <c r="P747" i="7"/>
  <c r="O747" i="7"/>
  <c r="AA745" i="7"/>
  <c r="K740" i="7"/>
  <c r="Z739" i="7"/>
  <c r="Y739" i="7"/>
  <c r="X739" i="7"/>
  <c r="W739" i="7"/>
  <c r="V739" i="7"/>
  <c r="U739" i="7"/>
  <c r="T739" i="7"/>
  <c r="S739" i="7"/>
  <c r="R739" i="7"/>
  <c r="Q739" i="7"/>
  <c r="P739" i="7"/>
  <c r="O739" i="7"/>
  <c r="Z738" i="7"/>
  <c r="Y738" i="7"/>
  <c r="X738" i="7"/>
  <c r="W738" i="7"/>
  <c r="V738" i="7"/>
  <c r="U738" i="7"/>
  <c r="T738" i="7"/>
  <c r="S738" i="7"/>
  <c r="R738" i="7"/>
  <c r="Q738" i="7"/>
  <c r="P738" i="7"/>
  <c r="O738" i="7"/>
  <c r="X737" i="7"/>
  <c r="U737" i="7"/>
  <c r="R737" i="7"/>
  <c r="Q736" i="7"/>
  <c r="AA736" i="7" s="1"/>
  <c r="Z735" i="7"/>
  <c r="Y735" i="7"/>
  <c r="X735" i="7"/>
  <c r="W735" i="7"/>
  <c r="V735" i="7"/>
  <c r="U735" i="7"/>
  <c r="T735" i="7"/>
  <c r="S735" i="7"/>
  <c r="R735" i="7"/>
  <c r="Q735" i="7"/>
  <c r="Q734" i="7"/>
  <c r="AA734" i="7" s="1"/>
  <c r="Q733" i="7"/>
  <c r="AA733" i="7" s="1"/>
  <c r="Z732" i="7"/>
  <c r="Y732" i="7"/>
  <c r="X732" i="7"/>
  <c r="W732" i="7"/>
  <c r="V732" i="7"/>
  <c r="U732" i="7"/>
  <c r="T732" i="7"/>
  <c r="S732" i="7"/>
  <c r="R732" i="7"/>
  <c r="V731" i="7"/>
  <c r="Q731" i="7"/>
  <c r="Z730" i="7"/>
  <c r="Y730" i="7"/>
  <c r="X730" i="7"/>
  <c r="W730" i="7"/>
  <c r="V730" i="7"/>
  <c r="U730" i="7"/>
  <c r="T730" i="7"/>
  <c r="S730" i="7"/>
  <c r="R730" i="7"/>
  <c r="Q730" i="7"/>
  <c r="P730" i="7"/>
  <c r="O730" i="7"/>
  <c r="Z729" i="7"/>
  <c r="Y729" i="7"/>
  <c r="X729" i="7"/>
  <c r="W729" i="7"/>
  <c r="V729" i="7"/>
  <c r="U729" i="7"/>
  <c r="T729" i="7"/>
  <c r="S729" i="7"/>
  <c r="R729" i="7"/>
  <c r="Q729" i="7"/>
  <c r="P729" i="7"/>
  <c r="O729" i="7"/>
  <c r="O728" i="7"/>
  <c r="AA728" i="7" s="1"/>
  <c r="Z727" i="7"/>
  <c r="U727" i="7"/>
  <c r="Z726" i="7"/>
  <c r="Y726" i="7"/>
  <c r="X726" i="7"/>
  <c r="W726" i="7"/>
  <c r="V726" i="7"/>
  <c r="U726" i="7"/>
  <c r="T726" i="7"/>
  <c r="S726" i="7"/>
  <c r="R726" i="7"/>
  <c r="Q726" i="7"/>
  <c r="P726" i="7"/>
  <c r="O726" i="7"/>
  <c r="Z725" i="7"/>
  <c r="Y725" i="7"/>
  <c r="X725" i="7"/>
  <c r="W725" i="7"/>
  <c r="V725" i="7"/>
  <c r="U725" i="7"/>
  <c r="T725" i="7"/>
  <c r="S725" i="7"/>
  <c r="R725" i="7"/>
  <c r="Q725" i="7"/>
  <c r="P725" i="7"/>
  <c r="O725" i="7"/>
  <c r="Z724" i="7"/>
  <c r="Y724" i="7"/>
  <c r="X724" i="7"/>
  <c r="W724" i="7"/>
  <c r="V724" i="7"/>
  <c r="U724" i="7"/>
  <c r="T724" i="7"/>
  <c r="S724" i="7"/>
  <c r="R724" i="7"/>
  <c r="Q724" i="7"/>
  <c r="P724" i="7"/>
  <c r="O724" i="7"/>
  <c r="Z723" i="7"/>
  <c r="Y723" i="7"/>
  <c r="X723" i="7"/>
  <c r="W723" i="7"/>
  <c r="V723" i="7"/>
  <c r="U723" i="7"/>
  <c r="T723" i="7"/>
  <c r="S723" i="7"/>
  <c r="R723" i="7"/>
  <c r="Q723" i="7"/>
  <c r="P723" i="7"/>
  <c r="O723" i="7"/>
  <c r="Z722" i="7"/>
  <c r="Y722" i="7"/>
  <c r="X722" i="7"/>
  <c r="W722" i="7"/>
  <c r="V722" i="7"/>
  <c r="U722" i="7"/>
  <c r="T722" i="7"/>
  <c r="S722" i="7"/>
  <c r="R722" i="7"/>
  <c r="Q722" i="7"/>
  <c r="P722" i="7"/>
  <c r="O722" i="7"/>
  <c r="AA720" i="7"/>
  <c r="K715" i="7"/>
  <c r="Z714" i="7"/>
  <c r="Y714" i="7"/>
  <c r="X714" i="7"/>
  <c r="W714" i="7"/>
  <c r="V714" i="7"/>
  <c r="U714" i="7"/>
  <c r="T714" i="7"/>
  <c r="S714" i="7"/>
  <c r="R714" i="7"/>
  <c r="Q714" i="7"/>
  <c r="P714" i="7"/>
  <c r="O714" i="7"/>
  <c r="Z713" i="7"/>
  <c r="Y713" i="7"/>
  <c r="X713" i="7"/>
  <c r="W713" i="7"/>
  <c r="V713" i="7"/>
  <c r="U713" i="7"/>
  <c r="T713" i="7"/>
  <c r="S713" i="7"/>
  <c r="R713" i="7"/>
  <c r="Q713" i="7"/>
  <c r="P713" i="7"/>
  <c r="O713" i="7"/>
  <c r="Z712" i="7"/>
  <c r="X712" i="7"/>
  <c r="V712" i="7"/>
  <c r="T712" i="7"/>
  <c r="R712" i="7"/>
  <c r="Q711" i="7"/>
  <c r="AA711" i="7" s="1"/>
  <c r="Z710" i="7"/>
  <c r="Y710" i="7"/>
  <c r="X710" i="7"/>
  <c r="W710" i="7"/>
  <c r="V710" i="7"/>
  <c r="U710" i="7"/>
  <c r="T710" i="7"/>
  <c r="S710" i="7"/>
  <c r="R710" i="7"/>
  <c r="Q710" i="7"/>
  <c r="P710" i="7"/>
  <c r="Z709" i="7"/>
  <c r="Y709" i="7"/>
  <c r="X709" i="7"/>
  <c r="W709" i="7"/>
  <c r="V709" i="7"/>
  <c r="U709" i="7"/>
  <c r="T709" i="7"/>
  <c r="S709" i="7"/>
  <c r="R709" i="7"/>
  <c r="Q709" i="7"/>
  <c r="P709" i="7"/>
  <c r="Y708" i="7"/>
  <c r="V708" i="7"/>
  <c r="S708" i="7"/>
  <c r="R708" i="7"/>
  <c r="Y707" i="7"/>
  <c r="V707" i="7"/>
  <c r="S707" i="7"/>
  <c r="R707" i="7"/>
  <c r="V706" i="7"/>
  <c r="Q706" i="7"/>
  <c r="Z705" i="7"/>
  <c r="Y705" i="7"/>
  <c r="X705" i="7"/>
  <c r="W705" i="7"/>
  <c r="V705" i="7"/>
  <c r="U705" i="7"/>
  <c r="T705" i="7"/>
  <c r="S705" i="7"/>
  <c r="R705" i="7"/>
  <c r="Q705" i="7"/>
  <c r="P705" i="7"/>
  <c r="V704" i="7"/>
  <c r="Q704" i="7"/>
  <c r="Z703" i="7"/>
  <c r="Y703" i="7"/>
  <c r="X703" i="7"/>
  <c r="W703" i="7"/>
  <c r="V703" i="7"/>
  <c r="U703" i="7"/>
  <c r="T703" i="7"/>
  <c r="S703" i="7"/>
  <c r="R703" i="7"/>
  <c r="Q703" i="7"/>
  <c r="P703" i="7"/>
  <c r="Z702" i="7"/>
  <c r="Y702" i="7"/>
  <c r="X702" i="7"/>
  <c r="W702" i="7"/>
  <c r="V702" i="7"/>
  <c r="U702" i="7"/>
  <c r="T702" i="7"/>
  <c r="S702" i="7"/>
  <c r="R702" i="7"/>
  <c r="Q702" i="7"/>
  <c r="P702" i="7"/>
  <c r="O702" i="7"/>
  <c r="Z701" i="7"/>
  <c r="Y701" i="7"/>
  <c r="X701" i="7"/>
  <c r="W701" i="7"/>
  <c r="V701" i="7"/>
  <c r="U701" i="7"/>
  <c r="T701" i="7"/>
  <c r="S701" i="7"/>
  <c r="R701" i="7"/>
  <c r="Q701" i="7"/>
  <c r="P701" i="7"/>
  <c r="O701" i="7"/>
  <c r="O700" i="7"/>
  <c r="AA700" i="7" s="1"/>
  <c r="Z699" i="7"/>
  <c r="U699" i="7"/>
  <c r="Z698" i="7"/>
  <c r="Y698" i="7"/>
  <c r="X698" i="7"/>
  <c r="W698" i="7"/>
  <c r="V698" i="7"/>
  <c r="U698" i="7"/>
  <c r="T698" i="7"/>
  <c r="S698" i="7"/>
  <c r="R698" i="7"/>
  <c r="Q698" i="7"/>
  <c r="P698" i="7"/>
  <c r="O698" i="7"/>
  <c r="Z697" i="7"/>
  <c r="Y697" i="7"/>
  <c r="X697" i="7"/>
  <c r="W697" i="7"/>
  <c r="V697" i="7"/>
  <c r="U697" i="7"/>
  <c r="T697" i="7"/>
  <c r="S697" i="7"/>
  <c r="R697" i="7"/>
  <c r="Q697" i="7"/>
  <c r="P697" i="7"/>
  <c r="O697" i="7"/>
  <c r="Z696" i="7"/>
  <c r="Y696" i="7"/>
  <c r="X696" i="7"/>
  <c r="W696" i="7"/>
  <c r="V696" i="7"/>
  <c r="U696" i="7"/>
  <c r="T696" i="7"/>
  <c r="S696" i="7"/>
  <c r="R696" i="7"/>
  <c r="Q696" i="7"/>
  <c r="P696" i="7"/>
  <c r="O696" i="7"/>
  <c r="Z695" i="7"/>
  <c r="Y695" i="7"/>
  <c r="X695" i="7"/>
  <c r="W695" i="7"/>
  <c r="V695" i="7"/>
  <c r="U695" i="7"/>
  <c r="T695" i="7"/>
  <c r="S695" i="7"/>
  <c r="R695" i="7"/>
  <c r="Q695" i="7"/>
  <c r="P695" i="7"/>
  <c r="O695" i="7"/>
  <c r="Z694" i="7"/>
  <c r="Y694" i="7"/>
  <c r="X694" i="7"/>
  <c r="W694" i="7"/>
  <c r="V694" i="7"/>
  <c r="U694" i="7"/>
  <c r="T694" i="7"/>
  <c r="S694" i="7"/>
  <c r="R694" i="7"/>
  <c r="Q694" i="7"/>
  <c r="P694" i="7"/>
  <c r="O694" i="7"/>
  <c r="AA692" i="7"/>
  <c r="AA686" i="7"/>
  <c r="AA685" i="7"/>
  <c r="Y684" i="7"/>
  <c r="W684" i="7"/>
  <c r="U684" i="7"/>
  <c r="S684" i="7"/>
  <c r="Q684" i="7"/>
  <c r="U683" i="7"/>
  <c r="Q683" i="7"/>
  <c r="Z682" i="7"/>
  <c r="Y682" i="7"/>
  <c r="X682" i="7"/>
  <c r="W682" i="7"/>
  <c r="V682" i="7"/>
  <c r="U682" i="7"/>
  <c r="T682" i="7"/>
  <c r="S682" i="7"/>
  <c r="R682" i="7"/>
  <c r="Q682" i="7"/>
  <c r="P682" i="7"/>
  <c r="O682" i="7"/>
  <c r="Z681" i="7"/>
  <c r="Y681" i="7"/>
  <c r="X681" i="7"/>
  <c r="W681" i="7"/>
  <c r="V681" i="7"/>
  <c r="U681" i="7"/>
  <c r="T681" i="7"/>
  <c r="S681" i="7"/>
  <c r="R681" i="7"/>
  <c r="Q681" i="7"/>
  <c r="Z680" i="7"/>
  <c r="Y680" i="7"/>
  <c r="W680" i="7"/>
  <c r="V680" i="7"/>
  <c r="U680" i="7"/>
  <c r="R680" i="7"/>
  <c r="Q680" i="7"/>
  <c r="Z679" i="7"/>
  <c r="Y679" i="7"/>
  <c r="W679" i="7"/>
  <c r="V679" i="7"/>
  <c r="U679" i="7"/>
  <c r="R679" i="7"/>
  <c r="Q679" i="7"/>
  <c r="R678" i="7"/>
  <c r="AA678" i="7" s="1"/>
  <c r="Z677" i="7"/>
  <c r="Y677" i="7"/>
  <c r="X677" i="7"/>
  <c r="W677" i="7"/>
  <c r="V677" i="7"/>
  <c r="U677" i="7"/>
  <c r="T677" i="7"/>
  <c r="S677" i="7"/>
  <c r="R677" i="7"/>
  <c r="Q677" i="7"/>
  <c r="S676" i="7"/>
  <c r="AA676" i="7" s="1"/>
  <c r="Z675" i="7"/>
  <c r="Y675" i="7"/>
  <c r="X675" i="7"/>
  <c r="W675" i="7"/>
  <c r="V675" i="7"/>
  <c r="U675" i="7"/>
  <c r="T675" i="7"/>
  <c r="S675" i="7"/>
  <c r="R675" i="7"/>
  <c r="Q675" i="7"/>
  <c r="P675" i="7"/>
  <c r="O675" i="7"/>
  <c r="Z674" i="7"/>
  <c r="Y674" i="7"/>
  <c r="X674" i="7"/>
  <c r="W674" i="7"/>
  <c r="V674" i="7"/>
  <c r="U674" i="7"/>
  <c r="T674" i="7"/>
  <c r="S674" i="7"/>
  <c r="R674" i="7"/>
  <c r="Q674" i="7"/>
  <c r="P674" i="7"/>
  <c r="O674" i="7"/>
  <c r="O673" i="7"/>
  <c r="AA673" i="7" s="1"/>
  <c r="Z672" i="7"/>
  <c r="U672" i="7"/>
  <c r="Z671" i="7"/>
  <c r="Y671" i="7"/>
  <c r="X671" i="7"/>
  <c r="W671" i="7"/>
  <c r="V671" i="7"/>
  <c r="U671" i="7"/>
  <c r="T671" i="7"/>
  <c r="S671" i="7"/>
  <c r="R671" i="7"/>
  <c r="Q671" i="7"/>
  <c r="P671" i="7"/>
  <c r="O671" i="7"/>
  <c r="Z670" i="7"/>
  <c r="Y670" i="7"/>
  <c r="X670" i="7"/>
  <c r="W670" i="7"/>
  <c r="V670" i="7"/>
  <c r="U670" i="7"/>
  <c r="T670" i="7"/>
  <c r="S670" i="7"/>
  <c r="R670" i="7"/>
  <c r="Q670" i="7"/>
  <c r="P670" i="7"/>
  <c r="O670" i="7"/>
  <c r="Z669" i="7"/>
  <c r="Y669" i="7"/>
  <c r="X669" i="7"/>
  <c r="W669" i="7"/>
  <c r="V669" i="7"/>
  <c r="U669" i="7"/>
  <c r="T669" i="7"/>
  <c r="S669" i="7"/>
  <c r="R669" i="7"/>
  <c r="Q669" i="7"/>
  <c r="P669" i="7"/>
  <c r="O669" i="7"/>
  <c r="Z668" i="7"/>
  <c r="Y668" i="7"/>
  <c r="X668" i="7"/>
  <c r="W668" i="7"/>
  <c r="V668" i="7"/>
  <c r="U668" i="7"/>
  <c r="T668" i="7"/>
  <c r="S668" i="7"/>
  <c r="R668" i="7"/>
  <c r="Q668" i="7"/>
  <c r="P668" i="7"/>
  <c r="O668" i="7"/>
  <c r="Z667" i="7"/>
  <c r="Y667" i="7"/>
  <c r="X667" i="7"/>
  <c r="W667" i="7"/>
  <c r="V667" i="7"/>
  <c r="U667" i="7"/>
  <c r="T667" i="7"/>
  <c r="S667" i="7"/>
  <c r="R667" i="7"/>
  <c r="Q667" i="7"/>
  <c r="P667" i="7"/>
  <c r="O667" i="7"/>
  <c r="Z666" i="7"/>
  <c r="Y666" i="7"/>
  <c r="X666" i="7"/>
  <c r="W666" i="7"/>
  <c r="V666" i="7"/>
  <c r="U666" i="7"/>
  <c r="T666" i="7"/>
  <c r="S666" i="7"/>
  <c r="R666" i="7"/>
  <c r="Q666" i="7"/>
  <c r="P666" i="7"/>
  <c r="O666" i="7"/>
  <c r="Z665" i="7"/>
  <c r="Y665" i="7"/>
  <c r="X665" i="7"/>
  <c r="W665" i="7"/>
  <c r="V665" i="7"/>
  <c r="U665" i="7"/>
  <c r="T665" i="7"/>
  <c r="S665" i="7"/>
  <c r="R665" i="7"/>
  <c r="Q665" i="7"/>
  <c r="P665" i="7"/>
  <c r="O665" i="7"/>
  <c r="AA663" i="7"/>
  <c r="AA659" i="7"/>
  <c r="AA658" i="7"/>
  <c r="AA657" i="7"/>
  <c r="AA656" i="7"/>
  <c r="AA655" i="7"/>
  <c r="AA654" i="7"/>
  <c r="AA653" i="7"/>
  <c r="AA652" i="7"/>
  <c r="AA651" i="7"/>
  <c r="AA650" i="7"/>
  <c r="AA649" i="7"/>
  <c r="AA648" i="7"/>
  <c r="AA647" i="7"/>
  <c r="AA646" i="7"/>
  <c r="AA645" i="7"/>
  <c r="K636" i="7"/>
  <c r="AA635" i="7"/>
  <c r="AA634" i="7"/>
  <c r="AA633" i="7"/>
  <c r="AA632" i="7"/>
  <c r="AA631" i="7"/>
  <c r="AA630" i="7"/>
  <c r="AA629" i="7"/>
  <c r="AA628" i="7"/>
  <c r="AA627" i="7"/>
  <c r="AA626" i="7"/>
  <c r="AA625" i="7"/>
  <c r="AA624" i="7"/>
  <c r="AA623" i="7"/>
  <c r="AA622" i="7"/>
  <c r="AA621" i="7"/>
  <c r="AA620" i="7"/>
  <c r="AA619" i="7"/>
  <c r="AA618" i="7"/>
  <c r="AA617" i="7"/>
  <c r="AA616" i="7"/>
  <c r="AA615" i="7"/>
  <c r="AA614" i="7"/>
  <c r="AA613" i="7"/>
  <c r="K608" i="7"/>
  <c r="AA607" i="7"/>
  <c r="AA606" i="7"/>
  <c r="AA605" i="7"/>
  <c r="AA604" i="7"/>
  <c r="AA603" i="7"/>
  <c r="AA602" i="7"/>
  <c r="AA601" i="7"/>
  <c r="AA600" i="7"/>
  <c r="AA599" i="7"/>
  <c r="AA598" i="7"/>
  <c r="AA597" i="7"/>
  <c r="AA596" i="7"/>
  <c r="AA595" i="7"/>
  <c r="AA594" i="7"/>
  <c r="AA593" i="7"/>
  <c r="AA592" i="7"/>
  <c r="AA591" i="7"/>
  <c r="AA590" i="7"/>
  <c r="AA589" i="7"/>
  <c r="AA588" i="7"/>
  <c r="AA587" i="7"/>
  <c r="K582" i="7"/>
  <c r="AA581" i="7"/>
  <c r="AA580" i="7"/>
  <c r="AA579" i="7"/>
  <c r="AA578" i="7"/>
  <c r="AA577" i="7"/>
  <c r="AA576" i="7"/>
  <c r="AA575" i="7"/>
  <c r="AA574" i="7"/>
  <c r="AA573" i="7"/>
  <c r="AA572" i="7"/>
  <c r="AA571" i="7"/>
  <c r="AA570" i="7"/>
  <c r="AA569" i="7"/>
  <c r="AA568" i="7"/>
  <c r="AA567" i="7"/>
  <c r="AA566" i="7"/>
  <c r="AA565" i="7"/>
  <c r="AA564" i="7"/>
  <c r="AA563" i="7"/>
  <c r="AA562" i="7"/>
  <c r="AA561" i="7"/>
  <c r="AA560" i="7"/>
  <c r="AA559" i="7"/>
  <c r="AA558" i="7"/>
  <c r="K553" i="7"/>
  <c r="AA552" i="7"/>
  <c r="AA551" i="7"/>
  <c r="AA550" i="7"/>
  <c r="AA549" i="7"/>
  <c r="AA548" i="7"/>
  <c r="AA547" i="7"/>
  <c r="AA546" i="7"/>
  <c r="AA545" i="7"/>
  <c r="AA544" i="7"/>
  <c r="AA543" i="7"/>
  <c r="AA542" i="7"/>
  <c r="AA541" i="7"/>
  <c r="AA540" i="7"/>
  <c r="AA539" i="7"/>
  <c r="AA538" i="7"/>
  <c r="AA537" i="7"/>
  <c r="AA536" i="7"/>
  <c r="AA535" i="7"/>
  <c r="AA534" i="7"/>
  <c r="AA533" i="7"/>
  <c r="K528" i="7"/>
  <c r="AA527" i="7"/>
  <c r="AA526" i="7"/>
  <c r="AA525" i="7"/>
  <c r="AA524" i="7"/>
  <c r="AA523" i="7"/>
  <c r="AA522" i="7"/>
  <c r="AA521" i="7"/>
  <c r="AA520" i="7"/>
  <c r="AA519" i="7"/>
  <c r="AA518" i="7"/>
  <c r="AA517" i="7"/>
  <c r="AA516" i="7"/>
  <c r="AA515" i="7"/>
  <c r="AA514" i="7"/>
  <c r="AA513" i="7"/>
  <c r="AA512" i="7"/>
  <c r="AA511" i="7"/>
  <c r="AA510" i="7"/>
  <c r="AA509" i="7"/>
  <c r="AA508" i="7"/>
  <c r="AA507" i="7"/>
  <c r="AA506" i="7"/>
  <c r="AA505" i="7"/>
  <c r="AA504" i="7"/>
  <c r="AA499" i="7"/>
  <c r="AA498" i="7"/>
  <c r="AA497" i="7"/>
  <c r="AA496" i="7"/>
  <c r="AA495" i="7"/>
  <c r="AA494" i="7"/>
  <c r="AA493" i="7"/>
  <c r="AA492" i="7"/>
  <c r="AA491" i="7"/>
  <c r="AA490" i="7"/>
  <c r="AA489" i="7"/>
  <c r="AA488" i="7"/>
  <c r="AA487" i="7"/>
  <c r="AA486" i="7"/>
  <c r="AA485" i="7"/>
  <c r="AA484" i="7"/>
  <c r="AA483" i="7"/>
  <c r="AA482" i="7"/>
  <c r="AA481" i="7"/>
  <c r="AA480" i="7"/>
  <c r="AA479" i="7"/>
  <c r="AA478" i="7"/>
  <c r="AA477" i="7"/>
  <c r="AA476" i="7"/>
  <c r="AA475" i="7"/>
  <c r="AA474" i="7"/>
  <c r="AA473" i="7"/>
  <c r="K468" i="7"/>
  <c r="AA467" i="7"/>
  <c r="AA466" i="7"/>
  <c r="AA465" i="7"/>
  <c r="AA464" i="7"/>
  <c r="AA463" i="7"/>
  <c r="AA462" i="7"/>
  <c r="AA461" i="7"/>
  <c r="AA460" i="7"/>
  <c r="AA459" i="7"/>
  <c r="AA458" i="7"/>
  <c r="AA457" i="7"/>
  <c r="AA456" i="7"/>
  <c r="AA455" i="7"/>
  <c r="AA454" i="7"/>
  <c r="AA453" i="7"/>
  <c r="AA452" i="7"/>
  <c r="AA451" i="7"/>
  <c r="AA450" i="7"/>
  <c r="AA449" i="7"/>
  <c r="AA448" i="7"/>
  <c r="AA447" i="7"/>
  <c r="AA446" i="7"/>
  <c r="AA445" i="7"/>
  <c r="AA444" i="7"/>
  <c r="AA443" i="7"/>
  <c r="AA437" i="7"/>
  <c r="AA436" i="7"/>
  <c r="AA435" i="7"/>
  <c r="AA434" i="7"/>
  <c r="AA433" i="7"/>
  <c r="AA432" i="7"/>
  <c r="AA431" i="7"/>
  <c r="AA430" i="7"/>
  <c r="AA429" i="7"/>
  <c r="AA428" i="7"/>
  <c r="AA427" i="7"/>
  <c r="AA426" i="7"/>
  <c r="AA425" i="7"/>
  <c r="AA424" i="7"/>
  <c r="AA423" i="7"/>
  <c r="AA422" i="7"/>
  <c r="AA421" i="7"/>
  <c r="AA420" i="7"/>
  <c r="AA419" i="7"/>
  <c r="AA418" i="7"/>
  <c r="AA417" i="7"/>
  <c r="AA416" i="7"/>
  <c r="AA415" i="7"/>
  <c r="AA414" i="7"/>
  <c r="AA413" i="7"/>
  <c r="Z412" i="7"/>
  <c r="Y412" i="7"/>
  <c r="X412" i="7"/>
  <c r="W412" i="7"/>
  <c r="V412" i="7"/>
  <c r="U412" i="7"/>
  <c r="T412" i="7"/>
  <c r="S412" i="7"/>
  <c r="R412" i="7"/>
  <c r="Q412" i="7"/>
  <c r="P412" i="7"/>
  <c r="O412" i="7"/>
  <c r="AA411" i="7"/>
  <c r="AA405" i="7"/>
  <c r="AA404" i="7"/>
  <c r="AA403" i="7"/>
  <c r="AA402" i="7"/>
  <c r="AA401" i="7"/>
  <c r="AA400" i="7"/>
  <c r="AA399" i="7"/>
  <c r="AA398" i="7"/>
  <c r="AA397" i="7"/>
  <c r="AA396" i="7"/>
  <c r="AA395" i="7"/>
  <c r="AA394" i="7"/>
  <c r="AA393" i="7"/>
  <c r="AA392" i="7"/>
  <c r="AA391" i="7"/>
  <c r="AA390" i="7"/>
  <c r="AA389" i="7"/>
  <c r="AA388" i="7"/>
  <c r="AA387" i="7"/>
  <c r="AA386" i="7"/>
  <c r="AA385" i="7"/>
  <c r="AA384" i="7"/>
  <c r="AA383" i="7"/>
  <c r="AA382" i="7"/>
  <c r="AA381" i="7"/>
  <c r="AA380" i="7"/>
  <c r="AA379" i="7"/>
  <c r="AA378" i="7"/>
  <c r="AA377" i="7"/>
  <c r="AA376" i="7"/>
  <c r="AA375" i="7"/>
  <c r="AA374" i="7"/>
  <c r="AA373" i="7"/>
  <c r="AA372" i="7"/>
  <c r="AA371" i="7"/>
  <c r="AA365" i="7"/>
  <c r="AA364" i="7"/>
  <c r="AA363" i="7"/>
  <c r="AA362" i="7"/>
  <c r="AA361" i="7"/>
  <c r="AA360" i="7"/>
  <c r="AA359" i="7"/>
  <c r="AA358" i="7"/>
  <c r="AA357" i="7"/>
  <c r="AA356" i="7"/>
  <c r="AA355" i="7"/>
  <c r="AA354" i="7"/>
  <c r="AA353" i="7"/>
  <c r="AA352" i="7"/>
  <c r="AA351" i="7"/>
  <c r="AA350" i="7"/>
  <c r="AA349" i="7"/>
  <c r="AA348" i="7"/>
  <c r="AA347" i="7"/>
  <c r="AA346" i="7"/>
  <c r="AA345" i="7"/>
  <c r="AA344" i="7"/>
  <c r="AA343" i="7"/>
  <c r="AA342" i="7"/>
  <c r="AA341" i="7"/>
  <c r="AA340" i="7"/>
  <c r="AA339" i="7"/>
  <c r="AA338" i="7"/>
  <c r="AA337" i="7"/>
  <c r="AA336" i="7"/>
  <c r="AA335" i="7"/>
  <c r="AA334" i="7"/>
  <c r="AA333" i="7"/>
  <c r="AA332" i="7"/>
  <c r="AA331" i="7"/>
  <c r="AA330" i="7"/>
  <c r="AA329" i="7"/>
  <c r="AA328" i="7"/>
  <c r="K323" i="7"/>
  <c r="AA322" i="7"/>
  <c r="AA321" i="7"/>
  <c r="AA320" i="7"/>
  <c r="AA319" i="7"/>
  <c r="AA318" i="7"/>
  <c r="AA317" i="7"/>
  <c r="AA316" i="7"/>
  <c r="AA315" i="7"/>
  <c r="AA314" i="7"/>
  <c r="AA313" i="7"/>
  <c r="AA312" i="7"/>
  <c r="AA311" i="7"/>
  <c r="AA310" i="7"/>
  <c r="AA309" i="7"/>
  <c r="AA308" i="7"/>
  <c r="AA307" i="7"/>
  <c r="AA306" i="7"/>
  <c r="AA305" i="7"/>
  <c r="AA304" i="7"/>
  <c r="AA303" i="7"/>
  <c r="AA302" i="7"/>
  <c r="AA301" i="7"/>
  <c r="AA300" i="7"/>
  <c r="AA299" i="7"/>
  <c r="AA298" i="7"/>
  <c r="AA297" i="7"/>
  <c r="Z296" i="7"/>
  <c r="Y296" i="7"/>
  <c r="X296" i="7"/>
  <c r="W296" i="7"/>
  <c r="V296" i="7"/>
  <c r="U296" i="7"/>
  <c r="T296" i="7"/>
  <c r="S296" i="7"/>
  <c r="R296" i="7"/>
  <c r="Q296" i="7"/>
  <c r="P296" i="7"/>
  <c r="O296" i="7"/>
  <c r="AA295" i="7"/>
  <c r="AA289" i="7"/>
  <c r="AA288" i="7"/>
  <c r="AA287" i="7"/>
  <c r="AA286" i="7"/>
  <c r="AA285" i="7"/>
  <c r="AA284" i="7"/>
  <c r="AA283" i="7"/>
  <c r="AA282" i="7"/>
  <c r="AA281" i="7"/>
  <c r="AA280" i="7"/>
  <c r="AA279" i="7"/>
  <c r="AA278" i="7"/>
  <c r="AA277" i="7"/>
  <c r="AA276" i="7"/>
  <c r="AA275" i="7"/>
  <c r="AA274" i="7"/>
  <c r="AA273" i="7"/>
  <c r="AA272" i="7"/>
  <c r="AA266" i="7"/>
  <c r="AA265" i="7"/>
  <c r="AA264" i="7"/>
  <c r="AA263" i="7"/>
  <c r="AA262" i="7"/>
  <c r="AA261" i="7"/>
  <c r="AA260" i="7"/>
  <c r="AA259" i="7"/>
  <c r="AA258" i="7"/>
  <c r="AA257" i="7"/>
  <c r="AA256" i="7"/>
  <c r="AA255" i="7"/>
  <c r="AA254" i="7"/>
  <c r="AA253" i="7"/>
  <c r="AA252" i="7"/>
  <c r="AA251" i="7"/>
  <c r="AA250" i="7"/>
  <c r="AA249" i="7"/>
  <c r="AA248" i="7"/>
  <c r="AA247" i="7"/>
  <c r="AA246" i="7"/>
  <c r="AA245" i="7"/>
  <c r="AA244" i="7"/>
  <c r="AA243" i="7"/>
  <c r="Z242" i="7"/>
  <c r="Y242" i="7"/>
  <c r="X242" i="7"/>
  <c r="W242" i="7"/>
  <c r="V242" i="7"/>
  <c r="U242" i="7"/>
  <c r="T242" i="7"/>
  <c r="S242" i="7"/>
  <c r="R242" i="7"/>
  <c r="Q242" i="7"/>
  <c r="P242" i="7"/>
  <c r="O242" i="7"/>
  <c r="AA241" i="7"/>
  <c r="AA235" i="7"/>
  <c r="AA234" i="7"/>
  <c r="AA233" i="7"/>
  <c r="AA232" i="7"/>
  <c r="AA231" i="7"/>
  <c r="AA230" i="7"/>
  <c r="AA229" i="7"/>
  <c r="AA228" i="7"/>
  <c r="AA227" i="7"/>
  <c r="AA226" i="7"/>
  <c r="AA225" i="7"/>
  <c r="AA224" i="7"/>
  <c r="AA223" i="7"/>
  <c r="AA222" i="7"/>
  <c r="AA221" i="7"/>
  <c r="AA220" i="7"/>
  <c r="AA219" i="7"/>
  <c r="AA218" i="7"/>
  <c r="Z217" i="7"/>
  <c r="Y217" i="7"/>
  <c r="X217" i="7"/>
  <c r="W217" i="7"/>
  <c r="V217" i="7"/>
  <c r="U217" i="7"/>
  <c r="T217" i="7"/>
  <c r="S217" i="7"/>
  <c r="R217" i="7"/>
  <c r="Q217" i="7"/>
  <c r="P217" i="7"/>
  <c r="O217" i="7"/>
  <c r="AA216" i="7"/>
  <c r="AA210" i="7"/>
  <c r="AA209" i="7"/>
  <c r="AA208" i="7"/>
  <c r="AA207" i="7"/>
  <c r="AA206" i="7"/>
  <c r="AA205" i="7"/>
  <c r="AA204" i="7"/>
  <c r="AA203" i="7"/>
  <c r="AA202" i="7"/>
  <c r="AA201" i="7"/>
  <c r="AA200" i="7"/>
  <c r="AA199" i="7"/>
  <c r="AA198" i="7"/>
  <c r="AA197" i="7"/>
  <c r="AA196" i="7"/>
  <c r="AA195" i="7"/>
  <c r="AA194" i="7"/>
  <c r="AA193" i="7"/>
  <c r="AA192" i="7"/>
  <c r="AA191" i="7"/>
  <c r="Z190" i="7"/>
  <c r="Y190" i="7"/>
  <c r="X190" i="7"/>
  <c r="W190" i="7"/>
  <c r="V190" i="7"/>
  <c r="U190" i="7"/>
  <c r="T190" i="7"/>
  <c r="S190" i="7"/>
  <c r="R190" i="7"/>
  <c r="Q190" i="7"/>
  <c r="P190" i="7"/>
  <c r="O190" i="7"/>
  <c r="AA189" i="7"/>
  <c r="AA183" i="7"/>
  <c r="AA182" i="7"/>
  <c r="AA181" i="7"/>
  <c r="AA180" i="7"/>
  <c r="AA179" i="7"/>
  <c r="AA178" i="7"/>
  <c r="AA177" i="7"/>
  <c r="AA176" i="7"/>
  <c r="AA175" i="7"/>
  <c r="AA174" i="7"/>
  <c r="AA173" i="7"/>
  <c r="AA172" i="7"/>
  <c r="AA171" i="7"/>
  <c r="AA170" i="7"/>
  <c r="AA169" i="7"/>
  <c r="AA168" i="7"/>
  <c r="AA167" i="7"/>
  <c r="AA166" i="7"/>
  <c r="AA165" i="7"/>
  <c r="AA164" i="7"/>
  <c r="AA163" i="7"/>
  <c r="AA162" i="7"/>
  <c r="AA161" i="7"/>
  <c r="AA160" i="7"/>
  <c r="AA159" i="7"/>
  <c r="AA158" i="7"/>
  <c r="AA157" i="7"/>
  <c r="AA153" i="7"/>
  <c r="AA152" i="7"/>
  <c r="AA151" i="7"/>
  <c r="AA150" i="7"/>
  <c r="AA149" i="7"/>
  <c r="AA148" i="7"/>
  <c r="AA147" i="7"/>
  <c r="AA146" i="7"/>
  <c r="AA145" i="7"/>
  <c r="AA144" i="7"/>
  <c r="AA143" i="7"/>
  <c r="AA142" i="7"/>
  <c r="AA141" i="7"/>
  <c r="AA140" i="7"/>
  <c r="AA139" i="7"/>
  <c r="AA138" i="7"/>
  <c r="AA137" i="7"/>
  <c r="AA136" i="7"/>
  <c r="AA135" i="7"/>
  <c r="AA134" i="7"/>
  <c r="AA133" i="7"/>
  <c r="AA132" i="7"/>
  <c r="AA131" i="7"/>
  <c r="AA130" i="7"/>
  <c r="AA129" i="7"/>
  <c r="AA128" i="7"/>
  <c r="AA127" i="7"/>
  <c r="AA126" i="7"/>
  <c r="AA125" i="7"/>
  <c r="AA124" i="7"/>
  <c r="AA118" i="7"/>
  <c r="Z117" i="7"/>
  <c r="Y117" i="7"/>
  <c r="X117" i="7"/>
  <c r="W117" i="7"/>
  <c r="V117" i="7"/>
  <c r="U117" i="7"/>
  <c r="T117" i="7"/>
  <c r="S117" i="7"/>
  <c r="R117" i="7"/>
  <c r="Q117" i="7"/>
  <c r="P117" i="7"/>
  <c r="Q116" i="7"/>
  <c r="AA116" i="7" s="1"/>
  <c r="Z115" i="7"/>
  <c r="Y115" i="7"/>
  <c r="X115" i="7"/>
  <c r="W115" i="7"/>
  <c r="V115" i="7"/>
  <c r="U115" i="7"/>
  <c r="T115" i="7"/>
  <c r="S115" i="7"/>
  <c r="R115" i="7"/>
  <c r="Q115" i="7"/>
  <c r="P115" i="7"/>
  <c r="Q114" i="7"/>
  <c r="AA114" i="7" s="1"/>
  <c r="Q113" i="7"/>
  <c r="AA113" i="7" s="1"/>
  <c r="Z112" i="7"/>
  <c r="Y112" i="7"/>
  <c r="X112" i="7"/>
  <c r="W112" i="7"/>
  <c r="V112" i="7"/>
  <c r="U112" i="7"/>
  <c r="T112" i="7"/>
  <c r="S112" i="7"/>
  <c r="R112" i="7"/>
  <c r="Q112" i="7"/>
  <c r="P112" i="7"/>
  <c r="Z111" i="7"/>
  <c r="Y111" i="7"/>
  <c r="X111" i="7"/>
  <c r="W111" i="7"/>
  <c r="V111" i="7"/>
  <c r="U111" i="7"/>
  <c r="T111" i="7"/>
  <c r="S111" i="7"/>
  <c r="R111" i="7"/>
  <c r="Q111" i="7"/>
  <c r="P111" i="7"/>
  <c r="AA110" i="7"/>
  <c r="Z109" i="7"/>
  <c r="U109" i="7"/>
  <c r="Z108" i="7"/>
  <c r="Y108" i="7"/>
  <c r="X108" i="7"/>
  <c r="W108" i="7"/>
  <c r="V108" i="7"/>
  <c r="U108" i="7"/>
  <c r="T108" i="7"/>
  <c r="S108" i="7"/>
  <c r="R108" i="7"/>
  <c r="Q108" i="7"/>
  <c r="P108" i="7"/>
  <c r="Z107" i="7"/>
  <c r="Y107" i="7"/>
  <c r="X107" i="7"/>
  <c r="W107" i="7"/>
  <c r="V107" i="7"/>
  <c r="U107" i="7"/>
  <c r="T107" i="7"/>
  <c r="S107" i="7"/>
  <c r="R107" i="7"/>
  <c r="Q107" i="7"/>
  <c r="P107" i="7"/>
  <c r="Z106" i="7"/>
  <c r="Y106" i="7"/>
  <c r="X106" i="7"/>
  <c r="W106" i="7"/>
  <c r="V106" i="7"/>
  <c r="U106" i="7"/>
  <c r="T106" i="7"/>
  <c r="S106" i="7"/>
  <c r="R106" i="7"/>
  <c r="Q106" i="7"/>
  <c r="P106" i="7"/>
  <c r="Z105" i="7"/>
  <c r="Y105" i="7"/>
  <c r="X105" i="7"/>
  <c r="W105" i="7"/>
  <c r="V105" i="7"/>
  <c r="U105" i="7"/>
  <c r="T105" i="7"/>
  <c r="S105" i="7"/>
  <c r="R105" i="7"/>
  <c r="Q105" i="7"/>
  <c r="P105" i="7"/>
  <c r="Z104" i="7"/>
  <c r="Y104" i="7"/>
  <c r="X104" i="7"/>
  <c r="W104" i="7"/>
  <c r="V104" i="7"/>
  <c r="U104" i="7"/>
  <c r="T104" i="7"/>
  <c r="S104" i="7"/>
  <c r="R104" i="7"/>
  <c r="Q104" i="7"/>
  <c r="P104" i="7"/>
  <c r="AA103" i="7"/>
  <c r="AA102" i="7"/>
  <c r="Z96" i="7"/>
  <c r="Y96" i="7"/>
  <c r="X96" i="7"/>
  <c r="W96" i="7"/>
  <c r="V96" i="7"/>
  <c r="U96" i="7"/>
  <c r="T96" i="7"/>
  <c r="S96" i="7"/>
  <c r="R96" i="7"/>
  <c r="Q96" i="7"/>
  <c r="P96" i="7"/>
  <c r="O96" i="7"/>
  <c r="Z95" i="7"/>
  <c r="Y95" i="7"/>
  <c r="X95" i="7"/>
  <c r="W95" i="7"/>
  <c r="V95" i="7"/>
  <c r="U95" i="7"/>
  <c r="T95" i="7"/>
  <c r="S95" i="7"/>
  <c r="R95" i="7"/>
  <c r="Q95" i="7"/>
  <c r="P95" i="7"/>
  <c r="P71" i="7" s="1"/>
  <c r="O95" i="7"/>
  <c r="Q94" i="7"/>
  <c r="Y93" i="7"/>
  <c r="W93" i="7"/>
  <c r="U93" i="7"/>
  <c r="S93" i="7"/>
  <c r="Q93" i="7"/>
  <c r="Q92" i="7"/>
  <c r="Q91" i="7"/>
  <c r="W90" i="7"/>
  <c r="T90" i="7"/>
  <c r="S90" i="7"/>
  <c r="Q90" i="7"/>
  <c r="W89" i="7"/>
  <c r="T89" i="7"/>
  <c r="S89" i="7"/>
  <c r="Q89" i="7"/>
  <c r="Q88" i="7"/>
  <c r="Q87" i="7"/>
  <c r="Z86" i="7"/>
  <c r="Y86" i="7"/>
  <c r="X86" i="7"/>
  <c r="W86" i="7"/>
  <c r="V86" i="7"/>
  <c r="U86" i="7"/>
  <c r="T86" i="7"/>
  <c r="S86" i="7"/>
  <c r="R86" i="7"/>
  <c r="Q86" i="7"/>
  <c r="U85" i="7"/>
  <c r="Q85" i="7"/>
  <c r="Q84" i="7"/>
  <c r="S83" i="7"/>
  <c r="O82" i="7"/>
  <c r="O81" i="7"/>
  <c r="O80" i="7"/>
  <c r="Z79" i="7"/>
  <c r="U79" i="7"/>
  <c r="O78" i="7"/>
  <c r="O77" i="7"/>
  <c r="O76" i="7"/>
  <c r="O75" i="7"/>
  <c r="O74" i="7"/>
  <c r="O73" i="7"/>
  <c r="O72" i="7"/>
  <c r="AA70" i="7"/>
  <c r="AA67" i="7"/>
  <c r="AA66" i="7"/>
  <c r="AA65" i="7"/>
  <c r="AA64" i="7"/>
  <c r="AA63" i="7"/>
  <c r="AA62" i="7"/>
  <c r="AA61" i="7"/>
  <c r="AA60" i="7"/>
  <c r="AA59" i="7"/>
  <c r="O52" i="7"/>
  <c r="AA57" i="7"/>
  <c r="AA56" i="7"/>
  <c r="AA55" i="7"/>
  <c r="AA54" i="7"/>
  <c r="AA53" i="7"/>
  <c r="Z52" i="7"/>
  <c r="Y52" i="7"/>
  <c r="X52" i="7"/>
  <c r="W52" i="7"/>
  <c r="V52" i="7"/>
  <c r="U52" i="7"/>
  <c r="T52" i="7"/>
  <c r="S52" i="7"/>
  <c r="R52" i="7"/>
  <c r="Q52" i="7"/>
  <c r="P52" i="7"/>
  <c r="AA51" i="7"/>
  <c r="AA47" i="7"/>
  <c r="AA46" i="7"/>
  <c r="AA45" i="7"/>
  <c r="AA44" i="7"/>
  <c r="AA43" i="7"/>
  <c r="AA42" i="7"/>
  <c r="AA41" i="7"/>
  <c r="AA40" i="7"/>
  <c r="AA39" i="7"/>
  <c r="AA38" i="7"/>
  <c r="AA37" i="7"/>
  <c r="AA36" i="7"/>
  <c r="AA35" i="7"/>
  <c r="AA34" i="7"/>
  <c r="AA33" i="7"/>
  <c r="AA32" i="7"/>
  <c r="AA31" i="7"/>
  <c r="AA30" i="7"/>
  <c r="AA29" i="7"/>
  <c r="AA28" i="7"/>
  <c r="K27" i="7" s="1"/>
  <c r="AA27" i="7"/>
  <c r="AA695" i="6"/>
  <c r="K695" i="6"/>
  <c r="AA694" i="6"/>
  <c r="AA693" i="6"/>
  <c r="AA692" i="6"/>
  <c r="Z691" i="6"/>
  <c r="Y691" i="6"/>
  <c r="X691" i="6"/>
  <c r="W691" i="6"/>
  <c r="V691" i="6"/>
  <c r="U691" i="6"/>
  <c r="T691" i="6"/>
  <c r="S691" i="6"/>
  <c r="R691" i="6"/>
  <c r="Q691" i="6"/>
  <c r="P691" i="6"/>
  <c r="O691" i="6"/>
  <c r="AA690" i="6"/>
  <c r="AA689" i="6"/>
  <c r="AA688" i="6"/>
  <c r="AA687" i="6"/>
  <c r="AA686" i="6"/>
  <c r="AA685" i="6"/>
  <c r="Z684" i="6"/>
  <c r="Y684" i="6"/>
  <c r="X684" i="6"/>
  <c r="W684" i="6"/>
  <c r="V684" i="6"/>
  <c r="U684" i="6"/>
  <c r="T684" i="6"/>
  <c r="S684" i="6"/>
  <c r="R684" i="6"/>
  <c r="Q684" i="6"/>
  <c r="P684" i="6"/>
  <c r="O684" i="6"/>
  <c r="AA683" i="6"/>
  <c r="AA682" i="6"/>
  <c r="AA681" i="6"/>
  <c r="AA680" i="6"/>
  <c r="Z679" i="6"/>
  <c r="Y679" i="6"/>
  <c r="X679" i="6"/>
  <c r="W679" i="6"/>
  <c r="V679" i="6"/>
  <c r="U679" i="6"/>
  <c r="T679" i="6"/>
  <c r="S679" i="6"/>
  <c r="R679" i="6"/>
  <c r="Q679" i="6"/>
  <c r="P679" i="6"/>
  <c r="O679" i="6"/>
  <c r="Z678" i="6"/>
  <c r="Y678" i="6"/>
  <c r="X678" i="6"/>
  <c r="X672" i="6" s="1"/>
  <c r="W678" i="6"/>
  <c r="W672" i="6" s="1"/>
  <c r="V678" i="6"/>
  <c r="U678" i="6"/>
  <c r="U672" i="6" s="1"/>
  <c r="T678" i="6"/>
  <c r="T672" i="6" s="1"/>
  <c r="S678" i="6"/>
  <c r="S672" i="6" s="1"/>
  <c r="R678" i="6"/>
  <c r="Q678" i="6"/>
  <c r="Q672" i="6" s="1"/>
  <c r="P678" i="6"/>
  <c r="P672" i="6" s="1"/>
  <c r="O678" i="6"/>
  <c r="O672" i="6" s="1"/>
  <c r="AA677" i="6"/>
  <c r="AA676" i="6"/>
  <c r="AA675" i="6"/>
  <c r="AA674" i="6"/>
  <c r="AA673" i="6"/>
  <c r="Y672" i="6"/>
  <c r="Z670" i="6"/>
  <c r="Y670" i="6"/>
  <c r="X670" i="6"/>
  <c r="W670" i="6"/>
  <c r="V670" i="6"/>
  <c r="U670" i="6"/>
  <c r="T670" i="6"/>
  <c r="S670" i="6"/>
  <c r="R670" i="6"/>
  <c r="Q670" i="6"/>
  <c r="P670" i="6"/>
  <c r="O670" i="6"/>
  <c r="Z669" i="6"/>
  <c r="Y669" i="6"/>
  <c r="X669" i="6"/>
  <c r="W669" i="6"/>
  <c r="V669" i="6"/>
  <c r="U669" i="6"/>
  <c r="T669" i="6"/>
  <c r="S669" i="6"/>
  <c r="R669" i="6"/>
  <c r="Q669" i="6"/>
  <c r="P669" i="6"/>
  <c r="O669" i="6"/>
  <c r="Z668" i="6"/>
  <c r="Y668" i="6"/>
  <c r="X668" i="6"/>
  <c r="W668" i="6"/>
  <c r="V668" i="6"/>
  <c r="U668" i="6"/>
  <c r="T668" i="6"/>
  <c r="S668" i="6"/>
  <c r="R668" i="6"/>
  <c r="Q668" i="6"/>
  <c r="P668" i="6"/>
  <c r="O668" i="6"/>
  <c r="Z667" i="6"/>
  <c r="Y667" i="6"/>
  <c r="X667" i="6"/>
  <c r="W667" i="6"/>
  <c r="V667" i="6"/>
  <c r="U667" i="6"/>
  <c r="T667" i="6"/>
  <c r="S667" i="6"/>
  <c r="R667" i="6"/>
  <c r="Q667" i="6"/>
  <c r="P667" i="6"/>
  <c r="O667" i="6"/>
  <c r="Z666" i="6"/>
  <c r="Y666" i="6"/>
  <c r="X666" i="6"/>
  <c r="W666" i="6"/>
  <c r="V666" i="6"/>
  <c r="U666" i="6"/>
  <c r="T666" i="6"/>
  <c r="S666" i="6"/>
  <c r="R666" i="6"/>
  <c r="Q666" i="6"/>
  <c r="P666" i="6"/>
  <c r="O666" i="6"/>
  <c r="Z665" i="6"/>
  <c r="Y665" i="6"/>
  <c r="X665" i="6"/>
  <c r="W665" i="6"/>
  <c r="V665" i="6"/>
  <c r="U665" i="6"/>
  <c r="T665" i="6"/>
  <c r="S665" i="6"/>
  <c r="R665" i="6"/>
  <c r="Q665" i="6"/>
  <c r="P665" i="6"/>
  <c r="O665" i="6"/>
  <c r="Z664" i="6"/>
  <c r="Y664" i="6"/>
  <c r="X664" i="6"/>
  <c r="W664" i="6"/>
  <c r="V664" i="6"/>
  <c r="U664" i="6"/>
  <c r="T664" i="6"/>
  <c r="S664" i="6"/>
  <c r="R664" i="6"/>
  <c r="Q664" i="6"/>
  <c r="P664" i="6"/>
  <c r="O664" i="6"/>
  <c r="Z663" i="6"/>
  <c r="Y663" i="6"/>
  <c r="X663" i="6"/>
  <c r="W663" i="6"/>
  <c r="V663" i="6"/>
  <c r="U663" i="6"/>
  <c r="T663" i="6"/>
  <c r="S663" i="6"/>
  <c r="R663" i="6"/>
  <c r="Q663" i="6"/>
  <c r="P663" i="6"/>
  <c r="O663" i="6"/>
  <c r="Z662" i="6"/>
  <c r="Y662" i="6"/>
  <c r="X662" i="6"/>
  <c r="W662" i="6"/>
  <c r="V662" i="6"/>
  <c r="U662" i="6"/>
  <c r="T662" i="6"/>
  <c r="S662" i="6"/>
  <c r="R662" i="6"/>
  <c r="Q662" i="6"/>
  <c r="P662" i="6"/>
  <c r="O662" i="6"/>
  <c r="Z661" i="6"/>
  <c r="Y661" i="6"/>
  <c r="X661" i="6"/>
  <c r="W661" i="6"/>
  <c r="V661" i="6"/>
  <c r="U661" i="6"/>
  <c r="T661" i="6"/>
  <c r="S661" i="6"/>
  <c r="R661" i="6"/>
  <c r="Q661" i="6"/>
  <c r="P661" i="6"/>
  <c r="O661" i="6"/>
  <c r="Z660" i="6"/>
  <c r="Y660" i="6"/>
  <c r="X660" i="6"/>
  <c r="X659" i="6" s="1"/>
  <c r="W660" i="6"/>
  <c r="V660" i="6"/>
  <c r="V659" i="6" s="1"/>
  <c r="U660" i="6"/>
  <c r="U659" i="6" s="1"/>
  <c r="T660" i="6"/>
  <c r="T659" i="6" s="1"/>
  <c r="S660" i="6"/>
  <c r="S659" i="6" s="1"/>
  <c r="R660" i="6"/>
  <c r="R659" i="6" s="1"/>
  <c r="Q660" i="6"/>
  <c r="Q659" i="6" s="1"/>
  <c r="P660" i="6"/>
  <c r="P659" i="6" s="1"/>
  <c r="O660" i="6"/>
  <c r="O659" i="6" s="1"/>
  <c r="AA658" i="6"/>
  <c r="AA648" i="6"/>
  <c r="AA647" i="6"/>
  <c r="AA646" i="6"/>
  <c r="AA645" i="6"/>
  <c r="AA644" i="6"/>
  <c r="AA643" i="6"/>
  <c r="AA642" i="6"/>
  <c r="Z641" i="6"/>
  <c r="Y641" i="6"/>
  <c r="X641" i="6"/>
  <c r="W641" i="6"/>
  <c r="V641" i="6"/>
  <c r="U641" i="6"/>
  <c r="T641" i="6"/>
  <c r="S641" i="6"/>
  <c r="R641" i="6"/>
  <c r="Q641" i="6"/>
  <c r="P641" i="6"/>
  <c r="AA631" i="6"/>
  <c r="AA630" i="6"/>
  <c r="AA629" i="6"/>
  <c r="AA628" i="6"/>
  <c r="AA627" i="6"/>
  <c r="Z626" i="6"/>
  <c r="Y626" i="6"/>
  <c r="X626" i="6"/>
  <c r="W626" i="6"/>
  <c r="V626" i="6"/>
  <c r="U626" i="6"/>
  <c r="T626" i="6"/>
  <c r="S626" i="6"/>
  <c r="R626" i="6"/>
  <c r="Q626" i="6"/>
  <c r="P626" i="6"/>
  <c r="AA616" i="6"/>
  <c r="AA615" i="6"/>
  <c r="AA614" i="6"/>
  <c r="AA613" i="6"/>
  <c r="Z612" i="6"/>
  <c r="Y612" i="6"/>
  <c r="X612" i="6"/>
  <c r="W612" i="6"/>
  <c r="V612" i="6"/>
  <c r="U612" i="6"/>
  <c r="T612" i="6"/>
  <c r="S612" i="6"/>
  <c r="R612" i="6"/>
  <c r="Q612" i="6"/>
  <c r="P612" i="6"/>
  <c r="AA602" i="6"/>
  <c r="AA601" i="6"/>
  <c r="AA600" i="6"/>
  <c r="AA599" i="6"/>
  <c r="Z598" i="6"/>
  <c r="Y598" i="6"/>
  <c r="X598" i="6"/>
  <c r="W598" i="6"/>
  <c r="V598" i="6"/>
  <c r="U598" i="6"/>
  <c r="T598" i="6"/>
  <c r="S598" i="6"/>
  <c r="R598" i="6"/>
  <c r="Q598" i="6"/>
  <c r="P598" i="6"/>
  <c r="O598" i="6"/>
  <c r="AA583" i="6"/>
  <c r="AA582" i="6"/>
  <c r="AA581" i="6"/>
  <c r="AA580" i="6"/>
  <c r="AA579" i="6"/>
  <c r="AA578" i="6"/>
  <c r="AA577" i="6"/>
  <c r="AA576" i="6"/>
  <c r="AA575" i="6"/>
  <c r="AA574" i="6"/>
  <c r="AA573" i="6"/>
  <c r="AA572" i="6"/>
  <c r="AA571" i="6"/>
  <c r="AA570" i="6"/>
  <c r="AA569" i="6"/>
  <c r="AA568" i="6"/>
  <c r="AA567" i="6"/>
  <c r="AA566" i="6"/>
  <c r="AA565" i="6"/>
  <c r="AA564" i="6"/>
  <c r="AA563" i="6"/>
  <c r="AA562" i="6"/>
  <c r="AA561" i="6"/>
  <c r="AA560" i="6"/>
  <c r="AA559" i="6"/>
  <c r="Z558" i="6"/>
  <c r="Y558" i="6"/>
  <c r="X558" i="6"/>
  <c r="W558" i="6"/>
  <c r="V558" i="6"/>
  <c r="U558" i="6"/>
  <c r="T558" i="6"/>
  <c r="S558" i="6"/>
  <c r="R558" i="6"/>
  <c r="Q558" i="6"/>
  <c r="P558" i="6"/>
  <c r="O558" i="6"/>
  <c r="AA557" i="6"/>
  <c r="AA554" i="6"/>
  <c r="AA553" i="6"/>
  <c r="AA552" i="6"/>
  <c r="AA551" i="6"/>
  <c r="AA550" i="6"/>
  <c r="AA549" i="6"/>
  <c r="AA548" i="6"/>
  <c r="AA547" i="6"/>
  <c r="AA546" i="6"/>
  <c r="AA545" i="6"/>
  <c r="AA544" i="6"/>
  <c r="AA543" i="6"/>
  <c r="AA542" i="6"/>
  <c r="AA541" i="6"/>
  <c r="AA540" i="6"/>
  <c r="AA539" i="6"/>
  <c r="AA538" i="6"/>
  <c r="AA537" i="6"/>
  <c r="AA536" i="6"/>
  <c r="AA535" i="6"/>
  <c r="AA534" i="6"/>
  <c r="AA533" i="6"/>
  <c r="AA532" i="6"/>
  <c r="AA531" i="6"/>
  <c r="AA530" i="6"/>
  <c r="AA529" i="6"/>
  <c r="AA528" i="6"/>
  <c r="AA527" i="6"/>
  <c r="AA526" i="6"/>
  <c r="AA525" i="6"/>
  <c r="AA524" i="6"/>
  <c r="AA523" i="6"/>
  <c r="AA522" i="6"/>
  <c r="AA521" i="6"/>
  <c r="Z520" i="6"/>
  <c r="Y520" i="6"/>
  <c r="X520" i="6"/>
  <c r="W520" i="6"/>
  <c r="V520" i="6"/>
  <c r="U520" i="6"/>
  <c r="T520" i="6"/>
  <c r="S520" i="6"/>
  <c r="R520" i="6"/>
  <c r="Q520" i="6"/>
  <c r="P520" i="6"/>
  <c r="O520" i="6"/>
  <c r="AA519" i="6"/>
  <c r="AA516" i="6"/>
  <c r="AA515" i="6"/>
  <c r="AA514" i="6"/>
  <c r="AA513" i="6"/>
  <c r="AA512" i="6"/>
  <c r="AA511" i="6"/>
  <c r="AA510" i="6"/>
  <c r="AA509" i="6"/>
  <c r="AA508" i="6"/>
  <c r="AA507" i="6"/>
  <c r="AA506" i="6"/>
  <c r="Z505" i="6"/>
  <c r="Y505" i="6"/>
  <c r="X505" i="6"/>
  <c r="W505" i="6"/>
  <c r="V505" i="6"/>
  <c r="U505" i="6"/>
  <c r="T505" i="6"/>
  <c r="S505" i="6"/>
  <c r="R505" i="6"/>
  <c r="Q505" i="6"/>
  <c r="P505" i="6"/>
  <c r="O505" i="6"/>
  <c r="AA504" i="6"/>
  <c r="AA494" i="6"/>
  <c r="AA493" i="6"/>
  <c r="AA492" i="6"/>
  <c r="AA491" i="6"/>
  <c r="AA490" i="6"/>
  <c r="Z489" i="6"/>
  <c r="Y489" i="6"/>
  <c r="X489" i="6"/>
  <c r="W489" i="6"/>
  <c r="V489" i="6"/>
  <c r="U489" i="6"/>
  <c r="T489" i="6"/>
  <c r="S489" i="6"/>
  <c r="R489" i="6"/>
  <c r="Q489" i="6"/>
  <c r="P489" i="6"/>
  <c r="O489" i="6"/>
  <c r="AA488" i="6"/>
  <c r="AA479" i="6"/>
  <c r="AA478" i="6"/>
  <c r="AA477" i="6"/>
  <c r="AA476" i="6"/>
  <c r="AA475" i="6"/>
  <c r="AA474" i="6"/>
  <c r="AA473" i="6"/>
  <c r="AA472" i="6"/>
  <c r="AA471" i="6"/>
  <c r="AA470" i="6"/>
  <c r="AA469" i="6"/>
  <c r="AA468" i="6"/>
  <c r="AA467" i="6"/>
  <c r="AA466" i="6"/>
  <c r="AA465" i="6"/>
  <c r="AA464" i="6"/>
  <c r="AA463" i="6"/>
  <c r="Z462" i="6"/>
  <c r="Y462" i="6"/>
  <c r="X462" i="6"/>
  <c r="W462" i="6"/>
  <c r="V462" i="6"/>
  <c r="U462" i="6"/>
  <c r="T462" i="6"/>
  <c r="S462" i="6"/>
  <c r="R462" i="6"/>
  <c r="Q462" i="6"/>
  <c r="P462" i="6"/>
  <c r="O462" i="6"/>
  <c r="AA461" i="6"/>
  <c r="AA450" i="6"/>
  <c r="AA449" i="6"/>
  <c r="P448" i="6"/>
  <c r="O448" i="6"/>
  <c r="AA447" i="6"/>
  <c r="AA446" i="6"/>
  <c r="AA445" i="6"/>
  <c r="Z444" i="6"/>
  <c r="Y444" i="6"/>
  <c r="X444" i="6"/>
  <c r="W444" i="6"/>
  <c r="V444" i="6"/>
  <c r="U444" i="6"/>
  <c r="T444" i="6"/>
  <c r="S444" i="6"/>
  <c r="R444" i="6"/>
  <c r="Q444" i="6"/>
  <c r="P444" i="6"/>
  <c r="O444" i="6"/>
  <c r="AA443" i="6"/>
  <c r="AA442" i="6"/>
  <c r="R441" i="6"/>
  <c r="Q441" i="6"/>
  <c r="P441" i="6"/>
  <c r="O441" i="6"/>
  <c r="AA439" i="6"/>
  <c r="AA438" i="6"/>
  <c r="AA437" i="6"/>
  <c r="Z436" i="6"/>
  <c r="Y436" i="6"/>
  <c r="X436" i="6"/>
  <c r="W436" i="6"/>
  <c r="V436" i="6"/>
  <c r="U436" i="6"/>
  <c r="T436" i="6"/>
  <c r="S436" i="6"/>
  <c r="R436" i="6"/>
  <c r="Q436" i="6"/>
  <c r="P436" i="6"/>
  <c r="O436" i="6"/>
  <c r="AA435" i="6"/>
  <c r="AA434" i="6"/>
  <c r="AA433" i="6"/>
  <c r="Z432" i="6"/>
  <c r="Y432" i="6"/>
  <c r="X432" i="6"/>
  <c r="W432" i="6"/>
  <c r="V432" i="6"/>
  <c r="U432" i="6"/>
  <c r="T432" i="6"/>
  <c r="S432" i="6"/>
  <c r="R432" i="6"/>
  <c r="Q432" i="6"/>
  <c r="P432" i="6"/>
  <c r="O432" i="6"/>
  <c r="AA431" i="6"/>
  <c r="S430" i="6"/>
  <c r="AA430" i="6" s="1"/>
  <c r="AA429" i="6"/>
  <c r="AA428" i="6"/>
  <c r="AA427" i="6"/>
  <c r="Z426" i="6"/>
  <c r="Y426" i="6"/>
  <c r="X426" i="6"/>
  <c r="W426" i="6"/>
  <c r="V426" i="6"/>
  <c r="U426" i="6"/>
  <c r="T426" i="6"/>
  <c r="R426" i="6"/>
  <c r="Q426" i="6"/>
  <c r="P426" i="6"/>
  <c r="O426" i="6"/>
  <c r="AA425" i="6"/>
  <c r="AA424" i="6"/>
  <c r="AA423" i="6"/>
  <c r="Z422" i="6"/>
  <c r="Y422" i="6"/>
  <c r="X422" i="6"/>
  <c r="W422" i="6"/>
  <c r="V422" i="6"/>
  <c r="U422" i="6"/>
  <c r="T422" i="6"/>
  <c r="S422" i="6"/>
  <c r="R422" i="6"/>
  <c r="Q422" i="6"/>
  <c r="P422" i="6"/>
  <c r="O422" i="6"/>
  <c r="AA420" i="6"/>
  <c r="AA419" i="6"/>
  <c r="AA416" i="6"/>
  <c r="AA415" i="6"/>
  <c r="AA413" i="6"/>
  <c r="AA412" i="6"/>
  <c r="AA411" i="6"/>
  <c r="AA410" i="6"/>
  <c r="AA409" i="6"/>
  <c r="Z408" i="6"/>
  <c r="Y408" i="6"/>
  <c r="X408" i="6"/>
  <c r="W408" i="6"/>
  <c r="V408" i="6"/>
  <c r="U408" i="6"/>
  <c r="T408" i="6"/>
  <c r="S408" i="6"/>
  <c r="R408" i="6"/>
  <c r="Q408" i="6"/>
  <c r="P408" i="6"/>
  <c r="O408" i="6"/>
  <c r="AA397" i="6"/>
  <c r="AA396" i="6"/>
  <c r="AA395" i="6"/>
  <c r="AA394" i="6"/>
  <c r="AA393" i="6"/>
  <c r="AA390" i="6"/>
  <c r="AA389" i="6"/>
  <c r="AA388" i="6"/>
  <c r="AA387" i="6"/>
  <c r="AA385" i="6"/>
  <c r="AA384" i="6"/>
  <c r="AA383" i="6"/>
  <c r="AA382" i="6"/>
  <c r="AA381" i="6"/>
  <c r="Z380" i="6"/>
  <c r="Y380" i="6"/>
  <c r="X380" i="6"/>
  <c r="W380" i="6"/>
  <c r="V380" i="6"/>
  <c r="U380" i="6"/>
  <c r="T380" i="6"/>
  <c r="S380" i="6"/>
  <c r="R380" i="6"/>
  <c r="Q380" i="6"/>
  <c r="P380" i="6"/>
  <c r="O380" i="6"/>
  <c r="AA370" i="6"/>
  <c r="AA369" i="6"/>
  <c r="AA368" i="6"/>
  <c r="AA367" i="6"/>
  <c r="AA366" i="6"/>
  <c r="AA365" i="6"/>
  <c r="Z364" i="6"/>
  <c r="Y364" i="6"/>
  <c r="X364" i="6"/>
  <c r="W364" i="6"/>
  <c r="V364" i="6"/>
  <c r="U364" i="6"/>
  <c r="T364" i="6"/>
  <c r="S364" i="6"/>
  <c r="R364" i="6"/>
  <c r="Q364" i="6"/>
  <c r="P364" i="6"/>
  <c r="O364" i="6"/>
  <c r="AA363" i="6"/>
  <c r="AA362" i="6"/>
  <c r="AA361" i="6"/>
  <c r="AA360" i="6"/>
  <c r="AA359" i="6"/>
  <c r="AA358" i="6"/>
  <c r="AA357" i="6"/>
  <c r="Z356" i="6"/>
  <c r="Y356" i="6"/>
  <c r="X356" i="6"/>
  <c r="W356" i="6"/>
  <c r="V356" i="6"/>
  <c r="U356" i="6"/>
  <c r="T356" i="6"/>
  <c r="S356" i="6"/>
  <c r="R356" i="6"/>
  <c r="Q356" i="6"/>
  <c r="P356" i="6"/>
  <c r="O356" i="6"/>
  <c r="AA355" i="6"/>
  <c r="AA354" i="6"/>
  <c r="AA353" i="6"/>
  <c r="AA352" i="6"/>
  <c r="AA351" i="6"/>
  <c r="AA350" i="6"/>
  <c r="AA349" i="6"/>
  <c r="AA348" i="6"/>
  <c r="AA347" i="6"/>
  <c r="Z346" i="6"/>
  <c r="Y346" i="6"/>
  <c r="X346" i="6"/>
  <c r="W346" i="6"/>
  <c r="V346" i="6"/>
  <c r="U346" i="6"/>
  <c r="T346" i="6"/>
  <c r="S346" i="6"/>
  <c r="R346" i="6"/>
  <c r="Q346" i="6"/>
  <c r="P346" i="6"/>
  <c r="O346" i="6"/>
  <c r="AA345" i="6"/>
  <c r="AA333" i="6"/>
  <c r="AA332" i="6"/>
  <c r="AA331" i="6"/>
  <c r="AA330" i="6"/>
  <c r="AA329" i="6"/>
  <c r="AA328" i="6"/>
  <c r="AA327" i="6"/>
  <c r="Z326" i="6"/>
  <c r="Y326" i="6"/>
  <c r="X326" i="6"/>
  <c r="W326" i="6"/>
  <c r="V326" i="6"/>
  <c r="U326" i="6"/>
  <c r="T326" i="6"/>
  <c r="S326" i="6"/>
  <c r="R326" i="6"/>
  <c r="Q326" i="6"/>
  <c r="P326" i="6"/>
  <c r="O326" i="6"/>
  <c r="AA325" i="6"/>
  <c r="AA167" i="6"/>
  <c r="AA166" i="6"/>
  <c r="AA165" i="6"/>
  <c r="AA164" i="6"/>
  <c r="AA163" i="6"/>
  <c r="AA162" i="6"/>
  <c r="AA161" i="6"/>
  <c r="AA160" i="6"/>
  <c r="AA158" i="6"/>
  <c r="AA156" i="6"/>
  <c r="AA155" i="6"/>
  <c r="AA154" i="6"/>
  <c r="AA153" i="6"/>
  <c r="AA151" i="6"/>
  <c r="AA150" i="6"/>
  <c r="Z149" i="6"/>
  <c r="W149" i="6"/>
  <c r="S149" i="6"/>
  <c r="P149" i="6"/>
  <c r="O149" i="6"/>
  <c r="AA148" i="6"/>
  <c r="AA312" i="6"/>
  <c r="AA311" i="6"/>
  <c r="AA310" i="6"/>
  <c r="AA309" i="6"/>
  <c r="AA308" i="6"/>
  <c r="AA307" i="6"/>
  <c r="AA306" i="6"/>
  <c r="AA305" i="6"/>
  <c r="AA304" i="6"/>
  <c r="AA303" i="6"/>
  <c r="AA302" i="6"/>
  <c r="AA301" i="6"/>
  <c r="AA300" i="6"/>
  <c r="AA299" i="6"/>
  <c r="AA298" i="6"/>
  <c r="AA297" i="6"/>
  <c r="AA296" i="6"/>
  <c r="AA295" i="6"/>
  <c r="Z294" i="6"/>
  <c r="Y294" i="6"/>
  <c r="X294" i="6"/>
  <c r="W294" i="6"/>
  <c r="V294" i="6"/>
  <c r="U294" i="6"/>
  <c r="T294" i="6"/>
  <c r="S294" i="6"/>
  <c r="R294" i="6"/>
  <c r="Q294" i="6"/>
  <c r="P294" i="6"/>
  <c r="O294" i="6"/>
  <c r="AA293" i="6"/>
  <c r="AA282" i="6"/>
  <c r="Z281" i="6"/>
  <c r="Y281" i="6"/>
  <c r="X281" i="6"/>
  <c r="W281" i="6"/>
  <c r="V281" i="6"/>
  <c r="U281" i="6"/>
  <c r="T281" i="6"/>
  <c r="S281" i="6"/>
  <c r="R281" i="6"/>
  <c r="Q281" i="6"/>
  <c r="P281" i="6"/>
  <c r="O281" i="6"/>
  <c r="AA280" i="6"/>
  <c r="AA272" i="6"/>
  <c r="Z271" i="6"/>
  <c r="Y271" i="6"/>
  <c r="X271" i="6"/>
  <c r="W271" i="6"/>
  <c r="V271" i="6"/>
  <c r="U271" i="6"/>
  <c r="T271" i="6"/>
  <c r="S271" i="6"/>
  <c r="R271" i="6"/>
  <c r="Q271" i="6"/>
  <c r="P271" i="6"/>
  <c r="O271" i="6"/>
  <c r="AA270" i="6"/>
  <c r="AA269" i="6"/>
  <c r="AA268" i="6"/>
  <c r="AA267" i="6"/>
  <c r="AA266" i="6"/>
  <c r="AA265" i="6"/>
  <c r="AA264" i="6"/>
  <c r="AA263" i="6"/>
  <c r="AA262" i="6"/>
  <c r="AA261" i="6"/>
  <c r="AA260" i="6"/>
  <c r="AA259" i="6"/>
  <c r="AA258" i="6"/>
  <c r="AA257" i="6"/>
  <c r="Z256" i="6"/>
  <c r="Y256" i="6"/>
  <c r="X256" i="6"/>
  <c r="W256" i="6"/>
  <c r="V256" i="6"/>
  <c r="U256" i="6"/>
  <c r="T256" i="6"/>
  <c r="S256" i="6"/>
  <c r="R256" i="6"/>
  <c r="Q256" i="6"/>
  <c r="P256" i="6"/>
  <c r="O256" i="6"/>
  <c r="AA255" i="6"/>
  <c r="AA254" i="6"/>
  <c r="AA253" i="6"/>
  <c r="AA252" i="6"/>
  <c r="AA251" i="6"/>
  <c r="Z250" i="6"/>
  <c r="Y250" i="6"/>
  <c r="X250" i="6"/>
  <c r="W250" i="6"/>
  <c r="V250" i="6"/>
  <c r="U250" i="6"/>
  <c r="T250" i="6"/>
  <c r="S250" i="6"/>
  <c r="R250" i="6"/>
  <c r="Q250" i="6"/>
  <c r="P250" i="6"/>
  <c r="O250" i="6"/>
  <c r="AA249" i="6"/>
  <c r="AA248" i="6"/>
  <c r="AA247" i="6"/>
  <c r="AA246" i="6"/>
  <c r="AA245" i="6"/>
  <c r="Z244" i="6"/>
  <c r="Y244" i="6"/>
  <c r="X244" i="6"/>
  <c r="W244" i="6"/>
  <c r="V244" i="6"/>
  <c r="U244" i="6"/>
  <c r="T244" i="6"/>
  <c r="S244" i="6"/>
  <c r="R244" i="6"/>
  <c r="Q244" i="6"/>
  <c r="P244" i="6"/>
  <c r="O244" i="6"/>
  <c r="AA243" i="6"/>
  <c r="AA242" i="6"/>
  <c r="Z241" i="6"/>
  <c r="Y241" i="6"/>
  <c r="X241" i="6"/>
  <c r="W241" i="6"/>
  <c r="V241" i="6"/>
  <c r="U241" i="6"/>
  <c r="T241" i="6"/>
  <c r="S241" i="6"/>
  <c r="R241" i="6"/>
  <c r="Q241" i="6"/>
  <c r="P241" i="6"/>
  <c r="O241" i="6"/>
  <c r="AA240" i="6"/>
  <c r="AA239" i="6"/>
  <c r="AA238" i="6"/>
  <c r="AA237" i="6"/>
  <c r="AA236" i="6"/>
  <c r="AA235" i="6"/>
  <c r="AA234" i="6"/>
  <c r="AA233" i="6"/>
  <c r="AA232" i="6"/>
  <c r="AA231" i="6"/>
  <c r="AA230" i="6"/>
  <c r="AA229" i="6"/>
  <c r="AA228" i="6"/>
  <c r="AA227" i="6"/>
  <c r="AA226" i="6"/>
  <c r="AA225" i="6"/>
  <c r="AA224" i="6"/>
  <c r="AA223" i="6"/>
  <c r="AA222" i="6"/>
  <c r="AA221" i="6"/>
  <c r="AA220" i="6"/>
  <c r="AA219" i="6"/>
  <c r="AA218" i="6"/>
  <c r="AA217" i="6"/>
  <c r="AA216" i="6"/>
  <c r="AA215" i="6"/>
  <c r="AA214" i="6"/>
  <c r="AA213" i="6"/>
  <c r="Z212" i="6"/>
  <c r="Y212" i="6"/>
  <c r="X212" i="6"/>
  <c r="W212" i="6"/>
  <c r="V212" i="6"/>
  <c r="U212" i="6"/>
  <c r="T212" i="6"/>
  <c r="S212" i="6"/>
  <c r="R212" i="6"/>
  <c r="Q212" i="6"/>
  <c r="P212" i="6"/>
  <c r="O212" i="6"/>
  <c r="AA211" i="6"/>
  <c r="AA210" i="6"/>
  <c r="AA209" i="6"/>
  <c r="AA208" i="6"/>
  <c r="AA207" i="6"/>
  <c r="AA206" i="6"/>
  <c r="AA205" i="6"/>
  <c r="AA204" i="6"/>
  <c r="AA203" i="6"/>
  <c r="AA202" i="6"/>
  <c r="AA201" i="6"/>
  <c r="AA200" i="6"/>
  <c r="AA199" i="6"/>
  <c r="AA198" i="6"/>
  <c r="AA197" i="6"/>
  <c r="AA196" i="6"/>
  <c r="Z195" i="6"/>
  <c r="Y195" i="6"/>
  <c r="X195" i="6"/>
  <c r="W195" i="6"/>
  <c r="V195" i="6"/>
  <c r="U195" i="6"/>
  <c r="T195" i="6"/>
  <c r="S195" i="6"/>
  <c r="R195" i="6"/>
  <c r="Q195" i="6"/>
  <c r="P195" i="6"/>
  <c r="O195" i="6"/>
  <c r="AA194" i="6"/>
  <c r="AA193" i="6"/>
  <c r="AA192" i="6"/>
  <c r="AA191" i="6"/>
  <c r="AA190" i="6"/>
  <c r="AA189" i="6"/>
  <c r="Z188" i="6"/>
  <c r="Y188" i="6"/>
  <c r="X188" i="6"/>
  <c r="W188" i="6"/>
  <c r="V188" i="6"/>
  <c r="U188" i="6"/>
  <c r="T188" i="6"/>
  <c r="S188" i="6"/>
  <c r="R188" i="6"/>
  <c r="Q188" i="6"/>
  <c r="P188" i="6"/>
  <c r="O188" i="6"/>
  <c r="AA187" i="6"/>
  <c r="AA186" i="6"/>
  <c r="AA185" i="6"/>
  <c r="AA184" i="6"/>
  <c r="AA183" i="6"/>
  <c r="AA182" i="6"/>
  <c r="AA181" i="6"/>
  <c r="AA180" i="6"/>
  <c r="AA179" i="6"/>
  <c r="Z178" i="6"/>
  <c r="Y178" i="6"/>
  <c r="X178" i="6"/>
  <c r="W178" i="6"/>
  <c r="V178" i="6"/>
  <c r="U178" i="6"/>
  <c r="T178" i="6"/>
  <c r="S178" i="6"/>
  <c r="R178" i="6"/>
  <c r="Q178" i="6"/>
  <c r="P178" i="6"/>
  <c r="O178" i="6"/>
  <c r="AA107" i="6"/>
  <c r="AA105" i="6"/>
  <c r="Z104" i="6"/>
  <c r="Y104" i="6"/>
  <c r="X104" i="6"/>
  <c r="W104" i="6"/>
  <c r="V104" i="6"/>
  <c r="U104" i="6"/>
  <c r="T104" i="6"/>
  <c r="S104" i="6"/>
  <c r="R104" i="6"/>
  <c r="Q104" i="6"/>
  <c r="P104" i="6"/>
  <c r="O104" i="6"/>
  <c r="AA4896" i="7" l="1"/>
  <c r="AC4896" i="7" s="1"/>
  <c r="AA869" i="7"/>
  <c r="AA887" i="7"/>
  <c r="AA892" i="7"/>
  <c r="AA1007" i="7"/>
  <c r="S3588" i="7"/>
  <c r="W3588" i="7"/>
  <c r="V3821" i="7"/>
  <c r="Z3821" i="7"/>
  <c r="AA1032" i="7"/>
  <c r="AA754" i="7"/>
  <c r="AA785" i="7"/>
  <c r="AA1057" i="7"/>
  <c r="AA1080" i="7"/>
  <c r="Q1244" i="7"/>
  <c r="AA2808" i="7"/>
  <c r="AA2891" i="7"/>
  <c r="AA3077" i="7"/>
  <c r="O5525" i="7"/>
  <c r="AA1106" i="7"/>
  <c r="AA1295" i="7"/>
  <c r="P1334" i="7"/>
  <c r="AA1414" i="7"/>
  <c r="AB4112" i="7"/>
  <c r="S3643" i="7"/>
  <c r="T2886" i="7"/>
  <c r="X2886" i="7"/>
  <c r="U3107" i="7"/>
  <c r="AA3418" i="7"/>
  <c r="T3821" i="7"/>
  <c r="X3821" i="7"/>
  <c r="AB3821" i="7"/>
  <c r="R3821" i="7"/>
  <c r="Q4016" i="7"/>
  <c r="S4094" i="7"/>
  <c r="S4112" i="7"/>
  <c r="W4112" i="7"/>
  <c r="R3244" i="7"/>
  <c r="AA1254" i="7"/>
  <c r="AA1311" i="7"/>
  <c r="S1334" i="7"/>
  <c r="W1334" i="7"/>
  <c r="AA1600" i="7"/>
  <c r="AA1653" i="7"/>
  <c r="AA2898" i="7"/>
  <c r="AA3219" i="7"/>
  <c r="AA3386" i="7"/>
  <c r="AA3400" i="7"/>
  <c r="R3539" i="7"/>
  <c r="U3821" i="7"/>
  <c r="AA3821" i="7"/>
  <c r="AC3991" i="7"/>
  <c r="K3990" i="7" s="1"/>
  <c r="AA995" i="7"/>
  <c r="R2886" i="7"/>
  <c r="V2886" i="7"/>
  <c r="W3224" i="7"/>
  <c r="S3244" i="7"/>
  <c r="P3278" i="7"/>
  <c r="T3278" i="7"/>
  <c r="S3346" i="7"/>
  <c r="W3346" i="7"/>
  <c r="W3407" i="7"/>
  <c r="S3488" i="7"/>
  <c r="W3488" i="7"/>
  <c r="P3499" i="7"/>
  <c r="T3499" i="7"/>
  <c r="X3499" i="7"/>
  <c r="AA3502" i="7"/>
  <c r="AA3525" i="7"/>
  <c r="S3821" i="7"/>
  <c r="Y3821" i="7"/>
  <c r="AA1655" i="7"/>
  <c r="S2886" i="7"/>
  <c r="W2886" i="7"/>
  <c r="AA3435" i="7"/>
  <c r="AA3516" i="7"/>
  <c r="T3553" i="7"/>
  <c r="X3553" i="7"/>
  <c r="R3643" i="7"/>
  <c r="W3821" i="7"/>
  <c r="AA4301" i="7"/>
  <c r="K4300" i="7" s="1"/>
  <c r="AA1339" i="7"/>
  <c r="AA1689" i="7"/>
  <c r="R3767" i="7"/>
  <c r="AA5041" i="7"/>
  <c r="K5040" i="7" s="1"/>
  <c r="Y659" i="6"/>
  <c r="Z659" i="6"/>
  <c r="S426" i="6"/>
  <c r="AA426" i="6" s="1"/>
  <c r="AA558" i="6"/>
  <c r="K557" i="6"/>
  <c r="AA1056" i="7"/>
  <c r="AA1237" i="7"/>
  <c r="P3346" i="7"/>
  <c r="T3346" i="7"/>
  <c r="O3380" i="7"/>
  <c r="W3380" i="7"/>
  <c r="R3424" i="7"/>
  <c r="X3488" i="7"/>
  <c r="AA4847" i="7"/>
  <c r="K4846" i="7" s="1"/>
  <c r="AA766" i="7"/>
  <c r="AA768" i="7"/>
  <c r="AA795" i="7"/>
  <c r="AA844" i="7"/>
  <c r="AA1359" i="7"/>
  <c r="Q1665" i="7"/>
  <c r="P2798" i="7"/>
  <c r="AA3070" i="7"/>
  <c r="V3278" i="7"/>
  <c r="Z3278" i="7"/>
  <c r="R3588" i="7"/>
  <c r="V3588" i="7"/>
  <c r="Z3588" i="7"/>
  <c r="AA3767" i="7"/>
  <c r="R3788" i="7"/>
  <c r="AA4423" i="7"/>
  <c r="K4422" i="7" s="1"/>
  <c r="AA4432" i="7"/>
  <c r="K4431" i="7" s="1"/>
  <c r="X3346" i="7"/>
  <c r="S3380" i="7"/>
  <c r="Z3424" i="7"/>
  <c r="Y3448" i="7"/>
  <c r="P3488" i="7"/>
  <c r="S5525" i="7"/>
  <c r="AA1395" i="7"/>
  <c r="AA1450" i="7"/>
  <c r="AA1517" i="7"/>
  <c r="AA1519" i="7"/>
  <c r="AA1544" i="7"/>
  <c r="AA1563" i="7"/>
  <c r="AA1651" i="7"/>
  <c r="AA1678" i="7"/>
  <c r="AA3078" i="7"/>
  <c r="AA3231" i="7"/>
  <c r="AA3284" i="7"/>
  <c r="P3553" i="7"/>
  <c r="AA3567" i="7"/>
  <c r="S4076" i="7"/>
  <c r="T4076" i="7" s="1"/>
  <c r="U4076" i="7" s="1"/>
  <c r="V4076" i="7" s="1"/>
  <c r="W4076" i="7" s="1"/>
  <c r="X4076" i="7" s="1"/>
  <c r="Y4076" i="7" s="1"/>
  <c r="Z4076" i="7" s="1"/>
  <c r="AA4076" i="7" s="1"/>
  <c r="AB4076" i="7" s="1"/>
  <c r="T4094" i="7"/>
  <c r="T4112" i="7"/>
  <c r="U3788" i="7"/>
  <c r="Y3788" i="7"/>
  <c r="Q3821" i="7"/>
  <c r="AA641" i="6"/>
  <c r="AA250" i="6"/>
  <c r="AA356" i="6"/>
  <c r="AA422" i="6"/>
  <c r="AA432" i="6"/>
  <c r="AA444" i="6"/>
  <c r="AA462" i="6"/>
  <c r="AA505" i="6"/>
  <c r="K519" i="6"/>
  <c r="AA626" i="6"/>
  <c r="AA104" i="6"/>
  <c r="AA188" i="6"/>
  <c r="AA244" i="6"/>
  <c r="AA271" i="6"/>
  <c r="AA294" i="6"/>
  <c r="AA326" i="6"/>
  <c r="AA346" i="6"/>
  <c r="AA364" i="6"/>
  <c r="AA408" i="6"/>
  <c r="AA436" i="6"/>
  <c r="K504" i="6"/>
  <c r="R672" i="6"/>
  <c r="V672" i="6"/>
  <c r="Z672" i="6"/>
  <c r="AA679" i="6"/>
  <c r="AA684" i="6"/>
  <c r="K683" i="6" s="1"/>
  <c r="W659" i="6"/>
  <c r="AA195" i="6"/>
  <c r="AA212" i="6"/>
  <c r="AA241" i="6"/>
  <c r="AA256" i="6"/>
  <c r="AA281" i="6"/>
  <c r="AA380" i="6"/>
  <c r="AA520" i="6"/>
  <c r="AA612" i="6"/>
  <c r="AA178" i="6"/>
  <c r="AA441" i="6"/>
  <c r="AA448" i="6"/>
  <c r="AA489" i="6"/>
  <c r="AA598" i="6"/>
  <c r="AC599" i="6" s="1"/>
  <c r="AA691" i="6"/>
  <c r="K690" i="6" s="1"/>
  <c r="AA949" i="7"/>
  <c r="AA1267" i="7"/>
  <c r="AA1470" i="7"/>
  <c r="AA1598" i="7"/>
  <c r="AA3073" i="7"/>
  <c r="P3068" i="7"/>
  <c r="X3068" i="7"/>
  <c r="R3162" i="7"/>
  <c r="V3224" i="7"/>
  <c r="AA3261" i="7"/>
  <c r="U3278" i="7"/>
  <c r="U3360" i="7"/>
  <c r="AA3392" i="7"/>
  <c r="AC3792" i="7"/>
  <c r="V3788" i="7"/>
  <c r="AC3839" i="7"/>
  <c r="AA5167" i="7"/>
  <c r="AA3290" i="7"/>
  <c r="AA5703" i="7"/>
  <c r="AA5715" i="7"/>
  <c r="X1216" i="7"/>
  <c r="AA1318" i="7"/>
  <c r="AA1522" i="7"/>
  <c r="T2798" i="7"/>
  <c r="X2798" i="7"/>
  <c r="AA2887" i="7"/>
  <c r="AA2985" i="7"/>
  <c r="P3019" i="7"/>
  <c r="AA3101" i="7"/>
  <c r="AA3152" i="7"/>
  <c r="AA4413" i="7"/>
  <c r="K4412" i="7" s="1"/>
  <c r="AA681" i="7"/>
  <c r="Z71" i="7"/>
  <c r="T71" i="7"/>
  <c r="X71" i="7"/>
  <c r="W71" i="7"/>
  <c r="R71" i="7"/>
  <c r="V71" i="7"/>
  <c r="AA866" i="7"/>
  <c r="AA871" i="7"/>
  <c r="AA1376" i="7"/>
  <c r="AA1489" i="7"/>
  <c r="AA1625" i="7"/>
  <c r="AA1708" i="7"/>
  <c r="Z3084" i="7"/>
  <c r="AA3092" i="7"/>
  <c r="AA3094" i="7"/>
  <c r="AA3100" i="7"/>
  <c r="AA3137" i="7"/>
  <c r="AA3153" i="7"/>
  <c r="O3305" i="7"/>
  <c r="W3305" i="7"/>
  <c r="AA3316" i="7"/>
  <c r="P3380" i="7"/>
  <c r="T3380" i="7"/>
  <c r="X3380" i="7"/>
  <c r="O3424" i="7"/>
  <c r="S3424" i="7"/>
  <c r="W3424" i="7"/>
  <c r="AA3432" i="7"/>
  <c r="Q3539" i="7"/>
  <c r="U3553" i="7"/>
  <c r="AA3577" i="7"/>
  <c r="P3588" i="7"/>
  <c r="W3611" i="7"/>
  <c r="AC3656" i="7"/>
  <c r="U3767" i="7"/>
  <c r="U4112" i="7"/>
  <c r="Y4112" i="7"/>
  <c r="AA4523" i="7"/>
  <c r="K4522" i="7" s="1"/>
  <c r="AA4573" i="7"/>
  <c r="AA4880" i="7"/>
  <c r="AA5511" i="7"/>
  <c r="AA5515" i="7"/>
  <c r="W5525" i="7"/>
  <c r="AC4059" i="7"/>
  <c r="AC4077" i="7"/>
  <c r="K4076" i="7" s="1"/>
  <c r="O1244" i="7"/>
  <c r="P1305" i="7"/>
  <c r="O1532" i="7"/>
  <c r="U1586" i="7"/>
  <c r="AC3948" i="7"/>
  <c r="AA4672" i="7"/>
  <c r="K4671" i="7" s="1"/>
  <c r="P721" i="7"/>
  <c r="V1305" i="7"/>
  <c r="Q1698" i="7"/>
  <c r="Y1698" i="7"/>
  <c r="AA1253" i="7"/>
  <c r="V1484" i="7"/>
  <c r="AA4701" i="7"/>
  <c r="K4700" i="7" s="1"/>
  <c r="S1261" i="7"/>
  <c r="S1384" i="7"/>
  <c r="W1384" i="7"/>
  <c r="P854" i="7"/>
  <c r="W3175" i="7"/>
  <c r="X881" i="7"/>
  <c r="S1120" i="7"/>
  <c r="W1120" i="7"/>
  <c r="Q906" i="7"/>
  <c r="Q1169" i="7"/>
  <c r="Z1445" i="7"/>
  <c r="R1484" i="7"/>
  <c r="Z1504" i="7"/>
  <c r="P1638" i="7"/>
  <c r="T3175" i="7"/>
  <c r="X3175" i="7"/>
  <c r="Q3380" i="7"/>
  <c r="AA770" i="7"/>
  <c r="AA771" i="7"/>
  <c r="W3019" i="7"/>
  <c r="Z3488" i="7"/>
  <c r="X3588" i="7"/>
  <c r="R3488" i="7"/>
  <c r="R881" i="7"/>
  <c r="V881" i="7"/>
  <c r="Z881" i="7"/>
  <c r="Q986" i="7"/>
  <c r="O986" i="7"/>
  <c r="S986" i="7"/>
  <c r="P1020" i="7"/>
  <c r="T1020" i="7"/>
  <c r="X1020" i="7"/>
  <c r="Z1020" i="7"/>
  <c r="Q1069" i="7"/>
  <c r="U1069" i="7"/>
  <c r="Y1069" i="7"/>
  <c r="P881" i="7"/>
  <c r="T932" i="7"/>
  <c r="X932" i="7"/>
  <c r="P1189" i="7"/>
  <c r="R1216" i="7"/>
  <c r="V1216" i="7"/>
  <c r="Z1216" i="7"/>
  <c r="Y1384" i="7"/>
  <c r="T1638" i="7"/>
  <c r="P1698" i="7"/>
  <c r="T1698" i="7"/>
  <c r="X1698" i="7"/>
  <c r="Z3198" i="7"/>
  <c r="Z3258" i="7"/>
  <c r="K4398" i="7"/>
  <c r="AA660" i="6"/>
  <c r="AA661" i="6"/>
  <c r="AA662" i="6"/>
  <c r="AA663" i="6"/>
  <c r="AA664" i="6"/>
  <c r="AA665" i="6"/>
  <c r="AA666" i="6"/>
  <c r="AA667" i="6"/>
  <c r="AA668" i="6"/>
  <c r="AA669" i="6"/>
  <c r="AA670" i="6"/>
  <c r="AA727" i="7"/>
  <c r="AA940" i="7"/>
  <c r="AA946" i="7"/>
  <c r="AA950" i="7"/>
  <c r="AA951" i="7"/>
  <c r="AA1058" i="7"/>
  <c r="R1089" i="7"/>
  <c r="AA1158" i="7"/>
  <c r="AA1232" i="7"/>
  <c r="AA1234" i="7"/>
  <c r="AA1235" i="7"/>
  <c r="V1244" i="7"/>
  <c r="AA1396" i="7"/>
  <c r="AA1509" i="7"/>
  <c r="AA1539" i="7"/>
  <c r="Y1532" i="7"/>
  <c r="AA1567" i="7"/>
  <c r="AA1570" i="7"/>
  <c r="AA1572" i="7"/>
  <c r="AA1601" i="7"/>
  <c r="AA1603" i="7"/>
  <c r="S1612" i="7"/>
  <c r="W1612" i="7"/>
  <c r="AA1618" i="7"/>
  <c r="AA1628" i="7"/>
  <c r="AA1654" i="7"/>
  <c r="AA1679" i="7"/>
  <c r="Z1698" i="7"/>
  <c r="R1698" i="7"/>
  <c r="AA1843" i="7"/>
  <c r="AA1865" i="7"/>
  <c r="AA1930" i="7"/>
  <c r="AA2021" i="7"/>
  <c r="AA2929" i="7"/>
  <c r="AA2972" i="7"/>
  <c r="AA2973" i="7"/>
  <c r="AA2975" i="7"/>
  <c r="AA2976" i="7"/>
  <c r="AA2980" i="7"/>
  <c r="R3019" i="7"/>
  <c r="Z3019" i="7"/>
  <c r="O3084" i="7"/>
  <c r="W3084" i="7"/>
  <c r="AA3131" i="7"/>
  <c r="S3162" i="7"/>
  <c r="AA3166" i="7"/>
  <c r="AA3210" i="7"/>
  <c r="AA3211" i="7"/>
  <c r="Z3244" i="7"/>
  <c r="AA3388" i="7"/>
  <c r="X1189" i="7"/>
  <c r="V1698" i="7"/>
  <c r="R3084" i="7"/>
  <c r="AA115" i="7"/>
  <c r="AA117" i="7"/>
  <c r="AA217" i="7"/>
  <c r="V664" i="7"/>
  <c r="AA792" i="7"/>
  <c r="P829" i="7"/>
  <c r="R829" i="7"/>
  <c r="V854" i="7"/>
  <c r="Z1089" i="7"/>
  <c r="AA1200" i="7"/>
  <c r="W1216" i="7"/>
  <c r="AA1274" i="7"/>
  <c r="AA1296" i="7"/>
  <c r="R1305" i="7"/>
  <c r="Z1305" i="7"/>
  <c r="O1334" i="7"/>
  <c r="AA1341" i="7"/>
  <c r="AA1344" i="7"/>
  <c r="AA1365" i="7"/>
  <c r="Q1373" i="7"/>
  <c r="Q1403" i="7"/>
  <c r="Y1403" i="7"/>
  <c r="R1426" i="7"/>
  <c r="V1426" i="7"/>
  <c r="Q1445" i="7"/>
  <c r="U1445" i="7"/>
  <c r="Y1445" i="7"/>
  <c r="AA1456" i="7"/>
  <c r="Q1464" i="7"/>
  <c r="U1464" i="7"/>
  <c r="Y1464" i="7"/>
  <c r="AA1476" i="7"/>
  <c r="AA1514" i="7"/>
  <c r="AA1573" i="7"/>
  <c r="AA1577" i="7"/>
  <c r="Y1612" i="7"/>
  <c r="AA1629" i="7"/>
  <c r="R1638" i="7"/>
  <c r="V1638" i="7"/>
  <c r="Z1638" i="7"/>
  <c r="AA2318" i="7"/>
  <c r="AA2489" i="7"/>
  <c r="AA2539" i="7"/>
  <c r="AA2573" i="7"/>
  <c r="AA2654" i="7"/>
  <c r="AA2671" i="7"/>
  <c r="AA2684" i="7"/>
  <c r="AA2762" i="7"/>
  <c r="T3305" i="7"/>
  <c r="AA3312" i="7"/>
  <c r="V3322" i="7"/>
  <c r="AA52" i="7"/>
  <c r="K51" i="7" s="1"/>
  <c r="AA58" i="7"/>
  <c r="AA791" i="7"/>
  <c r="AA793" i="7"/>
  <c r="U804" i="7"/>
  <c r="T829" i="7"/>
  <c r="R854" i="7"/>
  <c r="Z854" i="7"/>
  <c r="S881" i="7"/>
  <c r="AA919" i="7"/>
  <c r="Y71" i="7"/>
  <c r="Z693" i="7"/>
  <c r="AA704" i="7"/>
  <c r="S854" i="7"/>
  <c r="AA860" i="7"/>
  <c r="U906" i="7"/>
  <c r="Y906" i="7"/>
  <c r="AA918" i="7"/>
  <c r="R932" i="7"/>
  <c r="V932" i="7"/>
  <c r="AA963" i="7"/>
  <c r="AA968" i="7"/>
  <c r="AA972" i="7"/>
  <c r="AA1005" i="7"/>
  <c r="AA1033" i="7"/>
  <c r="AA1035" i="7"/>
  <c r="AA1081" i="7"/>
  <c r="V1069" i="7"/>
  <c r="R1120" i="7"/>
  <c r="V1120" i="7"/>
  <c r="Z1120" i="7"/>
  <c r="AA1199" i="7"/>
  <c r="AA1239" i="7"/>
  <c r="AA1273" i="7"/>
  <c r="S1305" i="7"/>
  <c r="Z1334" i="7"/>
  <c r="V1353" i="7"/>
  <c r="O1384" i="7"/>
  <c r="AA1390" i="7"/>
  <c r="S1426" i="7"/>
  <c r="W1426" i="7"/>
  <c r="AA1432" i="7"/>
  <c r="V1504" i="7"/>
  <c r="AA1513" i="7"/>
  <c r="AA1543" i="7"/>
  <c r="Q1557" i="7"/>
  <c r="AA1571" i="7"/>
  <c r="AA1592" i="7"/>
  <c r="AA1622" i="7"/>
  <c r="AA1643" i="7"/>
  <c r="AA1672" i="7"/>
  <c r="AA1704" i="7"/>
  <c r="AA2821" i="7"/>
  <c r="AA2978" i="7"/>
  <c r="Y3038" i="7"/>
  <c r="V3049" i="7"/>
  <c r="AA3072" i="7"/>
  <c r="S3258" i="7"/>
  <c r="AA3330" i="7"/>
  <c r="S3360" i="7"/>
  <c r="AA3419" i="7"/>
  <c r="V3424" i="7"/>
  <c r="AA3489" i="7"/>
  <c r="AA3490" i="7"/>
  <c r="AA3491" i="7"/>
  <c r="N3776" i="7"/>
  <c r="Q3974" i="7"/>
  <c r="R4112" i="7"/>
  <c r="V4112" i="7"/>
  <c r="Z4112" i="7"/>
  <c r="AC4141" i="7"/>
  <c r="AA4530" i="7"/>
  <c r="K4529" i="7" s="1"/>
  <c r="AA4545" i="7"/>
  <c r="K4544" i="7" s="1"/>
  <c r="AA4561" i="7"/>
  <c r="K4560" i="7" s="1"/>
  <c r="AA4691" i="7"/>
  <c r="K4690" i="7" s="1"/>
  <c r="AA4728" i="7"/>
  <c r="K4727" i="7" s="1"/>
  <c r="AA4739" i="7"/>
  <c r="K4738" i="7" s="1"/>
  <c r="AA4743" i="7"/>
  <c r="K4750" i="7"/>
  <c r="AA4876" i="7"/>
  <c r="K4875" i="7" s="1"/>
  <c r="AA4919" i="7"/>
  <c r="K4918" i="7" s="1"/>
  <c r="AA5171" i="7"/>
  <c r="AA5278" i="7"/>
  <c r="R5506" i="7"/>
  <c r="Q5525" i="7"/>
  <c r="U5525" i="7"/>
  <c r="P5525" i="7"/>
  <c r="T5525" i="7"/>
  <c r="X5525" i="7"/>
  <c r="W3510" i="7"/>
  <c r="P3407" i="7"/>
  <c r="T3407" i="7"/>
  <c r="X3407" i="7"/>
  <c r="AA3414" i="7"/>
  <c r="O3488" i="7"/>
  <c r="Y3488" i="7"/>
  <c r="R3499" i="7"/>
  <c r="V3499" i="7"/>
  <c r="Q3553" i="7"/>
  <c r="Y3553" i="7"/>
  <c r="T3588" i="7"/>
  <c r="S3611" i="7"/>
  <c r="S3775" i="7"/>
  <c r="Z3788" i="7"/>
  <c r="AC3796" i="7"/>
  <c r="AC3803" i="7"/>
  <c r="AC3809" i="7"/>
  <c r="AC3810" i="7"/>
  <c r="S3900" i="7"/>
  <c r="AC4270" i="7"/>
  <c r="K4269" i="7" s="1"/>
  <c r="AA4286" i="7"/>
  <c r="AA4309" i="7"/>
  <c r="AA4310" i="7"/>
  <c r="K4309" i="7" s="1"/>
  <c r="AA4517" i="7"/>
  <c r="K4516" i="7" s="1"/>
  <c r="AA4557" i="7"/>
  <c r="K4556" i="7" s="1"/>
  <c r="K4572" i="7"/>
  <c r="AA4599" i="7"/>
  <c r="K4598" i="7" s="1"/>
  <c r="AA4620" i="7"/>
  <c r="K4619" i="7" s="1"/>
  <c r="AA4626" i="7"/>
  <c r="K4625" i="7" s="1"/>
  <c r="AA4636" i="7"/>
  <c r="K4635" i="7" s="1"/>
  <c r="AA4642" i="7"/>
  <c r="AA4648" i="7"/>
  <c r="K4647" i="7" s="1"/>
  <c r="AA4735" i="7"/>
  <c r="K4734" i="7" s="1"/>
  <c r="O4784" i="7"/>
  <c r="AA4784" i="7" s="1"/>
  <c r="AA4799" i="7"/>
  <c r="K4798" i="7" s="1"/>
  <c r="AA4806" i="7"/>
  <c r="K4805" i="7" s="1"/>
  <c r="AA4837" i="7"/>
  <c r="K4836" i="7" s="1"/>
  <c r="AA4865" i="7"/>
  <c r="K4864" i="7" s="1"/>
  <c r="AA4944" i="7"/>
  <c r="K4943" i="7" s="1"/>
  <c r="AA4952" i="7"/>
  <c r="AA5101" i="7"/>
  <c r="K5100" i="7" s="1"/>
  <c r="AA5148" i="7"/>
  <c r="AA5149" i="7"/>
  <c r="P2886" i="7"/>
  <c r="AA2984" i="7"/>
  <c r="AA3040" i="7"/>
  <c r="V3038" i="7"/>
  <c r="S3038" i="7"/>
  <c r="U3068" i="7"/>
  <c r="P3084" i="7"/>
  <c r="X3084" i="7"/>
  <c r="AA3140" i="7"/>
  <c r="AA3203" i="7"/>
  <c r="Q3322" i="7"/>
  <c r="U3322" i="7"/>
  <c r="Y3322" i="7"/>
  <c r="O3346" i="7"/>
  <c r="AA3352" i="7"/>
  <c r="AA3363" i="7"/>
  <c r="U3380" i="7"/>
  <c r="Y3380" i="7"/>
  <c r="U3407" i="7"/>
  <c r="Q3424" i="7"/>
  <c r="U3424" i="7"/>
  <c r="Y3424" i="7"/>
  <c r="AA3453" i="7"/>
  <c r="AA3462" i="7"/>
  <c r="V3488" i="7"/>
  <c r="AA3493" i="7"/>
  <c r="AA3494" i="7"/>
  <c r="W3499" i="7"/>
  <c r="AA3522" i="7"/>
  <c r="P3539" i="7"/>
  <c r="T3611" i="7"/>
  <c r="AC3640" i="7"/>
  <c r="AC3641" i="7" s="1"/>
  <c r="R3641" i="7"/>
  <c r="R3747" i="7"/>
  <c r="Q3747" i="7"/>
  <c r="W3767" i="7"/>
  <c r="AC3816" i="7"/>
  <c r="AC3815" i="7" s="1"/>
  <c r="AC3838" i="7"/>
  <c r="AC4159" i="7"/>
  <c r="K4158" i="7" s="1"/>
  <c r="AA4457" i="7"/>
  <c r="K4456" i="7" s="1"/>
  <c r="AA4665" i="7"/>
  <c r="K4664" i="7" s="1"/>
  <c r="AA4708" i="7"/>
  <c r="K4707" i="7" s="1"/>
  <c r="AA5029" i="7"/>
  <c r="K5028" i="7" s="1"/>
  <c r="AA5552" i="7"/>
  <c r="AA104" i="7"/>
  <c r="AA105" i="7"/>
  <c r="AA106" i="7"/>
  <c r="AA107" i="7"/>
  <c r="AA108" i="7"/>
  <c r="AA109" i="7"/>
  <c r="AA111" i="7"/>
  <c r="AA112" i="7"/>
  <c r="AA242" i="7"/>
  <c r="AA412" i="7"/>
  <c r="O664" i="7"/>
  <c r="S664" i="7"/>
  <c r="W664" i="7"/>
  <c r="AA672" i="7"/>
  <c r="Q664" i="7"/>
  <c r="AA679" i="7"/>
  <c r="AA682" i="7"/>
  <c r="AA758" i="7"/>
  <c r="T779" i="7"/>
  <c r="AA790" i="7"/>
  <c r="AA817" i="7"/>
  <c r="AA820" i="7"/>
  <c r="AA821" i="7"/>
  <c r="X829" i="7"/>
  <c r="AA867" i="7"/>
  <c r="P906" i="7"/>
  <c r="T906" i="7"/>
  <c r="X906" i="7"/>
  <c r="AA923" i="7"/>
  <c r="AA1034" i="7"/>
  <c r="R1069" i="7"/>
  <c r="AA977" i="7"/>
  <c r="R962" i="7"/>
  <c r="Z1069" i="7"/>
  <c r="U71" i="7"/>
  <c r="T693" i="7"/>
  <c r="AA818" i="7"/>
  <c r="AA841" i="7"/>
  <c r="AA842" i="7"/>
  <c r="AA845" i="7"/>
  <c r="AA855" i="7"/>
  <c r="W854" i="7"/>
  <c r="AA856" i="7"/>
  <c r="AA857" i="7"/>
  <c r="AA858" i="7"/>
  <c r="AA859" i="7"/>
  <c r="AA862" i="7"/>
  <c r="AA863" i="7"/>
  <c r="AA870" i="7"/>
  <c r="AA873" i="7"/>
  <c r="AA874" i="7"/>
  <c r="W881" i="7"/>
  <c r="AA895" i="7"/>
  <c r="AA897" i="7"/>
  <c r="O962" i="7"/>
  <c r="S962" i="7"/>
  <c r="W962" i="7"/>
  <c r="Q1020" i="7"/>
  <c r="U1020" i="7"/>
  <c r="AA680" i="7"/>
  <c r="AA684" i="7"/>
  <c r="O693" i="7"/>
  <c r="AA699" i="7"/>
  <c r="AA712" i="7"/>
  <c r="T721" i="7"/>
  <c r="X721" i="7"/>
  <c r="AA731" i="7"/>
  <c r="AA738" i="7"/>
  <c r="S721" i="7"/>
  <c r="AA760" i="7"/>
  <c r="AA764" i="7"/>
  <c r="AA769" i="7"/>
  <c r="AA922" i="7"/>
  <c r="P962" i="7"/>
  <c r="T962" i="7"/>
  <c r="X962" i="7"/>
  <c r="W986" i="7"/>
  <c r="AA1011" i="7"/>
  <c r="P1145" i="7"/>
  <c r="T1145" i="7"/>
  <c r="X1145" i="7"/>
  <c r="Z932" i="7"/>
  <c r="AA952" i="7"/>
  <c r="P932" i="7"/>
  <c r="AA973" i="7"/>
  <c r="AA978" i="7"/>
  <c r="AA999" i="7"/>
  <c r="AA1006" i="7"/>
  <c r="AA1026" i="7"/>
  <c r="AA1031" i="7"/>
  <c r="S1043" i="7"/>
  <c r="W1043" i="7"/>
  <c r="AA1045" i="7"/>
  <c r="AA1046" i="7"/>
  <c r="AA1047" i="7"/>
  <c r="AA1048" i="7"/>
  <c r="AA1049" i="7"/>
  <c r="AA1050" i="7"/>
  <c r="AA1051" i="7"/>
  <c r="AA1053" i="7"/>
  <c r="AA1054" i="7"/>
  <c r="AA1059" i="7"/>
  <c r="V1089" i="7"/>
  <c r="AA1105" i="7"/>
  <c r="AA1107" i="7"/>
  <c r="AA1112" i="7"/>
  <c r="Q1120" i="7"/>
  <c r="U1120" i="7"/>
  <c r="Y1120" i="7"/>
  <c r="AA1151" i="7"/>
  <c r="AA1159" i="7"/>
  <c r="AA1181" i="7"/>
  <c r="T1189" i="7"/>
  <c r="AA1202" i="7"/>
  <c r="AA1203" i="7"/>
  <c r="AA1205" i="7"/>
  <c r="AA1206" i="7"/>
  <c r="AA1207" i="7"/>
  <c r="AA1240" i="7"/>
  <c r="AA1246" i="7"/>
  <c r="AA1255" i="7"/>
  <c r="AA1275" i="7"/>
  <c r="AA1316" i="7"/>
  <c r="AA1354" i="7"/>
  <c r="AA1355" i="7"/>
  <c r="AA1357" i="7"/>
  <c r="AA1361" i="7"/>
  <c r="AA1362" i="7"/>
  <c r="AA1366" i="7"/>
  <c r="AA1367" i="7"/>
  <c r="AA1375" i="7"/>
  <c r="Z1426" i="7"/>
  <c r="AA1436" i="7"/>
  <c r="AA1437" i="7"/>
  <c r="AA1438" i="7"/>
  <c r="Q1484" i="7"/>
  <c r="U1484" i="7"/>
  <c r="Z1484" i="7"/>
  <c r="AA1515" i="7"/>
  <c r="AA1520" i="7"/>
  <c r="Q1532" i="7"/>
  <c r="AA1568" i="7"/>
  <c r="Q1586" i="7"/>
  <c r="Y1586" i="7"/>
  <c r="AA1599" i="7"/>
  <c r="AA1602" i="7"/>
  <c r="P1612" i="7"/>
  <c r="T1612" i="7"/>
  <c r="X1612" i="7"/>
  <c r="AA1644" i="7"/>
  <c r="AA1646" i="7"/>
  <c r="AA1647" i="7"/>
  <c r="X1638" i="7"/>
  <c r="AA1673" i="7"/>
  <c r="AA1677" i="7"/>
  <c r="AA1725" i="7"/>
  <c r="AA1771" i="7"/>
  <c r="AA1797" i="7"/>
  <c r="AA1959" i="7"/>
  <c r="AA2091" i="7"/>
  <c r="AA2171" i="7"/>
  <c r="AA2248" i="7"/>
  <c r="AA2275" i="7"/>
  <c r="AA2367" i="7"/>
  <c r="AA2427" i="7"/>
  <c r="AA2467" i="7"/>
  <c r="AA2555" i="7"/>
  <c r="Q3019" i="7"/>
  <c r="U3019" i="7"/>
  <c r="Y3019" i="7"/>
  <c r="AA3024" i="7"/>
  <c r="O3019" i="7"/>
  <c r="Q1043" i="7"/>
  <c r="U1043" i="7"/>
  <c r="Y1043" i="7"/>
  <c r="P1089" i="7"/>
  <c r="T1089" i="7"/>
  <c r="X1089" i="7"/>
  <c r="AA1099" i="7"/>
  <c r="O1120" i="7"/>
  <c r="AA1135" i="7"/>
  <c r="AA1136" i="7"/>
  <c r="R1189" i="7"/>
  <c r="AA1217" i="7"/>
  <c r="S1216" i="7"/>
  <c r="Y1244" i="7"/>
  <c r="AA1251" i="7"/>
  <c r="AA1294" i="7"/>
  <c r="AA1345" i="7"/>
  <c r="AA1363" i="7"/>
  <c r="AA1485" i="7"/>
  <c r="AA1487" i="7"/>
  <c r="AA1488" i="7"/>
  <c r="AA1491" i="7"/>
  <c r="AA1492" i="7"/>
  <c r="AA1495" i="7"/>
  <c r="R1504" i="7"/>
  <c r="P1504" i="7"/>
  <c r="T1504" i="7"/>
  <c r="X1504" i="7"/>
  <c r="AA1524" i="7"/>
  <c r="AA1525" i="7"/>
  <c r="P1532" i="7"/>
  <c r="U1532" i="7"/>
  <c r="P1557" i="7"/>
  <c r="T1557" i="7"/>
  <c r="X1557" i="7"/>
  <c r="U1557" i="7"/>
  <c r="Q1612" i="7"/>
  <c r="U1612" i="7"/>
  <c r="AA1649" i="7"/>
  <c r="P1665" i="7"/>
  <c r="T1665" i="7"/>
  <c r="X1665" i="7"/>
  <c r="U1665" i="7"/>
  <c r="AA1681" i="7"/>
  <c r="AA1709" i="7"/>
  <c r="AA1711" i="7"/>
  <c r="AA1712" i="7"/>
  <c r="AA1748" i="7"/>
  <c r="AA1992" i="7"/>
  <c r="AA2063" i="7"/>
  <c r="AA2114" i="7"/>
  <c r="AA2194" i="7"/>
  <c r="AA2388" i="7"/>
  <c r="AA2403" i="7"/>
  <c r="AA2523" i="7"/>
  <c r="AA2733" i="7"/>
  <c r="AA2772" i="7"/>
  <c r="Z2971" i="7"/>
  <c r="AA296" i="7"/>
  <c r="U664" i="7"/>
  <c r="AA677" i="7"/>
  <c r="AA707" i="7"/>
  <c r="AA708" i="7"/>
  <c r="Y721" i="7"/>
  <c r="AA735" i="7"/>
  <c r="AA737" i="7"/>
  <c r="R746" i="7"/>
  <c r="V746" i="7"/>
  <c r="Z746" i="7"/>
  <c r="AA762" i="7"/>
  <c r="AA810" i="7"/>
  <c r="AA835" i="7"/>
  <c r="T854" i="7"/>
  <c r="X854" i="7"/>
  <c r="AA868" i="7"/>
  <c r="AA872" i="7"/>
  <c r="T881" i="7"/>
  <c r="AA894" i="7"/>
  <c r="AA898" i="7"/>
  <c r="AA899" i="7"/>
  <c r="AA912" i="7"/>
  <c r="AA953" i="7"/>
  <c r="AA954" i="7"/>
  <c r="AA955" i="7"/>
  <c r="AA956" i="7"/>
  <c r="V962" i="7"/>
  <c r="Z962" i="7"/>
  <c r="R986" i="7"/>
  <c r="R1020" i="7"/>
  <c r="V1020" i="7"/>
  <c r="AA1036" i="7"/>
  <c r="AA1037" i="7"/>
  <c r="R1043" i="7"/>
  <c r="V1043" i="7"/>
  <c r="AA1060" i="7"/>
  <c r="AA1070" i="7"/>
  <c r="AA1071" i="7"/>
  <c r="AA1073" i="7"/>
  <c r="AA1074" i="7"/>
  <c r="AA1075" i="7"/>
  <c r="AA1077" i="7"/>
  <c r="AA1109" i="7"/>
  <c r="AA1110" i="7"/>
  <c r="AA1111" i="7"/>
  <c r="AA1127" i="7"/>
  <c r="AA1134" i="7"/>
  <c r="AA1137" i="7"/>
  <c r="R1145" i="7"/>
  <c r="V1145" i="7"/>
  <c r="Z1145" i="7"/>
  <c r="AA1155" i="7"/>
  <c r="AA1157" i="7"/>
  <c r="P1169" i="7"/>
  <c r="T1169" i="7"/>
  <c r="X1169" i="7"/>
  <c r="U1169" i="7"/>
  <c r="Y1169" i="7"/>
  <c r="S1189" i="7"/>
  <c r="W1189" i="7"/>
  <c r="AA1195" i="7"/>
  <c r="P1216" i="7"/>
  <c r="AA1225" i="7"/>
  <c r="X1261" i="7"/>
  <c r="T1284" i="7"/>
  <c r="Y1284" i="7"/>
  <c r="AA1317" i="7"/>
  <c r="U1334" i="7"/>
  <c r="Q1334" i="7"/>
  <c r="R1353" i="7"/>
  <c r="Z1353" i="7"/>
  <c r="AA1364" i="7"/>
  <c r="AA1377" i="7"/>
  <c r="O1403" i="7"/>
  <c r="S1403" i="7"/>
  <c r="AA1409" i="7"/>
  <c r="AA1411" i="7"/>
  <c r="AA1416" i="7"/>
  <c r="AA1465" i="7"/>
  <c r="AA1466" i="7"/>
  <c r="AA1467" i="7"/>
  <c r="AA1468" i="7"/>
  <c r="AA1472" i="7"/>
  <c r="AA1473" i="7"/>
  <c r="P1484" i="7"/>
  <c r="Q1504" i="7"/>
  <c r="U1504" i="7"/>
  <c r="Y1504" i="7"/>
  <c r="Y1557" i="7"/>
  <c r="AA1569" i="7"/>
  <c r="AA1576" i="7"/>
  <c r="O1612" i="7"/>
  <c r="Y1665" i="7"/>
  <c r="U1698" i="7"/>
  <c r="AA1710" i="7"/>
  <c r="AA1752" i="7"/>
  <c r="AA1819" i="7"/>
  <c r="AA1898" i="7"/>
  <c r="AA2132" i="7"/>
  <c r="AA2157" i="7"/>
  <c r="AA2224" i="7"/>
  <c r="AA2297" i="7"/>
  <c r="AA2343" i="7"/>
  <c r="AA2453" i="7"/>
  <c r="AA2592" i="7"/>
  <c r="AA2601" i="7"/>
  <c r="AA2635" i="7"/>
  <c r="AA2725" i="7"/>
  <c r="AA2811" i="7"/>
  <c r="Z2886" i="7"/>
  <c r="R2971" i="7"/>
  <c r="V2971" i="7"/>
  <c r="AA2983" i="7"/>
  <c r="AA2996" i="7"/>
  <c r="AA3030" i="7"/>
  <c r="P3038" i="7"/>
  <c r="AA3044" i="7"/>
  <c r="R3068" i="7"/>
  <c r="AA3086" i="7"/>
  <c r="AA3089" i="7"/>
  <c r="S3084" i="7"/>
  <c r="AA3116" i="7"/>
  <c r="AA3117" i="7"/>
  <c r="AA3119" i="7"/>
  <c r="S3107" i="7"/>
  <c r="W3107" i="7"/>
  <c r="AA3145" i="7"/>
  <c r="AA3146" i="7"/>
  <c r="AA3149" i="7"/>
  <c r="AA3151" i="7"/>
  <c r="AA3165" i="7"/>
  <c r="AA3199" i="7"/>
  <c r="S3198" i="7"/>
  <c r="W3198" i="7"/>
  <c r="AA3208" i="7"/>
  <c r="T3198" i="7"/>
  <c r="Q3218" i="7"/>
  <c r="AA3218" i="7" s="1"/>
  <c r="P3244" i="7"/>
  <c r="T3244" i="7"/>
  <c r="X3244" i="7"/>
  <c r="AA3297" i="7"/>
  <c r="AA3298" i="7"/>
  <c r="S3305" i="7"/>
  <c r="AA3308" i="7"/>
  <c r="AA3310" i="7"/>
  <c r="AA3311" i="7"/>
  <c r="AA3314" i="7"/>
  <c r="AA3317" i="7"/>
  <c r="AA3324" i="7"/>
  <c r="AA3327" i="7"/>
  <c r="AA3329" i="7"/>
  <c r="AA3332" i="7"/>
  <c r="AA3333" i="7"/>
  <c r="AA3334" i="7"/>
  <c r="Q3399" i="7"/>
  <c r="AA3399" i="7" s="1"/>
  <c r="O3407" i="7"/>
  <c r="S3407" i="7"/>
  <c r="AA3416" i="7"/>
  <c r="P3448" i="7"/>
  <c r="T3448" i="7"/>
  <c r="X3448" i="7"/>
  <c r="R3472" i="7"/>
  <c r="AA3480" i="7"/>
  <c r="AA3481" i="7"/>
  <c r="AA3500" i="7"/>
  <c r="S3499" i="7"/>
  <c r="O3510" i="7"/>
  <c r="S3510" i="7"/>
  <c r="T3107" i="7"/>
  <c r="X3107" i="7"/>
  <c r="O3371" i="7"/>
  <c r="AA2947" i="7"/>
  <c r="P2971" i="7"/>
  <c r="T2971" i="7"/>
  <c r="X2971" i="7"/>
  <c r="AA2987" i="7"/>
  <c r="V3019" i="7"/>
  <c r="AA3031" i="7"/>
  <c r="S3019" i="7"/>
  <c r="W3038" i="7"/>
  <c r="AA3053" i="7"/>
  <c r="AA3056" i="7"/>
  <c r="AA3057" i="7"/>
  <c r="T3049" i="7"/>
  <c r="X3049" i="7"/>
  <c r="AA3076" i="7"/>
  <c r="Y3084" i="7"/>
  <c r="Y3107" i="7"/>
  <c r="O3127" i="7"/>
  <c r="W3127" i="7"/>
  <c r="V3175" i="7"/>
  <c r="Z3175" i="7"/>
  <c r="S3175" i="7"/>
  <c r="R3278" i="7"/>
  <c r="Q3407" i="7"/>
  <c r="Y3407" i="7"/>
  <c r="AA3436" i="7"/>
  <c r="Q3448" i="7"/>
  <c r="U3448" i="7"/>
  <c r="P3472" i="7"/>
  <c r="T3488" i="7"/>
  <c r="AA2619" i="7"/>
  <c r="AA2700" i="7"/>
  <c r="AA2709" i="7"/>
  <c r="AA2748" i="7"/>
  <c r="S2798" i="7"/>
  <c r="W2798" i="7"/>
  <c r="AA2803" i="7"/>
  <c r="AA2845" i="7"/>
  <c r="AA2862" i="7"/>
  <c r="AA2906" i="7"/>
  <c r="AA3020" i="7"/>
  <c r="AA3023" i="7"/>
  <c r="AA3042" i="7"/>
  <c r="U3038" i="7"/>
  <c r="O3049" i="7"/>
  <c r="AA3051" i="7"/>
  <c r="R3049" i="7"/>
  <c r="AA3069" i="7"/>
  <c r="AA3075" i="7"/>
  <c r="Y3068" i="7"/>
  <c r="V3084" i="7"/>
  <c r="AA3090" i="7"/>
  <c r="AA3095" i="7"/>
  <c r="AA3096" i="7"/>
  <c r="AA3098" i="7"/>
  <c r="V3107" i="7"/>
  <c r="AA3118" i="7"/>
  <c r="AA3134" i="7"/>
  <c r="AA3138" i="7"/>
  <c r="AA3147" i="7"/>
  <c r="AA3150" i="7"/>
  <c r="P3175" i="7"/>
  <c r="R3198" i="7"/>
  <c r="AA3230" i="7"/>
  <c r="O3244" i="7"/>
  <c r="AA3250" i="7"/>
  <c r="U3258" i="7"/>
  <c r="AA3434" i="7"/>
  <c r="O3448" i="7"/>
  <c r="S3448" i="7"/>
  <c r="W3448" i="7"/>
  <c r="AA3450" i="7"/>
  <c r="AA3451" i="7"/>
  <c r="AA3452" i="7"/>
  <c r="AA3455" i="7"/>
  <c r="AA3456" i="7"/>
  <c r="AA3467" i="7"/>
  <c r="AA3475" i="7"/>
  <c r="Q3488" i="7"/>
  <c r="U3488" i="7"/>
  <c r="AA3565" i="7"/>
  <c r="AC3749" i="7"/>
  <c r="AC3747" i="7" s="1"/>
  <c r="Q3767" i="7"/>
  <c r="V3767" i="7"/>
  <c r="Z3767" i="7"/>
  <c r="Q3775" i="7"/>
  <c r="AC3797" i="7"/>
  <c r="AC3800" i="7"/>
  <c r="AC3804" i="7"/>
  <c r="AC3805" i="7"/>
  <c r="AC3806" i="7"/>
  <c r="AC3807" i="7"/>
  <c r="AC3823" i="7"/>
  <c r="AC3824" i="7"/>
  <c r="AC3825" i="7"/>
  <c r="AC3828" i="7"/>
  <c r="AC3829" i="7"/>
  <c r="AC3830" i="7"/>
  <c r="AC3939" i="7"/>
  <c r="AC3957" i="7"/>
  <c r="AC3956" i="7" s="1"/>
  <c r="AC4118" i="7"/>
  <c r="AA4318" i="7"/>
  <c r="AA4319" i="7"/>
  <c r="AA4420" i="7"/>
  <c r="K4419" i="7" s="1"/>
  <c r="AA4447" i="7"/>
  <c r="K4446" i="7" s="1"/>
  <c r="AA4460" i="7"/>
  <c r="AA4513" i="7"/>
  <c r="K4512" i="7" s="1"/>
  <c r="AA4550" i="7"/>
  <c r="K4549" i="7" s="1"/>
  <c r="AA4592" i="7"/>
  <c r="K4591" i="7" s="1"/>
  <c r="AA4602" i="7"/>
  <c r="K4601" i="7" s="1"/>
  <c r="AA4606" i="7"/>
  <c r="K4605" i="7" s="1"/>
  <c r="AA4639" i="7"/>
  <c r="AA4678" i="7"/>
  <c r="K4677" i="7" s="1"/>
  <c r="AA4695" i="7"/>
  <c r="K4694" i="7" s="1"/>
  <c r="AA4712" i="7"/>
  <c r="K4711" i="7" s="1"/>
  <c r="AA4789" i="7"/>
  <c r="K4788" i="7" s="1"/>
  <c r="AA4803" i="7"/>
  <c r="AA4809" i="7"/>
  <c r="AA4829" i="7"/>
  <c r="K4828" i="7" s="1"/>
  <c r="AA4860" i="7"/>
  <c r="K4879" i="7"/>
  <c r="AA4935" i="7"/>
  <c r="K4934" i="7" s="1"/>
  <c r="AA4993" i="7"/>
  <c r="K4992" i="7" s="1"/>
  <c r="AA5077" i="7"/>
  <c r="K5076" i="7" s="1"/>
  <c r="AA5125" i="7"/>
  <c r="K5124" i="7" s="1"/>
  <c r="O5506" i="7"/>
  <c r="AA5544" i="7"/>
  <c r="AA5612" i="7"/>
  <c r="Q3643" i="7"/>
  <c r="S3788" i="7"/>
  <c r="W3788" i="7"/>
  <c r="AA3788" i="7"/>
  <c r="AA4569" i="7"/>
  <c r="K4568" i="7" s="1"/>
  <c r="AA4630" i="7"/>
  <c r="K4629" i="7" s="1"/>
  <c r="AA4645" i="7"/>
  <c r="AA4723" i="7"/>
  <c r="K4722" i="7" s="1"/>
  <c r="O4764" i="7"/>
  <c r="AA4764" i="7" s="1"/>
  <c r="K4763" i="7" s="1"/>
  <c r="AA4780" i="7"/>
  <c r="AA4812" i="7"/>
  <c r="AA4972" i="7"/>
  <c r="K4971" i="7" s="1"/>
  <c r="AA4981" i="7"/>
  <c r="K4980" i="7" s="1"/>
  <c r="AA5053" i="7"/>
  <c r="K5052" i="7" s="1"/>
  <c r="AA5113" i="7"/>
  <c r="K5112" i="7" s="1"/>
  <c r="AA5175" i="7"/>
  <c r="AA5282" i="7"/>
  <c r="AA5307" i="7"/>
  <c r="AA5308" i="7"/>
  <c r="Y5525" i="7"/>
  <c r="AA5537" i="7"/>
  <c r="AA5556" i="7"/>
  <c r="Z3499" i="7"/>
  <c r="AA3521" i="7"/>
  <c r="AA3530" i="7"/>
  <c r="AA3540" i="7"/>
  <c r="AA3579" i="7"/>
  <c r="AA3583" i="7"/>
  <c r="AA3589" i="7"/>
  <c r="AA3590" i="7"/>
  <c r="AA3591" i="7"/>
  <c r="AA3592" i="7"/>
  <c r="AA3594" i="7"/>
  <c r="Q3611" i="7"/>
  <c r="T3767" i="7"/>
  <c r="X3767" i="7"/>
  <c r="AB3767" i="7"/>
  <c r="T3788" i="7"/>
  <c r="X3788" i="7"/>
  <c r="AB3788" i="7"/>
  <c r="AC3801" i="7"/>
  <c r="AC3900" i="7"/>
  <c r="AC3930" i="7"/>
  <c r="AC4050" i="7"/>
  <c r="AC4228" i="7"/>
  <c r="K4227" i="7" s="1"/>
  <c r="AC4245" i="7"/>
  <c r="AA4427" i="7"/>
  <c r="K4426" i="7" s="1"/>
  <c r="AA4437" i="7"/>
  <c r="K4436" i="7" s="1"/>
  <c r="AA4441" i="7"/>
  <c r="AA4927" i="7"/>
  <c r="K4926" i="7" s="1"/>
  <c r="AA3501" i="7"/>
  <c r="AA3504" i="7"/>
  <c r="AA3505" i="7"/>
  <c r="Q3510" i="7"/>
  <c r="U3510" i="7"/>
  <c r="Y3510" i="7"/>
  <c r="AA3527" i="7"/>
  <c r="AA3531" i="7"/>
  <c r="AA3532" i="7"/>
  <c r="O3553" i="7"/>
  <c r="S3553" i="7"/>
  <c r="W3553" i="7"/>
  <c r="AA3555" i="7"/>
  <c r="AA3556" i="7"/>
  <c r="AA3557" i="7"/>
  <c r="AA3558" i="7"/>
  <c r="AA3560" i="7"/>
  <c r="Q3735" i="7"/>
  <c r="AC3735" i="7" s="1"/>
  <c r="AC3789" i="7"/>
  <c r="AC3790" i="7"/>
  <c r="AC3791" i="7"/>
  <c r="AC3794" i="7"/>
  <c r="Q3815" i="7"/>
  <c r="Q3956" i="7"/>
  <c r="S3974" i="7"/>
  <c r="S3998" i="7"/>
  <c r="AC4140" i="7"/>
  <c r="AC4239" i="7"/>
  <c r="K4238" i="7" s="1"/>
  <c r="AC4256" i="7"/>
  <c r="K4255" i="7" s="1"/>
  <c r="AC4262" i="7"/>
  <c r="K4261" i="7" s="1"/>
  <c r="AA4289" i="7"/>
  <c r="K4288" i="7" s="1"/>
  <c r="AA4407" i="7"/>
  <c r="K4406" i="7" s="1"/>
  <c r="AA4451" i="7"/>
  <c r="K4450" i="7" s="1"/>
  <c r="AA4454" i="7"/>
  <c r="AA4463" i="7"/>
  <c r="K4462" i="7" s="1"/>
  <c r="AA4469" i="7"/>
  <c r="K4468" i="7" s="1"/>
  <c r="AA4486" i="7"/>
  <c r="K4485" i="7" s="1"/>
  <c r="AA4494" i="7"/>
  <c r="K4493" i="7" s="1"/>
  <c r="AA4565" i="7"/>
  <c r="AA4586" i="7"/>
  <c r="K4585" i="7" s="1"/>
  <c r="AA4611" i="7"/>
  <c r="K4610" i="7" s="1"/>
  <c r="AA4616" i="7"/>
  <c r="K4615" i="7" s="1"/>
  <c r="AA4633" i="7"/>
  <c r="AA4747" i="7"/>
  <c r="K4746" i="7" s="1"/>
  <c r="AA4767" i="7"/>
  <c r="AA4777" i="7"/>
  <c r="K4776" i="7" s="1"/>
  <c r="AA4793" i="7"/>
  <c r="K4792" i="7" s="1"/>
  <c r="AA4851" i="7"/>
  <c r="K4850" i="7" s="1"/>
  <c r="AA4857" i="7"/>
  <c r="K4856" i="7" s="1"/>
  <c r="AA5005" i="7"/>
  <c r="K5004" i="7" s="1"/>
  <c r="AA5017" i="7"/>
  <c r="K5016" i="7" s="1"/>
  <c r="Z5065" i="7"/>
  <c r="AA5065" i="7" s="1"/>
  <c r="K5064" i="7" s="1"/>
  <c r="AA5089" i="7"/>
  <c r="K5088" i="7" s="1"/>
  <c r="AA5263" i="7"/>
  <c r="AA5533" i="7"/>
  <c r="AA5548" i="7"/>
  <c r="AA5570" i="7"/>
  <c r="AA5586" i="7"/>
  <c r="AA666" i="7"/>
  <c r="AA667" i="7"/>
  <c r="AA669" i="7"/>
  <c r="AA670" i="7"/>
  <c r="AA671" i="7"/>
  <c r="AA674" i="7"/>
  <c r="AA675" i="7"/>
  <c r="Q693" i="7"/>
  <c r="U693" i="7"/>
  <c r="Y693" i="7"/>
  <c r="AA705" i="7"/>
  <c r="AA713" i="7"/>
  <c r="O721" i="7"/>
  <c r="AA724" i="7"/>
  <c r="W721" i="7"/>
  <c r="AA725" i="7"/>
  <c r="AA729" i="7"/>
  <c r="P746" i="7"/>
  <c r="T746" i="7"/>
  <c r="X746" i="7"/>
  <c r="O779" i="7"/>
  <c r="S779" i="7"/>
  <c r="W779" i="7"/>
  <c r="AA782" i="7"/>
  <c r="AA784" i="7"/>
  <c r="AA787" i="7"/>
  <c r="AA788" i="7"/>
  <c r="O804" i="7"/>
  <c r="S804" i="7"/>
  <c r="W804" i="7"/>
  <c r="AA806" i="7"/>
  <c r="AA808" i="7"/>
  <c r="AA813" i="7"/>
  <c r="AA830" i="7"/>
  <c r="AA832" i="7"/>
  <c r="AA833" i="7"/>
  <c r="AA834" i="7"/>
  <c r="AA837" i="7"/>
  <c r="AA847" i="7"/>
  <c r="Q881" i="7"/>
  <c r="U881" i="7"/>
  <c r="Y881" i="7"/>
  <c r="O906" i="7"/>
  <c r="S906" i="7"/>
  <c r="W906" i="7"/>
  <c r="AA908" i="7"/>
  <c r="AA909" i="7"/>
  <c r="AA910" i="7"/>
  <c r="AA911" i="7"/>
  <c r="AA914" i="7"/>
  <c r="AA915" i="7"/>
  <c r="AA965" i="7"/>
  <c r="AA966" i="7"/>
  <c r="AA967" i="7"/>
  <c r="AA970" i="7"/>
  <c r="AA971" i="7"/>
  <c r="P986" i="7"/>
  <c r="T986" i="7"/>
  <c r="X986" i="7"/>
  <c r="U1261" i="7"/>
  <c r="P664" i="7"/>
  <c r="X664" i="7"/>
  <c r="T664" i="7"/>
  <c r="V693" i="7"/>
  <c r="R693" i="7"/>
  <c r="O746" i="7"/>
  <c r="S746" i="7"/>
  <c r="W746" i="7"/>
  <c r="P779" i="7"/>
  <c r="X779" i="7"/>
  <c r="Q932" i="7"/>
  <c r="U932" i="7"/>
  <c r="Y932" i="7"/>
  <c r="Y664" i="7"/>
  <c r="AA694" i="7"/>
  <c r="S693" i="7"/>
  <c r="AA696" i="7"/>
  <c r="AA697" i="7"/>
  <c r="W693" i="7"/>
  <c r="AA698" i="7"/>
  <c r="AA701" i="7"/>
  <c r="AA702" i="7"/>
  <c r="AA703" i="7"/>
  <c r="AA710" i="7"/>
  <c r="U721" i="7"/>
  <c r="Q721" i="7"/>
  <c r="AA882" i="7"/>
  <c r="AA883" i="7"/>
  <c r="AA884" i="7"/>
  <c r="AA885" i="7"/>
  <c r="AA886" i="7"/>
  <c r="AA889" i="7"/>
  <c r="AA890" i="7"/>
  <c r="AA924" i="7"/>
  <c r="AA925" i="7"/>
  <c r="Q962" i="7"/>
  <c r="U962" i="7"/>
  <c r="Y962" i="7"/>
  <c r="O1069" i="7"/>
  <c r="S1069" i="7"/>
  <c r="W1069" i="7"/>
  <c r="O71" i="7"/>
  <c r="R664" i="7"/>
  <c r="Z664" i="7"/>
  <c r="P693" i="7"/>
  <c r="X693" i="7"/>
  <c r="AA709" i="7"/>
  <c r="R721" i="7"/>
  <c r="Z721" i="7"/>
  <c r="V721" i="7"/>
  <c r="AA750" i="7"/>
  <c r="AA751" i="7"/>
  <c r="AA753" i="7"/>
  <c r="AA756" i="7"/>
  <c r="Q804" i="7"/>
  <c r="Y804" i="7"/>
  <c r="V829" i="7"/>
  <c r="Z829" i="7"/>
  <c r="Q854" i="7"/>
  <c r="U854" i="7"/>
  <c r="Y854" i="7"/>
  <c r="R906" i="7"/>
  <c r="V906" i="7"/>
  <c r="Z906" i="7"/>
  <c r="AA933" i="7"/>
  <c r="S932" i="7"/>
  <c r="W932" i="7"/>
  <c r="AA934" i="7"/>
  <c r="AA935" i="7"/>
  <c r="AA936" i="7"/>
  <c r="AA937" i="7"/>
  <c r="AA938" i="7"/>
  <c r="AA939" i="7"/>
  <c r="AA942" i="7"/>
  <c r="AA943" i="7"/>
  <c r="AA944" i="7"/>
  <c r="AA945" i="7"/>
  <c r="AA1044" i="7"/>
  <c r="O1043" i="7"/>
  <c r="P1284" i="7"/>
  <c r="X1284" i="7"/>
  <c r="AA979" i="7"/>
  <c r="AA980" i="7"/>
  <c r="AA987" i="7"/>
  <c r="AA988" i="7"/>
  <c r="AA989" i="7"/>
  <c r="AA990" i="7"/>
  <c r="AA991" i="7"/>
  <c r="AA992" i="7"/>
  <c r="AA993" i="7"/>
  <c r="AA994" i="7"/>
  <c r="AA997" i="7"/>
  <c r="AA998" i="7"/>
  <c r="Y1020" i="7"/>
  <c r="Z1043" i="7"/>
  <c r="AA1061" i="7"/>
  <c r="AA1062" i="7"/>
  <c r="AA1082" i="7"/>
  <c r="AA1083" i="7"/>
  <c r="AA1090" i="7"/>
  <c r="AA1091" i="7"/>
  <c r="O1089" i="7"/>
  <c r="S1089" i="7"/>
  <c r="W1089" i="7"/>
  <c r="AA1093" i="7"/>
  <c r="AA1094" i="7"/>
  <c r="AA1095" i="7"/>
  <c r="AA1096" i="7"/>
  <c r="AA1097" i="7"/>
  <c r="AA1098" i="7"/>
  <c r="AA1101" i="7"/>
  <c r="AA1102" i="7"/>
  <c r="P1120" i="7"/>
  <c r="T1120" i="7"/>
  <c r="X1120" i="7"/>
  <c r="AA1138" i="7"/>
  <c r="AA1139" i="7"/>
  <c r="AA1146" i="7"/>
  <c r="S1145" i="7"/>
  <c r="W1145" i="7"/>
  <c r="AA1147" i="7"/>
  <c r="AA1148" i="7"/>
  <c r="AA1149" i="7"/>
  <c r="AA1150" i="7"/>
  <c r="AA1160" i="7"/>
  <c r="AA1161" i="7"/>
  <c r="AA1162" i="7"/>
  <c r="AA1163" i="7"/>
  <c r="O1169" i="7"/>
  <c r="S1169" i="7"/>
  <c r="W1169" i="7"/>
  <c r="AA1171" i="7"/>
  <c r="AA1172" i="7"/>
  <c r="AA1173" i="7"/>
  <c r="AA1174" i="7"/>
  <c r="AA1175" i="7"/>
  <c r="Q1189" i="7"/>
  <c r="U1189" i="7"/>
  <c r="Y1189" i="7"/>
  <c r="AA1248" i="7"/>
  <c r="W1244" i="7"/>
  <c r="AA1249" i="7"/>
  <c r="S1244" i="7"/>
  <c r="P1261" i="7"/>
  <c r="T1261" i="7"/>
  <c r="AA1269" i="7"/>
  <c r="AA1270" i="7"/>
  <c r="Y1261" i="7"/>
  <c r="AA1286" i="7"/>
  <c r="AA1287" i="7"/>
  <c r="AA1289" i="7"/>
  <c r="AA1336" i="7"/>
  <c r="AA1337" i="7"/>
  <c r="AA1338" i="7"/>
  <c r="P1353" i="7"/>
  <c r="T1353" i="7"/>
  <c r="X1353" i="7"/>
  <c r="AA1386" i="7"/>
  <c r="U986" i="7"/>
  <c r="Y986" i="7"/>
  <c r="AA1000" i="7"/>
  <c r="AA1001" i="7"/>
  <c r="AA1002" i="7"/>
  <c r="AA1012" i="7"/>
  <c r="AA1013" i="7"/>
  <c r="AA1014" i="7"/>
  <c r="AA1021" i="7"/>
  <c r="O1020" i="7"/>
  <c r="S1020" i="7"/>
  <c r="W1020" i="7"/>
  <c r="AA1023" i="7"/>
  <c r="AA1024" i="7"/>
  <c r="AA1025" i="7"/>
  <c r="AA1028" i="7"/>
  <c r="AA1029" i="7"/>
  <c r="AA1030" i="7"/>
  <c r="P1043" i="7"/>
  <c r="T1043" i="7"/>
  <c r="X1043" i="7"/>
  <c r="P1069" i="7"/>
  <c r="T1069" i="7"/>
  <c r="X1069" i="7"/>
  <c r="Q1089" i="7"/>
  <c r="U1089" i="7"/>
  <c r="Y1089" i="7"/>
  <c r="Q1145" i="7"/>
  <c r="U1145" i="7"/>
  <c r="Y1145" i="7"/>
  <c r="AA1182" i="7"/>
  <c r="AA1183" i="7"/>
  <c r="AA1190" i="7"/>
  <c r="AA1191" i="7"/>
  <c r="AA1192" i="7"/>
  <c r="AA1193" i="7"/>
  <c r="AA1194" i="7"/>
  <c r="AA1218" i="7"/>
  <c r="AA1219" i="7"/>
  <c r="AA1220" i="7"/>
  <c r="AA1221" i="7"/>
  <c r="AA1222" i="7"/>
  <c r="AA1223" i="7"/>
  <c r="AA1227" i="7"/>
  <c r="AA1228" i="7"/>
  <c r="AA1252" i="7"/>
  <c r="AA1277" i="7"/>
  <c r="AA1278" i="7"/>
  <c r="Y1334" i="7"/>
  <c r="R1373" i="7"/>
  <c r="V1373" i="7"/>
  <c r="Z1373" i="7"/>
  <c r="Q1384" i="7"/>
  <c r="U1384" i="7"/>
  <c r="V986" i="7"/>
  <c r="Z986" i="7"/>
  <c r="AA1008" i="7"/>
  <c r="AA1009" i="7"/>
  <c r="AA1010" i="7"/>
  <c r="AA1113" i="7"/>
  <c r="AA1114" i="7"/>
  <c r="AA1121" i="7"/>
  <c r="AA1122" i="7"/>
  <c r="AA1123" i="7"/>
  <c r="AA1124" i="7"/>
  <c r="AA1125" i="7"/>
  <c r="AA1126" i="7"/>
  <c r="AA1129" i="7"/>
  <c r="AA1130" i="7"/>
  <c r="AA1153" i="7"/>
  <c r="AA1154" i="7"/>
  <c r="R1169" i="7"/>
  <c r="V1169" i="7"/>
  <c r="Z1169" i="7"/>
  <c r="AA1178" i="7"/>
  <c r="T1216" i="7"/>
  <c r="V1284" i="7"/>
  <c r="R1284" i="7"/>
  <c r="Z1284" i="7"/>
  <c r="AA1292" i="7"/>
  <c r="AA1297" i="7"/>
  <c r="X1305" i="7"/>
  <c r="T1305" i="7"/>
  <c r="R1334" i="7"/>
  <c r="V1334" i="7"/>
  <c r="O1353" i="7"/>
  <c r="S1353" i="7"/>
  <c r="W1353" i="7"/>
  <c r="R1384" i="7"/>
  <c r="V1384" i="7"/>
  <c r="Z1384" i="7"/>
  <c r="W1403" i="7"/>
  <c r="AA1405" i="7"/>
  <c r="AA1406" i="7"/>
  <c r="AA1407" i="7"/>
  <c r="AA1408" i="7"/>
  <c r="R1445" i="7"/>
  <c r="V1445" i="7"/>
  <c r="Y1484" i="7"/>
  <c r="T1532" i="7"/>
  <c r="X1532" i="7"/>
  <c r="AA1545" i="7"/>
  <c r="AA1549" i="7"/>
  <c r="AA1550" i="7"/>
  <c r="R1557" i="7"/>
  <c r="V1557" i="7"/>
  <c r="Z1557" i="7"/>
  <c r="AA1575" i="7"/>
  <c r="O1586" i="7"/>
  <c r="S1586" i="7"/>
  <c r="W1586" i="7"/>
  <c r="AA1588" i="7"/>
  <c r="AA1589" i="7"/>
  <c r="AA1590" i="7"/>
  <c r="AA1591" i="7"/>
  <c r="AA1594" i="7"/>
  <c r="AA1595" i="7"/>
  <c r="AA1630" i="7"/>
  <c r="AA1631" i="7"/>
  <c r="AA1639" i="7"/>
  <c r="S1638" i="7"/>
  <c r="W1638" i="7"/>
  <c r="AA1640" i="7"/>
  <c r="AA1641" i="7"/>
  <c r="AA1642" i="7"/>
  <c r="R1665" i="7"/>
  <c r="V1665" i="7"/>
  <c r="Z1665" i="7"/>
  <c r="AA1675" i="7"/>
  <c r="AA1676" i="7"/>
  <c r="V1189" i="7"/>
  <c r="Z1189" i="7"/>
  <c r="AA1197" i="7"/>
  <c r="AA1198" i="7"/>
  <c r="Q1216" i="7"/>
  <c r="U1216" i="7"/>
  <c r="Y1216" i="7"/>
  <c r="AA1236" i="7"/>
  <c r="R1244" i="7"/>
  <c r="Z1244" i="7"/>
  <c r="AA1262" i="7"/>
  <c r="O1261" i="7"/>
  <c r="W1261" i="7"/>
  <c r="AA1265" i="7"/>
  <c r="AA1266" i="7"/>
  <c r="Q1284" i="7"/>
  <c r="U1284" i="7"/>
  <c r="AA1306" i="7"/>
  <c r="AA1308" i="7"/>
  <c r="AA1309" i="7"/>
  <c r="AA1310" i="7"/>
  <c r="W1305" i="7"/>
  <c r="AA1313" i="7"/>
  <c r="AA1314" i="7"/>
  <c r="AA1319" i="7"/>
  <c r="AA1320" i="7"/>
  <c r="X1334" i="7"/>
  <c r="T1334" i="7"/>
  <c r="AA1346" i="7"/>
  <c r="AA1347" i="7"/>
  <c r="P1403" i="7"/>
  <c r="T1403" i="7"/>
  <c r="X1403" i="7"/>
  <c r="Q1426" i="7"/>
  <c r="U1426" i="7"/>
  <c r="Y1426" i="7"/>
  <c r="AA1446" i="7"/>
  <c r="O1445" i="7"/>
  <c r="S1445" i="7"/>
  <c r="W1445" i="7"/>
  <c r="AA1448" i="7"/>
  <c r="AA1453" i="7"/>
  <c r="O1464" i="7"/>
  <c r="AA1505" i="7"/>
  <c r="O1504" i="7"/>
  <c r="S1504" i="7"/>
  <c r="W1504" i="7"/>
  <c r="AA1507" i="7"/>
  <c r="AA1508" i="7"/>
  <c r="AA1511" i="7"/>
  <c r="AA1512" i="7"/>
  <c r="O1557" i="7"/>
  <c r="S1557" i="7"/>
  <c r="W1557" i="7"/>
  <c r="AA1559" i="7"/>
  <c r="AA1560" i="7"/>
  <c r="AA1561" i="7"/>
  <c r="AA1562" i="7"/>
  <c r="AA1565" i="7"/>
  <c r="AA1566" i="7"/>
  <c r="AA1574" i="7"/>
  <c r="P1586" i="7"/>
  <c r="T1586" i="7"/>
  <c r="X1586" i="7"/>
  <c r="AA1657" i="7"/>
  <c r="AA1658" i="7"/>
  <c r="O1665" i="7"/>
  <c r="S1665" i="7"/>
  <c r="W1665" i="7"/>
  <c r="AA1667" i="7"/>
  <c r="AA1668" i="7"/>
  <c r="AA1669" i="7"/>
  <c r="AA1670" i="7"/>
  <c r="AA1671" i="7"/>
  <c r="AA1699" i="7"/>
  <c r="S1464" i="7"/>
  <c r="W1464" i="7"/>
  <c r="O1484" i="7"/>
  <c r="S1484" i="7"/>
  <c r="W1484" i="7"/>
  <c r="R1532" i="7"/>
  <c r="V1532" i="7"/>
  <c r="Z1532" i="7"/>
  <c r="R1612" i="7"/>
  <c r="V1612" i="7"/>
  <c r="Z1612" i="7"/>
  <c r="Q1638" i="7"/>
  <c r="U1638" i="7"/>
  <c r="Y1638" i="7"/>
  <c r="AA2082" i="7"/>
  <c r="AA2083" i="7"/>
  <c r="O2081" i="7"/>
  <c r="S2081" i="7"/>
  <c r="W2081" i="7"/>
  <c r="AA1418" i="7"/>
  <c r="AA1419" i="7"/>
  <c r="AA1430" i="7"/>
  <c r="AA1431" i="7"/>
  <c r="O1426" i="7"/>
  <c r="P1464" i="7"/>
  <c r="T1464" i="7"/>
  <c r="T1484" i="7"/>
  <c r="X1484" i="7"/>
  <c r="AA1494" i="7"/>
  <c r="S1532" i="7"/>
  <c r="W1532" i="7"/>
  <c r="AA1534" i="7"/>
  <c r="AA1535" i="7"/>
  <c r="AA1536" i="7"/>
  <c r="AA1537" i="7"/>
  <c r="AA1538" i="7"/>
  <c r="AA1541" i="7"/>
  <c r="AA1542" i="7"/>
  <c r="AA1546" i="7"/>
  <c r="AA1578" i="7"/>
  <c r="AA1579" i="7"/>
  <c r="R1586" i="7"/>
  <c r="V1586" i="7"/>
  <c r="Z1586" i="7"/>
  <c r="AA1604" i="7"/>
  <c r="AA1605" i="7"/>
  <c r="AA1614" i="7"/>
  <c r="AA1615" i="7"/>
  <c r="AA1616" i="7"/>
  <c r="AA1617" i="7"/>
  <c r="AA1620" i="7"/>
  <c r="AA1621" i="7"/>
  <c r="AA2799" i="7"/>
  <c r="AA2800" i="7"/>
  <c r="AA2801" i="7"/>
  <c r="AA2802" i="7"/>
  <c r="AA2805" i="7"/>
  <c r="AA2806" i="7"/>
  <c r="Q2886" i="7"/>
  <c r="U2886" i="7"/>
  <c r="Y2886" i="7"/>
  <c r="AA3032" i="7"/>
  <c r="U3049" i="7"/>
  <c r="Y3049" i="7"/>
  <c r="Z3224" i="7"/>
  <c r="AA3246" i="7"/>
  <c r="AA3247" i="7"/>
  <c r="W3244" i="7"/>
  <c r="P3258" i="7"/>
  <c r="X3258" i="7"/>
  <c r="AA3271" i="7"/>
  <c r="AA3279" i="7"/>
  <c r="AA3280" i="7"/>
  <c r="W3278" i="7"/>
  <c r="AA3282" i="7"/>
  <c r="AA3283" i="7"/>
  <c r="S3278" i="7"/>
  <c r="R3322" i="7"/>
  <c r="Z3322" i="7"/>
  <c r="Q3346" i="7"/>
  <c r="U3346" i="7"/>
  <c r="Y3346" i="7"/>
  <c r="AA3382" i="7"/>
  <c r="AA3383" i="7"/>
  <c r="AA3384" i="7"/>
  <c r="AA3385" i="7"/>
  <c r="AA3409" i="7"/>
  <c r="AA3410" i="7"/>
  <c r="AA3411" i="7"/>
  <c r="AA3412" i="7"/>
  <c r="AA3413" i="7"/>
  <c r="P3424" i="7"/>
  <c r="T3424" i="7"/>
  <c r="X3424" i="7"/>
  <c r="R3448" i="7"/>
  <c r="V3448" i="7"/>
  <c r="Z3448" i="7"/>
  <c r="T3510" i="7"/>
  <c r="X3510" i="7"/>
  <c r="P3510" i="7"/>
  <c r="AA3528" i="7"/>
  <c r="R3553" i="7"/>
  <c r="V3553" i="7"/>
  <c r="Z3553" i="7"/>
  <c r="AA3573" i="7"/>
  <c r="AA3574" i="7"/>
  <c r="AA3575" i="7"/>
  <c r="AA3576" i="7"/>
  <c r="Q4112" i="7"/>
  <c r="AC4220" i="7"/>
  <c r="K4219" i="7" s="1"/>
  <c r="O2971" i="7"/>
  <c r="S2971" i="7"/>
  <c r="W2971" i="7"/>
  <c r="X3278" i="7"/>
  <c r="O3322" i="7"/>
  <c r="AC4037" i="7"/>
  <c r="Q2798" i="7"/>
  <c r="U2798" i="7"/>
  <c r="Y2798" i="7"/>
  <c r="AA2888" i="7"/>
  <c r="AA2889" i="7"/>
  <c r="AA2890" i="7"/>
  <c r="AA2893" i="7"/>
  <c r="AA2894" i="7"/>
  <c r="AA2988" i="7"/>
  <c r="AA2989" i="7"/>
  <c r="AA3021" i="7"/>
  <c r="AA3022" i="7"/>
  <c r="AA3025" i="7"/>
  <c r="AA3026" i="7"/>
  <c r="S3049" i="7"/>
  <c r="W3049" i="7"/>
  <c r="Q3127" i="7"/>
  <c r="U3127" i="7"/>
  <c r="Y3127" i="7"/>
  <c r="P3127" i="7"/>
  <c r="T3127" i="7"/>
  <c r="X3198" i="7"/>
  <c r="T3224" i="7"/>
  <c r="V3258" i="7"/>
  <c r="Q3278" i="7"/>
  <c r="Y3278" i="7"/>
  <c r="P3305" i="7"/>
  <c r="X3305" i="7"/>
  <c r="AA3349" i="7"/>
  <c r="AA3464" i="7"/>
  <c r="R3510" i="7"/>
  <c r="V3510" i="7"/>
  <c r="Z3510" i="7"/>
  <c r="AC3647" i="7"/>
  <c r="AC3643" i="7" s="1"/>
  <c r="AA1700" i="7"/>
  <c r="O1698" i="7"/>
  <c r="S1698" i="7"/>
  <c r="W1698" i="7"/>
  <c r="AA1702" i="7"/>
  <c r="AA1703" i="7"/>
  <c r="AA1706" i="7"/>
  <c r="AA1707" i="7"/>
  <c r="R2798" i="7"/>
  <c r="V2798" i="7"/>
  <c r="Z2798" i="7"/>
  <c r="AA2813" i="7"/>
  <c r="AA2814" i="7"/>
  <c r="Q2971" i="7"/>
  <c r="U2971" i="7"/>
  <c r="Y2971" i="7"/>
  <c r="T3019" i="7"/>
  <c r="X3019" i="7"/>
  <c r="Z3049" i="7"/>
  <c r="Q3198" i="7"/>
  <c r="U3198" i="7"/>
  <c r="V3244" i="7"/>
  <c r="AA3259" i="7"/>
  <c r="Q3305" i="7"/>
  <c r="U3305" i="7"/>
  <c r="Y3305" i="7"/>
  <c r="S3371" i="7"/>
  <c r="W3371" i="7"/>
  <c r="R3380" i="7"/>
  <c r="V3380" i="7"/>
  <c r="Z3380" i="7"/>
  <c r="R3407" i="7"/>
  <c r="V3407" i="7"/>
  <c r="Z3407" i="7"/>
  <c r="AA3425" i="7"/>
  <c r="AA3426" i="7"/>
  <c r="AA3427" i="7"/>
  <c r="AA3428" i="7"/>
  <c r="AA3429" i="7"/>
  <c r="AA3430" i="7"/>
  <c r="AA3431" i="7"/>
  <c r="AA3463" i="7"/>
  <c r="Q3499" i="7"/>
  <c r="U3499" i="7"/>
  <c r="Y3499" i="7"/>
  <c r="AA3511" i="7"/>
  <c r="AA3512" i="7"/>
  <c r="AA3513" i="7"/>
  <c r="AA3514" i="7"/>
  <c r="AA3515" i="7"/>
  <c r="AA3518" i="7"/>
  <c r="AA3519" i="7"/>
  <c r="Q3588" i="7"/>
  <c r="U3588" i="7"/>
  <c r="Y3588" i="7"/>
  <c r="AC3918" i="7"/>
  <c r="AC3964" i="7"/>
  <c r="S71" i="7"/>
  <c r="AA668" i="7"/>
  <c r="AA695" i="7"/>
  <c r="AA706" i="7"/>
  <c r="AA714" i="7"/>
  <c r="AA722" i="7"/>
  <c r="AA723" i="7"/>
  <c r="AA730" i="7"/>
  <c r="AA739" i="7"/>
  <c r="Q746" i="7"/>
  <c r="U746" i="7"/>
  <c r="Y746" i="7"/>
  <c r="AA763" i="7"/>
  <c r="AA781" i="7"/>
  <c r="AA783" i="7"/>
  <c r="P804" i="7"/>
  <c r="T804" i="7"/>
  <c r="X804" i="7"/>
  <c r="AA807" i="7"/>
  <c r="AA809" i="7"/>
  <c r="AA812" i="7"/>
  <c r="O829" i="7"/>
  <c r="S829" i="7"/>
  <c r="W829" i="7"/>
  <c r="AA843" i="7"/>
  <c r="AA678" i="6"/>
  <c r="AA665" i="7"/>
  <c r="AA772" i="7"/>
  <c r="Q71" i="7"/>
  <c r="AA190" i="7"/>
  <c r="AA683" i="7"/>
  <c r="AA747" i="7"/>
  <c r="AA748" i="7"/>
  <c r="AA749" i="7"/>
  <c r="AA765" i="7"/>
  <c r="R779" i="7"/>
  <c r="V779" i="7"/>
  <c r="Z779" i="7"/>
  <c r="Q779" i="7"/>
  <c r="U779" i="7"/>
  <c r="Y779" i="7"/>
  <c r="AA796" i="7"/>
  <c r="AA797" i="7"/>
  <c r="R804" i="7"/>
  <c r="V804" i="7"/>
  <c r="Z804" i="7"/>
  <c r="Q829" i="7"/>
  <c r="U829" i="7"/>
  <c r="Y829" i="7"/>
  <c r="AA838" i="7"/>
  <c r="AA846" i="7"/>
  <c r="AA726" i="7"/>
  <c r="AA732" i="7"/>
  <c r="AA752" i="7"/>
  <c r="AA757" i="7"/>
  <c r="AA780" i="7"/>
  <c r="AA822" i="7"/>
  <c r="AA805" i="7"/>
  <c r="AA831" i="7"/>
  <c r="O854" i="7"/>
  <c r="O881" i="7"/>
  <c r="AA907" i="7"/>
  <c r="O932" i="7"/>
  <c r="AA964" i="7"/>
  <c r="AA1022" i="7"/>
  <c r="O1145" i="7"/>
  <c r="AA1170" i="7"/>
  <c r="O1189" i="7"/>
  <c r="O1216" i="7"/>
  <c r="AA1224" i="7"/>
  <c r="U1244" i="7"/>
  <c r="Q1261" i="7"/>
  <c r="AA1293" i="7"/>
  <c r="O1305" i="7"/>
  <c r="Q1305" i="7"/>
  <c r="U1305" i="7"/>
  <c r="Y1305" i="7"/>
  <c r="AA1327" i="7"/>
  <c r="R1326" i="7"/>
  <c r="AA1326" i="7" s="1"/>
  <c r="AA1343" i="7"/>
  <c r="AA1417" i="7"/>
  <c r="P1426" i="7"/>
  <c r="T1426" i="7"/>
  <c r="X1426" i="7"/>
  <c r="AA1434" i="7"/>
  <c r="AA1435" i="7"/>
  <c r="R1464" i="7"/>
  <c r="V1464" i="7"/>
  <c r="Z1464" i="7"/>
  <c r="AA1072" i="7"/>
  <c r="AA1092" i="7"/>
  <c r="AA1263" i="7"/>
  <c r="AA1356" i="7"/>
  <c r="AA1245" i="7"/>
  <c r="AA1264" i="7"/>
  <c r="AA1288" i="7"/>
  <c r="AA1335" i="7"/>
  <c r="U1403" i="7"/>
  <c r="X1464" i="7"/>
  <c r="AA1469" i="7"/>
  <c r="AA1477" i="7"/>
  <c r="AA1229" i="7"/>
  <c r="P1244" i="7"/>
  <c r="T1244" i="7"/>
  <c r="X1244" i="7"/>
  <c r="R1261" i="7"/>
  <c r="V1261" i="7"/>
  <c r="Z1261" i="7"/>
  <c r="AA1276" i="7"/>
  <c r="O1284" i="7"/>
  <c r="S1284" i="7"/>
  <c r="W1284" i="7"/>
  <c r="AA1285" i="7"/>
  <c r="AA1290" i="7"/>
  <c r="AA1298" i="7"/>
  <c r="AA1307" i="7"/>
  <c r="Q1353" i="7"/>
  <c r="U1353" i="7"/>
  <c r="Y1353" i="7"/>
  <c r="AA1358" i="7"/>
  <c r="P1384" i="7"/>
  <c r="T1384" i="7"/>
  <c r="X1384" i="7"/>
  <c r="AA1387" i="7"/>
  <c r="AA1388" i="7"/>
  <c r="AA1389" i="7"/>
  <c r="AA1392" i="7"/>
  <c r="AA1393" i="7"/>
  <c r="AA1394" i="7"/>
  <c r="R1403" i="7"/>
  <c r="V1403" i="7"/>
  <c r="Z1403" i="7"/>
  <c r="AA1427" i="7"/>
  <c r="AA1428" i="7"/>
  <c r="AA1429" i="7"/>
  <c r="P1445" i="7"/>
  <c r="T1445" i="7"/>
  <c r="X1445" i="7"/>
  <c r="AA1449" i="7"/>
  <c r="AA1452" i="7"/>
  <c r="AA1457" i="7"/>
  <c r="AA1374" i="7"/>
  <c r="AA1385" i="7"/>
  <c r="AA1404" i="7"/>
  <c r="AA1447" i="7"/>
  <c r="AA1486" i="7"/>
  <c r="AA1506" i="7"/>
  <c r="AA1533" i="7"/>
  <c r="AA1558" i="7"/>
  <c r="AA1587" i="7"/>
  <c r="AA1613" i="7"/>
  <c r="O1638" i="7"/>
  <c r="AA1666" i="7"/>
  <c r="O2798" i="7"/>
  <c r="O2886" i="7"/>
  <c r="AA3050" i="7"/>
  <c r="AA3058" i="7"/>
  <c r="AA3060" i="7"/>
  <c r="V3068" i="7"/>
  <c r="AA3071" i="7"/>
  <c r="AA3085" i="7"/>
  <c r="X3127" i="7"/>
  <c r="AA3133" i="7"/>
  <c r="Q3162" i="7"/>
  <c r="AA3164" i="7"/>
  <c r="AA1701" i="7"/>
  <c r="AA2084" i="7"/>
  <c r="AA2974" i="7"/>
  <c r="T3038" i="7"/>
  <c r="AA3039" i="7"/>
  <c r="AA3087" i="7"/>
  <c r="Q3084" i="7"/>
  <c r="P3049" i="7"/>
  <c r="Q3049" i="7"/>
  <c r="Q3068" i="7"/>
  <c r="T3084" i="7"/>
  <c r="S3127" i="7"/>
  <c r="AA3128" i="7"/>
  <c r="AA3154" i="7"/>
  <c r="AA3155" i="7"/>
  <c r="AA3177" i="7"/>
  <c r="R3175" i="7"/>
  <c r="AA3202" i="7"/>
  <c r="V3198" i="7"/>
  <c r="AA3206" i="7"/>
  <c r="AA3207" i="7"/>
  <c r="R1688" i="7"/>
  <c r="AA1688" i="7" s="1"/>
  <c r="Q3038" i="7"/>
  <c r="AA3041" i="7"/>
  <c r="AA3091" i="7"/>
  <c r="Q3107" i="7"/>
  <c r="AA3114" i="7"/>
  <c r="R3107" i="7"/>
  <c r="AA3129" i="7"/>
  <c r="Y3198" i="7"/>
  <c r="AA3229" i="7"/>
  <c r="U3084" i="7"/>
  <c r="P3107" i="7"/>
  <c r="AA3115" i="7"/>
  <c r="AA3120" i="7"/>
  <c r="AA3121" i="7"/>
  <c r="R3127" i="7"/>
  <c r="V3127" i="7"/>
  <c r="Z3127" i="7"/>
  <c r="AA3135" i="7"/>
  <c r="AA3142" i="7"/>
  <c r="Q3175" i="7"/>
  <c r="U3175" i="7"/>
  <c r="Y3175" i="7"/>
  <c r="AA3245" i="7"/>
  <c r="AA3260" i="7"/>
  <c r="O3269" i="7"/>
  <c r="S3269" i="7"/>
  <c r="W3269" i="7"/>
  <c r="AA3270" i="7"/>
  <c r="O3278" i="7"/>
  <c r="AA3281" i="7"/>
  <c r="AA3307" i="7"/>
  <c r="AA3309" i="7"/>
  <c r="P3322" i="7"/>
  <c r="T3322" i="7"/>
  <c r="X3322" i="7"/>
  <c r="AA3326" i="7"/>
  <c r="AA3328" i="7"/>
  <c r="AA3348" i="7"/>
  <c r="AA3350" i="7"/>
  <c r="R3360" i="7"/>
  <c r="V3360" i="7"/>
  <c r="Z3360" i="7"/>
  <c r="AA3361" i="7"/>
  <c r="AA3141" i="7"/>
  <c r="Y3162" i="7"/>
  <c r="O3175" i="7"/>
  <c r="P3198" i="7"/>
  <c r="R3224" i="7"/>
  <c r="Q3244" i="7"/>
  <c r="U3244" i="7"/>
  <c r="Y3244" i="7"/>
  <c r="AA3248" i="7"/>
  <c r="R3305" i="7"/>
  <c r="V3305" i="7"/>
  <c r="Z3305" i="7"/>
  <c r="R3346" i="7"/>
  <c r="V3346" i="7"/>
  <c r="Z3346" i="7"/>
  <c r="AA3362" i="7"/>
  <c r="AC3611" i="7"/>
  <c r="AA3130" i="7"/>
  <c r="AA3226" i="7"/>
  <c r="Q3224" i="7"/>
  <c r="AA3286" i="7"/>
  <c r="AA3306" i="7"/>
  <c r="AA3323" i="7"/>
  <c r="S3322" i="7"/>
  <c r="W3322" i="7"/>
  <c r="AA3325" i="7"/>
  <c r="AA3347" i="7"/>
  <c r="AA3372" i="7"/>
  <c r="AA3373" i="7"/>
  <c r="AA3381" i="7"/>
  <c r="AA3408" i="7"/>
  <c r="AA3449" i="7"/>
  <c r="O3499" i="7"/>
  <c r="AA3554" i="7"/>
  <c r="O3588" i="7"/>
  <c r="R3611" i="7"/>
  <c r="S3637" i="7"/>
  <c r="T3643" i="7"/>
  <c r="AC4016" i="7"/>
  <c r="AC4076" i="7"/>
  <c r="AC4093" i="7"/>
  <c r="J4405" i="7"/>
  <c r="S3641" i="7"/>
  <c r="AA3473" i="7"/>
  <c r="AC3998" i="7"/>
  <c r="M3776" i="7"/>
  <c r="AC3974" i="7"/>
  <c r="AC4094" i="7"/>
  <c r="K4093" i="7" s="1"/>
  <c r="Q3788" i="7"/>
  <c r="AA4534" i="7"/>
  <c r="K4533" i="7" s="1"/>
  <c r="AA5602" i="7"/>
  <c r="AC3772" i="7"/>
  <c r="AC3775" i="7" s="1"/>
  <c r="AC3973" i="7"/>
  <c r="AC4238" i="7"/>
  <c r="S3767" i="7"/>
  <c r="AA4466" i="7"/>
  <c r="AA4500" i="7"/>
  <c r="K4499" i="7" s="1"/>
  <c r="AA4751" i="7"/>
  <c r="S4770" i="7"/>
  <c r="AA4770" i="7" s="1"/>
  <c r="K4769" i="7" s="1"/>
  <c r="AA5599" i="7"/>
  <c r="Z5634" i="7"/>
  <c r="AA5634" i="7" s="1"/>
  <c r="AA659" i="6" l="1"/>
  <c r="AA3224" i="7"/>
  <c r="AA3371" i="7"/>
  <c r="AC4112" i="7"/>
  <c r="AA3472" i="7"/>
  <c r="AA962" i="7"/>
  <c r="AA664" i="7"/>
  <c r="AA932" i="7"/>
  <c r="AC3821" i="7"/>
  <c r="AA1665" i="7"/>
  <c r="AA1120" i="7"/>
  <c r="K4951" i="7"/>
  <c r="AA3539" i="7"/>
  <c r="K4405" i="7"/>
  <c r="AA1484" i="7"/>
  <c r="AA1089" i="7"/>
  <c r="AA5525" i="7"/>
  <c r="AA1334" i="7"/>
  <c r="AA986" i="7"/>
  <c r="AA1557" i="7"/>
  <c r="AA1043" i="7"/>
  <c r="AA721" i="7"/>
  <c r="AA3258" i="7"/>
  <c r="AA4663" i="7"/>
  <c r="AA3038" i="7"/>
  <c r="AA1504" i="7"/>
  <c r="K4584" i="7"/>
  <c r="K4827" i="7"/>
  <c r="AA1373" i="7"/>
  <c r="AA3488" i="7"/>
  <c r="AA3510" i="7"/>
  <c r="AA1069" i="7"/>
  <c r="AA906" i="7"/>
  <c r="K4663" i="7"/>
  <c r="AA1020" i="7"/>
  <c r="AA1169" i="7"/>
  <c r="AC3788" i="7"/>
  <c r="AA3084" i="7"/>
  <c r="AA1638" i="7"/>
  <c r="AA1145" i="7"/>
  <c r="AA3499" i="7"/>
  <c r="AA2886" i="7"/>
  <c r="AA1216" i="7"/>
  <c r="AA881" i="7"/>
  <c r="AA3407" i="7"/>
  <c r="AA3380" i="7"/>
  <c r="AA1698" i="7"/>
  <c r="AA3424" i="7"/>
  <c r="AA1586" i="7"/>
  <c r="AA2081" i="7"/>
  <c r="K4321" i="7"/>
  <c r="AA5506" i="7"/>
  <c r="AC3637" i="7"/>
  <c r="K4762" i="7"/>
  <c r="AA3162" i="7"/>
  <c r="AA1189" i="7"/>
  <c r="AA854" i="7"/>
  <c r="AA672" i="6"/>
  <c r="K671" i="6" s="1"/>
  <c r="AA3588" i="7"/>
  <c r="AA3278" i="7"/>
  <c r="AA2798" i="7"/>
  <c r="K5136" i="7"/>
  <c r="AA3305" i="7"/>
  <c r="AA3244" i="7"/>
  <c r="AA1403" i="7"/>
  <c r="AA1284" i="7"/>
  <c r="K4484" i="7"/>
  <c r="AA1532" i="7"/>
  <c r="AA3198" i="7"/>
  <c r="AA1612" i="7"/>
  <c r="AA693" i="7"/>
  <c r="AA3553" i="7"/>
  <c r="AA3448" i="7"/>
  <c r="AC3767" i="7"/>
  <c r="AA3346" i="7"/>
  <c r="AA3107" i="7"/>
  <c r="AA804" i="7"/>
  <c r="AA3019" i="7"/>
  <c r="AA3360" i="7"/>
  <c r="AA3322" i="7"/>
  <c r="AA3269" i="7"/>
  <c r="AA1464" i="7"/>
  <c r="AA1261" i="7"/>
  <c r="AA2971" i="7"/>
  <c r="AA3127" i="7"/>
  <c r="AA3049" i="7"/>
  <c r="AA1384" i="7"/>
  <c r="AA1353" i="7"/>
  <c r="AA1426" i="7"/>
  <c r="AA779" i="7"/>
  <c r="AA1445" i="7"/>
  <c r="AA746" i="7"/>
  <c r="AA1244" i="7"/>
  <c r="AA1305" i="7"/>
  <c r="AA5492" i="7"/>
  <c r="AA3175" i="7"/>
  <c r="AA3068" i="7"/>
  <c r="AA829" i="7"/>
  <c r="Z214" i="4"/>
  <c r="Y214" i="4"/>
  <c r="X214" i="4"/>
  <c r="W214" i="4"/>
  <c r="V214" i="4"/>
  <c r="U214" i="4"/>
  <c r="T214" i="4"/>
  <c r="S214" i="4"/>
  <c r="R214" i="4"/>
  <c r="Q214" i="4"/>
  <c r="P214" i="4"/>
  <c r="Z207" i="4"/>
  <c r="Y207" i="4"/>
  <c r="X207" i="4"/>
  <c r="W207" i="4"/>
  <c r="V207" i="4"/>
  <c r="U207" i="4"/>
  <c r="T207" i="4"/>
  <c r="S207" i="4"/>
  <c r="R207" i="4"/>
  <c r="Q207" i="4"/>
  <c r="P207" i="4"/>
  <c r="AA212" i="4"/>
  <c r="AA211" i="4"/>
  <c r="AA210" i="4"/>
  <c r="AA209" i="4"/>
  <c r="AA208" i="4"/>
  <c r="AA206" i="4"/>
  <c r="AA205" i="4"/>
  <c r="AA204" i="4"/>
  <c r="AA203" i="4"/>
  <c r="AA202" i="4"/>
  <c r="Z201" i="4"/>
  <c r="Y201" i="4"/>
  <c r="X201" i="4"/>
  <c r="W201" i="4"/>
  <c r="V201" i="4"/>
  <c r="U201" i="4"/>
  <c r="T201" i="4"/>
  <c r="S201" i="4"/>
  <c r="Q201" i="4"/>
  <c r="P201" i="4"/>
  <c r="AA195" i="4"/>
  <c r="Z196" i="4"/>
  <c r="Y196" i="4"/>
  <c r="X196" i="4"/>
  <c r="W196" i="4"/>
  <c r="V196" i="4"/>
  <c r="U196" i="4"/>
  <c r="T196" i="4"/>
  <c r="S196" i="4"/>
  <c r="R196" i="4"/>
  <c r="Q196" i="4"/>
  <c r="P196" i="4"/>
  <c r="AA146" i="4"/>
  <c r="AA114" i="4"/>
  <c r="K115" i="4"/>
  <c r="AA129" i="4"/>
  <c r="AA141" i="4"/>
  <c r="AA140" i="4"/>
  <c r="AA139" i="4"/>
  <c r="AA138" i="4"/>
  <c r="AA137" i="4"/>
  <c r="AA136" i="4"/>
  <c r="AA135" i="4"/>
  <c r="AA134" i="4"/>
  <c r="AA133" i="4"/>
  <c r="AA132" i="4"/>
  <c r="AA163" i="4"/>
  <c r="Z164" i="4"/>
  <c r="Y164" i="4"/>
  <c r="X164" i="4"/>
  <c r="W164" i="4"/>
  <c r="V164" i="4"/>
  <c r="U164" i="4"/>
  <c r="T164" i="4"/>
  <c r="S164" i="4"/>
  <c r="R164" i="4"/>
  <c r="Q164" i="4"/>
  <c r="P164" i="4"/>
  <c r="O164" i="4"/>
  <c r="AC311" i="4"/>
  <c r="AC310" i="4"/>
  <c r="AC309" i="4"/>
  <c r="AC308" i="4"/>
  <c r="AC307" i="4"/>
  <c r="AC306" i="4"/>
  <c r="AC305" i="4"/>
  <c r="AC304" i="4"/>
  <c r="AC303" i="4"/>
  <c r="AC302" i="4"/>
  <c r="AC301" i="4"/>
  <c r="AC300" i="4"/>
  <c r="AC295" i="4"/>
  <c r="AC294" i="4"/>
  <c r="AC293" i="4"/>
  <c r="AC292" i="4"/>
  <c r="AC291" i="4"/>
  <c r="AC290" i="4"/>
  <c r="AC289" i="4"/>
  <c r="AC288" i="4"/>
  <c r="AC287" i="4"/>
  <c r="AC286"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A4762" i="7" l="1"/>
  <c r="AA201" i="4"/>
  <c r="AA207" i="4"/>
  <c r="AA577" i="1" l="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Z541" i="1"/>
  <c r="Y541" i="1"/>
  <c r="X541" i="1"/>
  <c r="W541" i="1"/>
  <c r="V541" i="1"/>
  <c r="U541" i="1"/>
  <c r="T541" i="1"/>
  <c r="S541" i="1"/>
  <c r="R541" i="1"/>
  <c r="Q541" i="1"/>
  <c r="P541" i="1"/>
  <c r="O541" i="1"/>
  <c r="AA540" i="1"/>
  <c r="J541" i="1" s="1"/>
  <c r="AA402" i="1"/>
  <c r="AA401" i="1"/>
  <c r="AA400" i="1"/>
  <c r="AA398" i="1"/>
  <c r="AA397" i="1"/>
  <c r="AA396" i="1"/>
  <c r="AA395" i="1"/>
  <c r="AA394" i="1"/>
  <c r="AA393" i="1"/>
  <c r="Z392" i="1"/>
  <c r="Y392" i="1"/>
  <c r="X392" i="1"/>
  <c r="W392" i="1"/>
  <c r="V392" i="1"/>
  <c r="U392" i="1"/>
  <c r="T392" i="1"/>
  <c r="S392" i="1"/>
  <c r="R392" i="1"/>
  <c r="Q392" i="1"/>
  <c r="P392" i="1"/>
  <c r="O392" i="1"/>
  <c r="AA391" i="1"/>
  <c r="J391" i="1" s="1"/>
  <c r="AA390" i="1"/>
  <c r="AA389" i="1"/>
  <c r="AA388" i="1"/>
  <c r="Z387" i="1"/>
  <c r="Y387" i="1"/>
  <c r="X387" i="1"/>
  <c r="W387" i="1"/>
  <c r="V387" i="1"/>
  <c r="U387" i="1"/>
  <c r="T387" i="1"/>
  <c r="S387" i="1"/>
  <c r="R387" i="1"/>
  <c r="Q387" i="1"/>
  <c r="P387" i="1"/>
  <c r="O387" i="1"/>
  <c r="AA386" i="1"/>
  <c r="J386" i="1" s="1"/>
  <c r="AA385" i="1"/>
  <c r="AA384" i="1"/>
  <c r="AA383" i="1"/>
  <c r="AA382" i="1"/>
  <c r="AA381" i="1"/>
  <c r="Z380" i="1"/>
  <c r="Y380" i="1"/>
  <c r="X380" i="1"/>
  <c r="W380" i="1"/>
  <c r="V380" i="1"/>
  <c r="U380" i="1"/>
  <c r="T380" i="1"/>
  <c r="S380" i="1"/>
  <c r="R380" i="1"/>
  <c r="Q380" i="1"/>
  <c r="P380" i="1"/>
  <c r="O380" i="1"/>
  <c r="AA379" i="1"/>
  <c r="J379" i="1" s="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Z339" i="1"/>
  <c r="Y339" i="1"/>
  <c r="X339" i="1"/>
  <c r="W339" i="1"/>
  <c r="V339" i="1"/>
  <c r="U339" i="1"/>
  <c r="T339" i="1"/>
  <c r="S339" i="1"/>
  <c r="R339" i="1"/>
  <c r="Q339" i="1"/>
  <c r="P339" i="1"/>
  <c r="O339" i="1"/>
  <c r="AA338" i="1"/>
  <c r="J338" i="1" s="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Z309" i="1"/>
  <c r="Y309" i="1"/>
  <c r="X309" i="1"/>
  <c r="W309" i="1"/>
  <c r="V309" i="1"/>
  <c r="U309" i="1"/>
  <c r="T309" i="1"/>
  <c r="S309" i="1"/>
  <c r="R309" i="1"/>
  <c r="Q309" i="1"/>
  <c r="P309" i="1"/>
  <c r="O309" i="1"/>
  <c r="AA308" i="1"/>
  <c r="J308" i="1" s="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Z263" i="1"/>
  <c r="Y263" i="1"/>
  <c r="X263" i="1"/>
  <c r="W263" i="1"/>
  <c r="V263" i="1"/>
  <c r="U263" i="1"/>
  <c r="T263" i="1"/>
  <c r="S263" i="1"/>
  <c r="R263" i="1"/>
  <c r="Q263" i="1"/>
  <c r="P263" i="1"/>
  <c r="O263" i="1"/>
  <c r="AA262" i="1"/>
  <c r="J262" i="1" s="1"/>
  <c r="AA249" i="1"/>
  <c r="AA248" i="1"/>
  <c r="AA247" i="1"/>
  <c r="AA246" i="1"/>
  <c r="Z245" i="1"/>
  <c r="Y245" i="1"/>
  <c r="X245" i="1"/>
  <c r="W245" i="1"/>
  <c r="V245" i="1"/>
  <c r="U245" i="1"/>
  <c r="T245" i="1"/>
  <c r="S245" i="1"/>
  <c r="R245" i="1"/>
  <c r="AA244" i="1"/>
  <c r="J244" i="1" s="1"/>
  <c r="AA230" i="1"/>
  <c r="AA229" i="1"/>
  <c r="Z228" i="1"/>
  <c r="Y228" i="1"/>
  <c r="X228" i="1"/>
  <c r="W228" i="1"/>
  <c r="V228" i="1"/>
  <c r="U228" i="1"/>
  <c r="T228" i="1"/>
  <c r="S228" i="1"/>
  <c r="R228" i="1"/>
  <c r="Q228" i="1"/>
  <c r="P228" i="1"/>
  <c r="O228" i="1"/>
  <c r="AA227" i="1"/>
  <c r="J227" i="1" s="1"/>
  <c r="AA224" i="1"/>
  <c r="K222" i="1" s="1"/>
  <c r="Z223" i="1"/>
  <c r="Y223" i="1"/>
  <c r="X223" i="1"/>
  <c r="W223" i="1"/>
  <c r="V223" i="1"/>
  <c r="U223" i="1"/>
  <c r="T223" i="1"/>
  <c r="S223" i="1"/>
  <c r="R223" i="1"/>
  <c r="Q223" i="1"/>
  <c r="P223" i="1"/>
  <c r="O223" i="1"/>
  <c r="AA222" i="1"/>
  <c r="J222" i="1" s="1"/>
  <c r="AA219" i="1"/>
  <c r="AA218" i="1"/>
  <c r="AA217" i="1"/>
  <c r="Z216" i="1"/>
  <c r="Y216" i="1"/>
  <c r="X216" i="1"/>
  <c r="W216" i="1"/>
  <c r="V216" i="1"/>
  <c r="U216" i="1"/>
  <c r="T216" i="1"/>
  <c r="S216" i="1"/>
  <c r="R216" i="1"/>
  <c r="Q216" i="1"/>
  <c r="P216" i="1"/>
  <c r="O216" i="1"/>
  <c r="AA215" i="1"/>
  <c r="J215" i="1" s="1"/>
  <c r="AA212" i="1"/>
  <c r="AA211" i="1"/>
  <c r="AA210" i="1"/>
  <c r="AA209" i="1"/>
  <c r="Z208" i="1"/>
  <c r="Y208" i="1"/>
  <c r="X208" i="1"/>
  <c r="W208" i="1"/>
  <c r="V208" i="1"/>
  <c r="U208" i="1"/>
  <c r="T208" i="1"/>
  <c r="S208" i="1"/>
  <c r="R208" i="1"/>
  <c r="Q208" i="1"/>
  <c r="P208" i="1"/>
  <c r="O208" i="1"/>
  <c r="AA207" i="1"/>
  <c r="J207" i="1" s="1"/>
  <c r="AA204" i="1"/>
  <c r="AA203" i="1"/>
  <c r="AA202" i="1"/>
  <c r="Z201" i="1"/>
  <c r="Y201" i="1"/>
  <c r="X201" i="1"/>
  <c r="W201" i="1"/>
  <c r="V201" i="1"/>
  <c r="U201" i="1"/>
  <c r="T201" i="1"/>
  <c r="S201" i="1"/>
  <c r="R201" i="1"/>
  <c r="Q201" i="1"/>
  <c r="P201" i="1"/>
  <c r="O201" i="1"/>
  <c r="AA200" i="1"/>
  <c r="J200" i="1" s="1"/>
  <c r="AA199" i="1"/>
  <c r="K197" i="1" s="1"/>
  <c r="Z198" i="1"/>
  <c r="Y198" i="1"/>
  <c r="X198" i="1"/>
  <c r="W198" i="1"/>
  <c r="V198" i="1"/>
  <c r="U198" i="1"/>
  <c r="T198" i="1"/>
  <c r="S198" i="1"/>
  <c r="R198" i="1"/>
  <c r="Q198" i="1"/>
  <c r="P198" i="1"/>
  <c r="O198" i="1"/>
  <c r="AA197" i="1"/>
  <c r="J197" i="1" s="1"/>
  <c r="AA196" i="1"/>
  <c r="AA195" i="1"/>
  <c r="AA194" i="1"/>
  <c r="Z193" i="1"/>
  <c r="Y193" i="1"/>
  <c r="X193" i="1"/>
  <c r="W193" i="1"/>
  <c r="V193" i="1"/>
  <c r="U193" i="1"/>
  <c r="T193" i="1"/>
  <c r="S193" i="1"/>
  <c r="R193" i="1"/>
  <c r="Q193" i="1"/>
  <c r="P193" i="1"/>
  <c r="O193" i="1"/>
  <c r="AA192" i="1"/>
  <c r="J192" i="1" s="1"/>
  <c r="AA189" i="1"/>
  <c r="K187" i="1" s="1"/>
  <c r="J187" i="1"/>
  <c r="AA186" i="1"/>
  <c r="K184" i="1" s="1"/>
  <c r="J184" i="1"/>
  <c r="AA183" i="1"/>
  <c r="AA182" i="1"/>
  <c r="AA181" i="1"/>
  <c r="AA179" i="1"/>
  <c r="J179" i="1" s="1"/>
  <c r="AA178" i="1"/>
  <c r="K176" i="1" s="1"/>
  <c r="J176" i="1"/>
  <c r="AA175" i="1"/>
  <c r="K173" i="1" s="1"/>
  <c r="J173" i="1"/>
  <c r="AA172" i="1"/>
  <c r="K170" i="1" s="1"/>
  <c r="J170" i="1"/>
  <c r="AA169" i="1"/>
  <c r="K167" i="1" s="1"/>
  <c r="J167" i="1"/>
  <c r="AA166" i="1"/>
  <c r="K164" i="1" s="1"/>
  <c r="J164" i="1"/>
  <c r="AA163" i="1"/>
  <c r="K161" i="1" s="1"/>
  <c r="J161" i="1"/>
  <c r="AA160" i="1"/>
  <c r="K158" i="1" s="1"/>
  <c r="J158" i="1"/>
  <c r="AA157" i="1"/>
  <c r="K155" i="1" s="1"/>
  <c r="J155" i="1"/>
  <c r="AA154" i="1"/>
  <c r="K152" i="1" s="1"/>
  <c r="J152" i="1"/>
  <c r="AA151" i="1"/>
  <c r="K149" i="1" s="1"/>
  <c r="J149" i="1"/>
  <c r="AA148" i="1"/>
  <c r="K146" i="1" s="1"/>
  <c r="J146" i="1"/>
  <c r="AA145" i="1"/>
  <c r="K143" i="1" s="1"/>
  <c r="J143" i="1"/>
  <c r="AA142" i="1"/>
  <c r="K140" i="1" s="1"/>
  <c r="J140" i="1"/>
  <c r="AA139" i="1"/>
  <c r="K137" i="1" s="1"/>
  <c r="J137" i="1"/>
  <c r="AA136" i="1"/>
  <c r="K134" i="1" s="1"/>
  <c r="J134" i="1"/>
  <c r="AA133" i="1"/>
  <c r="K131" i="1" s="1"/>
  <c r="J131" i="1"/>
  <c r="AA130" i="1"/>
  <c r="AA129" i="1"/>
  <c r="AA128" i="1"/>
  <c r="AA127" i="1"/>
  <c r="AA125" i="1"/>
  <c r="J125" i="1" s="1"/>
  <c r="AA124" i="1"/>
  <c r="AA123" i="1"/>
  <c r="AA121" i="1"/>
  <c r="J121" i="1" s="1"/>
  <c r="AA120" i="1"/>
  <c r="AA119" i="1"/>
  <c r="AA117" i="1"/>
  <c r="J117" i="1" s="1"/>
  <c r="Z116" i="1"/>
  <c r="Z114" i="1" s="1"/>
  <c r="Y116" i="1"/>
  <c r="Y114" i="1" s="1"/>
  <c r="X116" i="1"/>
  <c r="X114" i="1" s="1"/>
  <c r="W116" i="1"/>
  <c r="W114" i="1" s="1"/>
  <c r="V116" i="1"/>
  <c r="V114" i="1" s="1"/>
  <c r="U116" i="1"/>
  <c r="U114" i="1" s="1"/>
  <c r="T116" i="1"/>
  <c r="T114" i="1" s="1"/>
  <c r="S116" i="1"/>
  <c r="S114" i="1" s="1"/>
  <c r="R116" i="1"/>
  <c r="R114" i="1" s="1"/>
  <c r="Q116" i="1"/>
  <c r="Q114" i="1" s="1"/>
  <c r="P116" i="1"/>
  <c r="P114" i="1" s="1"/>
  <c r="O116" i="1"/>
  <c r="O114" i="1" s="1"/>
  <c r="AA112" i="1"/>
  <c r="Z111" i="1"/>
  <c r="Y111" i="1"/>
  <c r="X111" i="1"/>
  <c r="W111" i="1"/>
  <c r="V111" i="1"/>
  <c r="U111" i="1"/>
  <c r="T111" i="1"/>
  <c r="S111" i="1"/>
  <c r="R111" i="1"/>
  <c r="Q111" i="1"/>
  <c r="P111" i="1"/>
  <c r="O111" i="1"/>
  <c r="J110" i="1"/>
  <c r="AA109" i="1"/>
  <c r="AA108" i="1"/>
  <c r="AA107" i="1"/>
  <c r="Z106" i="1"/>
  <c r="Y106" i="1"/>
  <c r="X106" i="1"/>
  <c r="W106" i="1"/>
  <c r="V106" i="1"/>
  <c r="U106" i="1"/>
  <c r="T106" i="1"/>
  <c r="S106" i="1"/>
  <c r="R106" i="1"/>
  <c r="Q106" i="1"/>
  <c r="P106" i="1"/>
  <c r="O106" i="1"/>
  <c r="AA105" i="1"/>
  <c r="J105" i="1" s="1"/>
  <c r="AA102" i="1"/>
  <c r="AA101" i="1"/>
  <c r="Z100" i="1"/>
  <c r="Y100" i="1"/>
  <c r="X100" i="1"/>
  <c r="W100" i="1"/>
  <c r="V100" i="1"/>
  <c r="U100" i="1"/>
  <c r="T100" i="1"/>
  <c r="S100" i="1"/>
  <c r="R100" i="1"/>
  <c r="Q100" i="1"/>
  <c r="P100" i="1"/>
  <c r="O100" i="1"/>
  <c r="AA99" i="1"/>
  <c r="J260" i="1" l="1"/>
  <c r="AA114" i="1"/>
  <c r="K386" i="1"/>
  <c r="K200" i="1"/>
  <c r="AA339" i="1"/>
  <c r="K391" i="1"/>
  <c r="K99" i="1"/>
  <c r="K179" i="1"/>
  <c r="K308" i="1"/>
  <c r="K215" i="1"/>
  <c r="AA193" i="1"/>
  <c r="K192" i="1"/>
  <c r="K227" i="1"/>
  <c r="K244" i="1"/>
  <c r="AA106" i="1"/>
  <c r="K105" i="1"/>
  <c r="AA111" i="1"/>
  <c r="K110" i="1" s="1"/>
  <c r="K117" i="1"/>
  <c r="AA208" i="1"/>
  <c r="K207" i="1"/>
  <c r="K262" i="1"/>
  <c r="K125" i="1"/>
  <c r="AA198" i="1"/>
  <c r="AA201" i="1"/>
  <c r="AA216" i="1"/>
  <c r="AA245" i="1"/>
  <c r="K338" i="1"/>
  <c r="AA387" i="1"/>
  <c r="AA392" i="1"/>
  <c r="AA116" i="1"/>
  <c r="AA263" i="1"/>
  <c r="K379" i="1"/>
  <c r="AA100" i="1"/>
  <c r="K121" i="1"/>
  <c r="AA223" i="1"/>
  <c r="AA228" i="1"/>
  <c r="AA260" i="1"/>
  <c r="AA261" i="1"/>
  <c r="AA309" i="1"/>
  <c r="AA380" i="1"/>
  <c r="AA541" i="1"/>
  <c r="K541" i="1" s="1"/>
  <c r="K260" i="1" l="1"/>
  <c r="K113" i="1"/>
  <c r="K250" i="1" s="1"/>
  <c r="AA213" i="4"/>
  <c r="AA200" i="4"/>
  <c r="AA216" i="4" l="1"/>
  <c r="AA215" i="4"/>
  <c r="AA199" i="4"/>
  <c r="AA198" i="4"/>
  <c r="AA197" i="4"/>
  <c r="AA158" i="4"/>
  <c r="AA157" i="4"/>
  <c r="AA156" i="4"/>
  <c r="AA155" i="4"/>
  <c r="AA154" i="4"/>
  <c r="AA153" i="4"/>
  <c r="AA152" i="4"/>
  <c r="AA151" i="4"/>
  <c r="AA150" i="4"/>
  <c r="AA149" i="4"/>
  <c r="AA148" i="4"/>
  <c r="Z147" i="4"/>
  <c r="Y147" i="4"/>
  <c r="X147" i="4"/>
  <c r="W147" i="4"/>
  <c r="V147" i="4"/>
  <c r="U147" i="4"/>
  <c r="T147" i="4"/>
  <c r="S147" i="4"/>
  <c r="R147" i="4"/>
  <c r="Q147" i="4"/>
  <c r="P147" i="4"/>
  <c r="O147" i="4"/>
  <c r="Z131" i="4"/>
  <c r="Z130" i="4" s="1"/>
  <c r="Y131" i="4"/>
  <c r="Y130" i="4" s="1"/>
  <c r="X131" i="4"/>
  <c r="X130" i="4" s="1"/>
  <c r="W131" i="4"/>
  <c r="V130" i="4"/>
  <c r="U130" i="4"/>
  <c r="T130" i="4"/>
  <c r="S130" i="4"/>
  <c r="R130" i="4"/>
  <c r="Q130" i="4"/>
  <c r="P130" i="4"/>
  <c r="O130" i="4"/>
  <c r="AA124" i="4"/>
  <c r="AA123" i="4"/>
  <c r="AA122" i="4"/>
  <c r="AA121" i="4"/>
  <c r="AA120" i="4"/>
  <c r="AA119" i="4"/>
  <c r="AA118" i="4"/>
  <c r="AA117" i="4"/>
  <c r="AA116" i="4"/>
  <c r="Z115" i="4"/>
  <c r="Y115" i="4"/>
  <c r="X115" i="4"/>
  <c r="W115" i="4"/>
  <c r="V115" i="4"/>
  <c r="U115" i="4"/>
  <c r="T115" i="4"/>
  <c r="S115" i="4"/>
  <c r="R115" i="4"/>
  <c r="Q115" i="4"/>
  <c r="P115" i="4"/>
  <c r="O115" i="4"/>
  <c r="K109" i="4"/>
  <c r="U109" i="4" s="1"/>
  <c r="K108" i="4"/>
  <c r="O108" i="4" s="1"/>
  <c r="AA108" i="4" s="1"/>
  <c r="Y106" i="4"/>
  <c r="X106" i="4"/>
  <c r="W106" i="4"/>
  <c r="V106" i="4"/>
  <c r="T106" i="4"/>
  <c r="S106" i="4"/>
  <c r="R106" i="4"/>
  <c r="Q106" i="4"/>
  <c r="P106" i="4"/>
  <c r="AA86" i="4"/>
  <c r="AA79" i="4"/>
  <c r="AA71" i="4"/>
  <c r="Z71" i="4"/>
  <c r="Y71" i="4"/>
  <c r="X71" i="4"/>
  <c r="W71" i="4"/>
  <c r="V71" i="4"/>
  <c r="U71" i="4"/>
  <c r="T71" i="4"/>
  <c r="S71" i="4"/>
  <c r="R71" i="4"/>
  <c r="Q71" i="4"/>
  <c r="P71" i="4"/>
  <c r="Z64" i="4"/>
  <c r="Y64" i="4"/>
  <c r="X64" i="4"/>
  <c r="W64" i="4"/>
  <c r="V64" i="4"/>
  <c r="U64" i="4"/>
  <c r="T64" i="4"/>
  <c r="S64" i="4"/>
  <c r="R64" i="4"/>
  <c r="Q64" i="4"/>
  <c r="P64" i="4"/>
  <c r="O64" i="4"/>
  <c r="Z56" i="4"/>
  <c r="Y56" i="4"/>
  <c r="X56" i="4"/>
  <c r="W56" i="4"/>
  <c r="V56" i="4"/>
  <c r="U56" i="4"/>
  <c r="T56" i="4"/>
  <c r="S56" i="4"/>
  <c r="R56" i="4"/>
  <c r="Q56" i="4"/>
  <c r="P56" i="4"/>
  <c r="O56" i="4"/>
  <c r="AA50" i="4"/>
  <c r="Z50" i="4"/>
  <c r="Y50" i="4"/>
  <c r="X50" i="4"/>
  <c r="W50" i="4"/>
  <c r="V50" i="4"/>
  <c r="U50" i="4"/>
  <c r="T50" i="4"/>
  <c r="S50" i="4"/>
  <c r="R50" i="4"/>
  <c r="Q50" i="4"/>
  <c r="P50" i="4"/>
  <c r="O50" i="4"/>
  <c r="Z45" i="4"/>
  <c r="Y45" i="4"/>
  <c r="X45" i="4"/>
  <c r="W45" i="4"/>
  <c r="V45" i="4"/>
  <c r="U45" i="4"/>
  <c r="T45" i="4"/>
  <c r="S45" i="4"/>
  <c r="R45" i="4"/>
  <c r="Q45" i="4"/>
  <c r="P45" i="4"/>
  <c r="O45" i="4"/>
  <c r="AA147" i="4" l="1"/>
  <c r="AA131" i="4"/>
  <c r="W130" i="4"/>
  <c r="AA130" i="4" s="1"/>
  <c r="AA56" i="4"/>
  <c r="AA64" i="4"/>
  <c r="AA115" i="4"/>
  <c r="AA45" i="4"/>
  <c r="AA196" i="4"/>
  <c r="U106" i="4"/>
  <c r="K107" i="4"/>
  <c r="Z109" i="4"/>
  <c r="Z106" i="4" s="1"/>
  <c r="AA109" i="4" l="1"/>
  <c r="O107" i="4"/>
  <c r="K106" i="4"/>
  <c r="O106" i="4" l="1"/>
  <c r="AA107" i="4"/>
  <c r="AA106" i="4" s="1"/>
  <c r="AA17" i="4" l="1"/>
  <c r="Z18" i="4"/>
  <c r="Y18" i="4"/>
  <c r="X18" i="4"/>
  <c r="W18" i="4"/>
  <c r="V18" i="4"/>
  <c r="U18" i="4"/>
  <c r="T18" i="4"/>
  <c r="S18" i="4"/>
  <c r="R18" i="4"/>
  <c r="Q18" i="4"/>
  <c r="P18" i="4"/>
  <c r="O18" i="4"/>
  <c r="AA18" i="4" l="1"/>
  <c r="AA36" i="4" l="1"/>
  <c r="AA35" i="4"/>
  <c r="AA34" i="4"/>
  <c r="AA33" i="4"/>
  <c r="AA32" i="4"/>
  <c r="AA31" i="4"/>
  <c r="AA30" i="4"/>
  <c r="AA29" i="4"/>
  <c r="AA28" i="4"/>
  <c r="AA27" i="4"/>
  <c r="AA26" i="4"/>
  <c r="AA25" i="4"/>
  <c r="AA24" i="4"/>
  <c r="AA23" i="4"/>
  <c r="AA22" i="4"/>
  <c r="AA21" i="4"/>
  <c r="AA20" i="4"/>
  <c r="AA19" i="4"/>
  <c r="K17" i="4" l="1"/>
  <c r="Q149" i="6"/>
  <c r="AA152" i="6"/>
  <c r="R149" i="6"/>
  <c r="AA149" i="6" s="1"/>
</calcChain>
</file>

<file path=xl/comments1.xml><?xml version="1.0" encoding="utf-8"?>
<comments xmlns="http://schemas.openxmlformats.org/spreadsheetml/2006/main">
  <authors>
    <author>Romulo</author>
    <author>PLANIFICACION</author>
    <author>user</author>
    <author>Segundo R. Velasquez Zegarra</author>
  </authors>
  <commentList>
    <comment ref="C92" authorId="0">
      <text>
        <r>
          <rPr>
            <b/>
            <sz val="9"/>
            <color indexed="81"/>
            <rFont val="Tahoma"/>
            <family val="2"/>
          </rPr>
          <t>Romulo:</t>
        </r>
        <r>
          <rPr>
            <sz val="9"/>
            <color indexed="81"/>
            <rFont val="Tahoma"/>
            <family val="2"/>
          </rPr>
          <t xml:space="preserve">
De guía informativa para el proceso presupuestario
</t>
        </r>
      </text>
    </comment>
    <comment ref="K197" authorId="1">
      <text>
        <r>
          <rPr>
            <b/>
            <sz val="9"/>
            <color indexed="81"/>
            <rFont val="Tahoma"/>
            <family val="2"/>
          </rPr>
          <t>PLANIFICACION:</t>
        </r>
        <r>
          <rPr>
            <sz val="9"/>
            <color indexed="81"/>
            <rFont val="Tahoma"/>
            <family val="2"/>
          </rPr>
          <t xml:space="preserve">
</t>
        </r>
      </text>
    </comment>
    <comment ref="C237" authorId="0">
      <text>
        <r>
          <rPr>
            <b/>
            <sz val="9"/>
            <color indexed="81"/>
            <rFont val="Tahoma"/>
            <family val="2"/>
          </rPr>
          <t>Romulo:</t>
        </r>
        <r>
          <rPr>
            <sz val="9"/>
            <color indexed="81"/>
            <rFont val="Tahoma"/>
            <family val="2"/>
          </rPr>
          <t xml:space="preserve">
De guía informativa para el proceso presupuestario
</t>
        </r>
      </text>
    </comment>
    <comment ref="H415" authorId="2">
      <text>
        <r>
          <rPr>
            <b/>
            <sz val="9"/>
            <color indexed="81"/>
            <rFont val="Tahoma"/>
            <family val="2"/>
          </rPr>
          <t xml:space="preserve">N° de acciones ejecutadas/N° de acciones programadas
</t>
        </r>
      </text>
    </comment>
    <comment ref="K415" authorId="2">
      <text>
        <r>
          <rPr>
            <b/>
            <sz val="9"/>
            <color indexed="81"/>
            <rFont val="Tahoma"/>
            <family val="2"/>
          </rPr>
          <t xml:space="preserve">N° de acciones ejecutadas/N° de acciones programadas
</t>
        </r>
      </text>
    </comment>
    <comment ref="H450" authorId="2">
      <text>
        <r>
          <rPr>
            <b/>
            <sz val="9"/>
            <color indexed="81"/>
            <rFont val="Tahoma"/>
            <family val="2"/>
          </rPr>
          <t>user:</t>
        </r>
        <r>
          <rPr>
            <sz val="9"/>
            <color indexed="81"/>
            <rFont val="Tahoma"/>
            <family val="2"/>
          </rPr>
          <t xml:space="preserve">
N° de solicitudes de evaluación aprobada/N° de solicitudes presentadas
</t>
        </r>
      </text>
    </comment>
    <comment ref="K450" authorId="2">
      <text>
        <r>
          <rPr>
            <b/>
            <sz val="9"/>
            <color indexed="81"/>
            <rFont val="Tahoma"/>
            <family val="2"/>
          </rPr>
          <t>user:</t>
        </r>
        <r>
          <rPr>
            <sz val="9"/>
            <color indexed="81"/>
            <rFont val="Tahoma"/>
            <family val="2"/>
          </rPr>
          <t xml:space="preserve">
N° de solicitudes de evaluación aprobada/N° de solicitudes presentadas
</t>
        </r>
      </text>
    </comment>
    <comment ref="H453" authorId="2">
      <text>
        <r>
          <rPr>
            <sz val="9"/>
            <color indexed="81"/>
            <rFont val="Tahoma"/>
            <family val="2"/>
          </rPr>
          <t xml:space="preserve">N° de Recursos Tur. Jerarquizados/ N° de Rercurso Tur. Inventariados y registrados en la base de datos
</t>
        </r>
      </text>
    </comment>
    <comment ref="K453" authorId="2">
      <text>
        <r>
          <rPr>
            <sz val="9"/>
            <color indexed="81"/>
            <rFont val="Tahoma"/>
            <family val="2"/>
          </rPr>
          <t xml:space="preserve">N° de Recursos Tur. Jerarquizados/ N° de Rercurso Tur. Inventariados y registrados en la base de datos
</t>
        </r>
      </text>
    </comment>
    <comment ref="H456" authorId="2">
      <text>
        <r>
          <rPr>
            <sz val="9"/>
            <color indexed="81"/>
            <rFont val="Tahoma"/>
            <family val="2"/>
          </rPr>
          <t>N° de act. Eje. Enmarcadas en el Plan Regional de Protección al Turista/N° de Act. Prog. En el PRPT.</t>
        </r>
      </text>
    </comment>
    <comment ref="K456" authorId="2">
      <text>
        <r>
          <rPr>
            <sz val="9"/>
            <color indexed="81"/>
            <rFont val="Tahoma"/>
            <family val="2"/>
          </rPr>
          <t>N° de act. Eje. Enmarcadas en el Plan Regional de Protección al Turista/N° de Act. Prog. En el PRPT.</t>
        </r>
      </text>
    </comment>
    <comment ref="H458" authorId="2">
      <text>
        <r>
          <rPr>
            <sz val="9"/>
            <color indexed="81"/>
            <rFont val="Tahoma"/>
            <family val="2"/>
          </rPr>
          <t>N° de acciones y actividades ejecutadas enmarcadas en el PERTUR/N° actividades programadas en el PERTUR</t>
        </r>
      </text>
    </comment>
    <comment ref="K458" authorId="2">
      <text>
        <r>
          <rPr>
            <sz val="9"/>
            <color indexed="81"/>
            <rFont val="Tahoma"/>
            <family val="2"/>
          </rPr>
          <t>N° de acciones y actividades ejecutadas enmarcadas en el PERTUR/N° actividades programadas en el PERTUR</t>
        </r>
      </text>
    </comment>
    <comment ref="H460" authorId="2">
      <text>
        <r>
          <rPr>
            <sz val="9"/>
            <color indexed="81"/>
            <rFont val="Tahoma"/>
            <family val="2"/>
          </rPr>
          <t xml:space="preserve">N° de Prest. Serv. Turis. Capacitados en temas de normas ambientales y conservación d elos recursos naturales/ N° de Prest. Serv. Tur. Que fueron convocados </t>
        </r>
      </text>
    </comment>
    <comment ref="K460" authorId="2">
      <text>
        <r>
          <rPr>
            <sz val="9"/>
            <color indexed="81"/>
            <rFont val="Tahoma"/>
            <family val="2"/>
          </rPr>
          <t xml:space="preserve">N° de Prest. Serv. Turis. Capacitados en temas de normas ambientales y conservación d elos recursos naturales/ N° de Prest. Serv. Tur. Que fueron convocados </t>
        </r>
      </text>
    </comment>
    <comment ref="H462" authorId="2">
      <text>
        <r>
          <rPr>
            <b/>
            <sz val="9"/>
            <color indexed="81"/>
            <rFont val="Tahoma"/>
            <family val="2"/>
          </rPr>
          <t>user:</t>
        </r>
        <r>
          <rPr>
            <sz val="9"/>
            <color indexed="81"/>
            <rFont val="Tahoma"/>
            <family val="2"/>
          </rPr>
          <t xml:space="preserve">
N° de eventos turisticos de interés aprobados/N° de eventos turísticos presentados</t>
        </r>
      </text>
    </comment>
    <comment ref="K462" authorId="2">
      <text>
        <r>
          <rPr>
            <b/>
            <sz val="9"/>
            <color indexed="81"/>
            <rFont val="Tahoma"/>
            <family val="2"/>
          </rPr>
          <t>user:</t>
        </r>
        <r>
          <rPr>
            <sz val="9"/>
            <color indexed="81"/>
            <rFont val="Tahoma"/>
            <family val="2"/>
          </rPr>
          <t xml:space="preserve">
N° de eventos turisticos de interés aprobados/N° de eventos turísticos presentados</t>
        </r>
      </text>
    </comment>
    <comment ref="H464" authorId="2">
      <text>
        <r>
          <rPr>
            <sz val="9"/>
            <color indexed="81"/>
            <rFont val="Tahoma"/>
            <family val="2"/>
          </rPr>
          <t>N° de convenios firmados/N° de convenios propuestos</t>
        </r>
      </text>
    </comment>
    <comment ref="K464" authorId="2">
      <text>
        <r>
          <rPr>
            <sz val="9"/>
            <color indexed="81"/>
            <rFont val="Tahoma"/>
            <family val="2"/>
          </rPr>
          <t>N° de convenios firmados/N° de convenios propuestos</t>
        </r>
      </text>
    </comment>
    <comment ref="H467" authorId="2">
      <text>
        <r>
          <rPr>
            <sz val="9"/>
            <color indexed="81"/>
            <rFont val="Tahoma"/>
            <family val="2"/>
          </rPr>
          <t xml:space="preserve">N° de prestadores de servicios turísticos que cumplmen con la normas legales/ N° de P.S.T. supervisados
</t>
        </r>
      </text>
    </comment>
    <comment ref="K467" authorId="2">
      <text>
        <r>
          <rPr>
            <sz val="9"/>
            <color indexed="81"/>
            <rFont val="Tahoma"/>
            <family val="2"/>
          </rPr>
          <t xml:space="preserve">N° de prestadores de servicios turísticos que cumplmen con la normas legales/ N° de P.S.T. supervisados
</t>
        </r>
      </text>
    </comment>
    <comment ref="H469" authorId="2">
      <text>
        <r>
          <rPr>
            <b/>
            <sz val="9"/>
            <color indexed="81"/>
            <rFont val="Tahoma"/>
            <family val="2"/>
          </rPr>
          <t>user:</t>
        </r>
        <r>
          <rPr>
            <sz val="9"/>
            <color indexed="81"/>
            <rFont val="Tahoma"/>
            <family val="2"/>
          </rPr>
          <t xml:space="preserve">
N° de prestadores de servicios turísticos capacitados/ N° de porcentaje de P.S.T. convocados</t>
        </r>
      </text>
    </comment>
    <comment ref="K469" authorId="2">
      <text>
        <r>
          <rPr>
            <b/>
            <sz val="9"/>
            <color indexed="81"/>
            <rFont val="Tahoma"/>
            <family val="2"/>
          </rPr>
          <t>user:</t>
        </r>
        <r>
          <rPr>
            <sz val="9"/>
            <color indexed="81"/>
            <rFont val="Tahoma"/>
            <family val="2"/>
          </rPr>
          <t xml:space="preserve">
N° de prestadores de servicios turísticos capacitados/ N° de porcentaje de P.S.T. convocados</t>
        </r>
      </text>
    </comment>
    <comment ref="D471" authorId="2">
      <text>
        <r>
          <rPr>
            <sz val="9"/>
            <color indexed="81"/>
            <rFont val="Tahoma"/>
            <family val="2"/>
          </rPr>
          <t xml:space="preserve">Carnaval Srta. Integración 2016
Corpues Christi
Semana Turística
Concurso de Pintura Rápida
</t>
        </r>
      </text>
    </comment>
    <comment ref="H471" authorId="2">
      <text>
        <r>
          <rPr>
            <b/>
            <sz val="9"/>
            <color indexed="81"/>
            <rFont val="Tahoma"/>
            <family val="2"/>
          </rPr>
          <t xml:space="preserve">N° de eventos ejecutados/N° de eventos programados
</t>
        </r>
      </text>
    </comment>
    <comment ref="K471" authorId="2">
      <text>
        <r>
          <rPr>
            <b/>
            <sz val="9"/>
            <color indexed="81"/>
            <rFont val="Tahoma"/>
            <family val="2"/>
          </rPr>
          <t xml:space="preserve">N° de eventos ejecutados/N° de eventos programados
</t>
        </r>
      </text>
    </comment>
    <comment ref="D475" authorId="2">
      <text>
        <r>
          <rPr>
            <sz val="9"/>
            <color indexed="81"/>
            <rFont val="Tahoma"/>
            <family val="2"/>
          </rPr>
          <t>Ruta del Café
Acciones de iniciación de la Ruta Atahualpa</t>
        </r>
      </text>
    </comment>
    <comment ref="H475" authorId="2">
      <text>
        <r>
          <rPr>
            <b/>
            <sz val="9"/>
            <color indexed="81"/>
            <rFont val="Tahoma"/>
            <family val="2"/>
          </rPr>
          <t xml:space="preserve">N° de circuitos turisticos Desarrollados/ N° de circuitos turísticos priorizados
</t>
        </r>
      </text>
    </comment>
    <comment ref="K475" authorId="2">
      <text>
        <r>
          <rPr>
            <b/>
            <sz val="9"/>
            <color indexed="81"/>
            <rFont val="Tahoma"/>
            <family val="2"/>
          </rPr>
          <t xml:space="preserve">N° de circuitos turisticos Desarrollados/ N° de circuitos turísticos priorizados
</t>
        </r>
      </text>
    </comment>
    <comment ref="D477" authorId="2">
      <text>
        <r>
          <rPr>
            <sz val="9"/>
            <color indexed="81"/>
            <rFont val="Tahoma"/>
            <family val="2"/>
          </rPr>
          <t>Fortalecimiento Laguna de San Nicolas</t>
        </r>
      </text>
    </comment>
    <comment ref="H477" authorId="2">
      <text>
        <r>
          <rPr>
            <sz val="9"/>
            <color indexed="81"/>
            <rFont val="Tahoma"/>
            <family val="2"/>
          </rPr>
          <t>N° de personas capacitadas/N° de personas convocadas</t>
        </r>
      </text>
    </comment>
    <comment ref="K477" authorId="2">
      <text>
        <r>
          <rPr>
            <sz val="9"/>
            <color indexed="81"/>
            <rFont val="Tahoma"/>
            <family val="2"/>
          </rPr>
          <t>N° de personas capacitadas/N° de personas convocadas</t>
        </r>
      </text>
    </comment>
    <comment ref="H482" authorId="2">
      <text>
        <r>
          <rPr>
            <b/>
            <sz val="9"/>
            <color indexed="81"/>
            <rFont val="Tahoma"/>
            <family val="2"/>
          </rPr>
          <t>user:</t>
        </r>
        <r>
          <rPr>
            <sz val="9"/>
            <color indexed="81"/>
            <rFont val="Tahoma"/>
            <family val="2"/>
          </rPr>
          <t xml:space="preserve">
N° de personas capacitadas/N° de personas convocadas</t>
        </r>
      </text>
    </comment>
    <comment ref="K482" authorId="2">
      <text>
        <r>
          <rPr>
            <b/>
            <sz val="9"/>
            <color indexed="81"/>
            <rFont val="Tahoma"/>
            <family val="2"/>
          </rPr>
          <t>user:</t>
        </r>
        <r>
          <rPr>
            <sz val="9"/>
            <color indexed="81"/>
            <rFont val="Tahoma"/>
            <family val="2"/>
          </rPr>
          <t xml:space="preserve">
N° de personas capacitadas/N° de personas convocadas</t>
        </r>
      </text>
    </comment>
    <comment ref="H507" authorId="2">
      <text>
        <r>
          <rPr>
            <sz val="9"/>
            <color indexed="81"/>
            <rFont val="Tahoma"/>
            <family val="2"/>
          </rPr>
          <t xml:space="preserve">N° de actividades ejecutadas relaiconadas al comercio exterior/N° total actividades planeadas relacionadas al comerico exterior
</t>
        </r>
      </text>
    </comment>
    <comment ref="K507" authorId="2">
      <text>
        <r>
          <rPr>
            <sz val="9"/>
            <color indexed="81"/>
            <rFont val="Tahoma"/>
            <family val="2"/>
          </rPr>
          <t xml:space="preserve">N° de actividades ejecutadas relaiconadas al comercio exterior/N° total actividades planeadas relacionadas al comerico exterior
</t>
        </r>
      </text>
    </comment>
    <comment ref="H509" authorId="2">
      <text>
        <r>
          <rPr>
            <sz val="9"/>
            <color indexed="81"/>
            <rFont val="Tahoma"/>
            <family val="2"/>
          </rPr>
          <t>N° de actividades y/o programas de capacitación ejecutados/ N° total de actividades y/o programa de capacitación planeada</t>
        </r>
      </text>
    </comment>
    <comment ref="K509" authorId="2">
      <text>
        <r>
          <rPr>
            <sz val="9"/>
            <color indexed="81"/>
            <rFont val="Tahoma"/>
            <family val="2"/>
          </rPr>
          <t>N° de actividades y/o programas de capacitación ejecutados/ N° total de actividades y/o programa de capacitación planeada</t>
        </r>
      </text>
    </comment>
    <comment ref="H512" authorId="2">
      <text>
        <r>
          <rPr>
            <sz val="9"/>
            <color indexed="81"/>
            <rFont val="Tahoma"/>
            <family val="2"/>
          </rPr>
          <t xml:space="preserve">n° de actividades ejecutadas para la promoción de las exportaciones regionals/N° total de eventos d epromoción de inversión pública y/o privado planeados
</t>
        </r>
      </text>
    </comment>
    <comment ref="K512" authorId="2">
      <text>
        <r>
          <rPr>
            <sz val="9"/>
            <color indexed="81"/>
            <rFont val="Tahoma"/>
            <family val="2"/>
          </rPr>
          <t xml:space="preserve">n° de actividades ejecutadas para la promoción de las exportaciones regionals/N° total de eventos d epromoción de inversión pública y/o privado planeados
</t>
        </r>
      </text>
    </comment>
    <comment ref="H514" authorId="2">
      <text>
        <r>
          <rPr>
            <sz val="9"/>
            <color indexed="81"/>
            <rFont val="Tahoma"/>
            <family val="2"/>
          </rPr>
          <t xml:space="preserve">N° de Act. Ejec. Para la promoción de inversión de las exportaciones regionales/N° de Act. Plan. Para la promoción de inversión de las exportaciones regionales
</t>
        </r>
      </text>
    </comment>
    <comment ref="K514" authorId="2">
      <text>
        <r>
          <rPr>
            <sz val="9"/>
            <color indexed="81"/>
            <rFont val="Tahoma"/>
            <family val="2"/>
          </rPr>
          <t xml:space="preserve">N° de Act. Ejec. Para la promoción de inversión de las exportaciones regionales/N° de Act. Plan. Para la promoción de inversión de las exportaciones regionales
</t>
        </r>
      </text>
    </comment>
    <comment ref="H517" authorId="2">
      <text>
        <r>
          <rPr>
            <sz val="9"/>
            <color indexed="81"/>
            <rFont val="Tahoma"/>
            <family val="2"/>
          </rPr>
          <t>N° de oportunidades comerciales desarrolladas/N° de oportnidades comerciales desarrolladas</t>
        </r>
      </text>
    </comment>
    <comment ref="K517" authorId="2">
      <text>
        <r>
          <rPr>
            <sz val="9"/>
            <color indexed="81"/>
            <rFont val="Tahoma"/>
            <family val="2"/>
          </rPr>
          <t>N° de oportunidades comerciales desarrolladas/N° de oportnidades comerciales desarrolladas</t>
        </r>
      </text>
    </comment>
    <comment ref="H520" authorId="2">
      <text>
        <r>
          <rPr>
            <sz val="9"/>
            <color indexed="81"/>
            <rFont val="Tahoma"/>
            <family val="2"/>
          </rPr>
          <t xml:space="preserve">
N° eventos de promoción de inversión público y/o privado promovidos/N°total de eventos de promoción de inversión pública y privado planeados
</t>
        </r>
      </text>
    </comment>
    <comment ref="K520" authorId="2">
      <text>
        <r>
          <rPr>
            <sz val="9"/>
            <color indexed="81"/>
            <rFont val="Tahoma"/>
            <family val="2"/>
          </rPr>
          <t xml:space="preserve">
N° eventos de promoción de inversión público y/o privado promovidos/N°total de eventos de promoción de inversión pública y privado planeados
</t>
        </r>
      </text>
    </comment>
    <comment ref="C661" authorId="0">
      <text>
        <r>
          <rPr>
            <b/>
            <sz val="9"/>
            <color indexed="81"/>
            <rFont val="Tahoma"/>
            <family val="2"/>
          </rPr>
          <t>Romulo:</t>
        </r>
        <r>
          <rPr>
            <sz val="9"/>
            <color indexed="81"/>
            <rFont val="Tahoma"/>
            <family val="2"/>
          </rPr>
          <t xml:space="preserve">
De guía informativa para el proceso presupuestario
</t>
        </r>
      </text>
    </comment>
    <comment ref="C664" authorId="0">
      <text>
        <r>
          <rPr>
            <b/>
            <sz val="9"/>
            <color indexed="81"/>
            <rFont val="Tahoma"/>
            <family val="2"/>
          </rPr>
          <t>Romulo:</t>
        </r>
        <r>
          <rPr>
            <sz val="9"/>
            <color indexed="81"/>
            <rFont val="Tahoma"/>
            <family val="2"/>
          </rPr>
          <t xml:space="preserve">
Código unificado antes código SIAF
</t>
        </r>
      </text>
    </comment>
    <comment ref="H668"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670" authorId="0">
      <text>
        <r>
          <rPr>
            <b/>
            <sz val="9"/>
            <color indexed="81"/>
            <rFont val="Tahoma"/>
            <family val="2"/>
          </rPr>
          <t>Romulo:</t>
        </r>
        <r>
          <rPr>
            <sz val="9"/>
            <color indexed="81"/>
            <rFont val="Tahoma"/>
            <family val="2"/>
          </rPr>
          <t xml:space="preserve">
De guía informativa para el proceso presupuestario
</t>
        </r>
      </text>
    </comment>
    <comment ref="C673" authorId="0">
      <text>
        <r>
          <rPr>
            <b/>
            <sz val="9"/>
            <color indexed="81"/>
            <rFont val="Tahoma"/>
            <family val="2"/>
          </rPr>
          <t>Romulo:</t>
        </r>
        <r>
          <rPr>
            <sz val="9"/>
            <color indexed="81"/>
            <rFont val="Tahoma"/>
            <family val="2"/>
          </rPr>
          <t xml:space="preserve">
Código unificado antes código SIAF
</t>
        </r>
      </text>
    </comment>
    <comment ref="H677"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723" authorId="0">
      <text>
        <r>
          <rPr>
            <b/>
            <sz val="9"/>
            <color indexed="81"/>
            <rFont val="Tahoma"/>
            <family val="2"/>
          </rPr>
          <t>Romulo:</t>
        </r>
        <r>
          <rPr>
            <sz val="9"/>
            <color indexed="81"/>
            <rFont val="Tahoma"/>
            <family val="2"/>
          </rPr>
          <t xml:space="preserve">
De guía informativa para el proceso presupuestario
</t>
        </r>
      </text>
    </comment>
    <comment ref="C740" authorId="0">
      <text>
        <r>
          <rPr>
            <b/>
            <sz val="9"/>
            <color indexed="81"/>
            <rFont val="Tahoma"/>
            <family val="2"/>
          </rPr>
          <t>Romulo:</t>
        </r>
        <r>
          <rPr>
            <sz val="9"/>
            <color indexed="81"/>
            <rFont val="Tahoma"/>
            <family val="2"/>
          </rPr>
          <t xml:space="preserve">
De guía informativa para el proceso presupuestario
</t>
        </r>
      </text>
    </comment>
    <comment ref="C743" authorId="0">
      <text>
        <r>
          <rPr>
            <b/>
            <sz val="9"/>
            <color indexed="81"/>
            <rFont val="Tahoma"/>
            <family val="2"/>
          </rPr>
          <t>Romulo:</t>
        </r>
        <r>
          <rPr>
            <sz val="9"/>
            <color indexed="81"/>
            <rFont val="Tahoma"/>
            <family val="2"/>
          </rPr>
          <t xml:space="preserve">
Código unificado antes código SIAF
</t>
        </r>
      </text>
    </comment>
    <comment ref="H747"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754" authorId="0">
      <text>
        <r>
          <rPr>
            <b/>
            <sz val="9"/>
            <color indexed="81"/>
            <rFont val="Tahoma"/>
            <family val="2"/>
          </rPr>
          <t>Romulo:</t>
        </r>
        <r>
          <rPr>
            <sz val="9"/>
            <color indexed="81"/>
            <rFont val="Tahoma"/>
            <family val="2"/>
          </rPr>
          <t xml:space="preserve">
De guía informativa para el proceso presupuestario
</t>
        </r>
      </text>
    </comment>
    <comment ref="C757" authorId="0">
      <text>
        <r>
          <rPr>
            <b/>
            <sz val="9"/>
            <color indexed="81"/>
            <rFont val="Tahoma"/>
            <family val="2"/>
          </rPr>
          <t>Romulo:</t>
        </r>
        <r>
          <rPr>
            <sz val="9"/>
            <color indexed="81"/>
            <rFont val="Tahoma"/>
            <family val="2"/>
          </rPr>
          <t xml:space="preserve">
Código unificado antes código SIAF
</t>
        </r>
      </text>
    </comment>
    <comment ref="H761"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768" authorId="0">
      <text>
        <r>
          <rPr>
            <b/>
            <sz val="9"/>
            <color indexed="81"/>
            <rFont val="Tahoma"/>
            <family val="2"/>
          </rPr>
          <t>Romulo:</t>
        </r>
        <r>
          <rPr>
            <sz val="9"/>
            <color indexed="81"/>
            <rFont val="Tahoma"/>
            <family val="2"/>
          </rPr>
          <t xml:space="preserve">
De guía informativa para el proceso presupuestario
</t>
        </r>
      </text>
    </comment>
    <comment ref="C771" authorId="0">
      <text>
        <r>
          <rPr>
            <b/>
            <sz val="9"/>
            <color indexed="81"/>
            <rFont val="Tahoma"/>
            <family val="2"/>
          </rPr>
          <t>Romulo:</t>
        </r>
        <r>
          <rPr>
            <sz val="9"/>
            <color indexed="81"/>
            <rFont val="Tahoma"/>
            <family val="2"/>
          </rPr>
          <t xml:space="preserve">
Código unificado antes código SIAF
</t>
        </r>
      </text>
    </comment>
    <comment ref="H775"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782" authorId="0">
      <text>
        <r>
          <rPr>
            <b/>
            <sz val="9"/>
            <color indexed="81"/>
            <rFont val="Tahoma"/>
            <family val="2"/>
          </rPr>
          <t>Romulo:</t>
        </r>
        <r>
          <rPr>
            <sz val="9"/>
            <color indexed="81"/>
            <rFont val="Tahoma"/>
            <family val="2"/>
          </rPr>
          <t xml:space="preserve">
De guía informativa para el proceso presupuestario
</t>
        </r>
      </text>
    </comment>
    <comment ref="C785" authorId="0">
      <text>
        <r>
          <rPr>
            <b/>
            <sz val="9"/>
            <color indexed="81"/>
            <rFont val="Tahoma"/>
            <family val="2"/>
          </rPr>
          <t>Romulo:</t>
        </r>
        <r>
          <rPr>
            <sz val="9"/>
            <color indexed="81"/>
            <rFont val="Tahoma"/>
            <family val="2"/>
          </rPr>
          <t xml:space="preserve">
Código unificado antes código SIAF
</t>
        </r>
      </text>
    </comment>
    <comment ref="H789"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796" authorId="0">
      <text>
        <r>
          <rPr>
            <b/>
            <sz val="9"/>
            <color indexed="81"/>
            <rFont val="Tahoma"/>
            <family val="2"/>
          </rPr>
          <t>Romulo:</t>
        </r>
        <r>
          <rPr>
            <sz val="9"/>
            <color indexed="81"/>
            <rFont val="Tahoma"/>
            <family val="2"/>
          </rPr>
          <t xml:space="preserve">
De guía informativa para el proceso presupuestario
</t>
        </r>
      </text>
    </comment>
    <comment ref="H805" authorId="3">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List>
</comments>
</file>

<file path=xl/comments2.xml><?xml version="1.0" encoding="utf-8"?>
<comments xmlns="http://schemas.openxmlformats.org/spreadsheetml/2006/main">
  <authors>
    <author>Segundo R. Velasquez Zegarra</author>
    <author>Romulo</author>
    <author>Diego Tapia Reyes</author>
  </authors>
  <commentList>
    <comment ref="H3069"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C4331" authorId="0">
      <text>
        <r>
          <rPr>
            <b/>
            <sz val="9"/>
            <color rgb="FF000000"/>
            <rFont val="Tahoma"/>
            <family val="2"/>
          </rPr>
          <t>Segundo R. Velasquez Zegarra:</t>
        </r>
        <r>
          <rPr>
            <sz val="9"/>
            <color rgb="FF000000"/>
            <rFont val="Tahoma"/>
            <family val="2"/>
          </rPr>
          <t xml:space="preserve">
Tomar en consideración el ejemplo de la Subgerencia de Planeamiento: Indentificar actividades grandes y principales y a esas ubicar sus indicadores y los demas items
</t>
        </r>
      </text>
    </comment>
    <comment ref="C4367" authorId="0">
      <text>
        <r>
          <rPr>
            <b/>
            <sz val="9"/>
            <color rgb="FF000000"/>
            <rFont val="Tahoma"/>
            <family val="2"/>
          </rPr>
          <t>Segundo R. Velasquez Zegarra:</t>
        </r>
        <r>
          <rPr>
            <sz val="9"/>
            <color rgb="FF000000"/>
            <rFont val="Tahoma"/>
            <family val="2"/>
          </rPr>
          <t xml:space="preserve">
Tomar en consideración el ejemplo de la Subgerencia de Planeamiento: Indentificar actividades grandes y principales y a esas ubicar sus indicadores y los demas items
</t>
        </r>
      </text>
    </comment>
    <comment ref="C4888" authorId="1">
      <text>
        <r>
          <rPr>
            <b/>
            <sz val="9"/>
            <color indexed="81"/>
            <rFont val="Tahoma"/>
            <family val="2"/>
          </rPr>
          <t>Romulo:</t>
        </r>
        <r>
          <rPr>
            <sz val="9"/>
            <color indexed="81"/>
            <rFont val="Tahoma"/>
            <family val="2"/>
          </rPr>
          <t xml:space="preserve">
De guía informativa para el proceso presupuestario
</t>
        </r>
      </text>
    </comment>
    <comment ref="C4891" authorId="1">
      <text>
        <r>
          <rPr>
            <b/>
            <sz val="9"/>
            <color indexed="81"/>
            <rFont val="Tahoma"/>
            <family val="2"/>
          </rPr>
          <t>Romulo:</t>
        </r>
        <r>
          <rPr>
            <sz val="9"/>
            <color indexed="81"/>
            <rFont val="Tahoma"/>
            <family val="2"/>
          </rPr>
          <t xml:space="preserve">
Código unificado antes código SIAF
</t>
        </r>
      </text>
    </comment>
    <comment ref="H4895" authorId="0">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5064"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5076"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5088"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5100"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H5277"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H5281"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H5306"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C5736" authorId="1">
      <text>
        <r>
          <rPr>
            <b/>
            <sz val="9"/>
            <color indexed="81"/>
            <rFont val="Tahoma"/>
            <family val="2"/>
          </rPr>
          <t>Romulo:</t>
        </r>
        <r>
          <rPr>
            <sz val="9"/>
            <color indexed="81"/>
            <rFont val="Tahoma"/>
            <family val="2"/>
          </rPr>
          <t xml:space="preserve">
De guía informativa para el proceso presupuestario
</t>
        </r>
      </text>
    </comment>
    <comment ref="C5739" authorId="1">
      <text>
        <r>
          <rPr>
            <b/>
            <sz val="9"/>
            <color indexed="81"/>
            <rFont val="Tahoma"/>
            <family val="2"/>
          </rPr>
          <t>Romulo:</t>
        </r>
        <r>
          <rPr>
            <sz val="9"/>
            <color indexed="81"/>
            <rFont val="Tahoma"/>
            <family val="2"/>
          </rPr>
          <t xml:space="preserve">
Código unificado antes código SIAF
</t>
        </r>
      </text>
    </comment>
    <comment ref="H5743" authorId="0">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5752" authorId="1">
      <text>
        <r>
          <rPr>
            <b/>
            <sz val="9"/>
            <color indexed="81"/>
            <rFont val="Tahoma"/>
            <family val="2"/>
          </rPr>
          <t>Romulo:</t>
        </r>
        <r>
          <rPr>
            <sz val="9"/>
            <color indexed="81"/>
            <rFont val="Tahoma"/>
            <family val="2"/>
          </rPr>
          <t xml:space="preserve">
De guía informativa para el proceso presupuestario
</t>
        </r>
      </text>
    </comment>
    <comment ref="C5755" authorId="1">
      <text>
        <r>
          <rPr>
            <b/>
            <sz val="9"/>
            <color indexed="81"/>
            <rFont val="Tahoma"/>
            <family val="2"/>
          </rPr>
          <t>Romulo:</t>
        </r>
        <r>
          <rPr>
            <sz val="9"/>
            <color indexed="81"/>
            <rFont val="Tahoma"/>
            <family val="2"/>
          </rPr>
          <t xml:space="preserve">
Código unificado antes código SIAF
</t>
        </r>
      </text>
    </comment>
    <comment ref="B5759" authorId="2">
      <text>
        <r>
          <rPr>
            <b/>
            <sz val="9"/>
            <color indexed="81"/>
            <rFont val="Tahoma"/>
            <family val="2"/>
          </rPr>
          <t>Diego Tapia Reyes:</t>
        </r>
        <r>
          <rPr>
            <sz val="9"/>
            <color indexed="81"/>
            <rFont val="Tahoma"/>
            <family val="2"/>
          </rPr>
          <t xml:space="preserve">
SIAF</t>
        </r>
      </text>
    </comment>
    <comment ref="H5759" authorId="0">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C5761" authorId="1">
      <text>
        <r>
          <rPr>
            <b/>
            <sz val="9"/>
            <color indexed="81"/>
            <rFont val="Tahoma"/>
            <family val="2"/>
          </rPr>
          <t>Romulo:</t>
        </r>
        <r>
          <rPr>
            <sz val="9"/>
            <color indexed="81"/>
            <rFont val="Tahoma"/>
            <family val="2"/>
          </rPr>
          <t xml:space="preserve">
De guía informativa para el proceso presupuestario
</t>
        </r>
      </text>
    </comment>
    <comment ref="C5764" authorId="1">
      <text>
        <r>
          <rPr>
            <b/>
            <sz val="9"/>
            <color indexed="81"/>
            <rFont val="Tahoma"/>
            <family val="2"/>
          </rPr>
          <t>Romulo:</t>
        </r>
        <r>
          <rPr>
            <sz val="9"/>
            <color indexed="81"/>
            <rFont val="Tahoma"/>
            <family val="2"/>
          </rPr>
          <t xml:space="preserve">
Código unificado antes código SIAF
</t>
        </r>
      </text>
    </comment>
    <comment ref="B5768" authorId="2">
      <text>
        <r>
          <rPr>
            <b/>
            <sz val="9"/>
            <color indexed="81"/>
            <rFont val="Tahoma"/>
            <family val="2"/>
          </rPr>
          <t>Diego Tapia Reyes:</t>
        </r>
        <r>
          <rPr>
            <sz val="9"/>
            <color indexed="81"/>
            <rFont val="Tahoma"/>
            <family val="2"/>
          </rPr>
          <t xml:space="preserve">
SIAF</t>
        </r>
      </text>
    </comment>
    <comment ref="H5768" authorId="0">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H5905"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H5909"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 ref="H5934" authorId="0">
      <text>
        <r>
          <rPr>
            <b/>
            <sz val="9"/>
            <color indexed="81"/>
            <rFont val="Tahoma"/>
            <family val="2"/>
          </rPr>
          <t>Segundo R. Velasquez Zegarra:</t>
        </r>
        <r>
          <rPr>
            <sz val="9"/>
            <color indexed="81"/>
            <rFont val="Tahoma"/>
            <family val="2"/>
          </rPr>
          <t xml:space="preserve">
El indicador tiene que medir la calidad, la cantidad y la temporalidad del evento medido, considerando que debe contribuir al indicador de producto</t>
        </r>
      </text>
    </comment>
  </commentList>
</comments>
</file>

<file path=xl/comments3.xml><?xml version="1.0" encoding="utf-8"?>
<comments xmlns="http://schemas.openxmlformats.org/spreadsheetml/2006/main">
  <authors>
    <author>Segundo R. Velasquez Zegarra</author>
    <author>Romulo</author>
  </authors>
  <commentList>
    <comment ref="H17"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C39" authorId="1">
      <text>
        <r>
          <rPr>
            <b/>
            <sz val="9"/>
            <color indexed="81"/>
            <rFont val="Tahoma"/>
            <family val="2"/>
          </rPr>
          <t>Romulo:</t>
        </r>
        <r>
          <rPr>
            <sz val="9"/>
            <color indexed="81"/>
            <rFont val="Tahoma"/>
            <family val="2"/>
          </rPr>
          <t xml:space="preserve">
De guía informativa para el proceso presupuestario
</t>
        </r>
      </text>
    </comment>
    <comment ref="H106"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H229"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H286"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H300"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H304"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List>
</comments>
</file>

<file path=xl/comments4.xml><?xml version="1.0" encoding="utf-8"?>
<comments xmlns="http://schemas.openxmlformats.org/spreadsheetml/2006/main">
  <authors>
    <author>Segundo R. Velasquez Zegarra</author>
    <author>Delia Arribasplata Sanchez</author>
    <author>Felicita E. Latorraca Rios</author>
    <author>Percy Crisologo Bardales</author>
    <author>Romulo</author>
    <author>Estela E. Jara Cerna</author>
  </authors>
  <commentList>
    <comment ref="C123"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280"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O345" authorId="1">
      <text>
        <r>
          <rPr>
            <b/>
            <sz val="9"/>
            <color indexed="81"/>
            <rFont val="Tahoma"/>
            <family val="2"/>
          </rPr>
          <t>Delia Arribasplata Sanchez:</t>
        </r>
        <r>
          <rPr>
            <sz val="9"/>
            <color indexed="81"/>
            <rFont val="Tahoma"/>
            <family val="2"/>
          </rPr>
          <t xml:space="preserve">
A.Simultánea
</t>
        </r>
      </text>
    </comment>
    <comment ref="P345" authorId="1">
      <text>
        <r>
          <rPr>
            <b/>
            <sz val="9"/>
            <color indexed="81"/>
            <rFont val="Tahoma"/>
            <family val="2"/>
          </rPr>
          <t>Delia Arribasplata Sanchez:</t>
        </r>
        <r>
          <rPr>
            <sz val="9"/>
            <color indexed="81"/>
            <rFont val="Tahoma"/>
            <family val="2"/>
          </rPr>
          <t xml:space="preserve">
A.Simultánea
</t>
        </r>
      </text>
    </comment>
    <comment ref="Q345" authorId="1">
      <text>
        <r>
          <rPr>
            <b/>
            <sz val="9"/>
            <color indexed="81"/>
            <rFont val="Tahoma"/>
            <family val="2"/>
          </rPr>
          <t>Delia Arribasplata Sanchez:</t>
        </r>
        <r>
          <rPr>
            <sz val="9"/>
            <color indexed="81"/>
            <rFont val="Tahoma"/>
            <family val="2"/>
          </rPr>
          <t xml:space="preserve">
A.Cumplimiento y A.Simultánea
</t>
        </r>
      </text>
    </comment>
    <comment ref="R345" authorId="1">
      <text>
        <r>
          <rPr>
            <b/>
            <sz val="9"/>
            <color indexed="81"/>
            <rFont val="Tahoma"/>
            <family val="2"/>
          </rPr>
          <t>Delia Arribasplata Sanchez:</t>
        </r>
        <r>
          <rPr>
            <sz val="9"/>
            <color indexed="81"/>
            <rFont val="Tahoma"/>
            <family val="2"/>
          </rPr>
          <t xml:space="preserve">
A.Cumplimiento y A.Simultánea
</t>
        </r>
      </text>
    </comment>
    <comment ref="S345" authorId="1">
      <text>
        <r>
          <rPr>
            <b/>
            <sz val="9"/>
            <color indexed="81"/>
            <rFont val="Tahoma"/>
            <family val="2"/>
          </rPr>
          <t>Delia Arribasplata Sanchez:</t>
        </r>
        <r>
          <rPr>
            <sz val="9"/>
            <color indexed="81"/>
            <rFont val="Tahoma"/>
            <family val="2"/>
          </rPr>
          <t xml:space="preserve">
A.Cumplimiento y A.Simultánea
</t>
        </r>
      </text>
    </comment>
    <comment ref="T345" authorId="1">
      <text>
        <r>
          <rPr>
            <b/>
            <sz val="9"/>
            <color indexed="81"/>
            <rFont val="Tahoma"/>
            <family val="2"/>
          </rPr>
          <t>Delia Arribasplata Sanchez:</t>
        </r>
        <r>
          <rPr>
            <sz val="9"/>
            <color indexed="81"/>
            <rFont val="Tahoma"/>
            <family val="2"/>
          </rPr>
          <t xml:space="preserve">
A.Simultánea
</t>
        </r>
      </text>
    </comment>
    <comment ref="U345" authorId="1">
      <text>
        <r>
          <rPr>
            <b/>
            <sz val="9"/>
            <color indexed="81"/>
            <rFont val="Tahoma"/>
            <family val="2"/>
          </rPr>
          <t>Delia Arribasplata Sanchez:</t>
        </r>
        <r>
          <rPr>
            <sz val="9"/>
            <color indexed="81"/>
            <rFont val="Tahoma"/>
            <family val="2"/>
          </rPr>
          <t xml:space="preserve">
A.Cumplimiento y A.Simultánea
</t>
        </r>
      </text>
    </comment>
    <comment ref="V345" authorId="1">
      <text>
        <r>
          <rPr>
            <b/>
            <sz val="9"/>
            <color indexed="81"/>
            <rFont val="Tahoma"/>
            <family val="2"/>
          </rPr>
          <t>Delia Arribasplata Sanchez:</t>
        </r>
        <r>
          <rPr>
            <sz val="9"/>
            <color indexed="81"/>
            <rFont val="Tahoma"/>
            <family val="2"/>
          </rPr>
          <t xml:space="preserve">
A.Simultánea
</t>
        </r>
      </text>
    </comment>
    <comment ref="W345" authorId="1">
      <text>
        <r>
          <rPr>
            <b/>
            <sz val="9"/>
            <color indexed="81"/>
            <rFont val="Tahoma"/>
            <family val="2"/>
          </rPr>
          <t>Delia Arribasplata Sanchez:</t>
        </r>
        <r>
          <rPr>
            <sz val="9"/>
            <color indexed="81"/>
            <rFont val="Tahoma"/>
            <family val="2"/>
          </rPr>
          <t xml:space="preserve">
A.Cumplimiento y A.Simultánea
</t>
        </r>
      </text>
    </comment>
    <comment ref="X345" authorId="1">
      <text>
        <r>
          <rPr>
            <b/>
            <sz val="9"/>
            <color indexed="81"/>
            <rFont val="Tahoma"/>
            <family val="2"/>
          </rPr>
          <t>Delia Arribasplata Sanchez:</t>
        </r>
        <r>
          <rPr>
            <sz val="9"/>
            <color indexed="81"/>
            <rFont val="Tahoma"/>
            <family val="2"/>
          </rPr>
          <t xml:space="preserve">
A.Simultánea
</t>
        </r>
      </text>
    </comment>
    <comment ref="Y345" authorId="1">
      <text>
        <r>
          <rPr>
            <b/>
            <sz val="9"/>
            <color indexed="81"/>
            <rFont val="Tahoma"/>
            <family val="2"/>
          </rPr>
          <t>Delia Arribasplata Sanchez:</t>
        </r>
        <r>
          <rPr>
            <sz val="9"/>
            <color indexed="81"/>
            <rFont val="Tahoma"/>
            <family val="2"/>
          </rPr>
          <t xml:space="preserve">
A.Simultánea
</t>
        </r>
      </text>
    </comment>
    <comment ref="Z345" authorId="1">
      <text>
        <r>
          <rPr>
            <b/>
            <sz val="9"/>
            <color indexed="81"/>
            <rFont val="Tahoma"/>
            <family val="2"/>
          </rPr>
          <t>Delia Arribasplata Sanchez:</t>
        </r>
        <r>
          <rPr>
            <sz val="9"/>
            <color indexed="81"/>
            <rFont val="Tahoma"/>
            <family val="2"/>
          </rPr>
          <t xml:space="preserve">
A.Simultánea
</t>
        </r>
      </text>
    </comment>
    <comment ref="H461" authorId="0">
      <text>
        <r>
          <rPr>
            <b/>
            <sz val="9"/>
            <color indexed="81"/>
            <rFont val="Tahoma"/>
            <family val="2"/>
          </rPr>
          <t>Segundo R. Velasquez Zegarra:</t>
        </r>
        <r>
          <rPr>
            <sz val="9"/>
            <color indexed="81"/>
            <rFont val="Tahoma"/>
            <family val="2"/>
          </rPr>
          <t xml:space="preserve">
El indicador tiene que medir la calidad, la cantidad y la temporalidad del evento medio
</t>
        </r>
      </text>
    </comment>
    <comment ref="H504" authorId="0">
      <text>
        <r>
          <rPr>
            <b/>
            <sz val="9"/>
            <color indexed="81"/>
            <rFont val="Tahoma"/>
            <family val="2"/>
          </rPr>
          <t>Segundo R. Velasquez Zegarra:</t>
        </r>
        <r>
          <rPr>
            <sz val="9"/>
            <color indexed="81"/>
            <rFont val="Tahoma"/>
            <family val="2"/>
          </rPr>
          <t xml:space="preserve">
Problemática SNIP</t>
        </r>
      </text>
    </comment>
    <comment ref="H519" authorId="0">
      <text>
        <r>
          <rPr>
            <b/>
            <sz val="9"/>
            <color indexed="81"/>
            <rFont val="Tahoma"/>
            <family val="2"/>
          </rPr>
          <t>Segundo R. Velasquez Zegarra:</t>
        </r>
        <r>
          <rPr>
            <sz val="9"/>
            <color indexed="81"/>
            <rFont val="Tahoma"/>
            <family val="2"/>
          </rPr>
          <t xml:space="preserve">
Problemática SNIP</t>
        </r>
      </text>
    </comment>
    <comment ref="H557" authorId="0">
      <text>
        <r>
          <rPr>
            <b/>
            <sz val="9"/>
            <color indexed="81"/>
            <rFont val="Tahoma"/>
            <family val="2"/>
          </rPr>
          <t>Segundo R. Velasquez Zegarra:</t>
        </r>
        <r>
          <rPr>
            <sz val="9"/>
            <color indexed="81"/>
            <rFont val="Tahoma"/>
            <family val="2"/>
          </rPr>
          <t xml:space="preserve">
Problemática SNIP</t>
        </r>
      </text>
    </comment>
    <comment ref="Q744" authorId="2">
      <text>
        <r>
          <rPr>
            <b/>
            <sz val="9"/>
            <color indexed="81"/>
            <rFont val="Tahoma"/>
            <family val="2"/>
          </rPr>
          <t>Felicita E. Latorraca Rios:</t>
        </r>
        <r>
          <rPr>
            <sz val="9"/>
            <color indexed="81"/>
            <rFont val="Tahoma"/>
            <family val="2"/>
          </rPr>
          <t xml:space="preserve">
Corredor Jequetepeque</t>
        </r>
      </text>
    </comment>
    <comment ref="Q754" authorId="2">
      <text>
        <r>
          <rPr>
            <b/>
            <sz val="9"/>
            <color indexed="81"/>
            <rFont val="Tahoma"/>
            <family val="2"/>
          </rPr>
          <t>Felicita E. Latorraca Rios:</t>
        </r>
        <r>
          <rPr>
            <sz val="9"/>
            <color indexed="81"/>
            <rFont val="Tahoma"/>
            <family val="2"/>
          </rPr>
          <t xml:space="preserve">
Corredor Jequetepeque</t>
        </r>
      </text>
    </comment>
    <comment ref="O878" authorId="3">
      <text>
        <r>
          <rPr>
            <b/>
            <sz val="9"/>
            <color indexed="81"/>
            <rFont val="Tahoma"/>
            <family val="2"/>
          </rPr>
          <t>Dinero reservado presupuestalmente del año 2015</t>
        </r>
      </text>
    </comment>
    <comment ref="C899" authorId="4">
      <text>
        <r>
          <rPr>
            <b/>
            <sz val="9"/>
            <color indexed="81"/>
            <rFont val="Tahoma"/>
            <family val="2"/>
          </rPr>
          <t>Romulo:</t>
        </r>
        <r>
          <rPr>
            <sz val="9"/>
            <color indexed="81"/>
            <rFont val="Tahoma"/>
            <family val="2"/>
          </rPr>
          <t xml:space="preserve">
De guía informativa para el proceso presupuestario
</t>
        </r>
      </text>
    </comment>
    <comment ref="C902" authorId="4">
      <text>
        <r>
          <rPr>
            <b/>
            <sz val="9"/>
            <color indexed="81"/>
            <rFont val="Tahoma"/>
            <family val="2"/>
          </rPr>
          <t>Romulo:</t>
        </r>
        <r>
          <rPr>
            <sz val="9"/>
            <color indexed="81"/>
            <rFont val="Tahoma"/>
            <family val="2"/>
          </rPr>
          <t xml:space="preserve">
Código unificado antes código SIAF
</t>
        </r>
      </text>
    </comment>
    <comment ref="H906" authorId="0">
      <text>
        <r>
          <rPr>
            <b/>
            <sz val="9"/>
            <color indexed="81"/>
            <rFont val="Tahoma"/>
            <family val="2"/>
          </rPr>
          <t>Segundo R. Velasquez Zegarra:</t>
        </r>
        <r>
          <rPr>
            <sz val="9"/>
            <color indexed="81"/>
            <rFont val="Tahoma"/>
            <family val="2"/>
          </rPr>
          <t xml:space="preserve">
Se obtiene del propósito del proyecto señalado en el Marco Lógico del SNIP</t>
        </r>
      </text>
    </comment>
    <comment ref="Z993" authorId="5">
      <text>
        <r>
          <rPr>
            <b/>
            <sz val="9"/>
            <color indexed="81"/>
            <rFont val="Tahoma"/>
            <family val="2"/>
          </rPr>
          <t>Estela E. Jara Cerna:</t>
        </r>
        <r>
          <rPr>
            <sz val="9"/>
            <color indexed="81"/>
            <rFont val="Tahoma"/>
            <family val="2"/>
          </rPr>
          <t xml:space="preserve">
</t>
        </r>
      </text>
    </comment>
    <comment ref="C1120"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26"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32"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38"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44"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50"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56"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 ref="C1162" authorId="0">
      <text>
        <r>
          <rPr>
            <b/>
            <sz val="9"/>
            <color indexed="81"/>
            <rFont val="Tahoma"/>
            <family val="2"/>
          </rPr>
          <t>Segundo R. Velasquez Zegarra:</t>
        </r>
        <r>
          <rPr>
            <sz val="9"/>
            <color indexed="81"/>
            <rFont val="Tahoma"/>
            <family val="2"/>
          </rPr>
          <t xml:space="preserve">
Tomar en consideración el ejemplo de la Subgerencia de Planeamiento: Indentificar actividades grandes y principales y a esas ubicar sus indicadores y los demas items
</t>
        </r>
      </text>
    </comment>
  </commentList>
</comments>
</file>

<file path=xl/sharedStrings.xml><?xml version="1.0" encoding="utf-8"?>
<sst xmlns="http://schemas.openxmlformats.org/spreadsheetml/2006/main" count="24129" uniqueCount="3732">
  <si>
    <t>NMD-PPE-2015-2018</t>
  </si>
  <si>
    <t>Eje de Desarrollo</t>
  </si>
  <si>
    <t>Objetivo Estratégico Institucional</t>
  </si>
  <si>
    <t>6.2.1 Lograr el desarrollo integral y sostenible de la región especialmente de su sector rural</t>
  </si>
  <si>
    <t>Política</t>
  </si>
  <si>
    <t>2.1 Generar competitividad territorial sostenible, a través del impulso de actividades productivas y de servicios, articuladas al mercado con infraestructura e innovación tecnológica.</t>
  </si>
  <si>
    <t>Acciones Estratégicas Institucionales</t>
  </si>
  <si>
    <t>2.1.1 Promover el desarrollo de la agricultura familiar, organica, bajo el modelo asociativo y articuluada al mercado con aprovechamiento sostenible de los recursos naturales y promoviendo el turismo rural comunitario</t>
  </si>
  <si>
    <t>Unidad Responsable</t>
  </si>
  <si>
    <t>Gerencia Sub Regional Cutervo</t>
  </si>
  <si>
    <t xml:space="preserve">APNOP RAMADA GSRC </t>
  </si>
  <si>
    <t>Categoria Presupuestal</t>
  </si>
  <si>
    <t>Asignaciones Presupuestarias que no resultan en productos (APNOP)</t>
  </si>
  <si>
    <t>Programa</t>
  </si>
  <si>
    <t>Asignaciones presupuestarias que no resultan en productos</t>
  </si>
  <si>
    <t>INDICADOR</t>
  </si>
  <si>
    <t>UNIDAD DE MEDIDA</t>
  </si>
  <si>
    <t>Acciones</t>
  </si>
  <si>
    <t>Producto/Proyecto</t>
  </si>
  <si>
    <t>Sin Indicador</t>
  </si>
  <si>
    <t>Actividad / Acción de Inversión / Obra</t>
  </si>
  <si>
    <t>Nombre</t>
  </si>
  <si>
    <t>Meta Presupuestal</t>
  </si>
  <si>
    <t>Función</t>
  </si>
  <si>
    <t>Division Funcional</t>
  </si>
  <si>
    <t>Grupo Funcional</t>
  </si>
  <si>
    <t>Indicadores</t>
  </si>
  <si>
    <t>Unidad de Medida</t>
  </si>
  <si>
    <t>Meta Anual</t>
  </si>
  <si>
    <t>Responsables</t>
  </si>
  <si>
    <t>Tipo de Ejecución/ Específica de Gasto</t>
  </si>
  <si>
    <t>Programación de Metas</t>
  </si>
  <si>
    <t>Total</t>
  </si>
  <si>
    <t>Física</t>
  </si>
  <si>
    <t>Financiera</t>
  </si>
  <si>
    <t>ENE</t>
  </si>
  <si>
    <t>FEB</t>
  </si>
  <si>
    <t>MAR</t>
  </si>
  <si>
    <t>ABR</t>
  </si>
  <si>
    <t>MAY</t>
  </si>
  <si>
    <t>JUN</t>
  </si>
  <si>
    <t>JUL</t>
  </si>
  <si>
    <t>AGO</t>
  </si>
  <si>
    <t>SET</t>
  </si>
  <si>
    <t>OCT</t>
  </si>
  <si>
    <t>NOV</t>
  </si>
  <si>
    <t>DIC</t>
  </si>
  <si>
    <t>Fortalecimiento de cadenas productivas</t>
  </si>
  <si>
    <t>03</t>
  </si>
  <si>
    <t>009</t>
  </si>
  <si>
    <t>0017</t>
  </si>
  <si>
    <t>FISICA</t>
  </si>
  <si>
    <t>FINANCIERA (RECURSOS DETERMINADOS)</t>
  </si>
  <si>
    <t>APNOP STO TOMAS GSRC</t>
  </si>
  <si>
    <t>08</t>
  </si>
  <si>
    <t>021</t>
  </si>
  <si>
    <t>0043</t>
  </si>
  <si>
    <t xml:space="preserve">PP. TECHIN GSRC </t>
  </si>
  <si>
    <t>0061</t>
  </si>
  <si>
    <t>Numero de Km de Carretera Mejorada</t>
  </si>
  <si>
    <t>Km</t>
  </si>
  <si>
    <t>Porcentaje</t>
  </si>
  <si>
    <t>Mejoramiento de Camino Vecinal</t>
  </si>
  <si>
    <t>Mantenimiento de la red vial</t>
  </si>
  <si>
    <t>033</t>
  </si>
  <si>
    <t>0066</t>
  </si>
  <si>
    <t>Gerencia Sub Regional Cutervo - Sub Gerente de Operaciones</t>
  </si>
  <si>
    <t>26. 23. 24</t>
  </si>
  <si>
    <t>Costo por admistración directa - Personal</t>
  </si>
  <si>
    <t>26. 23. 25</t>
  </si>
  <si>
    <t>Costo por admistración directa - Bienes</t>
  </si>
  <si>
    <t>26. 23. 26</t>
  </si>
  <si>
    <t>Costo por admistración directa - Servicios</t>
  </si>
  <si>
    <t>PP. PALTIC</t>
  </si>
  <si>
    <t>2.1.2 Impulsar el desarrollo de la conectividad territorial e infraestructura productiva, que promueva la inclusión social y económica</t>
  </si>
  <si>
    <t>Reduccion del costo,  tiempo e inseguridad vial en el sistema de transporte Terrestre</t>
  </si>
  <si>
    <t>Puente construido (23 metros)</t>
  </si>
  <si>
    <t>Puente</t>
  </si>
  <si>
    <t>Producto /Proyecto</t>
  </si>
  <si>
    <t>Puente Construido y obras de arte</t>
  </si>
  <si>
    <t>Gerencia Sub Regional Cutervo
-
Sub Gerencia de Operaciones</t>
  </si>
  <si>
    <t>Tipo de Ejecución: Admintración Directa</t>
  </si>
  <si>
    <t>Gerencia Sub Regional Chota</t>
  </si>
  <si>
    <t>PROGRAMA PRESUPUESTAL</t>
  </si>
  <si>
    <t>Programa Presupuestal</t>
  </si>
  <si>
    <t>0138</t>
  </si>
  <si>
    <t>Reducción del Costo Tiempo e Inseguridad en el Sistema de Transporte</t>
  </si>
  <si>
    <t>Creación de la Carretera Huallangate- Vista Alegre-Susangate-San José, Distrito de Chota, Provincia de Chota-Cajamarca</t>
  </si>
  <si>
    <t>Abr</t>
  </si>
  <si>
    <t>May</t>
  </si>
  <si>
    <t>Jun</t>
  </si>
  <si>
    <t>Jul</t>
  </si>
  <si>
    <t>Ago</t>
  </si>
  <si>
    <t>Oct</t>
  </si>
  <si>
    <t>Nov</t>
  </si>
  <si>
    <t>Dic</t>
  </si>
  <si>
    <t>Construcción de Camino Vecinal</t>
  </si>
  <si>
    <t>Número de Km. de Carretera Mejorada</t>
  </si>
  <si>
    <t>km.</t>
  </si>
  <si>
    <t>FINANCIERA (RD)</t>
  </si>
  <si>
    <t>Programas Regionales - PROREGIÓN</t>
  </si>
  <si>
    <t>Programas Presupuestales</t>
  </si>
  <si>
    <t>0046</t>
  </si>
  <si>
    <t>Acceso y uso de la Electrificación Rural</t>
  </si>
  <si>
    <t>Sistema Eléctrico Rural Celendín IV Etapa</t>
  </si>
  <si>
    <t>Instalación de Acometidas eléctricas domiciliarias</t>
  </si>
  <si>
    <t>0068766 Construcción del Sistema Eléctrico Rural Celendin IV Etapa del Distrito de Celendin</t>
  </si>
  <si>
    <t>028</t>
  </si>
  <si>
    <t>0057</t>
  </si>
  <si>
    <t>Localidad</t>
  </si>
  <si>
    <t>Unidad de Estudios</t>
  </si>
  <si>
    <t>FINANCIERA</t>
  </si>
  <si>
    <t>26.81.41</t>
  </si>
  <si>
    <t>Gasto por la Contratación de Personal</t>
  </si>
  <si>
    <t>26.81.42</t>
  </si>
  <si>
    <t>Gasto por la Compra de Bienes</t>
  </si>
  <si>
    <t>26.81.43</t>
  </si>
  <si>
    <t>Gasto por la Contratación de Servicios</t>
  </si>
  <si>
    <t>Instalación del Sistema Electrico Rural Celendin Fase I para 16 localidades del Distrito de Sitacocha</t>
  </si>
  <si>
    <t>0125660 Instalación del Sistema Eléctrico Rural Fase I para 16 localidades del distrito de Sitacocha</t>
  </si>
  <si>
    <t>Estudio Elaborado</t>
  </si>
  <si>
    <t>Expediente Técnico</t>
  </si>
  <si>
    <t>26.23.34</t>
  </si>
  <si>
    <t>Costo de construcción por administración directa - Personal</t>
  </si>
  <si>
    <t>26.23.35</t>
  </si>
  <si>
    <t>Costo de construcción por administración directa - Bienes</t>
  </si>
  <si>
    <t>26.23.36</t>
  </si>
  <si>
    <t>Costo de construcción por administración directa - Servicios</t>
  </si>
  <si>
    <t>6.4 Eje Institucional</t>
  </si>
  <si>
    <t>6.4.1 Institucionalizar una gestion popular, participativa, desentralizada, transparente eficaz y eficiente</t>
  </si>
  <si>
    <t>4.1 Impulsar una gestion eficiente, articulada, moderna, transparente y participativa con enfoque territorial promotora del desarrollo integral y ambiental sostenible</t>
  </si>
  <si>
    <t>4.1.3 Articulacion de la gestion regional, intersectorial e intergubernamental orientada a resultados</t>
  </si>
  <si>
    <t>Pago a Pensionistas</t>
  </si>
  <si>
    <t>Planilla</t>
  </si>
  <si>
    <t>Obligaciones Previsionales</t>
  </si>
  <si>
    <t>Pago de Pensiones</t>
  </si>
  <si>
    <t>24</t>
  </si>
  <si>
    <t>052</t>
  </si>
  <si>
    <t>0116</t>
  </si>
  <si>
    <t>Gerencia Sub Regional de Cutervo - Oficina Sub Regional de Administración</t>
  </si>
  <si>
    <t>FINANCIERA (RECURSOS ORDINARIOS)</t>
  </si>
  <si>
    <t>22.11.11</t>
  </si>
  <si>
    <t>22.11.21</t>
  </si>
  <si>
    <t>Escolaridad, Aguinaldos y Gratificaciones</t>
  </si>
  <si>
    <t>APNOP ESTUDIOS GSRC</t>
  </si>
  <si>
    <t>Estudio de Pre Inversion Aprobado</t>
  </si>
  <si>
    <t>Estudio</t>
  </si>
  <si>
    <t>Estudios de Pre Inversion</t>
  </si>
  <si>
    <t>004</t>
  </si>
  <si>
    <t>0005</t>
  </si>
  <si>
    <t>Numero de Estudios Aprobados</t>
  </si>
  <si>
    <t>Gerencia Sub Regional Cutervo - 
Sub Gerencia de Operaciones</t>
  </si>
  <si>
    <t>APNOP LIQUIDACION GSRC</t>
  </si>
  <si>
    <t>Obra Liquidada</t>
  </si>
  <si>
    <t>UNIDAD</t>
  </si>
  <si>
    <t>Obras Liquidadas</t>
  </si>
  <si>
    <t>Unidad</t>
  </si>
  <si>
    <t>Gerencia Sub Regional Cutervo - Sub Gerencia de Operaciones</t>
  </si>
  <si>
    <t>26. 81. 43 Gastos por la Contratación de Servicios</t>
  </si>
  <si>
    <t>ACCIONES CENTRALES GSRC</t>
  </si>
  <si>
    <t>Acciones  Centrales</t>
  </si>
  <si>
    <t>Numero de acciones administrativas ejecutadas adecuadamente</t>
  </si>
  <si>
    <t>Accion Administrativa</t>
  </si>
  <si>
    <t>Sin Producto</t>
  </si>
  <si>
    <t>División Funcional</t>
  </si>
  <si>
    <t>006</t>
  </si>
  <si>
    <t>0008</t>
  </si>
  <si>
    <t>Accion</t>
  </si>
  <si>
    <t xml:space="preserve">FINANCIERA </t>
  </si>
  <si>
    <t>21.11.12</t>
  </si>
  <si>
    <t>Personal y Obligaciones Sociales</t>
  </si>
  <si>
    <t>21.11.21</t>
  </si>
  <si>
    <t>21.19.12</t>
  </si>
  <si>
    <t>Aguinaldos</t>
  </si>
  <si>
    <t>21.19.13</t>
  </si>
  <si>
    <t>Bonificación por escolaridad</t>
  </si>
  <si>
    <t>21.31.15</t>
  </si>
  <si>
    <t>Contribuciones a EsSalud</t>
  </si>
  <si>
    <t>23.11.11</t>
  </si>
  <si>
    <t>Alimentos y bebidas para 
consumo humano</t>
  </si>
  <si>
    <t>23.13.11</t>
  </si>
  <si>
    <t>Combustibles y Carburantes</t>
  </si>
  <si>
    <t>23.15.11</t>
  </si>
  <si>
    <t>Repuestos y accesorios</t>
  </si>
  <si>
    <t>23.15.12</t>
  </si>
  <si>
    <t>Papeleria en General, utiles y materiales de oficina</t>
  </si>
  <si>
    <t>23.15.31</t>
  </si>
  <si>
    <t>Aseo, limpieza y tocador</t>
  </si>
  <si>
    <t>23.111.14</t>
  </si>
  <si>
    <t>Para maquinas y equipos</t>
  </si>
  <si>
    <t>23.199.199</t>
  </si>
  <si>
    <t>Otros Bienes</t>
  </si>
  <si>
    <t>23.21.199</t>
  </si>
  <si>
    <t>Otros Gastos</t>
  </si>
  <si>
    <t>23.21.22</t>
  </si>
  <si>
    <t>23.22.11</t>
  </si>
  <si>
    <t>23.22.12</t>
  </si>
  <si>
    <t>Servicio de agua y desague</t>
  </si>
  <si>
    <t>23.22.21</t>
  </si>
  <si>
    <t>23.22.22</t>
  </si>
  <si>
    <t>23.22.44</t>
  </si>
  <si>
    <t>Servicio de impresiones, encuadernación y empastado</t>
  </si>
  <si>
    <t>23.27.499</t>
  </si>
  <si>
    <t>23.27.52</t>
  </si>
  <si>
    <t>Propinas para practicantes</t>
  </si>
  <si>
    <t>23.27.101</t>
  </si>
  <si>
    <t>23.27.1199</t>
  </si>
  <si>
    <t>Servicios Diversos</t>
  </si>
  <si>
    <t>23.28.11</t>
  </si>
  <si>
    <t>Constratos Administrativos de Servicios</t>
  </si>
  <si>
    <t>23.28.12</t>
  </si>
  <si>
    <t>Contribuciones a EsSalud CAS</t>
  </si>
  <si>
    <t>FINANCIERA (RECURSOS DIRECTAMENTE RECAUDADOS)</t>
  </si>
  <si>
    <t>23.12.11</t>
  </si>
  <si>
    <t>Vestuario, accesorios y prendas diversas</t>
  </si>
  <si>
    <t>23.13.13</t>
  </si>
  <si>
    <t>Lubricantes, grasas y afines</t>
  </si>
  <si>
    <t>23.16.11</t>
  </si>
  <si>
    <t>De vehículos</t>
  </si>
  <si>
    <t>23.16.13</t>
  </si>
  <si>
    <t>23.22.42</t>
  </si>
  <si>
    <t>Otros Servicios de Publicidad y difusión</t>
  </si>
  <si>
    <t>23.23.11</t>
  </si>
  <si>
    <t>Servicios de Limpieza e higiene</t>
  </si>
  <si>
    <t>23.23.12</t>
  </si>
  <si>
    <t>Servicios de Seguridad y vigilancia</t>
  </si>
  <si>
    <t>23.24.11</t>
  </si>
  <si>
    <t>De edificaciones, oficinas y estructuras</t>
  </si>
  <si>
    <t>23.24.15</t>
  </si>
  <si>
    <t>ACCIONES CENTRALES</t>
  </si>
  <si>
    <t>Acciones Centrales</t>
  </si>
  <si>
    <t>Numero de Acciones Administrativas Ejecutadas Adecuadamente</t>
  </si>
  <si>
    <t>Planeamiento y Presupuesto</t>
  </si>
  <si>
    <t>Acción Administrativa</t>
  </si>
  <si>
    <t>Número de Acciones Administrativas Ejecutadas Adecuadamente</t>
  </si>
  <si>
    <t>Acción</t>
  </si>
  <si>
    <t>FINANCIERA (RO / RDR)</t>
  </si>
  <si>
    <t>Bienes y servicios</t>
  </si>
  <si>
    <t>APNOP</t>
  </si>
  <si>
    <t>Estudios de Pre Inversión</t>
  </si>
  <si>
    <t>Adquisicion de Activos No Financieros</t>
  </si>
  <si>
    <t>Administración de Deuda Externa</t>
  </si>
  <si>
    <t>0053819 Pago de Deuda Pública</t>
  </si>
  <si>
    <t>053</t>
  </si>
  <si>
    <t>0118</t>
  </si>
  <si>
    <t>Número de cuotas pagadas</t>
  </si>
  <si>
    <t>Cuota</t>
  </si>
  <si>
    <t>28.11.29</t>
  </si>
  <si>
    <t>Agencia de Cooperación Internacional del Japón - JICA</t>
  </si>
  <si>
    <t>28.21.29</t>
  </si>
  <si>
    <t>28.31.29</t>
  </si>
  <si>
    <t>NMD 2016-2018</t>
  </si>
  <si>
    <t>Social Cultural</t>
  </si>
  <si>
    <t>6.1.1 Garantizar el Ejercicio pleno de los derechos fundamentales de los Cajamarquinos.</t>
  </si>
  <si>
    <t>1.2 Garantizar Salud de calidad, contribuyendo al Desarrollo sostenible e integral con enfoque de Gestión territorial e intercultural.</t>
  </si>
  <si>
    <t xml:space="preserve"> Fortalecer la capacidad resolutiva bajo el enfoque del Modelo de Atención Integral en Salud basado en el enfoque de familia y comunidad.</t>
  </si>
  <si>
    <t>POI</t>
  </si>
  <si>
    <t>0082</t>
  </si>
  <si>
    <t>Programa Nacional de Saneamiento Urbano</t>
  </si>
  <si>
    <t>Mejoramiento y Ampliación de los Sistemas de Agua Potable y Alcantarillado de la ciudad de Chota</t>
  </si>
  <si>
    <t>Instalación de Sistema de Agua Potable</t>
  </si>
  <si>
    <t>0068809 Mejoramiento y Ampliación de los Sistemas de Agua Potable y Alcantarillado de la Ciudad de Chota</t>
  </si>
  <si>
    <t>040</t>
  </si>
  <si>
    <t>0088</t>
  </si>
  <si>
    <t>Sistema</t>
  </si>
  <si>
    <t>Unidad de Ingeniería</t>
  </si>
  <si>
    <t>Costo de construcción directa Personal</t>
  </si>
  <si>
    <t>Costo de construcción directa de Bienes</t>
  </si>
  <si>
    <t>Costo de construcción directa de Servicios</t>
  </si>
  <si>
    <t>Acciones Estratégicas</t>
  </si>
  <si>
    <t>1.1 Promoción de la participación social y comunitaria en salud con enfoque de determinantes sociales</t>
  </si>
  <si>
    <t>1.2 Fortalezar la capacidad resolutiva bajo el enfoque del modelo de atención integral en salud basado en el enfoque de familia y comunidad.</t>
  </si>
  <si>
    <t>Categoría Presupuestal</t>
  </si>
  <si>
    <t>Proporción de niñas y niños menores de 5 años con desnutrición crónica</t>
  </si>
  <si>
    <t>NIÑO  (a)</t>
  </si>
  <si>
    <t>Proporción de niñas y niños menores de 3 años con anemia</t>
  </si>
  <si>
    <t>Producto/ Proyecto</t>
  </si>
  <si>
    <t>ACCIONES COMUNES</t>
  </si>
  <si>
    <t>Codigo y Nombre de la actividad</t>
  </si>
  <si>
    <t>Responsable</t>
  </si>
  <si>
    <t>Tipo de ejecucion-Especifica de Gasto</t>
  </si>
  <si>
    <t>Programacion de metas</t>
  </si>
  <si>
    <t>Financiera
R.O</t>
  </si>
  <si>
    <t>Ene.</t>
  </si>
  <si>
    <t>Feb.</t>
  </si>
  <si>
    <t>Mar.</t>
  </si>
  <si>
    <t>Sep</t>
  </si>
  <si>
    <t>Fisica</t>
  </si>
  <si>
    <t>20 Salud</t>
  </si>
  <si>
    <t>004   PLANEAMIENTO GUBERNAMENTAL</t>
  </si>
  <si>
    <t>0005   PLANEAMIENTO INSTITUCIONAL</t>
  </si>
  <si>
    <t>Porcentaje de informes de vigilancia del estado  nutricional del niño y la gestante elaborados</t>
  </si>
  <si>
    <t>060   INFORME</t>
  </si>
  <si>
    <t>211311    PERSONAL NOMBRADO</t>
  </si>
  <si>
    <t>211313    PERSONAL SERUMS</t>
  </si>
  <si>
    <t>211321    PERSONAL NOMBRADO</t>
  </si>
  <si>
    <t>211331    GUARDIAS HOSPITALARIAS</t>
  </si>
  <si>
    <t>2113399    OTRAS RETRIBUCIONES Y COMPLEMENTOS</t>
  </si>
  <si>
    <t>211912    AGUINALDOS</t>
  </si>
  <si>
    <t>211913    BONIFICACION POR ESCOLARIDAD</t>
  </si>
  <si>
    <t>213115    CONTRIBUCIONES A ESSALUD</t>
  </si>
  <si>
    <t>213116    OTRAS CONTRIBUCIONES DEL EMPLEADOR</t>
  </si>
  <si>
    <t>231311    COMBUSTIBLES Y CARBURANTES</t>
  </si>
  <si>
    <t>231512    PAPELERIA EN GENERAL, UTILES Y MATERIALES DE OFICINA</t>
  </si>
  <si>
    <t>2319913    LIBROS, DIARIOS, REVISTAS Y OTROS BIENES IMPRESOS NO VINCULADOS A ENSEÑANZA</t>
  </si>
  <si>
    <t>232121    PASAJES Y GASTOS DE TRANSPORTE</t>
  </si>
  <si>
    <t>232122    VIATICOS Y ASIGNACIONES POR COMISION DE SERVICIO</t>
  </si>
  <si>
    <t>2321299    OTROS GASTOS</t>
  </si>
  <si>
    <t>232244    SERVICIO DE IMPRESIONES, ENCUADERNACION Y EMPASTADO</t>
  </si>
  <si>
    <t>2327101    SEMINARIOS ,TALLERES Y SIMILARES ORGANIZADOS POR LA  INSTITUCION</t>
  </si>
  <si>
    <t>232811    CONTRATO ADMINISTRATIVO DE SERVICIOS</t>
  </si>
  <si>
    <t>232812    CONTRIBUCIONES A ESSALUD DE C.A.S.</t>
  </si>
  <si>
    <t>TOTAL</t>
  </si>
  <si>
    <t>043   SALUD COLECTIVA</t>
  </si>
  <si>
    <t>0093   REGULACION Y CONTROL SANITARIO</t>
  </si>
  <si>
    <t xml:space="preserve">Numero de normas y guías tecnicas en nutrición socializadas e implementadas durante año 2016 </t>
  </si>
  <si>
    <t>080   NORMA</t>
  </si>
  <si>
    <t>Equipos tecnicos  PP PAN- DIRESA Cajamarca</t>
  </si>
  <si>
    <t xml:space="preserve">Número de EESS que mejoran sus indicadores de desempeño durante año 2016  </t>
  </si>
  <si>
    <t>211112    PERSONAL ADMINISTRATIVO NOMBRADO (REGIMEN PUBLICO)</t>
  </si>
  <si>
    <t>211113    PERSONAL CON CONTRATO A PLAZO FIJO (REGIMEN LABORAL PUBLICO)</t>
  </si>
  <si>
    <t>211312    PERSONAL CONTRATADO</t>
  </si>
  <si>
    <t>231313    LUBRICANTES, GRASAS Y AFINES</t>
  </si>
  <si>
    <t>231511    REPUESTOS Y ACCESORIOS</t>
  </si>
  <si>
    <t>231531    ASEO, LIMPIEZA Y TOCADOR</t>
  </si>
  <si>
    <t>232731    REALIZADO POR PERSONAS JURIDICAS</t>
  </si>
  <si>
    <t>SERVICIOS DE CUIDADO DIURNO ACCEDEN A CONTROL DE CALIDAD NUTRICIONAL DE LOS ALIMENTOS</t>
  </si>
  <si>
    <t>Porcentaje de reportes técnicos de control de calidad nutricional de alimentos el año 2016</t>
  </si>
  <si>
    <t>Reporte técnico</t>
  </si>
  <si>
    <t>0095   CONTROL DE RIESGOS Y DAÑOS PARA LA SALUD</t>
  </si>
  <si>
    <t>Solo del producto</t>
  </si>
  <si>
    <t>222   REPORTE TECNICO</t>
  </si>
  <si>
    <t>211322    PERSONAL CONTRATADO</t>
  </si>
  <si>
    <t>COMUNIDAD ACCEDE A AGUA PARA EL CONSUMO HUMANO</t>
  </si>
  <si>
    <t>Número de centros poblados con sistemas de abastecimientos de agua para consumo humano con reporte de la calidad del agua y evaluación sanitaria de sus componentes en el año 2016</t>
  </si>
  <si>
    <t xml:space="preserve">Centro poblado </t>
  </si>
  <si>
    <t>Equipo técnico PP PAN DIRESA Cajamarca</t>
  </si>
  <si>
    <t>Solo en producto</t>
  </si>
  <si>
    <t>223   CENTRO POBLADO</t>
  </si>
  <si>
    <t>2119399    OTRAS OCASIONALES</t>
  </si>
  <si>
    <t>231211    VESTUARIO, ACCESORIOS Y PRENDAS DIVERSAS</t>
  </si>
  <si>
    <t>231611    DE VEHICULOS</t>
  </si>
  <si>
    <t>231614    DE SEGURIDAD</t>
  </si>
  <si>
    <t>231821    MATERIAL, INSUMOS, INSTRUMENTAL Y ACCESORIOS  MEDICOS, QUIRURGICOS, ODONTOLOGICOS Y DE LABORATORIO</t>
  </si>
  <si>
    <t>232231    CORREOS Y SERVICIOS DE MENSAJERIA</t>
  </si>
  <si>
    <t>232413    DE VEHICULOS</t>
  </si>
  <si>
    <t xml:space="preserve">Número de centros poblados con sistemas de abastecimiento para consumo humano con reporte de la calidad del agua durante año 2016  </t>
  </si>
  <si>
    <t>231613    DE CONSTRUCCION Y MAQUINAS</t>
  </si>
  <si>
    <t>231711    ENSERES</t>
  </si>
  <si>
    <t>232411    DE EDIFICACIONES, OFICINAS Y ESTRUCTURAS</t>
  </si>
  <si>
    <t>POBLACION INFORMADA SOBRE EL CUIDADO INFANTIL Y PRACTICAS SALUDABLES PARA LA PREVENCION DE ANEMIA Y DESNUTRICION CRONICA INFANTIL</t>
  </si>
  <si>
    <t>Porcentaje de población informada sobre el cuidado infantil y practicas saludables para la prevencion de la anemia y la desnutrición cronica infantilinfantil n el año 2016</t>
  </si>
  <si>
    <t>Persona informada</t>
  </si>
  <si>
    <t xml:space="preserve">Porcentaje de establecimientos que cuentan con materiales educativo cumunicacional sobre el cuidado infanti, prevención de anemia y otras enfermedades durante año 2016  </t>
  </si>
  <si>
    <t>259   PERSONA INFORMADA</t>
  </si>
  <si>
    <t>232241    SERVICIO DE PUBLICIDAD</t>
  </si>
  <si>
    <t>232242    OTROS SERVICIOS DE PUBLICIDAD Y DIFUSION</t>
  </si>
  <si>
    <t>232711    CONSULTORIAS</t>
  </si>
  <si>
    <t>23271199    SERVICIOS DIVERSOS</t>
  </si>
  <si>
    <t xml:space="preserve"> MUNICIPIOS SALUDABLES PROMUEVEN EL CUIDADO INFANTIL Y LA ADECUADA ALIMENTACION</t>
  </si>
  <si>
    <t>Número de Municipios que participan en reuniones de abogacia, técnicas y de capacitación en promoción de la salud para promover practicas y entornos saludables en alimentación  y cuidado infantil y en el año 2016</t>
  </si>
  <si>
    <t>Municipio</t>
  </si>
  <si>
    <t xml:space="preserve">Número de municipios que implementan intervenciones para el cuidado infantil y adecauada alimentación durante año 2016  </t>
  </si>
  <si>
    <t>215   MUNICIPIO</t>
  </si>
  <si>
    <t>COMUNIDADES SALUDABLES PROMUEVEN EL CUIDADO INFANTIL Y LA ADECUADA ALIMENTACION</t>
  </si>
  <si>
    <t>Proporción de comunidades que participan en reuniones de abogacia, técnicas y de capacitación en promoción de la salud para promover practicas y entornos saludables en alimentación  y cuidado infantil y en el año 2016</t>
  </si>
  <si>
    <t>Junta vecinal y agente comunitario</t>
  </si>
  <si>
    <t>Solo indicador del producto</t>
  </si>
  <si>
    <t>019   COMUNIDAD</t>
  </si>
  <si>
    <t>INSTITUCIONES EDUCATIVAS SALUDABLES PROMUEVEN EL CUIDADO INFANTIL Y LA ADECUADA ALIMENTACION</t>
  </si>
  <si>
    <t>Proporción de Instituciones educativas con CONEI, docentes y APAFAS que participan en reuniones de abogacia, técnicas y de capacitación en promoción de la salud para promover practicas y entornos saludables en alimentación  y cuidado infantil y en el año 2016</t>
  </si>
  <si>
    <t>Institución Educativa</t>
  </si>
  <si>
    <t xml:space="preserve">Número de CONEI,  docentes y APAFAs capacitados en el cuidado infantil y adecuada alimentación </t>
  </si>
  <si>
    <t>236   INSTITUCION EDUCATIVA</t>
  </si>
  <si>
    <t xml:space="preserve">  FAMILIAS SALUDABLES CON CONOCIMIENTOS PARA EL CUIDADO INFANTIL, LACTANCIA MATERNA EXCLUSIVA Y LA ADECUADA ALIMENTACION Y PROTECCION DEL MENOR DE 36 MESES</t>
  </si>
  <si>
    <t>Número de familias que reciben consejeria para promover el cuidado y la alimentación de los niños menores de 36 meses   en el año 2016</t>
  </si>
  <si>
    <t>Familia</t>
  </si>
  <si>
    <t>Equipo tecnico PP PAN DIRESA</t>
  </si>
  <si>
    <t>% de familias con niños menores de 5años  que reciben consejeria en visita domiciliaria y con sesion demostrativa  en alimentación y nutricion infantil</t>
  </si>
  <si>
    <t>056   FAMILIA</t>
  </si>
  <si>
    <t>231111    ALIMENTOS Y BEBIDAS PARA CONSUMO HUMANO</t>
  </si>
  <si>
    <t>231912    MATERIAL DIDACTICO, ACCESORIOS Y UTILES DE ENSEÑANZA</t>
  </si>
  <si>
    <t>2327112    TRANSPORTE Y TRASLADO DE CARGA, BIENES Y MATERIALES</t>
  </si>
  <si>
    <t>NIÑOS CON VACUNA COMPLETA</t>
  </si>
  <si>
    <t>Porcentaje de niños y niñas menores de 60 meses con vacunas completas de acuerdo a su edad</t>
  </si>
  <si>
    <t>Niño protegido</t>
  </si>
  <si>
    <t>044   SALUD INDIVIDUAL</t>
  </si>
  <si>
    <t>0096   ATENCION MEDICA BASICA</t>
  </si>
  <si>
    <t>Porcentaje de niños menores deun año vacunados   con rotavirus y neumococo</t>
  </si>
  <si>
    <t>218   NIÑO PROTEGIDO</t>
  </si>
  <si>
    <t>231312    GASES</t>
  </si>
  <si>
    <t>231541    ELECTRICIDAD, ILUMINACION Y ELECTRONICA</t>
  </si>
  <si>
    <t>2316199    OTROS ACCESORIOS Y REPUESTOS</t>
  </si>
  <si>
    <t>231812    MEDICAMENTOS</t>
  </si>
  <si>
    <t>232223    SERVICIO DE INTERNET</t>
  </si>
  <si>
    <t>232415    DE MAQUINARIAS Y EQUIPOS</t>
  </si>
  <si>
    <t>232641    GASTOS POR PRESTACIONES DE SALUD</t>
  </si>
  <si>
    <t>2521199    A OTRAS ORGANIZACIONES</t>
  </si>
  <si>
    <t>NIÑOS CON CRED COMPLETO SEGUN EDAD</t>
  </si>
  <si>
    <t>Porcentaje de niños menores de 36 meses con CRED completo para su edad</t>
  </si>
  <si>
    <t xml:space="preserve">Niño controlado </t>
  </si>
  <si>
    <t>20 salud</t>
  </si>
  <si>
    <t>Solo de Producto</t>
  </si>
  <si>
    <t>219   NIÑO CONTROLADO</t>
  </si>
  <si>
    <t>NIÑOS CON SUPLEMENTO DE HIERRO Y VITAMINA A</t>
  </si>
  <si>
    <t xml:space="preserve">Porcentaje de  niños de 6 a 35 meses suplementado con multimicronutrientes </t>
  </si>
  <si>
    <t>Niño suplementado</t>
  </si>
  <si>
    <t xml:space="preserve">20 salud </t>
  </si>
  <si>
    <t>220   NIÑO SUPLEMENTADO</t>
  </si>
  <si>
    <t>211121    ASIGNACION A FONDOS PARA PERSONAL</t>
  </si>
  <si>
    <t>ATENCION DE INFECCIONES RESPIRATORIAS AGUDAS</t>
  </si>
  <si>
    <t>Porcentaje de casos tratados de IRA en niños menores de 5 años durante el año 2016</t>
  </si>
  <si>
    <t>caso tratado</t>
  </si>
  <si>
    <t>Porcentaje de niños menores de 5 años tratados por Infecciones Respiratorias agudas</t>
  </si>
  <si>
    <t>016   CASO TRATADO</t>
  </si>
  <si>
    <t>232123    VIATICOS Y FLETES POR CAMBIO DE COLOCACION</t>
  </si>
  <si>
    <t xml:space="preserve">  ATENCION DE ENFERMEDADES DIARREICAS AGUDAS</t>
  </si>
  <si>
    <t>Porcentaje de casos tratados de EDAs  en niños menores de 5 años durante el año 2016</t>
  </si>
  <si>
    <t>Caso tratado</t>
  </si>
  <si>
    <t>Porcentaje de niños menores de 5 años tratados por Enfermedades diarreicas agudas</t>
  </si>
  <si>
    <t>231532    DE COCINA, COMEDOR Y CAFETERIA</t>
  </si>
  <si>
    <t>ATENCION DE INFECCIONES RESPIRATORIAS AGUDAS CON COMPLICACIONES</t>
  </si>
  <si>
    <t>Porcentaje de casos tratados de IRAs con complicaciones en niños menores de 5 años durante el año 2016</t>
  </si>
  <si>
    <t>0097   ATENCION MEDICA ESPECIALIZADA</t>
  </si>
  <si>
    <t xml:space="preserve">Porcentaje de casos tratados por neumonia en niños menores de 5 años </t>
  </si>
  <si>
    <t>232311    SERVICIOS DE LIMPIEZA E HIGIENE</t>
  </si>
  <si>
    <t xml:space="preserve"> ATENCION DE ENFERMEDADES DIARREICAS AGUDAS CON COMPLICACIONES</t>
  </si>
  <si>
    <t>Porcentaje de casos tratados de EDAs con complicaciones en niños menores de 5 años durante el año 2016</t>
  </si>
  <si>
    <t>Porcentaje de niños menores de 5 años con casos de EDAs complicada tratado</t>
  </si>
  <si>
    <t>2327299    OTROS SERVICIOS SIMILARES</t>
  </si>
  <si>
    <t xml:space="preserve"> ATENCION DE OTRAS ENFERMEDADES PREVALENTES</t>
  </si>
  <si>
    <t>Porcentaje de casos tratado de anemia, SOB, Asma en niños menores de 5 años  durante el año 2016</t>
  </si>
  <si>
    <t xml:space="preserve">Porcentaje de niños menores de 36 meses querecibieron tratamiento para la anemia </t>
  </si>
  <si>
    <t xml:space="preserve"> GESTANTE CON SUPLEMENTO DE HIERRO Y ACIDO FOLICO</t>
  </si>
  <si>
    <t>Porcentaje de gestantes que recibieron sulfato ferroso + acido folico</t>
  </si>
  <si>
    <t>Gestante suplementada</t>
  </si>
  <si>
    <t>Solo de producto</t>
  </si>
  <si>
    <t>224   GESTANTE SUPLEMENTADA</t>
  </si>
  <si>
    <t>ATENCION DE NIÑOS Y NIÑAS CON PARASITOSIS INTESTINAL</t>
  </si>
  <si>
    <t>Porcentaje de casos tratados de parasitosisi intestinal en  niños y niñas menores de 5 años</t>
  </si>
  <si>
    <t xml:space="preserve"> </t>
  </si>
  <si>
    <t>001 Programa Articulado Nutricional</t>
  </si>
  <si>
    <t>Razón de mortalidad materna por 100 mil nacidos vivos</t>
  </si>
  <si>
    <t>Razon</t>
  </si>
  <si>
    <t>Tasa de Mortalidad Neonatal por mil Nacidos Vivos</t>
  </si>
  <si>
    <t xml:space="preserve">Numero de normas y guías tecnicas en Salud Materno Neonatal socializadas e implementadas durante año 2016 </t>
  </si>
  <si>
    <t>Equipo Técnico PP SMN DIRESA</t>
  </si>
  <si>
    <t>20 SALUD</t>
  </si>
  <si>
    <t>232221    SERVICIO DE TELEFONIA MOVIL</t>
  </si>
  <si>
    <t xml:space="preserve"> POBLACION INFORMADA SOBRE SALUD SEXUAL, SALUD REPRODUCTIVA Y METODOS DE PLANIFICACION FAMILIAR</t>
  </si>
  <si>
    <t>Porcentaje de personas que acceden a medios de comunicación masiva y alternativa</t>
  </si>
  <si>
    <t>Población informada</t>
  </si>
  <si>
    <t>Solo producto</t>
  </si>
  <si>
    <t xml:space="preserve">   ADOLESCENTES ACCEDEN A SERVICIOS DE SALUD PARA PREVENCION DEL EMBARAZO</t>
  </si>
  <si>
    <t>Porcedentes de adolescentes que reciben atención integral</t>
  </si>
  <si>
    <t>Adolescente Atendido</t>
  </si>
  <si>
    <t>solo del producto</t>
  </si>
  <si>
    <t>006   ATENCION</t>
  </si>
  <si>
    <t xml:space="preserve"> ATENCION PRENATAL REENFOCADA</t>
  </si>
  <si>
    <t>Porcentaje de gestantes con atención prenatal reefocada</t>
  </si>
  <si>
    <t>Gestante controlada</t>
  </si>
  <si>
    <t>Porcentaje de gestantes controladas</t>
  </si>
  <si>
    <t>058   GESTANTE CONTROLADA</t>
  </si>
  <si>
    <t xml:space="preserve"> MUNICIPIOS SALUDABLES QUE PROMUEVEN SALUD SEXUAL Y REPRODUCTIVA</t>
  </si>
  <si>
    <t>Porcentaje de Municipioscon comité multisectorial y consejo municipal capacitados para el cuidado de la salud materna y neonatal y el ejercicio de la salud sexual y reproductiva en el año 2016</t>
  </si>
  <si>
    <t>Solo del prodcuto</t>
  </si>
  <si>
    <t>COMUNIDADES SALUDABLES QUE PROMUEVEN SALUD SEXUAL Y REPRODUCTIVA</t>
  </si>
  <si>
    <t>Porcentaje de comunidades con Juntas vecinales y agentes comunitarios capacitados para promover el cuidado de la salud materno y neonatal en el año 2016</t>
  </si>
  <si>
    <t xml:space="preserve">TOTAL </t>
  </si>
  <si>
    <t xml:space="preserve">  INSTITUCIONES EDUCATIVAS SALUDABLES PROMUEVEN SALUD SEXUAL Y REPRODUCTIVA</t>
  </si>
  <si>
    <t>Porcentaje de IIEE cn CONEI, docentes y APAFAS capacitados para promover práctivcas y entornos saludables en sexual y reproductiva  en el año 2016</t>
  </si>
  <si>
    <t xml:space="preserve">  POBLACION ACCEDE A METODOS DE PLANIFICACION FAMILIAR</t>
  </si>
  <si>
    <t>Porcentaje de pareja protegidas con metodos anticonceptivos de calidad</t>
  </si>
  <si>
    <t>Pareja protegida</t>
  </si>
  <si>
    <t>206   PAREJA PROTEGIDA</t>
  </si>
  <si>
    <t xml:space="preserve">  POBLACION ACCEDE A SERVICIOS DE CONSEJERIA EN SALUD SEXUAL Y REPRODUCTIVA</t>
  </si>
  <si>
    <t>Porcentaje de consejerias realizdas en salud sexual y reproductiva</t>
  </si>
  <si>
    <t>Atención</t>
  </si>
  <si>
    <t xml:space="preserve">  ATENCION DE LA GESTANTE CON COMPLICACIONES</t>
  </si>
  <si>
    <t>Porcentaje de gestantes con complicaciones atendidas</t>
  </si>
  <si>
    <t>Gestante atendida</t>
  </si>
  <si>
    <t>207   GESTANTE ATENDIDA</t>
  </si>
  <si>
    <t>231212    TEXTILES Y ACABADOS TEXTILES</t>
  </si>
  <si>
    <t xml:space="preserve"> ATENCION DEL PARTO NORMAL</t>
  </si>
  <si>
    <t>Porcentaje de  parto institucional</t>
  </si>
  <si>
    <t>Parto normal</t>
  </si>
  <si>
    <t>208   PARTO NORMAL</t>
  </si>
  <si>
    <t>ATENCION DEL PARTO COMPLICADO NO QUIRURGICO</t>
  </si>
  <si>
    <t>Porcentaje de parto complicados atendidos</t>
  </si>
  <si>
    <t>Parto complicado atendido</t>
  </si>
  <si>
    <t>209   PARTO COMPLICADO</t>
  </si>
  <si>
    <t xml:space="preserve">  ATENCION DEL PARTO COMPLICADO QUIRURGICO</t>
  </si>
  <si>
    <t>Porcentaje de cesareas realizadas</t>
  </si>
  <si>
    <t>210   CESAREA</t>
  </si>
  <si>
    <t xml:space="preserve"> ATENCION DEL PUERPERIO</t>
  </si>
  <si>
    <t>Porcentaje de puerperas controladas</t>
  </si>
  <si>
    <t>Atención Puerperal</t>
  </si>
  <si>
    <t>211   ATENCION PUERPERAL</t>
  </si>
  <si>
    <t>ATENCION DEL PUERPERIO CON COMPLICACIONES</t>
  </si>
  <si>
    <t>Porcentaje de puerperas complicadas  atendidas</t>
  </si>
  <si>
    <t>Egreso</t>
  </si>
  <si>
    <t>212   EGRESO</t>
  </si>
  <si>
    <t xml:space="preserve"> ATENCION OBSTETRICA EN UNIDAD DE CUIDADOS INTENSIVOS</t>
  </si>
  <si>
    <t>Porcentaje de gestantes y puerpers complicadas atendidas en UCI</t>
  </si>
  <si>
    <t xml:space="preserve"> ACCESO AL SISTEMA DE REFERENCIA INSTITUCIONAL</t>
  </si>
  <si>
    <t>Porcentaje de Gestantes, recien nacidos y puerperas referidas</t>
  </si>
  <si>
    <t>Gestante, puerpera y neonato referido</t>
  </si>
  <si>
    <t>214   GESTANTE Y/O NEONATO REFERIDO</t>
  </si>
  <si>
    <t xml:space="preserve"> ATENCION DEL RECIEN NACIDO NORMAL</t>
  </si>
  <si>
    <t xml:space="preserve">Porcentaje de recien nacidos vigorosos atendidos </t>
  </si>
  <si>
    <t>Recien Nacido atendido</t>
  </si>
  <si>
    <t xml:space="preserve"> ATENDER AL RECIEN NACIDO NORMAL</t>
  </si>
  <si>
    <t>0097   ATENCION MEDICA BASICA</t>
  </si>
  <si>
    <t>239   RECIEN NACIDO ATENDIDO</t>
  </si>
  <si>
    <t xml:space="preserve">  ATENCION DEL RECIEN NACIDO CON COMPLICACIONES</t>
  </si>
  <si>
    <t>Porcentaje de recien nacidos con complicaciones atendidos en EESS con capacidad resolutiva</t>
  </si>
  <si>
    <t>ATENCION DEL RECIEN NACIDO CON COMPLICACIONES QUE REQUIERE UNIDAD DE CUIDADOS INTENSIVOS NEONATALES - UCIN</t>
  </si>
  <si>
    <t>Porcentaje  de recien nacidos con complicaciones atendidos en UCIN</t>
  </si>
  <si>
    <t>3033412   FAMILIAS SALUDABLES INFORMADAS RESPECTO DE SU SALUD SEXUAL Y REPRODUCTIVA</t>
  </si>
  <si>
    <t>Porcentaje de familias con gestantes y puerperas que recibiron consejeria en promocion sexual y reproductiva y salud neonatal en el año 2016</t>
  </si>
  <si>
    <t>002 Programa Salud Materno Neonatal</t>
  </si>
  <si>
    <t>Papeleria en General, útiles y materiales de oficina</t>
  </si>
  <si>
    <t>De construcción y máquinas</t>
  </si>
  <si>
    <t>Para máquinas y equipos</t>
  </si>
  <si>
    <t>Servicios de sumistros de energía eléctrica</t>
  </si>
  <si>
    <t>Número de Estudios Aprobados</t>
  </si>
  <si>
    <t>26.81.21 Elaboración de Estudios de Pre Inversion</t>
  </si>
  <si>
    <t>Régimen de pensiones 
DL. 20530</t>
  </si>
  <si>
    <t>Secretaria General</t>
  </si>
  <si>
    <t>Código Espécifica</t>
  </si>
  <si>
    <t>Específica de Gasto</t>
  </si>
  <si>
    <t>0053178 Acciones de Secretaria General</t>
  </si>
  <si>
    <t>Secretaría General</t>
  </si>
  <si>
    <t>Vestuario, Accesorios y</t>
  </si>
  <si>
    <t>Repuestos y Accesorios</t>
  </si>
  <si>
    <t>Papeleria en General, Utiles</t>
  </si>
  <si>
    <t>Aseo, Limpieza y Tocador</t>
  </si>
  <si>
    <t>23.16.12</t>
  </si>
  <si>
    <t>De Comunicaciones y</t>
  </si>
  <si>
    <t>23.18.21</t>
  </si>
  <si>
    <t>Material, Insumos</t>
  </si>
  <si>
    <t>23.21.21</t>
  </si>
  <si>
    <t>Pasajes y Gastos de</t>
  </si>
  <si>
    <t xml:space="preserve"> Viaticos y Asignsciones por</t>
  </si>
  <si>
    <t>23.22.31</t>
  </si>
  <si>
    <t>Correos y Servicios de</t>
  </si>
  <si>
    <t>Servicio de Impresiones</t>
  </si>
  <si>
    <t>Servicios de Limpieza</t>
  </si>
  <si>
    <t>De Edificaciones, Oficinas</t>
  </si>
  <si>
    <t>23.26.12</t>
  </si>
  <si>
    <t>Gastos Notariales</t>
  </si>
  <si>
    <t>23.27.22</t>
  </si>
  <si>
    <t>Asesorias</t>
  </si>
  <si>
    <t>Contrato Administrativo CAS</t>
  </si>
  <si>
    <t>Contribuciones de ESSalud</t>
  </si>
  <si>
    <t>26.32.12</t>
  </si>
  <si>
    <t>Mobiliario</t>
  </si>
  <si>
    <t>Proregion</t>
  </si>
  <si>
    <t>0016. Programa TBC/VIH-SIDA</t>
  </si>
  <si>
    <t>Tasa de incidencia TBC frotis positivo</t>
  </si>
  <si>
    <t>Tasa de incidencia de VIH en poblaciones priorizadas</t>
  </si>
  <si>
    <t>3000001. ACCIONES COMUNES</t>
  </si>
  <si>
    <t xml:space="preserve">Codigo </t>
  </si>
  <si>
    <t xml:space="preserve">Nombre </t>
  </si>
  <si>
    <t xml:space="preserve">Número de EESS que mejoran sus indicadores de desempeño durante año 2016 </t>
  </si>
  <si>
    <t>Equipo técnico PP TBC/VIH SIDA</t>
  </si>
  <si>
    <t xml:space="preserve">Numero de normas y guías tecnicas TBC-VIH socializadas e implementadas durante año 2016 </t>
  </si>
  <si>
    <t xml:space="preserve">  SINTOMATICOS RESPIRATORIOS CON DESPISTAJE DE TUBERCULOSIS</t>
  </si>
  <si>
    <t>Proporción de Sintomaticos Respiratorios identificados</t>
  </si>
  <si>
    <t>Persona atendida</t>
  </si>
  <si>
    <t>087   PERSONA ATENDIDA</t>
  </si>
  <si>
    <t xml:space="preserve">  PERSONAS EN CONTACTO DE CASOS DE TUBERCULOSIS CON CONTROL Y TRATAMIENTO PREVENTIVO (GENERAL, INDIGENA, PRIVADA DE SU LIBERTAD)</t>
  </si>
  <si>
    <t xml:space="preserve">Porcentaje de contactos que reciben tratamiento preventivo </t>
  </si>
  <si>
    <t>394   PERSONA TRATADA</t>
  </si>
  <si>
    <t xml:space="preserve">  PERSONAS CON DIAGNOSTICO DE TUBERCULOSIS</t>
  </si>
  <si>
    <t>Número de pacientes con diagnóstico de Tuberculosis</t>
  </si>
  <si>
    <t>Persona diagnosticada</t>
  </si>
  <si>
    <t>393   PERSONA DIAGNOSTICADA</t>
  </si>
  <si>
    <t xml:space="preserve"> PERSONAS PRIVADAS DE SU LIBERTAD TRATADAS</t>
  </si>
  <si>
    <t>Persona tratada</t>
  </si>
  <si>
    <t xml:space="preserve">20salud </t>
  </si>
  <si>
    <t xml:space="preserve"> PACIENTES CON COMORBILIDAD CON DESPISTAJE Y DIAGNOSTICO DE TUBERCULOSIS</t>
  </si>
  <si>
    <t>Porcentaje de personas con TBC en todas sus formas y comorbilidades tratada</t>
  </si>
  <si>
    <t xml:space="preserve"> PERSONA QUE ACCEDE AL ESTABLECIMIENTO DE SALUD Y RECIBE TRATAMIENTO OPORTUNO PARA TUBERCULOSIS Y SUS COMPLICACIONES</t>
  </si>
  <si>
    <t xml:space="preserve">Porcentaje de personas afectadas con TBC en todas sus formas recibiron tratamiento oportuno </t>
  </si>
  <si>
    <t>POBLACION CON DIAGNOSTICO DE HEPATITIS B CRONICA QUE ACUDE A LOS SERVICIOS DE SALUD RECIBE ATENCION INTEGRAL</t>
  </si>
  <si>
    <t>Porcentaje de personas  (adultos, niños, gestantes y RN) que reciben tratamiento para hepatitis B</t>
  </si>
  <si>
    <t>SERVICIOS DE ATENCION DE TUBERCULOSIS CON MEDIDAS DE CONTROL DE INFECCIONES Y BIOSEGURIDAD EN EL PERSONAL DE SALUD</t>
  </si>
  <si>
    <t xml:space="preserve">Porcentaje de EESS priorizados con plan de control de infecciones </t>
  </si>
  <si>
    <t>Trabajador protegido</t>
  </si>
  <si>
    <t>395   TRABAJADOR PROTEGIDO</t>
  </si>
  <si>
    <t>FAMILIA CON PRACTICAS SALUDABLES PARA LA PREVENCION DE VIH/SIDA Y TUBERCULOSIS</t>
  </si>
  <si>
    <t>Proporcion de familias que reciben consejerias para promover prácticas y entornos saludables en TBC, ITS, y VIH  SIDA</t>
  </si>
  <si>
    <t>231911    LIBROS, TEXTOS Y OTROS MATERIALES IMPRESOS</t>
  </si>
  <si>
    <t>INSTITUCIONES EDUCATIVAS QUE PROMUEVEN PRACTICAS SALUDABLES PARA LA PREVENCION DE VIH/SIDA Y TUBERCULOSIS</t>
  </si>
  <si>
    <t>Instituciones Educativas</t>
  </si>
  <si>
    <t>AGENTES COMUNITARIOS QUE PROMUEVEN PRACTICAS SALUDABLES PARA PREVENCION DE VIH/SIDA Y TUBERCULOSIS</t>
  </si>
  <si>
    <t>Proporcion de comunidades que participan en reuniones de abogacia y de capacitación para promover practicas y entornos saludables para la disminución de la  TBC, ITS y VIH SIDA</t>
  </si>
  <si>
    <t>Comunidad</t>
  </si>
  <si>
    <t>088   PERSONA CAPACITADA</t>
  </si>
  <si>
    <t>HOGARES DE PERSONAS AFECTADAS DE TBMDR CON VIVIENDAS MEJORADAS</t>
  </si>
  <si>
    <t>Proporción de hogares afectados con  TBMDR reciben intervención para mejorar su vivienda</t>
  </si>
  <si>
    <t>Vivienda</t>
  </si>
  <si>
    <t>255   VIVIENDAS</t>
  </si>
  <si>
    <t>211314    INTERNOS DE MEDICINA Y ODONTOLOGIA</t>
  </si>
  <si>
    <t>POBLACION INFORMADA SOBRE USO CORRECTO DE CONDON PARA PREVENCION DE INFECCIONES DE TRANSMISION SEXUAL Y VIH/SIDA</t>
  </si>
  <si>
    <t>Número de personas informadas en prevención en ITS y VIH SIDA</t>
  </si>
  <si>
    <t>ADULTOS Y JOVENES RECIBEN CONSEJERIA Y TAMIZAJE PARA INFECCIONES DE TRANSMISION SEXUAL Y VIH/SIDA</t>
  </si>
  <si>
    <t>Porcentaje de personas tamizadas en ITS y VIH SIDA</t>
  </si>
  <si>
    <t>Persona tamizada</t>
  </si>
  <si>
    <t>ENTREGAR A ADULTOS Y JOVENES VARONES CONSEJERIA Y TAMIZAJE PARA ITS Y VIH/SIDA</t>
  </si>
  <si>
    <t>2318199    OTROS PRODUCTOS SIMILARES</t>
  </si>
  <si>
    <t>POBLACION ADOLESCENTE INFORMADA SOBRE INFECCIONES DE TRANSMISION SEXUAL y VIH/SIDA</t>
  </si>
  <si>
    <t>Porcentaje de población adolescente informada en Infecciones de trasmisión sexual y VIH/  SIDA</t>
  </si>
  <si>
    <t>adolescente informado</t>
  </si>
  <si>
    <t xml:space="preserve"> ENTREGAR A POBLACION ADOLESCENTE INFORMACION SOBRE INFECCIONES DE TRANSMISION SEXUAL Y VIH/SIDA</t>
  </si>
  <si>
    <t>POBLACION DE ALTO RIESGO RECIBE INFORMACION Y ATENCION PREVENTIVA</t>
  </si>
  <si>
    <t>Porcentaje de población tratada para ITS, VIH, Hepatitis B y Sifilis.</t>
  </si>
  <si>
    <t>BRINDAR INFORMACION Y ATENCION PREVENTIVA A POBLACION DE ALTO RIESGO</t>
  </si>
  <si>
    <t>POBLACION CON INFECCIONES DE TRANSMISION SEXUAL RECIBEN TRATAMIENTO SEGUN GUIA CLINICAS</t>
  </si>
  <si>
    <t>Porcentaje de personas con Infección de Trasmisión Sexual  atendidas según guías clinicas</t>
  </si>
  <si>
    <t>BRINDAR A POBLACION CON INFECCIONES DE TRANSMISION SEXUAL TRATAMIENTO SEGUN GUIA CLINICAS</t>
  </si>
  <si>
    <t>PERSONAS DIAGNOSTICADAS CON VIH/SIDA QUE ACUDEN A LOS SERVICIOS Y RECIBEN ATENCION INTEGRAL</t>
  </si>
  <si>
    <t xml:space="preserve">Porcentaje de personas (niños y adultos) que reciben TARGA </t>
  </si>
  <si>
    <t>BRINDAR ATENCION INTEGRAL A PERSONAS CON DIAGNOSTICO DE VIH QUE ACUDEN A LOS SERVICIOS</t>
  </si>
  <si>
    <t>232727    SERVICIOS COMPLEMENTARIOS DE SALUD</t>
  </si>
  <si>
    <t>MUJERES GESTANTES REACTIVAS Y NIÑOS EXPUESTOS AL VIH/SIDA RECIBEN TRATAMIENTO OPORTUNO</t>
  </si>
  <si>
    <t>Porcentaje de personas que (niños y gestantes) reciben tratamiento de acuerdo a norma técnica</t>
  </si>
  <si>
    <t>BRINDAR TRATAMIENTO OPORTUNO A MUJERES GESTANTES REACTIVAS Y NIÑOS EXPUESTOS AL VIH</t>
  </si>
  <si>
    <t>211911    GRATIFICACIONES</t>
  </si>
  <si>
    <t>MUJERES GESTANTES REACTIVAS A SIFILIS Y SUS CONTACTOS Y RECIEN NACIDOS EXPUESTOS RECIBEN TRATAMIENTO OPORTUNO</t>
  </si>
  <si>
    <t>Porcentaje de personas que (contactos, Recien nacidos  y gestantes) reciben tratamiento de acuerdo a norma técnica</t>
  </si>
  <si>
    <t xml:space="preserve"> BRINDAR TRATAMIENTO OPORTUNO A MUJERES GESTANTES REACTIVAS A SIFILIS Y SUS CONTACTOS Y RECIEN NACIDOS EXPUESTOS</t>
  </si>
  <si>
    <t>PERSONA QUE ACCEDE AL EESS Y RECIBE TRATAMIENTO OPORTUNO PARA TUBERCULOSIS EXTREMADAMENTE DROGO RESISTENTE (XDR)</t>
  </si>
  <si>
    <t>Número de personas afectadas por tuberculosis extremadamente resistente que reciben tratamiento</t>
  </si>
  <si>
    <t>BRINDAR TRATAMIENTO OPORTUNO A PERSONAS QUE ACCEDEN AL EESS Y RECIBE TRATAMIENTO PARA TUBERCULOSIS EXTREMADAMENTE DROGO RESISTENTE (XDR)</t>
  </si>
  <si>
    <t>PERSONA CON COMORBILIDAD RECIBE TRATAMIENTO PARA TUBERCULOSIS</t>
  </si>
  <si>
    <t>Porcentaje de casos de TBC con comorbilidad diabetes (mellitus, infección renal crónica, EPOC/ asma) que recibieron  tratamiento</t>
  </si>
  <si>
    <t>BRINDAR TRATAMIENTO PARA TUBERCULOSIS A PERSONAS CON COMORBILIDAD</t>
  </si>
  <si>
    <t>Gerencia de Desarrollo Social - Sub Gerencia de Asuntos Poblacionales - Dirección Regional de Salud.</t>
  </si>
  <si>
    <t>Programa Control de Enfermedades Metaxenicas y Zoonoticas</t>
  </si>
  <si>
    <t xml:space="preserve">Tasa de incidencia de enfermedades metaxenicas </t>
  </si>
  <si>
    <t>Tasa</t>
  </si>
  <si>
    <t xml:space="preserve"> MONITOREO, SUPERVISION, EVALUACION Y CONTROL METAXENICAS Y ZOONOSIS</t>
  </si>
  <si>
    <t>EQUIPOS TECNICOS  PP METAXENICAS - DIRESA</t>
  </si>
  <si>
    <t>DESARROLLO DE NORMAS Y GUIAS TECNICAS EN METAXENICAS Y ZOONOSIS</t>
  </si>
  <si>
    <t>Numero de normas y guías tecnicas enfermedades metaxenicas y zoonoticas socializadas e implementadas durante año 2016</t>
  </si>
  <si>
    <t>FAMILIA CON PRACTICAS SALUDABLES PARA LA PREVENCION DE ENFERMEDADES METAXENICAS Y ZOONOTICAS</t>
  </si>
  <si>
    <t>Porcentaje  de familias que desarrollan prácticas de salud para la prevención y control de las enfermedades metaxenicas y zoonoticas</t>
  </si>
  <si>
    <t>Familias</t>
  </si>
  <si>
    <t>PROMOCION DE PRACTICAS SALUDABLES PARA LA PREVENCION DE ENFERMEDADES METAXENICAS Y ZOONOTICAS EN FAMILIAS DE ZONAS DE RIESGO</t>
  </si>
  <si>
    <t>Proporción de familias que reciben sesiones educativas y demostrativas  para promover prácticas y entonos saludables para disminuir las enfermedades metaxenicas y zoonoticas</t>
  </si>
  <si>
    <t>INSTITUCIONES EDUCATIVAS QUE PROMUEVEN PRACTICAS SALUDABLES PARA LA PREVENCION DE ENFERMEDADES METAXENICAS Y ZOONOTICAS</t>
  </si>
  <si>
    <t>porcentaje de instituciones educativas con CONEI, docentes y APAFA capacitadas para promover prácticas y entornos saludables para la prevención de enfermedades metaxenicas</t>
  </si>
  <si>
    <t>Instituciones educativas</t>
  </si>
  <si>
    <t>PROMOCION DE PRACTICAS SALUDABLES PARA LA PREVENCION DE ENFERMEDADES METAXENICAS Y ZOONOTICAS EN INSTITUCIONES EDUCATIVAS</t>
  </si>
  <si>
    <t>MUNICIPIOS PARTICIPANDO EN DISMINUCION DE LA TRANSMISION DE ENFERMEDADES METAXENICAS Y ZOONOTICAS</t>
  </si>
  <si>
    <t>Municipios</t>
  </si>
  <si>
    <t>PROMOCION DE PRACTICAS SALUDABLES PARA LA DISMUNICION DE LA TRANSMISION DE ENFERMEDADES METAXENICAS Y ZOONOTICAS</t>
  </si>
  <si>
    <t>POBLADORES DE AREAS CON RIESGO DE TRANSMISION INFORMADA CONOCE LOS MECANISMOS DE TRANSMISION DE ENFERMEDADES METAXENICAS Y ZOONOTICAS</t>
  </si>
  <si>
    <t>Porcentaje de pobladores de 10 años a mas de areas de riesgo de trasmisión con conocimientos de trasmisión de las enfermedades metaxenicas y zoonoticas</t>
  </si>
  <si>
    <t>Persona</t>
  </si>
  <si>
    <t>INFORMACION DE LOS MECANISMOS DE TRANSMISION DE ENFERMEDADES METAXENICAS Y ZOONOTICAS EN POBLADORES DE AREAS CON RIESGO</t>
  </si>
  <si>
    <t>Porcentaje de pobladores de areas de riesgo conoce los mecanismos de transmision de enfermedades metaxenicas y zoonoticas</t>
  </si>
  <si>
    <t>VIVIENDAS PROTEGIDAS DE LOS PRINCIPALES CONDICIONANTES DEL RIESGO EN LAS AREAS DE ALTO Y MUY ALTO RIESGO DE ENFERMEDADES METAXENICAS Y ZOONOSIS</t>
  </si>
  <si>
    <t>Porcentaje de viviendas protegidas de los condicionantes de riesgo en areas de alto riesgo de enfermedades metaxenicas y zoonoticas</t>
  </si>
  <si>
    <t>INTERVENCIONES EN VIVIENDAS PROTEGIDAS DE LOS PRINCIPALES CONDICIONANTES DEL RIESGO EN LAS AREAS DE ALTO Y MUY ALTO RIESGO DE ENFERMEDADES METAXENICAS Y ZOONOSIS</t>
  </si>
  <si>
    <t>2311014    FERTILIZANTES, INSECTICIDAS, FUNGICIDAS Y SIMILARES</t>
  </si>
  <si>
    <t>VACUNACION DE ANIMALES DOMESTICOS</t>
  </si>
  <si>
    <t>Animal vacunado</t>
  </si>
  <si>
    <t>VACUNAR A ANIMALES DOMESTICOS</t>
  </si>
  <si>
    <t>334   ANIMAL VACUNADO</t>
  </si>
  <si>
    <t>2311011    SUMINISTROS DE USO ZOOTECNICO</t>
  </si>
  <si>
    <t>231811    VACUNAS</t>
  </si>
  <si>
    <t>DIAGNOSTICO Y TRATAMIENTO DE ENFERMEDADES METAXENICAS</t>
  </si>
  <si>
    <t>Número de casos de enfermedades metaxenicas diagnosticadas y tratadas (malaria, dengue, leishmania, chagas)</t>
  </si>
  <si>
    <t>EVALUACION, DIAGNOSTICO Y TRATAMIENTO DE ENFERMEDADES METAXENICAS</t>
  </si>
  <si>
    <t>Porcentaje de personas diagnosticadas y tratadas según  guías clinicas</t>
  </si>
  <si>
    <t>DIAGNOSTICO Y TRATAMIENTO DE CASOS DE ENFERMEDADES ZOONOTICAS</t>
  </si>
  <si>
    <t>Número de casos de enfermedades zoonoticas diagnosticadas y tratadas (rabia, fasciola, peste, ofidios, leptospirosis)</t>
  </si>
  <si>
    <t>EVALUACION, DIAGNOSTICO Y TRATAMIENTO DE CASOS DE ENFERMEDADES ZOONOTICAS</t>
  </si>
  <si>
    <t>COMUNIDAD CON FACTORES DE RIESGO CONTROLADOS</t>
  </si>
  <si>
    <t>Porcentaje de agentes comunitarios y juntas vecinales capacitadas</t>
  </si>
  <si>
    <t>Agente comunitario y junta vecinal capacitada</t>
  </si>
  <si>
    <t>ACCIONES DE CONTROL EN COMUNIDADES CON FACTORES DE RIESGO DE ENFERMEDADES METAXENICAS Y ZOONOTICAS</t>
  </si>
  <si>
    <t>0018  ENFERMEDADES NO TRANSMISIBLES</t>
  </si>
  <si>
    <t>MONITOREO, SUPERVISION, EVALUACION Y CONTROL DE ENFERMEDADES NO TRANSMISIBLES</t>
  </si>
  <si>
    <t>EQUIPOS TECNICOS PP - ENFERMEDADES NO TRANSMISIBLES - DIRESA</t>
  </si>
  <si>
    <t>DESARROLLO DE NORMAS Y GUIAS TECNICAS EN ENFERMEDADES NO TRANSMISIBLES</t>
  </si>
  <si>
    <t>º</t>
  </si>
  <si>
    <t xml:space="preserve">   TAMIZAJE Y DIAGNOSTICO DE PACIENTE CON RETINOPATIA OFTAMOLOGICA DEL PREMATURO</t>
  </si>
  <si>
    <t xml:space="preserve">Porcentaje  de recién nacidos prematuros con tamizaje de retinopatía de la prematuridad
</t>
  </si>
  <si>
    <t xml:space="preserve">Recien nacido tamizado </t>
  </si>
  <si>
    <t>EXAMENES DE TAMIZAJE Y DIAGNOSTICO EN PACIENTES CON RETINOPATIA OFTAMOLOGICA DEL PREMATURO</t>
  </si>
  <si>
    <t>Porcentaje de pacientes con tamizaje y diagnostico de retinopatia oftalmologica del prematuro</t>
  </si>
  <si>
    <t>438   PERSONA TAMIZADA</t>
  </si>
  <si>
    <t xml:space="preserve">  CONTROL Y TRATAMIENTO DE PACIENTE CON RETINOPATIA OFTAMOLOGICA DEL PREMATURO</t>
  </si>
  <si>
    <t xml:space="preserve">Porcentaje  de recién nacidos prematuros con retinopatía de la prematuridad  con tratamiento y control al 1er día y 7mo día post operatorio  
</t>
  </si>
  <si>
    <t>BRINDAR TRATAMIENTO A NIÑOS PREMATUROS CON DIAGNOSTICO DE RETINOPATIA OFTAMOLOGICA</t>
  </si>
  <si>
    <t xml:space="preserve">   TAMIZAJE Y DIAGNOSTICO DE PACIENTES CON CATARATAS</t>
  </si>
  <si>
    <t>EVALUACION DE TAMIZAJE Y DIAGNOSTICO DE PACIENTES CON CATARATAS</t>
  </si>
  <si>
    <t>procentaje de personas con tamizaje y diagnostico con cataratas</t>
  </si>
  <si>
    <t xml:space="preserve">  TRATAMIENTO Y CONTROL DE PACIENTES CON CATARATAS</t>
  </si>
  <si>
    <t xml:space="preserve">Porcentaje de población de 50 años de edad a más con  tratamiento de ceguera por catarata
</t>
  </si>
  <si>
    <t xml:space="preserve"> BRINDAR TRATAMIENTO A PACIENTES CON DIAGNOSTICO DE CATARATAS</t>
  </si>
  <si>
    <t>Porcentaje con pacientes con tratamiento y control con cataratas</t>
  </si>
  <si>
    <t>3000013   TAMIZAJE Y DIAGNOSTICO DE PACIENTES CON ERRORES REFRACTIVOS</t>
  </si>
  <si>
    <t xml:space="preserve"> TAMIZAJE Y DIAGNOSTICO DE PACIENTES CON ERRORES REFRACTIVOS</t>
  </si>
  <si>
    <t xml:space="preserve">Porcentaje de niños de 3 a 11 años con valoración de agudeza visual realizada por personal de salud 
</t>
  </si>
  <si>
    <t>EXAMENES DE TAMIZAJE Y DIAGNOSTICO DE PERSONAS CON ERRORES REFRACTIVOS</t>
  </si>
  <si>
    <t>porcentaje de personas con tamizaje y diagnostico con errores refractarios</t>
  </si>
  <si>
    <t>TRATAMIENTO Y CONTROL DE PACIENTES CON ERRORES REFRACTIVOS</t>
  </si>
  <si>
    <t xml:space="preserve"> BRINDAR TRATAMIENTO A PACIENTES CON DIAGNOSTICO DE ERRORES REFRACTIVOS</t>
  </si>
  <si>
    <t>Porcentaje de personas con tratamiento y control de errores refractivos</t>
  </si>
  <si>
    <t>VALORACION CLINICA Y TAMIZAJE LABORATORIAL DE ENFERMEDADES CRONICAS NO TRANSMISIBLES</t>
  </si>
  <si>
    <t>N° de personas de 5 años a más con valoración clínica de factores de riesgo</t>
  </si>
  <si>
    <t xml:space="preserve"> EVALUACION CLINICA Y TAMIZAJE LABORATORIAL DE PERSONAS CON RIESGO DE PADECER ENFERMEDADES CRONICAS NO TRANSMISIBLES</t>
  </si>
  <si>
    <t>Porcentaje de personas con valoracion clinica y tamizaje laboratorial</t>
  </si>
  <si>
    <t>TRATAMIENTO Y CONTROL DE PERSONAS CON HIPERTENSION ARTERIAL</t>
  </si>
  <si>
    <t>Número de personas con hipertensión que reciben tratamiento</t>
  </si>
  <si>
    <t>BRINDAR TRATAMIENTO A PERSONAS CON DIAGNOSTICO DE HIPERTENSION ARTERIAL</t>
  </si>
  <si>
    <t>Porcentaje de personas con tratamiento y control con Hipertension arterial</t>
  </si>
  <si>
    <t>TRATAMIENTO Y CONTROL DE PERSONAS CON DIABETES</t>
  </si>
  <si>
    <t>Número de personas con diabetes que reciben tratamiento</t>
  </si>
  <si>
    <t>BRINDAR TRATAMIENTO A PERSONAS CON DIAGNOSTICO DE DIABETES MELLITUS</t>
  </si>
  <si>
    <t>ATENCION ESTOMATOLOGICA PREVENTIVA</t>
  </si>
  <si>
    <t>Porcentaje de niños, gestantes y adultos mayores que recibieron atención estomatologica preventiva básica</t>
  </si>
  <si>
    <t>ATENCION ESTOMATOLOGICA PREVENTIVA BASICA EN NIÑOS, GESTANTES Y ADULTOS MAYORES</t>
  </si>
  <si>
    <t>ATENCION ESTOMATOLOGICA RECUPERATIVA</t>
  </si>
  <si>
    <t>Porcentaje de niños, gestantes y adultos mayores que recibieron atención estomatologica recuperativa</t>
  </si>
  <si>
    <t>ATENCION ESTOMATOLOGICA RECUPERATIVA BASICA EN NIÑOS, GESTANTES Y ADULTOS MAYORES</t>
  </si>
  <si>
    <t>3000681   ATENCION ESTOMATOLOGICA RECUPERATIVA</t>
  </si>
  <si>
    <t>ATENCION ESTOMATOLOGICA ESPECILIZADA</t>
  </si>
  <si>
    <t>Porcentaje de niños, gestante y adulto mayor con atención estomatologica especializada</t>
  </si>
  <si>
    <t>ATENCION ESTOMATOLOGICA ESPECIALIZADA BASICA</t>
  </si>
  <si>
    <t xml:space="preserve"> POBLACION INFORMADA Y SENSIBILIZADA EN EL CUIDADO DE LA SALUD DE LAS ENFERMEDADES NO TRANSMISIBLES (MENTAL, BUCAL, OCULAR, METALES PESADOS, HIPERTENSION ARTERIAL Y DIABETES MELLITUS)</t>
  </si>
  <si>
    <t>Porcentaje de personas informadas y sensibilizadas en
el cuidado de la salud de las enfermedades no trasmisibles
(salud bucal, salud ocular, metales pesados, hipertensión
arterial y diabetes mellitus)</t>
  </si>
  <si>
    <t>INFORMACION Y SENSIBILIZACION DE LA POBLACION EN PARA EL CUIDADO DE LA SALUD DE LAS ENFERMEDADES NO TRANSMISIBLES (MENTAL, BUCAL, OCULAR, METALES PESADOS, HIPERTENSION ARTERIAL Y DIABETES MELLITUS)</t>
  </si>
  <si>
    <t xml:space="preserve"> FAMILIA EN ZONAS DE RIESGO INFORMADA QUE REALIZAN PRACTICAS HIGIENICAS SANITARIAS PARA PREVENIR LAS ENFERMEDADES NO TRANSMISIBLES ( MENTAL, BUCAL, OCULAR, METALES PESADOS, HIPERTENSION ARTERIAL Y DIABETES MELLITUS )</t>
  </si>
  <si>
    <t>Número de Familias que reciben sesiones educativas y demostrativas para promover prácticas y entornos saludables para disminuir las enfermedades no transmisible</t>
  </si>
  <si>
    <t xml:space="preserve"> PROMOCION DE PRACTICAS HIGIENICAS SANITARIAS EN FAMILIAS EN ZONAS DE RIESGO PARA PREVENIR LAS ENFERMEDADES NO TRANSMISIBLES (MENTAL, BUCAL, OCULAR, METALES PESADOS, HIPERTENSIO Y DIABETES)</t>
  </si>
  <si>
    <t>INSTITUCIONES EDUCATIVAS QUE PROMUEVEN PRACTICAS HIGIENICAS SANITARIAS PARA PREVENIR LAS ENFERMEDADES NO TRANSMISIBLES (MENTAL, BUCAL, OCULAR, METALES PESADOS, HIPERTENSION ARTERIAL Y DIABETES MELLITUS)</t>
  </si>
  <si>
    <t>Proporción de Instituciones Educativas con CONEI, docentes y APAFAs que participan en reuniones técnicas y de capacitación para promover prácticas y entornos saludables para disminuir las enfermedades no transmisibles</t>
  </si>
  <si>
    <t>PROMOCION DE PRACTICAS SALUDABLES EN INSTITUCIONES EDUCATIVAS PARA LA PREVENCION DE LAS ENFERMEDADES NO TRANSMISIBLES (SALUD MENTAL, BUCAL, OCULAR, METALES PESADOS, HTA Y DIABETES MELLITUS)</t>
  </si>
  <si>
    <t>MUNICIPIO QUE DESARROLLAN ACCIONES DIRIGIDAS A PREVENIR LAS ENFERMEDADES NO TRANSMISIBLES ( MENTAL, BUCAL, OCULAR, METALES PESADOS, HIPERTENSION ARTERIAL Y DIABETES MELLITUS)</t>
  </si>
  <si>
    <t xml:space="preserve">Proporción de Municipios que participan en reuniones de abogacía, técnicas y de capacitación para promover prácticas y entornos saludables para disminuir las enfermedades no transmisibles </t>
  </si>
  <si>
    <t xml:space="preserve"> ACCIONES DIRIGIDAS A FUNCIONARIOS DE MUNICIPIOS PARA PREVENIR LAS ENFERMEDADES NO TRANSMISIBLES ( MENTAL, BUCAL, OCULAR, METALES PESADOS, HIPERTENSION ARTERIAL)</t>
  </si>
  <si>
    <t xml:space="preserve"> TAMIZAJE Y TRATAMIENTO DE PACIENTES AFECTADOS POR METALES PESADOS</t>
  </si>
  <si>
    <t>Proporción de gestantes y niños menores de 12 años
expuestos a metales pesados  que reciben tamizaje y valoración de exposición</t>
  </si>
  <si>
    <t>EXAMENES DE TAMIZAJE Y TRATAMIENTO DE PERSONAS AFECTADAS POR INTOXICACION DE METALES PESADOS</t>
  </si>
  <si>
    <t>0024</t>
  </si>
  <si>
    <t>PREVENCION Y CONTROL DEL CANCER</t>
  </si>
  <si>
    <t>Tasa de mortalidad  por Cancer según tipo al año</t>
  </si>
  <si>
    <t xml:space="preserve">Persona </t>
  </si>
  <si>
    <t>MONITOREO, SUPERVISION, EVALUACION Y CONTROL DE PREVENCION Y CONTROL DEL CANCER</t>
  </si>
  <si>
    <t xml:space="preserve">Porcentaje de asistencias técnicas realizadas durante año 2016  </t>
  </si>
  <si>
    <t xml:space="preserve"> DESARROLLO DE NORMAS Y GUIAS TECNICAS EN PREVENCION Y CONTROL DEL CANCER</t>
  </si>
  <si>
    <t>Porcentaje de normas técnicas y guías socializadas</t>
  </si>
  <si>
    <t>COMUNIDADES SALUDABLES PROMUEVEN ESTILOS DE VIDA SALUDABLE PARA LA PREVENCION DE LOS PRINCIPALES TIPOS DE CANCER</t>
  </si>
  <si>
    <t>PROMOCION DE ESTILOS DE VIDA SALUDABLE PARA LA PREVENCION DE LOS PRINCIPALES TIPOS DE CANCER</t>
  </si>
  <si>
    <t>MUJER TAMIZADA EN CANCER DE CUELLO UTERINO</t>
  </si>
  <si>
    <t>Porcentaje de mujeres tamizadas en cancer de cuello uterino</t>
  </si>
  <si>
    <t xml:space="preserve"> TAMIZAJE EN MUJERES PARA DETECCION DE CANCER DE CUELLO UTERINO</t>
  </si>
  <si>
    <t>2319912    PRODUCTOS QUIMICOS</t>
  </si>
  <si>
    <t>2327199    OTROS SERVICIOS SIMILARES</t>
  </si>
  <si>
    <t>INSTITUCIONES EDUCATIVAS SALUDABLES QUE PROMUEVEN LA PREVENCION DEL CANCER DE CUELLO UTERINO, MAMA, ESTOMAGO, PROSTATA, PULMON, COLON, RECTO, HIGADO, LEUCEMIA, LINFOMA, PIEL Y OTROS</t>
  </si>
  <si>
    <t xml:space="preserve">Porcentaje de Instituciones educativas con CONEI, docentes y APAFAS capacityados para promover prácticas y entornos saludables para fomentar el cuidado y autocuidado frente al cancer </t>
  </si>
  <si>
    <t>Institución educativa</t>
  </si>
  <si>
    <t>CAPACITACION A LAS INSTITUCIONES EDUCATIVAS PARA LA PROMOCION DE PRACTICAS Y ENTORNOS SALUDABLES PARA LA PREVENCION DEL CANCER</t>
  </si>
  <si>
    <t>FAMILIAS SALUDABLES CON CONOCIMIENTO DE LA PREVENCION DEL CANCER DE CUELLO UTERINO, MAMA, ESTOMAGO, PROSTATA, PULMON COLON, RECTO, HIGADO, LEUCEMIA, LINFOMA, PIEL Y OTROS</t>
  </si>
  <si>
    <t>Porcentaje de familias que reciben consejeria a traves de visita domiciliaria para promover practivcas y egeerar entornos saludables para contribuir a la disminución del cáncer</t>
  </si>
  <si>
    <t>CONSEJERIA A LAS FAMILIAS PARA LA ADOPCION Y PRACTICA DE ESTILOS DE VISDA SALUDABLES PARA LA PREVENCION DEL CANCER</t>
  </si>
  <si>
    <t>Porcentaje de familias que reciben consejeria para mejorar estilos de vida</t>
  </si>
  <si>
    <t>MUNICIPIOS SALUDABLES QUE PROMUEVEN LA PREVENCION DEL CANCER DE CUELLO UTERINO, MAMA, ESTOMAGO, PROSTATA, PULMON Y COLON, RECTO, HIGADO, LEUCEMIA, LINFOMA, PIEL Y OTROS</t>
  </si>
  <si>
    <t xml:space="preserve">Porcentaje de municipios con comité multisectorial y consejo municipal capacitados para implementar politicas publicas, programa y proyectos de inversión que promuevan practicas y entornos saludables para contribuir a la prevención del  </t>
  </si>
  <si>
    <t>CAPACITACION A LOS MUNICIPIOS PARA LA PROMOCION DE PRACTICAS EN SALUD EN LA PREVENCION DEL CANCER</t>
  </si>
  <si>
    <t>Porcentajede municipios capacitados para promover estilo de vida saludables</t>
  </si>
  <si>
    <t>PERSONAS CON CONSEJERIA EN LA PREVENCION DEL CANCER DE: COLON Y RECTO, HIGADO, LEUCEMIA, LINFOMA, PIEL Y OTROS</t>
  </si>
  <si>
    <t>Porcentaje de Personas recibe consejeria en prevención de cancer de colon y recto, higado, leucemia, linfoma, piel y otros prevencion de cancer</t>
  </si>
  <si>
    <t>CONSEJERIA EN LA PREVENCION DEL CANCER DE COLONY RECTO, HIGADO, LEUCEMIA, LINFOMA, PIEL Y OTROS</t>
  </si>
  <si>
    <t>086   PERSONA</t>
  </si>
  <si>
    <t>PERSONAS CON EVALUACION MEDICA PREVENTIVA EN CANCER DE: COLON Y RECTO, HIGADO, LEUCEMIA, LINFOMA, PIEL</t>
  </si>
  <si>
    <t>Porcentaje de personas evaluadas preventivamente en cáncer de colon y recto, hígado, leucemia, linfoma, piel y otros</t>
  </si>
  <si>
    <t>EVALUACION MEDICA PREVENTIVA EN CANCER DE COLON Y RECTO, HIGADO, LEUCEMIA, LINFOMA, PIEL</t>
  </si>
  <si>
    <t>ATENCION DEL CANCER DE CUELLO UTERINO PARA EL ESTADIAJE Y TRATAMIENTO</t>
  </si>
  <si>
    <t>Porcentaje de Mujeres atendidas en cancer de cuello uterino para el estadiaje y tratamiento</t>
  </si>
  <si>
    <t>DETERMINACION DEL ESTADIO CLINICO Y TRATAMIENTO DEL CANCER DE CUELLO UTERINO</t>
  </si>
  <si>
    <t>ATENCION DEL CANCER DE MAMA PARA EL ESTADIAJE Y TRATAMIENTO</t>
  </si>
  <si>
    <t>Porcentaje de personas atendidas para el estadiaje y tratamiento en cancer de mama</t>
  </si>
  <si>
    <t>DETERMINACION DEL ESTADIO CLINICO Y TRATAMIENTO DEL CANCER DE MAMA</t>
  </si>
  <si>
    <t>ATENCION DEL CANCER DE ESTOMAGO PARA EL ESTADIAJE Y TRATAMIENTO</t>
  </si>
  <si>
    <t>Porcentaje de personas  catendidas en cancer  de estomago para el estadiaje y tratamiento</t>
  </si>
  <si>
    <t>DETERMINACION DEL ESTADIO CLINICO Y TRATAMIENTO DEL CANCER DE ESTOMAGO</t>
  </si>
  <si>
    <t>ATENCION DEL CANCER DE PROSTATA PARA EL DIAGNOSTICO, ESTADIAJE Y TRATAMIENTO</t>
  </si>
  <si>
    <t>Porcentaje de personas atendidas en cáncer de prostata para el estadiaje y tratamiento.</t>
  </si>
  <si>
    <t>DETERMINACION DEL DIAGNOSTICO, ESTADIO CLINICO Y TRATAMIENTO DEL CANCER DE PROSTATA</t>
  </si>
  <si>
    <t>ATENCION DEL CANCER DE PULMON QUE INCLUYE: DIAGNOSTICO, ESTADIAJE Y TRATAMIENTO</t>
  </si>
  <si>
    <t>Porcentaje de personas atendidas en cáncer de pulmon para el estadiaje y tratamiento.</t>
  </si>
  <si>
    <t>EVALUACION MEDICA PREVENTIVA, DETERMINACION DE DIAGNOSTICO, ESTADIAJE Y TRATAMIENTO DEL CANCER DE PULMON</t>
  </si>
  <si>
    <t xml:space="preserve"> ATENCION DEL CANCER DE COLON Y RECTO QUE INCLUYE: DIAGNOSTICO, ESTADIAJE Y TRATAMIENTO</t>
  </si>
  <si>
    <t>Porcentaje de personas atendidas en cáncer de colon y recto para el estadiaje y tratamiento.</t>
  </si>
  <si>
    <t>DIAGNOSTICO, ESTADIAJE Y TRATAMIENTO DEL CANCER DE COLON Y RECTO</t>
  </si>
  <si>
    <t>ATENCION DEL CANCER DE HIGADO QUE INCLUYE: DIAGNOSTICO, ESTADIAJE Y TRATAMIENTO</t>
  </si>
  <si>
    <t>Porcentaje de personas atendidas en cáncer de higado para el estadiaje y tratamiento.</t>
  </si>
  <si>
    <t>DETERMINACION DEL DIAGNOSTICO, ESTADIO CLINICO Y TRATAMIENTO DEL CANCER DE HIGADO</t>
  </si>
  <si>
    <t>ATENCION DE LA LEUCEMIA QUE INCLUYE: DIAGNOSTICO Y TRATAMIENTO</t>
  </si>
  <si>
    <t>Porcentaje de personas atendidas con diagnóstico definitivo y tratamiento de leucemia.</t>
  </si>
  <si>
    <t xml:space="preserve"> DIAGNOSTICO Y TRATAMIENTO MEDICO DE LEUCEMIA</t>
  </si>
  <si>
    <t>ATENCION DE LA LINFOMA QUE INCLUYE: DIAGNOSTICO Y TRATAMIENTO</t>
  </si>
  <si>
    <t>Porcentaje de personas atendidas con diagnostico definitivo y tratamiento de linfoma</t>
  </si>
  <si>
    <t>DIAGNOSTICO Y TRATAMIENTO MEDICO DE LINFOMA</t>
  </si>
  <si>
    <t>ATENCION DEL CANCER DE PIEL NO MELANOMAS QUE INCLUYE: DIAGNOSTICO, ESTADIAJE Y TRATAMIENTO</t>
  </si>
  <si>
    <t>Porcentaje de personas atendidas en cancer de piel no melanoma para el estadiaje y tratamiento</t>
  </si>
  <si>
    <t>Personal</t>
  </si>
  <si>
    <t>DIAGNOSTICO, ESTADIAJE CLINICO Y TRATAMIENTO DEL CANCER DE PIEL NO MELANOMA</t>
  </si>
  <si>
    <t>MUJERES CON CITOLOGIA ANORMAL CON COLPOSCOPIA</t>
  </si>
  <si>
    <t xml:space="preserve">Porcetaje de mujeres con citología anormal con  examen de colposcopia </t>
  </si>
  <si>
    <t>EXAMEN DE COLPOSCOPIA EN MUJERES CON CITOLOGIA ANORMAL</t>
  </si>
  <si>
    <t>MUJERES CON CITOLOGIA ANORMAL CON EXAMEN DE CRIOTERAPIA O CONO LEEP</t>
  </si>
  <si>
    <t>Porcentaje de mujeres con citología anormal para tratamiento de crioterapia o cono LEEP</t>
  </si>
  <si>
    <t>CRIOTERAPIA O CONO LEEP EN MUJERES CON CITOLOGIA ANORMAL</t>
  </si>
  <si>
    <t>POBLACION INFORMADA Y SENSIBILIZADA EN EL CUIDADO DE LA SALUD DEL CANCER DE CERVIX, CANCER DE MAMA, CANCER GASTRICO, CANCER DE PROSTATA Y CANCER DE PULMON</t>
  </si>
  <si>
    <t>Porcentaje de persona que han sido informadas y sensibilizadas en el cuidado cancer de cervix, mama, gastrico, prostata y cancer de pulmon</t>
  </si>
  <si>
    <t>INFORMACION Y SENSIBILIZACION DE LA POBLACION EN EL CUIDADO DE LA SALUD DEL CANCER DE CERVIX, MAMA, GASTRICO, PROSTATA Y DE PULMON</t>
  </si>
  <si>
    <t>MUJERES MAYORES DE 18 AÑOS CON CONSEJERIA EN CANCER DE CERVIX</t>
  </si>
  <si>
    <t>Porcentaje  de Mujeres mayores de 18 que han recibido consejeria en la prevencion de cancer  de cervix</t>
  </si>
  <si>
    <t>CONSEJERIA A MUJERES MAYORES DE 18 AÑOS PARA LA PREVENCION DE CANCER DE CERVIX</t>
  </si>
  <si>
    <t>MUJERES MAYORES DE 18 AÑOS CON CONSEJERIA EN CANCER DE MAMA</t>
  </si>
  <si>
    <t>Porcentaje de Mujeres mayores de 18 años con consejeria en cancer de mama</t>
  </si>
  <si>
    <t>CONSEJERIA EN MUJERES MAYORES DE 18 AÑOS PARA LA PREVENCION DE CANCER DE MAMA</t>
  </si>
  <si>
    <t>23199199    OTROS BIENES</t>
  </si>
  <si>
    <t>MUJERES DE 40 A 65 AÑOS CON MAMOGRAFIA BILATERAL</t>
  </si>
  <si>
    <t xml:space="preserve">Porcentaje de Mujeres de 40 a 65 años con mamografia bilateral </t>
  </si>
  <si>
    <t>MAMOGRAFIA BILATERAL EN MUJERES DE 40 A 65 AÑOS</t>
  </si>
  <si>
    <t>PERSONAS CON CONSEJERIA EN LA PREVENCION DEL CANCER GASTRICO</t>
  </si>
  <si>
    <t>Proporción de Personas que han recibido consejería en cáncer gastrico</t>
  </si>
  <si>
    <t xml:space="preserve"> CONSEJERIA PARA LA PREVENCION DEL CANCER GASTRICO</t>
  </si>
  <si>
    <t>VARONES MAYORES DE 18 AÑOS CON CONSEJERIA EN LA PREVENCION DEL CANCER DE PROSTATA</t>
  </si>
  <si>
    <t xml:space="preserve">Porcentaje de Varones con consejeria en  cancer de prostata.        </t>
  </si>
  <si>
    <t>CONSEJERIA A VARONES MAYORES DE 18 AÑOS PARA LA PREVENCION DE CANCER DE PROSTATA</t>
  </si>
  <si>
    <t>VARONES DE 50 A 70 AÑOS CON EXAMEN DE TACTO PROSTATICO POR VIA RECTAL</t>
  </si>
  <si>
    <t xml:space="preserve">Porcentaje de Varones de 50 a 70 años con examen de tacto prostatico por via  rectal </t>
  </si>
  <si>
    <t>EXAMEN DE TACTO PROSTATICO POR VIA RECTAL EN VARONES DE 50 A 70 AÑOS</t>
  </si>
  <si>
    <t>VARONES DE 50 A 70 AÑOS CON DOSAJE DE PSA</t>
  </si>
  <si>
    <t xml:space="preserve">Porcentaje de Varones de 50 a 70 años con dosaje de PSA total </t>
  </si>
  <si>
    <t>DOSAJE DE PSA EN VARONES DE 50 A 70 AÑOS PARA DIAGNOSTICO DE CANCER DE PROSTATA</t>
  </si>
  <si>
    <t>POBLACION EN EDAD ESCOLAR CON CONSEJERIA EN PREVENCION DEL CANCER DE PULMON</t>
  </si>
  <si>
    <t xml:space="preserve">Porcentaje de Poblacion escolar que ha recibido consejeria en prevencion del cancer  de pulmón </t>
  </si>
  <si>
    <t>CONSEJERIA EN PREVENCION DEL CANCER DE PULMON EN POBLACION ESCOLAR</t>
  </si>
  <si>
    <t xml:space="preserve">  POBLACION LABORAL CON CONSEJERIA EN PREVENCION DEL CANCER DE PULMON</t>
  </si>
  <si>
    <t>Porcentaje de Poblacion en edad laboral con consejeria en prevencion de  cancer de pulmón</t>
  </si>
  <si>
    <t>CONSEJERIA EN PREVENCION DEL CANCER DE PULMON EN POBLACION EN EDAD LABORAL</t>
  </si>
  <si>
    <t>PERSONAS DE 45 A 65 AÑOS CON ENDOSCOPIA DIGESTIVA ALTA</t>
  </si>
  <si>
    <t>Porcentaje de personas de 45 a 65 años con endoscopia digestiva alta</t>
  </si>
  <si>
    <t xml:space="preserve"> ENDOSCOPIA DIGESTIVA ALTA EN PERSONAS DE 45 A 65 AÑOS</t>
  </si>
  <si>
    <t>0068</t>
  </si>
  <si>
    <t>REDUCCION DE VULNERABILIDAD Y ATENCION DE EMERGENCIAS POR DESASTRES</t>
  </si>
  <si>
    <t>Porcentaje de población y sus medios de vida menos vulnerables frente a riesgos de desastres</t>
  </si>
  <si>
    <t xml:space="preserve">Población </t>
  </si>
  <si>
    <t xml:space="preserve"> MONITOREO,SUPERVISION Y EVALUACION DE PRODUCTOS Y ACTIVIDADES EN GESTION DE RIESGO DE DESASTRES</t>
  </si>
  <si>
    <t xml:space="preserve">20 Salud </t>
  </si>
  <si>
    <t>016   GESTION DE RIESGOS Y EMERGENCIAS</t>
  </si>
  <si>
    <t>0035   PREVENCION DE DESASTRES</t>
  </si>
  <si>
    <t xml:space="preserve">Porcentaje UE/Redes de salud monitoreadas y supervisadas </t>
  </si>
  <si>
    <t>201   INFORME TECNICO</t>
  </si>
  <si>
    <t>DESARROLLO DE INSTRUMENTOS ESTRATEGICOS PARA LA GESTION DEL RIESGO DE DESASTRES</t>
  </si>
  <si>
    <t>Porcentaje de planes de gestión de riesgo elaborados e implementados</t>
  </si>
  <si>
    <t>ASISTENCIA TECNICA Y ACOMPAÑAMIENTO EN GESTION DEL RIESGO DE DESASTRES</t>
  </si>
  <si>
    <t>Porcentaje de personal de salud con capacitación en los procesos de la gestión de riesgo de desastres</t>
  </si>
  <si>
    <t>CAPACIDAD INSTALADA PARA LA PREPARACION Y RESPUESTA FRENTE A EMERGENCIAS Y DESASTRES</t>
  </si>
  <si>
    <t>Porcentaje de capacidad instalada para la preparación y respuesta frente a emergencias y desastres</t>
  </si>
  <si>
    <t>Establecimiento de Salud</t>
  </si>
  <si>
    <t>DESARROLLO DE SIMULACROS EN GESTION REACTIVA</t>
  </si>
  <si>
    <t>0036   ATENCION INMEDIATA DE DESASTRES</t>
  </si>
  <si>
    <t xml:space="preserve">Numero de reportes elaborados de manera adecuada y oportuna acerca de los simulacros de gestión reactiva desarrollados </t>
  </si>
  <si>
    <t>248   REPORTE</t>
  </si>
  <si>
    <t>IMPLEMENTACION DE BRIGADAS PARA LA ATENCION FRENTE A EMERGENCIAS Y DESASTRES</t>
  </si>
  <si>
    <t>Numero de brigadas implementadas de manera oportuna y adecuada</t>
  </si>
  <si>
    <t>583   BRIGADA</t>
  </si>
  <si>
    <t>231213    CALZADO</t>
  </si>
  <si>
    <t>ADMINISTRACION Y ALMACENAMIENTO DE INFRAESTRUCTURA MOVIL PARA LA ASISTENCIA FRENTE A EMERGENCIAS Y DESASTRES</t>
  </si>
  <si>
    <t>Numero de Infraestructura móvil para la asistencia frente a emergencias y desastres en buen estado</t>
  </si>
  <si>
    <t>614   INFRAESTRUCTURA MOVIL</t>
  </si>
  <si>
    <t>2324199    DE OTROS BIENES Y ACTIVOS</t>
  </si>
  <si>
    <t xml:space="preserve"> DESARROLLO DE LOS CENTROS Y ESPACIOS DE MONITOREO DE EMERGENCIAS Y DESASTRES</t>
  </si>
  <si>
    <t>Numero de reportes elaborados por el Centro de Monitoreo y Emergencias y desastres de manera adecuada y oportuna</t>
  </si>
  <si>
    <t>2319911    HERRAMIENTAS</t>
  </si>
  <si>
    <t>2322399    OTROS SERVICIOS DE COMUNICACION</t>
  </si>
  <si>
    <t>ESTUDIOS PARA LA ESTIMACION DEL RIESGO DE DESASTRES</t>
  </si>
  <si>
    <t>Porcentaje de Estudios de amenazas y vulnerabilidades frente a desastres</t>
  </si>
  <si>
    <t>DESARROLLO DE ESTUDIOS DE VULNERABILIDAD Y RIESGO EN SERVICIOS PUBLICOS</t>
  </si>
  <si>
    <t>610   DOCUMENTO TECNICO</t>
  </si>
  <si>
    <t>PERSONAS CON FORMACION Y CONOCIMIENTO EN GESTION DEL RIESGO DE DESASTRES Y ADAPTACION AL CAMBIO CLIMATICO</t>
  </si>
  <si>
    <t>Porcentaje de personas conformación y conocimiento en gestión de riesgo de desastres y adaptación al cambio climatico</t>
  </si>
  <si>
    <t>FORMACION Y CAPACITACION EN MATERIA DE GESTION DE RIESGO DE DESASTRES Y ADAPTACION AL CAMBIO CLIMATICO</t>
  </si>
  <si>
    <t>Personas capacitadas en materia de gestión de riesgo de desastres y adaptación al cambio climático de manera adecuada y en el tiempo establecido</t>
  </si>
  <si>
    <t>232721    CONSULTORIAS</t>
  </si>
  <si>
    <t>POBLACION CON PRACTICAS SEGURAS PARA LA RESILIENCIA</t>
  </si>
  <si>
    <t xml:space="preserve">Porcentaje de personas capacitadas frente a riesgo de desastres </t>
  </si>
  <si>
    <t>ORGANIZACION Y ENTRENAMIENTO DE COMUNIDADES EN HABILIDADES FRENTE AL RIESGO DE DESASTRES</t>
  </si>
  <si>
    <t>SERVICIOS PUBLICOS SEGUROS ANTE EMERGENCIAS Y DESASTRES</t>
  </si>
  <si>
    <t>Porcentaje de EESS seguros ante el riesgo de desastres</t>
  </si>
  <si>
    <t>EESS</t>
  </si>
  <si>
    <t>SEGURIDAD ESTRUCTURAL DE SERVICIOS PUBLICOS</t>
  </si>
  <si>
    <t>065   INTERVENCION</t>
  </si>
  <si>
    <t>SEGURIDAD FISICO FUNCIONAL DE SERVICIOS PUBLICOS</t>
  </si>
  <si>
    <t>Numero de Intervenciones para reducir la vulnerabilidad administrativo-organizativa de manera adecuada y oportuna</t>
  </si>
  <si>
    <t xml:space="preserve">0104  </t>
  </si>
  <si>
    <t>REDUCCION DE LA MORTALIDAD POR EMERGENCIAS Y URGENCIAS MEDICAS</t>
  </si>
  <si>
    <t>Tasa de mortalidad por urgencias y emergencias médicas</t>
  </si>
  <si>
    <t>Tasa de letalidad en pacientes con TEC severo o moderado a las 48 horas de ingresado a los servicios de emergencia</t>
  </si>
  <si>
    <t>MONITOREO, SUPERVISION Y EVALUACION DEL PROGRAMA PRESUPUESTAL</t>
  </si>
  <si>
    <t xml:space="preserve">  ATENCION PREHOSPITALARIA MOVIL DE LA EMERGENCIA CON SOPORTE VITAL BASICO "SVB"</t>
  </si>
  <si>
    <t xml:space="preserve">Tasa de atendidoa pre hospitalarios con soporte vital basico realizados </t>
  </si>
  <si>
    <t>Tiempo promedio en minutos desde que la llamada ingreso a la central hasta la atención prehospitalaria en foco con SVB</t>
  </si>
  <si>
    <t>Paciente atendido</t>
  </si>
  <si>
    <t xml:space="preserve"> SERVICIO DE AMBULANCIA CON SOPORTE VITAL BASICO (SBV) PARA LA ATENCION PRE HOSPITALARIA DE LA EMERGENCIA</t>
  </si>
  <si>
    <t>083   PACIENTE ATENDIDO</t>
  </si>
  <si>
    <t xml:space="preserve"> TRANSPORTE ASISTIDO (NO EMERGENCIA) DE PACIENTES ESTABLES (NO CRITICOS)</t>
  </si>
  <si>
    <t>Porcentaje de atenciones con transporte asistido de pacientes estables no criticos realizadas</t>
  </si>
  <si>
    <t>SERVICIO DE TRASLADO DE PACIENTES ESTABLES (NO EMERGENCIA)</t>
  </si>
  <si>
    <t xml:space="preserve"> TRANSPORTE ASISTIDO (NO EMERGENCIA) DE PACIENTES CRITICOS</t>
  </si>
  <si>
    <t>Porcentaje de atenciones con transporte asistido de pacientes criticos realizadas</t>
  </si>
  <si>
    <t>SERVICIO DE TRASLADO DE PACIENTES EN SITUACION CRITICA</t>
  </si>
  <si>
    <t>ATENCION MEDICA TELEFONICA DE LA EMERGENCIA Y URGENCIA EN CENTRO REGULADOR</t>
  </si>
  <si>
    <t>Número de atenciones telefonicas de urgencias y emergencias</t>
  </si>
  <si>
    <t>SERVICIO DE ATENCION DE LLAMADAS DE EMERGENCIAS MEDICAS "106"</t>
  </si>
  <si>
    <t xml:space="preserve">  ATENCION DE LA EMERGENCIA O URGENCIA EN ESTABLECIMIENTO DE SALUD</t>
  </si>
  <si>
    <t>Tasa de letalidad al alta en pacientes hospitalizados por traumatismos, enfermedades hipertensivas, enfermedades cardiacas isquemicas y enfermedades cerebrovasculares</t>
  </si>
  <si>
    <t xml:space="preserve"> ATENCION DE LA EMERGENCIA O URGENCIA CON PRIORIDAD I EN ESTABLECIMIENTOS DE SALUD</t>
  </si>
  <si>
    <t>ATENCION DE LA EMERGENCIA O URGENCIA CON PRIORIDAD II EN ESTABLECIMIENTOS DE SALUD</t>
  </si>
  <si>
    <t xml:space="preserve">0131 </t>
  </si>
  <si>
    <t xml:space="preserve"> CONTROL Y PREVENCION EN SALUD MENTAL</t>
  </si>
  <si>
    <t>Porcentaje de personas con trastonos mentales y problemas psicosociales detectadas en los servicios de salud mental</t>
  </si>
  <si>
    <t>MONITOREO, SUPERVISION, EVALUACION Y CONTROL DEL PROGRAMA EN SALUD MENTAL</t>
  </si>
  <si>
    <t>Número de asistencias tecnicas realizadas</t>
  </si>
  <si>
    <t>DESARROLLO DE NORMAS Y GUIAS TECNICAS PARA EL ABORDAJE DE TRASTORNOS MENTALES Y PROBLEMAS DE PSICOSOCIALES</t>
  </si>
  <si>
    <t>Numero de normas socializads e implementadas</t>
  </si>
  <si>
    <t xml:space="preserve"> ACOMPAÑAMIENTO CLINICO PSICOSOCIAL</t>
  </si>
  <si>
    <t>044   ESTABLECIMIENTO DE SALUD</t>
  </si>
  <si>
    <t>PERSONAS CON TRASTORNOS MENTALES Y PROBLEMAS PSICOSOCIALES DETECTADAS</t>
  </si>
  <si>
    <t>Proporción de personas atendidas (casos nuevos y reingresos) por todas las morbilidades del establecimiento de salud</t>
  </si>
  <si>
    <t>Personas</t>
  </si>
  <si>
    <t xml:space="preserve"> ADOLESCENTE DE 12 A 17 AÑOS IDENTIFICADO CON DEFICIT EN SUS HABILIDADES SOCIALES</t>
  </si>
  <si>
    <t xml:space="preserve">Adolescentes detectados con deficit de sus habilidades sociales </t>
  </si>
  <si>
    <t>NIÑA Y/O NIÑO DE 8 A 11 AÑOS IDENTIFICADO CON DEFICIT EN SUS HABILIDADES SOCIALES</t>
  </si>
  <si>
    <t xml:space="preserve">Niño de 8 a 11 años identificado con deficit de sus habilidades sociales </t>
  </si>
  <si>
    <t>TAMIZAJE DE PERSONAS CON TRASTORNOS MENTALES Y PROBLEMAS PSICOSOCIALES</t>
  </si>
  <si>
    <t>Numero de personas con trastornos mentales y problemas sicosociales tamizados tamizadas</t>
  </si>
  <si>
    <t>PERSONAS CON TRASTORNOS AFECTIVOS Y DE ANSIEDAD TRATADAS OPORTUNAMENTE</t>
  </si>
  <si>
    <t>personas</t>
  </si>
  <si>
    <t>TRATAMIENTO AMBULATORIO DEPERSONAS CON TRASTORNOS AFECTIVOS (DEPRESION Y CONDUCTA SUICIDA) Y DE ANSIEDAD</t>
  </si>
  <si>
    <t xml:space="preserve">Proporción de personas que inician tratamiento por trastonos afectivos o de ansiedad y reciben paque te atención </t>
  </si>
  <si>
    <t xml:space="preserve">  POBLACION EN RIESGO QUE ACCEDEN A PROGRAMAS DE PREVENCION EN SALUD MENTAL</t>
  </si>
  <si>
    <t>Proporción de niñas, niños, y  adolescentes con déficit de habilidades sociales que reciben paquete de sesiones de habilidades sociales.</t>
  </si>
  <si>
    <t>Proporción de la población entre 10 a 14 años en riesgo recibe Programa de prevención familiar de conductas de riesgo en adolescentes (familias fuertes).</t>
  </si>
  <si>
    <t>PREVENCION FAMILIAR DE CONDUCTAS DE RIESGO EN ADOLESCENTES FAMILIAS FUERTES: AMOR Y LIMITES</t>
  </si>
  <si>
    <t>SESIONES DE ENTRENAMIENTO EN HABILIDADES SOCIALES PARA ADOLESCENTES, JOVENES Y ADULTOS</t>
  </si>
  <si>
    <t xml:space="preserve"> SESIONES DE ENTRENAMIENTO EN HABILIDADES SOCIALES PARA NIÑAS, NIÑOS</t>
  </si>
  <si>
    <t>1.2 Fortalecer la capacidad resolutiva bajo el enfoque del modelo de atención integral en salud basado en el enfoque de familia y comunidad.</t>
  </si>
  <si>
    <t>Equipos técnicos PAN- DIRESA Cajamarca</t>
  </si>
  <si>
    <t>Kilometro</t>
  </si>
  <si>
    <t>1.1.1 Impulsar el desarrollo de la conectividad territorial e infraestructura productiva, que promueva la inclusión social y económica.</t>
  </si>
  <si>
    <t xml:space="preserve"> Reducción del costo, tiempo e inseguridad en el sistema de transporte.</t>
  </si>
  <si>
    <t>N° de Kilómetros con Mejoramiento de Vias Vecinales.</t>
  </si>
  <si>
    <t>Kilometros</t>
  </si>
  <si>
    <t>Gestión del Programa</t>
  </si>
  <si>
    <t>0047173: Gestión del Programa</t>
  </si>
  <si>
    <t xml:space="preserve">15: Transporte </t>
  </si>
  <si>
    <t>033: Transporte Terrestre</t>
  </si>
  <si>
    <t>064: Vías Nacionales</t>
  </si>
  <si>
    <t>Dirección de Circulación Terrestre</t>
  </si>
  <si>
    <t>FINANCIERA (RDR)</t>
  </si>
  <si>
    <t>23.1 99.1 99</t>
  </si>
  <si>
    <t>23.27.11 99</t>
  </si>
  <si>
    <t>Camino Departamental con mantenimiento vial</t>
  </si>
  <si>
    <t xml:space="preserve"> - Proporción de kilómetros de caminos departamentales con mantenimiento vial</t>
  </si>
  <si>
    <t>Km.</t>
  </si>
  <si>
    <t>Atención de emergencias</t>
  </si>
  <si>
    <t>0070080: Prevención y Atención de emergencias</t>
  </si>
  <si>
    <t>065: Vías Departamentales</t>
  </si>
  <si>
    <t>N° de Intervenciones de caminos departamentales con mantenimiento vial.</t>
  </si>
  <si>
    <t>Intervención</t>
  </si>
  <si>
    <t>Dirección de Caminos</t>
  </si>
  <si>
    <t>Viáticos y Asignaciones por C.S.</t>
  </si>
  <si>
    <t xml:space="preserve">23.27.11 99  </t>
  </si>
  <si>
    <t>Mantenimiento rutinario de la red Vial Departamental Pavimentada</t>
  </si>
  <si>
    <t>0101879: Mantenimiento rutinario carretera ruta CA-103: La Conga - Jancos - San Miguel.</t>
  </si>
  <si>
    <t>N° de Kilómetros con mantenimiento rutinario de caminos departamentales con mantenimiento vial.</t>
  </si>
  <si>
    <t>23.24.12</t>
  </si>
  <si>
    <t>De carreteras, Caminos y Puentes</t>
  </si>
  <si>
    <t>Mantenimiento rutinario de la red Vial Departamental No Pavimentada</t>
  </si>
  <si>
    <t>0000720: Elaboración de expedientes</t>
  </si>
  <si>
    <t>FINANCIERA (R.D)</t>
  </si>
  <si>
    <t>0001050: Mantenimiento y Reparación de equipo mecánico</t>
  </si>
  <si>
    <t xml:space="preserve">23.27.11 99 </t>
  </si>
  <si>
    <t xml:space="preserve">0053182: Acciones de Supervisión </t>
  </si>
  <si>
    <t>De Vehículos</t>
  </si>
  <si>
    <t>0064810: Mantenimiento Rutinario Manual carretera: El Empalme - Llapa</t>
  </si>
  <si>
    <t>0083798: Mantenimiento Rutinario Manual carretera: Cajabamba - Dv. Jocos</t>
  </si>
  <si>
    <t>0083800: Mantenimiento Rutinario Manual carretera: Cruz Grande - Guzmango</t>
  </si>
  <si>
    <t>23.24.13</t>
  </si>
  <si>
    <t>0083801: Mantenimiento Rutinario Manual carretera: Dv. Jocos - Pumacama - Lluchubamba</t>
  </si>
  <si>
    <t>23.24.14</t>
  </si>
  <si>
    <t>0083805: Mantenimiento Rutinario Manual carretera: Guzmango - San Benito</t>
  </si>
  <si>
    <t>0083808: Mantenimiento Rutinario Manual carretera: San Benito - Algarrobal</t>
  </si>
  <si>
    <t>23.24.16</t>
  </si>
  <si>
    <t>0083809: Mantenimiento Rutinario Manual carretera: San Miguel - Dv. Pencayo</t>
  </si>
  <si>
    <t>23.24.17</t>
  </si>
  <si>
    <t>0083810: Mantenimiento Rutinario Manual carretera: San Miguel - Llapa</t>
  </si>
  <si>
    <t>23.24.18</t>
  </si>
  <si>
    <t>0100303: Mantenimiento Rutinario Manual carretera: Algarrobal - LD. La Libertad</t>
  </si>
  <si>
    <t>23.24.19</t>
  </si>
  <si>
    <t>0101876: Mantenimiento Rutinario Manual carretera: Dv. Pencayo - San Gregorio</t>
  </si>
  <si>
    <t>23.24.20</t>
  </si>
  <si>
    <t>0101877: Mantenimiento Rutinario Manual carretera: San Gregorio - San Martin - LD. La Libertad</t>
  </si>
  <si>
    <t>23.24.21</t>
  </si>
  <si>
    <t>0101880: Mantenimiento Rutinario Manual carretera: EMP. PE-3N (Pomabamba) - Chuquibamba - Araqueda - Corral Pampas - Sector Cocos</t>
  </si>
  <si>
    <t>23.24.22</t>
  </si>
  <si>
    <t>0101881: Mantenimiento Rutinario Manual carretera: Bambamarca - La Paccha - Chadín - Vista Hermosa</t>
  </si>
  <si>
    <t>23.24.23</t>
  </si>
  <si>
    <t>23.24.24</t>
  </si>
  <si>
    <t>0102055: Mantenimiento Rutinario Manual carretera: Contumaza - Cruz Grande</t>
  </si>
  <si>
    <t>23.24.25</t>
  </si>
  <si>
    <t>0102823: Mantenimiento Rutinario Manual carretera: El Empalme - Catilluc - Tongod</t>
  </si>
  <si>
    <t>23.24.26</t>
  </si>
  <si>
    <t>0131924: Monitoreo, Control y Liquidaciones de los Proyectos ejecutados</t>
  </si>
  <si>
    <t>0137818: Mantenimiento Rutinario Manual carretera: Lluchubamba - Marcamachay - Santa Rosa</t>
  </si>
  <si>
    <t>Usuario de la vía con mayor conocimiento de seguridad vial</t>
  </si>
  <si>
    <t xml:space="preserve"> - Proporción de persona sensibilizada</t>
  </si>
  <si>
    <t>Persona sensibilizada</t>
  </si>
  <si>
    <t>Capacitación en Seguridad vial a conductores infractores.</t>
  </si>
  <si>
    <t>0044175: Capacitación en Seguridad vial a conductores infractores.</t>
  </si>
  <si>
    <t>15: Transporte</t>
  </si>
  <si>
    <t>069: Servicios de Transporte Terrestre</t>
  </si>
  <si>
    <t>N° de Capacitaciones en Seguridad Vial realizadas en al año 2016.</t>
  </si>
  <si>
    <t>Conductor
capacitado</t>
  </si>
  <si>
    <t>FINANCIERA (R.D.R.)</t>
  </si>
  <si>
    <t>Papelería en General</t>
  </si>
  <si>
    <t>Campañas de Sensibilización a la comunidad sobre seguridad y educación vial.</t>
  </si>
  <si>
    <t>0040424: Campañas de Sensibilización a la comunidad sobre seguridad y educación vial.</t>
  </si>
  <si>
    <t>N° de Campañas de sensibilización realizadas en el año 2016.</t>
  </si>
  <si>
    <t>Campaña</t>
  </si>
  <si>
    <t>Otros Servicios de Publicidad</t>
  </si>
  <si>
    <t>Capacitación a usuarios de las vías en temas de educación en seguridad vial.</t>
  </si>
  <si>
    <t>0070117: Capacitación a usuarios de las vías en temas de educación en seguridad vial.</t>
  </si>
  <si>
    <t>Persona capacitada</t>
  </si>
  <si>
    <t>Transportista que presta servicio de transporte terrestre y entidades complementarias autorizados</t>
  </si>
  <si>
    <t>Autorización</t>
  </si>
  <si>
    <t>Otorgamiento de autorización para el servicio de transporte regional terrestre de personas</t>
  </si>
  <si>
    <t>0078410: Otorgamiento de autorización para el servicio de transporte regional terrestre de personas.</t>
  </si>
  <si>
    <t>N° de Autorizaciones emitidas en al año 2016.</t>
  </si>
  <si>
    <t>23.16.1 99</t>
  </si>
  <si>
    <t>Otros Accesorios y Repuestos</t>
  </si>
  <si>
    <t xml:space="preserve">23.1 99.1 99  </t>
  </si>
  <si>
    <t>Servicios de transporte terrestre y complementarios fiscalizados</t>
  </si>
  <si>
    <t xml:space="preserve"> - Proporción de infracciones sancionadas en el tránsito y servicio de transporte de ámbito regional</t>
  </si>
  <si>
    <t>Fiscalización al servicio de transporte terrestre de personas</t>
  </si>
  <si>
    <t>0078417: Fiscalización al servicio de transporte terrestre de personas.</t>
  </si>
  <si>
    <t>N° de Intervenciones realizadas en al año 2016.</t>
  </si>
  <si>
    <t>Vestuario, Accesorios y Prendas D.</t>
  </si>
  <si>
    <t>23.16.14</t>
  </si>
  <si>
    <t>De Seguridad</t>
  </si>
  <si>
    <t>Persona autorizada para conducir vehículos automotores</t>
  </si>
  <si>
    <t xml:space="preserve"> -Proporción de licencias de conducir de clase A por categorías que hayan incurrido por lo menos en una falta grave o muy grave</t>
  </si>
  <si>
    <t>Licencia Otorgada</t>
  </si>
  <si>
    <t>Emisión de licencias de conducir de clase A</t>
  </si>
  <si>
    <t>0078426: Emisión de licencias de conducir de clase A.</t>
  </si>
  <si>
    <t>N° de Licencias Otorgadas en al año 2016.</t>
  </si>
  <si>
    <t>Red vial auditada o inspeccionada en seguridad vial</t>
  </si>
  <si>
    <t>Detección de puntos negros o tramos de concentración de accidentes</t>
  </si>
  <si>
    <t>0070116: Detección de puntos negros o tramos de concentración de accidentes.</t>
  </si>
  <si>
    <t>N° de Estudios de tramos de concentración de accidentes.</t>
  </si>
  <si>
    <t>Estudios</t>
  </si>
  <si>
    <t>Económico</t>
  </si>
  <si>
    <t>Lograr el desarrollo integral y sostenible de la región especialmente de su sector rural</t>
  </si>
  <si>
    <t>1.1 Generar competitividad territorial sostenible, a través del impulso de actividades productivas y de servicios, articuladas al mercado con infraestructura e innovación tecnología.</t>
  </si>
  <si>
    <t>200 Dirección Regional de Transportes y Comunicaciones Cajamarca</t>
  </si>
  <si>
    <t>ABRIL</t>
  </si>
  <si>
    <t>66: Vias Vecinales</t>
  </si>
  <si>
    <t xml:space="preserve">   </t>
  </si>
  <si>
    <t>26.23.24</t>
  </si>
  <si>
    <t>26.23.25</t>
  </si>
  <si>
    <t>26.23.26</t>
  </si>
  <si>
    <t>26.23.27</t>
  </si>
  <si>
    <t>Gestión Administrativa</t>
  </si>
  <si>
    <t>0000009: Acciones Administrativas</t>
  </si>
  <si>
    <t>006: Gestión</t>
  </si>
  <si>
    <t>008: Asesoramiento y Apoyo</t>
  </si>
  <si>
    <t>Dirección de Administración</t>
  </si>
  <si>
    <t>FINANCIERA (RO)</t>
  </si>
  <si>
    <t>0000009: Acciones Administrativas - Cajamarca.</t>
  </si>
  <si>
    <t>N° de Acciones de Gestión realizadas en la DRTC - Cajamarca</t>
  </si>
  <si>
    <t>Personal Administrativo Nombrado</t>
  </si>
  <si>
    <t>21.11.13</t>
  </si>
  <si>
    <t>Personal Con Contrato a Plazo Fijo</t>
  </si>
  <si>
    <t>Asignación a Fondos para Personal</t>
  </si>
  <si>
    <t>21.18.11</t>
  </si>
  <si>
    <t>Obreros Permanentes</t>
  </si>
  <si>
    <t>Bonificaciones por Escolaridad</t>
  </si>
  <si>
    <t>Contribuciones a ESSALUD</t>
  </si>
  <si>
    <t>Alimentos y Bebidas para Consumo Humano</t>
  </si>
  <si>
    <t>Vestuario, Accesorios y Prendas Diversas</t>
  </si>
  <si>
    <t>23.12.13</t>
  </si>
  <si>
    <t>Calzado</t>
  </si>
  <si>
    <t>Lubricantes, Grasas y Afines</t>
  </si>
  <si>
    <t>Papelería en General, Útiles y Material de Oficina</t>
  </si>
  <si>
    <t>23.1 11.11</t>
  </si>
  <si>
    <t>Para Edificios y Estructuras</t>
  </si>
  <si>
    <t>23.1 11.12</t>
  </si>
  <si>
    <t>Para Vehículos</t>
  </si>
  <si>
    <t>23.1 99.13</t>
  </si>
  <si>
    <t>Libros, Diarios, Revistas y Otros Bienes Impresos</t>
  </si>
  <si>
    <t>Pasajes y Gastos de Transporte</t>
  </si>
  <si>
    <t>Viáticos y Asignaciones por Comisión de Servicios</t>
  </si>
  <si>
    <t>Servicio de Suministro de Energía Eléctrica</t>
  </si>
  <si>
    <t>Servicio de Agua y Desagüe</t>
  </si>
  <si>
    <t>Servicio de Telefonía Móvil</t>
  </si>
  <si>
    <t>Servicio de Telefonía Fija</t>
  </si>
  <si>
    <t>Correos y Servicios de Mensajería</t>
  </si>
  <si>
    <t>Servicio de Impresiones, Encuadernaciones y Em.</t>
  </si>
  <si>
    <t>Servicios de Seguridad y Vigilancia</t>
  </si>
  <si>
    <t>De Edificaciones, Oficinas y Estructuras</t>
  </si>
  <si>
    <t>De Maquinas y Equipos</t>
  </si>
  <si>
    <t>23.26.21</t>
  </si>
  <si>
    <t>Cargos Bancarios</t>
  </si>
  <si>
    <t>23.26.33</t>
  </si>
  <si>
    <t>Seguro Obligatorio Accidentes de Transito (SOAT)</t>
  </si>
  <si>
    <t>Asesorías</t>
  </si>
  <si>
    <t>Propinas para Practicantes</t>
  </si>
  <si>
    <t>23.27.10 2</t>
  </si>
  <si>
    <t>Atenciones Oficiales y Celebraciones Institución.</t>
  </si>
  <si>
    <t>Contrato Administrativo de Servicios</t>
  </si>
  <si>
    <t>25.41.31</t>
  </si>
  <si>
    <t>Multas</t>
  </si>
  <si>
    <t>25.51.31</t>
  </si>
  <si>
    <t>A Personas Jurídicas</t>
  </si>
  <si>
    <t>26.32.11</t>
  </si>
  <si>
    <t>Maquinas y Equipos</t>
  </si>
  <si>
    <t>0000009: Acciones Administrativas - Chota.</t>
  </si>
  <si>
    <t>N° de Acciones de Gestión realizadas en la DRTC - Chota</t>
  </si>
  <si>
    <t>De Mobiliario y Estructura</t>
  </si>
  <si>
    <t>23.25.11</t>
  </si>
  <si>
    <t>De Edificios y Estructuras</t>
  </si>
  <si>
    <t xml:space="preserve">0000009: Acciones Administrativas - Jaén. </t>
  </si>
  <si>
    <t>N° de Acciones de Gestión realizadas en la DRTC - Jaén</t>
  </si>
  <si>
    <t>23.26.23</t>
  </si>
  <si>
    <t>Mantenimiento del Sistema de Comunicaciones</t>
  </si>
  <si>
    <t>0001071: Mejoramiento de los Sistemas de Telecomunicaciones</t>
  </si>
  <si>
    <t>16: Comunicaciones</t>
  </si>
  <si>
    <t>038: Telecomunicaciones</t>
  </si>
  <si>
    <t>078: Servicios de Telecomunicaciones</t>
  </si>
  <si>
    <t xml:space="preserve"> Nº de Sistemas puestos en operatividad en el ámbito  regional. </t>
  </si>
  <si>
    <t>Dirección de Comunicaciones</t>
  </si>
  <si>
    <t>Contribuciones a ESSALUD de C.A.S.</t>
  </si>
  <si>
    <t>0001153: Pago de Pensiones</t>
  </si>
  <si>
    <t>24: Previsión Social</t>
  </si>
  <si>
    <t>052: Previsión Social</t>
  </si>
  <si>
    <t>0116: Sistemas de Pensiones</t>
  </si>
  <si>
    <t xml:space="preserve"> Nº de pago de pensiones realizados por la DRTC . </t>
  </si>
  <si>
    <t>Régimen de Pensiones DL. 20530</t>
  </si>
  <si>
    <t>22.23.43</t>
  </si>
  <si>
    <t>Gastos de Sepelio y Luto del Personal Pensionista</t>
  </si>
  <si>
    <t>Promoción y Regulación de los Servicios de Telecomunicaciones</t>
  </si>
  <si>
    <t>0000011: Acciones Administrativas de Telecomunicaciones</t>
  </si>
  <si>
    <t xml:space="preserve"> Nº de Acciones realizadas en el 2016. </t>
  </si>
  <si>
    <t>Costo de Construcción por administraciión directa-Bienes</t>
  </si>
  <si>
    <t>Costo de construcción por administración Directa - Servicios</t>
  </si>
  <si>
    <t>Costo de construcción por administración Directa - Otros</t>
  </si>
  <si>
    <t>MATRIZ  PLAN OPERATIVO INSTITUCIONAL 2016</t>
  </si>
  <si>
    <t>Tipo de Ejecución: Administración Directa</t>
  </si>
  <si>
    <t>MATRIZ PLAN OPERATIVO INSTITUCIONAL 20016</t>
  </si>
  <si>
    <t>Ambiental</t>
  </si>
  <si>
    <t>Conservar los recursos naturales y el ambiente regional especialmente del recurso hídrico para el equilibrio integeneracional en el uso de tales recursos</t>
  </si>
  <si>
    <t xml:space="preserve">3.1 Implementar el Ordenamiento Territorial para la Gestión Sostenible del territorio en el marco del Nuevo Modelo de Desarrollo </t>
  </si>
  <si>
    <t>Sub Gerencia de Acondicionamiento Territorial</t>
  </si>
  <si>
    <t>GESTION SOSTENIBLE DE RECURSOS NATURALES Y DIVERSIDAD BIOLOGICA</t>
  </si>
  <si>
    <t>Porcentaje de hectáreas de ecosistemas conservados y/o aprovechados sosteniblemente.</t>
  </si>
  <si>
    <t>Informes</t>
  </si>
  <si>
    <t>Porcentaje de hectáres de ecosistemas que cuentan con instrumentos de gestión y/o aprovechamiento sostenibles</t>
  </si>
  <si>
    <t>Porcentajes de organizaciones que utilizan la información para participar ativamente en la conservacion y/o aprovechamiento de los RRNN y DB</t>
  </si>
  <si>
    <t>Gobiernos Subnacionales cuentan con Zonificación Económica Ecológica y Ordenamiento Territorial</t>
  </si>
  <si>
    <t>N° Instrumentos y/o estudios formulados para el Ordenamiento y/o Gestión Territorial</t>
  </si>
  <si>
    <t>17: Ambiente</t>
  </si>
  <si>
    <t>54: Desarrollo Estrategico, Conservación y Aprov, Sost. Del Patrimonio natural</t>
  </si>
  <si>
    <t>119: Conserv. Aprovech. Sostenible de la DB y de RRNN</t>
  </si>
  <si>
    <t xml:space="preserve">Sub Gerencia de Acondicionamiento Territorial </t>
  </si>
  <si>
    <t>Actividad 1</t>
  </si>
  <si>
    <t>Ordenamiento Territorial (OT)</t>
  </si>
  <si>
    <t>Instrumento Tecnico</t>
  </si>
  <si>
    <t>CAS</t>
  </si>
  <si>
    <t>Essalud</t>
  </si>
  <si>
    <t>Papelería en General, útiles</t>
  </si>
  <si>
    <t>Sistema Integral de Informacion y Comunicación Territorial Implementado</t>
  </si>
  <si>
    <t>Sistema Territorial</t>
  </si>
  <si>
    <t>Equipos computacionales</t>
  </si>
  <si>
    <t>Pasajes y gastos de transporte</t>
  </si>
  <si>
    <t>Viáticos y Asignaciones</t>
  </si>
  <si>
    <t>Actividad 2</t>
  </si>
  <si>
    <t>Acciones de Demarcacion Territorial (DT)</t>
  </si>
  <si>
    <t>N° EDZ formulados</t>
  </si>
  <si>
    <t>N° procesos de saneamiento culminado</t>
  </si>
  <si>
    <t>Saneamiento</t>
  </si>
  <si>
    <t>Combustible y carburantes</t>
  </si>
  <si>
    <t>N° de ccpp categorizados reconocidos con RER</t>
  </si>
  <si>
    <t>RER</t>
  </si>
  <si>
    <t>Actividad 3</t>
  </si>
  <si>
    <t>Saneamiento fisico de bienes inmuebles del Estado (BE)</t>
  </si>
  <si>
    <t>N° expedientes elaborados para el saneamiento de inmuebles</t>
  </si>
  <si>
    <t>Expedientes</t>
  </si>
  <si>
    <t>Profesional Bienes Inmuebles Estatales</t>
  </si>
  <si>
    <t>Fortalecimiento COFODES</t>
  </si>
  <si>
    <t>Seguimiento</t>
  </si>
  <si>
    <t>No existe</t>
  </si>
  <si>
    <t>Actividad</t>
  </si>
  <si>
    <t>GESTION ADMINISTRATIVA</t>
  </si>
  <si>
    <t>Dirección de Abastecimientos, Tesorería y Patrimonio</t>
  </si>
  <si>
    <t>2311112</t>
  </si>
  <si>
    <t>PARA VEHICULOS</t>
  </si>
  <si>
    <t>231311</t>
  </si>
  <si>
    <t>COMBUSTIBLES Y CARBURANTES</t>
  </si>
  <si>
    <t>231313</t>
  </si>
  <si>
    <t>LUBRICANTES, GRASAS Y AFINES</t>
  </si>
  <si>
    <t>232413</t>
  </si>
  <si>
    <t>DE VEHICULOS</t>
  </si>
  <si>
    <t>232612</t>
  </si>
  <si>
    <t>GASTOS NOTARIALES</t>
  </si>
  <si>
    <t>232631</t>
  </si>
  <si>
    <t>232632</t>
  </si>
  <si>
    <t>SEGURO DE VEHICULOS</t>
  </si>
  <si>
    <t>232633</t>
  </si>
  <si>
    <t>SEGURO OBLIGATORIO ACCIDENTES DE TRANSITO (SOAT)</t>
  </si>
  <si>
    <t>Estados Financieros Aprobados</t>
  </si>
  <si>
    <t>Estados Financieros y Presupuestarios</t>
  </si>
  <si>
    <t>Dirección Regional de Administración, de Contabilidad, Abastecimientos, Personal, Tesoreria y Patrimonio</t>
  </si>
  <si>
    <t>231512</t>
  </si>
  <si>
    <t>PAPELERIA EN GENERAL, UTILES Y MATERIALES DE OFICINA</t>
  </si>
  <si>
    <t>232121</t>
  </si>
  <si>
    <t>PASAJES Y GASTOS DE TRANSPORTE</t>
  </si>
  <si>
    <t>232122</t>
  </si>
  <si>
    <t>VIATICOS Y ASIGNACIONES POR COMISION DE SERVICIO</t>
  </si>
  <si>
    <t>232244</t>
  </si>
  <si>
    <t>SERVICIO DE IMPRESIONES, ENCUADERNACION Y EMPASTADO</t>
  </si>
  <si>
    <t>Bien Mueble e Inmueble registrado, catalogado y conciliado</t>
  </si>
  <si>
    <t>Bien Mueble e Inmueble</t>
  </si>
  <si>
    <t>231511</t>
  </si>
  <si>
    <t>REPUESTOS Y ACCESORIOS</t>
  </si>
  <si>
    <t>231532</t>
  </si>
  <si>
    <t>DE COCINA, COMEDOR Y CAFETERIA</t>
  </si>
  <si>
    <t>2319913</t>
  </si>
  <si>
    <t>LIBROS, DIARIOS, REVISTAS Y OTROS BIENES IMPRESOS NO VINCULADOS A ENSEÑANZA</t>
  </si>
  <si>
    <t>232241</t>
  </si>
  <si>
    <t>SERVICIO DE PUBLICIDAD</t>
  </si>
  <si>
    <t>232415</t>
  </si>
  <si>
    <t>DE MAQUINARIAS Y EQUIPOS</t>
  </si>
  <si>
    <t>2326399</t>
  </si>
  <si>
    <t>OTROS SEGUROS DE  BIENES MUEBLES E INMUEBLES</t>
  </si>
  <si>
    <t>23271099</t>
  </si>
  <si>
    <t>OTRAS ATENCIONES Y CELEBRACIONES</t>
  </si>
  <si>
    <t>232711</t>
  </si>
  <si>
    <t>CONSULTORIAS</t>
  </si>
  <si>
    <t>23271199</t>
  </si>
  <si>
    <t>SERVICIOS DIVERSOS</t>
  </si>
  <si>
    <t>232731</t>
  </si>
  <si>
    <t>REALIZADO POR PERSONAS JURIDICAS</t>
  </si>
  <si>
    <t>Contrato Ejecutado</t>
  </si>
  <si>
    <t>Contrato</t>
  </si>
  <si>
    <t>231531</t>
  </si>
  <si>
    <t>ASEO, LIMPIEZA Y TOCADOR</t>
  </si>
  <si>
    <t>231541</t>
  </si>
  <si>
    <t>ELECTRICIDAD, ILUMINACION Y ELECTRONICA</t>
  </si>
  <si>
    <t>231611</t>
  </si>
  <si>
    <t>231612</t>
  </si>
  <si>
    <t>DE COMUNICACIONES Y TELECOMUNICACIONES</t>
  </si>
  <si>
    <t>231711</t>
  </si>
  <si>
    <t>ENSERES</t>
  </si>
  <si>
    <t>23199199</t>
  </si>
  <si>
    <t>OTROS BIENES</t>
  </si>
  <si>
    <t>2321299</t>
  </si>
  <si>
    <t>OTROS GASTOS</t>
  </si>
  <si>
    <t>232211</t>
  </si>
  <si>
    <t>SERVICIO DE SUMINISTRO DE ENERGIA ELECTRICA</t>
  </si>
  <si>
    <t>232212</t>
  </si>
  <si>
    <t>SERVICIO DE AGUA Y DESAGUE</t>
  </si>
  <si>
    <t>232221</t>
  </si>
  <si>
    <t>SERVICIO DE TELEFONIA MOVIL</t>
  </si>
  <si>
    <t>232222</t>
  </si>
  <si>
    <t>SERVICIO DE TELEFONIA FIJA</t>
  </si>
  <si>
    <t>232223</t>
  </si>
  <si>
    <t>SERVICIO DE INTERNET</t>
  </si>
  <si>
    <t>232231</t>
  </si>
  <si>
    <t>CORREOS Y SERVICIOS DE MENSAJERIA</t>
  </si>
  <si>
    <t>232242</t>
  </si>
  <si>
    <t>OTROS SERVICIOS DE PUBLICIDAD Y DIFUSION</t>
  </si>
  <si>
    <t>232411</t>
  </si>
  <si>
    <t>DE EDIFICACIONES, OFICINAS Y ESTRUCTURAS</t>
  </si>
  <si>
    <t>232634</t>
  </si>
  <si>
    <t>2327102</t>
  </si>
  <si>
    <t>ATENCIONES OFICIALES Y CELEBRACIONES INSTITUCIONALES</t>
  </si>
  <si>
    <t>232742</t>
  </si>
  <si>
    <t>PROCESAMIENTOS DE DATOS</t>
  </si>
  <si>
    <t>Servidor Saludable</t>
  </si>
  <si>
    <t>Servidor</t>
  </si>
  <si>
    <t>Dirección de Personal</t>
  </si>
  <si>
    <t>Servidor Capacitado</t>
  </si>
  <si>
    <t>231111</t>
  </si>
  <si>
    <t>ALIMENTOS Y BEBIDAS PARA CONSUMO HUMANO</t>
  </si>
  <si>
    <t>2327101</t>
  </si>
  <si>
    <t>SEMINARIOS ,TALLERES Y SIMILARES ORGANIZADOS POR LA  INSTITUCION</t>
  </si>
  <si>
    <t>Servidor Contratado</t>
  </si>
  <si>
    <t>Dirección Regional de Administración, de Personal.</t>
  </si>
  <si>
    <t>Planilla Pagada</t>
  </si>
  <si>
    <t>2111012</t>
  </si>
  <si>
    <t>211111</t>
  </si>
  <si>
    <t>211112</t>
  </si>
  <si>
    <t>PERSONAL ADMINISTRATIVO NOMBRADO (REGIMEN PUBLICO)</t>
  </si>
  <si>
    <t>211113</t>
  </si>
  <si>
    <t>PERSONAL CON CONTRATO A PLAZO FIJO (REGIMEN LABORAL PUBLICO)</t>
  </si>
  <si>
    <t>211121</t>
  </si>
  <si>
    <t>ASIGNACION A FONDOS PARA PERSONAL</t>
  </si>
  <si>
    <t>211912</t>
  </si>
  <si>
    <t>AGUINALDOS</t>
  </si>
  <si>
    <t>211913</t>
  </si>
  <si>
    <t>BONIFICACION POR ESCOLARIDAD</t>
  </si>
  <si>
    <t>211921</t>
  </si>
  <si>
    <t>211931</t>
  </si>
  <si>
    <t>ASIGNACION POR CUMPLIR 25 O 30 AÑOS</t>
  </si>
  <si>
    <t>211933</t>
  </si>
  <si>
    <t>213115</t>
  </si>
  <si>
    <t>CONTRIBUCIONES A ESSALUD</t>
  </si>
  <si>
    <t>232811</t>
  </si>
  <si>
    <t>CONTRATO ADMINISTRATIVO DE SERVICIOS</t>
  </si>
  <si>
    <t>232812</t>
  </si>
  <si>
    <t>CONTRIBUCIONES A ESSALUD DE C.A.S.</t>
  </si>
  <si>
    <t>Recomendación Implementada</t>
  </si>
  <si>
    <t>Recomendación</t>
  </si>
  <si>
    <t>Consultorias</t>
  </si>
  <si>
    <t>ASIGNACIONES PRESUPUESTARIAS QUE NO RESULTAN EN PRODUCTOS (APNOP)</t>
  </si>
  <si>
    <t>Planilla pagada</t>
  </si>
  <si>
    <t>Dirección Regional de Administración, de Contabilidad, Personal y Tesoreria.</t>
  </si>
  <si>
    <t>FINANCIERA (RO/RDR)</t>
  </si>
  <si>
    <t>222342</t>
  </si>
  <si>
    <t>GASTOS DE SEPELIO Y LUTO DEL PERSONAL ACTIVO</t>
  </si>
  <si>
    <t>N° de instrumentos técnicos sustentatorios para el OT formulados</t>
  </si>
  <si>
    <t>FÍSICA</t>
  </si>
  <si>
    <t>Equipo Técnico ZEE-OT</t>
  </si>
  <si>
    <t>Equipo Técnico Demarcación Territorial</t>
  </si>
  <si>
    <t>Acciones de Acondicionamiento territorial</t>
  </si>
  <si>
    <t>2.1. Generar Competitividad Territorial Sostenible, a través del Impulso de Actividades Productivas y de Servicios, Articuladas al Mercado con Infraestructura e Innovación Tecnológica.</t>
  </si>
  <si>
    <t>Gerencia Regional de Desarrollo Económico</t>
  </si>
  <si>
    <t>5000003</t>
  </si>
  <si>
    <t>Acciones de Coordinación para el Desarrollo Económico de la Región.</t>
  </si>
  <si>
    <t>No Existe</t>
  </si>
  <si>
    <t>Gerencia Regional de Desarrollo Económico.</t>
  </si>
  <si>
    <t>Papeleria en general, utiles y materiales de oficina.</t>
  </si>
  <si>
    <t>Pasajes y gastos de transporte.</t>
  </si>
  <si>
    <t>Viaticos y asignación por comisión de servicios.</t>
  </si>
  <si>
    <t>Otros servicios de públicidad y difusión.</t>
  </si>
  <si>
    <t xml:space="preserve">Servicio de impresiones, encuadernación y empastado. </t>
  </si>
  <si>
    <t>23.27.21</t>
  </si>
  <si>
    <t>Contrato administrativo de servicios</t>
  </si>
  <si>
    <t>Contribuciones a ESSALUD- CAS</t>
  </si>
  <si>
    <t>023</t>
  </si>
  <si>
    <t>No tiene</t>
  </si>
  <si>
    <t>Sub Gerencia de Promoción Empresarial</t>
  </si>
  <si>
    <t>Papel</t>
  </si>
  <si>
    <t>Acciones de Promoción Empresarial</t>
  </si>
  <si>
    <t>Papelería en general, útiles</t>
  </si>
  <si>
    <t>Viáticos y asignaciones por</t>
  </si>
  <si>
    <t>Pasajes</t>
  </si>
  <si>
    <t>Combustible</t>
  </si>
  <si>
    <t>Contribuciones de ESSAlud</t>
  </si>
  <si>
    <t>Viáticos</t>
  </si>
  <si>
    <t xml:space="preserve"> 3.2.5 Gestionar la Remediación de activos y pasivos ambientales y recuperación de áreas degradadas.</t>
  </si>
  <si>
    <t>Gerencia Regional de Recursos Naturales y Gestión del Medio Ambiente.</t>
  </si>
  <si>
    <t>Forestación y Reforestación</t>
  </si>
  <si>
    <t>Nombre del Proyecto</t>
  </si>
  <si>
    <t>Recuperación del Servicio Ambiental Hidrico del Arae de Amortiguamiento del Bosque de Protección Pagaibamaba, distrito de Querocoto, Chota, Cajamarca.</t>
  </si>
  <si>
    <t>Número de hectareas de plantones  instalados en el distrito de Querocoto.</t>
  </si>
  <si>
    <t>Sub Gerencia de Recursos Naturales y ANPs</t>
  </si>
  <si>
    <t>26.71.62</t>
  </si>
  <si>
    <t>Gasto por la compra de bienes</t>
  </si>
  <si>
    <t>Trazo, Marcación y Hoyación de 30 has</t>
  </si>
  <si>
    <t>Plantación de 10 has.</t>
  </si>
  <si>
    <t>Marcación y Hoyación de 56 ha.</t>
  </si>
  <si>
    <t>Plantación de 90 ha.</t>
  </si>
  <si>
    <t>Plantación de 100 ha.</t>
  </si>
  <si>
    <t>26.71.63</t>
  </si>
  <si>
    <t>Gastos por la Contratación de Personal</t>
  </si>
  <si>
    <t xml:space="preserve">Fortalecimiento para la forestación y reforestación en la zona de Chirinos, distrito de Chirinos, San Ignacio - Cajamarca </t>
  </si>
  <si>
    <t>Trazo, Marcación y Hoyación de 130 has</t>
  </si>
  <si>
    <t>Plantación de 65 has.</t>
  </si>
  <si>
    <t>Marcación y Hoyación de 135 ha.</t>
  </si>
  <si>
    <t>Plantación de 67 has.</t>
  </si>
  <si>
    <t>Plantación de 69 has.</t>
  </si>
  <si>
    <t>Mejoramiento de la Gestión Institucional de los Servicios Ambientales Hídricos en la Microcuenca del Rio amoju en el Distrito de Jaen,Jaen- Cajamarca</t>
  </si>
  <si>
    <t>Número de hectareas de plantones  instalados en la Microcuenca del Rio Amoju.</t>
  </si>
  <si>
    <t>Trazo, Marcación y Hoyación de 36 has</t>
  </si>
  <si>
    <t>Plantación de 60 has.</t>
  </si>
  <si>
    <t>26.32.31</t>
  </si>
  <si>
    <t>Equipos Computacionales</t>
  </si>
  <si>
    <t>Protección y vigilancia</t>
  </si>
  <si>
    <t>Vivero Forestal</t>
  </si>
  <si>
    <t>Construcción e implementación de 01 vivero Forestal</t>
  </si>
  <si>
    <t>Recuperación del Servicio Ambiental Hídrico de 06 Microcuencas Altoandinas en las Provincias  de Cajamarca y Contumaza, de la Región Cajamarca</t>
  </si>
  <si>
    <t xml:space="preserve">Número de hectareas de plantones  instalados </t>
  </si>
  <si>
    <t>Exp.tec/01 Vivero Forestal/Hoyación</t>
  </si>
  <si>
    <t>Exp. Tec.</t>
  </si>
  <si>
    <t xml:space="preserve">01  Vivero Forestal </t>
  </si>
  <si>
    <t>Trazo y marcación y Hoyación de 100 he.</t>
  </si>
  <si>
    <t>26.81.31</t>
  </si>
  <si>
    <t>Estudios Definitivos</t>
  </si>
  <si>
    <t>Mejoramiento de los Servicios de Gestión Ambiental de la Gerencia Regional de Recursos Naturales y Gestión del Medio Ambiente</t>
  </si>
  <si>
    <t>Fortalecimiento de capacidades y equipamiento</t>
  </si>
  <si>
    <t>Exp.tec./ talleres / Equipamiento</t>
  </si>
  <si>
    <t xml:space="preserve">Gerencia de Recursos Naturales y Gestión del Medio Ambiente. </t>
  </si>
  <si>
    <t>Equipamiento</t>
  </si>
  <si>
    <t>Capacitación</t>
  </si>
  <si>
    <t>“Mejoramiento de la Gestión Institucional del Recurso Hídrico y el Ambiente en las Cuencas de las Provincias de Cajamarca, San Pablo, San Marcos, Cajabamba, San Miguel y Contumazá de la Región Cajamarca”.</t>
  </si>
  <si>
    <t>Fortalecimiento de capacidades</t>
  </si>
  <si>
    <t>Planes/Diplomado</t>
  </si>
  <si>
    <t>Sub Gerencia de Gestión del Medio Ambiente</t>
  </si>
  <si>
    <t>Planes de Gestión</t>
  </si>
  <si>
    <t>Diplomado</t>
  </si>
  <si>
    <t>Liquidación</t>
  </si>
  <si>
    <t>3.2.1 Construir e implementar la Autoridad Regional Ambiental - ARA, con los instrumentos de gestión territorial y ambiental</t>
  </si>
  <si>
    <t>3.2.2 Implementación de la Estrategia Regional Frente al Cambio Climático, elaboración e implementación del plan de manejo de resíduos sólidos y el plan de monitoreo de la calidad del agua en coordinación con los gobiernos locales</t>
  </si>
  <si>
    <t>3.2.3 Promover la participación concertada para la gestión de conflictos sociales y ambientales</t>
  </si>
  <si>
    <t>3.2.4. Promover e implementar la gestión integrada de cuencas hidrográficas y fondos económicos</t>
  </si>
  <si>
    <t>3.2.5 Gestionar la remediación de activos y pasivos ambientales y recuperación de áreas degradadas</t>
  </si>
  <si>
    <t>Gerencia Regional de Recursos Naturales y Gestión del Medio Ambiente</t>
  </si>
  <si>
    <t>Acciones comunes</t>
  </si>
  <si>
    <t>Código Específica</t>
  </si>
  <si>
    <t>Contribuciones de Essalud de CAS</t>
  </si>
  <si>
    <t>Contratos</t>
  </si>
  <si>
    <t>INSTITUCIONES PUBLICAS CON CAPACIDADES PARA LA CONSERVACION Y/O APROVECHAMIENTO SOSTENIBLE DE LOS RECURSOS NATURALES Y LA DIVERSIDAD BIOLOGICA</t>
  </si>
  <si>
    <t>CAPACITACION Y ASISTENCIA
TECNICA EN GESTION DE LOS
RECURSOS NATURALES Y DE LA DIVERSIDAD BIOLOGICA EN LOS TRES NIVELES DE GOBIERNO</t>
  </si>
  <si>
    <t>Socialización del Sistema Regional de Conservación de las Áreas Naturales de Cajamarca en los dos niveles de Gobierno - Provincial y Distrital, Modalidades de Conservación, Capacitación a organizaciones y comunidades indígenas en conservación de RRNN y Diversidad Biológica</t>
  </si>
  <si>
    <t>N° de áreas propuestas</t>
  </si>
  <si>
    <t>Pasajes y gastos de</t>
  </si>
  <si>
    <t xml:space="preserve">Viáticos y Asignaciones por </t>
  </si>
  <si>
    <t>Servicios de impresiones</t>
  </si>
  <si>
    <t>Alimentos y Bebidas</t>
  </si>
  <si>
    <t>23.22.41</t>
  </si>
  <si>
    <t>Servicios de publicidad</t>
  </si>
  <si>
    <t>Lubricantes,grasas y afines</t>
  </si>
  <si>
    <t>ORGANIZACIONES CUENTAN CON INFORMACION SISTEMATIZADA SOBRE CONSERVACION Y APROVECHAMIENTO</t>
  </si>
  <si>
    <t>GENERACION, ADMINISTRACION Y
DIFUSION DEL SISTEMA DE
MONITOREO DEL ESTADO DE LOS
RECURSOS NATURALES Y
DIVERSIDAD BIOLOGICA</t>
  </si>
  <si>
    <t>INFORME TECNICO</t>
  </si>
  <si>
    <t>Actividad 01</t>
  </si>
  <si>
    <t>Recopilación de información de Recursos Genéticos, Gestión de la Estrategia Regional de Diversidad Biológica, Monitoreo de áreas reforestadas por el Gorecaj, Gestión de la Estrategia Regional de Cambio Climático, Sistematización de información los proyectos de reforestación ejecutados en los ultimos  10 años -GORECAJ, Gestión de conflictos socio-ambientales.</t>
  </si>
  <si>
    <t xml:space="preserve">% de provincias que cuentan con estudios-Áreas  monitoreadas </t>
  </si>
  <si>
    <t>23.27.10.99</t>
  </si>
  <si>
    <t>Otras atenciones y celebraciones(refrigerios y almuerzos)</t>
  </si>
  <si>
    <t>23.27.11.99</t>
  </si>
  <si>
    <t xml:space="preserve">Servicios diversos </t>
  </si>
  <si>
    <t>IMPLEMENTACIÓN DE ALTERNATIVAS DE MANEJO SOSTENIBLE DE RECURSOS NATURALES Y SISTEMAS PRODUCTIVOS SOSTENIBLES</t>
  </si>
  <si>
    <t>Gestión y Promoción de Fondos de agua y Mecanismos de retribución  por servicios ambientales  ecosistémicos</t>
  </si>
  <si>
    <t>N° de cuencas que cuentan con MRSE</t>
  </si>
  <si>
    <t>N° de cuencas</t>
  </si>
  <si>
    <t>Mantenimiento y operatividad del Laboratorio Regional del Agua</t>
  </si>
  <si>
    <t>N° de análisis de ensayo realizados</t>
  </si>
  <si>
    <t>Vestuario, accesorios</t>
  </si>
  <si>
    <t>Combustibles y carburantes</t>
  </si>
  <si>
    <t>de seguridad</t>
  </si>
  <si>
    <t>Material, insumos</t>
  </si>
  <si>
    <t>23.199.12</t>
  </si>
  <si>
    <t>Productos químicos</t>
  </si>
  <si>
    <t>Pasajes y gastos</t>
  </si>
  <si>
    <t>Viáticos y asignaciones</t>
  </si>
  <si>
    <t>Servicio de suministro</t>
  </si>
  <si>
    <t>Servicio de agua y desagüe</t>
  </si>
  <si>
    <t>Servicio de publicidad</t>
  </si>
  <si>
    <t>Servicio de impresiones</t>
  </si>
  <si>
    <t>De maquinarias y equipos</t>
  </si>
  <si>
    <t>23.25.15</t>
  </si>
  <si>
    <t>23.27.1099</t>
  </si>
  <si>
    <t>Otras atenciones</t>
  </si>
  <si>
    <t>Servicios diversos</t>
  </si>
  <si>
    <t>26.32.33</t>
  </si>
  <si>
    <t xml:space="preserve">Equipos de </t>
  </si>
  <si>
    <t>26.32.42</t>
  </si>
  <si>
    <t>Equipos</t>
  </si>
  <si>
    <t>26.32.999</t>
  </si>
  <si>
    <t>Maquinarias, equipos</t>
  </si>
  <si>
    <t>OTRAS ACTIVIDADES</t>
  </si>
  <si>
    <t xml:space="preserve">Actividades planificadas en función de la proyección de los recursos directamente recaudados  </t>
  </si>
  <si>
    <t>Tipo de ejecución/específica de gasto</t>
  </si>
  <si>
    <t xml:space="preserve">Física </t>
  </si>
  <si>
    <t>Ampliación de la acreditación de nuevas metodologías y servicios analíticos</t>
  </si>
  <si>
    <t>N° de nuevos métodos acreditados</t>
  </si>
  <si>
    <t>Laboratorio Regional del Agua</t>
  </si>
  <si>
    <t>2.3.27.1199</t>
  </si>
  <si>
    <t>2.3.27.21</t>
  </si>
  <si>
    <t>2.3.24.15</t>
  </si>
  <si>
    <t>Maquinarias y equipos</t>
  </si>
  <si>
    <t>Implementación del servicio de muestreo</t>
  </si>
  <si>
    <t>N° de servicios de muestreo</t>
  </si>
  <si>
    <t xml:space="preserve">Laboratorio Regional del Agua </t>
  </si>
  <si>
    <t>2.3.24.13</t>
  </si>
  <si>
    <t>2.3.18.21</t>
  </si>
  <si>
    <t xml:space="preserve">Mantenimiento y operatividad del Laboratorio Regional del Agua </t>
  </si>
  <si>
    <t>2.3.199.12</t>
  </si>
  <si>
    <t>2.3.21.22</t>
  </si>
  <si>
    <t xml:space="preserve">Consultorias </t>
  </si>
  <si>
    <t>Difusión de los servicios del laboratorio</t>
  </si>
  <si>
    <t>N° de nuevos clientes captados</t>
  </si>
  <si>
    <t>Consultorías</t>
  </si>
  <si>
    <t>2.3.22.44</t>
  </si>
  <si>
    <t xml:space="preserve">Servicio de impresiones </t>
  </si>
  <si>
    <t>1.2.2 Fortalecer la capacidad resolutiva bajo el enfoque del Modelo de Atención Integral en Salud basado en el enfoque de familia y comunidad.</t>
  </si>
  <si>
    <t>100 Dirección Regional de Salud Cajamarca</t>
  </si>
  <si>
    <t>Fte Financiamiento</t>
  </si>
  <si>
    <t>RO</t>
  </si>
  <si>
    <t>RDR</t>
  </si>
  <si>
    <t>5000001</t>
  </si>
  <si>
    <t>PLANEAMIENTO Y PRESUPUESTO</t>
  </si>
  <si>
    <t>20</t>
  </si>
  <si>
    <t>Informes mensuales</t>
  </si>
  <si>
    <t>INFORME</t>
  </si>
  <si>
    <t>Director de Planeamiento</t>
  </si>
  <si>
    <t>231912</t>
  </si>
  <si>
    <t>MATERIAL DIDACTICO, ACCESORIOS Y UTILES DE ENSEÑANZA</t>
  </si>
  <si>
    <t>2319199</t>
  </si>
  <si>
    <t>OTROS MATERIALES DIVERSOS DE ENSEÑANZA</t>
  </si>
  <si>
    <t>Total 5000001</t>
  </si>
  <si>
    <t>5000002</t>
  </si>
  <si>
    <t>CONDUCCION Y ORIENTACION SUPERIOR</t>
  </si>
  <si>
    <t>0007</t>
  </si>
  <si>
    <t>Director general</t>
  </si>
  <si>
    <t>Total 5000002</t>
  </si>
  <si>
    <t>Actividades Mensualizadas</t>
  </si>
  <si>
    <t>ACCION</t>
  </si>
  <si>
    <t>Director de Adminiostración</t>
  </si>
  <si>
    <t>211311</t>
  </si>
  <si>
    <t>PERSONAL NOMBRADO</t>
  </si>
  <si>
    <t>211321</t>
  </si>
  <si>
    <t>211331</t>
  </si>
  <si>
    <t>GUARDIAS HOSPITALARIAS</t>
  </si>
  <si>
    <t>212111</t>
  </si>
  <si>
    <t>UNIFORME PERSONAL ADMINISTRATIVO</t>
  </si>
  <si>
    <t>213116</t>
  </si>
  <si>
    <t>OTRAS CONTRIBUCIONES DEL EMPLEADOR</t>
  </si>
  <si>
    <t>2311111</t>
  </si>
  <si>
    <t>PARA EDIFICIOS Y ESTRUCTURAS</t>
  </si>
  <si>
    <t>2311113</t>
  </si>
  <si>
    <t>PARA MOBILIARIO Y SIMILARES</t>
  </si>
  <si>
    <t>2311114</t>
  </si>
  <si>
    <t>PARA MAQUINARIAS Y EQUIPOS</t>
  </si>
  <si>
    <t>2311115</t>
  </si>
  <si>
    <t>OTROS MATERIALES DE MANTENIMIENTO</t>
  </si>
  <si>
    <t>2311116</t>
  </si>
  <si>
    <t>MATERIALES DE  ACONDICIONAMIENTO</t>
  </si>
  <si>
    <t>231211</t>
  </si>
  <si>
    <t>VESTUARIO, ACCESORIOS Y PRENDAS DIVERSAS</t>
  </si>
  <si>
    <t>231212</t>
  </si>
  <si>
    <t>TEXTILES Y ACABADOS TEXTILES</t>
  </si>
  <si>
    <t>231312</t>
  </si>
  <si>
    <t>GASES</t>
  </si>
  <si>
    <t>231613</t>
  </si>
  <si>
    <t>DE CONSTRUCCION Y MAQUINAS</t>
  </si>
  <si>
    <t>2316199</t>
  </si>
  <si>
    <t>OTROS ACCESORIOS Y REPUESTOS</t>
  </si>
  <si>
    <t>231812</t>
  </si>
  <si>
    <t>MEDICAMENTOS</t>
  </si>
  <si>
    <t>231821</t>
  </si>
  <si>
    <t>MATERIAL, INSUMOS, INSTRUMENTAL Y ACCESORIOS  MEDICOS, QUIRURGICOS, ODONTOLOGICOS Y DE LABORATORIO</t>
  </si>
  <si>
    <t>2318199</t>
  </si>
  <si>
    <t>OTROS PRODUCTOS SIMILARES</t>
  </si>
  <si>
    <t>231911</t>
  </si>
  <si>
    <t>LIBROS, TEXTOS Y OTROS MATERIALES IMPRESOS</t>
  </si>
  <si>
    <t>2319911</t>
  </si>
  <si>
    <t>HERRAMIENTAS</t>
  </si>
  <si>
    <t>232123</t>
  </si>
  <si>
    <t>VIATICOS Y FLETES POR CAMBIO DE COLOCACION</t>
  </si>
  <si>
    <t>232243</t>
  </si>
  <si>
    <t>SERVICIOS DE IMAGEN INSTITUCIONAL</t>
  </si>
  <si>
    <t>232311</t>
  </si>
  <si>
    <t>SERVICIOS DE LIMPIEZA E HIGIENE</t>
  </si>
  <si>
    <t>232312</t>
  </si>
  <si>
    <t>SERVICIOS DE SEGURIDAD Y VIGILANCIA</t>
  </si>
  <si>
    <t>232414</t>
  </si>
  <si>
    <t>DE MOBILIARIO Y SIMILARES</t>
  </si>
  <si>
    <t>2324199</t>
  </si>
  <si>
    <t>DE OTROS BIENES Y ACTIVOS</t>
  </si>
  <si>
    <t>232511</t>
  </si>
  <si>
    <t>DE EDIFICIOS Y ESTRUCTURAS</t>
  </si>
  <si>
    <t>232513</t>
  </si>
  <si>
    <t>232514</t>
  </si>
  <si>
    <t>2325199</t>
  </si>
  <si>
    <t>232611</t>
  </si>
  <si>
    <t>GASTOS LEGALES Y JUDICIALES</t>
  </si>
  <si>
    <t>2327112</t>
  </si>
  <si>
    <t>TRANSPORTE Y TRASLADO DE CARGA, BIENES Y MATERIALES</t>
  </si>
  <si>
    <t>232712</t>
  </si>
  <si>
    <t>ASESORIAS</t>
  </si>
  <si>
    <t>232721</t>
  </si>
  <si>
    <t>232722</t>
  </si>
  <si>
    <t>2327299</t>
  </si>
  <si>
    <t>OTROS SERVICIOS SIMILARES</t>
  </si>
  <si>
    <t>232732</t>
  </si>
  <si>
    <t>REALIZADO POR PERSONAS NATURALES</t>
  </si>
  <si>
    <t>255113</t>
  </si>
  <si>
    <t>PERSONAL DE SALUD</t>
  </si>
  <si>
    <t>255121</t>
  </si>
  <si>
    <t>PENSIONISTAS</t>
  </si>
  <si>
    <t>263211</t>
  </si>
  <si>
    <t>MAQUINAS Y EQUIPOS</t>
  </si>
  <si>
    <t>263212</t>
  </si>
  <si>
    <t>MOBILIARIO</t>
  </si>
  <si>
    <t>Total 5000003</t>
  </si>
  <si>
    <t>5000004</t>
  </si>
  <si>
    <t>ASESORAMIENTO TECNICO Y JURIDICO</t>
  </si>
  <si>
    <t>Asesor Legal</t>
  </si>
  <si>
    <t>Total 5000004</t>
  </si>
  <si>
    <t>5000005</t>
  </si>
  <si>
    <t>GESTION DE RECURSOS HUMANOS</t>
  </si>
  <si>
    <t>0011</t>
  </si>
  <si>
    <t>Director de Recursos Humanos</t>
  </si>
  <si>
    <t>Total 5000005</t>
  </si>
  <si>
    <t>5000006</t>
  </si>
  <si>
    <t>ACCIONES DE CONTROL Y AUDITORIA</t>
  </si>
  <si>
    <t>0012</t>
  </si>
  <si>
    <t>Actividades mensualizadas</t>
  </si>
  <si>
    <t>Jefe del Organo de Control</t>
  </si>
  <si>
    <t>Total 5000006</t>
  </si>
  <si>
    <t>Total general</t>
  </si>
  <si>
    <t>Dirección Regional de Salud Cajamarca</t>
  </si>
  <si>
    <t>FTE FTO</t>
  </si>
  <si>
    <t>MEJORAMIENTO DE LA OFERTA DE LOS SERVICIOS DE SALUD</t>
  </si>
  <si>
    <t>044</t>
  </si>
  <si>
    <t>096</t>
  </si>
  <si>
    <t>SERVICIOS DE SALUD</t>
  </si>
  <si>
    <t>5000438</t>
  </si>
  <si>
    <t>APOYO A LA COMUNIDAD</t>
  </si>
  <si>
    <t>0096</t>
  </si>
  <si>
    <t>ATENCION</t>
  </si>
  <si>
    <t>A OTRAS ORGANIZACIONES</t>
  </si>
  <si>
    <t>5000500</t>
  </si>
  <si>
    <t>ATENCION BASICA DE SALUD</t>
  </si>
  <si>
    <t>ESTABLECIMIENTO DE SALUD</t>
  </si>
  <si>
    <t>PERSONAL CONTRATADO</t>
  </si>
  <si>
    <t>PERSONAL SERUMS</t>
  </si>
  <si>
    <t>CARGOS BANCARIOS</t>
  </si>
  <si>
    <t>OTROS SERVICIOS FINANCIEROS</t>
  </si>
  <si>
    <t>EQUIPOS COMPUTACIONALES Y PERIFERICOS</t>
  </si>
  <si>
    <t>EQUIPOS</t>
  </si>
  <si>
    <t>ELECTRICIDAD Y ELECTRONICA</t>
  </si>
  <si>
    <t>MAQUINARIAS, EQUIPOS Y MOBILIARIOS DE OTRAS INSTALACIONES</t>
  </si>
  <si>
    <t>SOFTWARES</t>
  </si>
  <si>
    <t>5000619</t>
  </si>
  <si>
    <t>CONTROL SANITARIO</t>
  </si>
  <si>
    <t>043</t>
  </si>
  <si>
    <t>0093</t>
  </si>
  <si>
    <t>DIRECCION DE SALUD AMBIENTAL</t>
  </si>
  <si>
    <t>5000730</t>
  </si>
  <si>
    <t>EDUCACION, INFORMACION Y COMUNICACION DE SALUD</t>
  </si>
  <si>
    <t>0095</t>
  </si>
  <si>
    <t xml:space="preserve">OFICNIA DE COMUNICACIONES </t>
  </si>
  <si>
    <t>5000782</t>
  </si>
  <si>
    <t>FORMULACION DE NORMAS Y REGULACION SANITARIA</t>
  </si>
  <si>
    <t>INSPECCION</t>
  </si>
  <si>
    <t>5000859</t>
  </si>
  <si>
    <t>IDENTIFICACION, EVALUACION Y CONTROL DE RIESGOS Y DAÑOS EN SALUD OCUPACIONAL Y AMBIENTAL</t>
  </si>
  <si>
    <t>0094</t>
  </si>
  <si>
    <t>OFICINA DE EPIDEMIOLOGIA</t>
  </si>
  <si>
    <t>5000953</t>
  </si>
  <si>
    <t>MANTENIMIENTO Y REPARACION DE ESTABLECIMIENTOS DE SALUD</t>
  </si>
  <si>
    <t>OFICINA DE ADMINISTRACION</t>
  </si>
  <si>
    <t>5000991</t>
  </si>
  <si>
    <t>OBLIGACIONES PREVISIONALES</t>
  </si>
  <si>
    <t>PLANILLA</t>
  </si>
  <si>
    <t>OFICINA DE RECURSOS HUMANOS</t>
  </si>
  <si>
    <t>REGIMEN DE PENSIONES DL. 20530</t>
  </si>
  <si>
    <t>ESCOLARIDAD, AGUINALDOS Y GRATIFICACIONES</t>
  </si>
  <si>
    <t>GASTOS DE SEPELIO Y LUTO DEL PERSONAL PENSIONISTA</t>
  </si>
  <si>
    <t>5001160</t>
  </si>
  <si>
    <t>SALUD OCUPACIONAL</t>
  </si>
  <si>
    <t>5001189</t>
  </si>
  <si>
    <t>SERVICIOS DE APOYO AL DIAGNOSTICO Y TRATAMIENTO</t>
  </si>
  <si>
    <t>0098</t>
  </si>
  <si>
    <t>ANALISIS</t>
  </si>
  <si>
    <t>LABORATORIO</t>
  </si>
  <si>
    <t>5001195</t>
  </si>
  <si>
    <t>SERVICIOS GENERALES</t>
  </si>
  <si>
    <t>0097</t>
  </si>
  <si>
    <t>SERVICIO</t>
  </si>
  <si>
    <t>ADMINISTRACION</t>
  </si>
  <si>
    <t>5001285</t>
  </si>
  <si>
    <t>VIGILANCIA Y CONTROL DEL MEDIO AMBIENTE</t>
  </si>
  <si>
    <t>5001286</t>
  </si>
  <si>
    <t>VIGILANCIA Y CONTROL EPIDEMIOLOGICO</t>
  </si>
  <si>
    <t>EPIDEMIOLOGIA</t>
  </si>
  <si>
    <t>5001357</t>
  </si>
  <si>
    <t>MANTENIMIENTO Y ACTUALIZACION DEL PORTAL WEB</t>
  </si>
  <si>
    <t>005</t>
  </si>
  <si>
    <t>0006</t>
  </si>
  <si>
    <t>OFICINA DE ESTADISTICA</t>
  </si>
  <si>
    <t>PERSONAL ADMINISTRATIVO</t>
  </si>
  <si>
    <t>OTRAS RETRIBUCIONES Y COMPLEMENTOS</t>
  </si>
  <si>
    <t>OBLIGACIONES DEL EMPLEADOR</t>
  </si>
  <si>
    <t>5001562</t>
  </si>
  <si>
    <t>ATENCION EN CONSULTAS EXTERNAS</t>
  </si>
  <si>
    <t>5001563</t>
  </si>
  <si>
    <t>ATENCION EN HOSPITALIZACION</t>
  </si>
  <si>
    <t>PACIENTE ATENDIDO</t>
  </si>
  <si>
    <t>MEDICINA</t>
  </si>
  <si>
    <t>5001564</t>
  </si>
  <si>
    <t>INTERVENCIONES QUIRURGICAS</t>
  </si>
  <si>
    <t>INTERVENCION</t>
  </si>
  <si>
    <t>CIRUGIA</t>
  </si>
  <si>
    <t>5001568</t>
  </si>
  <si>
    <t>ATENCION DE CUIDADOS INTENSIVOS</t>
  </si>
  <si>
    <t>UNIDAD DE CUIDADOS INTENSIVOS</t>
  </si>
  <si>
    <t>5001569</t>
  </si>
  <si>
    <t>COMERCIALIZACION DE MEDICAMENTOS E INSUMOS</t>
  </si>
  <si>
    <t>DIRECCION DE MEDICAMENTOS INSUMOS Y DROGAS</t>
  </si>
  <si>
    <t>OTROS</t>
  </si>
  <si>
    <t>AIRE ACONDICIONADO Y REFRIGERACION</t>
  </si>
  <si>
    <t>5001835</t>
  </si>
  <si>
    <t>ATENCION DE RECETAS EN FARMACIA</t>
  </si>
  <si>
    <t>RECETA</t>
  </si>
  <si>
    <t>FARMACIA</t>
  </si>
  <si>
    <t>SIMBOLOS, DISTINTIVOS Y CONDECORACIONES</t>
  </si>
  <si>
    <t>5001837</t>
  </si>
  <si>
    <t>ATENCION EN BANCO DE SANGRE</t>
  </si>
  <si>
    <t>BANCO DE ANGRE</t>
  </si>
  <si>
    <t>5001838</t>
  </si>
  <si>
    <t>5001839</t>
  </si>
  <si>
    <t>ATENCION EN MEDICINA FISICA Y REHABILITACION</t>
  </si>
  <si>
    <t>FISIOTERAPIA</t>
  </si>
  <si>
    <t>5001859</t>
  </si>
  <si>
    <t>BRINDAR APOYO AL DIAGNOSTICO POR IMAGENES</t>
  </si>
  <si>
    <t>EXAMEN</t>
  </si>
  <si>
    <t>RADIOLOGIA</t>
  </si>
  <si>
    <t>5002190</t>
  </si>
  <si>
    <t>PREPARACION DE ALIMENTOS PARA PACIENTES HOSPITALIZADOS</t>
  </si>
  <si>
    <t>NUTRICION</t>
  </si>
  <si>
    <t>5002247</t>
  </si>
  <si>
    <t>REALIZAR ATENCION EN ANATOMIA PATOLOGICA</t>
  </si>
  <si>
    <t>PATOLOGIA</t>
  </si>
  <si>
    <t>5005467</t>
  </si>
  <si>
    <t>MANTENIMIENTO PARA EQUIPAMIENTO E INFRAESTRUCTURA HOSPITALARIA</t>
  </si>
  <si>
    <t>0010</t>
  </si>
  <si>
    <t>Aldea Infantil San Antonio</t>
  </si>
  <si>
    <t>Gestión de Recursos Humanos</t>
  </si>
  <si>
    <t>Gestión de RR.HH</t>
  </si>
  <si>
    <t>23.11.12</t>
  </si>
  <si>
    <t>Personal Administrativo Nombrado (Regimen Público)</t>
  </si>
  <si>
    <t>Clima Laboral</t>
  </si>
  <si>
    <t>Nivel de satisfacción del personal</t>
  </si>
  <si>
    <t>Personal Contratado a Plazo Fijo (Regimen Laboral Prinvado)</t>
  </si>
  <si>
    <t>ASIGNACIÓN A FONDOS PARA PERSONAL</t>
  </si>
  <si>
    <t>Bonificación por Escolaridad</t>
  </si>
  <si>
    <t>21.19.21</t>
  </si>
  <si>
    <t>Compensación por Tiempo de Servicios</t>
  </si>
  <si>
    <t>21.19.31</t>
  </si>
  <si>
    <t>Asignación por Cumplir 25</t>
  </si>
  <si>
    <t>21.19.33</t>
  </si>
  <si>
    <t>Compensación Vacacional</t>
  </si>
  <si>
    <t>Contribuciones a Essalud</t>
  </si>
  <si>
    <t>22.23.42</t>
  </si>
  <si>
    <t>Gastos de Sepelio y Luto</t>
  </si>
  <si>
    <t>Contrato Adminstrativo de Servicios</t>
  </si>
  <si>
    <t>Atención integral en alimentación, vestuario, calzado, material de enseñanza   de los  residentes del CAR "SAN ANTONIO"</t>
  </si>
  <si>
    <t>N° de NNA atendidos</t>
  </si>
  <si>
    <t>Menor albergado</t>
  </si>
  <si>
    <t>Dirección</t>
  </si>
  <si>
    <t>Vestuario Accesorios y</t>
  </si>
  <si>
    <t>23.13.12</t>
  </si>
  <si>
    <t>Gases</t>
  </si>
  <si>
    <t>Aseo Limpieza y Tocador</t>
  </si>
  <si>
    <t>23.19.11</t>
  </si>
  <si>
    <t>Libros Textos y Otros</t>
  </si>
  <si>
    <t>23.19.12</t>
  </si>
  <si>
    <t>Material Didáctico</t>
  </si>
  <si>
    <t>Operatividad Institucional de la AISA de las diferentes oficinas para atención   de los  residentes del CAR "SAN ANTONIO"</t>
  </si>
  <si>
    <t xml:space="preserve">Repuestos y Accesorios </t>
  </si>
  <si>
    <t>23.15.32</t>
  </si>
  <si>
    <t xml:space="preserve">De cocina, Comedor y </t>
  </si>
  <si>
    <t>23.15.41</t>
  </si>
  <si>
    <t>Electricida Iluminación y</t>
  </si>
  <si>
    <t>23.19.1.99</t>
  </si>
  <si>
    <t>Otros Materiales Diversos</t>
  </si>
  <si>
    <t>23.1.99.13</t>
  </si>
  <si>
    <t>Libros Diarios y Revistas</t>
  </si>
  <si>
    <t>23.1.99.1.99</t>
  </si>
  <si>
    <t>23.21.2.99</t>
  </si>
  <si>
    <t>Servicio de Agua y Desague</t>
  </si>
  <si>
    <t>Correos y Servicios</t>
  </si>
  <si>
    <t xml:space="preserve">De Edificaciones y Oficinas </t>
  </si>
  <si>
    <t>De Maquinarias y Equipos</t>
  </si>
  <si>
    <t xml:space="preserve">Seguro Obligatorio </t>
  </si>
  <si>
    <t>Reinserción familiar del albergado.</t>
  </si>
  <si>
    <t>Número de menores reinsertados a su familia.</t>
  </si>
  <si>
    <t>Menor reinsertado</t>
  </si>
  <si>
    <t>Asistenta Social</t>
  </si>
  <si>
    <t>Pasajes y Gastos</t>
  </si>
  <si>
    <t>informes</t>
  </si>
  <si>
    <t>23.18.12</t>
  </si>
  <si>
    <t>Medicamentos</t>
  </si>
  <si>
    <t>Talleres</t>
  </si>
  <si>
    <t>1.2.1 Promoción de la participación social y comunitaria en salud, con enfoque de determinantes sociales.
1.2.2.Fortalecer la capacidad resolutiva bajo el enfoque del modelo de atención integral en salud basada en el enfoque de familia y comunidad</t>
  </si>
  <si>
    <t>Sub Gerencia de Asuntos Poblacionales-Especialista en Promoción Social</t>
  </si>
  <si>
    <t>9001.ACCIONES CENTRALES</t>
  </si>
  <si>
    <t>GESTIÓN ADMINISTRATIVA</t>
  </si>
  <si>
    <t>054573.Acciones de Asuntos poblacionales</t>
  </si>
  <si>
    <t>06</t>
  </si>
  <si>
    <t>1.  Implementación de estrategias, acciones y propuestas integrales para asegurar el cumplimiento de los compromisos en el Marco de los Convenios FONDO DE ESTÍMULO AL DESEMPEÑO (FED), Salud Materna Neonatal-BELGA, SIS Capitado, Intercambio Prestacional a fin de mejorar la salud de la población de Cajamarca, considerando las prioridades regionales.</t>
  </si>
  <si>
    <t>1.1.</t>
  </si>
  <si>
    <t>Aprobación del Plan de supervisión y evaluación a equipos técnicos de las U.E. para lograr el cumplimiento de compromisos de gestión de los Convenios FED, BELGA, INTERCAMBIO PRESTACIONAL Y SIS CÁPITA</t>
  </si>
  <si>
    <t>Plan aprobado</t>
  </si>
  <si>
    <t>Sub Gerencia de Asuntos Poblacionales</t>
  </si>
  <si>
    <t>FINANCIERA (RO/RD)</t>
  </si>
  <si>
    <t>Papelería en general y útiles de escritorio.</t>
  </si>
  <si>
    <t>Servicio de Consultorías</t>
  </si>
  <si>
    <t>Implementar participativa y concertadamente el plan de supervisión y evaluación a equipos técnicos de las U.E. para lograr el cumplimiento de compromisos de gestión de los Convenios FED, BELGA, INTERCAMBIO PRESTACIONAL Y SIS CÁPITA</t>
  </si>
  <si>
    <t>Número de acciones realizadas.</t>
  </si>
  <si>
    <t>Otras atenciones y</t>
  </si>
  <si>
    <t>Mejorar ciclo de documentación y aseguramiento oportuno a través de alianzas multisectoriales (RENIEC, Programas Sociales,SIS)</t>
  </si>
  <si>
    <t>Gestionar la aprobación de una política de RRHH en salud.</t>
  </si>
  <si>
    <t>Generar estrategias para mejorar los procesos administrativos en salud.</t>
  </si>
  <si>
    <t>Número de estrategias realziadas.</t>
  </si>
  <si>
    <t>2. Implementación de estrategias, acciones y propuestas integrales para asegurar el cumplimiento de las metas MINSA.</t>
  </si>
  <si>
    <t>Aprobación del Plan de supervisión y evaluación a equipos técnicos de las U.E. para lograr el cumplimiento de indicadores MINSA</t>
  </si>
  <si>
    <t>Implementación del Plan de supervisión y evaluación a equipos técnicos de las U.E. para lograr el cumplimiento de metas MINSA</t>
  </si>
  <si>
    <t>Número de estrategias implementadas.</t>
  </si>
  <si>
    <t>3. Implementación de Acuerdos y Planes de trabajo con Organizaciones de Base, Instituciones Públicas y Privadas para la Vigilancia Comunitaria y el desarrollo de la Investigación en la Región en el marco de las prioridades regionales</t>
  </si>
  <si>
    <t>Promover  en las organizaciones de base la vigilancia comunitaria en el marco de prioridades regionales de salud.</t>
  </si>
  <si>
    <t>Número de provincias con bases organizadas.</t>
  </si>
  <si>
    <t>Promover el desarrollo de investigaciones científicas en base a las prioridades sanitarias regionales.</t>
  </si>
  <si>
    <t>Número de Investigaciones realizadas por las redes de investigaci{on multisectoriales</t>
  </si>
  <si>
    <t>4.  EVALUACIÓN DE LA GESTION Y EJECUCIÓN PRESUPUESTAL DE LOS PROGRAMAS PRESUPUESTALES DE SALUD.</t>
  </si>
  <si>
    <t>Monitorear la evolución  de indicadores de los programas presupuestales.</t>
  </si>
  <si>
    <t>Monitorear la ejecución presupuestal a fin de garantizar la calidad del gasto de los programas presupuestales.</t>
  </si>
  <si>
    <t>Implementar estrategias para garantizar la EFECTIVIDAD DEL GASTO : EVOLUCIÓN DEL PRESUPUESTO V/S EVOLUCIÓN DEL INDICADOR de los programas presupuestales.</t>
  </si>
  <si>
    <t>5.  Implementar estrategias para garantizar el consumo de agua segura y saneamiento básico en la Región Cajamarca</t>
  </si>
  <si>
    <t>Promover la articulación de alianzas público-privadas para mejorar el consumo de agua segura y elsaneamiento básico de  la región</t>
  </si>
  <si>
    <t>Número de alianzas establecidas</t>
  </si>
  <si>
    <t>Monitoreo permanente de las actividades de la Dirección Regional de Vivienda.</t>
  </si>
  <si>
    <t>Promover la articulación de alianzas con gobiernos locales para el fortalecimiento de las capacidades de las juntas administradoras de agua y saneamiento.</t>
  </si>
  <si>
    <t>6.GESTIÓN DE RRHH</t>
  </si>
  <si>
    <t>Pago de Planillas</t>
  </si>
  <si>
    <t>NUMERO DE REMUNERACIONES</t>
  </si>
  <si>
    <t>Contrato Administrativo de servicios</t>
  </si>
  <si>
    <t>Contribuciones ESSALUD</t>
  </si>
  <si>
    <t>NUMERO DE CONTRIBUCIONES</t>
  </si>
  <si>
    <t>22.28.12</t>
  </si>
  <si>
    <t xml:space="preserve">CONTRIBUSIONES A ESSALUD DEL  PERSONAL </t>
  </si>
  <si>
    <t>PROTECCIÓN SOCIAL</t>
  </si>
  <si>
    <t>Social y Cultural</t>
  </si>
  <si>
    <t>Garantizar el ejercicio pleno de los derechos fundamentales de los cajamarquinos</t>
  </si>
  <si>
    <t>1.3. Promover igualdad de oportunidades y desarrollo de las personas  con discapacidad y grupos sociales tradicionalmenteexcluidos</t>
  </si>
  <si>
    <t>1.3.1 Garantizar  a las personas  con discapacidad  y grupos  tradicionalmente  excluidos  el acceso  a los servicios  públicos  básicos.
1.3.2 Fomentar  mecanismos  de emprendurismo  adecuados  a las condiciones  de las personas  con discapacidad  y grupos  tradicionalmente excluidos 
1. Fortalecer la participación social orientada a mejorar la gobernabilidad e impulsar el desarrollo socio - económico de sectores poblacionales vulnerables.(estrtegia PDRC)
2. Promover la organización y participación efectiva de los jóvenes en los espacios de toma de decisiones para el desarrollo (estrtegia PDRC)</t>
  </si>
  <si>
    <t>ÁREA DE PROTECCIÓN SOCIAL-Especialista en Protección Social</t>
  </si>
  <si>
    <t xml:space="preserve">9002: ASIGNACIONES PRESUPUESTARIAS QUE NO RESULTAN EN PRODUCTOS </t>
  </si>
  <si>
    <t>5001122.PROTECCIÓN SOCIAL</t>
  </si>
  <si>
    <t>23: PROTECCION SOCIAL</t>
  </si>
  <si>
    <t>051: ASISTENCIA SOCIAL</t>
  </si>
  <si>
    <t>0114: DESARROLLO DE CAPACIDADES SOCIALES Y ECONOMICAS</t>
  </si>
  <si>
    <t xml:space="preserve">Acción </t>
  </si>
  <si>
    <t xml:space="preserve">1. Protección de niños, niñas y adolescentes-NNA,  en situación de riesgo </t>
  </si>
  <si>
    <t>Promover la participación de NNA en el ciclo de políticas públicas que les imvolucran o interesan (resultado N°18 del Plan Nacional de acción por lainfancia y adolescencia - PNAIA  2012-2021),</t>
  </si>
  <si>
    <t>0054573:Acciones de asuntos poblacionales</t>
  </si>
  <si>
    <t xml:space="preserve">Número de CCONNAs provinciales y regional  </t>
  </si>
  <si>
    <t>RESOLUCIÓN DE CREACIÓN DE CCONNAs</t>
  </si>
  <si>
    <t xml:space="preserve">Área de Protección Social </t>
  </si>
  <si>
    <t>Otras atenciones y celebraciones.</t>
  </si>
  <si>
    <t xml:space="preserve">Pasajes y gastos </t>
  </si>
  <si>
    <t xml:space="preserve">Combustibles y carburantes </t>
  </si>
  <si>
    <t>Promover la elaboración de  políticas frente al trabajo infantil y trabajo peligroso (resultado N°6 y N°8  del PNAIA)en coordinación con la Dirección regional de Trabajo y Promoción del Empleo</t>
  </si>
  <si>
    <t>Número de politicas a nivel de la región (regional y locales )</t>
  </si>
  <si>
    <t xml:space="preserve">OR/Resolucion /Directiva </t>
  </si>
  <si>
    <t xml:space="preserve">correo y servicio de mensajería </t>
  </si>
  <si>
    <t>23.21.20</t>
  </si>
  <si>
    <t>Pasajes y gastos de tansporte.</t>
  </si>
  <si>
    <t xml:space="preserve">Otras atencions y </t>
  </si>
  <si>
    <t>Promover la elaboración de  política para la reducción de embarazos adolescentes (resultado N°9  del PNAIA) en coordinación con la Dirección Regional de Salud</t>
  </si>
  <si>
    <t>Número de acciones para promover politicas a nivel de la región (regional y locales )</t>
  </si>
  <si>
    <t xml:space="preserve">correo y servicio de mensajería  </t>
  </si>
  <si>
    <t>viáticos y asignaciones por</t>
  </si>
  <si>
    <t xml:space="preserve">Pasajes y gastos de </t>
  </si>
  <si>
    <t xml:space="preserve">combustible y carburantes </t>
  </si>
  <si>
    <t>23.27.10.97</t>
  </si>
  <si>
    <t xml:space="preserve">otras atencions y </t>
  </si>
  <si>
    <t xml:space="preserve">Evaluación del POI de la Aldea  Infantil San Antonio </t>
  </si>
  <si>
    <t>Número de informes</t>
  </si>
  <si>
    <t xml:space="preserve">Monitorear actividades de la Aldade Infantil  San Antonio </t>
  </si>
  <si>
    <t>Numero de reuniones</t>
  </si>
  <si>
    <t xml:space="preserve"> reuniones</t>
  </si>
  <si>
    <t>2. FORTALECER CAPACIDADES DE PARITICIPACIÓN DE JOVENES</t>
  </si>
  <si>
    <t>Fortalecer los espacios de participación juvenil -COREJU</t>
  </si>
  <si>
    <t xml:space="preserve">Número de encuentros juveniles </t>
  </si>
  <si>
    <t xml:space="preserve">encuentro </t>
  </si>
  <si>
    <t xml:space="preserve">servicio de impresiones </t>
  </si>
  <si>
    <t>Promover el aprovechamiento del Bono Demográfico (en el marco del Plan regional de Poblaciones-PRP-2012-2016)</t>
  </si>
  <si>
    <t xml:space="preserve">Número de acciones para aprovechar el bono demografico </t>
  </si>
  <si>
    <t xml:space="preserve">Aprobacion plan de volunturiado juvenil </t>
  </si>
  <si>
    <t>Número de planes aprobados</t>
  </si>
  <si>
    <t>OR-Resolucion de aprobación/</t>
  </si>
  <si>
    <t xml:space="preserve">otras atenciones y </t>
  </si>
  <si>
    <t xml:space="preserve">Ejecución del Plan Regional de voluntariado juvenil </t>
  </si>
  <si>
    <t xml:space="preserve">Número de jovenes  voluntarios </t>
  </si>
  <si>
    <t xml:space="preserve">Registro de voluntarios </t>
  </si>
  <si>
    <t xml:space="preserve"> 3.FORTALECER CAPACIDADES PARITICIPACIÓN DE MUJERES</t>
  </si>
  <si>
    <t xml:space="preserve">Fortalecer y promover la creación de casas refugio para mujeres maltratadas </t>
  </si>
  <si>
    <t xml:space="preserve">Número de propuestas </t>
  </si>
  <si>
    <t>Propuestas</t>
  </si>
  <si>
    <t xml:space="preserve">Fortalecer los espacios de participacion de mujeres </t>
  </si>
  <si>
    <t xml:space="preserve">Número de encuentros de mujeres </t>
  </si>
  <si>
    <t xml:space="preserve">Encuentro </t>
  </si>
  <si>
    <t>vestuario y accesorios y prendas divi</t>
  </si>
  <si>
    <t>4. PROTECCIÓN A LAS PERSONAS ADULTAS MAYORES PAM EN SITUACIÓN DE RIESGO</t>
  </si>
  <si>
    <t>Actualizar de manera continua el  Registro de Central de Organizaciones de Personas Adultas Mayores</t>
  </si>
  <si>
    <t xml:space="preserve">N° de organizaciones de PAMs incorporadas al registro </t>
  </si>
  <si>
    <t>Organziaciones PAMs registradas.</t>
  </si>
  <si>
    <t>Implementación de la Ley N° 28303 Ley de la Persona Adulta Mayor (creación de Centros Integrales para Adultos Mayores-CIAMs)</t>
  </si>
  <si>
    <t>N° de instituciones que ejecutan acciones en el marco del cumplimiento de la Ley N°28303</t>
  </si>
  <si>
    <t xml:space="preserve">correos y servicios  de mensajeria </t>
  </si>
  <si>
    <t>5. PROMOVER ACCIONES PARA PROMOVER CULTURA DE PAZ , TRANSVERSALIZACION DE GÉNERO, LUCHA CONTRA LA VIOLENCIA FAMILIAR Y SEXUAL y DISCRIMINACIÓN (NNA, jovenes adultos(as) y PAM)</t>
  </si>
  <si>
    <t xml:space="preserve">Implementar acciones para acortar las brechas de atención médica especializada en beneficio de las poblaciones vulnerables </t>
  </si>
  <si>
    <t xml:space="preserve">Número de acciones </t>
  </si>
  <si>
    <t xml:space="preserve">Número de acciones de difusion </t>
  </si>
  <si>
    <t xml:space="preserve">Difusión de políticas públicas nacionales y regionales en beneficio de poblaciones vulnerables </t>
  </si>
  <si>
    <t xml:space="preserve">Número de asistencias ténicas </t>
  </si>
  <si>
    <t xml:space="preserve">informe </t>
  </si>
  <si>
    <t xml:space="preserve">Fortalecer el trabajo interinstitucional para monitorear las politicas publicas nacionales y regionales  en benficio de las poblaciones vulnerables </t>
  </si>
  <si>
    <t xml:space="preserve">Número  de acciones interintitucionales </t>
  </si>
  <si>
    <t>Cursos</t>
  </si>
  <si>
    <t>Brindar asistencia tecnica permanente a los GL, CARs, CARPAMs, Beneficencias Públicas</t>
  </si>
  <si>
    <t xml:space="preserve">Número instituciones asistidas </t>
  </si>
  <si>
    <t xml:space="preserve">Elaboración de plan de monitoreo GL, CARs, CARPAMs, Beneficencias Públicas en la ejecucion de políticas apoblaciones vulnerables </t>
  </si>
  <si>
    <t>051: ASISTENCIA SOCIA</t>
  </si>
  <si>
    <t xml:space="preserve">Número de planes elaborados </t>
  </si>
  <si>
    <t xml:space="preserve">plan aprobado </t>
  </si>
  <si>
    <t>Fortalecer capacidades de instituciones públuicas yo privasdas</t>
  </si>
  <si>
    <t xml:space="preserve">Número de cursos  implementados </t>
  </si>
  <si>
    <t>cursos</t>
  </si>
  <si>
    <t>Número de capacitaciones</t>
  </si>
  <si>
    <t>6. GESTIÓN DE RR.HH</t>
  </si>
  <si>
    <t>PAGO DE PLANILLA</t>
  </si>
  <si>
    <t>Número de Remuneraciones</t>
  </si>
  <si>
    <t xml:space="preserve">CONTRATO ADMINISTRATIVO DE SERVICIOS  </t>
  </si>
  <si>
    <t>6.2.</t>
  </si>
  <si>
    <t>CONTRIBUCIÓN ESSALUD</t>
  </si>
  <si>
    <t>Número de Contribuciones</t>
  </si>
  <si>
    <t>1.2.1 Promoción de la participación social y comunitaria en salud, con enfoque de determinantes sociales.
1.2.2.Fortalecer la capacidad resolutiva bajo el enfoque del modelo de atención integral en salud basado en el enfoque de familia y comunidad</t>
  </si>
  <si>
    <t>Implementación del Plan de supervisión y evaluación a equipos técnicos de las U.E. para lograr el cumplimiento de indicadores MINSA</t>
  </si>
  <si>
    <t>Número de remuneraciones</t>
  </si>
  <si>
    <t xml:space="preserve">Unidad </t>
  </si>
  <si>
    <t>Número de contribuciones</t>
  </si>
  <si>
    <t xml:space="preserve">CONTRIBUCIONES A ESSALUD DEL  PERSONAL </t>
  </si>
  <si>
    <t>ÁREA DE PROTECCIÓN SOCIAL</t>
  </si>
  <si>
    <t xml:space="preserve">Informe </t>
  </si>
  <si>
    <t>Reunión</t>
  </si>
  <si>
    <t>Propuesta</t>
  </si>
  <si>
    <t>Organziación PAM registrada.</t>
  </si>
  <si>
    <t>Curso</t>
  </si>
  <si>
    <t xml:space="preserve">Plan </t>
  </si>
  <si>
    <t>Número de Remuneraciones.</t>
  </si>
  <si>
    <t>SIN PROGRAMA</t>
  </si>
  <si>
    <t xml:space="preserve">Curso </t>
  </si>
  <si>
    <t>2.1.2. Fortalecer la inclusión social y promoviendo la igualdad de oportunidades en el departamento de Cajamarca.</t>
  </si>
  <si>
    <t>Gerencia Regional de Desarrollo Social</t>
  </si>
  <si>
    <t>9001</t>
  </si>
  <si>
    <t>Acciones de Coordinación para el Desarrollo Social</t>
  </si>
  <si>
    <t>Desarrollo Social</t>
  </si>
  <si>
    <t>025</t>
  </si>
  <si>
    <t>0050</t>
  </si>
  <si>
    <t>Intervenciones articuludas para el cierre de brechas.</t>
  </si>
  <si>
    <t>23.1 1.1 1</t>
  </si>
  <si>
    <t>Alimentos y bebidas para consumo humano</t>
  </si>
  <si>
    <t>23.1 3.1 1</t>
  </si>
  <si>
    <t>23.1 5.1 1</t>
  </si>
  <si>
    <t>23.1 5.1 2</t>
  </si>
  <si>
    <t>Papeleria en general, útiles y materiales de oficina</t>
  </si>
  <si>
    <t>23.1 5.3 1</t>
  </si>
  <si>
    <t>23.2 1.2 1</t>
  </si>
  <si>
    <t>Pasajes y gastos de transportes</t>
  </si>
  <si>
    <t>23.2 1.2 2</t>
  </si>
  <si>
    <t xml:space="preserve">Viaticos y asignación por comisión de servicios </t>
  </si>
  <si>
    <t>23.2 5.1 1</t>
  </si>
  <si>
    <t>De edificios y estructuras</t>
  </si>
  <si>
    <t>23.2 7.10 99</t>
  </si>
  <si>
    <t>Otras atenciones y celebraciones</t>
  </si>
  <si>
    <t>23.2 8.1 1</t>
  </si>
  <si>
    <t>Contrato Administrativo de servicios (CAS)</t>
  </si>
  <si>
    <t>23.2 8.1 2</t>
  </si>
  <si>
    <t>Contribuciones a Essalud de CAS</t>
  </si>
  <si>
    <t>1.2.1 Promoción de la participación social y comunitaria en salud, con enfoque de determinantes sociales.
1.2.2 Fortalecer la capacidad resolutiva bajo el enfoque del Modelo de Atencion Integral en Salud basado en el enfoque de familia y comunidad</t>
  </si>
  <si>
    <t>Oficina Regional de Desarrollo Infantil y Nutrición</t>
  </si>
  <si>
    <t>Programa Presupuestal Articulado Nutricional</t>
  </si>
  <si>
    <t>R1</t>
  </si>
  <si>
    <t>ORDIN</t>
  </si>
  <si>
    <t>Acciones de Gestión institucional permanente por el Desarrollo Infantil Temprano
Coordinación, Organización y planeamiento</t>
  </si>
  <si>
    <t>SALUD</t>
  </si>
  <si>
    <t>GESTIÓN</t>
  </si>
  <si>
    <t>Evelyn Facho y Equipo Técnico de la GRDS</t>
  </si>
  <si>
    <t>R2</t>
  </si>
  <si>
    <t xml:space="preserve">
Desarrollo Comunitario a través del trabajo articulado entre GL-Comunidad-II-EE, priorizando el Desarrollo Infantil y Nutrición</t>
  </si>
  <si>
    <t xml:space="preserve">N° Reuniones </t>
  </si>
  <si>
    <t>Actas de acuerdos y compromisos</t>
  </si>
  <si>
    <t>R3</t>
  </si>
  <si>
    <t>Promover mejoras en la gestión territorial mediante la priorización de proyectos, acciones y uso de espacios públicos a favor del Desarrollo Infantil y Nutrición</t>
  </si>
  <si>
    <t>SEGUIMIENTO Y MONITOREO</t>
  </si>
  <si>
    <t>R4</t>
  </si>
  <si>
    <t>Promover el desarrollo de entornos apropiados para el DIT con inclusión, en base a intervenciones regionales, locales basada en evidencias</t>
  </si>
  <si>
    <t>Informes, actas y propuestas</t>
  </si>
  <si>
    <t>PLAN DE ACCIÓN</t>
  </si>
  <si>
    <t>1.2.1 Promoción de la Participación Social y Comunitaria en Salud, con enfoque de detrminantes sociales</t>
  </si>
  <si>
    <t>Promover la ejecución de Programas de Vivienda Urbanos y Rurales.</t>
  </si>
  <si>
    <t>Evento</t>
  </si>
  <si>
    <t>Dirección de Vivienda y Urbanismo</t>
  </si>
  <si>
    <t>Repuestos</t>
  </si>
  <si>
    <t>Viaticos y asig. Personal Por Comision de Serv.</t>
  </si>
  <si>
    <t>Incentivar la participación de Promotores privados de la zona en los Programas de Vivienda</t>
  </si>
  <si>
    <t>Alquiler de Edificios y Estructura</t>
  </si>
  <si>
    <t>23.25.12</t>
  </si>
  <si>
    <t>alquiler de Vehiculo</t>
  </si>
  <si>
    <t>23.27.32</t>
  </si>
  <si>
    <t>Contrato de Personal (Capacitacion)</t>
  </si>
  <si>
    <t>Difusión del Plan Nacional de Vivienda y de la Normativa de Edificación</t>
  </si>
  <si>
    <t>Promover la formulación y ejecución de Planes de Desarrollo Urbano</t>
  </si>
  <si>
    <t>Asesoramiento e inscripción de grupos familiares para la participación del Bono Familiar Habitacional.</t>
  </si>
  <si>
    <t>Asesorar a Gobiernos Locales para la formulación de expedientes Técnicos para postular al programa de Mejoramiento de Pueblos</t>
  </si>
  <si>
    <t>Gobiernos Locales</t>
  </si>
  <si>
    <t>Participar en el proceso de elaboración de los Planos Prediales de la jurisdicción del Departamento de Cajamarca</t>
  </si>
  <si>
    <t>evento</t>
  </si>
  <si>
    <t>Actualización, Promoción, seguimiento y evaluación del Plan Regional de Saneamiento Integral y Políticas Públicas Regionales en Agua y Saneamiento.</t>
  </si>
  <si>
    <t>Dirección de Construccion, Saneamiento y Medio Ambiente</t>
  </si>
  <si>
    <t>Promoción, Asistencia Técnica y Capacitación en materia de Saneamiento y Construcción.</t>
  </si>
  <si>
    <t>127 Gob. Locales</t>
  </si>
  <si>
    <t>Jornadas de Fortalecimiento a los Gobiernos Locales "JORASFOGOL" (Jornadas Regionales de Asistencia y Fortalecimiento a Gobiernos Locales)</t>
  </si>
  <si>
    <t>Fortalecimiento del CER AyS  y de los CILs. (CER: Comité Ejecutivo Regional; CILs: Comités Impulsores Locales) de agua y saneamiento</t>
  </si>
  <si>
    <t>Direccion Regional de Vivienda Construccion y Saneamiento</t>
  </si>
  <si>
    <t>Asesoramiento en la formulacion de planes locales de saneamiento en el ambito del Departamento de Cajamarca</t>
  </si>
  <si>
    <t>Asistencia Técnica y seguimiento a gobiernos locales para el cumplimiento de actividades  dentro del marco de incentivos municipales (Plan de Incentivos , Sello Municipal - CAD)</t>
  </si>
  <si>
    <t>124 Gob. Locales</t>
  </si>
  <si>
    <t>Gob. Locales</t>
  </si>
  <si>
    <t>Dirección Regional de Vivienda Construccion y Saneamiento</t>
  </si>
  <si>
    <t>Coordinación , asistencia, aprobación de documentos técnico administrativos y de gestión de la Dirección Regional de VCS.</t>
  </si>
  <si>
    <t>Atenciones</t>
  </si>
  <si>
    <t>Dirección Regional de Comercio Exterior y Turismo de Cajamarca</t>
  </si>
  <si>
    <t>Acciones que no resultan en producto</t>
  </si>
  <si>
    <t>Tipo de Ejecución</t>
  </si>
  <si>
    <t>Monitoreo a los perfiles de Museo de las Culturas, Pacopampa y seguimiento  al expedientes técnico de Layzón.</t>
  </si>
  <si>
    <t>% de acciones ejecutadas</t>
  </si>
  <si>
    <t>Área de Planificación</t>
  </si>
  <si>
    <t>2.3.2.1.1.2</t>
  </si>
  <si>
    <t>2.3.2.1.2.1.</t>
  </si>
  <si>
    <t>Acciones Administrativas (servicios luz, teléfono, agua, servicio de limpieza, pago correo, otros)</t>
  </si>
  <si>
    <t>Área de Administración</t>
  </si>
  <si>
    <t>2.3.2.2.1.1.</t>
  </si>
  <si>
    <t>2.3.2.2.2.2.</t>
  </si>
  <si>
    <t>Correo y servicio de courier</t>
  </si>
  <si>
    <t>Alquiler de edificios y estructuras</t>
  </si>
  <si>
    <t>2.3.2.7.1.1.99</t>
  </si>
  <si>
    <t>2.3.1.5.1.2.</t>
  </si>
  <si>
    <t>Papelería en general, útiles de escritorio</t>
  </si>
  <si>
    <t>2.3.1.3.1.1.</t>
  </si>
  <si>
    <t>2.3.1.1.1.1.</t>
  </si>
  <si>
    <t>Alimentos y bebidas</t>
  </si>
  <si>
    <t>2.3.1.5.3.1.</t>
  </si>
  <si>
    <t>Aseo, limpieza</t>
  </si>
  <si>
    <t>2.3.1.9.9.1.99</t>
  </si>
  <si>
    <t>Otros bienes</t>
  </si>
  <si>
    <t>2.3.2.1.2.1</t>
  </si>
  <si>
    <t>Pasajes y Gastos de transporte</t>
  </si>
  <si>
    <t>2.3.2.1.2.2.</t>
  </si>
  <si>
    <t>Viàticos y asignaciones</t>
  </si>
  <si>
    <t>2.3.2.1.2.99</t>
  </si>
  <si>
    <t>Otros gastos otros</t>
  </si>
  <si>
    <t>2.3.2.2.4.4.</t>
  </si>
  <si>
    <t>2.6.3.2.3.1.</t>
  </si>
  <si>
    <t>Equipos computacionales y perifèricos</t>
  </si>
  <si>
    <t>2.3.6.1.3.2.</t>
  </si>
  <si>
    <t>Softwares</t>
  </si>
  <si>
    <t>ACCIONES DE TURISMO</t>
  </si>
  <si>
    <t>Calificar a los prestadores de servicios turísticos de la región, de acuerdo con las normas legales correspondientes</t>
  </si>
  <si>
    <t>% de calificación de los Prestadores Turísticos otorgados</t>
  </si>
  <si>
    <t>Calificación</t>
  </si>
  <si>
    <t>Área de Turismo</t>
  </si>
  <si>
    <t xml:space="preserve">Llevar y mantener actualizado el inventario de recursos turísticos </t>
  </si>
  <si>
    <t>% de Recurso Jerarquizados</t>
  </si>
  <si>
    <t>Jerarquizados</t>
  </si>
  <si>
    <t>Disponer facilidades y medidas de seguridad a los turistas, asi como ejecutar campañas regionales de protección al turista y difusión de conciencia turistica, en coordinación con otros organismos públicos y privados.</t>
  </si>
  <si>
    <t>% de actividades ejecutadas del Plan Regional de Protección al Turista</t>
  </si>
  <si>
    <t>Actividades</t>
  </si>
  <si>
    <t>2.3.2.7.10.99</t>
  </si>
  <si>
    <t>% de acciones y/o actividades ejecutadas en el Plan Estratégico Regional de Turismo</t>
  </si>
  <si>
    <t>Verificar el cumplimiento de las normas de medio ambiente y preservación de recursos naturales de la región, relacionadas con la actividad turística.</t>
  </si>
  <si>
    <t xml:space="preserve">Declarar eventos de interés regional </t>
  </si>
  <si>
    <t xml:space="preserve">% de Eventos turísticos declarados de interés regional </t>
  </si>
  <si>
    <t>Eventos</t>
  </si>
  <si>
    <t>Coordinar con los Gobiernos Locales las acciones en materia de turismo de alcance regional.(convenios)</t>
  </si>
  <si>
    <t xml:space="preserve">% de convenios firmados </t>
  </si>
  <si>
    <t>Convenios</t>
  </si>
  <si>
    <t>Superviciones</t>
  </si>
  <si>
    <t>Promover la formación y capacitación del personal que participa en la actividad turística.</t>
  </si>
  <si>
    <t>Organizar y conducir las actividades de promoción turística de la región en coordinación con las organizaciones de la actividad turística y los gobiernos locales.(Corpus Cristy, Florecer en Cajamarca)</t>
  </si>
  <si>
    <t>% de actividades de promoción turística</t>
  </si>
  <si>
    <t>2.3.2.4.15</t>
  </si>
  <si>
    <t>Alquiler de maquinarias y equipos</t>
  </si>
  <si>
    <t>2.3.2.7.11.99</t>
  </si>
  <si>
    <t>Desarrollar circuitos turísticos que puedan convertirse en ejes del desarrollo regional (Ruta Atahualpa)</t>
  </si>
  <si>
    <t xml:space="preserve">Desarrollo del Programa de Turismo Rural Comunitario </t>
  </si>
  <si>
    <t>% de personas capacitadas</t>
  </si>
  <si>
    <t>2.3.2.7.11.99.</t>
  </si>
  <si>
    <t>2.3.1.99.1.99.</t>
  </si>
  <si>
    <t xml:space="preserve">Fortalecimiento de la cultura turística y prevención del ESNNA </t>
  </si>
  <si>
    <t>ACCIONES DE ARTESANIA</t>
  </si>
  <si>
    <t>Supervisar y evaluar el desarrollo de la actividad artesanal y la aplicación de las políticas, normas y procedimientos específicos.</t>
  </si>
  <si>
    <t>% Agentes del sector que cumplen con la normativa</t>
  </si>
  <si>
    <t xml:space="preserve">Agentes </t>
  </si>
  <si>
    <t>Área de Artesanía</t>
  </si>
  <si>
    <t>Fomentar y autorizar ferias y exposiciones regionales, así como declarar eventos de interés artesanal orientados a promover el desarrollo de la artesanía de la región.</t>
  </si>
  <si>
    <t>% Ferias y Exposiciones promovidas</t>
  </si>
  <si>
    <t xml:space="preserve">Ferias </t>
  </si>
  <si>
    <t>Fomentar y promover la organización y formalización de los productores artesanales y fortalecimiento gremial en la región.</t>
  </si>
  <si>
    <t>% Artesanos inscritos en la RNA</t>
  </si>
  <si>
    <t>Artesanos inscritos</t>
  </si>
  <si>
    <t>% Eventos de fortalecimiento gremial ejecutados</t>
  </si>
  <si>
    <t xml:space="preserve">Eventos </t>
  </si>
  <si>
    <t>Promover mecanismos e instrumentos para el desarrollo de la actividad artesanal en la región, vinculados a la actividad turística.</t>
  </si>
  <si>
    <t>% Actividades que promueven el desarrollo de la actividade artesanal vinculados a la actividad turística</t>
  </si>
  <si>
    <t>Promover la calidad, la productividad, el valor agregado, la imagen y la diferenciación de los productos artesanales de la región.</t>
  </si>
  <si>
    <t>% Artesanos inscritos en la RNA, capacitados en las normas técnicas</t>
  </si>
  <si>
    <t>Artesanos capacitados</t>
  </si>
  <si>
    <t>% Líneas artesanales con identidad regional promocionados</t>
  </si>
  <si>
    <t>Líneas artesanales con identidad regional</t>
  </si>
  <si>
    <t>2.1.2.2.4.4.</t>
  </si>
  <si>
    <t>ACCIONES DE COMERCIO</t>
  </si>
  <si>
    <t>Formular, aprobar, ejecutar, evaluar, dirigir, controlar y administrar los planes y políticas en materia de comercio de la región, en concordancia con las políticas nacionales y los planes sectoriales, en coordinación con las entidades del sector público competentes en la materia.</t>
  </si>
  <si>
    <t>% de Actividades ejecutadas para el desarrollo del comerico exterior</t>
  </si>
  <si>
    <t>Área de Comercio</t>
  </si>
  <si>
    <t>Taller</t>
  </si>
  <si>
    <t>Elaborar y ejecutar las estrategias y el programa de desarrollo de la oferta exportable y de promoción de las exportaciones regionales.</t>
  </si>
  <si>
    <t>% de actividades ejecutadas para el desarrollo de oferta exportable</t>
  </si>
  <si>
    <t>% de Actividades ejecutadas para la promoción de las exportaciones regionales</t>
  </si>
  <si>
    <t>Identificar oportunidades comerciales para los productos de la región y promover la participación privada en proyectos de inversión en la región.</t>
  </si>
  <si>
    <t>% Oportunidades comerciales desarrolladas</t>
  </si>
  <si>
    <t>Oportunidades Desarrolladas</t>
  </si>
  <si>
    <t xml:space="preserve">% Eventos de promoción de inversión público y/o privado promovidos </t>
  </si>
  <si>
    <t>Promover la provisión de servicios financieros a las empresas y organizaciones de la región, con énfasis en las medianas, PYMES y las unidades productivas orientadas al comercio y a las exportaciones, por parte del sector privado.</t>
  </si>
  <si>
    <t>Workshop financiero</t>
  </si>
  <si>
    <t>2.1.1.1.</t>
  </si>
  <si>
    <t>Personal Nombrado</t>
  </si>
  <si>
    <t>2.3.2.8.1.1.</t>
  </si>
  <si>
    <t>2.3.2.8.1.2.</t>
  </si>
  <si>
    <t>Objetivo Estratégico</t>
  </si>
  <si>
    <t>Garantizar el ejercicio pleno de los derechos fundamentales de los cajamarquino</t>
  </si>
  <si>
    <t>2.1. Generar competitividad territorial sostenible, a través del impulso de actividades productivas y de servicios, articuladas al mercado con infraestructura e innovación tecnológica.</t>
  </si>
  <si>
    <t>IMPACTO</t>
  </si>
  <si>
    <t>Número de arribos a la Región Cajamarca</t>
  </si>
  <si>
    <t>Número de pernoctaciones a la Región Cajamarca</t>
  </si>
  <si>
    <t>Estrategia</t>
  </si>
  <si>
    <t>RESULTADO</t>
  </si>
  <si>
    <t>Número de familiar que han implementado servicios de Turismo Rural Comunitario (TRC)</t>
  </si>
  <si>
    <t xml:space="preserve"> Dirección Regional de Trabajo y Promoción del Empleo.</t>
  </si>
  <si>
    <t>07: Trabajo</t>
  </si>
  <si>
    <t>020: Trabajo</t>
  </si>
  <si>
    <t>0041: Regulación y Control de la Relación Laboral</t>
  </si>
  <si>
    <t>Dirección Regional de Trabajo y Promoción del Empleo</t>
  </si>
  <si>
    <t>FINANCIERA(RO)</t>
  </si>
  <si>
    <t>FINANCIERA(RDR)</t>
  </si>
  <si>
    <t>Centro de empleo</t>
  </si>
  <si>
    <t>Diagnóstico del buscador de empleo - Triaje</t>
  </si>
  <si>
    <t>Karina Lozano Flores</t>
  </si>
  <si>
    <t>2.1.1 1.1 2</t>
  </si>
  <si>
    <t>PERSONAL ADMINISTRATIVO NOMBRADO (REGIMEN PÚBLICO)</t>
  </si>
  <si>
    <t>2.1.1 1.1 3</t>
  </si>
  <si>
    <t>PERSONAL CON CONTRATO A PLAZO FIJO (REGIMEN PÚBLICO)</t>
  </si>
  <si>
    <t>2 . 1 . 1 1 . 2 1</t>
  </si>
  <si>
    <t>2 . 1 . 1 9 . 1 2</t>
  </si>
  <si>
    <t>2 . 1 . 1 9 . 1 3</t>
  </si>
  <si>
    <t>2 . 1 . 3 1 . 1 5</t>
  </si>
  <si>
    <t>2.3.2.8.1.1</t>
  </si>
  <si>
    <t>2.3.2.8.1.2</t>
  </si>
  <si>
    <t>PAPELERÍA EN GENERAL, ÚTILES</t>
  </si>
  <si>
    <t>2.3.2.5.1 1</t>
  </si>
  <si>
    <t>2.5.4.3.2 1</t>
  </si>
  <si>
    <t>DERECHOS ADMINISTRATIVOS</t>
  </si>
  <si>
    <t>2.5.5.1.1 1</t>
  </si>
  <si>
    <t xml:space="preserve">PERSONAL ADMINISTRATIVO </t>
  </si>
  <si>
    <t>Recoge y registra la demanda laboral de las empresas - Acercamiento Empresarial</t>
  </si>
  <si>
    <t>vacantes</t>
  </si>
  <si>
    <t>Alicia Morocho Chinchay</t>
  </si>
  <si>
    <t xml:space="preserve">Inscripción de personal en la bolsa de trabajo </t>
  </si>
  <si>
    <t>ficha</t>
  </si>
  <si>
    <t>Juan Carlos</t>
  </si>
  <si>
    <t>Colocación de personal - Bolsa de Trabajo</t>
  </si>
  <si>
    <t>colocados</t>
  </si>
  <si>
    <t>Buscador de Empleo Capacitado y Asesorado - ABE</t>
  </si>
  <si>
    <t>Henry Novoa Marín</t>
  </si>
  <si>
    <t>Otorgamiento del certificado único laboral</t>
  </si>
  <si>
    <t>certificado</t>
  </si>
  <si>
    <t>Elvis Culqui Castrejón.</t>
  </si>
  <si>
    <t>Aplicación de Test de Orientación Vocacional</t>
  </si>
  <si>
    <t>test</t>
  </si>
  <si>
    <t>Juan Pita Peralta</t>
  </si>
  <si>
    <t>Charlas de Sensibilización y Orientación</t>
  </si>
  <si>
    <t>charlas</t>
  </si>
  <si>
    <t>Alumnos Evaluados en los Test de Orientación Vocacional</t>
  </si>
  <si>
    <t>alumnos</t>
  </si>
  <si>
    <t xml:space="preserve">Personas con Discapacidad </t>
  </si>
  <si>
    <t>Charlas CDRPETI</t>
  </si>
  <si>
    <t>Rosa Cubas Bustamante</t>
  </si>
  <si>
    <t>Campañas CDRPETI - Erradicación del Trabajo Infantil</t>
  </si>
  <si>
    <t>campaña</t>
  </si>
  <si>
    <t>Campaña PCD</t>
  </si>
  <si>
    <t>Encuesta Nacional de Variación Mensual del Empleo</t>
  </si>
  <si>
    <t>encuesta</t>
  </si>
  <si>
    <t>Alex Vargas Aldave</t>
  </si>
  <si>
    <t>Estadísticas Trimestrales de Intermediación Laboral</t>
  </si>
  <si>
    <t xml:space="preserve">encuesta </t>
  </si>
  <si>
    <t>Registros de Empresas Promocionales de personas con discapacidad</t>
  </si>
  <si>
    <t>empresa</t>
  </si>
  <si>
    <t>Registros de empresas de Intermediación Laboral</t>
  </si>
  <si>
    <t xml:space="preserve">Registros de Convenios de Modalidades Formativas 
Laborales </t>
  </si>
  <si>
    <t>convenio</t>
  </si>
  <si>
    <t>Feria de Promoción del Empleo - Semana del Empleo (Cajamarca-Jaén)</t>
  </si>
  <si>
    <t>feria</t>
  </si>
  <si>
    <t>Centro de Empleo</t>
  </si>
  <si>
    <t>Encuentro Empresarial (Cajamarca-Jaén)</t>
  </si>
  <si>
    <t xml:space="preserve">Elaboración de Notas de Prensa Técnicas sobre la 
Variación Mensual del Empleo </t>
  </si>
  <si>
    <t>notas de prensa</t>
  </si>
  <si>
    <t>Difusión, Notas de Prensa y Comunicados</t>
  </si>
  <si>
    <t>Boletín Socio Económico Laboral</t>
  </si>
  <si>
    <t>boletín</t>
  </si>
  <si>
    <t>Trípticos de Indicadores Laborales</t>
  </si>
  <si>
    <t>tríptico</t>
  </si>
  <si>
    <t>Afiches Temáticos 1/</t>
  </si>
  <si>
    <t>afiches</t>
  </si>
  <si>
    <t>Seguimiento a la Economía Regional 1/</t>
  </si>
  <si>
    <t>documento</t>
  </si>
  <si>
    <t>23.199. 13</t>
  </si>
  <si>
    <t>LIBROS, DIARIOS, REVISTAS</t>
  </si>
  <si>
    <t>Fortalecimiento de las Condiciones Laborales.</t>
  </si>
  <si>
    <t>Número de acciones de fiscalización laboral</t>
  </si>
  <si>
    <t>Orden de inspección cerrada</t>
  </si>
  <si>
    <t xml:space="preserve">Acciones comunes </t>
  </si>
  <si>
    <t>Asalariados del sector privado que no cuentan con contrato laboral</t>
  </si>
  <si>
    <t xml:space="preserve">INSPECCIONES DE FISCALIZACION DE LA NORMATIVIDAD LABORAL </t>
  </si>
  <si>
    <t>Fiscalización de la normatividad laboral</t>
  </si>
  <si>
    <t>Número de órdenes de inspecciones  cerrdas</t>
  </si>
  <si>
    <t>Orden de Inspección cerrada</t>
  </si>
  <si>
    <t>Recursos Ditectamente Recaudados</t>
  </si>
  <si>
    <t xml:space="preserve">PROCESO SANCIONATORIO Y MULTA POR INCUMPLIMIENTO </t>
  </si>
  <si>
    <t>Proceso sancionatorio y multa por inculmplimiento</t>
  </si>
  <si>
    <t>Porcentaje de atención oportuna en la emisión de resoluciones de primera y segunda instancia con respecto a los procedimientos administrativos</t>
  </si>
  <si>
    <t>Persona Orientada</t>
  </si>
  <si>
    <t>2.3.1.11.1.4</t>
  </si>
  <si>
    <t>SUMINIST. PARA MANTEN. DE MAQUINARIA Y EQUIPOS</t>
  </si>
  <si>
    <t>2.3.1.5.1.2</t>
  </si>
  <si>
    <t>2.3.1.5.3.1</t>
  </si>
  <si>
    <t>2.3.1.5.99.99</t>
  </si>
  <si>
    <t>2.3.1.6.1.1</t>
  </si>
  <si>
    <t>REPUESTOS Y ACCESORIOS DE VEHÍCULOS</t>
  </si>
  <si>
    <t>2.3.1.6.1.2</t>
  </si>
  <si>
    <t>2.3.1.6.1.4</t>
  </si>
  <si>
    <t>IMPLEMENTOS DE SEGURIDAD</t>
  </si>
  <si>
    <t>2.3.1.99.1.1</t>
  </si>
  <si>
    <t>2.3.1.99.1.99</t>
  </si>
  <si>
    <t>2.3.2.1.2.2</t>
  </si>
  <si>
    <t xml:space="preserve">VIATICOS Y ASIGNACIONES POR COMISION DE SERVICIOS </t>
  </si>
  <si>
    <t>2.3.2.2.4.4</t>
  </si>
  <si>
    <t>SERVICIO DE IMPRESIONES, ENCUADERNACIÓN Y EMPASTADO</t>
  </si>
  <si>
    <t>2.3.2.4.1.1</t>
  </si>
  <si>
    <t xml:space="preserve">DE EDIFICIOS, OFICINAS Y </t>
  </si>
  <si>
    <t>2.3.2.4.1.3</t>
  </si>
  <si>
    <t>DE VEHÍCULOS</t>
  </si>
  <si>
    <t>2.3.2.4.1.5</t>
  </si>
  <si>
    <t>DE MAQUINARIA Y EQUIPOS</t>
  </si>
  <si>
    <t>2.3.2.5.1.99</t>
  </si>
  <si>
    <t>2.3.2.6.1.2</t>
  </si>
  <si>
    <t>2.3.2.6.2 1</t>
  </si>
  <si>
    <t>GESTION DEL PROGRAMA</t>
  </si>
  <si>
    <t>Plataformas de diálogo social</t>
  </si>
  <si>
    <t>% de eventos de capacitación  y/o difusión ejecutados  en materia de Seguridad y Salud en el Trabajo</t>
  </si>
  <si>
    <t>Informe</t>
  </si>
  <si>
    <t>FINANCIERA (R.O)</t>
  </si>
  <si>
    <t>FINANCIERA (R.D.R)</t>
  </si>
  <si>
    <t>2.3.1.1.1.1</t>
  </si>
  <si>
    <t>2.3.1 11.1 1</t>
  </si>
  <si>
    <t>2.3.1.2.1.1</t>
  </si>
  <si>
    <t>2.3.1.2.1.3</t>
  </si>
  <si>
    <t>CALZADO</t>
  </si>
  <si>
    <t>2.3.1.3.1.1</t>
  </si>
  <si>
    <t>2.3.1.3.1.3</t>
  </si>
  <si>
    <t>2.3.1.5.1.1</t>
  </si>
  <si>
    <t>2.3.1.5.4.1</t>
  </si>
  <si>
    <t>ELECTRICIDAD, ILUMINACIÓN Y ELECTRÓNICA</t>
  </si>
  <si>
    <t>2.3.1.6.1.99</t>
  </si>
  <si>
    <t>2.3.1.99.1.3</t>
  </si>
  <si>
    <t>2.3.1.99.1.4</t>
  </si>
  <si>
    <t xml:space="preserve">SÍMBOLOS, DISTINTIVOSY </t>
  </si>
  <si>
    <t>2.3.2.2.1.1</t>
  </si>
  <si>
    <t>SERVICIOS DE SUMINISTROS DE ENERGÍA ELÉCTRICA</t>
  </si>
  <si>
    <t>2.3.2.2.1.2</t>
  </si>
  <si>
    <t>SERVICIOS DE AGUA Y DESAGUE</t>
  </si>
  <si>
    <t>2.3.2.2.2.1</t>
  </si>
  <si>
    <t>SERVICIOS DE TELEFONÍA MOVIL</t>
  </si>
  <si>
    <t>2.3.2.2.2.2</t>
  </si>
  <si>
    <t>SERVICIOS DE TELEFONIA FIJA</t>
  </si>
  <si>
    <t>2.3.2.2.2.3</t>
  </si>
  <si>
    <t>SERVICIOS DE INTERNET</t>
  </si>
  <si>
    <t>2.3.2.2.3 1</t>
  </si>
  <si>
    <t>2.3.2.2.4 1</t>
  </si>
  <si>
    <t>2.3.2.6.3.2</t>
  </si>
  <si>
    <t>SEGURO DE VEHÍCULOS</t>
  </si>
  <si>
    <t>2.6.3.2.1.1</t>
  </si>
  <si>
    <t>2.6.3.2.1.2</t>
  </si>
  <si>
    <t>2.6.3.2.3.1</t>
  </si>
  <si>
    <t>EQUIPOS COMPUTACIONALES</t>
  </si>
  <si>
    <t>4.1.1 Implementación de una reforma institucional que promueva una nueva cultura organizacional participativa, intersectorial y comprometida en la lucha contra la corrupción (4.1.1.4 Prcentaje de población usuaria satisfecha con los servicios instituciaonales)</t>
  </si>
  <si>
    <t>OFICINA DE ENLACE</t>
  </si>
  <si>
    <t>Sin producto</t>
  </si>
  <si>
    <t>NO EXISTE</t>
  </si>
  <si>
    <t>0053159 Acciones de la Oficina de Enlace</t>
  </si>
  <si>
    <t>Número de Documentos Recepcionados y tramitados</t>
  </si>
  <si>
    <t>Oficina de enlace</t>
  </si>
  <si>
    <t>Alimentos y Bebidas Para Consumo Humano</t>
  </si>
  <si>
    <t>23.15. 12</t>
  </si>
  <si>
    <t>Electricida, Iluminación y electronica</t>
  </si>
  <si>
    <t>23. 2 1. 299</t>
  </si>
  <si>
    <t>Otros gastos</t>
  </si>
  <si>
    <t>Suministro de Energía Electrica</t>
  </si>
  <si>
    <t>Servicio de Agua Y desague</t>
  </si>
  <si>
    <t xml:space="preserve"> De Maquinarias y Equipos</t>
  </si>
  <si>
    <t>Conducción y Orientación Superior</t>
  </si>
  <si>
    <t>4.1 Impulsar una gestión eficiente, articulada, moderna, transparente y participativa con enfoque territorial promotora del desarrollo integral y ambientalmente sostenible</t>
  </si>
  <si>
    <t>Dirección Regional de la Producción</t>
  </si>
  <si>
    <t>Acciones orientadas a la consecución de objetivos vinculados con el fomento y desarrollo de la industria</t>
  </si>
  <si>
    <t>Desarrollo de la actividad acuícola en el centro de desarrollo/ Sostenimiento del sector pesquero. / Fomento y desarrollo de la Industria</t>
  </si>
  <si>
    <t>Dirección Regional de Producción Cajamarca</t>
  </si>
  <si>
    <t>Alimentos y bebidas para consumo humano.</t>
  </si>
  <si>
    <t>Pasajes y gastos de Transporte</t>
  </si>
  <si>
    <t xml:space="preserve">Viáticos y asignaciones por comisión de servicios </t>
  </si>
  <si>
    <t>Papelería en general y útiles</t>
  </si>
  <si>
    <t xml:space="preserve">23.15.11
</t>
  </si>
  <si>
    <t>23.13.4</t>
  </si>
  <si>
    <t>2.3.15.31</t>
  </si>
  <si>
    <t>Aseo y Limpieza</t>
  </si>
  <si>
    <t>Alimentos y bebidas para consumo animal</t>
  </si>
  <si>
    <t>2.6.61.11</t>
  </si>
  <si>
    <t>Animales de cría</t>
  </si>
  <si>
    <t>Vestuario y prendas diversas</t>
  </si>
  <si>
    <t>Servicios diversos (Materiales, equipos, pesca)</t>
  </si>
  <si>
    <t>Material, insumos, instrumental y accesorios de laboratorios</t>
  </si>
  <si>
    <t>23.27.4.99</t>
  </si>
  <si>
    <t>Contrato Adminsitrativo de Servicios (9)</t>
  </si>
  <si>
    <t>Contribuciones a Esalud</t>
  </si>
  <si>
    <t>Mobiliario y similares</t>
  </si>
  <si>
    <t xml:space="preserve">Servicios de suminisitro de energía </t>
  </si>
  <si>
    <t>Servicios de agua y desague</t>
  </si>
  <si>
    <t>Servicio de telefonía movil</t>
  </si>
  <si>
    <t>Telefonía fija</t>
  </si>
  <si>
    <t xml:space="preserve">Correos y servicio de mensajeria </t>
  </si>
  <si>
    <t>26.61.32</t>
  </si>
  <si>
    <t>23.27.112</t>
  </si>
  <si>
    <t>Transporte y traslado de carga</t>
  </si>
  <si>
    <t>Equipos computacionales y perifericos</t>
  </si>
  <si>
    <t>26.32.95</t>
  </si>
  <si>
    <t>Equipos e instrumentos de medición</t>
  </si>
  <si>
    <t>Número de Notificaciones</t>
  </si>
  <si>
    <t>Atencion</t>
  </si>
  <si>
    <t>4.1.3 Articulación de la Gestión Regional, intersectorial e intergubernamental orientada a resultados</t>
  </si>
  <si>
    <t>Secretaria de Consejo Regional</t>
  </si>
  <si>
    <t xml:space="preserve">Conducción y Orientación Superior </t>
  </si>
  <si>
    <t xml:space="preserve">0053133 Acciones de consejo Regional </t>
  </si>
  <si>
    <t>007</t>
  </si>
  <si>
    <t>Trámite Institucional</t>
  </si>
  <si>
    <t xml:space="preserve">Sesión </t>
  </si>
  <si>
    <t>Papelería</t>
  </si>
  <si>
    <t xml:space="preserve">Pasajes </t>
  </si>
  <si>
    <t xml:space="preserve">Publicaciones </t>
  </si>
  <si>
    <t>23.10.99</t>
  </si>
  <si>
    <t>Refrigerios</t>
  </si>
  <si>
    <t>EsSalud</t>
  </si>
  <si>
    <t>0053136</t>
  </si>
  <si>
    <t>Viáticos y asignaciones por comisión de servicios</t>
  </si>
  <si>
    <t>Otros servicios de publicidad y difusión</t>
  </si>
  <si>
    <t>23.27.31</t>
  </si>
  <si>
    <t>Realizado por personas Jurídicas</t>
  </si>
  <si>
    <t>Número de acciones simultáneas</t>
  </si>
  <si>
    <t>Número de auditorías de cumplimiento</t>
  </si>
  <si>
    <t>Auditorías</t>
  </si>
  <si>
    <t>Dirección Regional de Control Institucional</t>
  </si>
  <si>
    <t>Acciones Simultáneas</t>
  </si>
  <si>
    <t>Auditorías de Cumplimiento</t>
  </si>
  <si>
    <t>Acciones de Control Interno</t>
  </si>
  <si>
    <t xml:space="preserve">Acciones Centrales </t>
  </si>
  <si>
    <t>018</t>
  </si>
  <si>
    <t>039</t>
  </si>
  <si>
    <t>2.3.15.11</t>
  </si>
  <si>
    <t xml:space="preserve">Pasajes y Gastos de </t>
  </si>
  <si>
    <t xml:space="preserve">Servicios e Impresiones </t>
  </si>
  <si>
    <t>2.3.26.11</t>
  </si>
  <si>
    <t xml:space="preserve">Gastos Legales y Judiciales </t>
  </si>
  <si>
    <t>2.3.27.11.99</t>
  </si>
  <si>
    <t>Presupuesto y Accesorios</t>
  </si>
  <si>
    <t>Procuraduría Pública Regional</t>
  </si>
  <si>
    <t xml:space="preserve">Número de formulaciones  de demandas y denuncias inperposición de denuncias, apersonamientos y diligencias, arbitrajes y concillaciones </t>
  </si>
  <si>
    <t>Defensa Judicial del Estado</t>
  </si>
  <si>
    <t>4.1.1 Implementación de una Reforma Institucional que promueva una nueva cultura organizacional participativa, intersectorial y comprometida en la lucha contra la corrupción</t>
  </si>
  <si>
    <t>Procuraduria Pública Regional</t>
  </si>
  <si>
    <t xml:space="preserve">4.1.2. Fortalecer la gestión de la comunicación regional a través del diseño e implementación de un sistema de comunicación regional e intersectorial. </t>
  </si>
  <si>
    <t>Dirección de Comunicación y Relaciones Públicas del Gobierno Regional Cajamarca</t>
  </si>
  <si>
    <t>Asignaciones Presupuestarias que no resultan en Producto (ApNoP)</t>
  </si>
  <si>
    <t>Imagen Institucional</t>
  </si>
  <si>
    <t>0054514 (Acciones de Relaciones Públicas e Imagen Institucional)</t>
  </si>
  <si>
    <t>Divulgación realizada</t>
  </si>
  <si>
    <t>23.199.13</t>
  </si>
  <si>
    <t>Libros, diarios, revistas</t>
  </si>
  <si>
    <t>23.199.14</t>
  </si>
  <si>
    <t>Símbolos y distintivos</t>
  </si>
  <si>
    <t>Otros servicios de publicidad</t>
  </si>
  <si>
    <t>Contribuciones de EsSalud</t>
  </si>
  <si>
    <t>Diagnóstico situacional de la comunicación regional</t>
  </si>
  <si>
    <t>Documento debidamente elaborado</t>
  </si>
  <si>
    <t>Documento</t>
  </si>
  <si>
    <t>Realizar actividades de integración del personal de la sede regional del GRC y dependencias</t>
  </si>
  <si>
    <t>Actividades realizadas</t>
  </si>
  <si>
    <t>Planes específicos</t>
  </si>
  <si>
    <t>Realizar monitoreo diario de medios escritos, radiales y televisivos  de la región y nacionales y difundirlos electrónicamente.</t>
  </si>
  <si>
    <t>Monitoreo diario</t>
  </si>
  <si>
    <t>Elaborar saludo a instituciones públicas y privadas de reconocimiento  local, regional y nacional en fechas importantes.</t>
  </si>
  <si>
    <t>Saludos y condecoraciones</t>
  </si>
  <si>
    <t>Saludos y condecoraciones ralizadas</t>
  </si>
  <si>
    <t>N/C</t>
  </si>
  <si>
    <t>Símbolos y distintos</t>
  </si>
  <si>
    <t>Cobertura informativa actividades de Presidencia</t>
  </si>
  <si>
    <t>Cordinación y cobertura informativa de las actividades de Presidencia</t>
  </si>
  <si>
    <t>Divulgaciones</t>
  </si>
  <si>
    <t>Número de medios contratados</t>
  </si>
  <si>
    <t>Spots radiales, televisivos y anuncios</t>
  </si>
  <si>
    <t>Publicación de anuncios  puclicitarios en prensa, radio, tv. y web.</t>
  </si>
  <si>
    <t>6.3.1 Conservar los recursos naturales y el ambiente regional especialmente del recurso hídrico para el equilibrio intergeneracional en el uso de tales recursos.</t>
  </si>
  <si>
    <t>3.1 Implementar el Ordenamiento Territorial para la Gestión Sostenible del territorio en el marco del Nuevo Modelo de Desarrollo Regional.</t>
  </si>
  <si>
    <t>3.1.2 Formular e implementar el Plan Regional de Prevención y Reducción del Riesgo de Desastres.</t>
  </si>
  <si>
    <t>068</t>
  </si>
  <si>
    <t>Reducción de la vulnerabilidad y atención de emergencias por desastres</t>
  </si>
  <si>
    <t>Índice de Protección y Resiliencia frente al riesgo de desastre.</t>
  </si>
  <si>
    <t xml:space="preserve"> Indice de Protección y Resiliencia</t>
  </si>
  <si>
    <t>Capacidad instalada para la preparación y respuesta frente a emergencias y desastres</t>
  </si>
  <si>
    <t>Número de capacidad instalada institucional frente a emergencias y desastres</t>
  </si>
  <si>
    <t>Capacidad instalada</t>
  </si>
  <si>
    <t>Distribución financiera</t>
  </si>
  <si>
    <t>Desarrollo de simulacros en gestión reactiva</t>
  </si>
  <si>
    <t>05</t>
  </si>
  <si>
    <t>016</t>
  </si>
  <si>
    <t>0036</t>
  </si>
  <si>
    <t>Número de eventos ejecutados</t>
  </si>
  <si>
    <t>Reporte</t>
  </si>
  <si>
    <t>Oficina de Defensa Nacional</t>
  </si>
  <si>
    <t xml:space="preserve">                                     FISICA</t>
  </si>
  <si>
    <t>2.3.2.2.4.1</t>
  </si>
  <si>
    <t>Vestuario, accesorio y prendas diversas</t>
  </si>
  <si>
    <t>Libros, diarios, revistas y otros impresos</t>
  </si>
  <si>
    <t>Implementación de brigadas para la atención  frente a emergencias y desastres</t>
  </si>
  <si>
    <t>Registro de brigadistas regionales</t>
  </si>
  <si>
    <t>Brigada</t>
  </si>
  <si>
    <t>Papelería en general, útiles y materiales de escritorio</t>
  </si>
  <si>
    <t>Repuestos y accesorios de seguridad</t>
  </si>
  <si>
    <t>2.3.2.7.10.1</t>
  </si>
  <si>
    <t>Seminarios, talleres y similares organizados por la institución</t>
  </si>
  <si>
    <t>2.6.3.2.3.3</t>
  </si>
  <si>
    <t>Equipos de telecomunicaciones</t>
  </si>
  <si>
    <t>Administración y almacenamiento de kits para la asistencia frente a emergencias y desastres</t>
  </si>
  <si>
    <t>Número de familias atendidas con ayuda humanitaria</t>
  </si>
  <si>
    <t>Kit</t>
  </si>
  <si>
    <t>2.2.2.3.99.99</t>
  </si>
  <si>
    <t>Otros bienes de asistencia social</t>
  </si>
  <si>
    <t>Aseo, limpiez a y tocador</t>
  </si>
  <si>
    <t>Repuestos y accesorios de vehículos</t>
  </si>
  <si>
    <t>2.3.1.7.1.1</t>
  </si>
  <si>
    <t>Enseres</t>
  </si>
  <si>
    <t>Servicio de mantenimiento de vehículos</t>
  </si>
  <si>
    <t>Servicio de mantenimiento de maquinarias y equipos</t>
  </si>
  <si>
    <t>Seguro de vehículos</t>
  </si>
  <si>
    <t>2.3.2.6.3.3</t>
  </si>
  <si>
    <t>Seguro obligatorio accidentes de tránsito (SOAT)</t>
  </si>
  <si>
    <t>2.3.2.7.11.2</t>
  </si>
  <si>
    <t>Transporte y traslado de carga, bienes y materiales</t>
  </si>
  <si>
    <t>Contribuciones a EsSalud de CAS</t>
  </si>
  <si>
    <t>Desarrollo de los centros y espacios de monitoreo de emergencias y desastres</t>
  </si>
  <si>
    <t>Número de registros de emergencias en el SINPAD</t>
  </si>
  <si>
    <t>Repuestos y accesorios de oficina</t>
  </si>
  <si>
    <t>Electricidad, iluminación y electrónica</t>
  </si>
  <si>
    <t>Repuestos de vehículos</t>
  </si>
  <si>
    <t>Servicio de telefonía móvil</t>
  </si>
  <si>
    <t>2.3.2.2.3.99</t>
  </si>
  <si>
    <t>Otros servicios de comunicación</t>
  </si>
  <si>
    <t>Persona con formación y conocimiento en gestión del riesgo de desastres y adaptación al cambio climático</t>
  </si>
  <si>
    <t>Porcentaje de personas con formación y conocimiento en Gestión del Riesgo de Desastres y Adaptación al Cambio Climático</t>
  </si>
  <si>
    <t>Formación y capacitación en materia de Gestión de Riesgo de Desastres y Adaptación al Cambio Climático</t>
  </si>
  <si>
    <t>Número de autoridades y servidores públicos capacitados</t>
  </si>
  <si>
    <t>Población con prácticas seguras para la resiliencia</t>
  </si>
  <si>
    <t>Desarrollo de campañas comunicacionales para la Gestión del Riesgo de Desastres</t>
  </si>
  <si>
    <t>Población con conocimiento sobre la gestión del riesgo</t>
  </si>
  <si>
    <t>Organización y entrenamiento de comunidades en habilidades frente al riesgo de desastres</t>
  </si>
  <si>
    <t>Población con prácticas seguras en gestión de riesgos</t>
  </si>
  <si>
    <r>
      <t xml:space="preserve">3.2.1 Construir e implementar la Autoridad Regional Ambiental - ARA, </t>
    </r>
    <r>
      <rPr>
        <b/>
        <u/>
        <sz val="8"/>
        <color theme="1"/>
        <rFont val="Calibri"/>
        <family val="2"/>
        <scheme val="minor"/>
      </rPr>
      <t xml:space="preserve">con los instrumentos de gestión territorial </t>
    </r>
    <r>
      <rPr>
        <sz val="8"/>
        <color theme="1"/>
        <rFont val="Calibri"/>
        <family val="2"/>
        <scheme val="minor"/>
      </rPr>
      <t>y ambiental</t>
    </r>
  </si>
  <si>
    <t>Institución</t>
  </si>
  <si>
    <t>Implementación de procesos de Ordenamiento territorial en los  tres niveles de gobierno</t>
  </si>
  <si>
    <t>Hectárea</t>
  </si>
  <si>
    <t>017</t>
  </si>
  <si>
    <t>0054</t>
  </si>
  <si>
    <t>000119</t>
  </si>
  <si>
    <t>Áreas propuestas</t>
  </si>
  <si>
    <t>054</t>
  </si>
  <si>
    <t>0019</t>
  </si>
  <si>
    <t>ORGANIZACIONES CAPACITADAS EN LA CONSERVACION Y/O APROVECHAMIENTO DE LOS RECURSOS NATURALES Y LA DIVERSIDAD BIOLÓGICA</t>
  </si>
  <si>
    <t>Análisis</t>
  </si>
  <si>
    <t>Clientes</t>
  </si>
  <si>
    <t>Métodos</t>
  </si>
  <si>
    <t>Servicios</t>
  </si>
  <si>
    <t>Dirección de Defensa Nacional</t>
  </si>
  <si>
    <t>0055</t>
  </si>
  <si>
    <t>00126</t>
  </si>
  <si>
    <t xml:space="preserve"> Análisis </t>
  </si>
  <si>
    <t>080</t>
  </si>
  <si>
    <t>APNOP PENSIONISTAS</t>
  </si>
  <si>
    <t>4.1.3 Articulación de la gestión regional, intersectorial e intergubernamental orientada a resultados</t>
  </si>
  <si>
    <t>030</t>
  </si>
  <si>
    <t>Reducción de delitos y faltas que afectan la seguridad ciudadana</t>
  </si>
  <si>
    <t>Porcentaje de la población que ha sido víctima de algún evento que atentó contra su seguridad</t>
  </si>
  <si>
    <t>Taza de vicitimización por persona</t>
  </si>
  <si>
    <t>Número de capacidad instalada institucional frente a la inseguridad ciudadana</t>
  </si>
  <si>
    <t>Gestión del programa</t>
  </si>
  <si>
    <t>014</t>
  </si>
  <si>
    <t>0028</t>
  </si>
  <si>
    <t>Número de gestiones realizadas</t>
  </si>
  <si>
    <t>Símbolos, distintivos y condecoraciones</t>
  </si>
  <si>
    <t>Pasajes y gastos de transporte nacional</t>
  </si>
  <si>
    <t>Viáticos y asignaciones por comisión de servicio nacional</t>
  </si>
  <si>
    <t>Otros servicios de comunicaciones</t>
  </si>
  <si>
    <t>2.3.2.5.1.1</t>
  </si>
  <si>
    <t>DIRECCIÓN REGIONAL DE ASESORÍA JURÍDICA</t>
  </si>
  <si>
    <t>Asesoramiento Técnico y Jurídico</t>
  </si>
  <si>
    <t>0039096 - Acciones de Asesoría Jurídica</t>
  </si>
  <si>
    <t>Número de Asesoramiento Jurídico</t>
  </si>
  <si>
    <t>Documentos</t>
  </si>
  <si>
    <t>Asesoría Jurídica</t>
  </si>
  <si>
    <t>Acciones de Planeamiento</t>
  </si>
  <si>
    <t>DIRECCION REGIONAL DE AGRICULTURA</t>
  </si>
  <si>
    <t>Alimentos y Bebidas para consumo Humano</t>
  </si>
  <si>
    <t>pasajes y gastos de transporte</t>
  </si>
  <si>
    <t>realizado por personas juridicas</t>
  </si>
  <si>
    <t>seminarios, talleres</t>
  </si>
  <si>
    <t>servicios diversos</t>
  </si>
  <si>
    <t>GESTION ADMINSITRATIVA</t>
  </si>
  <si>
    <t>21.31.12</t>
  </si>
  <si>
    <t>VESTUARIO, ACCESORIOS</t>
  </si>
  <si>
    <t>COMBUSTIBLE</t>
  </si>
  <si>
    <t>LUBRICANTES</t>
  </si>
  <si>
    <t>REPUESTOS</t>
  </si>
  <si>
    <t>PAPELERIA N GENRAL</t>
  </si>
  <si>
    <t>LIBROS, DIARIOS, REVISTAS, Y OTROS BIENES IMPRESOS NO VINCULADOS A ENSEÑANZAS</t>
  </si>
  <si>
    <t>OTRO BIENES</t>
  </si>
  <si>
    <t>SERVICIOS DE TELEFONIA MOVIL</t>
  </si>
  <si>
    <t>23.22.23</t>
  </si>
  <si>
    <t>CORRES Y SERVIICIOS  DE MENSAJERIA</t>
  </si>
  <si>
    <t>OTROS SERVICIOS DE PUBLICIDAD Y DIFUCISION</t>
  </si>
  <si>
    <t>SERVICIOS DE SEGURIDADY VIGILANCIA</t>
  </si>
  <si>
    <t>SOAT</t>
  </si>
  <si>
    <t>PROPINAS PARA PRACTICANTES</t>
  </si>
  <si>
    <t>CONTRTATO ADMINISTRATIVO SE SERVICIOS</t>
  </si>
  <si>
    <t>CONTRIBUCIONES A ESSALUD CAS</t>
  </si>
  <si>
    <t>23.110.14</t>
  </si>
  <si>
    <t>FERTILIZANTES, INSECTICIDAS, FUNGICIDAS Y SIMILARES.</t>
  </si>
  <si>
    <t>23.111.11</t>
  </si>
  <si>
    <t>PARA EDIFICIOS Y ESTRUCUTURAS</t>
  </si>
  <si>
    <t>23.111.12</t>
  </si>
  <si>
    <t>23.199.11</t>
  </si>
  <si>
    <t>DE EDIFICACIONES, OFICINAS Y ESTRUCUTURAS</t>
  </si>
  <si>
    <t>DE MAQUINAS Y EQUIPOS</t>
  </si>
  <si>
    <t>RESLIZADO POR PERSONAS JURIDICAS</t>
  </si>
  <si>
    <t>26.31.11</t>
  </si>
  <si>
    <t>PARA TRANSPORTE TERRESTRE</t>
  </si>
  <si>
    <t>26.61.17</t>
  </si>
  <si>
    <t>SEMILLAS Y ALMACIGOS</t>
  </si>
  <si>
    <t>MATRIZ PARA ELABORACIÓN DEL PLAN OPERATIVO INSTITUCIONAL 2016</t>
  </si>
  <si>
    <t>Institucional</t>
  </si>
  <si>
    <t>6.4.1 Institucionalizar una gestión popular, participativa, descentralizada, transparente, eficaz y eficiente.</t>
  </si>
  <si>
    <t>4.1  Impulsar una gestión eficiente, articulada, moderna, transparente y participativa con enfoque territorial</t>
  </si>
  <si>
    <t>Gabinete de Asesores</t>
  </si>
  <si>
    <t>0053127 Acciones de Asesoramiento de Alta Dirección</t>
  </si>
  <si>
    <t>23.21.12</t>
  </si>
  <si>
    <t>Papelería en Gral. Útiles</t>
  </si>
  <si>
    <t>Vice Gobernador</t>
  </si>
  <si>
    <t>Gobernador</t>
  </si>
  <si>
    <t>Gerencia General Regional</t>
  </si>
  <si>
    <t>Sub Gerencia de Presupuesto y Tributación</t>
  </si>
  <si>
    <t>RESPONSABLES</t>
  </si>
  <si>
    <t>Planeamiento y presupuesto</t>
  </si>
  <si>
    <t>Acciones de presupuesto</t>
  </si>
  <si>
    <t>001 - ACCION</t>
  </si>
  <si>
    <t>Papeleria en general, utiles y materiales de oficina</t>
  </si>
  <si>
    <t>Viaticos y asignaciones por comision de servicio</t>
  </si>
  <si>
    <t>Servicio de impresiones, encuadernacion y empastado</t>
  </si>
  <si>
    <t>Contribuciones a essalud de c.a.s.</t>
  </si>
  <si>
    <t>254211</t>
  </si>
  <si>
    <t>Derechos administrativos</t>
  </si>
  <si>
    <t>263231</t>
  </si>
  <si>
    <t>Acciones generales para el monitoreo y pago de personal</t>
  </si>
  <si>
    <t>Documentos de formalización</t>
  </si>
  <si>
    <t>Contribuciones a essalud de C.A.S.</t>
  </si>
  <si>
    <t>Programación presupuestal</t>
  </si>
  <si>
    <t>Reporte de sistema de programación</t>
  </si>
  <si>
    <t>Formulación presupuestal</t>
  </si>
  <si>
    <t>Reporte de sistema de formulación</t>
  </si>
  <si>
    <t>Evaluación presupuestal</t>
  </si>
  <si>
    <t>Documento de evaluación</t>
  </si>
  <si>
    <t>p</t>
  </si>
  <si>
    <t>Desarrollo Social Área de Protección Social</t>
  </si>
  <si>
    <t>1.2 Garantizar salud de calidad, contribuyendo al desarrollo sostenible e integral con enfoque de gestión territorial  e intercultural</t>
  </si>
  <si>
    <t>0119</t>
  </si>
  <si>
    <t>FORMALIZACION DE PREDIOS RURALES</t>
  </si>
  <si>
    <t>APOYO A LA TITULACION DE TIERRAS PARA PRODUCCION AGROPECUARIA</t>
  </si>
  <si>
    <t>0022</t>
  </si>
  <si>
    <t>21.11.14</t>
  </si>
  <si>
    <t>21.19.11</t>
  </si>
  <si>
    <t>23.16.199</t>
  </si>
  <si>
    <t>OTROS ACCESORIOS</t>
  </si>
  <si>
    <t>LIBROS, DIARIOS</t>
  </si>
  <si>
    <t>CORREOS Y SERVICIO DE MENSAJERIA</t>
  </si>
  <si>
    <t>DE EDIFICIOS Y ESTRUCUTURAS</t>
  </si>
  <si>
    <t>23.27.43</t>
  </si>
  <si>
    <t>SOPORTE TECNICO</t>
  </si>
  <si>
    <t>La población del departamento de Cajamarca, principalmente aquella en condición de pobreza y vulnerabilidad, accede a servicios sociales básicos de calidad e igualdad de oportunidades.</t>
  </si>
  <si>
    <t>Dirección Regional de Educación- Consolidado Ugeles</t>
  </si>
  <si>
    <t>01 PROGRAMAS PRESUPUESTALES CON ENFOQUE A RESULTADOS.</t>
  </si>
  <si>
    <t>0068 - REDUCCIÓN DE LA VULNERABILIDAD Y ATENCIÓN DE EMERGENCIAS POR DESASTRES</t>
  </si>
  <si>
    <t xml:space="preserve">Código de Actividad </t>
  </si>
  <si>
    <t>Actividad Presupuestal</t>
  </si>
  <si>
    <t>SEP</t>
  </si>
  <si>
    <t>Formación y capacitación en materia de GRD y adaptación al cabio climático</t>
  </si>
  <si>
    <t>016- Gestión de riesgos de emergencias</t>
  </si>
  <si>
    <t>0035- Prevención de Desastres</t>
  </si>
  <si>
    <t>% de personas con formación y conocimiento en GRD y adaptación al cambio climático</t>
  </si>
  <si>
    <t>PREVAED</t>
  </si>
  <si>
    <t>2.3.</t>
  </si>
  <si>
    <t xml:space="preserve">
2.3.2.7.101
</t>
  </si>
  <si>
    <t>Desarrollo de campañas comunicacionales para GRD*</t>
  </si>
  <si>
    <t>% de personas a las que se dirige el desarrollo de campañas comunicacionales</t>
  </si>
  <si>
    <t xml:space="preserve">
2.3.2.2.4.4
</t>
  </si>
  <si>
    <t>Seguridad físico funcional de servicios públicos</t>
  </si>
  <si>
    <t>% de locales escolares con seguridad físico funcional de servicios públicos</t>
  </si>
  <si>
    <t>SUB TOTAL</t>
  </si>
  <si>
    <t>0090 - LOGROS DE APRENDIZAJE DE ESTUDIANTES DE LA EDUCACIÓN BÁSICA REGULAR.</t>
  </si>
  <si>
    <t>Producto
/Proyecto</t>
  </si>
  <si>
    <t>ACCIONES COMUNES -3.0000001</t>
  </si>
  <si>
    <t>0008- asesoramiento y apoyo</t>
  </si>
  <si>
    <t>% de recursos destinados a la compra de material didáctico, gastos de transporte y pasajes, pago de CAS y Essalud.</t>
  </si>
  <si>
    <t>Director, AGA, Presupuesto, Personal</t>
  </si>
  <si>
    <t>23.19.12
23.21.21
23.28.11
23.28.12</t>
  </si>
  <si>
    <t>Varios</t>
  </si>
  <si>
    <t>Contratacion oportuna y pago de personal de la instituciones de IEBR</t>
  </si>
  <si>
    <t>047</t>
  </si>
  <si>
    <t>0103, 0104, 0105</t>
  </si>
  <si>
    <t>% de recursos utilizados en pago de personal administrativo y de apoyo de las II.EE de EBR.</t>
  </si>
  <si>
    <t>Contratación oportuna y pago del personal docente y promotoras de las II.EE. de EBR</t>
  </si>
  <si>
    <t>0103 -  Educación inicial</t>
  </si>
  <si>
    <t>% de recursos utilizados en el pago de personal docente y promotoras por II.EE.</t>
  </si>
  <si>
    <t>Equipo técnico, personal y coordinador  PELA</t>
  </si>
  <si>
    <t>21.11.12
21.11.21
21.12.11
21.12.12
21.19.13
21.31.15
23.21.22
23.21.2 99</t>
  </si>
  <si>
    <t>Contratación oportuna y pago del personal docente y promotoras de las II.EE.de EBR</t>
  </si>
  <si>
    <t>0104 -  Educación primaria</t>
  </si>
  <si>
    <t>% de recursos utilizados en pago de personal docente y promotoras de las II.EE de EBR.</t>
  </si>
  <si>
    <t>0105 -  Educación secundaria</t>
  </si>
  <si>
    <t xml:space="preserve">Contrataciòn oportuna y pago del personal administrativo y de apoyo de las II.EE. de EBR </t>
  </si>
  <si>
    <t>22</t>
  </si>
  <si>
    <t>010 3-  Educación inicial</t>
  </si>
  <si>
    <t>048</t>
  </si>
  <si>
    <t xml:space="preserve">Contrataciòn oportuna y pago del personal administrativo y de apoyo de las II.EE. de EBR  </t>
  </si>
  <si>
    <t>23</t>
  </si>
  <si>
    <t>5005631</t>
  </si>
  <si>
    <t>Gestión de Currículo</t>
  </si>
  <si>
    <t>0103 - 0104 - 0105</t>
  </si>
  <si>
    <t>% de recursos utilizados a gestionar el curriculo</t>
  </si>
  <si>
    <t>Docentes</t>
  </si>
  <si>
    <t>Mantenimiento de locales escolares de II.EE de EBR con condiciones adecuadas para su funcionamiento - INICIAL</t>
  </si>
  <si>
    <t>0103 - Inicial</t>
  </si>
  <si>
    <t>% de recursos utilizados en actividades de mantenimiento de locales escoalres de II.EE de EBR con condiciones adecuadas</t>
  </si>
  <si>
    <t>Local escolar</t>
  </si>
  <si>
    <t>Mantenimiento de locales escolares de II.EE de EBR con condiciones adecuadas para su funcionamiento - PRIMARIA</t>
  </si>
  <si>
    <t>0104 - Primaria</t>
  </si>
  <si>
    <t>Mantenimiento de locales escolares de II.EE de EBR con condiciones adecuadas para su funcionamiento - SECUNDARIA</t>
  </si>
  <si>
    <t>0105 - Secundaria</t>
  </si>
  <si>
    <t>Docente</t>
  </si>
  <si>
    <t xml:space="preserve">23.19.12
23.21.22
23.21.2 99
23.22.44
23.27.10 1
23.28.11
23.28.12
</t>
  </si>
  <si>
    <t>5.00564</t>
  </si>
  <si>
    <t>Dotación de material y recursos Educativos para estudiantes de EBR</t>
  </si>
  <si>
    <t>% de estudiantes beneficiados con textos, cuadernos de trabajo</t>
  </si>
  <si>
    <t>Estudiantes</t>
  </si>
  <si>
    <t>23.27.11 2
23.19.12
23.27.11 2</t>
  </si>
  <si>
    <t>Dotacion de material y recursos Educativos para estudiantes de EBR</t>
  </si>
  <si>
    <t>0103 - Educacion Inicial</t>
  </si>
  <si>
    <t xml:space="preserve">% de IIEE  públicas cuyas aulas recibieron suficientes kits de materiales y textos escolares </t>
  </si>
  <si>
    <t>Aula</t>
  </si>
  <si>
    <t>Dotacion de material y recursos Educativos para  Docente y aulas  de EBR</t>
  </si>
  <si>
    <t>0104- Educacion Primaria</t>
  </si>
  <si>
    <t xml:space="preserve">% de IIEE públicas cuyas aulas recibieron suficientes kits de materiales y textos escolares </t>
  </si>
  <si>
    <t>Dotación de material fungible para aulas del II ciclo de EBR</t>
  </si>
  <si>
    <t>% de IIEE cuyas aulas recibieron smaterial fungible</t>
  </si>
  <si>
    <t>II.EE.</t>
  </si>
  <si>
    <t>0104 - Educacion Primaria</t>
  </si>
  <si>
    <t>0105 - Educacion Secundaria</t>
  </si>
  <si>
    <t xml:space="preserve"> - </t>
  </si>
  <si>
    <t>Dotacion de material Fungible para aulas de Instituciones Educativas de EBR y Educacion Intercultural Bilingüe</t>
  </si>
  <si>
    <t>0103- Educacion Inicial</t>
  </si>
  <si>
    <t>% de IIEE públicas que recibieron material educatico.</t>
  </si>
  <si>
    <t>Institucion Educativa</t>
  </si>
  <si>
    <t>% de IIEE públicas que recibieron material educatico</t>
  </si>
  <si>
    <t>0105- Educacion Secundaria</t>
  </si>
  <si>
    <t>0091- INCREMENTO EN EL ACCESO DE LA POBLACION DE 3 A 16 AÑOS A LOS SERVICIOS EDUCATIVOS PUBLICOS DE LA EDUCACION BÁSICA .</t>
  </si>
  <si>
    <t>Tipo de Ejecucion</t>
  </si>
  <si>
    <t>Gestiòn de Expedientes de Oferta y Demanda de Servicios Educativos en Educaciòn Inicial.</t>
  </si>
  <si>
    <t>0103 - Educación inicial</t>
  </si>
  <si>
    <t xml:space="preserve">Institución Educativa </t>
  </si>
  <si>
    <t xml:space="preserve">Director, AGA, AGI, Presupuesto, Personal </t>
  </si>
  <si>
    <t>23.13.11
23.15.12
23.21.22
23.21.2 99
23.27.10 1
23.27.11 99</t>
  </si>
  <si>
    <t>Gestiòn de Expedientes de Oferta y Demanda de Servicios Educativos en Educaciòn Secundaria</t>
  </si>
  <si>
    <t>% de recursos utilizados  para la adquisisción de papelería para el cumplimiento de la gestión de expedientes</t>
  </si>
  <si>
    <t>0106 - INCLUSIÓN DE NIÑOS, NIÑAS Y JOVENES CON DISCAPACIDAD EN LA EDUCACIÓN BÁSICA Y TÉCNICA PRODUCTIVA</t>
  </si>
  <si>
    <t>Código de Específica</t>
  </si>
  <si>
    <r>
      <rPr>
        <u/>
        <sz val="8"/>
        <color theme="1"/>
        <rFont val="Calibri"/>
        <family val="2"/>
        <scheme val="minor"/>
      </rPr>
      <t>Contratación</t>
    </r>
    <r>
      <rPr>
        <sz val="8"/>
        <color theme="1"/>
        <rFont val="Calibri"/>
        <family val="2"/>
        <scheme val="minor"/>
      </rPr>
      <t xml:space="preserve"> oportuna y pago de personal para atención de centros de educación básica</t>
    </r>
  </si>
  <si>
    <t>0107 - EDUCACIÓN BÁSICA ESPECIAL</t>
  </si>
  <si>
    <t>% de recursos utilizados en el pago de personal que atiende los CEBE</t>
  </si>
  <si>
    <t>21.12.11
21.12.12
21.19.12
21.19.13
21.31.15</t>
  </si>
  <si>
    <t>% de recursos utilizados para actividades de mantenimiento y acondicionamiento de espacios en locales de centros de educación básica especial y centros de recursos</t>
  </si>
  <si>
    <t xml:space="preserve">23.15.12
23.15.31
23.22.11
23.22.12
23.22.22
23.24.11
</t>
  </si>
  <si>
    <t>% de recursos destinados a la compra de material didáctico, accesorios y útiles de enseñanza</t>
  </si>
  <si>
    <t>23.19.12
23.27.10 1
23.27. 11 99</t>
  </si>
  <si>
    <t>5003164</t>
  </si>
  <si>
    <t>% de recursos utilizados en materiales y equipos educativos para estudiantes de II.EE</t>
  </si>
  <si>
    <t>Módulo</t>
  </si>
  <si>
    <t>23.21.299</t>
  </si>
  <si>
    <t>22.21.22</t>
  </si>
  <si>
    <t>0107 - MEJORA DE LA FORMACIÓN EN CARRERAS DOCENTES EN INSTITUTOS DE EDUCACION SUPERIOR NO UNIVERSITARIA</t>
  </si>
  <si>
    <t>Contratación oportuna de docentes y pago de planillas a personal de institutos superior pedagógico</t>
  </si>
  <si>
    <t>48</t>
  </si>
  <si>
    <t>108</t>
  </si>
  <si>
    <t>Intitucion Educativa</t>
  </si>
  <si>
    <t>Director, AGA, AGP.</t>
  </si>
  <si>
    <t xml:space="preserve">5. 2.1.1 1.1 2
5. 2.1.1 1.1 3
5. 2.1.1 2.1 1
5. 2.1.1 9.1 3
</t>
  </si>
  <si>
    <t>Provisión de Servicios Básicos y Mantenimiento a la Infraestructura</t>
  </si>
  <si>
    <t>0108 - Educación Superior no Universitaria</t>
  </si>
  <si>
    <t xml:space="preserve">23.22.11
23.22.12
23.22.22
</t>
  </si>
  <si>
    <t>9001 - ACCIONES CENTRALES.</t>
  </si>
  <si>
    <t>0008- Asesoramiento y Apoyo</t>
  </si>
  <si>
    <t>Director, AGA.</t>
  </si>
  <si>
    <t xml:space="preserve">21.11.12
21.11.21
21.19.12
21.19.13
21.31.15
23.15.12
23.21.22
23.28.1
23.28.12
</t>
  </si>
  <si>
    <t>9002- ASIGNACIONES PRESUPUESTARIAS QUE NO RESULTAN EN PRODUCTOS - APNOP</t>
  </si>
  <si>
    <t>Desarrollo de la educación laboral y técnica</t>
  </si>
  <si>
    <t>049</t>
  </si>
  <si>
    <t>0112 -  Fromación ocupacional</t>
  </si>
  <si>
    <t>Alumno</t>
  </si>
  <si>
    <t>Director, AGA, AGP, Personal</t>
  </si>
  <si>
    <t>21.11.12
21.11.21
21.12.11
21.19.12
21.19.13
21.31.15</t>
  </si>
  <si>
    <t>5000683</t>
  </si>
  <si>
    <t>Implementación del diseño curricular basico nacional de educación básica alternativa</t>
  </si>
  <si>
    <t>47</t>
  </si>
  <si>
    <t>0106</t>
  </si>
  <si>
    <t>5000681</t>
  </si>
  <si>
    <t>% de recursos utilizados en actividades para desarrollar el ciclo intermedio y avanzado</t>
  </si>
  <si>
    <t>3999999</t>
  </si>
  <si>
    <t>Educación superior tecnológica</t>
  </si>
  <si>
    <t>108- Educación superior tecnol.</t>
  </si>
  <si>
    <t>Alumnos</t>
  </si>
  <si>
    <t>Educacación superior artística</t>
  </si>
  <si>
    <t>108- Educación superior artist.</t>
  </si>
  <si>
    <t>Obligaciones provisionales</t>
  </si>
  <si>
    <t>0116- Sistema de pensiones</t>
  </si>
  <si>
    <t>1.1 Garantizar educación de calidad para el desarrollo integral y sostenible, conenfoque de gestión territorial (productivo, ambiental e intercultural</t>
  </si>
  <si>
    <t>1.1.1 Cierre de brechas de acceso, de infraestructura y equipamiento y de logros de aprendizaje
1.1.2 Implementación de la Propuesta pedagógica regional.
1.1.3 Elaboración e implmentación del modelo de gestión con enfoque territorial</t>
  </si>
  <si>
    <t xml:space="preserve">Dirección Regional de Educación </t>
  </si>
  <si>
    <t>3000738: PERSONAS CON FORMACIÓN Y CONOCIMIENTO EN GRD Y ADAPTACIÓN AL CAMBIO CLIMÁTICO.</t>
  </si>
  <si>
    <t>016-GESTIÓN DE RIESGO DE EMERGENCIAS</t>
  </si>
  <si>
    <t>Porcentaje de personas con formación y conocimiento en GRD y adaptación al cambio climático</t>
  </si>
  <si>
    <t>1´414,581</t>
  </si>
  <si>
    <t xml:space="preserve">
2 3.2 8.1 1
2.3.2.7.101
</t>
  </si>
  <si>
    <t>3000739-POBLACIÓN CON PRÁCTICAS SEGURAS PARA LA RESILIENCIA</t>
  </si>
  <si>
    <t>Porcentaje de personas a las que se dirige el desarrollo de campañas comunicacionales</t>
  </si>
  <si>
    <t xml:space="preserve">2.3.2.2.4.4
</t>
  </si>
  <si>
    <t>3000740- SERVICIOS PÚBLICOS SEGUROS ANTE EMERGENCIAS Y DESASTRES</t>
  </si>
  <si>
    <t>Porcentaje de locales escolares con seguridad físico funcional de servicios públicos</t>
  </si>
  <si>
    <t>Gestión de Programa</t>
  </si>
  <si>
    <t>006-Gestión</t>
  </si>
  <si>
    <t>0008 Asesoramiento y apoyo.</t>
  </si>
  <si>
    <t>001 Acciones</t>
  </si>
  <si>
    <t>VARIOS</t>
  </si>
  <si>
    <t>Código de Actividad</t>
  </si>
  <si>
    <t>Actividad POI</t>
  </si>
  <si>
    <t>006-GESTIÓN DEL PROGRAMA</t>
  </si>
  <si>
    <t>Material de Oficina</t>
  </si>
  <si>
    <t>DIRECTOR, DGP, AGA, COORDINADOR PELA</t>
  </si>
  <si>
    <t>Papelería en general, útiles y materiales de oficina</t>
  </si>
  <si>
    <t>Servicios (cas, pasajes, viáticos, publicidad, impresiones, fotocopias)</t>
  </si>
  <si>
    <t>INSTITUCIONES EDUCATIVAS CON CONDICIONES PARA EL CUMPLIMIENTO DE HORAS LECTIVAS NORMADAS - 3000385</t>
  </si>
  <si>
    <t>Contratación oportuna y pago de personal de las ii.ee. de educación básica regular.</t>
  </si>
  <si>
    <t>047- EDUCACIÓN BASICA</t>
  </si>
  <si>
    <t>0103-EDUCACION INICIAL</t>
  </si>
  <si>
    <t>PORCENTAJE DE INSTITUCIONES EDUCATIVAS  PUBLICAS  CON PLANA DOCENTE COMPLETA AL INICIO DEL AÑO ESCOLAR.</t>
  </si>
  <si>
    <t>II.EE</t>
  </si>
  <si>
    <t>0104-EDUCACION PRIMARIA</t>
  </si>
  <si>
    <t>0105-EDUCACION SECUNDARIA</t>
  </si>
  <si>
    <t>Contratación y pago del personal administrativo y de apoyo de las ii.ee. de educación básica regular.</t>
  </si>
  <si>
    <t>VARIAS</t>
  </si>
  <si>
    <t>0091 - INCREMENTO EN EL ACCESO</t>
  </si>
  <si>
    <t>3000515 INSTITUCIONES EDUCATIVAS GESTIONADAS CON CONDICIIONES SUFICIENTES PARA LA ATENCION</t>
  </si>
  <si>
    <t>ASISTENCIA TECNICA PARA EL INCREMENTO DE COBEERTURA EN EDUCACION INICIAL</t>
  </si>
  <si>
    <t>047 EDUCACION BÁSICA</t>
  </si>
  <si>
    <t>103-EDUCACION INICIAL</t>
  </si>
  <si>
    <t>% anual de participantes de instatncias intermedias por Región , asistidos tecnicamente que alcanzan las capacidades priorizadas para la gestion del incremento en el acceso</t>
  </si>
  <si>
    <t>INSTANCIAS INTERME-DIAS</t>
  </si>
  <si>
    <t>13 UGELs</t>
  </si>
  <si>
    <t>DIRECTOR-DGI, RESPONSABLE DE ACCESO</t>
  </si>
  <si>
    <t>SERVICIOS 
DIVERSOS</t>
  </si>
  <si>
    <t>ASISTENCIA TECNICA PARA EL INCREMENTO DE COBEERTURA EN EDUCACION SECUNDARIA</t>
  </si>
  <si>
    <t>105-EDUCACION SECUNDARIA</t>
  </si>
  <si>
    <t>SANEAMIENTO FISICO Y LEGAL DE LOS TERRENOS PARA SERVICIOS DE EDUCACION INICIAL</t>
  </si>
  <si>
    <t>%  de servicios educativos atendidos por el Programa Presupuestal , por Región que funcionan en terrenos con saneamiento fisico y legal.</t>
  </si>
  <si>
    <t>TERRENOS</t>
  </si>
  <si>
    <t>SANEAMIENTO FISICO Y LEGAL DE LOS TERRENOS PARA SERVICIOS DE EDUCACION SECUNDARIA</t>
  </si>
  <si>
    <t>PROMOCION Y DIFUSION PARA EL FORTALECIMIENTO DE LA DEMANDA DE SERVICIOS DE LA DEMANDA DE SERVICIOS DE CALIDAD DE EDUCACION INICIAL</t>
  </si>
  <si>
    <t>%  de familias de niños y adolescentes de 3 a 16 años de servicios educativos atendidos ppor el Programa Presupuestal, que reportan haberse informado a través de la Promocion y Difusión del MINEDU/DRE/UGEL para que accedan a estos servicios</t>
  </si>
  <si>
    <t>FAMILIAS</t>
  </si>
  <si>
    <t>PROMOCION Y DIFUSION PARA EL FORTALECIMIENTO DE LA DEMANDA DE SERVICIOS DE LA DEMANDA DE SERVICIOS DE CALIDAD DE EDUCACION SECUNDARIA</t>
  </si>
  <si>
    <t>GESTION PARA LA OPERACIÓN Y ACONDICIONAMIENTO BASICO DEL SERVICIO DE EDUCACION INICIAL GENERADO POR EL PROGRAMA</t>
  </si>
  <si>
    <t>%  de acondicionamientos en Inicial</t>
  </si>
  <si>
    <t>IIEE</t>
  </si>
  <si>
    <t>GESTION PARA LA OPERACIÓN Y ACONDICIONAMIENTO BASICO DEL SERVICIO DE EDUCACION SECUNDARIA GENERADO POR EL PROGRAMA</t>
  </si>
  <si>
    <t>%  de acondicionamientos en Secundaria</t>
  </si>
  <si>
    <t>107 - MEJORA DE LA FORMACIÓN EN CARRERAS DOCENTES EN INSTITUTOS DE EDUCACION SUPERIOR NO UNIVERSITARIA</t>
  </si>
  <si>
    <t>ACCIONES COMUNES - 0000001</t>
  </si>
  <si>
    <t>Respon-
sables</t>
  </si>
  <si>
    <t xml:space="preserve">5004214
</t>
  </si>
  <si>
    <t xml:space="preserve">CONTRATACION OPORTUNA 
DE DOCENTES Y PAGO DE PLANILLAS A PERSONAL DE INSTITUTOS DE EDUCACION SUPERIOR PEDAGOGICA
</t>
  </si>
  <si>
    <t xml:space="preserve">Contratación oportuna de docentes y pago de planillas
a personal de institutos de educación superior
</t>
  </si>
  <si>
    <t>5. 2.1.1 1.1 2</t>
  </si>
  <si>
    <t>PERSONAL ADMINISTRATIVO NOMBRADO
 (REGIMEN PUBLICO)</t>
  </si>
  <si>
    <t>5. 2.1.1 1.1 3</t>
  </si>
  <si>
    <t>5. 2.1.1 1.2 1</t>
  </si>
  <si>
    <t>5. 2.1.1 2.1 1</t>
  </si>
  <si>
    <t>5. 2.1.1 2.1 2</t>
  </si>
  <si>
    <t>5. 2.1.1 9.1 2</t>
  </si>
  <si>
    <t>5. 2.1.1 9.1 3</t>
  </si>
  <si>
    <t>5. 2.1.3 1.1 5</t>
  </si>
  <si>
    <t xml:space="preserve">5004215
</t>
  </si>
  <si>
    <t xml:space="preserve"> PROVISION DE SERVICIOS 
BASICOS Y MANTENIMIENTO A LA INFRAESTRUCTURA
</t>
  </si>
  <si>
    <t xml:space="preserve">PROVISION DE SERVICIOS
 BASICOS Y MANTENI-MIENTO 
A LA INFRAESTRUC-TURA
</t>
  </si>
  <si>
    <t>5. 2.3.2 2.1 1</t>
  </si>
  <si>
    <t>5. 2.3.2 2.1 2</t>
  </si>
  <si>
    <t>5. 2.3.2 2.2 2</t>
  </si>
  <si>
    <t>5. 2.3.2 2.2 3</t>
  </si>
  <si>
    <t>9001 - ACCIONES CENTRALES</t>
  </si>
  <si>
    <t>SIN PRODUCTO</t>
  </si>
  <si>
    <t>ASESORA-MIENTO Y APOYO</t>
  </si>
  <si>
    <t>PERSONA</t>
  </si>
  <si>
    <t>5211112</t>
  </si>
  <si>
    <t>PERSONAL ADMINISTRATIVO NOMBRADO 
(REGIMEN PUBLICO)</t>
  </si>
  <si>
    <t>5211113</t>
  </si>
  <si>
    <t>PERSONAL CON CONTRATO A PLAZO FIJO 
(REGIMEN LABORAL PUBLICO)</t>
  </si>
  <si>
    <t>5211121</t>
  </si>
  <si>
    <t>5211211</t>
  </si>
  <si>
    <t>5211912</t>
  </si>
  <si>
    <t>5211913</t>
  </si>
  <si>
    <t>5213115</t>
  </si>
  <si>
    <t>5231111</t>
  </si>
  <si>
    <t>5231311</t>
  </si>
  <si>
    <t>5231313</t>
  </si>
  <si>
    <t>5231511</t>
  </si>
  <si>
    <t>5231512</t>
  </si>
  <si>
    <t>5231531</t>
  </si>
  <si>
    <t>5231541</t>
  </si>
  <si>
    <t>523159999</t>
  </si>
  <si>
    <t>5231611</t>
  </si>
  <si>
    <t>52316199</t>
  </si>
  <si>
    <t>5231711</t>
  </si>
  <si>
    <t>5231812</t>
  </si>
  <si>
    <t>5231911</t>
  </si>
  <si>
    <t>5232121</t>
  </si>
  <si>
    <t>5232122</t>
  </si>
  <si>
    <t>5232211</t>
  </si>
  <si>
    <t>5232212</t>
  </si>
  <si>
    <t>5232221</t>
  </si>
  <si>
    <t>5232222</t>
  </si>
  <si>
    <t>5232223</t>
  </si>
  <si>
    <t>5232231</t>
  </si>
  <si>
    <t>5232241</t>
  </si>
  <si>
    <t>5232244</t>
  </si>
  <si>
    <t>5232312</t>
  </si>
  <si>
    <t>5232413</t>
  </si>
  <si>
    <t>5232415</t>
  </si>
  <si>
    <t>5232632</t>
  </si>
  <si>
    <t>523271099</t>
  </si>
  <si>
    <t>523271199</t>
  </si>
  <si>
    <t>5232811</t>
  </si>
  <si>
    <t>5232812</t>
  </si>
  <si>
    <t>523199199</t>
  </si>
  <si>
    <t>5232411</t>
  </si>
  <si>
    <t>5232711</t>
  </si>
  <si>
    <t>52327101</t>
  </si>
  <si>
    <t xml:space="preserve">
SEMINARIOS ,TALLERES Y SIMILARES ORGANIZADOS POR LA  INSTITUCION</t>
  </si>
  <si>
    <t>52327102</t>
  </si>
  <si>
    <t>6263231</t>
  </si>
  <si>
    <t>9002 - APNOP - ACCIONES QUE NO RESULTAN EN PRODUCTOS</t>
  </si>
  <si>
    <t>5000668</t>
  </si>
  <si>
    <t>0108</t>
  </si>
  <si>
    <t>EDUCACION 
SUPERIOR 
TECNOLOGICA</t>
  </si>
  <si>
    <t>aumno</t>
  </si>
  <si>
    <t>5211212</t>
  </si>
  <si>
    <t>EDUCACION SUPERIOR 
ARTISTICA</t>
  </si>
  <si>
    <t>alumno</t>
  </si>
  <si>
    <t>SERVICIO DE SUMINISTRO DE AGUA</t>
  </si>
  <si>
    <t>EDUCACION BASICA ALTERNATIVA</t>
  </si>
  <si>
    <t>PAGO DE PENSIONES Y BENEFICIOS A CESANTES Y JUBILADOS</t>
  </si>
  <si>
    <t>5221111</t>
  </si>
  <si>
    <t>5221121</t>
  </si>
  <si>
    <t>Oficinas Administrativas y Hogares Sustitutos</t>
  </si>
  <si>
    <t>Laboral</t>
  </si>
  <si>
    <t>6.2 Económico</t>
  </si>
  <si>
    <t>Mejoramiento de la cadena productiva del ganado vacuno criollo y criollo mestizo en el distrito de La Ramada - Cutervo - Cajamarca.</t>
  </si>
  <si>
    <t>Gerencia Sub Regional Cutervo
Sub Gerencia de Operaciones - Sub Gerencia de Promoción del Desarrollo</t>
  </si>
  <si>
    <t>Número de familias asociadas a cadenas productivas priorizadas por cuencas</t>
  </si>
  <si>
    <t>Mejoramiento de la cadena productiva del ganado vacuno criollo y criollo mestizo en el distrito de la Ramada - Cutervo - Cajamarca.</t>
  </si>
  <si>
    <t>Mejoramiento de La Cadena Productiva del Ganado Vacuno Criollo Y Criollo Mestizo a Nivel Multilocal, Distrito de Santo Tomás - Cutervo - Cajamarca</t>
  </si>
  <si>
    <t>2.1.2 Impulsar el desarrollo de la conectividad territorial e infraestructura productiva, que promueva la inclusiónsocial y económica</t>
  </si>
  <si>
    <t>Construcción, Mejoramiento del Camino Vecinal entre el Tramo Cruce Inguer - Paltic - Sagasmache - La Colpa - Paric, Distrito de Querocotillo - Cutervo - Cajamarca</t>
  </si>
  <si>
    <t>Mejoramiento de la Cadena Productiva del Ganado Vacuno Criollo y Criollo Mestizo a Nivel Multilocal, Distrito de Santo Tomás - Cutervo - Cajamarca</t>
  </si>
  <si>
    <t>Reducción del costo tiempo e inseguridad en el sistema de transporte</t>
  </si>
  <si>
    <t>Mejoramiento del Camino Vecinal Mejoramiento del Camino Vecinal Puente Techin-Cruce Chirimoyo, Distrito de Querocotillo - Cutervo - Cajamarca</t>
  </si>
  <si>
    <t>Número de Km de Carretera Mejorada</t>
  </si>
  <si>
    <t xml:space="preserve">Adquisición de Activos No Financieros </t>
  </si>
  <si>
    <t>0101882: Mantenimiento Rutinario Manual carretera: Chota - La Palma - Conchán - Chiguirip - Cutervo</t>
  </si>
  <si>
    <t>AccionesCentrales</t>
  </si>
  <si>
    <t>Dirección Regional de Agricultura Cajamarca</t>
  </si>
  <si>
    <t>Sub Gerencia de Planeamiento y CTI</t>
  </si>
  <si>
    <t>SGPLCTI</t>
  </si>
  <si>
    <t>Contribuciones de EsSAlud</t>
  </si>
  <si>
    <t>Elaboración del POI 2017</t>
  </si>
  <si>
    <t>Econ. Rómulo Velásquez Zegarra y Equipo Técnico SGPCTI</t>
  </si>
  <si>
    <t>Proceso del Presupuesto Participativo 2017</t>
  </si>
  <si>
    <t>Número de acuerdos aprobados y ejecutados
Número de participantes</t>
  </si>
  <si>
    <t>Elaboración de la Memoria Anual 2015</t>
  </si>
  <si>
    <t>Lic.Felícita Latorraca Ríos</t>
  </si>
  <si>
    <t>Evaluación del Plan Operativo Institucional 2015</t>
  </si>
  <si>
    <t>Documento elaborado, aprobado y socializado</t>
  </si>
  <si>
    <t xml:space="preserve">Econ. Rómulo Velásquez Zegarra </t>
  </si>
  <si>
    <t>Desarrollo e Integración Fronteriza</t>
  </si>
  <si>
    <t>Número de Acuerdos implementados</t>
  </si>
  <si>
    <t>Ing. Pelayo Roncal Vargas</t>
  </si>
  <si>
    <t>Fortalecimiento de la Institucionalidad de la Mancomunidad Regional del Qhapaq Ñan Nor Amazónico</t>
  </si>
  <si>
    <t>Número de reuniones asistidas</t>
  </si>
  <si>
    <t>Actualización del PDRC</t>
  </si>
  <si>
    <t xml:space="preserve">Documento elaborado, validado y socializado </t>
  </si>
  <si>
    <t>Equipo SGPLCTI</t>
  </si>
  <si>
    <t>Elaboración del PEI 2016 -2018</t>
  </si>
  <si>
    <t>Gestión de la Cooperación Técnica Internacional</t>
  </si>
  <si>
    <t>Mesa de Cooperantes funcionando</t>
  </si>
  <si>
    <t>Resolución</t>
  </si>
  <si>
    <t>Lic.Héctor Gamonal Idrogo</t>
  </si>
  <si>
    <t>Número de proyectos/actividades gestionadas con recursos de la cooperación</t>
  </si>
  <si>
    <t>Fichas Técnicas</t>
  </si>
  <si>
    <t>Audiencias Públicas</t>
  </si>
  <si>
    <t>Elaboración del Boletín Estadístico 2015</t>
  </si>
  <si>
    <t xml:space="preserve">Evaluación del Plan Operativo Institucional 2016 - I Semestre </t>
  </si>
  <si>
    <t>Econ.Rómulo Velásquez Zegarra</t>
  </si>
  <si>
    <t>Fortalecimiento del Consejo de Coordinación Regional</t>
  </si>
  <si>
    <t>Número de participantes capacitados</t>
  </si>
  <si>
    <t>Viáticos y asignaciones por comision de servicio</t>
  </si>
  <si>
    <t>Gerencia Sub Regional Cutervo - 
Oficina Sub Regional de Administración</t>
  </si>
  <si>
    <t>Supervisión y liquidacion de obras</t>
  </si>
  <si>
    <t>Control y Liquidación de Obras</t>
  </si>
  <si>
    <t>4.1.1 Implementación de una reforma institucional que promueva una nueva cultura organizacional participativa, intersectorial y comprometida en la lucha corrupción</t>
  </si>
  <si>
    <t>Liquidación de Obras</t>
  </si>
  <si>
    <t>Dirección Regional de Administración</t>
  </si>
  <si>
    <t>Administración, uso  y control de vehículos</t>
  </si>
  <si>
    <t>008</t>
  </si>
  <si>
    <t>Vehículo Operativo</t>
  </si>
  <si>
    <t>Vehículo</t>
  </si>
  <si>
    <t>Para vehículos</t>
  </si>
  <si>
    <t>Gastos notariales</t>
  </si>
  <si>
    <t>Seguro de vida</t>
  </si>
  <si>
    <t>Seguro obligatorio accidentes de tránsito (soat)</t>
  </si>
  <si>
    <t>Viáticos y asignaciones por comisión de servicio</t>
  </si>
  <si>
    <t>Consolidación de estados financieros del Pliego Gobierno Regional Cajamarca</t>
  </si>
  <si>
    <t>Gestión administrativa</t>
  </si>
  <si>
    <t>Gestión de la administración, disposición y control de bienes muebles e inmuebles</t>
  </si>
  <si>
    <t>Dirección Regional de Administración, de Contabilidad, Abastecimientos, Personal, Tesorería y Patrimonio</t>
  </si>
  <si>
    <t>De cocina, comedor y cafetería</t>
  </si>
  <si>
    <t>Libros, diarios, revistas y otros bienes impresos no vinculados a enseñanza</t>
  </si>
  <si>
    <t>Otros seguros de  bienes muebles e inmuebles</t>
  </si>
  <si>
    <t>Gestión de las relaciones humanas y sociales</t>
  </si>
  <si>
    <t>Realizado por personas jurídicas</t>
  </si>
  <si>
    <t>De comunicaciones y telecomunicaciones</t>
  </si>
  <si>
    <t>Servicio de suministro de energía elé</t>
  </si>
  <si>
    <t>ctrica</t>
  </si>
  <si>
    <t>Servicio de telefonía fija</t>
  </si>
  <si>
    <t>Servicio de internet</t>
  </si>
  <si>
    <t>Correos y servicios de mensajería</t>
  </si>
  <si>
    <t>Otros seguros personales</t>
  </si>
  <si>
    <t>Atenciones oficiales y celebraciones institucionales</t>
  </si>
  <si>
    <t>Gestión del Desarrollo y la capacitación</t>
  </si>
  <si>
    <t>Seminarios ,talleres y similares organizados por la  institución</t>
  </si>
  <si>
    <t>Aasignaciones por comisión de servicio</t>
  </si>
  <si>
    <t>,,,,,,,,,,,,,,,,,,,,,,,,,,,,,,,,,,,,,,,,,,,,,,,,,,,,,,,,,,,,,,,,,,,,,,,,,,,,,,,,,,,,,,,,,,,,,,,,,,,,,,,,,,,,,,,,,,,,,,,,,,,,,,,,,,,,,,,,,,,,,,,,,,,,,,,,,,,,,,,,,,,,,,,,,,,,,,,,,,,,,,,,,,,,,,,,,,,,,,,,,,,,,,,,,,,,,,,,,,,,,,,,,,,,,,,,,,,,,,,,,,,,,,,,,,,,,,,,,,,,,,,,,,,,,,,,,,,,,,,,,,,,,,,,,,,,,,,,,,,,,,,,,,,,,,,,,,,,,,,,,,,,,,,,,,,,,,,,,,,,,,,,,,,</t>
  </si>
  <si>
    <t>Asignación a Fondos para personal</t>
  </si>
  <si>
    <t>Viáticos y asignación por comision de servicios</t>
  </si>
  <si>
    <t>Otros Servicios de Informática</t>
  </si>
  <si>
    <t>De máquinas y equipos</t>
  </si>
  <si>
    <t>Seminarios, Talleres y similares organizados por la institución</t>
  </si>
  <si>
    <t>Gestión del Empleo</t>
  </si>
  <si>
    <t>Gestión de las contrataciones de bienes servicios y obras</t>
  </si>
  <si>
    <t>Libros, Diarios, Revistas y otros bienes impresos no vinculados a enseñanza</t>
  </si>
  <si>
    <t>Políticas y planificación en recursos humanos</t>
  </si>
  <si>
    <t>Dietas de regidores y consejeros</t>
  </si>
  <si>
    <t>Funcionarios elegidos por elección política</t>
  </si>
  <si>
    <t>Personal administrativo nombrado (régimen público)</t>
  </si>
  <si>
    <t>Personal con contrato a plazo fijo (régimen laboral público)</t>
  </si>
  <si>
    <t>Asignación a fondos para personal</t>
  </si>
  <si>
    <t>Compensación por tiempo de servicios (cts)</t>
  </si>
  <si>
    <t>Asignación por cumplir 25 o 30 años</t>
  </si>
  <si>
    <t>Compensacion vacacional (vacaciones truncas)</t>
  </si>
  <si>
    <t>Contribuciones a es salud</t>
  </si>
  <si>
    <t>Gasto por la contratación de servicios</t>
  </si>
  <si>
    <t xml:space="preserve">Gerencia Sub Regional Cutervo
</t>
  </si>
  <si>
    <t xml:space="preserve">26.81.42 </t>
  </si>
  <si>
    <t xml:space="preserve">26.81.43 </t>
  </si>
  <si>
    <t>0146103: Mejoramiento del servicio de transitabilidad vehicular
en otuzco-rinconada otuzco-otuzco la victoria-
puylucana, distrito de los baños del inca-cajamarca-
cajamarca</t>
  </si>
  <si>
    <t>Mejoramiento de camino vecinal</t>
  </si>
  <si>
    <t>Reducir el incremento de enfermedades infecciosas, intestinales y parasitarias en la población de chota</t>
  </si>
  <si>
    <t>3000001 Acciones Comunes</t>
  </si>
  <si>
    <t>atencion en laboratorio</t>
  </si>
  <si>
    <t>vigilancia de la calidad del agua para el consumo humano</t>
  </si>
  <si>
    <t xml:space="preserve"> desinfeccion y/o tratamiento del agua para el consumo humano</t>
  </si>
  <si>
    <t xml:space="preserve"> instituciones educativas saludables promueven acciones para el cuidado infantil y la adecuada alimentacion</t>
  </si>
  <si>
    <t xml:space="preserve"> familias con niño/as menores de 36 meses desarrollan practicas saludables</t>
  </si>
  <si>
    <t>administrar suplemento de hierro y vitamina a</t>
  </si>
  <si>
    <t xml:space="preserve"> atender a niños con infecciones respiratorias agudas</t>
  </si>
  <si>
    <t>atender a niños con enfermedades diarreicas agudas</t>
  </si>
  <si>
    <t>atender a niños con diagnostico de infecciones respiratorias agudas con complicaciones</t>
  </si>
  <si>
    <t>atender a niños con diagnostico de enfermedad diarreica aguda complicada</t>
  </si>
  <si>
    <t>brindar atencion a otras enfermedades prevalentes</t>
  </si>
  <si>
    <t>administrar suplemento de hierro y acido folico a gestantes</t>
  </si>
  <si>
    <t>desarrollo de normas y guias tecnicas en salud materno neonatal</t>
  </si>
  <si>
    <t xml:space="preserve"> monitoreo, supervision, evaluacion</t>
  </si>
  <si>
    <t>brindar informacion sobre salud sexual, salud reproductiva y metodos de planificacion familiar</t>
  </si>
  <si>
    <t>brindar servicios de salud para prevencion del embarazo a adolescentes</t>
  </si>
  <si>
    <t xml:space="preserve"> brindar atencion prenatal reenfocada</t>
  </si>
  <si>
    <t>promover la salud sexual y reproductiva con enfasis en maternidad saludable</t>
  </si>
  <si>
    <t>comunidad promueve acciones adecuadas en salud sexual y reproductiva con enfasis en maternidad saludable y salud del neonato</t>
  </si>
  <si>
    <t>promover desde las instituciones educativas saludables, salud sexual y reproductiva con enfasis en la maternidad saludable</t>
  </si>
  <si>
    <t>mejoramiento del acceso de la poblacion a metodos de planificacion familiar</t>
  </si>
  <si>
    <t>mejoramiento del acceso de la poblacion a servicios de consejeria en salud sexual y reproductiva</t>
  </si>
  <si>
    <t>brindar atencion a la gestante con complicaciones</t>
  </si>
  <si>
    <t>brindar atencion de parto normal</t>
  </si>
  <si>
    <t>brindar atencion del parto complicado no quirurgico</t>
  </si>
  <si>
    <t>brindar atencion del parto complicado quirurgico</t>
  </si>
  <si>
    <t>atender el puerperio</t>
  </si>
  <si>
    <t>atender el puerperio con complicaciones</t>
  </si>
  <si>
    <t>atender complicaciones obstetricas en unidad de cuidados intensivos</t>
  </si>
  <si>
    <t>mejoramiento del acceso al sistema de referencia institucional</t>
  </si>
  <si>
    <t>atender al recien nacido con complicaciones</t>
  </si>
  <si>
    <t>atender al recien nacido con complicaciones que requiere unidad de cuidados intensivos neonatales - ucin</t>
  </si>
  <si>
    <t>informar a familias saludables respecto de su salud sexual y reproductiva, con enfasis en la maternidad saludables</t>
  </si>
  <si>
    <t>monitoreo, supervision, evaluacion y control de vih/sida - tuberculosis</t>
  </si>
  <si>
    <t xml:space="preserve"> desarrollo de normas y guias tecnicas vih/sida y tuberculosis</t>
  </si>
  <si>
    <t>despistaje de tuberculosis en sintomaticos respiratorios</t>
  </si>
  <si>
    <t>control y tratamiento preventivo de contactos de casos tuberculosis (general, indigena, privada de su libertad)</t>
  </si>
  <si>
    <t>diagnostico de casos de tuberculosis</t>
  </si>
  <si>
    <t xml:space="preserve"> tratamiento de casos de personas privadas de su libertad</t>
  </si>
  <si>
    <t>despistaje y diagnostico de tuberculosis para pacientes con comorbilidad</t>
  </si>
  <si>
    <t>brindar tratamiento oportuno para tuberculosis y sus complicaciones</t>
  </si>
  <si>
    <t>brindar a personas con diagnostico de hepatitis b cronica atencion integral</t>
  </si>
  <si>
    <t>medidas de control de infecciones y bioseguridad en los servicios de atencion de tuberculosis</t>
  </si>
  <si>
    <t>promover en las familia practicas saludables para la prevencion de vih/sida y tuberculosis</t>
  </si>
  <si>
    <t>promover desde las instituciones educativas practicas saludables para la prevencion de vih/sida y tuberculosis</t>
  </si>
  <si>
    <t>promover mediante agentes comunitarios en salud (acs), practicas saludables para prevencion de tuberculosis</t>
  </si>
  <si>
    <t>implementar viviendas mejoradas en hogares de personas afectadas de tuberculosis multidrogo resistente - tbmdr</t>
  </si>
  <si>
    <t>mejorar en poblacion informada el uso correcto de condon para prevencion de infecciones de transmision sexual y vih/sida</t>
  </si>
  <si>
    <t>Gastos de sepelio</t>
  </si>
  <si>
    <t>Gestión de la Compensación</t>
  </si>
  <si>
    <t>Implementación de recomendaciones de control interno y SOAS</t>
  </si>
  <si>
    <t>Kilómetro</t>
  </si>
  <si>
    <t>Construcción, Mejoramiento Del Camino Vecinal Entre El Tramo Cruce Inguer - Paltic - Sagasmache - La Colpa - Paric, Distrito De Querocotillo - Cutervo - Cajamarca</t>
  </si>
  <si>
    <t>Kilómetros</t>
  </si>
  <si>
    <t>N° de Kilómetros con Mejoramiento de Vías Vecinales.</t>
  </si>
  <si>
    <t>Mejoramiento del servicio de Transitabilidad Vehicular en Otuzco - Rinconada Otuzco -Otuzco la Victoria -
Puylucana, distrito de los Baños del Inca - Cajamarca - Cajamarca</t>
  </si>
  <si>
    <t>Número de Acciones de Gestión.</t>
  </si>
  <si>
    <t>0137817: Mantenimiento Rutinario Manual carretera: EMP. PE-3N (Bambamarca) - Atoshaico - Ramoscucho - Libertad de Pallán - Llanguat - EMP. PE-08 B (Celendín)</t>
  </si>
  <si>
    <t>N° de personas capacitadas en el año 2016.</t>
  </si>
  <si>
    <t xml:space="preserve"> -Porcentaje de kilómetros de la Red Vial Departamental con inspección de seguridad vial en el año</t>
  </si>
  <si>
    <t xml:space="preserve"> - Proporción de transportistas autorizados para el servicio de transporte público de personas</t>
  </si>
  <si>
    <t>Viáticos y Asign. por C.S.</t>
  </si>
  <si>
    <t>Costo de Construcción por administración directa-personal</t>
  </si>
  <si>
    <t>2.1.1. Promover el desarrollo de la agricultura familiar, orgánica, bajo el modelo asociativo y articulado al mercado, con aprovechamiento sostenible de los recursos naturales y promoviendo el turismo rural comunitario.</t>
  </si>
  <si>
    <t>09</t>
  </si>
  <si>
    <t>Dircetur</t>
  </si>
  <si>
    <t>Aseo limpieza y tocador</t>
  </si>
  <si>
    <t>2.1.3. Impulsar el desarrollo competitivo de cadenas de valor en las actividades agropecuarias, forestales, acuícolas, turisticas y artesanales.</t>
  </si>
  <si>
    <t>Equipos computacionales y periféricos</t>
  </si>
  <si>
    <t>Electricidad, iluminación</t>
  </si>
  <si>
    <t>Softwars</t>
  </si>
  <si>
    <t>Gastos destinados a cubrir alquiler de vehículo lacustre.</t>
  </si>
  <si>
    <t>Medicamentos farmacéuticos</t>
  </si>
  <si>
    <t>De edificaciones oficinas y estructuras</t>
  </si>
  <si>
    <t>Número de Localidades energizadas</t>
  </si>
  <si>
    <t>Instalación de acometidas eléctricas domiciliarias</t>
  </si>
  <si>
    <t>Pago Pensionistas</t>
  </si>
  <si>
    <t>RRHH</t>
  </si>
  <si>
    <t>Programación de metas</t>
  </si>
  <si>
    <t>211311    Personal Nombrado</t>
  </si>
  <si>
    <t>211321    Personal Nombrado</t>
  </si>
  <si>
    <t>211331    Guardias Hospitalarias</t>
  </si>
  <si>
    <t>2113399    Otras Retribuciones Y Complementos</t>
  </si>
  <si>
    <t>211912    Aguinaldos</t>
  </si>
  <si>
    <t>211913    Bonificacion Por Escolaridad</t>
  </si>
  <si>
    <t>213115    Contribuciones A Essalud</t>
  </si>
  <si>
    <t>213116    Otras Contribuciones Del Empleador</t>
  </si>
  <si>
    <t>231311    Combustibles Y Carburantes</t>
  </si>
  <si>
    <t>231512    Papeleria En General, Utiles Y Materiales De Oficina</t>
  </si>
  <si>
    <t>2319913    Libros, Diarios, Revistas Y Otros Bienes Impresos No Vinculados A Enseñanza</t>
  </si>
  <si>
    <t>232121    Pasajes Y Gastos De Transporte</t>
  </si>
  <si>
    <t>232122    Viaticos Y Asignaciones Por Comision De Servicio</t>
  </si>
  <si>
    <t>2321299    Otros Gastos</t>
  </si>
  <si>
    <t>232244    Servicio De Impresiones, Encuadernacion Y Empastado</t>
  </si>
  <si>
    <t>2327101    Seminarios ,Talleres Y Similares Organizados Por La  Institucion</t>
  </si>
  <si>
    <t>232811    Contrato Administrativo De Servicios</t>
  </si>
  <si>
    <t>232812    Contribuciones A Essalud De C.A.S.</t>
  </si>
  <si>
    <t>Tipo De Ejecucion-Especifica De Gasto</t>
  </si>
  <si>
    <t>211312    Personal Contratado</t>
  </si>
  <si>
    <t>231313    Lubricantes, Grasas Y Afines</t>
  </si>
  <si>
    <t>231511    Repuestos Y Accesorios</t>
  </si>
  <si>
    <t>231531    Aseo, Limpieza Y Tocador</t>
  </si>
  <si>
    <t>232731    Realizado Por Personas Juridicas</t>
  </si>
  <si>
    <t>004   Planeamiento Gubernamental</t>
  </si>
  <si>
    <t>0005   Planeamiento Institucional</t>
  </si>
  <si>
    <t xml:space="preserve"> Personal Nombrado</t>
  </si>
  <si>
    <t>Personal Serums</t>
  </si>
  <si>
    <t>Guardias Hospitalarias</t>
  </si>
  <si>
    <t>Otras Retribuciones y Complementos</t>
  </si>
  <si>
    <t xml:space="preserve"> Otras Contribuciones del Empleador</t>
  </si>
  <si>
    <t>Papeleria en general, Útiles y Materiales de Oficina</t>
  </si>
  <si>
    <t>060   Informe</t>
  </si>
  <si>
    <t>Libros, Diarios, Revistas Y Otros Bienes Impresos No Vinculados A Enseñanza</t>
  </si>
  <si>
    <t xml:space="preserve"> Otros Gastos</t>
  </si>
  <si>
    <t>Seminarios ,Talleres y Similares Organizados por la  Institución</t>
  </si>
  <si>
    <t>Contribuciones a Essalud de C.A.S.</t>
  </si>
  <si>
    <t>Servicio de Impresiones, Encuadernación y Empastado</t>
  </si>
  <si>
    <t>Tipo de Ejecución-Específica De Gasto</t>
  </si>
  <si>
    <t>Vigilancia, investigación y tecnologías en nutrición</t>
  </si>
  <si>
    <t xml:space="preserve"> Viáticos y Asignaciones por Comisión de Servicio</t>
  </si>
  <si>
    <t>Vigilancia, investigación y tecnologias en nutricion</t>
  </si>
  <si>
    <t>043   Salud Colectiva</t>
  </si>
  <si>
    <t>0093   Regulación y Control Sanitario</t>
  </si>
  <si>
    <t xml:space="preserve">Número de normas y guías técnicas en nutrición socializadas e implementadas durante año 2016 </t>
  </si>
  <si>
    <t>080   Norma</t>
  </si>
  <si>
    <t xml:space="preserve"> Otras Retribuciones Y Complementos</t>
  </si>
  <si>
    <t xml:space="preserve"> Aguinaldos</t>
  </si>
  <si>
    <t>Contribuciones A Essalud</t>
  </si>
  <si>
    <t>Pasajes Y Gastos De Transporte</t>
  </si>
  <si>
    <t>Viaticos Y Asignaciones Por Comision De Servicio</t>
  </si>
  <si>
    <t>Servicio De Impresiones, Encuadernacion Y Empastado</t>
  </si>
  <si>
    <t>Bonificación Por Escolaridad</t>
  </si>
  <si>
    <t>Papeleria en General, Útiles y Materiales De Oficina</t>
  </si>
  <si>
    <t>01</t>
  </si>
  <si>
    <t>Otras Contribuciones del Empleador</t>
  </si>
  <si>
    <t>Tipo de ejecución-Específica de Gasto</t>
  </si>
  <si>
    <t>Seminarios ,talleres y Similares Organizados por la  Institución</t>
  </si>
  <si>
    <t xml:space="preserve">Combustible y carburantes </t>
  </si>
  <si>
    <t>Vestuario y accesorios y prendas divi</t>
  </si>
  <si>
    <t xml:space="preserve">Correo y servicio de mensajería  </t>
  </si>
  <si>
    <t xml:space="preserve">Correos y servicios  de mensajeria </t>
  </si>
  <si>
    <t xml:space="preserve">Otras atenciones y </t>
  </si>
  <si>
    <t xml:space="preserve">Correo y servicio de mensajería </t>
  </si>
  <si>
    <t>Mejoramiento de los servicios de transitabilidad vehicular en Otuzco - Rinconada -Otuzco La Victoria - Puylucana, distrito de Los Baños de Inca - Cajamarca - Cajamarca</t>
  </si>
  <si>
    <t>Global</t>
  </si>
  <si>
    <t>0095   Control de Ruiesgos y daños para la salud</t>
  </si>
  <si>
    <t>Control de calidad nutricional de los alimentos</t>
  </si>
  <si>
    <t>0054340 Acciones administrativas desarrolladas para la consecución de objetivos dirigidos al sostenimiento del sector pesquero y al fomento</t>
  </si>
  <si>
    <t>.</t>
  </si>
  <si>
    <t>Dirección Regional de Transportes</t>
  </si>
  <si>
    <t>Acciones que no Resultan en Producto</t>
  </si>
  <si>
    <t>Actividad/Acción de Inversión/Obra</t>
  </si>
  <si>
    <t>Tipo de Ejecución/ código específica</t>
  </si>
  <si>
    <t>Acciones de turismo en la región de Cajamarca</t>
  </si>
  <si>
    <t>ACCIONES DE PLANIFICACIÓN Y ADMINISTRACIÓN</t>
  </si>
  <si>
    <t>% Actividades de promoción ejecutadas sobre las alternativas de financiamiento para las unidade productivas en la región</t>
  </si>
  <si>
    <t xml:space="preserve">2.3.2.2.3.1. Corrreo </t>
  </si>
  <si>
    <t>2.3.2.5.1.1.Alquiler de edificios y estructuras</t>
  </si>
  <si>
    <t>2.3.2.7.1.1.99
Servicios diversos</t>
  </si>
  <si>
    <t>2.3.1.5.1.1
.Repuestos y accesorios</t>
  </si>
  <si>
    <t>232244    SERVICIO DE IMPRESIONES,ENCUADERNACIÓN Y EMPASTADO</t>
  </si>
  <si>
    <t>Mantenimiento y acondicionamiento de espacios en locales de los centros de educación básica especial y Centros de Recursos</t>
  </si>
  <si>
    <t>Asistencia de  familias de estudiantes de Centros de Educación Básica Especial para Participación en Proceso Educativo</t>
  </si>
  <si>
    <t>Dotacion y materiales y equipos educativos para estudiantes de instituciones educativas inclusivas</t>
  </si>
  <si>
    <t xml:space="preserve">Gerencia de Desarrollo Social - ARCHIVO REGIONAL CAJAMARCA </t>
  </si>
  <si>
    <t>Programa presupuestal</t>
  </si>
  <si>
    <t>UNIDAD MEDIDA</t>
  </si>
  <si>
    <t>UNIDAD  MEDIDA</t>
  </si>
  <si>
    <t>Financiera S/.</t>
  </si>
  <si>
    <t>0001478 Vigilancia y Conservación de documentos de la institución</t>
  </si>
  <si>
    <t>Archivo Regional</t>
  </si>
  <si>
    <t>Aseo y limpieza</t>
  </si>
  <si>
    <t>Empastes y encuadernación</t>
  </si>
  <si>
    <t>Correos y mensajería</t>
  </si>
  <si>
    <t xml:space="preserve">Papelería en general </t>
  </si>
  <si>
    <t>Suministro energía electrica</t>
  </si>
  <si>
    <t>23.22.22.</t>
  </si>
  <si>
    <t>23.18.199</t>
  </si>
  <si>
    <t>Estante compactos</t>
  </si>
  <si>
    <t>26.15.41</t>
  </si>
  <si>
    <t>Electricidad, Iluminac. Y electronica</t>
  </si>
  <si>
    <t>Código Espécifica/Específica de Gasto</t>
  </si>
  <si>
    <t>FÍSICO</t>
  </si>
  <si>
    <t>FINANCIERO (RO, RDR)</t>
  </si>
  <si>
    <t>Personal administrativo</t>
  </si>
  <si>
    <t>1.5.3 Promoción de la defensa de los derechos laborales fundamentales, con ingresos adecuados que garanticen una mejor calidad de vida.</t>
  </si>
  <si>
    <t xml:space="preserve">Supervisar la correcta aplicación de las normas legales relacionadas con la actividad turística </t>
  </si>
  <si>
    <t xml:space="preserve">% de prestadores de servicios turísticos   </t>
  </si>
  <si>
    <t xml:space="preserve">% Prestadores de servicios turísticos capacitados </t>
  </si>
  <si>
    <t>% Prestadores de servicios turísticos capacitados</t>
  </si>
  <si>
    <t>% de Actividades y/o programas de capacitación ejecutados para impulsar el desarrollo de los recursos humanos regionales</t>
  </si>
  <si>
    <t>Programació de metas</t>
  </si>
  <si>
    <t>211112    Personal Administrativo Nombrado (Régimen Publico)</t>
  </si>
  <si>
    <t>211113    Personal Con Contrato A Plazo Fijo (Regimen Laboral Público)</t>
  </si>
  <si>
    <t>Equipos técnicos  PP PAN- DIRESA Cajamarca</t>
  </si>
  <si>
    <t>Monitoreo, supervision, evaluación y control del programa articulado nutricional</t>
  </si>
  <si>
    <t>Intervenciones de comunicacion para el cuidado infantil y prevención de anemia y desnutrición crónica infantil</t>
  </si>
  <si>
    <t>Municipios saludables promueven acciones de cuidado infantil y la adecuada alimentacion</t>
  </si>
  <si>
    <t>Comunidades saludables promueven acciones para el cuidado infantil y la adecuada alimentacion</t>
  </si>
  <si>
    <t>Atender a niños y niñas con diagnostico de parasitosis intestinal</t>
  </si>
  <si>
    <r>
      <t xml:space="preserve">1.1.1.1. Desarrollar, ejecutar y evaluar el </t>
    </r>
    <r>
      <rPr>
        <sz val="8"/>
        <rFont val="Calibri"/>
        <family val="2"/>
        <scheme val="minor"/>
      </rPr>
      <t>Programa Estratégico de logros de Aprendizaje.</t>
    </r>
  </si>
  <si>
    <r>
      <t xml:space="preserve">Acompañamiento Pedagogico a Instituciones Educativas </t>
    </r>
    <r>
      <rPr>
        <u/>
        <sz val="8"/>
        <color theme="1"/>
        <rFont val="Calibri"/>
        <family val="2"/>
        <scheme val="minor"/>
      </rPr>
      <t xml:space="preserve">Multiedad y Multigrado </t>
    </r>
    <r>
      <rPr>
        <sz val="8"/>
        <color theme="1"/>
        <rFont val="Calibri"/>
        <family val="2"/>
        <scheme val="minor"/>
      </rPr>
      <t>de EBR</t>
    </r>
  </si>
  <si>
    <r>
      <t>Acompañamiento Pedagogico a Instituciones Educativas</t>
    </r>
    <r>
      <rPr>
        <u/>
        <sz val="8"/>
        <color theme="1"/>
        <rFont val="Calibri"/>
        <family val="2"/>
        <scheme val="minor"/>
      </rPr>
      <t xml:space="preserve"> Polidocentes</t>
    </r>
    <r>
      <rPr>
        <sz val="8"/>
        <color theme="1"/>
        <rFont val="Calibri"/>
        <family val="2"/>
        <scheme val="minor"/>
      </rPr>
      <t xml:space="preserve"> de EBR</t>
    </r>
  </si>
  <si>
    <r>
      <rPr>
        <u/>
        <sz val="8"/>
        <color theme="1"/>
        <rFont val="Calibri"/>
        <family val="2"/>
        <scheme val="minor"/>
      </rPr>
      <t>Refuerzo Escolar</t>
    </r>
    <r>
      <rPr>
        <sz val="8"/>
        <color theme="1"/>
        <rFont val="Calibri"/>
        <family val="2"/>
        <scheme val="minor"/>
      </rPr>
      <t xml:space="preserve"> a Estudiantes y Docentes de Instituciones Educativas de EBR</t>
    </r>
  </si>
  <si>
    <r>
      <t xml:space="preserve">0104 - Educacion </t>
    </r>
    <r>
      <rPr>
        <u/>
        <sz val="8"/>
        <color theme="1"/>
        <rFont val="Calibri"/>
        <family val="2"/>
        <scheme val="minor"/>
      </rPr>
      <t>Inicial</t>
    </r>
  </si>
  <si>
    <r>
      <t xml:space="preserve">0104 - Educacion </t>
    </r>
    <r>
      <rPr>
        <u/>
        <sz val="8"/>
        <color theme="1"/>
        <rFont val="Calibri"/>
        <family val="2"/>
        <scheme val="minor"/>
      </rPr>
      <t>Primaria</t>
    </r>
  </si>
  <si>
    <r>
      <t xml:space="preserve">0105- Educacion </t>
    </r>
    <r>
      <rPr>
        <u/>
        <sz val="8"/>
        <color theme="1"/>
        <rFont val="Calibri"/>
        <family val="2"/>
        <scheme val="minor"/>
      </rPr>
      <t>Secundaria</t>
    </r>
  </si>
  <si>
    <r>
      <t xml:space="preserve">Dotacion de material y recursos Educativos para  </t>
    </r>
    <r>
      <rPr>
        <u/>
        <sz val="8"/>
        <color theme="1"/>
        <rFont val="Calibri"/>
        <family val="2"/>
        <scheme val="minor"/>
      </rPr>
      <t>docente y aulas</t>
    </r>
    <r>
      <rPr>
        <sz val="8"/>
        <color theme="1"/>
        <rFont val="Calibri"/>
        <family val="2"/>
        <scheme val="minor"/>
      </rPr>
      <t xml:space="preserve">  de EBR</t>
    </r>
  </si>
  <si>
    <r>
      <t xml:space="preserve">Dotacion de material y recursos Educativos Para Instituciones Educativas de EBR - </t>
    </r>
    <r>
      <rPr>
        <u/>
        <sz val="8"/>
        <color theme="1"/>
        <rFont val="Calibri"/>
        <family val="2"/>
        <scheme val="minor"/>
      </rPr>
      <t>INICIAL</t>
    </r>
  </si>
  <si>
    <r>
      <t xml:space="preserve">Dotacion de material y recursos Educativos Para Instituciones Educativas de EBR - </t>
    </r>
    <r>
      <rPr>
        <u/>
        <sz val="8"/>
        <color theme="1"/>
        <rFont val="Calibri"/>
        <family val="2"/>
        <scheme val="minor"/>
      </rPr>
      <t>PRIMARIA</t>
    </r>
  </si>
  <si>
    <r>
      <t xml:space="preserve">Dotacion de material y recursos Educativos Para Instituciones Educativas de EBR.- </t>
    </r>
    <r>
      <rPr>
        <u/>
        <sz val="8"/>
        <color theme="1"/>
        <rFont val="Calibri"/>
        <family val="2"/>
        <scheme val="minor"/>
      </rPr>
      <t>SECUNDARIA</t>
    </r>
  </si>
  <si>
    <t>500027</t>
  </si>
  <si>
    <t>5005628</t>
  </si>
  <si>
    <t>500562</t>
  </si>
  <si>
    <t>5005644</t>
  </si>
  <si>
    <t>5003136</t>
  </si>
  <si>
    <t>5005646</t>
  </si>
  <si>
    <t>5005647</t>
  </si>
  <si>
    <t>5005657</t>
  </si>
  <si>
    <t>5004306</t>
  </si>
  <si>
    <t>500316</t>
  </si>
  <si>
    <t>5004214</t>
  </si>
  <si>
    <t>5004215</t>
  </si>
  <si>
    <t>5000666</t>
  </si>
  <si>
    <t>5000661</t>
  </si>
  <si>
    <t>Número de hectáreas de plantones  instalados en el distrito de Querocoto.</t>
  </si>
  <si>
    <t>RENAMA</t>
  </si>
  <si>
    <r>
      <rPr>
        <sz val="9"/>
        <color indexed="9"/>
        <rFont val="Calibri"/>
        <family val="2"/>
      </rPr>
      <t>´</t>
    </r>
    <r>
      <rPr>
        <sz val="9"/>
        <color indexed="8"/>
        <rFont val="Calibri"/>
        <family val="2"/>
      </rPr>
      <t>03</t>
    </r>
  </si>
  <si>
    <t xml:space="preserve">% de recursos utilizados en la contratación oportuna de </t>
  </si>
  <si>
    <t xml:space="preserve">% de recursos destinados a los servicios básicos y mantenimiento </t>
  </si>
  <si>
    <t>% de recursos utilizados para la gestión de expedientes</t>
  </si>
  <si>
    <t xml:space="preserve">% de recursos utilizados </t>
  </si>
  <si>
    <t xml:space="preserve">% de recursos utilizados en actividades para desarrollar la educación laboral y </t>
  </si>
  <si>
    <t xml:space="preserve">% de recursos utilizados en la implementación del </t>
  </si>
  <si>
    <t xml:space="preserve">% de recursos utilizados en actividades </t>
  </si>
  <si>
    <t xml:space="preserve">% de recursos utilizados en </t>
  </si>
  <si>
    <t xml:space="preserve">% de recursos utilizados  </t>
  </si>
  <si>
    <t>% de recursos utilizados en actividades</t>
  </si>
  <si>
    <t xml:space="preserve">% de recursos utilizados en pago de pensiones, </t>
  </si>
  <si>
    <t>% de recursos utilizados en actividades de refuerzo escolar</t>
  </si>
  <si>
    <t xml:space="preserve">% de recursos utilizados en actividades de mantenimiento </t>
  </si>
  <si>
    <t xml:space="preserve">% de recursos utilizados en actividades de acompañamiento </t>
  </si>
  <si>
    <t>Recuperación del Servicio Ecosistemico de Regulación del Suelo en la Zona de Amostiguamiento del Santuario Nacional Tabaconas Namballe Provincia de San Ignacio Región de Cajamarca - Reforestacion y otras Estrategias para la Restauracion de Ambitos Degradados en ANP - Namballe</t>
  </si>
  <si>
    <t>Informe Técnico</t>
  </si>
  <si>
    <t>Viáticos y asignaciones por comisiòn de servicios</t>
  </si>
  <si>
    <t>Servicio de suministro de energía</t>
  </si>
  <si>
    <t>Centro de Información y Sistemas</t>
  </si>
  <si>
    <t>Acciones del Centro de Información y Sistemas</t>
  </si>
  <si>
    <t>0053189. Acciones del Centro de Información y Sistemas</t>
  </si>
  <si>
    <t>Total Asignado PIA 2016</t>
  </si>
  <si>
    <t>22.21.21</t>
  </si>
  <si>
    <t>Software</t>
  </si>
  <si>
    <t>26.32.32</t>
  </si>
  <si>
    <t>Total Necesario para realizar las actividades programadas</t>
  </si>
  <si>
    <t>Implementación de zona Wifi</t>
  </si>
  <si>
    <t>Número de usuarios que hacen uso del wifi</t>
  </si>
  <si>
    <t>Javier Aliaga</t>
  </si>
  <si>
    <t>Implantar MAO, Mbrechas</t>
  </si>
  <si>
    <t>Número de módulos funcionando y siendo utilizados</t>
  </si>
  <si>
    <t>Percy Crisólogo</t>
  </si>
  <si>
    <t>Desarrollar el Módulo de Matriz de Priorización de Proyectos</t>
  </si>
  <si>
    <t>Número de módulos desarrollados</t>
  </si>
  <si>
    <t>Jorge Pareja</t>
  </si>
  <si>
    <t>Desarrollar Modulo Control de Levantamiento de Observaciones y Recomendaciones</t>
  </si>
  <si>
    <t>Carlos Yosimar</t>
  </si>
  <si>
    <t>Número de documentos de análisis</t>
  </si>
  <si>
    <t>Farly Minchán</t>
  </si>
  <si>
    <t>Renovación de servidores</t>
  </si>
  <si>
    <t>Número de servidores renovados y funcionando</t>
  </si>
  <si>
    <t>Renovación de switches</t>
  </si>
  <si>
    <t>Número de switches renovados y funcionando</t>
  </si>
  <si>
    <t>Elaboración de Directivas Procuraduría, MAO y Mbrechas</t>
  </si>
  <si>
    <t>Número de directivas aprobadas</t>
  </si>
  <si>
    <t>Licenciamiento de software de ofimática</t>
  </si>
  <si>
    <t>Número de licencias adquiridas</t>
  </si>
  <si>
    <t>Matenimiento preventivo de equipos informáticos de la Sede Central y Dependencias</t>
  </si>
  <si>
    <t>Número de equipos que reciben mantenimiento preventivo</t>
  </si>
  <si>
    <t>equipo</t>
  </si>
  <si>
    <t>Carlos Tay</t>
  </si>
  <si>
    <t>Ampliación de la interconectividad regional (Internet, telefonía y sistemas regionales).</t>
  </si>
  <si>
    <t>Número de dependencias interconectadas</t>
  </si>
  <si>
    <t>Capacitación al personal del GRC en los servicios de TIC que brinda el CIS</t>
  </si>
  <si>
    <t>Número de usuarios capacitados</t>
  </si>
  <si>
    <t>Implementación de sistema de video vigilancia</t>
  </si>
  <si>
    <t>Sistema funcionando</t>
  </si>
  <si>
    <t>sistema</t>
  </si>
  <si>
    <t>Mantenimiento de equipos de comunicación</t>
  </si>
  <si>
    <t>Número de equipos de comunicación que reciben mantenimiento</t>
  </si>
  <si>
    <t>Mantenimiento de equipos de servidores</t>
  </si>
  <si>
    <t>Número de servidores que reciben mantenimiento</t>
  </si>
  <si>
    <t>Sammy Vera</t>
  </si>
  <si>
    <t>Implantación del Módulo de Tesorería del SIGA - MEF</t>
  </si>
  <si>
    <t>Ronald Velasquez</t>
  </si>
  <si>
    <t>Asistencia y soporte técnico informático por mesa de ayuda</t>
  </si>
  <si>
    <t>Número de incidencias atendidas y solucionadas</t>
  </si>
  <si>
    <t>Mercy Jesus</t>
  </si>
  <si>
    <t>Usuario</t>
  </si>
  <si>
    <t>Directiva</t>
  </si>
  <si>
    <t>Licencias</t>
  </si>
  <si>
    <t>Dependencia</t>
  </si>
  <si>
    <t>Equipo</t>
  </si>
  <si>
    <t>Incidencia</t>
  </si>
  <si>
    <t>Dirección Regional de Energía y Minas</t>
  </si>
  <si>
    <t>Económico
Ambiental</t>
  </si>
  <si>
    <t>6.1.1 Garantizar el ejercicio pleno de los derechos fundamentales de los cajamarquinos
6.2.1 Lograr el desarrollo integral y sostenible de la región, especialmente de su sector rural 
6.3.1 Conservar los recursos naturales y el ambiente regional especialmente del recurso hídrico para el equilibrio intergeneracional en el uso de tales recursos</t>
  </si>
  <si>
    <t>2.1  Generar competitividad territorial sostenible, a través del impulso de actividades productivas y de servicios, articuladas al mercado, con infraestructura e innovación tecnológica
3.2 Promover la gestión sostenible de los recursos naturales y biodiversidad con enfoque de cuenca o de unidades hidrográficas</t>
  </si>
  <si>
    <t>2.1.2 Impulsar el desarrollo de la conectividad territorial e infraestructura productiva que promueva la inclusión social y económica
2.1.4 Fomentar la investigación para la innovación en tecnología productiva
3.2.5 Gestionar la remediación de activos y pasivos ambientales y recuperación de áreas degradadas</t>
  </si>
  <si>
    <t>Acciones Comunes</t>
  </si>
  <si>
    <t>Meta presupuestal</t>
  </si>
  <si>
    <t>División Func</t>
  </si>
  <si>
    <t>Grupo Func</t>
  </si>
  <si>
    <t>0047.- ACCIONES ENCAMINADAS A LA GENERACIÓN, TRANSMISIÓN Y DISTRIBUCIÓN DE ENERGÍA</t>
  </si>
  <si>
    <t>RO + RDR</t>
  </si>
  <si>
    <t>Gestión administrativa institucional</t>
  </si>
  <si>
    <t>Número de servidores realizando funciones de gestión admnistrativa como Unidad Rindente</t>
  </si>
  <si>
    <t>Contratos de servicios</t>
  </si>
  <si>
    <t>2.3.28.11</t>
  </si>
  <si>
    <t>2.3.28.12</t>
  </si>
  <si>
    <t>Contrib. Essalud</t>
  </si>
  <si>
    <t>2.1.19.12</t>
  </si>
  <si>
    <t>2.3.15.12</t>
  </si>
  <si>
    <t>2.3.15.41</t>
  </si>
  <si>
    <t>Electricidad, iluminación y electrónicos</t>
  </si>
  <si>
    <t>2.3.199.199</t>
  </si>
  <si>
    <t>2.3.22.11</t>
  </si>
  <si>
    <t>Serv. Suministro de energía eléctrica</t>
  </si>
  <si>
    <t>2.3.22.12</t>
  </si>
  <si>
    <t>Serv. De agua y Desague</t>
  </si>
  <si>
    <t>2.3.22.31</t>
  </si>
  <si>
    <t>2.3.26.33</t>
  </si>
  <si>
    <t>Seguro Obligatorio de Accidentes</t>
  </si>
  <si>
    <t>2.3.11.11</t>
  </si>
  <si>
    <t>Alimentos y bebidas para consumo h</t>
  </si>
  <si>
    <t>2.3.24.11</t>
  </si>
  <si>
    <t>2.6.32.22</t>
  </si>
  <si>
    <t>2.6.61.32</t>
  </si>
  <si>
    <t>Planificar y gestionar un proyecto piloto de energía productiva renovable para unidades productivas rurales</t>
  </si>
  <si>
    <t>Expediente técnico aprobado</t>
  </si>
  <si>
    <t>Consultoría</t>
  </si>
  <si>
    <t>Elaboración del inventario energético en la provincia de Cutervo y Contumazá</t>
  </si>
  <si>
    <t>Documento elaborado y aprobado</t>
  </si>
  <si>
    <t>Fortalecimiento de capacidades del personal administrativo</t>
  </si>
  <si>
    <t>Número de cursos talleres de capacitación</t>
  </si>
  <si>
    <t>Evento de capacitación</t>
  </si>
  <si>
    <t>Viáticos y asignaciones por c. serv.</t>
  </si>
  <si>
    <t>2.3.21.21</t>
  </si>
  <si>
    <t>0049.-ACCIONES  ADMINISTRATIVAS ORIENTADAS  A LA ACTIVIDAD MINERA</t>
  </si>
  <si>
    <t>Otorgamiento de derechos para el desarrollo responsable de la pequeña minería y minería artesanal</t>
  </si>
  <si>
    <t>Número de concesiones mineras publicadas</t>
  </si>
  <si>
    <t>Resoluciones</t>
  </si>
  <si>
    <t>Fortalecimiento de la Gestion de Seguridad y Salud Ocupacional en la Pequeña Minería y Minería Artesanal</t>
  </si>
  <si>
    <t>Número de fiscalizaciones realizadas</t>
  </si>
  <si>
    <t>Fortalecimiento de capacidades de los administrados para gestión de concesiones mineras, uso y manejo de Geocatmin y Sidemcat, y Seguridad y Salud en el trabajo</t>
  </si>
  <si>
    <t>Número de administrados capacitados</t>
  </si>
  <si>
    <t>2.3.27.101</t>
  </si>
  <si>
    <t>Seminarios y talleres</t>
  </si>
  <si>
    <t>Fortalecimiento de la Gestion Ambiental en la Pequeña Minería y Minería Artesanal</t>
  </si>
  <si>
    <t>Evaluación de Instrumentos de Gestión Ambiental de los pequeños mineros y mineros artesanales: DIAs, EIAsd, Planes de Cierre, IGACs</t>
  </si>
  <si>
    <t>Número de Instrumentos de Gestión Ambiental</t>
  </si>
  <si>
    <t>2.3.13.11</t>
  </si>
  <si>
    <t>Supervisión ambiental directa al administrado</t>
  </si>
  <si>
    <t>175.- SUPERVISIÓN AMBIENTAL DIRECTA AL ADMINISTRADO</t>
  </si>
  <si>
    <t>Evaluación de Instrumentos de Gestión Ambiental en el sector electricidad e hidrocarburos: DIAs, ITS, EIAs, Planes de Abandono</t>
  </si>
  <si>
    <t>Inventario de Certificaciones Ambientales en el sector hidrocarburos</t>
  </si>
  <si>
    <t>Fortalecimiento de capacidades en consultores sobre aspectos normativos y técnicos del sector hidrocarburos</t>
  </si>
  <si>
    <t>Curso taller</t>
  </si>
  <si>
    <t>PLAN OPERATIVO INSTITUCIONAL 2016</t>
  </si>
  <si>
    <t>Dirección de Energía y Minas</t>
  </si>
  <si>
    <t>1.5 Promover trabajo digno y bien remunerado con equidad de género.</t>
  </si>
  <si>
    <t>1.5.3 Promoción de la defens de los derechos laborales fundamentales, con ingresos adecuados que garanticen una mejor caldad de vida.</t>
  </si>
  <si>
    <t>Número de órdenes de inspecciones  cerradas</t>
  </si>
  <si>
    <t>Trabajo</t>
  </si>
  <si>
    <t>Dirección Regiohnal de Trabajo y Promoción Social</t>
  </si>
  <si>
    <t>6.1 EJE SOCIAL CULTURAL</t>
  </si>
  <si>
    <t>6.1.1 Garantizar el ejercicio pleno de los derechos fundamentales de los cajamarquinos</t>
  </si>
  <si>
    <t>1.1 Garantizar educacion de calidad para el desarrollo integral y sostenible, con enfoque de gestion territorial (productivo, ambiental e intercultural)</t>
  </si>
  <si>
    <t>1.1.1 Cierre de brechas de acceso, de infraestructura y equipamiento y de logros de aprendizaje</t>
  </si>
  <si>
    <t>Gerencia Regional de Infraestructura - Sub Gerencia de Estudios</t>
  </si>
  <si>
    <t>ASGNACION PRESUPUESTARIA QUE NO RESULTA EN PRODUCTO (APNOP)</t>
  </si>
  <si>
    <t>ELABORACIÓN DEL EXPEDIENTE TÉCNICO DEL PIP: “MEJORAMIENTO DE LOS SERVICIOS DE EDUCACION INICIAL ESCOLARIZADA, EN LAS LOCALIDADES DE TENDAL, AYAQUE, LA CAPILLA, CHIRICONGA, LA PORTADA, LA LIBERTAD, AGOMAYO Y SAN LORENZO DE LAS PROVINCIAS DE CHOTA Y SANTA CRUZ, REGION CAJAMARCA”</t>
  </si>
  <si>
    <t>6000001</t>
  </si>
  <si>
    <t>Mejoramiento de los Servicios de Educación Inicial Escolarizada, en las Localidades de Tendal, Ayaque, La Capilla, Chiriconga, La Portada, La Libertad, Agomayo y San Lorenzo de las provincias de Chota y Santa Cruz, Región Cajamarca</t>
  </si>
  <si>
    <t>0176379 Instalación y mejoramiento de los servicios de Educación Inicial en los C.P Ayaque, y La Capilla,Tendal, Chiriconga, La Portada, Agomayo, La Libertad y San Lorenzo de las S de Chota  y Santa Curz; Región Cajamarca</t>
  </si>
  <si>
    <t>Expediente Tácnio Aprobado</t>
  </si>
  <si>
    <t>28.81.31</t>
  </si>
  <si>
    <t>Elaboración de Expedientes Técnicos</t>
  </si>
  <si>
    <t>MATRIZ PLAN OPERATIVO INSTITUCIONAL 2016</t>
  </si>
  <si>
    <t>Sub Gerencia de Estudios</t>
  </si>
  <si>
    <t>6.4.1 Institucionalizar una gestión popular, participativa, desentralizada, transparente y eficaz.</t>
  </si>
  <si>
    <t>4.1 Impulsar una gestión eficiente, moderna, transparente y participativa con enfoque territorial promotora del desarrollo integral y nambientalmente sostenible.</t>
  </si>
  <si>
    <t>4.1.3 Articulación de la gestión regional, intersectorial e intergubernamentalmente orientada a resultados.</t>
  </si>
  <si>
    <t>Gerencia Regional de Infraestructura - Sub Gerencia de Operaciones.</t>
  </si>
  <si>
    <t>ASIGNACIONES PRESUPUESTARIAS QUE NO RESULTAN EN PRODUCTOS</t>
  </si>
  <si>
    <t>Productores agrarios que realizan prácticas adecuadas de riego</t>
  </si>
  <si>
    <t>I</t>
  </si>
  <si>
    <t xml:space="preserve">5000936 MANTENIMIENTO DE INFRAESTRUCTURA PUBLICA </t>
  </si>
  <si>
    <t>0072-0012646</t>
  </si>
  <si>
    <t>Número de actividades de mantenimiento</t>
  </si>
  <si>
    <t>actividades</t>
  </si>
  <si>
    <t>GRI</t>
  </si>
  <si>
    <t>26.32.94</t>
  </si>
  <si>
    <t>Bien</t>
  </si>
  <si>
    <t>Servicio</t>
  </si>
  <si>
    <t>I.1</t>
  </si>
  <si>
    <t xml:space="preserve">Adquisición e Instalación de Transformador de 100Kva 220V Trifásica - Sede Regional. </t>
  </si>
  <si>
    <t>Número de locales con transformador propio</t>
  </si>
  <si>
    <t>Locales</t>
  </si>
  <si>
    <t>GRI / SGO</t>
  </si>
  <si>
    <t>I.2</t>
  </si>
  <si>
    <t>Reubicación de Estación Tipo Biposte de 100Kva 220V Trifásica - Sede Regional.</t>
  </si>
  <si>
    <t>Numero de Sub Estaciones reubicadas adecuadamente</t>
  </si>
  <si>
    <t>Sub Estaciones Reubicadas</t>
  </si>
  <si>
    <t>I.3</t>
  </si>
  <si>
    <t>Mantenimiento de Servicios Higiénicos de la Sede del Gobierno Regional de Cajamarca</t>
  </si>
  <si>
    <t>Número de servicios higienicos Operativos</t>
  </si>
  <si>
    <t>Servicios Higénicos</t>
  </si>
  <si>
    <t>I.4</t>
  </si>
  <si>
    <t>Adecuación de la Infraestructura de Circulación Horizontal y Vertical del Edificio de la Sede del Gobierno Regional con Fines de Libre Acceso a Personas con Discapacidad Física.</t>
  </si>
  <si>
    <t>Número de Locales Institucionales adecuados para circulación de personas con discapacidad.</t>
  </si>
  <si>
    <t>Locales adecuados para circulación de personas con discpacidad</t>
  </si>
  <si>
    <t>2.1 Generar competitividad territorial sostenible, a través del impulso de actividades productivas y de servicios, articuladas al mercado con infraestructura e innovación tecnológica</t>
  </si>
  <si>
    <t>2.1.2 Impulsar el desarrollo de la conectividad territorial e infraestructura productiva, que promueva la inclusiónsocisl y económica</t>
  </si>
  <si>
    <t>Gerencia Regional de Infraestructura</t>
  </si>
  <si>
    <t>Reduccion del costo, tiempo e inseguridad vial en el sistema de transporte terrestre</t>
  </si>
  <si>
    <t>Construccion de la red vial departamental</t>
  </si>
  <si>
    <t>0173296 Construccion Carretera Cortegana - San Antonio - El Calvario - Tres Cruces - Canden, Distrito de Cortegana, Provincia de Celendín, Cajamarca</t>
  </si>
  <si>
    <t>Construccion de Carretera</t>
  </si>
  <si>
    <t>km</t>
  </si>
  <si>
    <t>Gerencia Regional de Infraestructura - SGSL</t>
  </si>
  <si>
    <t>Mejoramiento del Servicio de Acceso sobre el Puente Silaco en la Trocha Carrozable La Ramada - Chimban. Distrito de Chimban - Chota - Cajamarca</t>
  </si>
  <si>
    <t>Mejoramientode la red vial departamental</t>
  </si>
  <si>
    <t>0101593 Mejoramiento del Servicio de Acceso sobre el Puente Silaco en la Trocha Carrozable La Ramada - Chimban. Distrito de Chimban - Chota - Cajamarca</t>
  </si>
  <si>
    <t>0065</t>
  </si>
  <si>
    <t>Construccion de Puente</t>
  </si>
  <si>
    <t>Und</t>
  </si>
  <si>
    <t>1.1.1 Cierre de brechas de acceso, de infraestructura y equipamiento y logros de aprendizaje</t>
  </si>
  <si>
    <t>0091</t>
  </si>
  <si>
    <t>Incremento en el acceso de la poblacion de 3 a 16 años a los servisios educativos publicos</t>
  </si>
  <si>
    <t>Mejoramiento de los Servicios de Educacion Inicial Escolarizado de las Localidades de Malcas, Shillabamba, El Ollero, Ventanilla, Campo Alegre, Jucat, Chupila y San Antonio de las Provincias de San Marcos y Celendin, Region Cajamarca</t>
  </si>
  <si>
    <t>0103</t>
  </si>
  <si>
    <t>Construcción, Mejoramiento e Implementacion con mobiliario y equipamiento de las 08 Instituciones Educativas de Nivel Inicial</t>
  </si>
  <si>
    <t>Mejoramiento de la I.E. Dulce Nombre de Jesus, Distrito de Jesus - Cajamarca - Cajamarca</t>
  </si>
  <si>
    <t>Mejoramiento de la Infraestructura de Educacion Primaria</t>
  </si>
  <si>
    <t>0177019 Mejoramiento de la I.E. Dulce Nombre de Jesus, Distrito de Jesus - Cajamarca - Cajamarca</t>
  </si>
  <si>
    <t>0104</t>
  </si>
  <si>
    <t>Construccion de una nueva Infraestructura</t>
  </si>
  <si>
    <t xml:space="preserve">MATRIZ PLAN OPERATIVO INSTITUCIONAL 2016 </t>
  </si>
  <si>
    <t>Incremento en el acceso de la poblacion de 3 a 16 años a los servisios educativos públicos</t>
  </si>
  <si>
    <t>0136880 Mejoramiento de los Servicios de Educacion Inicial Escolarizado de las Localidades de Malcas, Shillabamba, El Ollero, Ventanilla, Campo Alegre, Jucat, Chupila y San Antonio de las Provincias de San Marcos y Celendin, Región Cajamarca</t>
  </si>
  <si>
    <t>Mejoramiento de la Infraestructura de Educación Inicial</t>
  </si>
  <si>
    <t>Eje Institucional</t>
  </si>
  <si>
    <t>Institucionlizar una gestion popular,p articipativ descentralizada, transparente, eficaz y eficiente</t>
  </si>
  <si>
    <t>Articulacion de  la gestion  regional intersectorial e interubernamental  orientada a resultados</t>
  </si>
  <si>
    <t>Unidad formuladora Sede central</t>
  </si>
  <si>
    <t>N° de Proyectos Aprobados</t>
  </si>
  <si>
    <t>proyectos</t>
  </si>
  <si>
    <t xml:space="preserve">Estela jara cerna </t>
  </si>
  <si>
    <t>26.81.21</t>
  </si>
  <si>
    <t>servicios de consultoria</t>
  </si>
  <si>
    <t xml:space="preserve">UTILES OFICINA </t>
  </si>
  <si>
    <t>VIATICOS</t>
  </si>
  <si>
    <t>OTROS SERVICIOS</t>
  </si>
  <si>
    <t>AMPLIACION DE LA CAPACIDAD OPERATIVA DEL SERVICIO DE EQUIPO MECANICO PARA LA CONSERVACION VIAL Y ATENCION DE EMERGENCIAS EN LA REGION CAJAMARCA</t>
  </si>
  <si>
    <t>RECUPERACIÓN DEL SERVICIO ECOSISTÉMICO DE REGULACIÓN HÍDRICA EN LA INTER CUENCA ALTO MARAÑON IV , PROVINCIA DE CELENDÍN, DEPARTAMENTO CAJAMARCA.</t>
  </si>
  <si>
    <t>ReREFORMULACION MEJORAMIENTO DE LA GESTIÓN INSTITUCIONAL DE LOS SERVICIOS AMBIENTALES HÍDRICOS EN LA MICROCUENCA DEL RÍO AMOJU EN LA PROVINCIA DE JAÉN, CAJAMARCA.</t>
  </si>
  <si>
    <t>INSTALACIÓN DEL SERVICIO DE AGUA  PARA RIEGO  EN EL CASERÍO LA FLORIDA, DISTRITO DE SUCRE, PROVINCIA DE CELENDÍN  REGIÓN CAJAMARCA</t>
  </si>
  <si>
    <t xml:space="preserve">RECUPERACION Y MEJORAMIENTO  DE LA CAPACIDAD PRODUCTIVA DEL MODULO PISCICOLA NAMORA PARA LA PROMOCION DE LA ACTIVIDAD ACUICOLA, DISTRITO DE NAMORA, PROVINCIA DE CAJAMARCA, REGION CAJAMARCA  </t>
  </si>
  <si>
    <t>INSTALACIÓN DE DEFENSA RIBEREÑA EN LA MARGEN DERECHA DEL RÍO CHIMÍN, EN LOS SECTORES CUBA Y EL TINGO, CENTRO POBLADO DE TABACAL, DISTRITO DE CACHACHI, PROVINCIA DE CAJABAMBA, REGION CAJAMARCA</t>
  </si>
  <si>
    <t>MEJORAMIENTO DE LA COMPETITIVIDAD DE LA CADENA PRODUCTIVA DE  LA GRANADILLA EN  LAS PROVINCIAS DE SAN IGNACIO, JAÉN, SANTA CRUZ  EN LA   REGIÓN CAJAMARCA</t>
  </si>
  <si>
    <t>MEJORAMIENTO DE LA COMPETITIVIDAD DE LA CADENA PRODUCTIVA DE LA PAPA EN LAS PROVINCIAS DE CUTERVO Y CHOTA, REGIÓN CAJAMARCA</t>
  </si>
  <si>
    <t>MEJORAMIENTO DE LA COMPETITIVIDAD DE LA CADENA PRODUCTIVA DE  LA CAÑA DE AZÚCAR  EN  LAS PROVINCIAS DE, CAJAMARCA, CAJABAMBA, CONTUMAZA  Y CUTERVO EN LA   REGIÓN CAJAMARCA</t>
  </si>
  <si>
    <t>MEJORAMIENTO DE LA ELECTRIFICACIÓN RURAL EL EMPALME- DISTRITO DE LLAPA- PROVINCIA DE SAN MIGUEL – DEPARTAMENTO DE CAJAMARCA</t>
  </si>
  <si>
    <t xml:space="preserve">MEJORAMIENTO DE LOS SERVICIOS  DE MONITOREO  DEL LABORATORIO REGIONAL DE AGUA  DEL GOBIERNO REGIONAL DE CAJAMARCA </t>
  </si>
  <si>
    <t xml:space="preserve">INSTALACION DEL  SERVICIO DE ELECTRIFICACION RURAL EN EL CENTRO POBLADO  HUAMBOCANCHA DISTRITO DE CAJAMARCA PROVINCIA DE CAJAMARCA REGION CAJAMARCA </t>
  </si>
  <si>
    <t>INSTALACIÓN DEL SERVICIO DE AGUA PARA RIEGO  EN LOS SECTORES LAS MALVINAS, NUEVA ESPERANZA,TUCO ALTO, TUCO BAJO, TUCO CENTRO, NOGAL, LIVAQUE, SANTA ROSA Y EL NARANJO, CENTROS POBLADOS EL TUCO Y EL NARANJO, DISTRITOS DE BAMBAMARCA Y CHALAMARCA, PROVINCIAS DE HUALGAYOC Y CHOTA, REGIÓN CAJAMARCA</t>
  </si>
  <si>
    <t xml:space="preserve">MEJORAMIENTO DEL SERVICIO DE AGUA PARA RIEGO EN LOS CASERIOS DE MONTEGRANDE Y EL MOLINO  DISTRITO DE LA ESPERANZA PROVINCIA DE SANTA CRUZ REGION CAJAMARCA </t>
  </si>
  <si>
    <t xml:space="preserve">MEJORAMIENTO DE LA CADENA PRODUCTIVA DE  TRUCHA EN EL CENTRO POBLADO EL EMPALME  DISTRITO DE CATILLUC- PROVINCIA DE SAN MIGUEL REGION CAJAMARCA </t>
  </si>
  <si>
    <t>MEJORAMIENTO DEL SERVICIO DE TRANSITABILIDAD  DEL  TRAMO  CRUCE QUEBRAIQUERO BAJO HASTA EL CENTRO POBLADO  DE HUACATAZ DISTRITO  BAÑOS DEL INCA, PROVINCIA CAJAMARCA, REGION CAJAMARCA.</t>
  </si>
  <si>
    <t xml:space="preserve">Construccion del Museo de las Culturas Region Cajamarca </t>
  </si>
  <si>
    <t xml:space="preserve">Reformulacion del estudio a nivel de Perfil:   CONSTRUCCION Y MEJORAMIENTO DE LA CARRETERA CORTEGANA.- SAN ANTONIO- EL CALVARIO- TRES CRUCES- CANDEN, DISTRITO DE CORTAGANA, PROVINCIA DE CELENDIAN REGION CAJAMARCA </t>
  </si>
  <si>
    <t>Reformulacion del estudio a nivel de Factibilidad de la carretera  APERTURA DE LA CARRETERA TRAMO ALIMARCA- CANLLE.- CHUIQUINDA- ULLUYPAMPA - LAS PAJAS, DISTRITO DE GREGORIO PITA, DISTRITO DE SAN MARCOS REGION CAJAMARCA  CONSTRUCCION Y MEJORAMIENTO DE LA CARRETERA PE - 3N (BAMBAMARCA) - PACCHA - CHIMBAN - PION - L.D. CON AMAZONAS (EMP. AM-103 EL TRIUNFO)</t>
  </si>
  <si>
    <t>MEJORAMIENTO DE LAS CAPACIDADES INSTITUCIONALES PARA LA EVALUACIÓN DE LA PREINVERSIÓN EN EL GOBIERNO REGIONAL DE CAJAMARCA</t>
  </si>
  <si>
    <t>FORTALECIMIENTO DE LA SUB GERENCIA DE PLANEAMIENTO Y COOPERACIÓN TÉCNICA INTERNACIONAL PARA EL EJERCICIO ADECUADO DE SUS FUNCIONES</t>
  </si>
  <si>
    <t xml:space="preserve">FORMULACION DE ESTUDiOS (EN IDEA Y POR PRIORIZAR </t>
  </si>
  <si>
    <t>Impulsar una gestion  eficiente, articulada,moderna, transparente y participativa con enfoque territorial promotora del desarrollo integral y ambientalmente sostenible</t>
  </si>
  <si>
    <t>4.1.1 Implementación de una Reforma Institucional que promueva una nueva cultura organizacional Participativa, intersectorial y comprometida en la lucha contra la corrupción.</t>
  </si>
  <si>
    <t>Sub Gerencia de Programación e Inversión Pública</t>
  </si>
  <si>
    <t>ASIGNACION PRESUPUESTAL QUE NO RESULTA EN PRODUCTO (APNOP)</t>
  </si>
  <si>
    <t>Acciones de Programación e Inversión Pública</t>
  </si>
  <si>
    <t>0053173 Acciones de Programación e Inversión Pública</t>
  </si>
  <si>
    <t>Porcentaje  de proyectos viables y alineados a las Funciones Básicas</t>
  </si>
  <si>
    <t>23.27 21</t>
  </si>
  <si>
    <t>Evaluación de Estudios de Preinversión</t>
  </si>
  <si>
    <t>N° de informes de Proyectos Evaluados</t>
  </si>
  <si>
    <t>Wilmer Chuquilín Madera y Equipo Técnico</t>
  </si>
  <si>
    <t>Evaluación de  TDR de Estudios de Preinversión</t>
  </si>
  <si>
    <t>N° de informes de TDR evaluados</t>
  </si>
  <si>
    <t>Evaluación de Planes de Trabajo de Estudios de Preinversión</t>
  </si>
  <si>
    <t>N° de Informes de Planes de Trabajo Aprobados</t>
  </si>
  <si>
    <t>Declataroria de Viabilidad de Estudios de Preinversión</t>
  </si>
  <si>
    <t>N° de Informes de Proyectos Declarados Viables</t>
  </si>
  <si>
    <t>Visitas de Campo para la evaluación de PIP</t>
  </si>
  <si>
    <t>N° de vistas realizadas</t>
  </si>
  <si>
    <t>visitas</t>
  </si>
  <si>
    <t>Registro de Informe de consistencia entre Perfil y ET. (F15)</t>
  </si>
  <si>
    <t>N° de Registros Realizados</t>
  </si>
  <si>
    <t>Registro de Modificaciones en Fase de Inversión</t>
  </si>
  <si>
    <t>N° de informes de Registros Realizados</t>
  </si>
  <si>
    <t>Evaluación de Verificatorias de Viabilidad</t>
  </si>
  <si>
    <t>N° de informes de Verificatorias evaluadas</t>
  </si>
  <si>
    <t>Evaluación y Registro de Informes de Cierre (F-14)</t>
  </si>
  <si>
    <t>N° de Registros realizados en el Banco</t>
  </si>
  <si>
    <t>Registros</t>
  </si>
  <si>
    <t>Auditorias Internas y Externas al Sistema de Gestión Calidad OPI</t>
  </si>
  <si>
    <t>N° de Informes emitidos por los consultores</t>
  </si>
  <si>
    <t>Wilmer Chuquilín Madera, Equipo Técnico y Consultoria</t>
  </si>
  <si>
    <t>23.26 12</t>
  </si>
  <si>
    <t>Talleres de Capacitación a OPI - UF - UE</t>
  </si>
  <si>
    <t>N° de Talleres Realizados</t>
  </si>
  <si>
    <t>Seguimiento a pip</t>
  </si>
  <si>
    <t>N° de Informes de seguimiento</t>
  </si>
  <si>
    <t>03 Planeamiento, Gestión, y Reserva de Contingencia</t>
  </si>
  <si>
    <t>004 Planeamiento Gubernamental</t>
  </si>
  <si>
    <t>0005 Planeamiento Institucional</t>
  </si>
  <si>
    <t>Desarrollo Institucional</t>
  </si>
  <si>
    <t>Papeleria en general, utiles</t>
  </si>
  <si>
    <t>Psajes y gastos de transporte</t>
  </si>
  <si>
    <t>Actualización de instrumentos de gestión institucional.</t>
  </si>
  <si>
    <t>Equipo Técnico</t>
  </si>
  <si>
    <t>Formulación y aprobación de documentos técnicos normativos de gestión administrativa.</t>
  </si>
  <si>
    <t>Acciones de reforzamiento y asistencia técnica a entidades y dependencias del Gobierno Regional Cajamarca.</t>
  </si>
  <si>
    <t>Elaboración Plan Anual.</t>
  </si>
  <si>
    <t>Numero de planes elaborados</t>
  </si>
  <si>
    <t>Talleres Capacitación para actualización TUPA.</t>
  </si>
  <si>
    <t>Actualización TUPA Gobierno Regional.</t>
  </si>
  <si>
    <t>Elaboración de informes técnicos de gestión institucional y administrativa</t>
  </si>
  <si>
    <t>Numero de informes elaborados</t>
  </si>
  <si>
    <t>Capacitación, promoción y difusión en gestión administrativa, institucional e interinstitucional.</t>
  </si>
  <si>
    <t>Actividades de difusión gráfica aspectos de gestión administrativa e institucional.</t>
  </si>
  <si>
    <t>Boletin</t>
  </si>
  <si>
    <t>P</t>
  </si>
  <si>
    <t>Aprovechamiento de los recursos hídricos para uso agrario</t>
  </si>
  <si>
    <t xml:space="preserve">Monitoreo y seguimiento de proyectos y actividades de la SGPIP </t>
  </si>
  <si>
    <t>Sub Gerencia de la Inversión Privada</t>
  </si>
  <si>
    <t>0042</t>
  </si>
  <si>
    <t>Mejoramiento e instalación del servicio de agua del sistema de riego del caserío de Santa Catalina, distrito de Cupisnique, provincia de Contumazá, Región Cajamarca</t>
  </si>
  <si>
    <t>4000109</t>
  </si>
  <si>
    <t>Ampliación de sistema de riego</t>
  </si>
  <si>
    <t>Número de hectáreas incorporadas bajo riego</t>
  </si>
  <si>
    <t>Hectáreas</t>
  </si>
  <si>
    <t>26.23.43</t>
  </si>
  <si>
    <t>26.23.44</t>
  </si>
  <si>
    <t>26.26.45</t>
  </si>
  <si>
    <t>“Instalación del Sistema de Riego Lluchubamba, Distrito de Sitacocha, Cajabamba - Cajamarca”</t>
  </si>
  <si>
    <t>0080061 “Instalación del Sistema de Riego Lluchubamba, Distrito de Sitacocha, Cajabamba - Cajamarca”</t>
  </si>
  <si>
    <t>CONSTRUCCIÓN Y MEJORAMIENTO CANAL SANTA ANA, DISTRITO SITACOCHA,  CAJABAMBA , CAJAMARCA</t>
  </si>
  <si>
    <t xml:space="preserve"> Construcción Y Mejoramiento Canal Santa Ana, Distrito Sitacocha,  Cajabamba , Cajamarca</t>
  </si>
  <si>
    <t>Número de hectáreas cultivadas bajo riego</t>
  </si>
  <si>
    <t>Gerencia 
Regional 
de Desarrollo 
Económico</t>
  </si>
  <si>
    <t>MEJORAMIENTO E INSTALACION DEL SERVICIO  DE AGUA DEL SISTEMA DE  RIEGO  DEL CENTRO POBLADO  DE HUAGAL, DISTRITO DE JOSE SABOGAL, PROVINCIA  DE SAN MARCOS , REGION CAJAMARCA</t>
  </si>
  <si>
    <t xml:space="preserve"> Mejoramiento E Instalacion Del Servicio  De Agua Del Sistema De  Riego  Del Centro Poblado  De Huagal, Distrito De Jose Sabogal, Provincia  De San Marcos , Region Cajamarca </t>
  </si>
  <si>
    <t>Gerencia 
Regional
 de Desarrollo
Económico</t>
  </si>
  <si>
    <t>SOCIAL CULTURAL</t>
  </si>
  <si>
    <t>Garantizar el ejercicio pleno de los derechos fundamentales de los cajamarquinos.</t>
  </si>
  <si>
    <t xml:space="preserve">1.1 Garantizar educación de calidad para el desarrollo integral y sostenible, con enfoque de gestión territorial (productivo, ambiental e intercultural)
</t>
  </si>
  <si>
    <t xml:space="preserve">1.3 Promover igualdad de oportunidades y desarrollo de las personas con discapacidad y grupos sociales tradicionalmente excluidos.
</t>
  </si>
  <si>
    <t xml:space="preserve">1.4 Poner en valor los recursos culturales y naturales para fortalecer la identidad y la integración regional.
</t>
  </si>
  <si>
    <t>1.1.1 Cierre de brechas de acceso, de infraestructura y equipamiento y de logros de aprendizaje.</t>
  </si>
  <si>
    <t xml:space="preserve">1.1.2 Elaboración e implementación de la propuesta pedagógica regional.
</t>
  </si>
  <si>
    <t xml:space="preserve">1.1.3 Elaboración e implementación del modelo de gestión con enfoque territorial.
</t>
  </si>
  <si>
    <t xml:space="preserve">1.3.1 Garantizar a las personas con discapacidad y grupos tradicionalmente excluidos el acceso a los servicios públicos básicos.
</t>
  </si>
  <si>
    <t xml:space="preserve">1.4.1 Puesta en valor del patrimonio cultural material e inmaterial.
</t>
  </si>
  <si>
    <t>Sub Gerencia de Desarrollo Social y Humano</t>
  </si>
  <si>
    <t>Pasajes y gastos de tranportes</t>
  </si>
  <si>
    <t>2.3. 2 2. 4 4</t>
  </si>
  <si>
    <t>1.3 Promover igualdad de oportunidades y desarrollo de las personas con discapacidad y grupos sociales tradicionalmente excluidos.</t>
  </si>
  <si>
    <t xml:space="preserve">1.3.1 Garantizar a las personas con discapacidad y grupos tradicionalmente excluidos el acceso a los servicios públicos básicos.                                                                                                                                                                                                                                                         </t>
  </si>
  <si>
    <t>1.3.2 Fomentar mecanismos de emprendedurismo adecuados a las condiciones de las personas con discapacidad y grupos tradicionalmente excluidos</t>
  </si>
  <si>
    <t>OFICINA REGIONAL DE ATENCIÓN A LA PERSONA CON DISCAPACIDAD</t>
  </si>
  <si>
    <t xml:space="preserve">Sin Producto: </t>
  </si>
  <si>
    <t>Oficina regional de atención a la persona con Discapacidad</t>
  </si>
  <si>
    <t>Acciones de oficina regional de atención a la persona con discapacidad</t>
  </si>
  <si>
    <t>23. 21. 21</t>
  </si>
  <si>
    <t xml:space="preserve"> Pasajes y gastos de</t>
  </si>
  <si>
    <t>Contribuciones a Es Salud de CAS</t>
  </si>
  <si>
    <t>23.25.199</t>
  </si>
  <si>
    <t>De otros bienes y activos</t>
  </si>
  <si>
    <t>viaticos</t>
  </si>
  <si>
    <t>Papeleria en General</t>
  </si>
  <si>
    <t>Contratación administrativos de servicicos CAS</t>
  </si>
  <si>
    <t>repuestos y accesorios</t>
  </si>
  <si>
    <t>23.22.4 4</t>
  </si>
  <si>
    <t>Servicios de impresión</t>
  </si>
  <si>
    <t>23.1 99.1 4</t>
  </si>
  <si>
    <t>Simbolos, Distintivos y Condecoraciones</t>
  </si>
  <si>
    <t>Implementación de un centro de formación científica y tecnológica para el desarrollo de capacidades de las personas con discapacidad</t>
  </si>
  <si>
    <t>N° de proyecto de inverción Pública que contribuyen al desarrollo inclusivo de la persona con discapacidad</t>
  </si>
  <si>
    <t>Proyecto</t>
  </si>
  <si>
    <t>OREDIS/UF-GRDS</t>
  </si>
  <si>
    <t>Acciones administrativas de OREDIS</t>
  </si>
  <si>
    <t>N° de meses de contrato CAS</t>
  </si>
  <si>
    <t>Meses</t>
  </si>
  <si>
    <t>OREDIS</t>
  </si>
  <si>
    <t>2 3.2 8.1 1</t>
  </si>
  <si>
    <t>Contrato administrativo de Servicios (CAS).</t>
  </si>
  <si>
    <t>2 3.2 8.1 2</t>
  </si>
  <si>
    <t>Contribuciones a Essalud de CAS.</t>
  </si>
  <si>
    <t>Promover la formación tecnica productiva y universitaria de las personas con discapacidad a travez de convenios convenios Intersintitucionales con universidades y Cepros.</t>
  </si>
  <si>
    <t>N° de personas con discapacidad que acceden a una carrea tecnica u universitaria</t>
  </si>
  <si>
    <t>23. 21. 22</t>
  </si>
  <si>
    <t>Implementación accesible de la OREDIS</t>
  </si>
  <si>
    <t>N° de accionesimplementaciones realizadas</t>
  </si>
  <si>
    <t>Implementacion</t>
  </si>
  <si>
    <t>Papeleria en general</t>
  </si>
  <si>
    <t>Promover que personas con discapcidad accedan a beneficios crediticios a travéz de  convenios intersintitucionales con entidades finacieras</t>
  </si>
  <si>
    <t xml:space="preserve">N° de personas con discapacidad que acceden a beneficios crediticios </t>
  </si>
  <si>
    <t>Seguimiento y Monitoreo para el cumplimiento de la Ordenanza Regional 09-2015   sobre implementación de políticas sectoriales a favor de la inclución de la personas con discapacidad</t>
  </si>
  <si>
    <t>N° de Monitoreos</t>
  </si>
  <si>
    <t>Monitoreos</t>
  </si>
  <si>
    <t xml:space="preserve"> Pasajes</t>
  </si>
  <si>
    <t>Fomento del deporte en persona con discapacidad</t>
  </si>
  <si>
    <t>N° de actividades de deporte adaptado para personas con discapacidad promovidas</t>
  </si>
  <si>
    <t>Implementación de un banco de ayudas biomecanicas</t>
  </si>
  <si>
    <t>N° de ayudas biomecanicas</t>
  </si>
  <si>
    <t>Ayudas biomecanicas</t>
  </si>
  <si>
    <t>2 3.2 5.1 99</t>
  </si>
  <si>
    <t>Creación de linea de base de personas con discapacidad en la región cajamarca</t>
  </si>
  <si>
    <t>N° de linea de base de personas con discapacidad</t>
  </si>
  <si>
    <t>N° de linea de base</t>
  </si>
  <si>
    <t>Promoción de campañas Intinerantes de Identificación</t>
  </si>
  <si>
    <t>N° de Personas de que cuentan con DNI</t>
  </si>
  <si>
    <t xml:space="preserve"> Campañas</t>
  </si>
  <si>
    <t>23. 21.2 2</t>
  </si>
  <si>
    <t>Viaticos</t>
  </si>
  <si>
    <t>Mesas de trabajos con Asociaciones de personas con discapacidad</t>
  </si>
  <si>
    <t>N° de concertaciones realizadas</t>
  </si>
  <si>
    <t>reuniones</t>
  </si>
  <si>
    <t>23,21.21</t>
  </si>
  <si>
    <t>pasajes</t>
  </si>
  <si>
    <t>Mesas de trabajos con Instituciones que trabajan con personas con discapacidad</t>
  </si>
  <si>
    <t>N° de acuerdos adoptados a favor de la persona con discapacidad</t>
  </si>
  <si>
    <t>N° de reuniones</t>
  </si>
  <si>
    <t xml:space="preserve">Fortalecimiento de capacidaes a funcionarios y jefes de OMAPED DE LA </t>
  </si>
  <si>
    <t>N° de Funcionarios capacitados</t>
  </si>
  <si>
    <t>N° de talleres</t>
  </si>
  <si>
    <t>Recursos Directamente Recaudados</t>
  </si>
  <si>
    <t>MATRIZ  PLAN OPERATIVO INSTITUCIONAL 2016 - SUB GERENCIA DE SUPERVISION Y LIQUIDACIONES - OBRAS EDUCACION</t>
  </si>
  <si>
    <t>Desarrollo de la educación primaria de adultos</t>
  </si>
  <si>
    <t>Desarrollo del ciclo avanzado de la educación básica alternativa</t>
  </si>
  <si>
    <t>Desarrollo del ciclo intermedio de la educación básica alternativa</t>
  </si>
  <si>
    <r>
      <t xml:space="preserve">Desarrollo de la educación </t>
    </r>
    <r>
      <rPr>
        <b/>
        <sz val="8"/>
        <color theme="1"/>
        <rFont val="Calibri"/>
        <family val="2"/>
        <scheme val="minor"/>
      </rPr>
      <t>secundaria</t>
    </r>
    <r>
      <rPr>
        <sz val="8"/>
        <color theme="1"/>
        <rFont val="Calibri"/>
        <family val="2"/>
        <scheme val="minor"/>
      </rPr>
      <t xml:space="preserve"> de adultos</t>
    </r>
  </si>
  <si>
    <t>2.1.3. Impulsar del Desarrollo Competitivo de Cadenas de Valor en las Actividades Agropecuarias, Forestales, Acuicolas, Turisticas y Artesanales.</t>
  </si>
  <si>
    <t>Acciones para la Promocion de la Inversión Privada</t>
  </si>
  <si>
    <t>Incremento de la productividad y mejora de condiciones para la competitividad Empresarial</t>
  </si>
  <si>
    <t xml:space="preserve">0080061 Mejoramiento e instalación del servicio de agua dels sistema de riego del caserío de Santa Catalinba, distrito de Cupinisque </t>
  </si>
  <si>
    <t>Incremento de la productividad y mejora de condiciones para la competitividad Territorial</t>
  </si>
  <si>
    <t>ACCIONES DE INVERSIÓN</t>
  </si>
  <si>
    <t>Acción que no tiene Indicador de Impacto</t>
  </si>
  <si>
    <t>ELABORACIÓN DE EXPEDIENTE TÉCNICO</t>
  </si>
  <si>
    <t>0080061 Mejoramiento Del Servicio De Agua Para El Sistema De Riego Del Centro Poblado Shitamalca Y Caserio Alfonso Ugarte, Distrito De Pedro Galvez, Provincia De San Marcos, Region Cajamarca</t>
  </si>
  <si>
    <t>Expediente Técnico Concluído y aprobado</t>
  </si>
  <si>
    <t>Gerencia Regional
 de Desarrollo
Económico</t>
  </si>
  <si>
    <t>Reducción del costo, tiempo e inseguridad vial en el sistema de transporte terrestre</t>
  </si>
  <si>
    <t xml:space="preserve">                                                                                                                                                                                                        </t>
  </si>
  <si>
    <t xml:space="preserve">                                                                                                                                                                                                                                                                                                                                                                                                                                                                                                                                                                                                                                                                                                                                                                                                                                                                                                                                                                                                                                                                                                                                                                                                                                                                                                                                                                                                                                                                                                                                                                                                                                                                                                                                                    </t>
  </si>
  <si>
    <t xml:space="preserve">                                                                                                                                                                                                                                                                                                                                                                                                                                                                                                                                                                                                                                                                                                                                                                    </t>
  </si>
  <si>
    <t>Elaboración del Plan de Comunicación 2017</t>
  </si>
  <si>
    <t>Proyectos de Inversión</t>
  </si>
  <si>
    <t>Número de participantes en elaboración y socialización</t>
  </si>
  <si>
    <t>Documento elaborado, validado y socializado 
Número de participantes en elaboración y socialización</t>
  </si>
  <si>
    <t>Análisis de Reingeniería del MAD</t>
  </si>
  <si>
    <t>Elaboración de proyectos de inversion pública</t>
  </si>
  <si>
    <t>Reformulación del estudio a nivel de Factibilidad de la carretera  CONSTRUCCION Y MEJORAMIENTO DE LA CARRETERA PE - 3N (BAMBAMARCA) - PACCHA - CHIMBAN - PION - L.D. CON AMAZONAS (EMP. AM-103 EL TRIUNFO)</t>
  </si>
  <si>
    <t>Número de intrumentos de gestión actualizado</t>
  </si>
  <si>
    <t>Número de talleres de reforzamiento y asistencia técnica</t>
  </si>
  <si>
    <t>Número de talleres</t>
  </si>
  <si>
    <t>Número de TUPAS aprobados</t>
  </si>
  <si>
    <t>Número de plublicaciones</t>
  </si>
  <si>
    <t xml:space="preserve"> Dirección Regional de Vivienda Construcción y Saneamiento</t>
  </si>
  <si>
    <t>Aplicación de vacunas completas</t>
  </si>
  <si>
    <t>Atencion a niños con crecimiento y desarrollo - cred completo para su edad</t>
  </si>
  <si>
    <t>Cesárea</t>
  </si>
  <si>
    <t>Impulsar el desarrollo de los recursos humanos regionales y la mejora en la productividad y competitividad de las unidades económicas de la región, a través de actividades de capacitación, provisión de información y transf.tecnol.</t>
  </si>
  <si>
    <t>Remuneración Personal Nombrado</t>
  </si>
  <si>
    <t>Remuneración Personal CAS</t>
  </si>
  <si>
    <t>ESSalud Personal CAS</t>
  </si>
  <si>
    <t>Construcción Carretera Cortegana - San Antonio - El Calvario - Tres Cruces - Candén, Distrito de Cortegana, Provincia de Celendín, Cajamarca</t>
  </si>
  <si>
    <t>Número de personas tratadas por TBC de todas las formas  en poblaciones privadas de su  libertad</t>
  </si>
  <si>
    <t>Proporción de Instituciones Educativas con CONEI, docentes, y APAFAs que participan en reuniones técnicas y de capacitación para promover prácticas y entornos saludables en TBC, ITS y VIH SIDA</t>
  </si>
  <si>
    <t>Tasa de incidencia de enfermedades zoonóticas</t>
  </si>
  <si>
    <t>Porcentaje  de municipios que planifican y ejecutan acciones para la disminución de las enfermedades metaxenicas y zoonóticas</t>
  </si>
  <si>
    <t>Porcentaje de animales domésticos vacunados</t>
  </si>
  <si>
    <t>Proporción de casos de enfermedades crónicas no trasmisibles (salud bucal, salud ocular, metales pesados, hipertensión arterial y diabetes mellitus)</t>
  </si>
  <si>
    <t xml:space="preserve">Porcentaje de población de 50 años de edad a más con valoración de agudeza visual realizada por personal de salud 
</t>
  </si>
  <si>
    <t xml:space="preserve">Porcentaje de niños de 3 a 11 años con tratamiento de error refractivo
</t>
  </si>
  <si>
    <t>Porcentaje de juntas vecinales comunales y agestes comunitarios de salud capacitados para promover prácticas y generar entornos saludables para contribuir a la prevención del cáncer</t>
  </si>
  <si>
    <t>Proporción de personas detectadas con trastornos afectivos y de ansiedad, con tamizaje positivo, que tienen diagnóstico y tratamiento.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</si>
</sst>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0.0"/>
    <numFmt numFmtId="165" formatCode="#,##0_ ;[Red]\-#,##0\ "/>
    <numFmt numFmtId="166" formatCode="0.0"/>
    <numFmt numFmtId="167" formatCode="0000"/>
    <numFmt numFmtId="168" formatCode="#,##0.000"/>
    <numFmt numFmtId="169" formatCode="0.000"/>
    <numFmt numFmtId="170" formatCode="_ * #,##0_ ;_ * \-#,##0_ ;_ * &quot;-&quot;??_ ;_ @_ "/>
    <numFmt numFmtId="171" formatCode="00"/>
    <numFmt numFmtId="172" formatCode="000"/>
    <numFmt numFmtId="173" formatCode="_ [$S/.-280A]\ * #,##0_ ;_ [$S/.-280A]\ * \-#,##0_ ;_ [$S/.-280A]\ * &quot;-&quot;??_ ;_ @_ "/>
    <numFmt numFmtId="174" formatCode="#,##0_ ;\-#,##0\ "/>
    <numFmt numFmtId="175" formatCode="_-* #,##0.00\ _€_-;\-* #,##0.00\ _€_-;_-* &quot;-&quot;??\ _€_-;_-@_-"/>
    <numFmt numFmtId="176" formatCode="_-* #,##0\ _€_-;\-* #,##0\ _€_-;_-* &quot;-&quot;??\ _€_-;_-@_-"/>
    <numFmt numFmtId="177" formatCode="_-* #,##0\ _€_-;\-* #,##0\ _€_-;_-* &quot;-&quot;\ _€_-;_-@_-"/>
    <numFmt numFmtId="178" formatCode="0_ ;\-0\ "/>
    <numFmt numFmtId="179" formatCode="_ * #,##0.0_ ;_ * \-#,##0.0_ ;_ * &quot;-&quot;??_ ;_ @_ "/>
    <numFmt numFmtId="180" formatCode="&quot;S/.&quot;\ #,##0;[Red]&quot;S/.&quot;\ #,##0"/>
    <numFmt numFmtId="181" formatCode="#,##0.0_ ;\-#,##0.0\ "/>
  </numFmts>
  <fonts count="75" x14ac:knownFonts="1">
    <font>
      <sz val="11"/>
      <color theme="1"/>
      <name val="Calibri"/>
      <family val="2"/>
      <scheme val="minor"/>
    </font>
    <font>
      <b/>
      <sz val="11"/>
      <color theme="1"/>
      <name val="Calibri"/>
      <family val="2"/>
      <scheme val="minor"/>
    </font>
    <font>
      <b/>
      <sz val="8"/>
      <color theme="1"/>
      <name val="Calibri"/>
      <family val="2"/>
      <scheme val="minor"/>
    </font>
    <font>
      <sz val="8"/>
      <color theme="1"/>
      <name val="Calibri"/>
      <family val="2"/>
      <scheme val="minor"/>
    </font>
    <font>
      <b/>
      <sz val="10"/>
      <color theme="1"/>
      <name val="Calibri"/>
      <family val="2"/>
      <scheme val="minor"/>
    </font>
    <font>
      <sz val="7"/>
      <color theme="1"/>
      <name val="Calibri"/>
      <family val="2"/>
      <scheme val="minor"/>
    </font>
    <font>
      <sz val="6"/>
      <color theme="1"/>
      <name val="Calibri"/>
      <family val="2"/>
      <scheme val="minor"/>
    </font>
    <font>
      <sz val="8"/>
      <name val="Calibri"/>
      <family val="2"/>
      <scheme val="minor"/>
    </font>
    <font>
      <b/>
      <sz val="12"/>
      <color theme="1"/>
      <name val="Calibri"/>
      <family val="2"/>
      <scheme val="minor"/>
    </font>
    <font>
      <b/>
      <sz val="8"/>
      <name val="Calibri"/>
      <family val="2"/>
      <scheme val="minor"/>
    </font>
    <font>
      <sz val="10"/>
      <color indexed="8"/>
      <name val="Arial"/>
      <family val="2"/>
    </font>
    <font>
      <sz val="8"/>
      <color rgb="FFFF0000"/>
      <name val="Calibri"/>
      <family val="2"/>
      <scheme val="minor"/>
    </font>
    <font>
      <sz val="10"/>
      <color theme="1"/>
      <name val="Calibri"/>
      <family val="2"/>
      <scheme val="minor"/>
    </font>
    <font>
      <b/>
      <sz val="9"/>
      <color indexed="81"/>
      <name val="Tahoma"/>
      <family val="2"/>
    </font>
    <font>
      <sz val="9"/>
      <color indexed="81"/>
      <name val="Tahoma"/>
      <family val="2"/>
    </font>
    <font>
      <sz val="11"/>
      <color theme="1"/>
      <name val="Calibri"/>
      <family val="2"/>
      <scheme val="minor"/>
    </font>
    <font>
      <b/>
      <sz val="9"/>
      <color theme="1"/>
      <name val="Calibri"/>
      <family val="2"/>
      <scheme val="minor"/>
    </font>
    <font>
      <sz val="9"/>
      <color theme="1"/>
      <name val="Calibri"/>
      <family val="2"/>
      <scheme val="minor"/>
    </font>
    <font>
      <b/>
      <sz val="9"/>
      <color rgb="FF002060"/>
      <name val="Calibri"/>
      <family val="2"/>
      <scheme val="minor"/>
    </font>
    <font>
      <sz val="9"/>
      <color rgb="FF002060"/>
      <name val="Calibri"/>
      <family val="2"/>
      <scheme val="minor"/>
    </font>
    <font>
      <sz val="8"/>
      <color theme="1"/>
      <name val="Arial"/>
      <family val="2"/>
    </font>
    <font>
      <sz val="9"/>
      <color theme="1"/>
      <name val="Arial Narrow"/>
      <family val="2"/>
    </font>
    <font>
      <sz val="8"/>
      <color theme="1"/>
      <name val="Arial Narrow"/>
      <family val="2"/>
    </font>
    <font>
      <b/>
      <sz val="8"/>
      <color rgb="FF002060"/>
      <name val="Calibri"/>
      <family val="2"/>
      <scheme val="minor"/>
    </font>
    <font>
      <sz val="8"/>
      <color rgb="FF000000"/>
      <name val="Calibri"/>
      <family val="2"/>
      <scheme val="minor"/>
    </font>
    <font>
      <b/>
      <sz val="8"/>
      <color rgb="FF000000"/>
      <name val="Calibri"/>
      <family val="2"/>
      <scheme val="minor"/>
    </font>
    <font>
      <b/>
      <sz val="9"/>
      <color rgb="FFFF0000"/>
      <name val="Calibri"/>
      <family val="2"/>
      <scheme val="minor"/>
    </font>
    <font>
      <sz val="10"/>
      <name val="Arial"/>
      <family val="2"/>
    </font>
    <font>
      <b/>
      <sz val="7"/>
      <color theme="1"/>
      <name val="Calibri"/>
      <family val="2"/>
      <scheme val="minor"/>
    </font>
    <font>
      <b/>
      <sz val="9"/>
      <name val="Calibri"/>
      <family val="2"/>
      <scheme val="minor"/>
    </font>
    <font>
      <b/>
      <u/>
      <sz val="8"/>
      <color theme="1"/>
      <name val="Calibri"/>
      <family val="2"/>
      <scheme val="minor"/>
    </font>
    <font>
      <sz val="8"/>
      <color rgb="FF002060"/>
      <name val="Calibri"/>
      <family val="2"/>
      <scheme val="minor"/>
    </font>
    <font>
      <b/>
      <sz val="8"/>
      <color theme="1" tint="4.9989318521683403E-2"/>
      <name val="Calibri"/>
      <family val="2"/>
      <scheme val="minor"/>
    </font>
    <font>
      <sz val="8"/>
      <color theme="0"/>
      <name val="Calibri"/>
      <family val="2"/>
      <scheme val="minor"/>
    </font>
    <font>
      <sz val="11"/>
      <name val="Calibri"/>
      <family val="2"/>
      <scheme val="minor"/>
    </font>
    <font>
      <sz val="8"/>
      <name val="Calibri"/>
      <family val="2"/>
    </font>
    <font>
      <sz val="8"/>
      <color indexed="8"/>
      <name val="Calibri"/>
      <family val="2"/>
      <scheme val="minor"/>
    </font>
    <font>
      <b/>
      <sz val="12"/>
      <color theme="1"/>
      <name val="Times New Roman"/>
      <family val="1"/>
    </font>
    <font>
      <sz val="9"/>
      <color theme="1"/>
      <name val="Times New Roman"/>
      <family val="1"/>
    </font>
    <font>
      <sz val="12"/>
      <name val="Arial"/>
      <family val="2"/>
    </font>
    <font>
      <b/>
      <sz val="8"/>
      <color rgb="FFFF0000"/>
      <name val="Calibri"/>
      <family val="2"/>
      <scheme val="minor"/>
    </font>
    <font>
      <b/>
      <sz val="9"/>
      <color theme="1"/>
      <name val="Times New Roman"/>
      <family val="1"/>
    </font>
    <font>
      <b/>
      <sz val="14"/>
      <color theme="1"/>
      <name val="Calibri"/>
      <family val="2"/>
      <scheme val="minor"/>
    </font>
    <font>
      <b/>
      <sz val="13"/>
      <color rgb="FFFF0000"/>
      <name val="Calibri"/>
      <family val="2"/>
      <scheme val="minor"/>
    </font>
    <font>
      <u/>
      <sz val="8"/>
      <color theme="1"/>
      <name val="Calibri"/>
      <family val="2"/>
      <scheme val="minor"/>
    </font>
    <font>
      <b/>
      <sz val="12"/>
      <color rgb="FFFF0000"/>
      <name val="Calibri"/>
      <family val="2"/>
      <scheme val="minor"/>
    </font>
    <font>
      <b/>
      <sz val="11"/>
      <color rgb="FFFF0000"/>
      <name val="Calibri"/>
      <family val="2"/>
      <scheme val="minor"/>
    </font>
    <font>
      <b/>
      <sz val="8"/>
      <color rgb="FF000000"/>
      <name val="Calibri"/>
      <family val="2"/>
    </font>
    <font>
      <sz val="8"/>
      <color rgb="FF000000"/>
      <name val="Calibri"/>
      <family val="2"/>
    </font>
    <font>
      <b/>
      <sz val="8"/>
      <color rgb="FF002060"/>
      <name val="Calibri"/>
      <family val="2"/>
    </font>
    <font>
      <b/>
      <sz val="9"/>
      <color rgb="FF000000"/>
      <name val="Tahoma"/>
      <family val="2"/>
    </font>
    <font>
      <sz val="9"/>
      <color rgb="FF000000"/>
      <name val="Tahoma"/>
      <family val="2"/>
    </font>
    <font>
      <sz val="9"/>
      <name val="Calibri"/>
      <family val="2"/>
      <scheme val="minor"/>
    </font>
    <font>
      <b/>
      <sz val="10"/>
      <name val="Calibri"/>
      <family val="2"/>
      <scheme val="minor"/>
    </font>
    <font>
      <b/>
      <sz val="10"/>
      <color theme="3"/>
      <name val="Calibri"/>
      <family val="2"/>
      <scheme val="minor"/>
    </font>
    <font>
      <sz val="10"/>
      <name val="Calibri"/>
      <family val="2"/>
      <scheme val="minor"/>
    </font>
    <font>
      <sz val="10"/>
      <color theme="0"/>
      <name val="Calibri"/>
      <family val="2"/>
      <scheme val="minor"/>
    </font>
    <font>
      <sz val="8"/>
      <color rgb="FF002060"/>
      <name val="Calibri"/>
      <family val="2"/>
    </font>
    <font>
      <b/>
      <sz val="8"/>
      <name val="Calibri"/>
      <family val="2"/>
    </font>
    <font>
      <b/>
      <sz val="8"/>
      <color theme="1"/>
      <name val="Arial"/>
      <family val="2"/>
    </font>
    <font>
      <sz val="8"/>
      <name val="Arial"/>
      <family val="2"/>
    </font>
    <font>
      <b/>
      <sz val="10"/>
      <color theme="1"/>
      <name val="Arial"/>
      <family val="2"/>
    </font>
    <font>
      <b/>
      <sz val="8"/>
      <color theme="0"/>
      <name val="Calibri"/>
      <family val="2"/>
      <scheme val="minor"/>
    </font>
    <font>
      <sz val="9"/>
      <color indexed="9"/>
      <name val="Calibri"/>
      <family val="2"/>
    </font>
    <font>
      <sz val="9"/>
      <color indexed="8"/>
      <name val="Calibri"/>
      <family val="2"/>
    </font>
    <font>
      <sz val="9"/>
      <color theme="1"/>
      <name val="Arial"/>
      <family val="2"/>
    </font>
    <font>
      <sz val="9"/>
      <color rgb="FF000000"/>
      <name val="Calibri"/>
      <family val="2"/>
      <scheme val="minor"/>
    </font>
    <font>
      <sz val="9"/>
      <color theme="0"/>
      <name val="Calibri"/>
      <family val="2"/>
      <scheme val="minor"/>
    </font>
    <font>
      <b/>
      <sz val="9"/>
      <color theme="9"/>
      <name val="Calibri"/>
      <family val="2"/>
      <scheme val="minor"/>
    </font>
    <font>
      <sz val="9"/>
      <color theme="9"/>
      <name val="Calibri"/>
      <family val="2"/>
      <scheme val="minor"/>
    </font>
    <font>
      <sz val="10"/>
      <color indexed="8"/>
      <name val="Calibri"/>
      <family val="2"/>
      <scheme val="minor"/>
    </font>
    <font>
      <sz val="7.5"/>
      <name val="Calibri"/>
      <family val="2"/>
      <scheme val="minor"/>
    </font>
    <font>
      <b/>
      <sz val="12"/>
      <name val="Calibri"/>
      <family val="2"/>
      <scheme val="minor"/>
    </font>
    <font>
      <sz val="7.6"/>
      <name val="Calibri"/>
      <family val="2"/>
      <scheme val="minor"/>
    </font>
    <font>
      <b/>
      <sz val="10.5"/>
      <color theme="1"/>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CE6F1"/>
        <bgColor rgb="FF000000"/>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DCE6F1"/>
        <bgColor indexed="64"/>
      </patternFill>
    </fill>
    <fill>
      <patternFill patternType="solid">
        <fgColor theme="3" tint="0.59999389629810485"/>
        <bgColor indexed="64"/>
      </patternFill>
    </fill>
    <fill>
      <patternFill patternType="solid">
        <fgColor theme="7"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top/>
      <bottom style="thin">
        <color theme="4" tint="0.39997558519241921"/>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6">
    <xf numFmtId="0" fontId="0" fillId="0" borderId="0"/>
    <xf numFmtId="0" fontId="10" fillId="0" borderId="0"/>
    <xf numFmtId="43" fontId="15" fillId="0" borderId="0" applyFont="0" applyFill="0" applyBorder="0" applyAlignment="0" applyProtection="0"/>
    <xf numFmtId="0" fontId="27" fillId="0" borderId="0"/>
    <xf numFmtId="9" fontId="15" fillId="0" borderId="0" applyFont="0" applyFill="0" applyBorder="0" applyAlignment="0" applyProtection="0"/>
    <xf numFmtId="0" fontId="39" fillId="0" borderId="0" applyNumberFormat="0" applyFill="0" applyBorder="0" applyAlignment="0" applyProtection="0"/>
  </cellStyleXfs>
  <cellXfs count="4732">
    <xf numFmtId="0" fontId="0" fillId="0" borderId="0" xfId="0"/>
    <xf numFmtId="4" fontId="3" fillId="0" borderId="1" xfId="0" applyNumberFormat="1" applyFont="1" applyBorder="1" applyAlignment="1">
      <alignment vertical="center"/>
    </xf>
    <xf numFmtId="0" fontId="0" fillId="0" borderId="0" xfId="0"/>
    <xf numFmtId="0" fontId="3" fillId="0" borderId="1" xfId="0" applyFont="1" applyBorder="1" applyAlignment="1">
      <alignment vertical="center"/>
    </xf>
    <xf numFmtId="164" fontId="3" fillId="0" borderId="1" xfId="0" applyNumberFormat="1" applyFont="1" applyBorder="1" applyAlignment="1">
      <alignment horizontal="center" vertical="center"/>
    </xf>
    <xf numFmtId="3" fontId="3" fillId="0" borderId="1" xfId="0" applyNumberFormat="1" applyFont="1" applyFill="1" applyBorder="1" applyAlignment="1">
      <alignment horizontal="center" vertical="center"/>
    </xf>
    <xf numFmtId="0" fontId="3" fillId="0" borderId="16" xfId="0" applyNumberFormat="1" applyFont="1" applyBorder="1" applyAlignment="1">
      <alignment vertical="center" wrapText="1"/>
    </xf>
    <xf numFmtId="3" fontId="3" fillId="0" borderId="16" xfId="0" applyNumberFormat="1" applyFont="1" applyBorder="1" applyAlignment="1">
      <alignment horizontal="center" vertical="center"/>
    </xf>
    <xf numFmtId="0" fontId="3" fillId="0" borderId="16" xfId="0" applyFont="1" applyBorder="1" applyAlignment="1">
      <alignment vertical="center" wrapText="1"/>
    </xf>
    <xf numFmtId="0" fontId="2" fillId="3" borderId="12" xfId="0" applyNumberFormat="1" applyFont="1" applyFill="1" applyBorder="1" applyAlignment="1">
      <alignment horizontal="left" vertical="center" wrapText="1" indent="1"/>
    </xf>
    <xf numFmtId="0" fontId="0" fillId="3" borderId="12" xfId="0" applyFill="1" applyBorder="1" applyAlignment="1">
      <alignment horizontal="left" indent="1"/>
    </xf>
    <xf numFmtId="0" fontId="2" fillId="3" borderId="0" xfId="0" applyNumberFormat="1" applyFont="1" applyFill="1" applyBorder="1" applyAlignment="1">
      <alignment horizontal="left" vertical="center" wrapText="1" indent="1"/>
    </xf>
    <xf numFmtId="0" fontId="0" fillId="3" borderId="0" xfId="0" applyFill="1" applyBorder="1" applyAlignment="1">
      <alignment horizontal="left" indent="1"/>
    </xf>
    <xf numFmtId="0" fontId="2" fillId="3" borderId="10" xfId="0" applyNumberFormat="1" applyFont="1" applyFill="1" applyBorder="1" applyAlignment="1">
      <alignment horizontal="left" vertical="center" wrapText="1" indent="1"/>
    </xf>
    <xf numFmtId="0" fontId="0" fillId="3" borderId="10" xfId="0" applyFill="1" applyBorder="1" applyAlignment="1">
      <alignment horizontal="left" indent="1"/>
    </xf>
    <xf numFmtId="0" fontId="3" fillId="3" borderId="12" xfId="0" applyNumberFormat="1" applyFont="1" applyFill="1" applyBorder="1" applyAlignment="1">
      <alignment horizontal="left" vertical="center" indent="1"/>
    </xf>
    <xf numFmtId="0" fontId="3" fillId="3" borderId="10" xfId="0" applyNumberFormat="1" applyFont="1" applyFill="1" applyBorder="1" applyAlignment="1">
      <alignment horizontal="left" vertical="center" indent="1"/>
    </xf>
    <xf numFmtId="3" fontId="4" fillId="0" borderId="1" xfId="0" applyNumberFormat="1" applyFont="1" applyBorder="1" applyAlignment="1">
      <alignment horizontal="center" vertical="center"/>
    </xf>
    <xf numFmtId="0" fontId="2" fillId="0" borderId="7" xfId="0" applyFont="1" applyBorder="1" applyAlignment="1">
      <alignment vertical="center" textRotation="90"/>
    </xf>
    <xf numFmtId="0" fontId="2" fillId="0" borderId="4" xfId="0" applyNumberFormat="1" applyFont="1" applyBorder="1" applyAlignment="1">
      <alignment vertical="center"/>
    </xf>
    <xf numFmtId="0" fontId="2" fillId="0" borderId="5" xfId="0" applyNumberFormat="1" applyFont="1" applyBorder="1" applyAlignment="1">
      <alignment vertical="center"/>
    </xf>
    <xf numFmtId="0" fontId="2" fillId="0" borderId="6" xfId="0" applyNumberFormat="1" applyFont="1" applyBorder="1" applyAlignment="1">
      <alignment vertical="center"/>
    </xf>
    <xf numFmtId="0" fontId="2" fillId="3" borderId="9" xfId="0" applyNumberFormat="1" applyFont="1" applyFill="1" applyBorder="1" applyAlignment="1">
      <alignment vertical="center" wrapText="1"/>
    </xf>
    <xf numFmtId="0" fontId="0" fillId="0" borderId="12" xfId="0" applyBorder="1"/>
    <xf numFmtId="0" fontId="0" fillId="0" borderId="0" xfId="0" applyBorder="1"/>
    <xf numFmtId="0" fontId="0" fillId="0" borderId="13" xfId="0" applyBorder="1"/>
    <xf numFmtId="0" fontId="0" fillId="0" borderId="8" xfId="0" applyBorder="1"/>
    <xf numFmtId="0" fontId="3" fillId="0" borderId="2" xfId="0" applyNumberFormat="1" applyFont="1" applyBorder="1" applyAlignment="1">
      <alignment vertical="center" wrapText="1"/>
    </xf>
    <xf numFmtId="0" fontId="2" fillId="3" borderId="12" xfId="0" applyNumberFormat="1" applyFont="1" applyFill="1" applyBorder="1" applyAlignment="1">
      <alignment vertical="center" wrapText="1"/>
    </xf>
    <xf numFmtId="0" fontId="2" fillId="3" borderId="13" xfId="0" applyNumberFormat="1" applyFont="1" applyFill="1" applyBorder="1" applyAlignment="1">
      <alignment vertical="center" wrapText="1"/>
    </xf>
    <xf numFmtId="0" fontId="2" fillId="3" borderId="8" xfId="0" applyNumberFormat="1" applyFont="1" applyFill="1" applyBorder="1" applyAlignment="1">
      <alignment vertical="center" wrapText="1"/>
    </xf>
    <xf numFmtId="0" fontId="2" fillId="3" borderId="10" xfId="0" applyNumberFormat="1" applyFont="1" applyFill="1" applyBorder="1" applyAlignment="1">
      <alignment vertical="center" wrapText="1"/>
    </xf>
    <xf numFmtId="3" fontId="3" fillId="0" borderId="1" xfId="0" applyNumberFormat="1" applyFont="1" applyBorder="1" applyAlignment="1">
      <alignment vertical="center"/>
    </xf>
    <xf numFmtId="4" fontId="2" fillId="0" borderId="1" xfId="0" applyNumberFormat="1" applyFont="1" applyBorder="1" applyAlignment="1">
      <alignment horizontal="center" vertical="center"/>
    </xf>
    <xf numFmtId="0" fontId="3" fillId="0" borderId="0" xfId="0" applyFont="1"/>
    <xf numFmtId="0" fontId="3" fillId="0" borderId="0" xfId="0" applyFont="1" applyBorder="1"/>
    <xf numFmtId="165" fontId="2" fillId="0" borderId="1" xfId="0" applyNumberFormat="1" applyFont="1" applyFill="1" applyBorder="1" applyAlignment="1">
      <alignment horizontal="center" vertical="center" wrapText="1"/>
    </xf>
    <xf numFmtId="165" fontId="3" fillId="0" borderId="1" xfId="0" applyNumberFormat="1" applyFont="1" applyBorder="1"/>
    <xf numFmtId="0" fontId="3" fillId="0" borderId="1" xfId="0" applyFont="1" applyBorder="1"/>
    <xf numFmtId="165" fontId="3" fillId="0" borderId="1" xfId="0" applyNumberFormat="1" applyFont="1" applyBorder="1" applyAlignment="1">
      <alignment horizontal="left" wrapText="1"/>
    </xf>
    <xf numFmtId="165" fontId="3" fillId="0" borderId="1" xfId="0" applyNumberFormat="1" applyFont="1" applyBorder="1" applyAlignment="1">
      <alignment horizontal="center"/>
    </xf>
    <xf numFmtId="164" fontId="3" fillId="0" borderId="1" xfId="0" applyNumberFormat="1" applyFont="1" applyBorder="1"/>
    <xf numFmtId="166" fontId="3" fillId="0" borderId="1" xfId="0" applyNumberFormat="1" applyFont="1" applyBorder="1"/>
    <xf numFmtId="0" fontId="3" fillId="0" borderId="5" xfId="0" applyFont="1" applyBorder="1"/>
    <xf numFmtId="165" fontId="3" fillId="0" borderId="5" xfId="0" applyNumberFormat="1" applyFont="1" applyBorder="1" applyAlignment="1">
      <alignment horizontal="left"/>
    </xf>
    <xf numFmtId="165" fontId="3" fillId="0" borderId="5" xfId="0" applyNumberFormat="1" applyFont="1" applyBorder="1"/>
    <xf numFmtId="1" fontId="2" fillId="0" borderId="1" xfId="0" applyNumberFormat="1" applyFont="1" applyFill="1" applyBorder="1" applyAlignment="1">
      <alignment horizontal="center" vertical="center" wrapText="1"/>
    </xf>
    <xf numFmtId="4" fontId="3" fillId="0" borderId="1" xfId="0" applyNumberFormat="1" applyFont="1" applyBorder="1"/>
    <xf numFmtId="0" fontId="2" fillId="0" borderId="7" xfId="0" applyNumberFormat="1" applyFont="1" applyFill="1" applyBorder="1" applyAlignment="1">
      <alignment vertical="center" wrapText="1"/>
    </xf>
    <xf numFmtId="165" fontId="3" fillId="0" borderId="1" xfId="0" applyNumberFormat="1" applyFont="1" applyBorder="1" applyAlignment="1">
      <alignment horizontal="left"/>
    </xf>
    <xf numFmtId="0" fontId="3" fillId="0" borderId="0" xfId="0" applyFont="1" applyAlignment="1">
      <alignment horizontal="center"/>
    </xf>
    <xf numFmtId="165" fontId="2" fillId="0" borderId="1" xfId="0" applyNumberFormat="1" applyFont="1" applyBorder="1" applyAlignment="1">
      <alignment horizontal="center"/>
    </xf>
    <xf numFmtId="165" fontId="2" fillId="0" borderId="4" xfId="0" applyNumberFormat="1" applyFont="1" applyFill="1" applyBorder="1" applyAlignment="1">
      <alignment horizontal="center" vertical="center" wrapText="1"/>
    </xf>
    <xf numFmtId="165" fontId="3" fillId="0" borderId="4" xfId="0" applyNumberFormat="1" applyFont="1" applyBorder="1"/>
    <xf numFmtId="0" fontId="3" fillId="0" borderId="4" xfId="0" applyFont="1" applyBorder="1"/>
    <xf numFmtId="4" fontId="3" fillId="0" borderId="4" xfId="0" applyNumberFormat="1" applyFont="1" applyBorder="1"/>
    <xf numFmtId="165" fontId="3" fillId="0" borderId="4" xfId="0" applyNumberFormat="1" applyFont="1" applyBorder="1" applyAlignment="1">
      <alignment horizontal="center"/>
    </xf>
    <xf numFmtId="166" fontId="3" fillId="0" borderId="4" xfId="0" applyNumberFormat="1" applyFont="1" applyBorder="1"/>
    <xf numFmtId="0" fontId="3" fillId="0" borderId="0" xfId="0" applyNumberFormat="1" applyFont="1" applyBorder="1" applyAlignment="1">
      <alignment vertical="center" wrapText="1"/>
    </xf>
    <xf numFmtId="165" fontId="3" fillId="0" borderId="0" xfId="0" applyNumberFormat="1" applyFont="1" applyBorder="1"/>
    <xf numFmtId="165" fontId="3" fillId="0" borderId="0" xfId="0" applyNumberFormat="1" applyFont="1" applyBorder="1" applyAlignment="1">
      <alignment horizontal="center"/>
    </xf>
    <xf numFmtId="0" fontId="2" fillId="0" borderId="0" xfId="0" applyNumberFormat="1" applyFont="1" applyFill="1" applyBorder="1" applyAlignment="1">
      <alignment vertical="center" wrapText="1"/>
    </xf>
    <xf numFmtId="0" fontId="3" fillId="0" borderId="0" xfId="0" applyFont="1" applyBorder="1" applyAlignment="1">
      <alignment horizontal="left" wrapText="1"/>
    </xf>
    <xf numFmtId="165" fontId="3" fillId="0" borderId="14" xfId="0" applyNumberFormat="1" applyFont="1" applyBorder="1" applyAlignment="1">
      <alignment horizontal="center"/>
    </xf>
    <xf numFmtId="165" fontId="3" fillId="0" borderId="10" xfId="0" applyNumberFormat="1" applyFont="1" applyBorder="1" applyAlignment="1">
      <alignment horizontal="center"/>
    </xf>
    <xf numFmtId="165" fontId="3" fillId="0" borderId="9" xfId="0" applyNumberFormat="1" applyFont="1" applyBorder="1" applyAlignment="1">
      <alignment horizontal="center"/>
    </xf>
    <xf numFmtId="165" fontId="3" fillId="0" borderId="1" xfId="0" applyNumberFormat="1" applyFont="1" applyFill="1" applyBorder="1" applyAlignment="1">
      <alignment horizontal="center" vertical="center" wrapText="1"/>
    </xf>
    <xf numFmtId="1" fontId="3" fillId="0" borderId="1" xfId="0" applyNumberFormat="1" applyFont="1" applyBorder="1"/>
    <xf numFmtId="0" fontId="3" fillId="0" borderId="4"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165" fontId="3" fillId="0" borderId="1" xfId="0" applyNumberFormat="1" applyFont="1" applyBorder="1" applyAlignment="1">
      <alignment horizontal="right"/>
    </xf>
    <xf numFmtId="0" fontId="2" fillId="0" borderId="0" xfId="0" applyNumberFormat="1" applyFont="1" applyBorder="1" applyAlignment="1">
      <alignment vertical="center" wrapText="1"/>
    </xf>
    <xf numFmtId="0" fontId="2" fillId="2" borderId="27" xfId="0" applyNumberFormat="1" applyFont="1" applyFill="1" applyBorder="1" applyAlignment="1">
      <alignment vertical="center" wrapText="1"/>
    </xf>
    <xf numFmtId="0" fontId="2" fillId="2" borderId="32" xfId="0" applyNumberFormat="1" applyFont="1" applyFill="1" applyBorder="1" applyAlignment="1">
      <alignment vertical="center" wrapText="1"/>
    </xf>
    <xf numFmtId="0" fontId="2" fillId="0" borderId="29" xfId="0" applyNumberFormat="1" applyFont="1" applyFill="1" applyBorder="1" applyAlignment="1">
      <alignment horizontal="center" vertical="center" wrapText="1"/>
    </xf>
    <xf numFmtId="0" fontId="2" fillId="0" borderId="16" xfId="0" applyNumberFormat="1" applyFont="1" applyFill="1" applyBorder="1" applyAlignment="1">
      <alignment horizontal="center" vertical="center" wrapText="1"/>
    </xf>
    <xf numFmtId="0" fontId="2" fillId="0" borderId="31" xfId="0" applyNumberFormat="1" applyFont="1" applyFill="1" applyBorder="1" applyAlignment="1">
      <alignment horizontal="center" vertical="center" wrapText="1"/>
    </xf>
    <xf numFmtId="0" fontId="2" fillId="4" borderId="1" xfId="0" applyNumberFormat="1" applyFont="1" applyFill="1" applyBorder="1" applyAlignment="1">
      <alignment horizontal="left" vertical="center" wrapText="1" indent="1"/>
    </xf>
    <xf numFmtId="0" fontId="2" fillId="5" borderId="1" xfId="0" applyNumberFormat="1" applyFont="1" applyFill="1" applyBorder="1" applyAlignment="1">
      <alignment horizontal="left" vertical="center" wrapText="1" indent="1"/>
    </xf>
    <xf numFmtId="3" fontId="3" fillId="0" borderId="1" xfId="0" applyNumberFormat="1" applyFont="1" applyBorder="1" applyAlignment="1">
      <alignment horizontal="left" vertical="center" indent="1"/>
    </xf>
    <xf numFmtId="0" fontId="0" fillId="0" borderId="5" xfId="0" applyBorder="1"/>
    <xf numFmtId="0" fontId="0" fillId="0" borderId="6" xfId="0" applyBorder="1"/>
    <xf numFmtId="0" fontId="0" fillId="3" borderId="12" xfId="0" applyFill="1" applyBorder="1"/>
    <xf numFmtId="0" fontId="0" fillId="3" borderId="0" xfId="0" applyFill="1" applyBorder="1"/>
    <xf numFmtId="0" fontId="2" fillId="3" borderId="0" xfId="0" applyNumberFormat="1" applyFont="1" applyFill="1" applyBorder="1" applyAlignment="1">
      <alignment vertical="center" wrapText="1"/>
    </xf>
    <xf numFmtId="3" fontId="2" fillId="0" borderId="2" xfId="0" applyNumberFormat="1" applyFont="1" applyBorder="1" applyAlignment="1">
      <alignment horizontal="center" vertical="center"/>
    </xf>
    <xf numFmtId="0" fontId="3" fillId="0" borderId="1" xfId="0" applyFont="1" applyFill="1" applyBorder="1" applyAlignment="1">
      <alignment horizontal="left" vertical="center" wrapText="1" indent="1"/>
    </xf>
    <xf numFmtId="0" fontId="2" fillId="5" borderId="5" xfId="0" applyNumberFormat="1" applyFont="1" applyFill="1" applyBorder="1" applyAlignment="1">
      <alignment vertical="center"/>
    </xf>
    <xf numFmtId="0" fontId="0" fillId="5" borderId="5" xfId="0" applyFill="1" applyBorder="1"/>
    <xf numFmtId="0" fontId="0" fillId="5" borderId="6" xfId="0" applyFill="1" applyBorder="1"/>
    <xf numFmtId="0" fontId="2" fillId="5" borderId="6" xfId="0" applyNumberFormat="1" applyFont="1" applyFill="1" applyBorder="1" applyAlignment="1">
      <alignment vertical="center"/>
    </xf>
    <xf numFmtId="0" fontId="3" fillId="0" borderId="1" xfId="0" applyFont="1" applyBorder="1" applyAlignment="1">
      <alignment horizontal="left" vertical="center" wrapText="1" indent="1"/>
    </xf>
    <xf numFmtId="3" fontId="2" fillId="0" borderId="1" xfId="0" applyNumberFormat="1" applyFont="1" applyBorder="1" applyAlignment="1">
      <alignment horizontal="right" vertical="center" indent="1"/>
    </xf>
    <xf numFmtId="1"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1" xfId="0" applyNumberFormat="1" applyFont="1" applyBorder="1" applyAlignment="1">
      <alignment horizontal="center"/>
    </xf>
    <xf numFmtId="0" fontId="3" fillId="0" borderId="7" xfId="0" applyFont="1" applyBorder="1"/>
    <xf numFmtId="165" fontId="4" fillId="0" borderId="1" xfId="0" applyNumberFormat="1" applyFont="1" applyBorder="1" applyAlignment="1">
      <alignment horizontal="center"/>
    </xf>
    <xf numFmtId="0" fontId="3" fillId="0" borderId="1"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3" fillId="0" borderId="1" xfId="0" applyNumberFormat="1" applyFont="1" applyBorder="1" applyAlignment="1">
      <alignment horizontal="center"/>
    </xf>
    <xf numFmtId="0" fontId="3" fillId="0" borderId="0" xfId="0" applyFont="1" applyBorder="1" applyAlignment="1">
      <alignment horizontal="center"/>
    </xf>
    <xf numFmtId="0" fontId="2" fillId="0" borderId="6" xfId="0" applyNumberFormat="1" applyFont="1" applyBorder="1" applyAlignment="1">
      <alignment vertical="center" wrapText="1"/>
    </xf>
    <xf numFmtId="0" fontId="3" fillId="0" borderId="1" xfId="0" applyFont="1" applyBorder="1" applyAlignment="1">
      <alignment wrapText="1"/>
    </xf>
    <xf numFmtId="0" fontId="3" fillId="0" borderId="0" xfId="0" applyFont="1" applyBorder="1" applyAlignment="1">
      <alignment wrapText="1"/>
    </xf>
    <xf numFmtId="0" fontId="2" fillId="2" borderId="3" xfId="0" applyNumberFormat="1" applyFont="1" applyFill="1" applyBorder="1" applyAlignment="1">
      <alignment vertical="center" wrapText="1"/>
    </xf>
    <xf numFmtId="0" fontId="2" fillId="0" borderId="1" xfId="0" applyFont="1" applyBorder="1"/>
    <xf numFmtId="0" fontId="2" fillId="0" borderId="0" xfId="0" applyFont="1" applyBorder="1"/>
    <xf numFmtId="0" fontId="3" fillId="0" borderId="12" xfId="0" applyFont="1" applyBorder="1"/>
    <xf numFmtId="0" fontId="3" fillId="0" borderId="0" xfId="0" applyFont="1" applyBorder="1" applyAlignment="1">
      <alignment horizontal="center" vertical="center"/>
    </xf>
    <xf numFmtId="0" fontId="3" fillId="0" borderId="1" xfId="0" applyFont="1" applyBorder="1" applyAlignment="1"/>
    <xf numFmtId="0" fontId="3" fillId="0" borderId="1" xfId="0" applyFont="1" applyBorder="1" applyAlignment="1">
      <alignment horizontal="left" indent="6"/>
    </xf>
    <xf numFmtId="0" fontId="3" fillId="0" borderId="0" xfId="0" applyNumberFormat="1" applyFont="1" applyBorder="1"/>
    <xf numFmtId="0" fontId="3" fillId="0" borderId="0" xfId="0" applyFont="1" applyBorder="1" applyAlignment="1">
      <alignment horizontal="left" indent="6"/>
    </xf>
    <xf numFmtId="0" fontId="3" fillId="0" borderId="1" xfId="0" applyNumberFormat="1" applyFont="1" applyBorder="1"/>
    <xf numFmtId="0" fontId="3" fillId="0" borderId="0" xfId="0" applyFont="1" applyBorder="1" applyAlignment="1">
      <alignment horizontal="left" indent="1"/>
    </xf>
    <xf numFmtId="164" fontId="3" fillId="0" borderId="1" xfId="0" applyNumberFormat="1" applyFont="1" applyFill="1" applyBorder="1" applyAlignment="1">
      <alignment horizontal="center" vertical="center" wrapText="1"/>
    </xf>
    <xf numFmtId="3" fontId="3" fillId="0" borderId="1" xfId="0" applyNumberFormat="1" applyFont="1" applyBorder="1"/>
    <xf numFmtId="0" fontId="3" fillId="0" borderId="7" xfId="0" applyFont="1" applyBorder="1" applyAlignment="1">
      <alignment vertical="center" wrapText="1"/>
    </xf>
    <xf numFmtId="164" fontId="2" fillId="0" borderId="1" xfId="0" applyNumberFormat="1" applyFont="1" applyFill="1" applyBorder="1" applyAlignment="1">
      <alignment horizontal="center" vertical="center" wrapText="1"/>
    </xf>
    <xf numFmtId="0" fontId="9" fillId="0" borderId="0" xfId="0" applyNumberFormat="1" applyFont="1" applyBorder="1" applyAlignment="1">
      <alignment vertical="center" wrapText="1"/>
    </xf>
    <xf numFmtId="0" fontId="9" fillId="0" borderId="12" xfId="0" applyNumberFormat="1" applyFont="1" applyBorder="1" applyAlignment="1">
      <alignment vertical="center" wrapText="1"/>
    </xf>
    <xf numFmtId="0" fontId="3" fillId="0" borderId="1" xfId="0" applyNumberFormat="1" applyFont="1" applyBorder="1" applyAlignment="1">
      <alignment vertical="center"/>
    </xf>
    <xf numFmtId="166" fontId="2" fillId="0" borderId="1" xfId="0" applyNumberFormat="1" applyFont="1" applyFill="1" applyBorder="1" applyAlignment="1">
      <alignment horizontal="center" vertical="center" wrapText="1"/>
    </xf>
    <xf numFmtId="0" fontId="3" fillId="0" borderId="1" xfId="0" applyFont="1" applyBorder="1" applyAlignment="1">
      <alignment horizontal="left" indent="1"/>
    </xf>
    <xf numFmtId="0" fontId="3" fillId="0" borderId="7" xfId="0" applyFont="1" applyBorder="1" applyAlignment="1">
      <alignment horizontal="left" indent="1"/>
    </xf>
    <xf numFmtId="3" fontId="3" fillId="0" borderId="1" xfId="0" applyNumberFormat="1" applyFont="1" applyBorder="1" applyAlignment="1">
      <alignment horizontal="center"/>
    </xf>
    <xf numFmtId="3" fontId="4"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xf>
    <xf numFmtId="3" fontId="12" fillId="0" borderId="1" xfId="0" applyNumberFormat="1" applyFont="1" applyFill="1" applyBorder="1" applyAlignment="1">
      <alignment horizontal="center" vertical="center" wrapText="1"/>
    </xf>
    <xf numFmtId="0" fontId="2" fillId="0" borderId="37" xfId="0" applyFont="1" applyBorder="1" applyAlignment="1">
      <alignment horizontal="left"/>
    </xf>
    <xf numFmtId="0" fontId="3" fillId="3" borderId="1" xfId="0" applyFont="1" applyFill="1" applyBorder="1"/>
    <xf numFmtId="0" fontId="2" fillId="0" borderId="3" xfId="0" applyFont="1" applyBorder="1"/>
    <xf numFmtId="0" fontId="3" fillId="0" borderId="3" xfId="0" applyFont="1" applyBorder="1"/>
    <xf numFmtId="0" fontId="3" fillId="0" borderId="0" xfId="0" applyFont="1" applyFill="1" applyBorder="1" applyAlignment="1">
      <alignment horizontal="left" indent="1"/>
    </xf>
    <xf numFmtId="0" fontId="2" fillId="0" borderId="1" xfId="0" applyFont="1" applyBorder="1" applyAlignment="1">
      <alignment horizontal="center" wrapText="1"/>
    </xf>
    <xf numFmtId="0" fontId="3" fillId="0" borderId="4" xfId="0" applyNumberFormat="1" applyFont="1" applyBorder="1" applyAlignment="1">
      <alignment horizontal="center"/>
    </xf>
    <xf numFmtId="0" fontId="3" fillId="0" borderId="29"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0" fontId="3" fillId="0" borderId="31"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1" fontId="3" fillId="0" borderId="29" xfId="0" applyNumberFormat="1" applyFont="1" applyFill="1" applyBorder="1" applyAlignment="1">
      <alignment horizontal="center" vertical="center" wrapText="1"/>
    </xf>
    <xf numFmtId="0" fontId="3" fillId="0" borderId="1" xfId="0" applyNumberFormat="1" applyFont="1" applyBorder="1" applyAlignment="1">
      <alignment horizontal="right" vertical="center"/>
    </xf>
    <xf numFmtId="1" fontId="3" fillId="0" borderId="1" xfId="0" applyNumberFormat="1" applyFont="1" applyBorder="1" applyAlignment="1">
      <alignment vertical="center"/>
    </xf>
    <xf numFmtId="166" fontId="2" fillId="0" borderId="8" xfId="0" applyNumberFormat="1" applyFont="1" applyFill="1" applyBorder="1" applyAlignment="1">
      <alignment horizontal="center" vertical="center" wrapText="1"/>
    </xf>
    <xf numFmtId="1" fontId="2" fillId="0" borderId="29" xfId="0" applyNumberFormat="1" applyFont="1" applyFill="1" applyBorder="1" applyAlignment="1">
      <alignment horizontal="center" vertical="center" wrapText="1"/>
    </xf>
    <xf numFmtId="1" fontId="2" fillId="0" borderId="8" xfId="0" applyNumberFormat="1" applyFont="1" applyFill="1" applyBorder="1" applyAlignment="1">
      <alignment horizontal="center" vertical="center" wrapText="1"/>
    </xf>
    <xf numFmtId="0" fontId="2" fillId="0" borderId="8" xfId="0" applyNumberFormat="1" applyFont="1" applyFill="1" applyBorder="1" applyAlignment="1">
      <alignment horizontal="center" vertical="center" wrapText="1"/>
    </xf>
    <xf numFmtId="0" fontId="2" fillId="0" borderId="1" xfId="0" applyFont="1" applyBorder="1" applyAlignment="1">
      <alignment horizontal="left" indent="1"/>
    </xf>
    <xf numFmtId="0" fontId="2" fillId="0" borderId="1" xfId="0" applyNumberFormat="1" applyFont="1" applyBorder="1" applyAlignment="1">
      <alignment horizontal="center"/>
    </xf>
    <xf numFmtId="0" fontId="2" fillId="0" borderId="1" xfId="0" applyNumberFormat="1" applyFont="1" applyBorder="1"/>
    <xf numFmtId="0" fontId="2" fillId="0" borderId="1" xfId="0" applyFont="1" applyBorder="1" applyAlignment="1">
      <alignment vertical="center" wrapText="1"/>
    </xf>
    <xf numFmtId="0" fontId="2" fillId="0" borderId="1" xfId="0" applyFont="1" applyBorder="1" applyAlignment="1">
      <alignment vertical="center"/>
    </xf>
    <xf numFmtId="165" fontId="3" fillId="0" borderId="1" xfId="0" applyNumberFormat="1" applyFont="1" applyBorder="1" applyAlignment="1">
      <alignment horizontal="center" vertical="center"/>
    </xf>
    <xf numFmtId="0" fontId="2" fillId="0" borderId="10" xfId="0" applyFont="1" applyBorder="1" applyAlignment="1">
      <alignment vertical="center"/>
    </xf>
    <xf numFmtId="0" fontId="11" fillId="0" borderId="1" xfId="0" applyFont="1" applyBorder="1"/>
    <xf numFmtId="0" fontId="11" fillId="0" borderId="1" xfId="0" applyFont="1" applyBorder="1" applyAlignment="1">
      <alignment horizontal="center"/>
    </xf>
    <xf numFmtId="0" fontId="2" fillId="0" borderId="1" xfId="0" applyFont="1" applyBorder="1" applyAlignment="1">
      <alignment wrapText="1"/>
    </xf>
    <xf numFmtId="0" fontId="2" fillId="0" borderId="1" xfId="0" applyFont="1" applyBorder="1" applyAlignment="1">
      <alignment horizontal="left"/>
    </xf>
    <xf numFmtId="0" fontId="2" fillId="0" borderId="2" xfId="0" applyFont="1" applyBorder="1" applyAlignment="1">
      <alignment vertical="center"/>
    </xf>
    <xf numFmtId="0" fontId="2" fillId="0" borderId="12" xfId="0" applyFont="1" applyBorder="1" applyAlignment="1">
      <alignment vertical="center"/>
    </xf>
    <xf numFmtId="0" fontId="2" fillId="0" borderId="5" xfId="0" applyFont="1" applyBorder="1" applyAlignment="1">
      <alignment horizontal="left" indent="1"/>
    </xf>
    <xf numFmtId="165" fontId="3" fillId="0" borderId="5" xfId="0" applyNumberFormat="1" applyFont="1" applyBorder="1" applyAlignment="1">
      <alignment horizontal="center"/>
    </xf>
    <xf numFmtId="165" fontId="3" fillId="0" borderId="6" xfId="0" applyNumberFormat="1" applyFont="1" applyBorder="1" applyAlignment="1">
      <alignment horizontal="center"/>
    </xf>
    <xf numFmtId="165" fontId="3" fillId="0" borderId="2" xfId="0" applyNumberFormat="1" applyFont="1" applyBorder="1" applyAlignment="1">
      <alignment horizontal="center"/>
    </xf>
    <xf numFmtId="0" fontId="3" fillId="0" borderId="12" xfId="0" applyFont="1" applyFill="1" applyBorder="1"/>
    <xf numFmtId="165" fontId="3" fillId="0" borderId="12" xfId="0" applyNumberFormat="1" applyFont="1" applyBorder="1" applyAlignment="1">
      <alignment horizontal="center"/>
    </xf>
    <xf numFmtId="0" fontId="3" fillId="0" borderId="12" xfId="0" applyFont="1" applyFill="1" applyBorder="1" applyAlignment="1">
      <alignment horizontal="center"/>
    </xf>
    <xf numFmtId="0" fontId="3" fillId="0" borderId="10" xfId="0" applyFont="1" applyFill="1" applyBorder="1" applyAlignment="1">
      <alignment horizontal="center"/>
    </xf>
    <xf numFmtId="164" fontId="3" fillId="3" borderId="1" xfId="0" applyNumberFormat="1" applyFont="1" applyFill="1" applyBorder="1" applyAlignment="1">
      <alignment horizontal="center" vertical="center"/>
    </xf>
    <xf numFmtId="0" fontId="2" fillId="3" borderId="3" xfId="0" applyNumberFormat="1" applyFont="1" applyFill="1" applyBorder="1" applyAlignment="1">
      <alignment vertical="center" wrapText="1"/>
    </xf>
    <xf numFmtId="0" fontId="2" fillId="3" borderId="7" xfId="0" applyNumberFormat="1" applyFont="1" applyFill="1" applyBorder="1" applyAlignment="1">
      <alignment vertical="center" wrapText="1"/>
    </xf>
    <xf numFmtId="0" fontId="3" fillId="3" borderId="1" xfId="0" applyNumberFormat="1" applyFont="1" applyFill="1" applyBorder="1" applyAlignment="1">
      <alignment horizontal="center" vertical="center"/>
    </xf>
    <xf numFmtId="3" fontId="3" fillId="3" borderId="1" xfId="0" applyNumberFormat="1" applyFont="1" applyFill="1" applyBorder="1" applyAlignment="1">
      <alignment vertical="center"/>
    </xf>
    <xf numFmtId="164" fontId="2" fillId="0" borderId="1" xfId="0" applyNumberFormat="1" applyFont="1" applyBorder="1" applyAlignment="1">
      <alignment horizontal="center" vertical="center"/>
    </xf>
    <xf numFmtId="0" fontId="3" fillId="3" borderId="8" xfId="0" applyFont="1" applyFill="1" applyBorder="1"/>
    <xf numFmtId="0" fontId="2" fillId="3" borderId="2" xfId="0" applyNumberFormat="1" applyFont="1" applyFill="1" applyBorder="1" applyAlignment="1">
      <alignment vertical="center" wrapText="1"/>
    </xf>
    <xf numFmtId="0" fontId="0" fillId="0" borderId="15" xfId="0" applyBorder="1"/>
    <xf numFmtId="0" fontId="3" fillId="0" borderId="15" xfId="0" applyFont="1" applyBorder="1"/>
    <xf numFmtId="0" fontId="3" fillId="0" borderId="8" xfId="0" applyFont="1" applyBorder="1" applyAlignment="1">
      <alignment horizontal="center"/>
    </xf>
    <xf numFmtId="165" fontId="3" fillId="0" borderId="0" xfId="0" applyNumberFormat="1" applyFont="1" applyBorder="1" applyAlignment="1">
      <alignment horizontal="left"/>
    </xf>
    <xf numFmtId="0" fontId="3" fillId="0" borderId="10" xfId="0" applyFont="1" applyBorder="1"/>
    <xf numFmtId="0" fontId="3" fillId="0" borderId="8" xfId="0" applyFont="1" applyBorder="1"/>
    <xf numFmtId="0" fontId="2" fillId="0" borderId="0" xfId="0" applyFont="1" applyFill="1" applyBorder="1"/>
    <xf numFmtId="165" fontId="2" fillId="0" borderId="0" xfId="0" applyNumberFormat="1" applyFont="1" applyFill="1" applyBorder="1" applyAlignment="1">
      <alignment horizontal="right"/>
    </xf>
    <xf numFmtId="165" fontId="2" fillId="0" borderId="0" xfId="0" applyNumberFormat="1" applyFont="1" applyFill="1" applyBorder="1" applyAlignment="1">
      <alignment horizontal="center"/>
    </xf>
    <xf numFmtId="165" fontId="3" fillId="0" borderId="0" xfId="0" applyNumberFormat="1" applyFont="1" applyFill="1" applyBorder="1" applyAlignment="1">
      <alignment horizontal="right"/>
    </xf>
    <xf numFmtId="165" fontId="3" fillId="0" borderId="0" xfId="0" applyNumberFormat="1" applyFont="1" applyFill="1" applyBorder="1" applyAlignment="1">
      <alignment horizontal="center"/>
    </xf>
    <xf numFmtId="0" fontId="3" fillId="0" borderId="8" xfId="0" applyFont="1" applyFill="1" applyBorder="1" applyAlignment="1">
      <alignment horizontal="center"/>
    </xf>
    <xf numFmtId="0" fontId="2" fillId="0" borderId="0" xfId="0" applyFont="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horizontal="left" indent="1"/>
    </xf>
    <xf numFmtId="0" fontId="2" fillId="0" borderId="0" xfId="0" applyNumberFormat="1" applyFont="1" applyBorder="1" applyAlignment="1">
      <alignment horizontal="center"/>
    </xf>
    <xf numFmtId="0" fontId="2" fillId="0" borderId="0" xfId="0" applyNumberFormat="1" applyFont="1" applyBorder="1"/>
    <xf numFmtId="0" fontId="3" fillId="0" borderId="13" xfId="0" applyFont="1" applyFill="1" applyBorder="1"/>
    <xf numFmtId="49" fontId="2" fillId="0" borderId="0" xfId="0" applyNumberFormat="1" applyFont="1" applyBorder="1"/>
    <xf numFmtId="0" fontId="3" fillId="0" borderId="8" xfId="0" applyFont="1" applyBorder="1" applyAlignment="1">
      <alignment horizontal="center" vertical="center" wrapText="1"/>
    </xf>
    <xf numFmtId="0" fontId="2" fillId="0" borderId="0" xfId="0" applyFont="1" applyBorder="1" applyAlignment="1">
      <alignment vertical="center"/>
    </xf>
    <xf numFmtId="0" fontId="3" fillId="0" borderId="0" xfId="0" applyNumberFormat="1" applyFont="1" applyBorder="1" applyAlignment="1">
      <alignment horizontal="center"/>
    </xf>
    <xf numFmtId="165" fontId="3" fillId="0" borderId="0" xfId="0" applyNumberFormat="1" applyFont="1" applyBorder="1" applyAlignment="1">
      <alignment horizontal="left" indent="1"/>
    </xf>
    <xf numFmtId="0" fontId="3" fillId="0" borderId="14" xfId="0" applyFont="1" applyBorder="1"/>
    <xf numFmtId="0" fontId="16" fillId="0" borderId="5" xfId="0" applyNumberFormat="1" applyFont="1" applyBorder="1" applyAlignment="1">
      <alignment vertical="center"/>
    </xf>
    <xf numFmtId="0" fontId="17" fillId="0" borderId="5" xfId="0" applyFont="1" applyBorder="1"/>
    <xf numFmtId="0" fontId="16" fillId="3" borderId="12" xfId="0" applyNumberFormat="1" applyFont="1" applyFill="1" applyBorder="1" applyAlignment="1">
      <alignment vertical="center" wrapText="1"/>
    </xf>
    <xf numFmtId="0" fontId="17" fillId="3" borderId="12" xfId="0" applyFont="1" applyFill="1" applyBorder="1"/>
    <xf numFmtId="0" fontId="16" fillId="3" borderId="0" xfId="0" applyNumberFormat="1" applyFont="1" applyFill="1" applyBorder="1" applyAlignment="1">
      <alignment vertical="center" wrapText="1"/>
    </xf>
    <xf numFmtId="0" fontId="17" fillId="3" borderId="0" xfId="0" applyFont="1" applyFill="1" applyBorder="1"/>
    <xf numFmtId="0" fontId="16" fillId="3" borderId="10" xfId="0" applyNumberFormat="1" applyFont="1" applyFill="1" applyBorder="1" applyAlignment="1">
      <alignment vertical="center" wrapText="1"/>
    </xf>
    <xf numFmtId="0" fontId="17" fillId="3" borderId="10" xfId="0" applyFont="1" applyFill="1" applyBorder="1"/>
    <xf numFmtId="0" fontId="17" fillId="3" borderId="12" xfId="0" applyNumberFormat="1" applyFont="1" applyFill="1" applyBorder="1" applyAlignment="1">
      <alignment vertical="center"/>
    </xf>
    <xf numFmtId="0" fontId="16" fillId="3" borderId="13" xfId="0" applyNumberFormat="1" applyFont="1" applyFill="1" applyBorder="1" applyAlignment="1">
      <alignment vertical="center" wrapText="1"/>
    </xf>
    <xf numFmtId="0" fontId="17" fillId="3" borderId="10" xfId="0" applyNumberFormat="1" applyFont="1" applyFill="1" applyBorder="1" applyAlignment="1">
      <alignment vertical="center"/>
    </xf>
    <xf numFmtId="0" fontId="16" fillId="3" borderId="9" xfId="0" applyNumberFormat="1" applyFont="1" applyFill="1" applyBorder="1" applyAlignment="1">
      <alignment vertical="center" wrapText="1"/>
    </xf>
    <xf numFmtId="3" fontId="19" fillId="0" borderId="1" xfId="0" applyNumberFormat="1" applyFont="1" applyBorder="1" applyAlignment="1">
      <alignment horizontal="center" vertical="center"/>
    </xf>
    <xf numFmtId="3" fontId="18" fillId="0" borderId="1" xfId="0" applyNumberFormat="1" applyFont="1" applyFill="1" applyBorder="1" applyAlignment="1">
      <alignment horizontal="right" vertical="center"/>
    </xf>
    <xf numFmtId="3" fontId="18" fillId="0" borderId="1" xfId="0" applyNumberFormat="1" applyFont="1" applyFill="1" applyBorder="1" applyAlignment="1">
      <alignment horizontal="center" vertical="center"/>
    </xf>
    <xf numFmtId="3" fontId="16" fillId="0" borderId="1" xfId="0" applyNumberFormat="1" applyFont="1" applyBorder="1" applyAlignment="1">
      <alignment horizontal="right" vertical="center"/>
    </xf>
    <xf numFmtId="4" fontId="17" fillId="0" borderId="1" xfId="0" applyNumberFormat="1" applyFont="1" applyBorder="1"/>
    <xf numFmtId="0" fontId="17" fillId="0" borderId="1" xfId="0" applyFont="1" applyBorder="1" applyAlignment="1">
      <alignment horizontal="left" vertical="center"/>
    </xf>
    <xf numFmtId="0" fontId="18" fillId="0" borderId="1" xfId="0" applyNumberFormat="1" applyFont="1" applyFill="1" applyBorder="1" applyAlignment="1">
      <alignment vertical="center" wrapText="1"/>
    </xf>
    <xf numFmtId="0" fontId="17" fillId="0" borderId="1" xfId="0" applyFont="1" applyBorder="1" applyAlignment="1">
      <alignment vertical="center" wrapText="1"/>
    </xf>
    <xf numFmtId="3" fontId="17" fillId="0" borderId="1" xfId="0" applyNumberFormat="1" applyFont="1" applyBorder="1" applyAlignment="1">
      <alignment horizontal="left" vertical="center" wrapText="1"/>
    </xf>
    <xf numFmtId="0" fontId="0" fillId="0" borderId="1" xfId="0" applyBorder="1"/>
    <xf numFmtId="0" fontId="16" fillId="0" borderId="6" xfId="0" applyNumberFormat="1" applyFont="1" applyBorder="1" applyAlignment="1">
      <alignment vertical="center"/>
    </xf>
    <xf numFmtId="0" fontId="17" fillId="0" borderId="12" xfId="0" applyFont="1" applyBorder="1"/>
    <xf numFmtId="0" fontId="17" fillId="0" borderId="13" xfId="0" applyFont="1" applyBorder="1"/>
    <xf numFmtId="0" fontId="17" fillId="0" borderId="0" xfId="0" applyFont="1" applyBorder="1"/>
    <xf numFmtId="0" fontId="17" fillId="0" borderId="8" xfId="0" applyFont="1" applyBorder="1"/>
    <xf numFmtId="3" fontId="16" fillId="0" borderId="1" xfId="0" applyNumberFormat="1" applyFont="1" applyBorder="1" applyAlignment="1">
      <alignment horizontal="center" vertical="center"/>
    </xf>
    <xf numFmtId="0" fontId="0" fillId="0" borderId="1" xfId="0" applyFont="1" applyBorder="1"/>
    <xf numFmtId="0" fontId="16" fillId="0" borderId="5" xfId="0" applyNumberFormat="1" applyFont="1" applyBorder="1" applyAlignment="1">
      <alignment vertical="center" wrapText="1"/>
    </xf>
    <xf numFmtId="0" fontId="16" fillId="0" borderId="6" xfId="0" applyNumberFormat="1" applyFont="1" applyBorder="1" applyAlignment="1">
      <alignment vertical="center" wrapText="1"/>
    </xf>
    <xf numFmtId="0" fontId="0" fillId="0" borderId="0" xfId="0" applyFont="1"/>
    <xf numFmtId="0" fontId="4" fillId="0" borderId="1" xfId="0" applyNumberFormat="1" applyFont="1" applyBorder="1" applyAlignment="1">
      <alignment horizontal="left" vertical="center" wrapText="1" indent="1"/>
    </xf>
    <xf numFmtId="3" fontId="21" fillId="0" borderId="5" xfId="0" applyNumberFormat="1" applyFont="1" applyBorder="1" applyAlignment="1">
      <alignment horizontal="left" vertical="center" wrapText="1"/>
    </xf>
    <xf numFmtId="3" fontId="2" fillId="0" borderId="5" xfId="0" applyNumberFormat="1" applyFont="1" applyBorder="1" applyAlignment="1">
      <alignment vertical="center"/>
    </xf>
    <xf numFmtId="3" fontId="21" fillId="0" borderId="5" xfId="0" applyNumberFormat="1" applyFont="1" applyBorder="1" applyAlignment="1">
      <alignment vertical="center"/>
    </xf>
    <xf numFmtId="3" fontId="2" fillId="3" borderId="12" xfId="0" applyNumberFormat="1" applyFont="1" applyFill="1" applyBorder="1" applyAlignment="1">
      <alignment vertical="center" wrapText="1"/>
    </xf>
    <xf numFmtId="3" fontId="21" fillId="3" borderId="12" xfId="0" applyNumberFormat="1" applyFont="1" applyFill="1" applyBorder="1" applyAlignment="1">
      <alignment vertical="center" wrapText="1"/>
    </xf>
    <xf numFmtId="3" fontId="2" fillId="3" borderId="0" xfId="0" applyNumberFormat="1" applyFont="1" applyFill="1" applyBorder="1" applyAlignment="1">
      <alignment vertical="center" wrapText="1"/>
    </xf>
    <xf numFmtId="3" fontId="21" fillId="3" borderId="0" xfId="0" applyNumberFormat="1" applyFont="1" applyFill="1" applyBorder="1" applyAlignment="1">
      <alignment vertical="center" wrapText="1"/>
    </xf>
    <xf numFmtId="3" fontId="2" fillId="3" borderId="10" xfId="0" applyNumberFormat="1" applyFont="1" applyFill="1" applyBorder="1" applyAlignment="1">
      <alignment vertical="center" wrapText="1"/>
    </xf>
    <xf numFmtId="3" fontId="21" fillId="3" borderId="10" xfId="0" applyNumberFormat="1" applyFont="1" applyFill="1" applyBorder="1" applyAlignment="1">
      <alignment vertical="center" wrapText="1"/>
    </xf>
    <xf numFmtId="0" fontId="3" fillId="3" borderId="12" xfId="0" applyNumberFormat="1" applyFont="1" applyFill="1" applyBorder="1" applyAlignment="1">
      <alignment vertical="center"/>
    </xf>
    <xf numFmtId="0" fontId="3" fillId="3" borderId="12" xfId="0" applyNumberFormat="1" applyFont="1" applyFill="1" applyBorder="1" applyAlignment="1">
      <alignment horizontal="left" vertical="center"/>
    </xf>
    <xf numFmtId="3" fontId="3" fillId="3" borderId="12" xfId="0" applyNumberFormat="1" applyFont="1" applyFill="1" applyBorder="1" applyAlignment="1">
      <alignment vertical="center"/>
    </xf>
    <xf numFmtId="3" fontId="22" fillId="3" borderId="12" xfId="0" applyNumberFormat="1" applyFont="1" applyFill="1" applyBorder="1" applyAlignment="1">
      <alignment vertical="center"/>
    </xf>
    <xf numFmtId="0" fontId="3" fillId="3" borderId="10" xfId="0" applyNumberFormat="1" applyFont="1" applyFill="1" applyBorder="1" applyAlignment="1">
      <alignment vertical="center"/>
    </xf>
    <xf numFmtId="0" fontId="3" fillId="3" borderId="10" xfId="0" applyNumberFormat="1" applyFont="1" applyFill="1" applyBorder="1" applyAlignment="1">
      <alignment horizontal="left" vertical="center"/>
    </xf>
    <xf numFmtId="3" fontId="3" fillId="3" borderId="10" xfId="0" applyNumberFormat="1" applyFont="1" applyFill="1" applyBorder="1" applyAlignment="1">
      <alignment vertical="center"/>
    </xf>
    <xf numFmtId="3" fontId="22" fillId="3" borderId="10" xfId="0" applyNumberFormat="1" applyFont="1" applyFill="1" applyBorder="1" applyAlignment="1">
      <alignment vertical="center"/>
    </xf>
    <xf numFmtId="3" fontId="3" fillId="0" borderId="1" xfId="0" applyNumberFormat="1" applyFont="1" applyBorder="1" applyAlignment="1">
      <alignment horizontal="justify" vertical="center"/>
    </xf>
    <xf numFmtId="3" fontId="2" fillId="3" borderId="1" xfId="0" applyNumberFormat="1" applyFont="1" applyFill="1" applyBorder="1"/>
    <xf numFmtId="0" fontId="2" fillId="0" borderId="1" xfId="0" applyNumberFormat="1" applyFont="1" applyFill="1" applyBorder="1"/>
    <xf numFmtId="3" fontId="2" fillId="0" borderId="1" xfId="0" applyNumberFormat="1" applyFont="1" applyFill="1" applyBorder="1"/>
    <xf numFmtId="0" fontId="3" fillId="0" borderId="1" xfId="0" applyFont="1" applyFill="1" applyBorder="1"/>
    <xf numFmtId="0" fontId="24" fillId="0" borderId="1" xfId="0" applyFont="1" applyFill="1" applyBorder="1" applyAlignment="1">
      <alignment vertical="center"/>
    </xf>
    <xf numFmtId="0" fontId="3" fillId="0" borderId="1" xfId="0" applyNumberFormat="1" applyFont="1" applyFill="1" applyBorder="1"/>
    <xf numFmtId="3" fontId="3" fillId="0" borderId="1" xfId="0" applyNumberFormat="1" applyFont="1" applyFill="1" applyBorder="1" applyAlignment="1">
      <alignment horizontal="justify" vertical="center"/>
    </xf>
    <xf numFmtId="3" fontId="3" fillId="0" borderId="1" xfId="0" applyNumberFormat="1" applyFont="1" applyFill="1" applyBorder="1" applyAlignment="1">
      <alignment horizontal="right" vertical="center"/>
    </xf>
    <xf numFmtId="3" fontId="3" fillId="0" borderId="1" xfId="0" applyNumberFormat="1" applyFont="1" applyFill="1" applyBorder="1"/>
    <xf numFmtId="0" fontId="25" fillId="0" borderId="1" xfId="0" applyFont="1" applyFill="1" applyBorder="1" applyAlignment="1">
      <alignment vertical="center"/>
    </xf>
    <xf numFmtId="3" fontId="3" fillId="0" borderId="1" xfId="0" applyNumberFormat="1" applyFont="1" applyFill="1" applyBorder="1" applyAlignment="1">
      <alignment vertical="center"/>
    </xf>
    <xf numFmtId="43" fontId="3" fillId="0" borderId="1" xfId="2" applyFont="1" applyFill="1" applyBorder="1" applyAlignment="1">
      <alignment vertical="center"/>
    </xf>
    <xf numFmtId="43" fontId="3" fillId="0" borderId="1" xfId="2" applyFont="1" applyFill="1" applyBorder="1"/>
    <xf numFmtId="43" fontId="2" fillId="0" borderId="1" xfId="2" applyFont="1" applyFill="1" applyBorder="1"/>
    <xf numFmtId="43" fontId="24" fillId="0" borderId="1" xfId="2" applyFont="1" applyFill="1" applyBorder="1" applyAlignment="1">
      <alignment vertical="center"/>
    </xf>
    <xf numFmtId="43" fontId="3" fillId="0" borderId="1" xfId="2" applyFont="1" applyFill="1" applyBorder="1" applyAlignment="1">
      <alignment horizontal="justify" vertical="center"/>
    </xf>
    <xf numFmtId="3" fontId="2" fillId="0" borderId="1" xfId="0" applyNumberFormat="1" applyFont="1" applyFill="1" applyBorder="1" applyAlignment="1">
      <alignment horizontal="right"/>
    </xf>
    <xf numFmtId="3" fontId="3" fillId="0" borderId="1" xfId="2" applyNumberFormat="1" applyFont="1" applyFill="1" applyBorder="1" applyAlignment="1">
      <alignment vertical="center"/>
    </xf>
    <xf numFmtId="3" fontId="2" fillId="0" borderId="1" xfId="2" applyNumberFormat="1" applyFont="1" applyFill="1" applyBorder="1"/>
    <xf numFmtId="3" fontId="3" fillId="0" borderId="1" xfId="2" applyNumberFormat="1" applyFont="1" applyFill="1" applyBorder="1"/>
    <xf numFmtId="4" fontId="2" fillId="2" borderId="14" xfId="0" applyNumberFormat="1" applyFont="1" applyFill="1" applyBorder="1" applyAlignment="1">
      <alignment horizontal="center" vertical="center" wrapText="1"/>
    </xf>
    <xf numFmtId="4" fontId="2" fillId="0" borderId="1" xfId="0" applyNumberFormat="1" applyFont="1" applyBorder="1" applyAlignment="1">
      <alignment horizontal="right" vertical="center"/>
    </xf>
    <xf numFmtId="4" fontId="3" fillId="0" borderId="6" xfId="0" applyNumberFormat="1" applyFont="1" applyBorder="1" applyAlignment="1">
      <alignment vertical="center"/>
    </xf>
    <xf numFmtId="4" fontId="3" fillId="0" borderId="1" xfId="0" applyNumberFormat="1" applyFont="1" applyBorder="1" applyAlignment="1">
      <alignment horizontal="right"/>
    </xf>
    <xf numFmtId="4" fontId="2" fillId="0" borderId="1" xfId="0" applyNumberFormat="1" applyFont="1" applyBorder="1" applyAlignment="1">
      <alignment horizontal="right"/>
    </xf>
    <xf numFmtId="4" fontId="3" fillId="0" borderId="1" xfId="0" applyNumberFormat="1" applyFont="1" applyBorder="1" applyAlignment="1">
      <alignment horizontal="right" vertical="center"/>
    </xf>
    <xf numFmtId="4" fontId="3" fillId="0" borderId="2" xfId="0" applyNumberFormat="1" applyFont="1" applyBorder="1" applyAlignment="1">
      <alignment vertical="center"/>
    </xf>
    <xf numFmtId="0" fontId="3" fillId="0" borderId="2" xfId="0" applyFont="1" applyBorder="1" applyAlignment="1">
      <alignment vertical="center"/>
    </xf>
    <xf numFmtId="4" fontId="3" fillId="0" borderId="2" xfId="0" applyNumberFormat="1" applyFont="1" applyBorder="1" applyAlignment="1">
      <alignment horizontal="right" vertical="center"/>
    </xf>
    <xf numFmtId="4" fontId="2" fillId="0" borderId="2" xfId="0" applyNumberFormat="1" applyFont="1" applyBorder="1" applyAlignment="1">
      <alignment horizontal="right" vertical="center"/>
    </xf>
    <xf numFmtId="4" fontId="3" fillId="0" borderId="7" xfId="0" applyNumberFormat="1" applyFont="1" applyBorder="1" applyAlignment="1">
      <alignment vertical="center"/>
    </xf>
    <xf numFmtId="4" fontId="2" fillId="3" borderId="1" xfId="0" applyNumberFormat="1" applyFont="1" applyFill="1" applyBorder="1" applyAlignment="1">
      <alignment vertical="center"/>
    </xf>
    <xf numFmtId="0" fontId="2" fillId="3" borderId="6" xfId="0" applyFont="1" applyFill="1" applyBorder="1" applyAlignment="1">
      <alignment vertical="center" wrapText="1"/>
    </xf>
    <xf numFmtId="0" fontId="3" fillId="3" borderId="1" xfId="0" applyFont="1" applyFill="1" applyBorder="1" applyAlignment="1">
      <alignment vertical="center"/>
    </xf>
    <xf numFmtId="4" fontId="3" fillId="3" borderId="1" xfId="0" applyNumberFormat="1" applyFont="1" applyFill="1" applyBorder="1" applyAlignment="1">
      <alignment horizontal="right" vertical="center"/>
    </xf>
    <xf numFmtId="4" fontId="2" fillId="3" borderId="1" xfId="0" applyNumberFormat="1" applyFont="1" applyFill="1" applyBorder="1" applyAlignment="1">
      <alignment horizontal="right" vertical="center"/>
    </xf>
    <xf numFmtId="0" fontId="3" fillId="3" borderId="0" xfId="0" applyFont="1" applyFill="1"/>
    <xf numFmtId="4" fontId="2" fillId="3" borderId="6" xfId="0" applyNumberFormat="1" applyFont="1" applyFill="1" applyBorder="1" applyAlignment="1">
      <alignment vertical="center"/>
    </xf>
    <xf numFmtId="4" fontId="3" fillId="3" borderId="1" xfId="0" applyNumberFormat="1" applyFont="1" applyFill="1" applyBorder="1" applyAlignment="1">
      <alignment vertical="center"/>
    </xf>
    <xf numFmtId="0" fontId="2" fillId="3" borderId="6" xfId="0" applyFont="1" applyFill="1" applyBorder="1" applyAlignment="1">
      <alignment vertical="center"/>
    </xf>
    <xf numFmtId="4" fontId="3" fillId="3" borderId="1" xfId="0" applyNumberFormat="1" applyFont="1" applyFill="1" applyBorder="1"/>
    <xf numFmtId="0" fontId="2" fillId="3" borderId="1" xfId="0" applyFont="1" applyFill="1" applyBorder="1" applyAlignment="1">
      <alignment horizontal="left"/>
    </xf>
    <xf numFmtId="4" fontId="3" fillId="3" borderId="1" xfId="0" applyNumberFormat="1" applyFont="1" applyFill="1" applyBorder="1" applyAlignment="1">
      <alignment horizontal="right"/>
    </xf>
    <xf numFmtId="4" fontId="2" fillId="3" borderId="1" xfId="0" applyNumberFormat="1" applyFont="1" applyFill="1" applyBorder="1" applyAlignment="1">
      <alignment horizontal="right"/>
    </xf>
    <xf numFmtId="4" fontId="2" fillId="0" borderId="5" xfId="0" applyNumberFormat="1" applyFont="1" applyBorder="1" applyAlignment="1">
      <alignment horizontal="right" vertical="center"/>
    </xf>
    <xf numFmtId="4" fontId="2" fillId="3" borderId="12" xfId="0" applyNumberFormat="1" applyFont="1" applyFill="1" applyBorder="1" applyAlignment="1">
      <alignment horizontal="right" vertical="center" wrapText="1"/>
    </xf>
    <xf numFmtId="4" fontId="2" fillId="3" borderId="0" xfId="0" applyNumberFormat="1" applyFont="1" applyFill="1" applyBorder="1" applyAlignment="1">
      <alignment horizontal="right" vertical="center" wrapText="1"/>
    </xf>
    <xf numFmtId="4" fontId="2" fillId="3" borderId="10" xfId="0" applyNumberFormat="1" applyFont="1" applyFill="1" applyBorder="1" applyAlignment="1">
      <alignment horizontal="right" vertical="center" wrapText="1"/>
    </xf>
    <xf numFmtId="0" fontId="0" fillId="3" borderId="10" xfId="0" applyFill="1" applyBorder="1"/>
    <xf numFmtId="4" fontId="3" fillId="3" borderId="12" xfId="0" applyNumberFormat="1" applyFont="1" applyFill="1" applyBorder="1" applyAlignment="1">
      <alignment horizontal="right" vertical="center"/>
    </xf>
    <xf numFmtId="4" fontId="3" fillId="3" borderId="10" xfId="0" applyNumberFormat="1" applyFont="1" applyFill="1" applyBorder="1" applyAlignment="1">
      <alignment horizontal="right" vertical="center"/>
    </xf>
    <xf numFmtId="4" fontId="2" fillId="2" borderId="1" xfId="0" applyNumberFormat="1" applyFont="1" applyFill="1" applyBorder="1" applyAlignment="1">
      <alignment horizontal="right" vertical="center" wrapText="1"/>
    </xf>
    <xf numFmtId="0" fontId="3" fillId="0" borderId="13" xfId="0" applyFont="1" applyBorder="1"/>
    <xf numFmtId="4" fontId="2" fillId="2"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2" fillId="3"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1" fontId="3"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3" fillId="0" borderId="1" xfId="2" applyNumberFormat="1" applyFont="1" applyBorder="1" applyAlignment="1">
      <alignment horizontal="center" vertical="center"/>
    </xf>
    <xf numFmtId="1" fontId="9"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166" fontId="3" fillId="0" borderId="1" xfId="0" applyNumberFormat="1" applyFont="1" applyBorder="1" applyAlignment="1">
      <alignment horizontal="center" vertical="center"/>
    </xf>
    <xf numFmtId="4" fontId="7" fillId="0" borderId="1" xfId="0" applyNumberFormat="1" applyFont="1" applyBorder="1" applyAlignment="1">
      <alignment horizontal="center" vertical="center"/>
    </xf>
    <xf numFmtId="1" fontId="9" fillId="3" borderId="1" xfId="0" applyNumberFormat="1" applyFont="1" applyFill="1" applyBorder="1" applyAlignment="1">
      <alignment horizontal="center" vertical="center"/>
    </xf>
    <xf numFmtId="1" fontId="7" fillId="3" borderId="1" xfId="0" applyNumberFormat="1" applyFont="1" applyFill="1" applyBorder="1" applyAlignment="1">
      <alignment horizontal="center" vertical="center"/>
    </xf>
    <xf numFmtId="0" fontId="9" fillId="0" borderId="1" xfId="0" applyFont="1" applyBorder="1" applyAlignment="1">
      <alignment horizontal="center" vertical="center"/>
    </xf>
    <xf numFmtId="4" fontId="3" fillId="3"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xf>
    <xf numFmtId="4" fontId="7" fillId="3" borderId="1" xfId="0" applyNumberFormat="1" applyFont="1" applyFill="1" applyBorder="1" applyAlignment="1">
      <alignment horizontal="center" vertical="center"/>
    </xf>
    <xf numFmtId="0" fontId="23" fillId="3" borderId="1" xfId="0" applyNumberFormat="1" applyFont="1" applyFill="1" applyBorder="1" applyAlignment="1">
      <alignment horizontal="center" vertical="center"/>
    </xf>
    <xf numFmtId="3" fontId="23" fillId="3" borderId="1" xfId="0" applyNumberFormat="1" applyFont="1" applyFill="1" applyBorder="1" applyAlignment="1">
      <alignment horizontal="center" vertical="center"/>
    </xf>
    <xf numFmtId="0" fontId="3" fillId="3" borderId="7" xfId="0" applyFont="1" applyFill="1" applyBorder="1" applyAlignment="1">
      <alignment vertical="center"/>
    </xf>
    <xf numFmtId="0" fontId="7" fillId="0" borderId="1" xfId="0" applyFont="1" applyBorder="1" applyAlignment="1">
      <alignment vertical="center"/>
    </xf>
    <xf numFmtId="1" fontId="9" fillId="0" borderId="1" xfId="0" applyNumberFormat="1" applyFont="1" applyBorder="1" applyAlignment="1">
      <alignment horizontal="center"/>
    </xf>
    <xf numFmtId="4" fontId="3" fillId="0" borderId="1" xfId="0" applyNumberFormat="1" applyFont="1" applyBorder="1" applyAlignment="1">
      <alignment horizontal="center"/>
    </xf>
    <xf numFmtId="166" fontId="3" fillId="0" borderId="1" xfId="0" applyNumberFormat="1" applyFont="1" applyFill="1" applyBorder="1" applyAlignment="1">
      <alignment horizontal="center" vertical="center"/>
    </xf>
    <xf numFmtId="1" fontId="7" fillId="3" borderId="1" xfId="0" applyNumberFormat="1" applyFont="1" applyFill="1" applyBorder="1" applyAlignment="1">
      <alignment horizontal="center"/>
    </xf>
    <xf numFmtId="1" fontId="2" fillId="0" borderId="1" xfId="0" applyNumberFormat="1" applyFont="1" applyBorder="1" applyAlignment="1">
      <alignment horizontal="center"/>
    </xf>
    <xf numFmtId="0" fontId="2" fillId="7" borderId="1" xfId="0" applyNumberFormat="1" applyFont="1" applyFill="1" applyBorder="1" applyAlignment="1">
      <alignment horizontal="center" vertical="center" wrapText="1"/>
    </xf>
    <xf numFmtId="4" fontId="2" fillId="7" borderId="1" xfId="0" applyNumberFormat="1" applyFont="1" applyFill="1" applyBorder="1" applyAlignment="1">
      <alignment horizontal="center" vertical="center" wrapText="1"/>
    </xf>
    <xf numFmtId="4" fontId="2" fillId="7" borderId="1" xfId="0" applyNumberFormat="1" applyFont="1" applyFill="1" applyBorder="1" applyAlignment="1">
      <alignment horizontal="center" vertical="center"/>
    </xf>
    <xf numFmtId="4" fontId="3" fillId="3" borderId="1" xfId="0" applyNumberFormat="1" applyFont="1" applyFill="1" applyBorder="1" applyAlignment="1">
      <alignment horizontal="left" vertical="center" wrapText="1" indent="1"/>
    </xf>
    <xf numFmtId="4" fontId="3" fillId="3" borderId="1" xfId="0" applyNumberFormat="1" applyFont="1" applyFill="1" applyBorder="1" applyAlignment="1">
      <alignment horizontal="left" vertical="center" wrapText="1"/>
    </xf>
    <xf numFmtId="0" fontId="3" fillId="3" borderId="1" xfId="0" applyNumberFormat="1" applyFont="1" applyFill="1" applyBorder="1" applyAlignment="1">
      <alignment horizontal="left" vertical="center" wrapText="1" indent="1"/>
    </xf>
    <xf numFmtId="4" fontId="3" fillId="3" borderId="1" xfId="0" applyNumberFormat="1" applyFont="1" applyFill="1" applyBorder="1" applyAlignment="1"/>
    <xf numFmtId="3" fontId="9" fillId="3" borderId="1" xfId="0" applyNumberFormat="1" applyFont="1" applyFill="1" applyBorder="1" applyAlignment="1">
      <alignment horizontal="center" vertical="center" wrapText="1"/>
    </xf>
    <xf numFmtId="4" fontId="9" fillId="3" borderId="1" xfId="0" applyNumberFormat="1" applyFont="1" applyFill="1" applyBorder="1" applyAlignment="1">
      <alignment horizontal="center" vertical="center" wrapText="1"/>
    </xf>
    <xf numFmtId="0" fontId="2" fillId="6" borderId="5" xfId="0" applyNumberFormat="1" applyFont="1" applyFill="1" applyBorder="1" applyAlignment="1">
      <alignment vertical="center"/>
    </xf>
    <xf numFmtId="0" fontId="0" fillId="3" borderId="0" xfId="0" applyFill="1"/>
    <xf numFmtId="0" fontId="3" fillId="3" borderId="1" xfId="0" applyFont="1" applyFill="1" applyBorder="1" applyAlignment="1">
      <alignment horizontal="left" vertical="center" wrapText="1"/>
    </xf>
    <xf numFmtId="0" fontId="17" fillId="0" borderId="6" xfId="0" applyFont="1" applyBorder="1"/>
    <xf numFmtId="0" fontId="17" fillId="0" borderId="1" xfId="0" applyNumberFormat="1" applyFont="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Font="1" applyBorder="1"/>
    <xf numFmtId="0" fontId="17" fillId="0" borderId="1" xfId="0" applyNumberFormat="1" applyFont="1" applyBorder="1" applyAlignment="1">
      <alignment horizontal="left" vertical="center" wrapText="1" indent="1"/>
    </xf>
    <xf numFmtId="0" fontId="17" fillId="0" borderId="1" xfId="0" applyFont="1" applyFill="1" applyBorder="1" applyAlignment="1">
      <alignment horizontal="left" vertical="center" wrapText="1" indent="1"/>
    </xf>
    <xf numFmtId="3" fontId="17" fillId="0" borderId="1" xfId="0" applyNumberFormat="1" applyFont="1" applyBorder="1" applyAlignment="1">
      <alignment vertical="center"/>
    </xf>
    <xf numFmtId="0" fontId="0" fillId="0" borderId="0" xfId="0" applyAlignment="1">
      <alignment wrapText="1"/>
    </xf>
    <xf numFmtId="3" fontId="0" fillId="0" borderId="0" xfId="0" applyNumberFormat="1" applyAlignment="1">
      <alignment wrapText="1"/>
    </xf>
    <xf numFmtId="3" fontId="3" fillId="0" borderId="1" xfId="0" applyNumberFormat="1" applyFont="1" applyBorder="1" applyAlignment="1">
      <alignment vertical="center" wrapText="1"/>
    </xf>
    <xf numFmtId="3" fontId="7" fillId="3"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wrapText="1"/>
    </xf>
    <xf numFmtId="0" fontId="3" fillId="3" borderId="1" xfId="0" applyFont="1" applyFill="1" applyBorder="1" applyAlignment="1">
      <alignment wrapText="1"/>
    </xf>
    <xf numFmtId="0" fontId="2" fillId="2" borderId="4" xfId="0" applyNumberFormat="1" applyFont="1" applyFill="1" applyBorder="1" applyAlignment="1">
      <alignment vertical="center" wrapText="1"/>
    </xf>
    <xf numFmtId="0" fontId="2" fillId="2" borderId="6" xfId="0" applyNumberFormat="1" applyFont="1" applyFill="1" applyBorder="1" applyAlignment="1">
      <alignment vertical="center" wrapText="1"/>
    </xf>
    <xf numFmtId="0" fontId="3" fillId="0" borderId="12" xfId="0" applyFont="1" applyBorder="1" applyAlignment="1"/>
    <xf numFmtId="0" fontId="16" fillId="5" borderId="4" xfId="0" applyNumberFormat="1" applyFont="1" applyFill="1" applyBorder="1" applyAlignment="1">
      <alignment vertical="center"/>
    </xf>
    <xf numFmtId="0" fontId="16" fillId="5" borderId="5" xfId="0" applyNumberFormat="1" applyFont="1" applyFill="1" applyBorder="1" applyAlignment="1">
      <alignment vertical="center"/>
    </xf>
    <xf numFmtId="0" fontId="26" fillId="5" borderId="5" xfId="0" applyNumberFormat="1" applyFont="1" applyFill="1" applyBorder="1" applyAlignment="1">
      <alignment vertical="center"/>
    </xf>
    <xf numFmtId="0" fontId="17" fillId="5" borderId="5" xfId="0" applyFont="1" applyFill="1" applyBorder="1"/>
    <xf numFmtId="0" fontId="16" fillId="5" borderId="6" xfId="0" applyNumberFormat="1" applyFont="1" applyFill="1" applyBorder="1" applyAlignment="1">
      <alignment vertical="center"/>
    </xf>
    <xf numFmtId="3" fontId="2" fillId="0" borderId="2" xfId="0" applyNumberFormat="1" applyFont="1" applyBorder="1" applyAlignment="1">
      <alignment horizontal="right" vertical="center"/>
    </xf>
    <xf numFmtId="3" fontId="3" fillId="0" borderId="1" xfId="0" applyNumberFormat="1" applyFont="1" applyBorder="1" applyAlignment="1">
      <alignment horizontal="right" vertical="center" indent="1"/>
    </xf>
    <xf numFmtId="3" fontId="0" fillId="0" borderId="0" xfId="0" applyNumberFormat="1"/>
    <xf numFmtId="3" fontId="3" fillId="3" borderId="2" xfId="0" applyNumberFormat="1" applyFont="1" applyFill="1" applyBorder="1" applyAlignment="1">
      <alignment horizontal="right" vertical="center" indent="1"/>
    </xf>
    <xf numFmtId="3" fontId="3" fillId="3" borderId="1" xfId="0" applyNumberFormat="1" applyFont="1" applyFill="1" applyBorder="1" applyAlignment="1">
      <alignment horizontal="right" vertical="center" indent="1"/>
    </xf>
    <xf numFmtId="3" fontId="2" fillId="0" borderId="1" xfId="0" applyNumberFormat="1" applyFont="1" applyFill="1" applyBorder="1" applyAlignment="1">
      <alignment vertical="center"/>
    </xf>
    <xf numFmtId="3" fontId="2" fillId="3" borderId="1" xfId="0" applyNumberFormat="1" applyFont="1" applyFill="1" applyBorder="1" applyAlignment="1">
      <alignment horizontal="right" vertical="center" indent="1"/>
    </xf>
    <xf numFmtId="0" fontId="9" fillId="0" borderId="5" xfId="0" applyNumberFormat="1" applyFont="1" applyBorder="1" applyAlignment="1">
      <alignment horizontal="left" vertical="center" wrapText="1" indent="1"/>
    </xf>
    <xf numFmtId="0" fontId="9" fillId="0" borderId="4" xfId="0" applyNumberFormat="1" applyFont="1" applyBorder="1" applyAlignment="1">
      <alignment horizontal="left" wrapText="1" indent="1"/>
    </xf>
    <xf numFmtId="3" fontId="7" fillId="0" borderId="1" xfId="0" applyNumberFormat="1" applyFont="1" applyBorder="1" applyAlignment="1">
      <alignment horizontal="center" vertical="center"/>
    </xf>
    <xf numFmtId="0" fontId="7" fillId="0" borderId="1" xfId="0" applyNumberFormat="1" applyFont="1" applyBorder="1" applyAlignment="1">
      <alignment horizontal="left" vertical="top" wrapText="1"/>
    </xf>
    <xf numFmtId="3" fontId="9" fillId="0" borderId="2" xfId="0" applyNumberFormat="1" applyFont="1" applyFill="1" applyBorder="1" applyAlignment="1">
      <alignment horizontal="center" vertical="center" wrapText="1"/>
    </xf>
    <xf numFmtId="3" fontId="7" fillId="0" borderId="2" xfId="0" applyNumberFormat="1" applyFont="1" applyBorder="1" applyAlignment="1">
      <alignment vertical="center"/>
    </xf>
    <xf numFmtId="3" fontId="9" fillId="0" borderId="2" xfId="0" applyNumberFormat="1" applyFont="1" applyBorder="1" applyAlignment="1">
      <alignment horizontal="center" vertical="center" wrapText="1"/>
    </xf>
    <xf numFmtId="3" fontId="9" fillId="0" borderId="1" xfId="0" applyNumberFormat="1" applyFont="1" applyFill="1" applyBorder="1" applyAlignment="1">
      <alignment horizontal="center" vertical="center" wrapText="1"/>
    </xf>
    <xf numFmtId="3" fontId="9" fillId="0" borderId="1" xfId="0" applyNumberFormat="1" applyFont="1" applyBorder="1" applyAlignment="1">
      <alignment horizontal="center" vertical="center" wrapText="1"/>
    </xf>
    <xf numFmtId="3" fontId="7" fillId="0" borderId="1" xfId="0" applyNumberFormat="1" applyFont="1" applyBorder="1" applyAlignment="1">
      <alignment vertical="center"/>
    </xf>
    <xf numFmtId="0" fontId="7" fillId="0" borderId="1" xfId="0" applyFont="1" applyFill="1" applyBorder="1" applyAlignment="1">
      <alignment horizontal="left" vertical="top" wrapText="1"/>
    </xf>
    <xf numFmtId="0" fontId="2" fillId="3" borderId="1" xfId="0" applyNumberFormat="1" applyFont="1" applyFill="1" applyBorder="1" applyAlignment="1">
      <alignment horizontal="left" vertical="center" wrapText="1" indent="1"/>
    </xf>
    <xf numFmtId="3" fontId="7" fillId="0" borderId="1" xfId="2" applyNumberFormat="1" applyFont="1" applyFill="1" applyBorder="1" applyAlignment="1">
      <alignment horizontal="left" vertical="center" indent="1"/>
    </xf>
    <xf numFmtId="3" fontId="7" fillId="0" borderId="1" xfId="2" applyNumberFormat="1" applyFont="1" applyBorder="1" applyAlignment="1">
      <alignment horizontal="left" indent="1"/>
    </xf>
    <xf numFmtId="0" fontId="7" fillId="0" borderId="1" xfId="0" applyFont="1" applyBorder="1" applyAlignment="1">
      <alignment horizontal="left" vertical="center" indent="1"/>
    </xf>
    <xf numFmtId="0" fontId="7" fillId="0" borderId="1" xfId="0" applyFont="1" applyBorder="1"/>
    <xf numFmtId="3" fontId="11" fillId="0" borderId="1" xfId="2" applyNumberFormat="1" applyFont="1" applyBorder="1" applyAlignment="1">
      <alignment horizontal="left" indent="1"/>
    </xf>
    <xf numFmtId="0" fontId="2" fillId="6" borderId="6" xfId="0" applyNumberFormat="1" applyFont="1" applyFill="1" applyBorder="1" applyAlignment="1">
      <alignment horizontal="center" vertical="center"/>
    </xf>
    <xf numFmtId="170" fontId="3" fillId="0" borderId="11" xfId="2" applyNumberFormat="1" applyFont="1" applyBorder="1" applyAlignment="1">
      <alignment horizontal="center" vertical="center"/>
    </xf>
    <xf numFmtId="170" fontId="3" fillId="0" borderId="1" xfId="2" applyNumberFormat="1" applyFont="1" applyBorder="1"/>
    <xf numFmtId="170" fontId="3" fillId="0" borderId="15" xfId="2" applyNumberFormat="1" applyFont="1" applyBorder="1" applyAlignment="1">
      <alignment horizontal="center" vertical="center"/>
    </xf>
    <xf numFmtId="170" fontId="3" fillId="0" borderId="2" xfId="2" applyNumberFormat="1" applyFont="1" applyBorder="1" applyAlignment="1">
      <alignment vertical="center"/>
    </xf>
    <xf numFmtId="0" fontId="3" fillId="0" borderId="2" xfId="0" applyFont="1" applyBorder="1"/>
    <xf numFmtId="170" fontId="3" fillId="0" borderId="2" xfId="2" applyNumberFormat="1" applyFont="1" applyFill="1" applyBorder="1" applyAlignment="1">
      <alignment vertical="center"/>
    </xf>
    <xf numFmtId="170" fontId="3" fillId="0" borderId="3" xfId="2" applyNumberFormat="1" applyFont="1" applyFill="1" applyBorder="1" applyAlignment="1">
      <alignment vertical="center"/>
    </xf>
    <xf numFmtId="170" fontId="3" fillId="0" borderId="1" xfId="2" applyNumberFormat="1" applyFont="1" applyFill="1" applyBorder="1"/>
    <xf numFmtId="170" fontId="3" fillId="0" borderId="7" xfId="2" applyNumberFormat="1" applyFont="1" applyFill="1" applyBorder="1" applyAlignment="1">
      <alignment vertical="center"/>
    </xf>
    <xf numFmtId="170" fontId="3" fillId="0" borderId="1" xfId="2" applyNumberFormat="1" applyFont="1" applyFill="1" applyBorder="1" applyAlignment="1">
      <alignment horizontal="center" vertical="center"/>
    </xf>
    <xf numFmtId="0" fontId="7" fillId="0" borderId="5" xfId="0" applyFont="1" applyBorder="1"/>
    <xf numFmtId="0" fontId="7" fillId="0" borderId="6" xfId="0" applyFont="1" applyBorder="1"/>
    <xf numFmtId="0" fontId="7" fillId="4" borderId="0" xfId="0" applyFont="1" applyFill="1" applyBorder="1"/>
    <xf numFmtId="0" fontId="7" fillId="4" borderId="8" xfId="0" applyFont="1" applyFill="1" applyBorder="1"/>
    <xf numFmtId="0" fontId="7" fillId="4" borderId="10" xfId="0" applyFont="1" applyFill="1" applyBorder="1"/>
    <xf numFmtId="0" fontId="7" fillId="4" borderId="9" xfId="0" applyFont="1" applyFill="1" applyBorder="1"/>
    <xf numFmtId="0" fontId="11" fillId="4" borderId="0" xfId="0" applyFont="1" applyFill="1" applyBorder="1"/>
    <xf numFmtId="0" fontId="11" fillId="4" borderId="8" xfId="0" applyFont="1" applyFill="1" applyBorder="1"/>
    <xf numFmtId="0" fontId="3" fillId="0" borderId="5" xfId="0" applyFont="1" applyFill="1" applyBorder="1"/>
    <xf numFmtId="0" fontId="3" fillId="0" borderId="33" xfId="0" applyFont="1" applyFill="1" applyBorder="1"/>
    <xf numFmtId="0" fontId="3" fillId="0" borderId="47" xfId="0" applyFont="1" applyFill="1" applyBorder="1"/>
    <xf numFmtId="4" fontId="2"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6" xfId="0" applyFont="1" applyFill="1" applyBorder="1" applyAlignment="1">
      <alignment vertical="center"/>
    </xf>
    <xf numFmtId="0" fontId="3" fillId="0" borderId="1" xfId="0" applyFont="1" applyFill="1" applyBorder="1" applyAlignment="1">
      <alignment vertical="center"/>
    </xf>
    <xf numFmtId="0" fontId="3" fillId="0" borderId="6" xfId="0" applyFont="1" applyFill="1" applyBorder="1"/>
    <xf numFmtId="0" fontId="2" fillId="0" borderId="2" xfId="0" applyNumberFormat="1" applyFont="1" applyFill="1" applyBorder="1" applyAlignment="1">
      <alignment horizontal="left" vertical="center" wrapText="1" indent="1"/>
    </xf>
    <xf numFmtId="0" fontId="3" fillId="0" borderId="5" xfId="0" applyFont="1" applyBorder="1" applyAlignment="1"/>
    <xf numFmtId="0" fontId="3" fillId="0" borderId="6" xfId="0" applyFont="1" applyBorder="1" applyAlignment="1"/>
    <xf numFmtId="0" fontId="3" fillId="0" borderId="26" xfId="0" applyFont="1" applyFill="1" applyBorder="1"/>
    <xf numFmtId="0" fontId="3" fillId="0" borderId="52" xfId="0" applyFont="1" applyFill="1" applyBorder="1"/>
    <xf numFmtId="0" fontId="3" fillId="0" borderId="9" xfId="0" applyFont="1" applyFill="1" applyBorder="1" applyAlignment="1">
      <alignment vertical="center"/>
    </xf>
    <xf numFmtId="0" fontId="3" fillId="0" borderId="7" xfId="0" applyFont="1" applyFill="1" applyBorder="1" applyAlignment="1">
      <alignment vertical="center" wrapText="1"/>
    </xf>
    <xf numFmtId="170" fontId="2" fillId="0" borderId="1" xfId="2" applyNumberFormat="1" applyFont="1" applyFill="1" applyBorder="1" applyAlignment="1">
      <alignment vertical="center"/>
    </xf>
    <xf numFmtId="3" fontId="2" fillId="0" borderId="2" xfId="0" applyNumberFormat="1" applyFont="1" applyFill="1" applyBorder="1" applyAlignment="1">
      <alignment horizontal="center" vertical="center"/>
    </xf>
    <xf numFmtId="170" fontId="2" fillId="0" borderId="1" xfId="0" applyNumberFormat="1" applyFont="1" applyFill="1" applyBorder="1" applyAlignment="1">
      <alignment horizontal="center" vertical="center"/>
    </xf>
    <xf numFmtId="170" fontId="2" fillId="0" borderId="1" xfId="2" applyNumberFormat="1" applyFont="1" applyFill="1" applyBorder="1" applyAlignment="1">
      <alignment horizontal="center" vertical="center"/>
    </xf>
    <xf numFmtId="170" fontId="3" fillId="0" borderId="1" xfId="2" applyNumberFormat="1" applyFont="1" applyFill="1" applyBorder="1" applyAlignment="1">
      <alignment horizontal="right"/>
    </xf>
    <xf numFmtId="170" fontId="3" fillId="0" borderId="1" xfId="2" applyNumberFormat="1" applyFont="1" applyFill="1" applyBorder="1" applyAlignment="1">
      <alignment horizontal="right" vertical="center"/>
    </xf>
    <xf numFmtId="170" fontId="3" fillId="0" borderId="2" xfId="0" applyNumberFormat="1" applyFont="1" applyFill="1" applyBorder="1" applyAlignment="1">
      <alignment horizontal="center" vertical="center"/>
    </xf>
    <xf numFmtId="170" fontId="3" fillId="0" borderId="1" xfId="0" applyNumberFormat="1" applyFont="1" applyFill="1" applyBorder="1" applyAlignment="1">
      <alignment vertical="center"/>
    </xf>
    <xf numFmtId="0" fontId="3" fillId="0" borderId="7" xfId="0" quotePrefix="1" applyFont="1" applyFill="1" applyBorder="1" applyAlignment="1">
      <alignment horizontal="center" vertical="center"/>
    </xf>
    <xf numFmtId="3" fontId="2" fillId="0" borderId="1" xfId="0" applyNumberFormat="1" applyFont="1" applyFill="1" applyBorder="1" applyAlignment="1">
      <alignment horizontal="right" vertical="center"/>
    </xf>
    <xf numFmtId="170" fontId="3" fillId="0" borderId="7" xfId="2" applyNumberFormat="1" applyFont="1" applyFill="1" applyBorder="1" applyAlignment="1">
      <alignment horizontal="right" vertical="center"/>
    </xf>
    <xf numFmtId="1" fontId="2" fillId="3" borderId="1" xfId="0" applyNumberFormat="1" applyFont="1" applyFill="1" applyBorder="1" applyAlignment="1">
      <alignment vertical="center"/>
    </xf>
    <xf numFmtId="1" fontId="2" fillId="0" borderId="1" xfId="2" applyNumberFormat="1" applyFont="1" applyFill="1" applyBorder="1" applyAlignment="1">
      <alignment vertical="center"/>
    </xf>
    <xf numFmtId="170" fontId="2" fillId="0" borderId="1" xfId="2" applyNumberFormat="1" applyFont="1" applyFill="1" applyBorder="1"/>
    <xf numFmtId="170" fontId="2" fillId="0" borderId="1" xfId="2" applyNumberFormat="1" applyFont="1" applyFill="1" applyBorder="1" applyAlignment="1"/>
    <xf numFmtId="170" fontId="2" fillId="0" borderId="1" xfId="2" applyNumberFormat="1" applyFont="1" applyFill="1" applyBorder="1" applyAlignment="1">
      <alignment horizontal="center"/>
    </xf>
    <xf numFmtId="0" fontId="9" fillId="5" borderId="5" xfId="0" applyNumberFormat="1" applyFont="1" applyFill="1" applyBorder="1" applyAlignment="1">
      <alignment horizontal="center" vertical="center"/>
    </xf>
    <xf numFmtId="0" fontId="7" fillId="5" borderId="5" xfId="0" applyFont="1" applyFill="1" applyBorder="1"/>
    <xf numFmtId="0" fontId="7" fillId="5" borderId="6" xfId="0" applyFont="1" applyFill="1" applyBorder="1"/>
    <xf numFmtId="0" fontId="7" fillId="3" borderId="12" xfId="0" applyFont="1" applyFill="1" applyBorder="1"/>
    <xf numFmtId="0" fontId="7" fillId="3" borderId="13" xfId="0" applyFont="1" applyFill="1" applyBorder="1"/>
    <xf numFmtId="0" fontId="7" fillId="3" borderId="10" xfId="0" applyFont="1" applyFill="1" applyBorder="1"/>
    <xf numFmtId="0" fontId="7" fillId="3" borderId="9" xfId="0" applyFont="1" applyFill="1" applyBorder="1"/>
    <xf numFmtId="0" fontId="3" fillId="0" borderId="0" xfId="0" applyFont="1" applyAlignment="1">
      <alignment horizontal="left"/>
    </xf>
    <xf numFmtId="0" fontId="16" fillId="0" borderId="1" xfId="0" applyFont="1" applyBorder="1" applyAlignment="1">
      <alignment vertical="center" wrapText="1"/>
    </xf>
    <xf numFmtId="0" fontId="16"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3"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0" borderId="5" xfId="0" applyNumberFormat="1" applyFont="1" applyBorder="1" applyAlignment="1">
      <alignment horizontal="left" vertical="center" wrapText="1"/>
    </xf>
    <xf numFmtId="0" fontId="2" fillId="0" borderId="1" xfId="0" applyNumberFormat="1" applyFont="1" applyBorder="1" applyAlignment="1">
      <alignment vertical="center" wrapText="1"/>
    </xf>
    <xf numFmtId="0" fontId="3" fillId="0" borderId="1" xfId="0" applyNumberFormat="1" applyFont="1" applyBorder="1" applyAlignment="1">
      <alignment horizontal="left" vertical="center" wrapText="1"/>
    </xf>
    <xf numFmtId="0" fontId="9" fillId="0" borderId="1" xfId="0" applyNumberFormat="1" applyFont="1" applyBorder="1" applyAlignment="1">
      <alignment horizontal="center" vertical="center" wrapText="1"/>
    </xf>
    <xf numFmtId="0" fontId="2" fillId="3" borderId="0" xfId="0" applyNumberFormat="1" applyFont="1" applyFill="1" applyBorder="1" applyAlignment="1">
      <alignment horizontal="left" vertical="center" wrapText="1"/>
    </xf>
    <xf numFmtId="0" fontId="2" fillId="3" borderId="10" xfId="0" applyNumberFormat="1" applyFont="1" applyFill="1" applyBorder="1" applyAlignment="1">
      <alignment horizontal="left" vertical="center" wrapText="1"/>
    </xf>
    <xf numFmtId="0" fontId="7" fillId="3" borderId="1" xfId="0" applyNumberFormat="1" applyFont="1" applyFill="1" applyBorder="1" applyAlignment="1">
      <alignment horizontal="center" vertical="center" wrapText="1"/>
    </xf>
    <xf numFmtId="0" fontId="2" fillId="3" borderId="12" xfId="0" applyNumberFormat="1" applyFont="1" applyFill="1" applyBorder="1" applyAlignment="1">
      <alignment horizontal="left" vertical="center" wrapText="1"/>
    </xf>
    <xf numFmtId="3" fontId="2" fillId="3" borderId="1" xfId="0" applyNumberFormat="1" applyFont="1" applyFill="1" applyBorder="1" applyAlignment="1">
      <alignment horizontal="center" vertical="center" wrapText="1"/>
    </xf>
    <xf numFmtId="0" fontId="2" fillId="3" borderId="1" xfId="0" applyNumberFormat="1" applyFont="1" applyFill="1" applyBorder="1" applyAlignment="1">
      <alignment vertical="center" wrapText="1"/>
    </xf>
    <xf numFmtId="0" fontId="3" fillId="0" borderId="1" xfId="0" applyFont="1" applyBorder="1" applyAlignment="1">
      <alignment vertical="center" wrapText="1"/>
    </xf>
    <xf numFmtId="0" fontId="3" fillId="3" borderId="1" xfId="0" applyNumberFormat="1" applyFont="1" applyFill="1" applyBorder="1" applyAlignment="1">
      <alignment vertical="center" wrapText="1"/>
    </xf>
    <xf numFmtId="0" fontId="3" fillId="0" borderId="1" xfId="0" applyNumberFormat="1" applyFont="1" applyBorder="1" applyAlignment="1">
      <alignment vertical="center" wrapText="1"/>
    </xf>
    <xf numFmtId="0" fontId="3" fillId="3" borderId="1" xfId="0" applyNumberFormat="1" applyFont="1" applyFill="1" applyBorder="1" applyAlignment="1">
      <alignment horizontal="left" vertical="center" wrapText="1"/>
    </xf>
    <xf numFmtId="0" fontId="2" fillId="0" borderId="1" xfId="0" applyNumberFormat="1" applyFont="1" applyBorder="1" applyAlignment="1">
      <alignment horizontal="left" vertical="center" wrapText="1" indent="1"/>
    </xf>
    <xf numFmtId="0" fontId="2" fillId="2" borderId="1" xfId="0" applyNumberFormat="1" applyFont="1" applyFill="1" applyBorder="1" applyAlignment="1">
      <alignment horizontal="center" vertical="center"/>
    </xf>
    <xf numFmtId="0" fontId="2" fillId="0" borderId="4" xfId="0" applyNumberFormat="1" applyFont="1" applyBorder="1" applyAlignment="1">
      <alignment horizontal="left" vertical="center"/>
    </xf>
    <xf numFmtId="0" fontId="2" fillId="0" borderId="5" xfId="0" applyNumberFormat="1" applyFont="1" applyBorder="1" applyAlignment="1">
      <alignment horizontal="left" vertical="center"/>
    </xf>
    <xf numFmtId="0" fontId="2" fillId="0" borderId="5" xfId="0" applyNumberFormat="1" applyFont="1" applyBorder="1" applyAlignment="1">
      <alignment vertical="center" wrapText="1"/>
    </xf>
    <xf numFmtId="0" fontId="2" fillId="0" borderId="1" xfId="0" applyNumberFormat="1" applyFont="1" applyBorder="1" applyAlignment="1">
      <alignment horizontal="left" vertical="center"/>
    </xf>
    <xf numFmtId="0" fontId="2" fillId="0" borderId="1" xfId="0" applyNumberFormat="1" applyFont="1" applyBorder="1" applyAlignment="1">
      <alignment vertical="center"/>
    </xf>
    <xf numFmtId="0" fontId="3" fillId="0" borderId="1" xfId="0" applyNumberFormat="1" applyFont="1" applyFill="1" applyBorder="1" applyAlignment="1">
      <alignment horizontal="left" vertical="center" wrapText="1"/>
    </xf>
    <xf numFmtId="3" fontId="3" fillId="0" borderId="2" xfId="0" applyNumberFormat="1" applyFont="1" applyBorder="1" applyAlignment="1">
      <alignment horizontal="center" vertical="center"/>
    </xf>
    <xf numFmtId="3" fontId="16" fillId="0" borderId="2"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0" fontId="3" fillId="3" borderId="2" xfId="0" applyFont="1" applyFill="1" applyBorder="1" applyAlignment="1">
      <alignment horizontal="center"/>
    </xf>
    <xf numFmtId="4" fontId="3" fillId="3" borderId="1" xfId="0" applyNumberFormat="1" applyFont="1" applyFill="1" applyBorder="1" applyAlignment="1">
      <alignment horizontal="center" vertical="center"/>
    </xf>
    <xf numFmtId="0" fontId="2" fillId="3" borderId="13" xfId="0" applyNumberFormat="1" applyFont="1" applyFill="1" applyBorder="1" applyAlignment="1">
      <alignment horizontal="left" vertical="center" wrapText="1" indent="1"/>
    </xf>
    <xf numFmtId="0" fontId="2" fillId="3" borderId="9" xfId="0" applyNumberFormat="1" applyFont="1" applyFill="1" applyBorder="1" applyAlignment="1">
      <alignment horizontal="left" vertical="center" wrapText="1" indent="1"/>
    </xf>
    <xf numFmtId="164"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4" fontId="3" fillId="0" borderId="1" xfId="0" applyNumberFormat="1" applyFont="1" applyBorder="1" applyAlignment="1">
      <alignment horizontal="center" vertical="center"/>
    </xf>
    <xf numFmtId="49" fontId="2" fillId="3" borderId="1" xfId="0" applyNumberFormat="1" applyFont="1" applyFill="1" applyBorder="1" applyAlignment="1">
      <alignment horizontal="center" vertical="center" wrapText="1"/>
    </xf>
    <xf numFmtId="3" fontId="3" fillId="3"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 fontId="2" fillId="3"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3" fontId="2" fillId="3" borderId="1" xfId="0" applyNumberFormat="1" applyFont="1" applyFill="1" applyBorder="1" applyAlignment="1">
      <alignment horizontal="center" vertical="center"/>
    </xf>
    <xf numFmtId="164" fontId="2"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0" fontId="3" fillId="0" borderId="1" xfId="0" applyFont="1" applyBorder="1" applyAlignment="1">
      <alignment horizontal="left" vertical="center"/>
    </xf>
    <xf numFmtId="0" fontId="3" fillId="0" borderId="1" xfId="0" applyFont="1" applyBorder="1" applyAlignment="1">
      <alignment horizontal="center"/>
    </xf>
    <xf numFmtId="3"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3" fontId="2" fillId="0" borderId="1" xfId="0" applyNumberFormat="1" applyFont="1" applyBorder="1" applyAlignment="1">
      <alignment horizontal="center" vertical="center"/>
    </xf>
    <xf numFmtId="0" fontId="7" fillId="0" borderId="1" xfId="0" applyNumberFormat="1" applyFont="1" applyBorder="1" applyAlignment="1">
      <alignment horizontal="center" vertical="center" wrapText="1"/>
    </xf>
    <xf numFmtId="0" fontId="9" fillId="2" borderId="1"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0" fontId="3" fillId="0" borderId="1" xfId="0" applyFont="1" applyFill="1" applyBorder="1" applyAlignment="1">
      <alignment horizontal="left" vertical="center" wrapText="1"/>
    </xf>
    <xf numFmtId="0" fontId="7" fillId="0" borderId="1" xfId="0" applyFont="1" applyBorder="1" applyAlignment="1">
      <alignment horizontal="center" vertical="center"/>
    </xf>
    <xf numFmtId="0" fontId="2" fillId="5" borderId="1" xfId="0" applyNumberFormat="1" applyFont="1" applyFill="1" applyBorder="1" applyAlignment="1">
      <alignment vertical="center" wrapText="1"/>
    </xf>
    <xf numFmtId="3" fontId="9" fillId="0" borderId="1" xfId="0" applyNumberFormat="1" applyFont="1" applyFill="1" applyBorder="1" applyAlignment="1">
      <alignment horizontal="center" vertical="center"/>
    </xf>
    <xf numFmtId="0" fontId="7" fillId="0" borderId="1" xfId="0" applyNumberFormat="1" applyFont="1" applyBorder="1" applyAlignment="1">
      <alignment vertical="center" wrapText="1"/>
    </xf>
    <xf numFmtId="0" fontId="9" fillId="5" borderId="1" xfId="0" applyNumberFormat="1" applyFont="1" applyFill="1" applyBorder="1" applyAlignment="1">
      <alignment vertical="center"/>
    </xf>
    <xf numFmtId="0" fontId="17" fillId="0" borderId="0" xfId="0" applyFont="1"/>
    <xf numFmtId="0" fontId="16" fillId="0" borderId="5" xfId="0" applyFont="1" applyFill="1" applyBorder="1" applyAlignment="1">
      <alignment horizontal="center" vertical="center"/>
    </xf>
    <xf numFmtId="0" fontId="17" fillId="5" borderId="6" xfId="0" applyFont="1" applyFill="1" applyBorder="1"/>
    <xf numFmtId="0" fontId="16" fillId="0" borderId="12" xfId="0" applyNumberFormat="1" applyFont="1" applyFill="1" applyBorder="1" applyAlignment="1">
      <alignment vertical="center" wrapText="1"/>
    </xf>
    <xf numFmtId="0" fontId="17" fillId="0" borderId="12" xfId="0" applyFont="1" applyFill="1" applyBorder="1"/>
    <xf numFmtId="0" fontId="17" fillId="0" borderId="0" xfId="0" applyFont="1" applyFill="1"/>
    <xf numFmtId="0" fontId="16" fillId="0" borderId="0" xfId="0" applyNumberFormat="1" applyFont="1" applyFill="1" applyBorder="1" applyAlignment="1">
      <alignment vertical="center" wrapText="1"/>
    </xf>
    <xf numFmtId="0" fontId="17" fillId="0" borderId="0" xfId="0" applyFont="1" applyFill="1" applyBorder="1"/>
    <xf numFmtId="0" fontId="16" fillId="0" borderId="10" xfId="0" applyNumberFormat="1" applyFont="1" applyFill="1" applyBorder="1" applyAlignment="1">
      <alignment vertical="center" wrapText="1"/>
    </xf>
    <xf numFmtId="0" fontId="16" fillId="0" borderId="4" xfId="0" applyNumberFormat="1" applyFont="1" applyFill="1" applyBorder="1" applyAlignment="1">
      <alignment vertical="center"/>
    </xf>
    <xf numFmtId="0" fontId="16" fillId="0" borderId="5" xfId="0" applyNumberFormat="1" applyFont="1" applyFill="1" applyBorder="1" applyAlignment="1">
      <alignment vertical="center"/>
    </xf>
    <xf numFmtId="0" fontId="16" fillId="0" borderId="13" xfId="0" applyNumberFormat="1" applyFont="1" applyFill="1" applyBorder="1" applyAlignment="1">
      <alignment vertical="center" wrapText="1"/>
    </xf>
    <xf numFmtId="0" fontId="16" fillId="0" borderId="9" xfId="0" applyNumberFormat="1" applyFont="1" applyFill="1" applyBorder="1" applyAlignment="1">
      <alignment vertical="center" wrapText="1"/>
    </xf>
    <xf numFmtId="3" fontId="17" fillId="0" borderId="2" xfId="0" applyNumberFormat="1" applyFont="1" applyBorder="1" applyAlignment="1">
      <alignment horizontal="right" vertical="center"/>
    </xf>
    <xf numFmtId="3" fontId="16" fillId="0" borderId="2" xfId="0" applyNumberFormat="1" applyFont="1" applyBorder="1" applyAlignment="1">
      <alignment horizontal="right" vertical="center"/>
    </xf>
    <xf numFmtId="3" fontId="17" fillId="0" borderId="6" xfId="0" applyNumberFormat="1" applyFont="1" applyBorder="1" applyAlignment="1">
      <alignment vertical="center"/>
    </xf>
    <xf numFmtId="0" fontId="9" fillId="0" borderId="1" xfId="0" applyNumberFormat="1" applyFont="1" applyBorder="1" applyAlignment="1">
      <alignment horizontal="left" vertical="center"/>
    </xf>
    <xf numFmtId="0" fontId="9" fillId="0" borderId="1" xfId="0" applyNumberFormat="1" applyFont="1" applyBorder="1" applyAlignment="1">
      <alignment vertical="center"/>
    </xf>
    <xf numFmtId="0" fontId="7" fillId="0" borderId="1" xfId="1" applyFont="1" applyBorder="1" applyAlignment="1">
      <alignment vertical="center" wrapText="1"/>
    </xf>
    <xf numFmtId="0" fontId="2" fillId="0" borderId="3" xfId="0" applyFont="1" applyBorder="1" applyAlignment="1">
      <alignment vertical="center" textRotation="90"/>
    </xf>
    <xf numFmtId="4" fontId="3" fillId="0" borderId="12" xfId="0" applyNumberFormat="1" applyFont="1" applyBorder="1" applyAlignment="1">
      <alignment horizontal="right"/>
    </xf>
    <xf numFmtId="4" fontId="3" fillId="0" borderId="13" xfId="0" applyNumberFormat="1" applyFont="1" applyBorder="1" applyAlignment="1">
      <alignment horizontal="right"/>
    </xf>
    <xf numFmtId="4" fontId="3" fillId="0" borderId="0" xfId="0" applyNumberFormat="1" applyFont="1" applyBorder="1" applyAlignment="1">
      <alignment horizontal="right"/>
    </xf>
    <xf numFmtId="4" fontId="3" fillId="0" borderId="8" xfId="0" applyNumberFormat="1" applyFont="1" applyBorder="1" applyAlignment="1">
      <alignment horizontal="right"/>
    </xf>
    <xf numFmtId="4" fontId="2" fillId="3" borderId="13" xfId="0" applyNumberFormat="1" applyFont="1" applyFill="1" applyBorder="1" applyAlignment="1">
      <alignment horizontal="right" vertical="center" wrapText="1"/>
    </xf>
    <xf numFmtId="4" fontId="2" fillId="3" borderId="9" xfId="0" applyNumberFormat="1" applyFont="1" applyFill="1" applyBorder="1" applyAlignment="1">
      <alignment horizontal="right" vertical="center" wrapText="1"/>
    </xf>
    <xf numFmtId="4" fontId="3" fillId="0" borderId="0" xfId="0" applyNumberFormat="1" applyFont="1" applyBorder="1"/>
    <xf numFmtId="0" fontId="3" fillId="3" borderId="15" xfId="0" applyFont="1" applyFill="1" applyBorder="1"/>
    <xf numFmtId="0" fontId="2" fillId="0" borderId="0" xfId="0" applyNumberFormat="1" applyFont="1" applyBorder="1" applyAlignment="1">
      <alignment horizontal="left"/>
    </xf>
    <xf numFmtId="4" fontId="3" fillId="0" borderId="0" xfId="0" applyNumberFormat="1" applyFont="1" applyBorder="1" applyAlignment="1">
      <alignment vertical="center"/>
    </xf>
    <xf numFmtId="0" fontId="3" fillId="3" borderId="14" xfId="0" applyFont="1" applyFill="1" applyBorder="1"/>
    <xf numFmtId="0" fontId="3" fillId="3" borderId="12" xfId="0" applyFont="1" applyFill="1" applyBorder="1"/>
    <xf numFmtId="0" fontId="3" fillId="3" borderId="0" xfId="0" applyFont="1" applyFill="1" applyBorder="1"/>
    <xf numFmtId="0" fontId="3" fillId="3" borderId="10" xfId="0" applyFont="1" applyFill="1" applyBorder="1"/>
    <xf numFmtId="0" fontId="7" fillId="3" borderId="1" xfId="0" applyNumberFormat="1" applyFont="1" applyFill="1" applyBorder="1" applyAlignment="1">
      <alignment horizontal="center" vertical="center"/>
    </xf>
    <xf numFmtId="1" fontId="7" fillId="0" borderId="1" xfId="0" applyNumberFormat="1" applyFont="1" applyBorder="1" applyAlignment="1">
      <alignment horizontal="center" vertical="center"/>
    </xf>
    <xf numFmtId="164"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7" fillId="0" borderId="1" xfId="2" applyNumberFormat="1" applyFont="1" applyBorder="1" applyAlignment="1">
      <alignment horizontal="center" vertical="center"/>
    </xf>
    <xf numFmtId="166" fontId="7" fillId="0" borderId="1" xfId="0" applyNumberFormat="1" applyFont="1" applyBorder="1" applyAlignment="1">
      <alignment horizontal="center" vertical="center"/>
    </xf>
    <xf numFmtId="3" fontId="7"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4" fontId="3" fillId="3" borderId="1" xfId="0" applyNumberFormat="1" applyFont="1" applyFill="1" applyBorder="1" applyAlignment="1">
      <alignment vertical="center" wrapText="1"/>
    </xf>
    <xf numFmtId="0" fontId="2" fillId="6" borderId="1" xfId="0" applyNumberFormat="1" applyFont="1" applyFill="1" applyBorder="1" applyAlignment="1">
      <alignment vertical="center"/>
    </xf>
    <xf numFmtId="0" fontId="3" fillId="3" borderId="1" xfId="0" applyFont="1" applyFill="1" applyBorder="1" applyAlignment="1">
      <alignment vertical="center" wrapText="1"/>
    </xf>
    <xf numFmtId="0" fontId="3" fillId="6" borderId="1" xfId="0" applyFont="1" applyFill="1" applyBorder="1"/>
    <xf numFmtId="0" fontId="3" fillId="3" borderId="1" xfId="0" applyFont="1" applyFill="1" applyBorder="1" applyAlignment="1">
      <alignment horizontal="left" vertical="center"/>
    </xf>
    <xf numFmtId="2" fontId="3" fillId="3" borderId="1"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0" fontId="2" fillId="5" borderId="1" xfId="0" applyNumberFormat="1" applyFont="1" applyFill="1" applyBorder="1" applyAlignment="1">
      <alignment horizontal="left" vertical="center" indent="1"/>
    </xf>
    <xf numFmtId="0" fontId="2" fillId="5" borderId="1" xfId="0" applyNumberFormat="1" applyFont="1" applyFill="1" applyBorder="1" applyAlignment="1">
      <alignment vertical="center"/>
    </xf>
    <xf numFmtId="0" fontId="3" fillId="5" borderId="1" xfId="0" applyFont="1" applyFill="1" applyBorder="1"/>
    <xf numFmtId="0" fontId="35" fillId="3" borderId="1" xfId="0" applyFont="1" applyFill="1" applyBorder="1" applyAlignment="1">
      <alignment wrapText="1"/>
    </xf>
    <xf numFmtId="0" fontId="3" fillId="3" borderId="1" xfId="0" applyFont="1" applyFill="1" applyBorder="1" applyAlignment="1">
      <alignment horizontal="left" wrapText="1"/>
    </xf>
    <xf numFmtId="0" fontId="35" fillId="0" borderId="1" xfId="0" applyFont="1" applyBorder="1" applyAlignment="1">
      <alignment horizontal="left" wrapText="1"/>
    </xf>
    <xf numFmtId="0" fontId="35" fillId="3" borderId="1" xfId="0" applyFont="1" applyFill="1" applyBorder="1" applyAlignment="1">
      <alignment horizontal="left" vertical="center" wrapText="1"/>
    </xf>
    <xf numFmtId="0" fontId="35" fillId="0" borderId="1" xfId="0" applyFont="1" applyBorder="1" applyAlignment="1">
      <alignment wrapText="1"/>
    </xf>
    <xf numFmtId="0" fontId="3" fillId="8" borderId="0" xfId="0" applyFont="1" applyFill="1"/>
    <xf numFmtId="175" fontId="3" fillId="0" borderId="0" xfId="0" applyNumberFormat="1" applyFont="1" applyAlignment="1">
      <alignment horizontal="center"/>
    </xf>
    <xf numFmtId="0" fontId="37" fillId="3" borderId="0" xfId="0" applyFont="1" applyFill="1" applyBorder="1" applyAlignment="1">
      <alignment vertical="center"/>
    </xf>
    <xf numFmtId="0" fontId="38" fillId="0" borderId="0" xfId="0" applyFont="1" applyBorder="1" applyAlignment="1">
      <alignment horizontal="left" vertical="center"/>
    </xf>
    <xf numFmtId="0" fontId="2" fillId="3" borderId="1" xfId="0" applyFont="1" applyFill="1" applyBorder="1" applyAlignment="1">
      <alignment vertical="center"/>
    </xf>
    <xf numFmtId="3" fontId="2" fillId="3" borderId="4" xfId="0" applyNumberFormat="1" applyFont="1" applyFill="1" applyBorder="1" applyAlignment="1">
      <alignment horizontal="center" vertical="center"/>
    </xf>
    <xf numFmtId="0" fontId="3" fillId="3" borderId="7" xfId="0" applyFont="1" applyFill="1" applyBorder="1" applyAlignment="1">
      <alignment horizontal="center" vertical="center"/>
    </xf>
    <xf numFmtId="0" fontId="3" fillId="3" borderId="7" xfId="0" applyFont="1" applyFill="1" applyBorder="1"/>
    <xf numFmtId="0" fontId="3" fillId="3" borderId="4" xfId="0" applyFont="1" applyFill="1" applyBorder="1"/>
    <xf numFmtId="0" fontId="38" fillId="0" borderId="0" xfId="0" applyFont="1" applyBorder="1" applyAlignment="1">
      <alignment vertical="center"/>
    </xf>
    <xf numFmtId="3" fontId="38" fillId="0" borderId="0" xfId="0" applyNumberFormat="1" applyFont="1" applyBorder="1" applyAlignment="1">
      <alignment horizontal="center" vertical="center"/>
    </xf>
    <xf numFmtId="4" fontId="41" fillId="0" borderId="0" xfId="0" applyNumberFormat="1" applyFont="1" applyBorder="1" applyAlignment="1">
      <alignment horizontal="center" vertical="center"/>
    </xf>
    <xf numFmtId="0" fontId="42" fillId="3" borderId="0" xfId="0" applyFont="1" applyFill="1" applyBorder="1" applyAlignment="1">
      <alignment vertical="center"/>
    </xf>
    <xf numFmtId="175" fontId="2" fillId="10" borderId="1" xfId="0" applyNumberFormat="1" applyFont="1" applyFill="1" applyBorder="1" applyAlignment="1">
      <alignment horizontal="center" vertical="center" wrapText="1"/>
    </xf>
    <xf numFmtId="0" fontId="3" fillId="0" borderId="1" xfId="0" applyFont="1" applyBorder="1" applyAlignment="1">
      <alignment horizontal="right"/>
    </xf>
    <xf numFmtId="0" fontId="2" fillId="3" borderId="0" xfId="0" applyNumberFormat="1" applyFont="1" applyFill="1" applyBorder="1" applyAlignment="1">
      <alignment horizontal="center" vertical="center" wrapText="1"/>
    </xf>
    <xf numFmtId="4" fontId="3"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3" borderId="0" xfId="0" applyNumberFormat="1" applyFont="1" applyFill="1" applyBorder="1" applyAlignment="1">
      <alignment horizontal="center" vertical="center"/>
    </xf>
    <xf numFmtId="0" fontId="2" fillId="0" borderId="6" xfId="0" applyNumberFormat="1" applyFont="1" applyBorder="1" applyAlignment="1">
      <alignment horizontal="right" vertical="center" wrapText="1"/>
    </xf>
    <xf numFmtId="3" fontId="3" fillId="0" borderId="2" xfId="0" applyNumberFormat="1" applyFont="1" applyBorder="1" applyAlignment="1">
      <alignment horizontal="right" vertical="center"/>
    </xf>
    <xf numFmtId="3" fontId="3" fillId="0" borderId="1" xfId="0" quotePrefix="1" applyNumberFormat="1" applyFont="1" applyBorder="1" applyAlignment="1">
      <alignment horizontal="right" vertical="center" wrapText="1"/>
    </xf>
    <xf numFmtId="175" fontId="2" fillId="3" borderId="0" xfId="0" applyNumberFormat="1" applyFont="1" applyFill="1" applyBorder="1" applyAlignment="1">
      <alignment horizontal="left" vertical="center"/>
    </xf>
    <xf numFmtId="49" fontId="3" fillId="0" borderId="11" xfId="0" quotePrefix="1" applyNumberFormat="1" applyFont="1" applyBorder="1" applyAlignment="1">
      <alignment horizontal="center" vertical="center" wrapText="1"/>
    </xf>
    <xf numFmtId="49" fontId="3" fillId="0" borderId="12" xfId="0" quotePrefix="1" applyNumberFormat="1" applyFont="1" applyBorder="1" applyAlignment="1">
      <alignment horizontal="center" vertical="center" wrapText="1"/>
    </xf>
    <xf numFmtId="49" fontId="2" fillId="0" borderId="12" xfId="0" quotePrefix="1" applyNumberFormat="1" applyFont="1" applyBorder="1" applyAlignment="1">
      <alignment horizontal="center" vertical="center" wrapText="1"/>
    </xf>
    <xf numFmtId="49" fontId="3" fillId="0" borderId="12" xfId="0" applyNumberFormat="1" applyFont="1" applyBorder="1" applyAlignment="1">
      <alignment horizontal="left" vertical="center" wrapText="1" indent="1"/>
    </xf>
    <xf numFmtId="43" fontId="3" fillId="0" borderId="12" xfId="0" quotePrefix="1" applyNumberFormat="1" applyFont="1" applyBorder="1" applyAlignment="1">
      <alignment horizontal="center" vertical="center" wrapText="1"/>
    </xf>
    <xf numFmtId="43" fontId="43" fillId="3" borderId="0" xfId="0" applyNumberFormat="1" applyFont="1" applyFill="1" applyBorder="1" applyAlignment="1">
      <alignment horizontal="center"/>
    </xf>
    <xf numFmtId="175" fontId="2" fillId="2" borderId="1" xfId="0" applyNumberFormat="1" applyFont="1" applyFill="1" applyBorder="1" applyAlignment="1">
      <alignment horizontal="center" vertical="center" wrapText="1"/>
    </xf>
    <xf numFmtId="3" fontId="3" fillId="0" borderId="1" xfId="2" applyNumberFormat="1" applyFont="1" applyBorder="1" applyAlignment="1">
      <alignment horizontal="center" vertical="center" wrapText="1"/>
    </xf>
    <xf numFmtId="43" fontId="2" fillId="0" borderId="0" xfId="0" applyNumberFormat="1" applyFont="1" applyBorder="1" applyAlignment="1">
      <alignment horizontal="center" vertical="center"/>
    </xf>
    <xf numFmtId="0" fontId="7" fillId="0" borderId="1" xfId="0" applyNumberFormat="1" applyFont="1" applyFill="1" applyBorder="1" applyAlignment="1">
      <alignment vertical="center" wrapText="1"/>
    </xf>
    <xf numFmtId="49" fontId="3" fillId="0" borderId="1" xfId="0" applyNumberFormat="1" applyFont="1" applyBorder="1" applyAlignment="1">
      <alignment horizontal="left" vertical="center" wrapText="1" indent="1"/>
    </xf>
    <xf numFmtId="43" fontId="2" fillId="0" borderId="1" xfId="0" applyNumberFormat="1" applyFont="1" applyBorder="1" applyAlignment="1">
      <alignment horizontal="center" vertical="center" wrapText="1"/>
    </xf>
    <xf numFmtId="43" fontId="45" fillId="0" borderId="0" xfId="0" applyNumberFormat="1" applyFont="1" applyBorder="1" applyAlignment="1">
      <alignment horizontal="center" vertical="center"/>
    </xf>
    <xf numFmtId="3" fontId="3" fillId="0" borderId="0" xfId="0" applyNumberFormat="1" applyFont="1" applyBorder="1" applyAlignment="1">
      <alignment horizontal="center" vertical="center"/>
    </xf>
    <xf numFmtId="175" fontId="3" fillId="0" borderId="1" xfId="0" applyNumberFormat="1" applyFont="1" applyBorder="1" applyAlignment="1"/>
    <xf numFmtId="177" fontId="3" fillId="0" borderId="1" xfId="0" applyNumberFormat="1" applyFont="1" applyBorder="1" applyAlignment="1">
      <alignment horizontal="right" vertical="center" wrapText="1"/>
    </xf>
    <xf numFmtId="43" fontId="45" fillId="3" borderId="0" xfId="0" applyNumberFormat="1" applyFont="1" applyFill="1" applyBorder="1" applyAlignment="1">
      <alignment horizontal="center" vertical="center"/>
    </xf>
    <xf numFmtId="0" fontId="42" fillId="3" borderId="8" xfId="0" applyFont="1" applyFill="1" applyBorder="1" applyAlignment="1">
      <alignment vertical="center"/>
    </xf>
    <xf numFmtId="0" fontId="2" fillId="10" borderId="1" xfId="0" applyFont="1" applyFill="1" applyBorder="1" applyAlignment="1">
      <alignment vertical="center"/>
    </xf>
    <xf numFmtId="0" fontId="3" fillId="10" borderId="1" xfId="0" applyFont="1" applyFill="1" applyBorder="1"/>
    <xf numFmtId="43" fontId="3" fillId="0" borderId="0" xfId="2" applyNumberFormat="1" applyFont="1" applyBorder="1" applyAlignment="1">
      <alignment horizontal="center" vertical="center"/>
    </xf>
    <xf numFmtId="0" fontId="0" fillId="0" borderId="0" xfId="0" applyAlignment="1">
      <alignment horizontal="center"/>
    </xf>
    <xf numFmtId="170" fontId="3" fillId="0" borderId="0" xfId="0" applyNumberFormat="1" applyFont="1" applyAlignment="1">
      <alignment horizontal="center"/>
    </xf>
    <xf numFmtId="0" fontId="2" fillId="5" borderId="1" xfId="0" applyFont="1" applyFill="1" applyBorder="1" applyAlignment="1">
      <alignment horizontal="left" vertical="center" wrapText="1"/>
    </xf>
    <xf numFmtId="0" fontId="9" fillId="5" borderId="4" xfId="0" applyFont="1" applyFill="1" applyBorder="1" applyAlignment="1">
      <alignment vertical="center"/>
    </xf>
    <xf numFmtId="0" fontId="9" fillId="5" borderId="5" xfId="0" applyFont="1" applyFill="1" applyBorder="1" applyAlignment="1">
      <alignment vertical="center"/>
    </xf>
    <xf numFmtId="0" fontId="2" fillId="5" borderId="5" xfId="0" applyFont="1" applyFill="1" applyBorder="1" applyAlignment="1">
      <alignment vertical="center"/>
    </xf>
    <xf numFmtId="0" fontId="7" fillId="5" borderId="5" xfId="0" applyFont="1" applyFill="1" applyBorder="1" applyAlignment="1">
      <alignment horizontal="left" vertical="center"/>
    </xf>
    <xf numFmtId="0" fontId="7" fillId="5" borderId="6" xfId="0" applyFont="1" applyFill="1" applyBorder="1" applyAlignment="1">
      <alignment horizontal="left" vertical="center"/>
    </xf>
    <xf numFmtId="0" fontId="2" fillId="0" borderId="11" xfId="0" applyFont="1" applyBorder="1" applyAlignment="1">
      <alignment vertical="center"/>
    </xf>
    <xf numFmtId="0" fontId="3" fillId="0" borderId="12" xfId="0" applyFont="1" applyBorder="1" applyAlignment="1">
      <alignment vertical="center"/>
    </xf>
    <xf numFmtId="0" fontId="3" fillId="3" borderId="12" xfId="0" applyFont="1" applyFill="1" applyBorder="1" applyAlignment="1">
      <alignment vertical="center"/>
    </xf>
    <xf numFmtId="0" fontId="3" fillId="3" borderId="13" xfId="0" applyFont="1" applyFill="1" applyBorder="1" applyAlignment="1">
      <alignment vertical="center"/>
    </xf>
    <xf numFmtId="0" fontId="2" fillId="0" borderId="15" xfId="0" applyFont="1" applyBorder="1" applyAlignment="1">
      <alignment vertical="center"/>
    </xf>
    <xf numFmtId="0" fontId="3" fillId="0" borderId="0" xfId="0" applyFont="1" applyBorder="1" applyAlignment="1">
      <alignment vertical="center"/>
    </xf>
    <xf numFmtId="4" fontId="9" fillId="9" borderId="48" xfId="5" applyNumberFormat="1" applyFont="1" applyFill="1" applyBorder="1" applyAlignment="1">
      <alignment horizontal="center" vertical="center"/>
    </xf>
    <xf numFmtId="0" fontId="2" fillId="3" borderId="1" xfId="0" applyFont="1" applyFill="1" applyBorder="1" applyAlignment="1">
      <alignment horizontal="center"/>
    </xf>
    <xf numFmtId="0" fontId="2" fillId="0" borderId="14" xfId="0" applyFont="1" applyBorder="1" applyAlignment="1">
      <alignment vertical="center"/>
    </xf>
    <xf numFmtId="0" fontId="2" fillId="3" borderId="12" xfId="0" applyFont="1" applyFill="1" applyBorder="1" applyAlignment="1">
      <alignment vertical="center"/>
    </xf>
    <xf numFmtId="0" fontId="2" fillId="3" borderId="0" xfId="0" applyFont="1" applyFill="1" applyBorder="1" applyAlignment="1">
      <alignment vertical="center"/>
    </xf>
    <xf numFmtId="0" fontId="2" fillId="11" borderId="1" xfId="0" applyFont="1" applyFill="1" applyBorder="1" applyAlignment="1">
      <alignment horizontal="center" vertical="center"/>
    </xf>
    <xf numFmtId="0" fontId="3" fillId="11" borderId="1" xfId="0" applyFont="1" applyFill="1" applyBorder="1" applyAlignment="1">
      <alignment horizontal="center" vertical="center"/>
    </xf>
    <xf numFmtId="0" fontId="2" fillId="11" borderId="5"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6" xfId="0" applyFont="1" applyFill="1" applyBorder="1" applyAlignment="1">
      <alignment vertical="center"/>
    </xf>
    <xf numFmtId="2" fontId="2" fillId="3" borderId="1" xfId="0" applyNumberFormat="1" applyFont="1" applyFill="1" applyBorder="1" applyAlignment="1">
      <alignment horizontal="center" vertical="center"/>
    </xf>
    <xf numFmtId="0" fontId="2" fillId="0" borderId="4"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2" borderId="7" xfId="0" applyFont="1" applyFill="1" applyBorder="1" applyAlignment="1">
      <alignment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43" fontId="3" fillId="0" borderId="3" xfId="2" applyFont="1" applyBorder="1" applyAlignment="1">
      <alignment vertical="center" wrapText="1"/>
    </xf>
    <xf numFmtId="175" fontId="3" fillId="0" borderId="0" xfId="0" applyNumberFormat="1" applyFont="1" applyBorder="1" applyAlignment="1">
      <alignment horizontal="center"/>
    </xf>
    <xf numFmtId="0" fontId="40" fillId="0" borderId="0" xfId="0" applyFont="1" applyBorder="1" applyAlignment="1">
      <alignment horizontal="center" vertical="center"/>
    </xf>
    <xf numFmtId="4" fontId="40" fillId="3" borderId="0" xfId="0" applyNumberFormat="1" applyFont="1" applyFill="1" applyBorder="1" applyAlignment="1">
      <alignment horizontal="center"/>
    </xf>
    <xf numFmtId="0" fontId="2" fillId="2" borderId="4" xfId="0" applyFont="1" applyFill="1" applyBorder="1" applyAlignment="1">
      <alignment vertical="center"/>
    </xf>
    <xf numFmtId="0" fontId="2" fillId="2" borderId="5" xfId="0" applyFont="1" applyFill="1" applyBorder="1" applyAlignment="1">
      <alignment vertical="center"/>
    </xf>
    <xf numFmtId="0" fontId="2" fillId="2" borderId="6" xfId="0" applyFont="1" applyFill="1" applyBorder="1" applyAlignment="1">
      <alignment vertical="center"/>
    </xf>
    <xf numFmtId="165" fontId="2" fillId="0" borderId="1" xfId="0" applyNumberFormat="1" applyFont="1" applyBorder="1" applyAlignment="1">
      <alignment horizontal="center" vertical="center" wrapText="1"/>
    </xf>
    <xf numFmtId="0" fontId="47" fillId="0" borderId="5" xfId="0" applyNumberFormat="1" applyFont="1" applyFill="1" applyBorder="1" applyAlignment="1">
      <alignment vertical="center"/>
    </xf>
    <xf numFmtId="0" fontId="47" fillId="0" borderId="5" xfId="0" applyNumberFormat="1" applyFont="1" applyFill="1" applyBorder="1" applyAlignment="1">
      <alignment horizontal="center" vertical="center"/>
    </xf>
    <xf numFmtId="4" fontId="47" fillId="0" borderId="5" xfId="0" applyNumberFormat="1" applyFont="1" applyFill="1" applyBorder="1" applyAlignment="1">
      <alignment vertical="center"/>
    </xf>
    <xf numFmtId="0" fontId="47" fillId="0" borderId="5" xfId="0" applyNumberFormat="1" applyFont="1" applyFill="1" applyBorder="1" applyAlignment="1">
      <alignment horizontal="left" vertical="center"/>
    </xf>
    <xf numFmtId="0" fontId="47" fillId="0" borderId="4" xfId="0" applyNumberFormat="1" applyFont="1" applyFill="1" applyBorder="1" applyAlignment="1">
      <alignment vertical="center"/>
    </xf>
    <xf numFmtId="4" fontId="47" fillId="0" borderId="6" xfId="0" applyNumberFormat="1" applyFont="1" applyFill="1" applyBorder="1" applyAlignment="1">
      <alignment horizontal="right" vertical="center"/>
    </xf>
    <xf numFmtId="0" fontId="48" fillId="0" borderId="12" xfId="0" applyFont="1" applyFill="1" applyBorder="1"/>
    <xf numFmtId="0" fontId="48" fillId="0" borderId="13" xfId="0" applyFont="1" applyFill="1" applyBorder="1"/>
    <xf numFmtId="0" fontId="48" fillId="0" borderId="0" xfId="0" applyFont="1" applyFill="1" applyBorder="1"/>
    <xf numFmtId="0" fontId="48" fillId="0" borderId="8" xfId="0" applyFont="1" applyFill="1" applyBorder="1"/>
    <xf numFmtId="0" fontId="47" fillId="12" borderId="12" xfId="0" applyNumberFormat="1" applyFont="1" applyFill="1" applyBorder="1" applyAlignment="1">
      <alignment vertical="center" wrapText="1"/>
    </xf>
    <xf numFmtId="0" fontId="47" fillId="12" borderId="13" xfId="0" applyNumberFormat="1" applyFont="1" applyFill="1" applyBorder="1" applyAlignment="1">
      <alignment vertical="center" wrapText="1"/>
    </xf>
    <xf numFmtId="0" fontId="47" fillId="12" borderId="10" xfId="0" applyNumberFormat="1" applyFont="1" applyFill="1" applyBorder="1" applyAlignment="1">
      <alignment vertical="center" wrapText="1"/>
    </xf>
    <xf numFmtId="0" fontId="47" fillId="12" borderId="9" xfId="0" applyNumberFormat="1" applyFont="1" applyFill="1" applyBorder="1" applyAlignment="1">
      <alignment vertical="center" wrapText="1"/>
    </xf>
    <xf numFmtId="0" fontId="47" fillId="13" borderId="1" xfId="0" applyNumberFormat="1" applyFont="1" applyFill="1" applyBorder="1" applyAlignment="1">
      <alignment horizontal="center" vertical="center" wrapText="1"/>
    </xf>
    <xf numFmtId="4" fontId="47" fillId="13" borderId="1" xfId="0" applyNumberFormat="1" applyFont="1" applyFill="1" applyBorder="1" applyAlignment="1">
      <alignment horizontal="center" vertical="center" wrapText="1"/>
    </xf>
    <xf numFmtId="0" fontId="47" fillId="13" borderId="1" xfId="0" applyNumberFormat="1" applyFont="1" applyFill="1" applyBorder="1" applyAlignment="1">
      <alignment horizontal="center" vertical="center"/>
    </xf>
    <xf numFmtId="0" fontId="48" fillId="0" borderId="1" xfId="0" applyFont="1" applyFill="1" applyBorder="1" applyAlignment="1">
      <alignment horizontal="left" vertical="center" wrapText="1" indent="1"/>
    </xf>
    <xf numFmtId="0" fontId="48" fillId="0" borderId="1" xfId="0" applyFont="1" applyFill="1" applyBorder="1" applyAlignment="1">
      <alignment horizontal="left" vertical="center" wrapText="1"/>
    </xf>
    <xf numFmtId="0" fontId="48" fillId="0" borderId="1" xfId="0" applyFont="1" applyFill="1" applyBorder="1" applyAlignment="1">
      <alignment vertical="center" wrapText="1"/>
    </xf>
    <xf numFmtId="3" fontId="48" fillId="0" borderId="1" xfId="0" applyNumberFormat="1" applyFont="1" applyFill="1" applyBorder="1" applyAlignment="1">
      <alignment horizontal="left" vertical="center"/>
    </xf>
    <xf numFmtId="0" fontId="48" fillId="0" borderId="2" xfId="0" applyFont="1" applyFill="1" applyBorder="1" applyAlignment="1">
      <alignment vertical="center" wrapText="1"/>
    </xf>
    <xf numFmtId="0" fontId="48" fillId="0" borderId="1" xfId="0" applyFont="1" applyFill="1" applyBorder="1" applyAlignment="1">
      <alignment vertical="center"/>
    </xf>
    <xf numFmtId="3" fontId="48" fillId="0" borderId="1" xfId="0" applyNumberFormat="1" applyFont="1" applyFill="1" applyBorder="1" applyAlignment="1">
      <alignment horizontal="left" vertical="top" wrapText="1"/>
    </xf>
    <xf numFmtId="3" fontId="48" fillId="9" borderId="1" xfId="0" applyNumberFormat="1" applyFont="1" applyFill="1" applyBorder="1" applyAlignment="1">
      <alignment horizontal="center" vertical="center"/>
    </xf>
    <xf numFmtId="4" fontId="47" fillId="3" borderId="1" xfId="0" applyNumberFormat="1" applyFont="1" applyFill="1" applyBorder="1" applyAlignment="1">
      <alignment horizontal="right" vertical="center"/>
    </xf>
    <xf numFmtId="3" fontId="48" fillId="3" borderId="1" xfId="0" applyNumberFormat="1" applyFont="1" applyFill="1" applyBorder="1" applyAlignment="1">
      <alignment horizontal="center" vertical="center"/>
    </xf>
    <xf numFmtId="3" fontId="47" fillId="9" borderId="1" xfId="0" applyNumberFormat="1" applyFont="1" applyFill="1" applyBorder="1" applyAlignment="1">
      <alignment horizontal="center" vertical="center"/>
    </xf>
    <xf numFmtId="3" fontId="47" fillId="3"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wrapText="1"/>
    </xf>
    <xf numFmtId="0" fontId="2" fillId="0" borderId="1" xfId="0" applyNumberFormat="1" applyFont="1" applyBorder="1" applyAlignment="1">
      <alignment horizontal="left" vertical="center" wrapText="1"/>
    </xf>
    <xf numFmtId="0" fontId="2" fillId="0" borderId="1" xfId="0" applyNumberFormat="1" applyFont="1" applyBorder="1" applyAlignment="1">
      <alignment vertical="center" wrapText="1"/>
    </xf>
    <xf numFmtId="0" fontId="2" fillId="0" borderId="12" xfId="0" applyNumberFormat="1" applyFont="1" applyBorder="1" applyAlignment="1">
      <alignment vertical="center" wrapText="1"/>
    </xf>
    <xf numFmtId="0" fontId="2" fillId="0" borderId="13" xfId="0" applyNumberFormat="1" applyFont="1" applyBorder="1" applyAlignment="1">
      <alignment vertical="center" wrapText="1"/>
    </xf>
    <xf numFmtId="0" fontId="2" fillId="0" borderId="10" xfId="0" applyNumberFormat="1" applyFont="1" applyBorder="1" applyAlignment="1">
      <alignment vertical="center" wrapText="1"/>
    </xf>
    <xf numFmtId="0" fontId="2" fillId="0" borderId="9" xfId="0" applyNumberFormat="1" applyFont="1" applyBorder="1" applyAlignment="1">
      <alignment vertical="center" wrapText="1"/>
    </xf>
    <xf numFmtId="0" fontId="2" fillId="0" borderId="4" xfId="0" applyNumberFormat="1" applyFont="1" applyBorder="1" applyAlignment="1">
      <alignment horizontal="left" vertical="center"/>
    </xf>
    <xf numFmtId="0" fontId="2" fillId="2"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3" fontId="2" fillId="0" borderId="1" xfId="0" applyNumberFormat="1" applyFont="1" applyBorder="1" applyAlignment="1">
      <alignment horizontal="center" vertical="center"/>
    </xf>
    <xf numFmtId="0" fontId="2" fillId="3"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2" fillId="0" borderId="4" xfId="0" applyNumberFormat="1" applyFont="1" applyBorder="1" applyAlignment="1">
      <alignment horizontal="left" vertical="center" indent="1"/>
    </xf>
    <xf numFmtId="0" fontId="16" fillId="5" borderId="5" xfId="0" applyNumberFormat="1" applyFont="1" applyFill="1" applyBorder="1" applyAlignment="1">
      <alignment horizontal="left" vertical="center"/>
    </xf>
    <xf numFmtId="0" fontId="0" fillId="0" borderId="0" xfId="0" applyFont="1" applyAlignment="1">
      <alignment wrapText="1"/>
    </xf>
    <xf numFmtId="0" fontId="3" fillId="0" borderId="1" xfId="0" applyFont="1" applyBorder="1" applyAlignment="1">
      <alignment horizontal="left" vertical="center"/>
    </xf>
    <xf numFmtId="0" fontId="2" fillId="4" borderId="5" xfId="0" applyNumberFormat="1" applyFont="1" applyFill="1" applyBorder="1" applyAlignment="1">
      <alignment vertical="center"/>
    </xf>
    <xf numFmtId="0" fontId="0" fillId="4" borderId="5" xfId="0" applyFill="1" applyBorder="1"/>
    <xf numFmtId="0" fontId="0" fillId="4" borderId="6" xfId="0" applyFill="1" applyBorder="1"/>
    <xf numFmtId="0" fontId="7" fillId="0" borderId="1" xfId="0" applyFont="1" applyBorder="1" applyAlignment="1">
      <alignment vertical="center" wrapText="1"/>
    </xf>
    <xf numFmtId="0" fontId="16" fillId="5" borderId="1" xfId="0" applyNumberFormat="1" applyFont="1" applyFill="1" applyBorder="1" applyAlignment="1">
      <alignment vertical="center" wrapText="1"/>
    </xf>
    <xf numFmtId="0" fontId="4" fillId="3" borderId="1" xfId="0" applyNumberFormat="1" applyFont="1" applyFill="1" applyBorder="1" applyAlignment="1">
      <alignment horizontal="center" vertical="center"/>
    </xf>
    <xf numFmtId="3" fontId="2" fillId="3" borderId="1" xfId="0" applyNumberFormat="1" applyFont="1" applyFill="1" applyBorder="1" applyAlignment="1">
      <alignment horizontal="left" vertical="center" indent="1"/>
    </xf>
    <xf numFmtId="0" fontId="2" fillId="3" borderId="12" xfId="0" applyNumberFormat="1" applyFont="1" applyFill="1" applyBorder="1" applyAlignment="1">
      <alignment vertical="center"/>
    </xf>
    <xf numFmtId="0" fontId="2" fillId="3" borderId="13" xfId="0" applyNumberFormat="1" applyFont="1" applyFill="1" applyBorder="1" applyAlignment="1">
      <alignment vertical="center"/>
    </xf>
    <xf numFmtId="0" fontId="2" fillId="3" borderId="10" xfId="0" applyNumberFormat="1" applyFont="1" applyFill="1" applyBorder="1" applyAlignment="1">
      <alignment vertical="center"/>
    </xf>
    <xf numFmtId="0" fontId="2" fillId="3" borderId="9" xfId="0" applyNumberFormat="1" applyFont="1" applyFill="1" applyBorder="1" applyAlignment="1">
      <alignment vertical="center"/>
    </xf>
    <xf numFmtId="0" fontId="3" fillId="4" borderId="5" xfId="0" applyFont="1" applyFill="1" applyBorder="1"/>
    <xf numFmtId="0" fontId="2" fillId="4" borderId="6" xfId="0" applyNumberFormat="1" applyFont="1" applyFill="1" applyBorder="1" applyAlignment="1">
      <alignment horizontal="right" vertical="center"/>
    </xf>
    <xf numFmtId="0" fontId="2" fillId="0" borderId="6" xfId="0" applyNumberFormat="1" applyFont="1" applyBorder="1" applyAlignment="1">
      <alignment horizontal="right" vertical="center"/>
    </xf>
    <xf numFmtId="0" fontId="2" fillId="3" borderId="0" xfId="0" applyNumberFormat="1" applyFont="1" applyFill="1" applyBorder="1" applyAlignment="1">
      <alignment vertical="center"/>
    </xf>
    <xf numFmtId="3" fontId="7" fillId="0" borderId="1" xfId="0" applyNumberFormat="1" applyFont="1" applyFill="1" applyBorder="1" applyAlignment="1">
      <alignment horizontal="center" vertical="center"/>
    </xf>
    <xf numFmtId="3" fontId="19" fillId="0" borderId="1" xfId="0" applyNumberFormat="1" applyFont="1" applyFill="1" applyBorder="1" applyAlignment="1">
      <alignment horizontal="center" vertical="center"/>
    </xf>
    <xf numFmtId="0" fontId="16" fillId="0" borderId="1"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3" fontId="16" fillId="0" borderId="1" xfId="0" applyNumberFormat="1" applyFont="1" applyFill="1" applyBorder="1" applyAlignment="1">
      <alignment horizontal="right" vertical="center"/>
    </xf>
    <xf numFmtId="0" fontId="16" fillId="4" borderId="5" xfId="0" applyNumberFormat="1" applyFont="1" applyFill="1" applyBorder="1" applyAlignment="1">
      <alignment vertical="center"/>
    </xf>
    <xf numFmtId="0" fontId="3" fillId="0" borderId="4" xfId="0" applyFont="1" applyBorder="1" applyAlignment="1">
      <alignment vertical="center" wrapText="1"/>
    </xf>
    <xf numFmtId="0" fontId="3"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textRotation="90" wrapText="1"/>
    </xf>
    <xf numFmtId="0" fontId="3" fillId="0" borderId="1" xfId="0" applyNumberFormat="1" applyFont="1" applyBorder="1" applyAlignment="1">
      <alignment horizontal="left" vertical="center" wrapText="1"/>
    </xf>
    <xf numFmtId="0" fontId="2" fillId="0" borderId="1" xfId="0" applyFont="1" applyBorder="1" applyAlignment="1">
      <alignment horizontal="center" vertical="center" textRotation="90" wrapText="1"/>
    </xf>
    <xf numFmtId="0" fontId="3" fillId="0" borderId="1" xfId="0" quotePrefix="1" applyNumberFormat="1" applyFont="1" applyBorder="1" applyAlignment="1">
      <alignment horizontal="center" vertical="center" wrapText="1"/>
    </xf>
    <xf numFmtId="3" fontId="3" fillId="0" borderId="1" xfId="0" quotePrefix="1" applyNumberFormat="1" applyFont="1" applyBorder="1" applyAlignment="1">
      <alignment horizontal="center" vertical="center" wrapText="1"/>
    </xf>
    <xf numFmtId="3" fontId="3" fillId="0" borderId="1" xfId="0" applyNumberFormat="1" applyFont="1" applyBorder="1" applyAlignment="1">
      <alignment horizontal="center" vertical="center"/>
    </xf>
    <xf numFmtId="0" fontId="3" fillId="0" borderId="1" xfId="0" applyFont="1" applyBorder="1" applyAlignment="1">
      <alignment horizontal="center" vertical="center"/>
    </xf>
    <xf numFmtId="4" fontId="2" fillId="0" borderId="1" xfId="0" applyNumberFormat="1" applyFont="1" applyBorder="1" applyAlignment="1">
      <alignment horizontal="center" vertical="center"/>
    </xf>
    <xf numFmtId="4"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49" fontId="3" fillId="0" borderId="1" xfId="0" quotePrefix="1" applyNumberFormat="1" applyFont="1" applyBorder="1" applyAlignment="1">
      <alignment horizontal="left" vertical="center" wrapText="1"/>
    </xf>
    <xf numFmtId="0" fontId="3" fillId="0" borderId="1" xfId="0" applyFont="1" applyBorder="1" applyAlignment="1">
      <alignment horizontal="left" vertical="center"/>
    </xf>
    <xf numFmtId="49" fontId="3" fillId="0" borderId="14" xfId="0" quotePrefix="1" applyNumberFormat="1" applyFont="1" applyBorder="1" applyAlignment="1">
      <alignment horizontal="left" vertical="center" wrapText="1"/>
    </xf>
    <xf numFmtId="49" fontId="3" fillId="0" borderId="4" xfId="0" quotePrefix="1" applyNumberFormat="1" applyFont="1" applyBorder="1" applyAlignment="1">
      <alignment horizontal="left" vertical="center" wrapText="1"/>
    </xf>
    <xf numFmtId="0" fontId="2" fillId="10" borderId="1" xfId="0" applyFont="1" applyFill="1" applyBorder="1" applyAlignment="1">
      <alignment horizontal="center" vertical="center"/>
    </xf>
    <xf numFmtId="0" fontId="2" fillId="1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2" fontId="7" fillId="3" borderId="1" xfId="0" applyNumberFormat="1" applyFont="1" applyFill="1" applyBorder="1" applyAlignment="1">
      <alignment horizontal="center" vertical="center" wrapText="1"/>
    </xf>
    <xf numFmtId="4" fontId="3"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1"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0"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49" fontId="7" fillId="0" borderId="1" xfId="0" applyNumberFormat="1" applyFont="1" applyFill="1" applyBorder="1" applyAlignment="1">
      <alignment horizontal="center" vertical="center" wrapText="1"/>
    </xf>
    <xf numFmtId="4"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textRotation="90" wrapText="1"/>
    </xf>
    <xf numFmtId="0" fontId="7" fillId="0" borderId="1" xfId="0" applyFont="1" applyFill="1" applyBorder="1" applyAlignment="1">
      <alignment horizontal="center" vertical="center" wrapText="1"/>
    </xf>
    <xf numFmtId="164" fontId="7"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3" fontId="29" fillId="0" borderId="1" xfId="0" applyNumberFormat="1" applyFont="1" applyFill="1" applyBorder="1" applyAlignment="1">
      <alignment horizontal="right" vertical="center"/>
    </xf>
    <xf numFmtId="3" fontId="52" fillId="0" borderId="1" xfId="0" applyNumberFormat="1" applyFont="1" applyBorder="1" applyAlignment="1">
      <alignment horizontal="center" vertical="center"/>
    </xf>
    <xf numFmtId="3" fontId="29" fillId="0" borderId="1" xfId="0" applyNumberFormat="1" applyFont="1" applyBorder="1" applyAlignment="1">
      <alignment horizontal="right" vertical="center"/>
    </xf>
    <xf numFmtId="0" fontId="52" fillId="0" borderId="1" xfId="0" applyFont="1" applyBorder="1" applyAlignment="1">
      <alignment vertical="center" wrapText="1"/>
    </xf>
    <xf numFmtId="0" fontId="52" fillId="0" borderId="2" xfId="0" applyFont="1" applyBorder="1" applyAlignment="1">
      <alignment vertical="center" wrapText="1"/>
    </xf>
    <xf numFmtId="3" fontId="29" fillId="0" borderId="1" xfId="0" applyNumberFormat="1" applyFont="1" applyBorder="1" applyAlignment="1">
      <alignment horizontal="center" vertical="center"/>
    </xf>
    <xf numFmtId="164" fontId="52" fillId="0" borderId="0" xfId="0" applyNumberFormat="1" applyFont="1" applyBorder="1"/>
    <xf numFmtId="3" fontId="3" fillId="0" borderId="0" xfId="0" applyNumberFormat="1" applyFont="1" applyBorder="1"/>
    <xf numFmtId="4" fontId="3" fillId="0" borderId="0" xfId="0" applyNumberFormat="1" applyFont="1"/>
    <xf numFmtId="3" fontId="3" fillId="0" borderId="0" xfId="0" applyNumberFormat="1" applyFont="1"/>
    <xf numFmtId="0" fontId="3" fillId="6" borderId="1" xfId="0" applyFont="1" applyFill="1" applyBorder="1" applyAlignment="1">
      <alignment horizontal="center"/>
    </xf>
    <xf numFmtId="0" fontId="3" fillId="6" borderId="0" xfId="0" applyFont="1" applyFill="1"/>
    <xf numFmtId="0" fontId="3" fillId="15" borderId="0" xfId="0" applyFont="1" applyFill="1"/>
    <xf numFmtId="4" fontId="46" fillId="15" borderId="0" xfId="0" applyNumberFormat="1" applyFont="1" applyFill="1" applyBorder="1" applyAlignment="1">
      <alignment horizontal="center" vertical="center"/>
    </xf>
    <xf numFmtId="0" fontId="3" fillId="0" borderId="1" xfId="0" applyFont="1" applyBorder="1" applyAlignment="1">
      <alignment vertical="center" wrapText="1"/>
    </xf>
    <xf numFmtId="0" fontId="3" fillId="3" borderId="3" xfId="0" applyNumberFormat="1" applyFont="1" applyFill="1" applyBorder="1" applyAlignment="1">
      <alignment vertical="center" wrapText="1"/>
    </xf>
    <xf numFmtId="0" fontId="3" fillId="3" borderId="7" xfId="0" applyNumberFormat="1" applyFont="1" applyFill="1" applyBorder="1" applyAlignment="1">
      <alignment vertical="center" wrapText="1"/>
    </xf>
    <xf numFmtId="0" fontId="4" fillId="3" borderId="5" xfId="0" applyFont="1" applyFill="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4" borderId="5" xfId="0" applyNumberFormat="1" applyFont="1" applyFill="1" applyBorder="1" applyAlignment="1">
      <alignment vertical="center" wrapText="1"/>
    </xf>
    <xf numFmtId="0" fontId="4" fillId="4" borderId="6" xfId="0" applyNumberFormat="1" applyFont="1" applyFill="1" applyBorder="1" applyAlignment="1">
      <alignment vertical="center" wrapText="1"/>
    </xf>
    <xf numFmtId="3" fontId="4" fillId="0" borderId="1" xfId="0" applyNumberFormat="1" applyFont="1" applyBorder="1" applyAlignment="1">
      <alignment horizontal="center" vertical="center" wrapText="1"/>
    </xf>
    <xf numFmtId="3" fontId="12" fillId="0" borderId="1" xfId="0" applyNumberFormat="1" applyFont="1" applyBorder="1" applyAlignment="1">
      <alignment horizontal="center" vertical="center" wrapText="1"/>
    </xf>
    <xf numFmtId="0" fontId="12" fillId="0" borderId="1" xfId="0" applyFont="1" applyBorder="1" applyAlignment="1">
      <alignment wrapText="1"/>
    </xf>
    <xf numFmtId="0" fontId="4" fillId="3" borderId="12" xfId="0" applyNumberFormat="1" applyFont="1" applyFill="1" applyBorder="1" applyAlignment="1">
      <alignment vertical="center" wrapText="1"/>
    </xf>
    <xf numFmtId="0" fontId="4" fillId="3" borderId="13"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8" xfId="0" applyNumberFormat="1" applyFont="1" applyFill="1" applyBorder="1" applyAlignment="1">
      <alignment vertical="center" wrapText="1"/>
    </xf>
    <xf numFmtId="0" fontId="4" fillId="3" borderId="9" xfId="0" applyNumberFormat="1" applyFont="1" applyFill="1" applyBorder="1" applyAlignment="1">
      <alignment vertical="center" wrapText="1"/>
    </xf>
    <xf numFmtId="4" fontId="4" fillId="0" borderId="1" xfId="0" applyNumberFormat="1" applyFont="1" applyBorder="1" applyAlignment="1">
      <alignment horizontal="center" vertical="center" wrapText="1"/>
    </xf>
    <xf numFmtId="3" fontId="12" fillId="0" borderId="1" xfId="0" applyNumberFormat="1" applyFont="1" applyBorder="1" applyAlignment="1">
      <alignment vertical="center" wrapText="1"/>
    </xf>
    <xf numFmtId="0" fontId="4" fillId="0" borderId="3" xfId="0" applyFont="1" applyBorder="1" applyAlignment="1">
      <alignment vertical="center" textRotation="90" wrapText="1"/>
    </xf>
    <xf numFmtId="0" fontId="4" fillId="0" borderId="7" xfId="0" applyFont="1" applyBorder="1" applyAlignment="1">
      <alignment vertical="center" textRotation="90" wrapText="1"/>
    </xf>
    <xf numFmtId="3" fontId="4" fillId="0" borderId="2" xfId="0" applyNumberFormat="1" applyFont="1" applyBorder="1" applyAlignment="1">
      <alignment horizontal="center" vertical="center" wrapText="1"/>
    </xf>
    <xf numFmtId="0" fontId="12" fillId="0" borderId="15" xfId="0" applyFont="1" applyBorder="1" applyAlignment="1">
      <alignment wrapText="1"/>
    </xf>
    <xf numFmtId="4" fontId="12" fillId="0" borderId="1" xfId="0" applyNumberFormat="1" applyFont="1" applyBorder="1" applyAlignment="1">
      <alignment horizontal="center" vertical="center" wrapText="1"/>
    </xf>
    <xf numFmtId="0" fontId="12" fillId="0" borderId="0" xfId="0" applyFont="1" applyBorder="1" applyAlignment="1">
      <alignment wrapText="1"/>
    </xf>
    <xf numFmtId="0" fontId="12" fillId="0" borderId="8" xfId="0" applyFont="1" applyBorder="1" applyAlignment="1">
      <alignment wrapText="1"/>
    </xf>
    <xf numFmtId="0" fontId="4" fillId="3" borderId="0" xfId="0" applyNumberFormat="1" applyFont="1" applyFill="1" applyBorder="1" applyAlignment="1">
      <alignment vertical="center" wrapText="1"/>
    </xf>
    <xf numFmtId="0" fontId="4" fillId="3" borderId="42" xfId="0" applyFont="1" applyFill="1" applyBorder="1" applyAlignment="1">
      <alignment vertical="center" textRotation="90" wrapText="1"/>
    </xf>
    <xf numFmtId="0" fontId="4" fillId="3" borderId="15" xfId="0" applyFont="1" applyFill="1" applyBorder="1" applyAlignment="1">
      <alignment vertical="center" textRotation="90" wrapText="1"/>
    </xf>
    <xf numFmtId="164" fontId="53"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168" fontId="4"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3" borderId="43" xfId="0" applyFont="1" applyFill="1" applyBorder="1" applyAlignment="1">
      <alignment vertical="center" textRotation="90" wrapText="1"/>
    </xf>
    <xf numFmtId="0" fontId="12" fillId="3" borderId="15" xfId="0" applyFont="1" applyFill="1" applyBorder="1" applyAlignment="1">
      <alignment vertical="center" wrapText="1"/>
    </xf>
    <xf numFmtId="0" fontId="4" fillId="0" borderId="6" xfId="0" applyFont="1" applyBorder="1" applyAlignment="1">
      <alignment horizontal="left" vertical="center" wrapText="1"/>
    </xf>
    <xf numFmtId="0" fontId="4" fillId="3" borderId="5"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6" xfId="0" applyNumberFormat="1" applyFont="1" applyBorder="1" applyAlignment="1">
      <alignment horizontal="left" vertical="center" wrapText="1"/>
    </xf>
    <xf numFmtId="0" fontId="12" fillId="4" borderId="6" xfId="0" applyNumberFormat="1" applyFont="1" applyFill="1" applyBorder="1" applyAlignment="1">
      <alignment vertical="center" wrapText="1"/>
    </xf>
    <xf numFmtId="0" fontId="4" fillId="0" borderId="5" xfId="0" applyNumberFormat="1" applyFont="1" applyBorder="1" applyAlignment="1">
      <alignment vertical="center" wrapText="1"/>
    </xf>
    <xf numFmtId="0" fontId="4" fillId="3" borderId="5" xfId="0" applyNumberFormat="1" applyFont="1" applyFill="1" applyBorder="1" applyAlignment="1">
      <alignment vertical="center" wrapText="1"/>
    </xf>
    <xf numFmtId="0" fontId="12" fillId="0" borderId="6" xfId="0" applyNumberFormat="1" applyFont="1" applyBorder="1" applyAlignment="1">
      <alignment vertical="center" wrapText="1"/>
    </xf>
    <xf numFmtId="0" fontId="4" fillId="0" borderId="15" xfId="0" applyFont="1" applyBorder="1" applyAlignment="1">
      <alignment horizontal="center" vertical="center" textRotation="90" wrapText="1"/>
    </xf>
    <xf numFmtId="0" fontId="4" fillId="0" borderId="9" xfId="0" quotePrefix="1" applyNumberFormat="1" applyFont="1" applyBorder="1" applyAlignment="1">
      <alignment horizontal="center" vertical="center" wrapText="1"/>
    </xf>
    <xf numFmtId="0" fontId="12" fillId="0" borderId="14" xfId="0" applyNumberFormat="1" applyFont="1" applyBorder="1" applyAlignment="1">
      <alignment horizontal="center" vertical="center" wrapText="1"/>
    </xf>
    <xf numFmtId="0" fontId="4" fillId="0" borderId="10" xfId="0" quotePrefix="1" applyNumberFormat="1" applyFont="1" applyBorder="1" applyAlignment="1">
      <alignment horizontal="center" vertical="center" wrapText="1"/>
    </xf>
    <xf numFmtId="168" fontId="4" fillId="0" borderId="10" xfId="0" quotePrefix="1" applyNumberFormat="1" applyFont="1" applyBorder="1" applyAlignment="1">
      <alignment horizontal="center" vertical="center" wrapText="1"/>
    </xf>
    <xf numFmtId="3" fontId="4" fillId="0" borderId="10" xfId="0" quotePrefix="1" applyNumberFormat="1" applyFont="1" applyBorder="1" applyAlignment="1">
      <alignment horizontal="center" vertical="center" wrapText="1"/>
    </xf>
    <xf numFmtId="0" fontId="12" fillId="0" borderId="5" xfId="0" applyFont="1" applyBorder="1" applyAlignment="1">
      <alignment vertical="center" wrapText="1"/>
    </xf>
    <xf numFmtId="3" fontId="12" fillId="0" borderId="5" xfId="0" applyNumberFormat="1" applyFont="1" applyBorder="1" applyAlignment="1">
      <alignment vertical="center" wrapText="1"/>
    </xf>
    <xf numFmtId="3" fontId="12" fillId="0" borderId="6" xfId="0" applyNumberFormat="1" applyFont="1" applyBorder="1" applyAlignment="1">
      <alignment vertical="center" wrapText="1"/>
    </xf>
    <xf numFmtId="0" fontId="12" fillId="3" borderId="6" xfId="0" applyNumberFormat="1" applyFont="1" applyFill="1" applyBorder="1" applyAlignment="1">
      <alignment vertical="center" wrapText="1"/>
    </xf>
    <xf numFmtId="3" fontId="4" fillId="3" borderId="4" xfId="0" applyNumberFormat="1" applyFont="1" applyFill="1" applyBorder="1" applyAlignment="1">
      <alignment horizontal="center" vertical="center" wrapText="1"/>
    </xf>
    <xf numFmtId="3" fontId="4" fillId="3" borderId="11" xfId="0" applyNumberFormat="1" applyFont="1" applyFill="1" applyBorder="1" applyAlignment="1">
      <alignment horizontal="center" vertical="center" wrapText="1"/>
    </xf>
    <xf numFmtId="3" fontId="12" fillId="3" borderId="4"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3" borderId="41" xfId="0" applyNumberFormat="1" applyFont="1" applyFill="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6"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0" fontId="4" fillId="3" borderId="4" xfId="0" applyNumberFormat="1" applyFont="1" applyFill="1" applyBorder="1" applyAlignment="1">
      <alignment vertical="center" wrapText="1"/>
    </xf>
    <xf numFmtId="0" fontId="12" fillId="3" borderId="12" xfId="0" applyFont="1" applyFill="1" applyBorder="1" applyAlignment="1">
      <alignment wrapText="1"/>
    </xf>
    <xf numFmtId="0" fontId="12" fillId="3" borderId="13" xfId="0" applyFont="1" applyFill="1" applyBorder="1" applyAlignment="1">
      <alignment wrapText="1"/>
    </xf>
    <xf numFmtId="0" fontId="12" fillId="3" borderId="0" xfId="0" applyFont="1" applyFill="1" applyBorder="1" applyAlignment="1">
      <alignment wrapText="1"/>
    </xf>
    <xf numFmtId="0" fontId="12" fillId="3" borderId="8" xfId="0" applyFont="1" applyFill="1" applyBorder="1" applyAlignment="1">
      <alignment wrapText="1"/>
    </xf>
    <xf numFmtId="0" fontId="4" fillId="0" borderId="4" xfId="0" applyNumberFormat="1" applyFont="1" applyBorder="1" applyAlignment="1">
      <alignment vertical="center" wrapText="1"/>
    </xf>
    <xf numFmtId="0" fontId="4" fillId="0" borderId="4" xfId="0" applyNumberFormat="1" applyFont="1" applyBorder="1" applyAlignment="1">
      <alignment vertical="center"/>
    </xf>
    <xf numFmtId="0" fontId="4" fillId="3" borderId="5" xfId="0" applyNumberFormat="1" applyFont="1" applyFill="1" applyBorder="1" applyAlignment="1">
      <alignment vertical="center"/>
    </xf>
    <xf numFmtId="0" fontId="4" fillId="0" borderId="6" xfId="0" applyNumberFormat="1" applyFont="1" applyBorder="1" applyAlignment="1">
      <alignment vertical="center"/>
    </xf>
    <xf numFmtId="0" fontId="4" fillId="0" borderId="1" xfId="0" applyNumberFormat="1" applyFont="1" applyBorder="1" applyAlignment="1">
      <alignment vertical="center"/>
    </xf>
    <xf numFmtId="3" fontId="53" fillId="3" borderId="1" xfId="0" applyNumberFormat="1" applyFont="1" applyFill="1" applyBorder="1" applyAlignment="1">
      <alignment horizontal="center" vertical="center" wrapText="1"/>
    </xf>
    <xf numFmtId="0" fontId="12" fillId="0" borderId="14" xfId="0" applyFont="1" applyBorder="1" applyAlignment="1">
      <alignment wrapText="1"/>
    </xf>
    <xf numFmtId="0"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xf>
    <xf numFmtId="3" fontId="2"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2" fillId="0" borderId="12" xfId="0" applyNumberFormat="1" applyFont="1" applyBorder="1" applyAlignment="1">
      <alignment vertical="center"/>
    </xf>
    <xf numFmtId="0" fontId="2" fillId="0" borderId="10" xfId="0" applyNumberFormat="1" applyFont="1" applyBorder="1" applyAlignment="1">
      <alignment vertical="center"/>
    </xf>
    <xf numFmtId="3" fontId="4" fillId="0" borderId="1" xfId="0" applyNumberFormat="1" applyFont="1" applyBorder="1" applyAlignment="1">
      <alignment horizontal="right" vertical="center" wrapText="1" indent="1"/>
    </xf>
    <xf numFmtId="3" fontId="12" fillId="0" borderId="1" xfId="0" applyNumberFormat="1" applyFont="1" applyBorder="1" applyAlignment="1">
      <alignment horizontal="right" vertical="center" wrapText="1" indent="1"/>
    </xf>
    <xf numFmtId="4" fontId="4" fillId="0" borderId="1" xfId="0" applyNumberFormat="1" applyFont="1" applyBorder="1" applyAlignment="1">
      <alignment horizontal="right" vertical="center" wrapText="1" indent="1"/>
    </xf>
    <xf numFmtId="3" fontId="4" fillId="0" borderId="2" xfId="0" applyNumberFormat="1" applyFont="1" applyBorder="1" applyAlignment="1">
      <alignment horizontal="right" vertical="center" wrapText="1" indent="1"/>
    </xf>
    <xf numFmtId="3" fontId="12" fillId="3" borderId="1" xfId="0" applyNumberFormat="1" applyFont="1" applyFill="1" applyBorder="1" applyAlignment="1">
      <alignment horizontal="right" vertical="center" wrapText="1" indent="1"/>
    </xf>
    <xf numFmtId="3" fontId="4" fillId="3" borderId="1" xfId="0" applyNumberFormat="1" applyFont="1" applyFill="1" applyBorder="1" applyAlignment="1">
      <alignment horizontal="right" vertical="center" wrapText="1" indent="1"/>
    </xf>
    <xf numFmtId="0" fontId="4" fillId="3" borderId="1" xfId="0" applyNumberFormat="1" applyFont="1" applyFill="1" applyBorder="1" applyAlignment="1">
      <alignment horizontal="right" vertical="center" wrapText="1" indent="1"/>
    </xf>
    <xf numFmtId="169" fontId="4" fillId="3" borderId="1" xfId="0" applyNumberFormat="1" applyFont="1" applyFill="1" applyBorder="1" applyAlignment="1">
      <alignment horizontal="right" vertical="center" wrapText="1" indent="1"/>
    </xf>
    <xf numFmtId="3" fontId="4" fillId="3" borderId="1" xfId="0" applyNumberFormat="1" applyFont="1" applyFill="1" applyBorder="1" applyAlignment="1">
      <alignment horizontal="right" vertical="center" wrapText="1" indent="2"/>
    </xf>
    <xf numFmtId="169" fontId="3" fillId="3" borderId="1" xfId="0" applyNumberFormat="1" applyFont="1" applyFill="1" applyBorder="1" applyAlignment="1">
      <alignment horizontal="left" vertical="center" wrapText="1"/>
    </xf>
    <xf numFmtId="3" fontId="3" fillId="3" borderId="1" xfId="0" applyNumberFormat="1" applyFont="1" applyFill="1" applyBorder="1" applyAlignment="1">
      <alignment horizontal="left" vertical="center" wrapText="1"/>
    </xf>
    <xf numFmtId="4" fontId="12" fillId="3" borderId="1" xfId="0" applyNumberFormat="1" applyFont="1" applyFill="1" applyBorder="1" applyAlignment="1">
      <alignment horizontal="right" vertical="center" wrapText="1" indent="1"/>
    </xf>
    <xf numFmtId="4" fontId="4" fillId="3" borderId="1" xfId="0" applyNumberFormat="1" applyFont="1" applyFill="1" applyBorder="1" applyAlignment="1">
      <alignment horizontal="right" vertical="center" wrapText="1" indent="1"/>
    </xf>
    <xf numFmtId="1" fontId="4" fillId="3" borderId="1" xfId="0" applyNumberFormat="1" applyFont="1" applyFill="1" applyBorder="1" applyAlignment="1">
      <alignment horizontal="right" vertical="center" wrapText="1" indent="1"/>
    </xf>
    <xf numFmtId="4" fontId="4" fillId="3" borderId="1" xfId="0" applyNumberFormat="1" applyFont="1" applyFill="1" applyBorder="1" applyAlignment="1">
      <alignment horizontal="center" vertical="center" wrapText="1"/>
    </xf>
    <xf numFmtId="174" fontId="12" fillId="3" borderId="1" xfId="2" applyNumberFormat="1" applyFont="1" applyFill="1" applyBorder="1" applyAlignment="1">
      <alignment horizontal="right" vertical="center" wrapText="1" indent="1"/>
    </xf>
    <xf numFmtId="174" fontId="4" fillId="3" borderId="1" xfId="2" applyNumberFormat="1" applyFont="1" applyFill="1" applyBorder="1" applyAlignment="1">
      <alignment horizontal="right" vertical="center" wrapText="1" indent="1"/>
    </xf>
    <xf numFmtId="3" fontId="12" fillId="0" borderId="2" xfId="0" applyNumberFormat="1" applyFont="1" applyBorder="1" applyAlignment="1">
      <alignment horizontal="right" vertical="center" wrapText="1" indent="1"/>
    </xf>
    <xf numFmtId="3" fontId="4" fillId="3" borderId="2" xfId="0" applyNumberFormat="1" applyFont="1" applyFill="1" applyBorder="1" applyAlignment="1">
      <alignment horizontal="right" vertical="center" wrapText="1" indent="1"/>
    </xf>
    <xf numFmtId="1" fontId="12" fillId="3" borderId="1" xfId="0" applyNumberFormat="1" applyFont="1" applyFill="1" applyBorder="1" applyAlignment="1">
      <alignment horizontal="right" vertical="center" wrapText="1" indent="1"/>
    </xf>
    <xf numFmtId="3" fontId="12" fillId="3" borderId="2" xfId="0" applyNumberFormat="1" applyFont="1" applyFill="1" applyBorder="1" applyAlignment="1">
      <alignment horizontal="right" vertical="center" wrapText="1" indent="1"/>
    </xf>
    <xf numFmtId="3" fontId="4" fillId="0" borderId="1" xfId="0" applyNumberFormat="1" applyFont="1" applyFill="1" applyBorder="1" applyAlignment="1">
      <alignment horizontal="right" vertical="center" wrapText="1" indent="1"/>
    </xf>
    <xf numFmtId="0" fontId="3" fillId="0" borderId="1" xfId="0" applyNumberFormat="1" applyFont="1" applyFill="1" applyBorder="1" applyAlignment="1">
      <alignment vertical="center" wrapText="1"/>
    </xf>
    <xf numFmtId="3" fontId="4" fillId="0" borderId="1" xfId="0" applyNumberFormat="1" applyFont="1" applyBorder="1" applyAlignment="1">
      <alignment horizontal="right" vertical="center" indent="1"/>
    </xf>
    <xf numFmtId="0" fontId="4" fillId="4" borderId="5" xfId="0" applyNumberFormat="1" applyFont="1" applyFill="1" applyBorder="1" applyAlignment="1">
      <alignment vertical="center"/>
    </xf>
    <xf numFmtId="0" fontId="12" fillId="4" borderId="5" xfId="0" applyFont="1" applyFill="1" applyBorder="1"/>
    <xf numFmtId="0" fontId="12" fillId="4" borderId="6" xfId="0" applyFont="1" applyFill="1" applyBorder="1"/>
    <xf numFmtId="0" fontId="3" fillId="3" borderId="1" xfId="0" applyNumberFormat="1" applyFont="1" applyFill="1" applyBorder="1" applyAlignment="1">
      <alignment vertical="top" wrapText="1"/>
    </xf>
    <xf numFmtId="0" fontId="3" fillId="3" borderId="1" xfId="0" applyNumberFormat="1" applyFont="1" applyFill="1" applyBorder="1" applyAlignment="1">
      <alignment horizontal="left" vertical="top" wrapText="1"/>
    </xf>
    <xf numFmtId="0" fontId="7" fillId="3" borderId="1" xfId="0" applyNumberFormat="1" applyFont="1" applyFill="1" applyBorder="1" applyAlignment="1">
      <alignment horizontal="left" vertical="top" wrapText="1"/>
    </xf>
    <xf numFmtId="3" fontId="12" fillId="3" borderId="1" xfId="0" applyNumberFormat="1" applyFont="1" applyFill="1" applyBorder="1" applyAlignment="1">
      <alignment horizontal="right" vertical="center" indent="1"/>
    </xf>
    <xf numFmtId="0"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3" fontId="7" fillId="3" borderId="1" xfId="0" applyNumberFormat="1" applyFont="1" applyFill="1" applyBorder="1" applyAlignment="1">
      <alignment horizontal="center" vertical="center"/>
    </xf>
    <xf numFmtId="0" fontId="7" fillId="3" borderId="1" xfId="0" applyNumberFormat="1" applyFont="1" applyFill="1" applyBorder="1" applyAlignment="1">
      <alignment horizontal="left" vertical="center" wrapText="1"/>
    </xf>
    <xf numFmtId="0" fontId="9" fillId="2" borderId="1" xfId="0" applyNumberFormat="1" applyFont="1" applyFill="1" applyBorder="1" applyAlignment="1">
      <alignment horizontal="center" vertical="center" wrapText="1"/>
    </xf>
    <xf numFmtId="0" fontId="9" fillId="0" borderId="1" xfId="0" applyNumberFormat="1" applyFont="1" applyBorder="1" applyAlignment="1">
      <alignment horizontal="center" vertical="center" wrapText="1"/>
    </xf>
    <xf numFmtId="0" fontId="7" fillId="0" borderId="1" xfId="0" applyNumberFormat="1" applyFont="1" applyBorder="1" applyAlignment="1">
      <alignment horizontal="left" vertical="center" wrapText="1"/>
    </xf>
    <xf numFmtId="3" fontId="9" fillId="0" borderId="1" xfId="0" applyNumberFormat="1" applyFont="1" applyBorder="1" applyAlignment="1">
      <alignment horizontal="center" vertical="center"/>
    </xf>
    <xf numFmtId="0" fontId="9" fillId="0" borderId="2" xfId="0" applyNumberFormat="1" applyFont="1" applyBorder="1" applyAlignment="1">
      <alignment horizontal="left" vertical="center" wrapText="1"/>
    </xf>
    <xf numFmtId="0" fontId="9" fillId="2" borderId="1" xfId="0" applyNumberFormat="1" applyFont="1" applyFill="1" applyBorder="1" applyAlignment="1">
      <alignment horizontal="center" vertical="center"/>
    </xf>
    <xf numFmtId="0" fontId="9" fillId="3" borderId="1" xfId="0" applyNumberFormat="1" applyFont="1" applyFill="1" applyBorder="1" applyAlignment="1">
      <alignment horizontal="left" vertical="center" wrapText="1"/>
    </xf>
    <xf numFmtId="3" fontId="7"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3" fillId="3" borderId="1" xfId="0" applyNumberFormat="1" applyFont="1" applyFill="1" applyBorder="1" applyAlignment="1">
      <alignment wrapText="1"/>
    </xf>
    <xf numFmtId="0" fontId="4" fillId="3" borderId="12" xfId="0" applyNumberFormat="1" applyFont="1" applyFill="1" applyBorder="1" applyAlignment="1">
      <alignment vertical="center"/>
    </xf>
    <xf numFmtId="0" fontId="56" fillId="3" borderId="12" xfId="0" applyFont="1" applyFill="1" applyBorder="1"/>
    <xf numFmtId="0" fontId="56" fillId="3" borderId="13" xfId="0" applyFont="1" applyFill="1" applyBorder="1"/>
    <xf numFmtId="0" fontId="56" fillId="3" borderId="10" xfId="0" applyFont="1" applyFill="1" applyBorder="1"/>
    <xf numFmtId="0" fontId="56" fillId="3" borderId="9" xfId="0" applyFont="1" applyFill="1" applyBorder="1"/>
    <xf numFmtId="0" fontId="4" fillId="3" borderId="6" xfId="0" applyNumberFormat="1" applyFont="1" applyFill="1" applyBorder="1" applyAlignment="1">
      <alignment vertical="center" wrapText="1"/>
    </xf>
    <xf numFmtId="0" fontId="2" fillId="0" borderId="1" xfId="0" applyNumberFormat="1" applyFont="1" applyFill="1" applyBorder="1" applyAlignment="1">
      <alignment vertical="center" wrapText="1"/>
    </xf>
    <xf numFmtId="0" fontId="3" fillId="0" borderId="15" xfId="0" applyFont="1" applyBorder="1" applyAlignment="1">
      <alignment horizontal="center" vertical="center" textRotation="90"/>
    </xf>
    <xf numFmtId="0" fontId="2" fillId="3" borderId="12" xfId="0" applyNumberFormat="1" applyFont="1" applyFill="1" applyBorder="1" applyAlignment="1">
      <alignment horizontal="right" vertical="center" wrapText="1"/>
    </xf>
    <xf numFmtId="0" fontId="2" fillId="3" borderId="13" xfId="0" applyNumberFormat="1" applyFont="1" applyFill="1" applyBorder="1" applyAlignment="1">
      <alignment horizontal="right" vertical="center" wrapText="1"/>
    </xf>
    <xf numFmtId="0" fontId="2" fillId="3" borderId="10" xfId="0" applyNumberFormat="1" applyFont="1" applyFill="1" applyBorder="1" applyAlignment="1">
      <alignment horizontal="right" vertical="center" wrapText="1"/>
    </xf>
    <xf numFmtId="0" fontId="2" fillId="3" borderId="9" xfId="0" applyNumberFormat="1" applyFont="1" applyFill="1" applyBorder="1" applyAlignment="1">
      <alignment horizontal="right" vertical="center" wrapText="1"/>
    </xf>
    <xf numFmtId="165" fontId="2" fillId="0" borderId="6" xfId="0" applyNumberFormat="1" applyFont="1" applyFill="1" applyBorder="1" applyAlignment="1">
      <alignment horizontal="center" vertical="center" wrapText="1"/>
    </xf>
    <xf numFmtId="0" fontId="3" fillId="0" borderId="1" xfId="0" applyFont="1" applyBorder="1" applyAlignment="1">
      <alignment vertical="center"/>
    </xf>
    <xf numFmtId="0" fontId="3" fillId="0" borderId="4" xfId="0" applyFont="1" applyBorder="1" applyAlignment="1">
      <alignment horizontal="left" vertical="center" wrapText="1"/>
    </xf>
    <xf numFmtId="0" fontId="5" fillId="0" borderId="4" xfId="0" applyFont="1" applyBorder="1" applyAlignment="1"/>
    <xf numFmtId="0" fontId="5" fillId="0" borderId="1" xfId="0" applyFont="1" applyBorder="1" applyAlignment="1"/>
    <xf numFmtId="0" fontId="3" fillId="3" borderId="3" xfId="0" applyNumberFormat="1" applyFont="1" applyFill="1" applyBorder="1" applyAlignment="1">
      <alignment horizontal="left" vertical="center" wrapText="1"/>
    </xf>
    <xf numFmtId="0" fontId="3" fillId="3" borderId="7" xfId="0" applyNumberFormat="1" applyFont="1" applyFill="1" applyBorder="1" applyAlignment="1">
      <alignment horizontal="left" vertical="center" wrapText="1"/>
    </xf>
    <xf numFmtId="0" fontId="4" fillId="0" borderId="5" xfId="0" applyNumberFormat="1" applyFont="1" applyBorder="1" applyAlignment="1">
      <alignment horizontal="left" vertical="center" wrapText="1"/>
    </xf>
    <xf numFmtId="0" fontId="4" fillId="0" borderId="11"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3" borderId="4" xfId="0" applyNumberFormat="1" applyFont="1" applyFill="1" applyBorder="1" applyAlignment="1">
      <alignment horizontal="left" vertical="center" wrapText="1"/>
    </xf>
    <xf numFmtId="0" fontId="4" fillId="3" borderId="5" xfId="0" applyNumberFormat="1" applyFont="1" applyFill="1" applyBorder="1" applyAlignment="1">
      <alignment horizontal="left" vertical="center" wrapText="1"/>
    </xf>
    <xf numFmtId="0" fontId="4" fillId="3" borderId="1"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0" borderId="1" xfId="0" applyNumberFormat="1" applyFont="1" applyBorder="1" applyAlignment="1">
      <alignment horizontal="left" vertical="center" wrapText="1"/>
    </xf>
    <xf numFmtId="3" fontId="12" fillId="3"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wrapText="1"/>
    </xf>
    <xf numFmtId="0" fontId="4" fillId="3" borderId="1" xfId="0" applyNumberFormat="1" applyFont="1" applyFill="1" applyBorder="1" applyAlignment="1">
      <alignment horizontal="center" vertical="center" wrapText="1"/>
    </xf>
    <xf numFmtId="0" fontId="4" fillId="3" borderId="6" xfId="0" applyNumberFormat="1" applyFont="1" applyFill="1" applyBorder="1" applyAlignment="1">
      <alignment horizontal="left" vertical="center" wrapText="1"/>
    </xf>
    <xf numFmtId="0" fontId="12" fillId="3" borderId="1" xfId="0" applyNumberFormat="1" applyFont="1" applyFill="1" applyBorder="1" applyAlignment="1">
      <alignment horizontal="left" vertical="center" wrapText="1"/>
    </xf>
    <xf numFmtId="0" fontId="4" fillId="3" borderId="10" xfId="0" applyNumberFormat="1" applyFont="1" applyFill="1" applyBorder="1" applyAlignment="1">
      <alignment horizontal="center" vertical="center" wrapText="1"/>
    </xf>
    <xf numFmtId="0" fontId="4" fillId="0" borderId="13" xfId="0" applyNumberFormat="1" applyFont="1" applyBorder="1" applyAlignment="1">
      <alignment horizontal="left" vertical="center" wrapText="1"/>
    </xf>
    <xf numFmtId="0" fontId="4" fillId="0" borderId="6"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3" fillId="3" borderId="1" xfId="0" applyNumberFormat="1" applyFont="1" applyFill="1" applyBorder="1" applyAlignment="1">
      <alignment vertical="center" wrapText="1"/>
    </xf>
    <xf numFmtId="3" fontId="55" fillId="3" borderId="1" xfId="0" applyNumberFormat="1" applyFont="1" applyFill="1" applyBorder="1" applyAlignment="1">
      <alignment horizontal="center" vertical="center" wrapText="1"/>
    </xf>
    <xf numFmtId="0" fontId="4" fillId="4" borderId="6" xfId="0" applyNumberFormat="1" applyFont="1" applyFill="1" applyBorder="1" applyAlignment="1">
      <alignment horizontal="left" vertical="center" wrapText="1"/>
    </xf>
    <xf numFmtId="0" fontId="4" fillId="4" borderId="1" xfId="0" applyNumberFormat="1" applyFont="1" applyFill="1" applyBorder="1" applyAlignment="1">
      <alignment horizontal="left" vertical="center" wrapText="1"/>
    </xf>
    <xf numFmtId="0" fontId="12" fillId="0" borderId="10"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3" fontId="12" fillId="0" borderId="2" xfId="0" applyNumberFormat="1" applyFont="1" applyBorder="1" applyAlignment="1">
      <alignment horizontal="center" vertical="center" wrapText="1"/>
    </xf>
    <xf numFmtId="3" fontId="12" fillId="0" borderId="2" xfId="0" applyNumberFormat="1" applyFont="1" applyBorder="1" applyAlignment="1">
      <alignment vertical="center" wrapText="1"/>
    </xf>
    <xf numFmtId="0" fontId="3" fillId="0" borderId="1" xfId="0" applyNumberFormat="1" applyFont="1" applyBorder="1" applyAlignment="1">
      <alignment horizontal="left" vertical="center" wrapText="1"/>
    </xf>
    <xf numFmtId="0" fontId="4" fillId="0" borderId="1" xfId="0" applyNumberFormat="1" applyFont="1" applyFill="1" applyBorder="1" applyAlignment="1">
      <alignment horizontal="left" vertical="center" wrapText="1"/>
    </xf>
    <xf numFmtId="0" fontId="4" fillId="0" borderId="1" xfId="0" applyNumberFormat="1" applyFont="1" applyBorder="1" applyAlignment="1">
      <alignment vertical="center" wrapText="1"/>
    </xf>
    <xf numFmtId="0" fontId="12" fillId="0" borderId="5" xfId="0" applyNumberFormat="1" applyFont="1" applyBorder="1" applyAlignment="1">
      <alignment horizontal="center" vertical="center" wrapText="1"/>
    </xf>
    <xf numFmtId="0" fontId="4" fillId="0" borderId="10" xfId="0" applyNumberFormat="1" applyFont="1" applyBorder="1" applyAlignment="1">
      <alignment horizontal="center" vertical="center" wrapText="1"/>
    </xf>
    <xf numFmtId="0" fontId="2" fillId="0" borderId="1" xfId="0" applyNumberFormat="1" applyFont="1" applyBorder="1" applyAlignment="1">
      <alignment vertical="center" wrapText="1"/>
    </xf>
    <xf numFmtId="0" fontId="12" fillId="0" borderId="1" xfId="0" applyFont="1" applyBorder="1" applyAlignment="1">
      <alignment horizontal="center" vertical="center" wrapText="1"/>
    </xf>
    <xf numFmtId="0" fontId="4" fillId="4" borderId="4" xfId="0" applyNumberFormat="1" applyFont="1" applyFill="1" applyBorder="1" applyAlignment="1">
      <alignment horizontal="left" vertical="center"/>
    </xf>
    <xf numFmtId="0" fontId="12" fillId="3" borderId="2" xfId="0" applyNumberFormat="1" applyFont="1" applyFill="1" applyBorder="1" applyAlignment="1">
      <alignment horizontal="left" vertical="center"/>
    </xf>
    <xf numFmtId="0" fontId="9" fillId="0" borderId="1" xfId="0" applyNumberFormat="1" applyFont="1" applyBorder="1" applyAlignment="1">
      <alignment horizontal="left" vertical="center" wrapText="1"/>
    </xf>
    <xf numFmtId="0" fontId="7" fillId="3" borderId="1" xfId="0" applyNumberFormat="1" applyFont="1" applyFill="1" applyBorder="1" applyAlignment="1">
      <alignment horizontal="left" vertical="center" wrapText="1"/>
    </xf>
    <xf numFmtId="0" fontId="3" fillId="3" borderId="1" xfId="0" applyNumberFormat="1" applyFont="1" applyFill="1" applyBorder="1" applyAlignment="1">
      <alignment horizontal="left" vertical="center" wrapText="1"/>
    </xf>
    <xf numFmtId="0" fontId="9" fillId="3" borderId="1" xfId="0" applyNumberFormat="1" applyFont="1" applyFill="1" applyBorder="1" applyAlignment="1">
      <alignment horizontal="left" vertical="center" wrapText="1"/>
    </xf>
    <xf numFmtId="0" fontId="3" fillId="0" borderId="4" xfId="0" applyNumberFormat="1" applyFont="1" applyBorder="1" applyAlignment="1">
      <alignmen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 fillId="0" borderId="10" xfId="0" applyNumberFormat="1" applyFont="1" applyBorder="1" applyAlignment="1">
      <alignment vertical="center"/>
    </xf>
    <xf numFmtId="0" fontId="2" fillId="0" borderId="9" xfId="0" applyNumberFormat="1" applyFont="1" applyBorder="1" applyAlignment="1">
      <alignment vertical="center"/>
    </xf>
    <xf numFmtId="0" fontId="2" fillId="0" borderId="1" xfId="0" applyNumberFormat="1" applyFont="1" applyBorder="1" applyAlignment="1">
      <alignment vertical="center"/>
    </xf>
    <xf numFmtId="0" fontId="2" fillId="0" borderId="1" xfId="0" applyNumberFormat="1" applyFont="1" applyFill="1" applyBorder="1" applyAlignment="1">
      <alignment horizontal="right" vertical="center" wrapText="1" indent="1"/>
    </xf>
    <xf numFmtId="165" fontId="2" fillId="0" borderId="1" xfId="0" applyNumberFormat="1" applyFont="1" applyFill="1" applyBorder="1" applyAlignment="1">
      <alignment horizontal="right" vertical="center" wrapText="1" indent="1"/>
    </xf>
    <xf numFmtId="165" fontId="3" fillId="0" borderId="1" xfId="0" applyNumberFormat="1" applyFont="1" applyBorder="1" applyAlignment="1">
      <alignment horizontal="right" indent="1"/>
    </xf>
    <xf numFmtId="0" fontId="2" fillId="0" borderId="8" xfId="0" applyFont="1" applyFill="1" applyBorder="1" applyAlignment="1">
      <alignment horizontal="right" indent="1"/>
    </xf>
    <xf numFmtId="165" fontId="3" fillId="0" borderId="1" xfId="0" applyNumberFormat="1" applyFont="1" applyBorder="1" applyAlignment="1">
      <alignment horizontal="right" vertical="center" indent="1"/>
    </xf>
    <xf numFmtId="0" fontId="7" fillId="0" borderId="1" xfId="0" applyFont="1" applyBorder="1" applyAlignment="1">
      <alignment horizontal="left" vertical="center"/>
    </xf>
    <xf numFmtId="3" fontId="9" fillId="3" borderId="1" xfId="0" applyNumberFormat="1" applyFont="1" applyFill="1" applyBorder="1" applyAlignment="1">
      <alignment horizontal="center" vertical="center"/>
    </xf>
    <xf numFmtId="4" fontId="7" fillId="3" borderId="1" xfId="0" applyNumberFormat="1" applyFont="1" applyFill="1" applyBorder="1" applyAlignment="1">
      <alignment horizontal="left" vertical="center" wrapText="1"/>
    </xf>
    <xf numFmtId="0" fontId="9" fillId="3" borderId="1" xfId="0" applyFont="1" applyFill="1" applyBorder="1" applyAlignment="1">
      <alignment horizontal="left" vertical="center" wrapText="1"/>
    </xf>
    <xf numFmtId="4" fontId="9" fillId="2" borderId="1" xfId="0" applyNumberFormat="1" applyFont="1" applyFill="1" applyBorder="1" applyAlignment="1">
      <alignment horizontal="center" vertical="center" wrapText="1"/>
    </xf>
    <xf numFmtId="3" fontId="7" fillId="3" borderId="1" xfId="0" applyNumberFormat="1" applyFont="1" applyFill="1" applyBorder="1" applyAlignment="1">
      <alignment horizontal="right" vertical="center" indent="1"/>
    </xf>
    <xf numFmtId="3" fontId="9" fillId="3" borderId="1" xfId="0" applyNumberFormat="1" applyFont="1" applyFill="1" applyBorder="1" applyAlignment="1">
      <alignment horizontal="right" vertical="center" indent="1"/>
    </xf>
    <xf numFmtId="4" fontId="7" fillId="3" borderId="1" xfId="0" applyNumberFormat="1" applyFont="1" applyFill="1" applyBorder="1" applyAlignment="1">
      <alignment horizontal="right" vertical="center" indent="1"/>
    </xf>
    <xf numFmtId="4" fontId="7" fillId="0" borderId="1" xfId="0" applyNumberFormat="1" applyFont="1" applyBorder="1" applyAlignment="1">
      <alignment horizontal="right" vertical="center" indent="1"/>
    </xf>
    <xf numFmtId="1" fontId="9" fillId="3" borderId="1" xfId="0" applyNumberFormat="1" applyFont="1" applyFill="1" applyBorder="1" applyAlignment="1">
      <alignment horizontal="right" vertical="center" indent="1"/>
    </xf>
    <xf numFmtId="4" fontId="9" fillId="3" borderId="1" xfId="0" applyNumberFormat="1" applyFont="1" applyFill="1" applyBorder="1" applyAlignment="1">
      <alignment horizontal="right" vertical="center" indent="1"/>
    </xf>
    <xf numFmtId="164" fontId="9" fillId="0" borderId="1" xfId="0" applyNumberFormat="1" applyFont="1" applyBorder="1" applyAlignment="1">
      <alignment horizontal="center" vertical="center"/>
    </xf>
    <xf numFmtId="3" fontId="7" fillId="0" borderId="1" xfId="0" applyNumberFormat="1" applyFont="1" applyBorder="1" applyAlignment="1">
      <alignment horizontal="right" vertical="center" indent="1"/>
    </xf>
    <xf numFmtId="0" fontId="7" fillId="3" borderId="1" xfId="0" applyNumberFormat="1" applyFont="1" applyFill="1" applyBorder="1" applyAlignment="1">
      <alignment vertical="center" wrapText="1"/>
    </xf>
    <xf numFmtId="0" fontId="7" fillId="3" borderId="1" xfId="0" applyFont="1" applyFill="1" applyBorder="1" applyAlignment="1">
      <alignment vertical="center" wrapText="1"/>
    </xf>
    <xf numFmtId="0" fontId="48" fillId="0" borderId="1" xfId="0" applyNumberFormat="1" applyFont="1" applyFill="1" applyBorder="1" applyAlignment="1">
      <alignment vertical="center" wrapText="1"/>
    </xf>
    <xf numFmtId="3" fontId="48" fillId="3" borderId="1" xfId="0" applyNumberFormat="1" applyFont="1" applyFill="1" applyBorder="1" applyAlignment="1">
      <alignment horizontal="right" vertical="center" indent="1"/>
    </xf>
    <xf numFmtId="3" fontId="47" fillId="9" borderId="1" xfId="0" applyNumberFormat="1" applyFont="1" applyFill="1" applyBorder="1" applyAlignment="1">
      <alignment horizontal="right" vertical="center" indent="1"/>
    </xf>
    <xf numFmtId="3" fontId="47" fillId="3" borderId="1" xfId="0" applyNumberFormat="1" applyFont="1" applyFill="1" applyBorder="1" applyAlignment="1">
      <alignment horizontal="right" vertical="center" indent="1"/>
    </xf>
    <xf numFmtId="3" fontId="7" fillId="0" borderId="1" xfId="0" applyNumberFormat="1" applyFont="1" applyBorder="1" applyAlignment="1">
      <alignment horizontal="left" vertical="center"/>
    </xf>
    <xf numFmtId="3" fontId="7" fillId="0" borderId="1" xfId="0" applyNumberFormat="1" applyFont="1" applyBorder="1" applyAlignment="1">
      <alignment horizontal="left" vertical="top" wrapText="1"/>
    </xf>
    <xf numFmtId="3" fontId="7" fillId="0" borderId="1" xfId="0" applyNumberFormat="1" applyFont="1" applyBorder="1" applyAlignment="1">
      <alignment horizontal="left" vertical="center" wrapText="1"/>
    </xf>
    <xf numFmtId="3" fontId="58" fillId="9" borderId="1" xfId="0" applyNumberFormat="1" applyFont="1" applyFill="1" applyBorder="1" applyAlignment="1">
      <alignment horizontal="center" vertical="center"/>
    </xf>
    <xf numFmtId="3" fontId="58" fillId="9" borderId="1" xfId="0" applyNumberFormat="1" applyFont="1" applyFill="1" applyBorder="1" applyAlignment="1">
      <alignment horizontal="right" vertical="center"/>
    </xf>
    <xf numFmtId="3" fontId="48" fillId="0" borderId="1" xfId="0" applyNumberFormat="1" applyFont="1" applyFill="1" applyBorder="1" applyAlignment="1">
      <alignment horizontal="left" vertical="center" wrapText="1"/>
    </xf>
    <xf numFmtId="3" fontId="58" fillId="3" borderId="1" xfId="0" applyNumberFormat="1" applyFont="1" applyFill="1" applyBorder="1" applyAlignment="1">
      <alignment horizontal="center" vertical="center"/>
    </xf>
    <xf numFmtId="3" fontId="58" fillId="9" borderId="1" xfId="0" applyNumberFormat="1" applyFont="1" applyFill="1" applyBorder="1" applyAlignment="1">
      <alignment horizontal="right" vertical="center" indent="1"/>
    </xf>
    <xf numFmtId="3" fontId="48" fillId="3" borderId="7" xfId="0" applyNumberFormat="1" applyFont="1" applyFill="1" applyBorder="1" applyAlignment="1">
      <alignment horizontal="center" vertical="center"/>
    </xf>
    <xf numFmtId="3" fontId="48" fillId="0" borderId="1" xfId="0" applyNumberFormat="1" applyFont="1" applyFill="1" applyBorder="1" applyAlignment="1">
      <alignment horizontal="center" vertical="center"/>
    </xf>
    <xf numFmtId="3" fontId="48" fillId="0" borderId="7" xfId="0" applyNumberFormat="1" applyFont="1" applyFill="1" applyBorder="1" applyAlignment="1">
      <alignment horizontal="center" vertical="center"/>
    </xf>
    <xf numFmtId="3" fontId="58" fillId="3" borderId="1" xfId="0" applyNumberFormat="1" applyFont="1" applyFill="1" applyBorder="1" applyAlignment="1">
      <alignment horizontal="right" vertical="center" indent="1"/>
    </xf>
    <xf numFmtId="3" fontId="48" fillId="3" borderId="7" xfId="0" applyNumberFormat="1" applyFont="1" applyFill="1" applyBorder="1" applyAlignment="1">
      <alignment horizontal="right" vertical="center" indent="1"/>
    </xf>
    <xf numFmtId="3" fontId="48" fillId="0" borderId="7" xfId="0" applyNumberFormat="1" applyFont="1" applyFill="1" applyBorder="1" applyAlignment="1">
      <alignment horizontal="right" vertical="center" indent="1"/>
    </xf>
    <xf numFmtId="0" fontId="35" fillId="0" borderId="2" xfId="0" applyNumberFormat="1" applyFont="1" applyFill="1" applyBorder="1" applyAlignment="1">
      <alignment horizontal="left" vertical="center" wrapText="1"/>
    </xf>
    <xf numFmtId="3" fontId="35" fillId="3" borderId="1" xfId="0" applyNumberFormat="1" applyFont="1" applyFill="1" applyBorder="1" applyAlignment="1">
      <alignment horizontal="center" vertical="center"/>
    </xf>
    <xf numFmtId="3" fontId="57" fillId="3" borderId="1" xfId="0" applyNumberFormat="1" applyFont="1" applyFill="1" applyBorder="1" applyAlignment="1">
      <alignment horizontal="right" vertical="center" indent="1"/>
    </xf>
    <xf numFmtId="0" fontId="4" fillId="2"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xf>
    <xf numFmtId="0" fontId="2" fillId="2" borderId="2" xfId="0" applyNumberFormat="1" applyFont="1" applyFill="1" applyBorder="1" applyAlignment="1">
      <alignment vertical="center" wrapText="1"/>
    </xf>
    <xf numFmtId="0" fontId="2" fillId="2" borderId="7" xfId="0" applyNumberFormat="1" applyFont="1" applyFill="1" applyBorder="1" applyAlignment="1">
      <alignment vertical="center" wrapText="1"/>
    </xf>
    <xf numFmtId="0" fontId="2" fillId="2" borderId="1" xfId="0" applyNumberFormat="1" applyFont="1" applyFill="1" applyBorder="1" applyAlignment="1">
      <alignment vertical="center" wrapText="1"/>
    </xf>
    <xf numFmtId="0" fontId="2" fillId="0" borderId="1" xfId="0" applyNumberFormat="1" applyFont="1" applyBorder="1" applyAlignment="1">
      <alignment vertical="center" wrapText="1"/>
    </xf>
    <xf numFmtId="0" fontId="3" fillId="3" borderId="1" xfId="0" applyNumberFormat="1" applyFont="1" applyFill="1" applyBorder="1" applyAlignment="1">
      <alignment vertical="center" wrapText="1"/>
    </xf>
    <xf numFmtId="0" fontId="3" fillId="0" borderId="1" xfId="0" applyNumberFormat="1" applyFont="1" applyBorder="1" applyAlignment="1">
      <alignment vertical="center" wrapText="1"/>
    </xf>
    <xf numFmtId="0" fontId="2" fillId="0" borderId="1" xfId="0" applyNumberFormat="1" applyFont="1" applyBorder="1" applyAlignment="1">
      <alignment horizontal="left" vertical="center" wrapText="1"/>
    </xf>
    <xf numFmtId="0" fontId="2" fillId="0" borderId="4" xfId="0" applyNumberFormat="1" applyFont="1" applyBorder="1" applyAlignment="1">
      <alignment horizontal="left" vertical="center" wrapText="1"/>
    </xf>
    <xf numFmtId="0" fontId="4" fillId="0" borderId="12" xfId="0" applyNumberFormat="1" applyFont="1" applyBorder="1" applyAlignment="1">
      <alignment vertical="center" wrapText="1"/>
    </xf>
    <xf numFmtId="0" fontId="4" fillId="0" borderId="10" xfId="0" applyNumberFormat="1" applyFont="1" applyBorder="1" applyAlignment="1">
      <alignment vertical="center" wrapText="1"/>
    </xf>
    <xf numFmtId="0" fontId="2" fillId="2"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7" xfId="0" applyNumberFormat="1" applyFont="1" applyBorder="1" applyAlignment="1">
      <alignment horizontal="left" vertical="center" wrapText="1"/>
    </xf>
    <xf numFmtId="0" fontId="4" fillId="4" borderId="1" xfId="0" applyNumberFormat="1" applyFont="1" applyFill="1" applyBorder="1" applyAlignment="1">
      <alignment horizontal="left" vertical="center" wrapText="1"/>
    </xf>
    <xf numFmtId="0" fontId="4" fillId="3" borderId="1" xfId="0" applyNumberFormat="1" applyFont="1" applyFill="1" applyBorder="1" applyAlignment="1">
      <alignment horizontal="left" vertical="center" wrapText="1"/>
    </xf>
    <xf numFmtId="3" fontId="55" fillId="3" borderId="1" xfId="0" applyNumberFormat="1" applyFont="1" applyFill="1" applyBorder="1" applyAlignment="1">
      <alignment horizontal="center" vertical="center" wrapText="1"/>
    </xf>
    <xf numFmtId="0" fontId="12" fillId="0" borderId="1" xfId="0" applyFont="1" applyBorder="1" applyAlignment="1">
      <alignment vertical="center" wrapText="1"/>
    </xf>
    <xf numFmtId="0" fontId="55" fillId="3" borderId="2" xfId="0" applyFont="1" applyFill="1" applyBorder="1" applyAlignment="1">
      <alignment vertical="center" wrapText="1"/>
    </xf>
    <xf numFmtId="0" fontId="55" fillId="3" borderId="3" xfId="0" applyFont="1" applyFill="1" applyBorder="1" applyAlignment="1">
      <alignment vertical="center" wrapText="1"/>
    </xf>
    <xf numFmtId="0" fontId="55" fillId="3" borderId="7" xfId="0"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0" borderId="0" xfId="0" applyNumberFormat="1" applyFont="1" applyBorder="1" applyAlignment="1">
      <alignment horizontal="left" vertical="center" wrapText="1"/>
    </xf>
    <xf numFmtId="0" fontId="3" fillId="0" borderId="3"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3" fillId="0" borderId="7" xfId="0" applyFont="1" applyBorder="1" applyAlignment="1">
      <alignment horizontal="center" vertical="center"/>
    </xf>
    <xf numFmtId="0" fontId="3" fillId="0" borderId="2" xfId="0" applyFont="1" applyBorder="1" applyAlignment="1">
      <alignment horizontal="left" vertical="center" wrapText="1"/>
    </xf>
    <xf numFmtId="0" fontId="3" fillId="0" borderId="7" xfId="0" applyFont="1" applyBorder="1" applyAlignment="1">
      <alignment horizontal="left" vertical="center" wrapTex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3" fillId="0" borderId="1" xfId="0" applyFont="1" applyBorder="1" applyAlignment="1">
      <alignment horizontal="center"/>
    </xf>
    <xf numFmtId="0" fontId="2" fillId="3" borderId="11" xfId="0" applyFont="1" applyFill="1" applyBorder="1" applyAlignment="1">
      <alignment horizontal="left" vertical="center"/>
    </xf>
    <xf numFmtId="0" fontId="2" fillId="0" borderId="1" xfId="0" applyNumberFormat="1" applyFont="1" applyBorder="1" applyAlignment="1">
      <alignment horizontal="left" vertical="center" wrapText="1" indent="1"/>
    </xf>
    <xf numFmtId="0" fontId="2" fillId="0" borderId="2" xfId="0" applyNumberFormat="1" applyFont="1" applyBorder="1" applyAlignment="1">
      <alignment horizontal="left" vertical="center"/>
    </xf>
    <xf numFmtId="0" fontId="2" fillId="0" borderId="1" xfId="0" applyNumberFormat="1" applyFont="1" applyBorder="1" applyAlignment="1">
      <alignment horizontal="center" vertical="center" wrapText="1"/>
    </xf>
    <xf numFmtId="0" fontId="3" fillId="0" borderId="2" xfId="0" applyFont="1" applyBorder="1" applyAlignment="1">
      <alignment horizontal="left" wrapText="1"/>
    </xf>
    <xf numFmtId="0" fontId="3" fillId="0" borderId="3" xfId="0" applyFont="1" applyBorder="1" applyAlignment="1">
      <alignment horizontal="left"/>
    </xf>
    <xf numFmtId="0" fontId="3" fillId="0" borderId="7" xfId="0" applyFont="1" applyBorder="1" applyAlignment="1">
      <alignment horizontal="left"/>
    </xf>
    <xf numFmtId="0" fontId="3" fillId="0" borderId="3" xfId="0" applyFont="1" applyBorder="1" applyAlignment="1">
      <alignment horizontal="left" wrapText="1"/>
    </xf>
    <xf numFmtId="0" fontId="3" fillId="0" borderId="7" xfId="0" applyFont="1" applyBorder="1" applyAlignment="1">
      <alignment horizontal="left" wrapText="1"/>
    </xf>
    <xf numFmtId="3" fontId="3" fillId="0" borderId="1" xfId="0" applyNumberFormat="1" applyFont="1" applyBorder="1" applyAlignment="1">
      <alignment horizontal="center" vertical="center"/>
    </xf>
    <xf numFmtId="176" fontId="3" fillId="0" borderId="3" xfId="2" applyNumberFormat="1" applyFont="1" applyBorder="1" applyAlignment="1">
      <alignment horizontal="center" vertical="center"/>
    </xf>
    <xf numFmtId="43" fontId="3" fillId="0" borderId="3" xfId="2" applyFont="1" applyBorder="1" applyAlignment="1">
      <alignment horizontal="center" vertical="center" wrapText="1"/>
    </xf>
    <xf numFmtId="0" fontId="3" fillId="0" borderId="3" xfId="0" applyFont="1" applyBorder="1" applyAlignment="1">
      <alignment horizontal="left" vertical="center"/>
    </xf>
    <xf numFmtId="0" fontId="3" fillId="0" borderId="3" xfId="0" applyFont="1" applyBorder="1" applyAlignment="1">
      <alignment horizontal="left"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3" fillId="0" borderId="0" xfId="0" applyFont="1" applyBorder="1" applyAlignment="1">
      <alignment horizontal="lef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1" fontId="3" fillId="0" borderId="4" xfId="0" applyNumberFormat="1" applyFont="1" applyBorder="1" applyAlignment="1">
      <alignment horizontal="center" vertical="center"/>
    </xf>
    <xf numFmtId="1" fontId="3" fillId="0" borderId="6" xfId="0" applyNumberFormat="1" applyFont="1" applyBorder="1" applyAlignment="1">
      <alignment horizontal="center" vertical="center"/>
    </xf>
    <xf numFmtId="0" fontId="3" fillId="0" borderId="1" xfId="0" applyFont="1" applyBorder="1" applyAlignment="1">
      <alignment horizontal="center" vertical="center"/>
    </xf>
    <xf numFmtId="4" fontId="2" fillId="0" borderId="1" xfId="0" applyNumberFormat="1" applyFont="1" applyBorder="1" applyAlignment="1">
      <alignment horizontal="center" vertical="center"/>
    </xf>
    <xf numFmtId="4" fontId="3"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3" fillId="0" borderId="1" xfId="0" applyFont="1" applyBorder="1" applyAlignment="1">
      <alignment horizontal="center" vertical="center" wrapText="1"/>
    </xf>
    <xf numFmtId="4" fontId="3" fillId="0" borderId="11" xfId="0" applyNumberFormat="1" applyFont="1" applyBorder="1" applyAlignment="1">
      <alignment horizontal="center" vertical="center"/>
    </xf>
    <xf numFmtId="0" fontId="2" fillId="2" borderId="4" xfId="0" applyFont="1" applyFill="1" applyBorder="1" applyAlignment="1">
      <alignment horizontal="center" vertical="center"/>
    </xf>
    <xf numFmtId="0" fontId="2" fillId="0" borderId="0" xfId="0" applyFont="1" applyBorder="1" applyAlignment="1">
      <alignment horizontal="left" vertical="center"/>
    </xf>
    <xf numFmtId="3" fontId="3" fillId="3" borderId="1"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3" fillId="0" borderId="1" xfId="0" applyFont="1" applyBorder="1" applyAlignment="1">
      <alignment horizontal="left" vertical="center"/>
    </xf>
    <xf numFmtId="0" fontId="3" fillId="3" borderId="1" xfId="0" applyFont="1" applyFill="1" applyBorder="1" applyAlignment="1">
      <alignment horizontal="center" vertical="center" wrapText="1"/>
    </xf>
    <xf numFmtId="0" fontId="3" fillId="0" borderId="4" xfId="0" applyFont="1" applyBorder="1" applyAlignment="1">
      <alignment horizontal="left" vertical="center"/>
    </xf>
    <xf numFmtId="0" fontId="2" fillId="3" borderId="2" xfId="0" applyFont="1" applyFill="1" applyBorder="1" applyAlignment="1">
      <alignment horizontal="left" vertical="center" wrapText="1"/>
    </xf>
    <xf numFmtId="164" fontId="3" fillId="0" borderId="2" xfId="0" applyNumberFormat="1" applyFont="1" applyBorder="1" applyAlignment="1">
      <alignment horizontal="center" vertical="center"/>
    </xf>
    <xf numFmtId="164" fontId="3" fillId="0" borderId="7" xfId="0" applyNumberFormat="1" applyFont="1" applyBorder="1" applyAlignment="1">
      <alignment horizontal="center" vertical="center"/>
    </xf>
    <xf numFmtId="3"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2" fillId="0" borderId="1" xfId="0" applyNumberFormat="1" applyFont="1" applyBorder="1" applyAlignment="1">
      <alignment horizontal="left" vertical="center"/>
    </xf>
    <xf numFmtId="3" fontId="2" fillId="0" borderId="1" xfId="0" applyNumberFormat="1" applyFont="1" applyBorder="1" applyAlignment="1">
      <alignment horizontal="center" vertical="center" wrapText="1"/>
    </xf>
    <xf numFmtId="3" fontId="2" fillId="0" borderId="1" xfId="0" applyNumberFormat="1" applyFont="1" applyBorder="1" applyAlignment="1">
      <alignment horizontal="left" vertical="center" wrapText="1"/>
    </xf>
    <xf numFmtId="0" fontId="3" fillId="0"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3" fillId="0" borderId="1" xfId="0" applyFont="1" applyBorder="1" applyAlignment="1">
      <alignment horizontal="left" vertical="center" wrapText="1"/>
    </xf>
    <xf numFmtId="4" fontId="3" fillId="3" borderId="1" xfId="0" applyNumberFormat="1" applyFont="1" applyFill="1" applyBorder="1" applyAlignment="1">
      <alignment horizontal="center" vertical="center"/>
    </xf>
    <xf numFmtId="0" fontId="3" fillId="3" borderId="1" xfId="0" applyFont="1" applyFill="1" applyBorder="1" applyAlignment="1">
      <alignment horizontal="center"/>
    </xf>
    <xf numFmtId="0" fontId="3" fillId="3" borderId="1" xfId="0" applyNumberFormat="1" applyFont="1" applyFill="1" applyBorder="1" applyAlignment="1">
      <alignment horizontal="left" vertical="center" wrapText="1"/>
    </xf>
    <xf numFmtId="164" fontId="3"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3" fontId="2" fillId="3" borderId="1" xfId="0" applyNumberFormat="1" applyFont="1" applyFill="1" applyBorder="1" applyAlignment="1">
      <alignment horizontal="center" vertical="center"/>
    </xf>
    <xf numFmtId="0" fontId="2" fillId="3" borderId="1" xfId="0" applyFont="1" applyFill="1" applyBorder="1" applyAlignment="1">
      <alignment horizontal="left" vertical="center" wrapText="1"/>
    </xf>
    <xf numFmtId="0" fontId="7" fillId="3" borderId="1" xfId="0" applyNumberFormat="1" applyFont="1" applyFill="1" applyBorder="1" applyAlignment="1">
      <alignment horizontal="left" vertical="center" wrapText="1"/>
    </xf>
    <xf numFmtId="164" fontId="7"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3" fontId="3" fillId="0" borderId="7" xfId="0" applyNumberFormat="1" applyFont="1" applyBorder="1" applyAlignment="1">
      <alignment horizontal="right" vertical="center" wrapText="1"/>
    </xf>
    <xf numFmtId="3" fontId="3" fillId="0" borderId="1" xfId="0" applyNumberFormat="1" applyFont="1" applyBorder="1" applyAlignment="1">
      <alignment horizontal="right" vertical="center"/>
    </xf>
    <xf numFmtId="0" fontId="2" fillId="0" borderId="4" xfId="0" applyNumberFormat="1" applyFont="1" applyBorder="1" applyAlignment="1">
      <alignment horizontal="center" vertical="center" wrapText="1"/>
    </xf>
    <xf numFmtId="4" fontId="2" fillId="2" borderId="1" xfId="0" applyNumberFormat="1" applyFont="1" applyFill="1" applyBorder="1" applyAlignment="1">
      <alignment horizontal="right" vertical="center"/>
    </xf>
    <xf numFmtId="0" fontId="2" fillId="3" borderId="5" xfId="0" applyFont="1" applyFill="1" applyBorder="1" applyAlignment="1">
      <alignment horizontal="center" vertical="center"/>
    </xf>
    <xf numFmtId="0" fontId="2" fillId="0" borderId="7" xfId="0" applyNumberFormat="1" applyFont="1" applyBorder="1" applyAlignment="1">
      <alignment horizontal="left" vertical="center" wrapText="1"/>
    </xf>
    <xf numFmtId="3" fontId="2" fillId="0" borderId="1" xfId="0" applyNumberFormat="1" applyFont="1" applyFill="1" applyBorder="1" applyAlignment="1">
      <alignment horizontal="center"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3" fontId="2" fillId="2"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xf>
    <xf numFmtId="0" fontId="2" fillId="0" borderId="0" xfId="0" applyFont="1" applyBorder="1" applyAlignment="1">
      <alignment horizontal="left"/>
    </xf>
    <xf numFmtId="0" fontId="3" fillId="0" borderId="1" xfId="0" applyFont="1" applyBorder="1" applyAlignment="1">
      <alignment horizontal="center" wrapText="1"/>
    </xf>
    <xf numFmtId="0" fontId="2" fillId="0" borderId="0" xfId="0" applyFont="1" applyBorder="1" applyAlignment="1">
      <alignment horizontal="left" wrapText="1"/>
    </xf>
    <xf numFmtId="0" fontId="2" fillId="2" borderId="4" xfId="0" applyNumberFormat="1" applyFont="1" applyFill="1" applyBorder="1" applyAlignment="1">
      <alignment horizontal="left" vertical="center" wrapText="1"/>
    </xf>
    <xf numFmtId="0" fontId="2" fillId="2" borderId="6" xfId="0" applyNumberFormat="1" applyFont="1" applyFill="1" applyBorder="1" applyAlignment="1">
      <alignment horizontal="left" vertical="center" wrapText="1"/>
    </xf>
    <xf numFmtId="0" fontId="3" fillId="0" borderId="0" xfId="0" applyFont="1" applyBorder="1" applyAlignment="1">
      <alignment horizontal="left"/>
    </xf>
    <xf numFmtId="0" fontId="2" fillId="0" borderId="0" xfId="0" applyFont="1" applyBorder="1" applyAlignment="1">
      <alignment horizontal="center" vertical="center"/>
    </xf>
    <xf numFmtId="0" fontId="2" fillId="0" borderId="3"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3" fillId="0" borderId="1" xfId="0" applyFont="1" applyBorder="1" applyAlignment="1">
      <alignment horizontal="left"/>
    </xf>
    <xf numFmtId="165" fontId="3" fillId="0" borderId="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3" fillId="0" borderId="11" xfId="0" applyNumberFormat="1" applyFont="1" applyBorder="1" applyAlignment="1">
      <alignment horizontal="left" vertical="center" wrapText="1"/>
    </xf>
    <xf numFmtId="0" fontId="2" fillId="0" borderId="15" xfId="0" applyNumberFormat="1" applyFont="1" applyFill="1" applyBorder="1" applyAlignment="1">
      <alignment horizontal="center" vertical="center" wrapText="1"/>
    </xf>
    <xf numFmtId="0" fontId="2" fillId="0" borderId="7" xfId="0" applyNumberFormat="1" applyFont="1" applyFill="1" applyBorder="1" applyAlignment="1">
      <alignment vertical="center" wrapText="1"/>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2" fillId="0" borderId="4" xfId="0" applyNumberFormat="1" applyFont="1" applyBorder="1" applyAlignment="1">
      <alignment horizontal="left" vertical="center"/>
    </xf>
    <xf numFmtId="0" fontId="2" fillId="0" borderId="5" xfId="0" applyNumberFormat="1" applyFont="1" applyBorder="1" applyAlignment="1">
      <alignment horizontal="left" vertical="center"/>
    </xf>
    <xf numFmtId="0" fontId="2" fillId="3" borderId="12" xfId="0" applyNumberFormat="1" applyFont="1" applyFill="1" applyBorder="1" applyAlignment="1">
      <alignment horizontal="left" vertical="center" wrapText="1"/>
    </xf>
    <xf numFmtId="0" fontId="2" fillId="0" borderId="1" xfId="0" applyFont="1" applyFill="1" applyBorder="1"/>
    <xf numFmtId="0" fontId="2" fillId="0" borderId="1" xfId="0" applyFont="1" applyFill="1" applyBorder="1" applyAlignment="1">
      <alignment horizontal="left"/>
    </xf>
    <xf numFmtId="0" fontId="3" fillId="0" borderId="2" xfId="0" applyFont="1" applyFill="1" applyBorder="1" applyAlignment="1">
      <alignment vertical="center"/>
    </xf>
    <xf numFmtId="0" fontId="3" fillId="0" borderId="3" xfId="0" applyFont="1" applyFill="1" applyBorder="1" applyAlignment="1">
      <alignment vertical="center"/>
    </xf>
    <xf numFmtId="0" fontId="2" fillId="0" borderId="4"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3" borderId="1" xfId="0" applyFont="1" applyFill="1" applyBorder="1" applyAlignment="1">
      <alignment horizontal="left" vertical="center"/>
    </xf>
    <xf numFmtId="3" fontId="7" fillId="0" borderId="1" xfId="0" applyNumberFormat="1" applyFont="1" applyBorder="1" applyAlignment="1">
      <alignment horizontal="center" vertical="center"/>
    </xf>
    <xf numFmtId="0" fontId="9" fillId="0" borderId="1" xfId="0" applyNumberFormat="1" applyFont="1" applyBorder="1" applyAlignment="1">
      <alignment vertical="center" wrapText="1"/>
    </xf>
    <xf numFmtId="0" fontId="9" fillId="0" borderId="2"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7" xfId="0" applyNumberFormat="1" applyFont="1" applyBorder="1" applyAlignment="1">
      <alignment vertical="center" wrapText="1"/>
    </xf>
    <xf numFmtId="0" fontId="3" fillId="0" borderId="2" xfId="0" applyNumberFormat="1" applyFont="1" applyFill="1" applyBorder="1" applyAlignment="1">
      <alignment vertical="center" wrapText="1"/>
    </xf>
    <xf numFmtId="0" fontId="2" fillId="3" borderId="10" xfId="0" applyNumberFormat="1" applyFont="1" applyFill="1" applyBorder="1" applyAlignment="1">
      <alignment horizontal="left" vertical="center" wrapText="1"/>
    </xf>
    <xf numFmtId="0" fontId="3" fillId="0" borderId="1" xfId="0" quotePrefix="1" applyNumberFormat="1" applyFont="1" applyBorder="1" applyAlignment="1">
      <alignment vertical="center" wrapText="1"/>
    </xf>
    <xf numFmtId="49" fontId="2" fillId="0" borderId="1" xfId="0" quotePrefix="1" applyNumberFormat="1" applyFont="1" applyBorder="1" applyAlignment="1">
      <alignment horizontal="center" vertical="center" wrapText="1"/>
    </xf>
    <xf numFmtId="0" fontId="3" fillId="0" borderId="1" xfId="0" applyNumberFormat="1" applyFont="1" applyBorder="1" applyAlignment="1">
      <alignment horizontal="left" vertical="center" wrapText="1" indent="1"/>
    </xf>
    <xf numFmtId="0" fontId="12" fillId="3" borderId="3" xfId="0" applyNumberFormat="1" applyFont="1" applyFill="1" applyBorder="1" applyAlignment="1">
      <alignment vertical="center"/>
    </xf>
    <xf numFmtId="0" fontId="12" fillId="3" borderId="7" xfId="0" applyNumberFormat="1" applyFont="1" applyFill="1" applyBorder="1" applyAlignment="1">
      <alignment vertical="center"/>
    </xf>
    <xf numFmtId="0" fontId="12" fillId="0" borderId="1" xfId="0" applyFont="1" applyBorder="1" applyAlignment="1">
      <alignment vertical="top" wrapText="1"/>
    </xf>
    <xf numFmtId="0" fontId="12" fillId="0" borderId="1" xfId="0" quotePrefix="1" applyFont="1" applyBorder="1" applyAlignment="1">
      <alignment horizontal="center" vertical="center" wrapText="1"/>
    </xf>
    <xf numFmtId="0" fontId="59" fillId="0" borderId="4" xfId="0" applyNumberFormat="1" applyFont="1" applyBorder="1" applyAlignment="1">
      <alignment vertical="center" wrapText="1"/>
    </xf>
    <xf numFmtId="0" fontId="59" fillId="0" borderId="1" xfId="0" applyNumberFormat="1" applyFont="1" applyBorder="1" applyAlignment="1">
      <alignment horizontal="left" vertical="center" wrapText="1"/>
    </xf>
    <xf numFmtId="0" fontId="59" fillId="0" borderId="5" xfId="0" applyNumberFormat="1" applyFont="1" applyBorder="1" applyAlignment="1">
      <alignment horizontal="left" vertical="center" wrapText="1" indent="1"/>
    </xf>
    <xf numFmtId="0" fontId="59" fillId="0" borderId="4" xfId="0" applyNumberFormat="1" applyFont="1" applyBorder="1" applyAlignment="1">
      <alignment horizontal="left" vertical="center" wrapText="1"/>
    </xf>
    <xf numFmtId="0" fontId="59" fillId="0" borderId="5" xfId="0" applyNumberFormat="1" applyFont="1" applyBorder="1" applyAlignment="1">
      <alignment horizontal="left" vertical="center" wrapText="1"/>
    </xf>
    <xf numFmtId="0" fontId="59" fillId="3" borderId="10" xfId="0" applyNumberFormat="1" applyFont="1" applyFill="1" applyBorder="1" applyAlignment="1">
      <alignment horizontal="left" vertical="center" wrapText="1" indent="1"/>
    </xf>
    <xf numFmtId="0" fontId="59" fillId="3" borderId="10" xfId="0" applyNumberFormat="1" applyFont="1" applyFill="1" applyBorder="1" applyAlignment="1">
      <alignment horizontal="center" vertical="center" wrapText="1"/>
    </xf>
    <xf numFmtId="171" fontId="59" fillId="3" borderId="10" xfId="0" applyNumberFormat="1" applyFont="1" applyFill="1" applyBorder="1" applyAlignment="1">
      <alignment horizontal="center" vertical="center" wrapText="1"/>
    </xf>
    <xf numFmtId="171" fontId="59" fillId="3" borderId="9" xfId="0" applyNumberFormat="1" applyFont="1" applyFill="1" applyBorder="1" applyAlignment="1">
      <alignment horizontal="center" vertical="center" wrapText="1"/>
    </xf>
    <xf numFmtId="0" fontId="59" fillId="17" borderId="5" xfId="0" applyNumberFormat="1" applyFont="1" applyFill="1" applyBorder="1" applyAlignment="1">
      <alignment horizontal="left" vertical="center" wrapText="1"/>
    </xf>
    <xf numFmtId="0" fontId="59" fillId="3" borderId="15" xfId="0" quotePrefix="1" applyNumberFormat="1" applyFont="1" applyFill="1" applyBorder="1" applyAlignment="1">
      <alignment vertical="center" wrapText="1"/>
    </xf>
    <xf numFmtId="0" fontId="59" fillId="3" borderId="1" xfId="0" applyNumberFormat="1" applyFont="1" applyFill="1" applyBorder="1" applyAlignment="1">
      <alignment vertical="center" wrapText="1"/>
    </xf>
    <xf numFmtId="0" fontId="59" fillId="3" borderId="3" xfId="0" applyNumberFormat="1" applyFont="1" applyFill="1" applyBorder="1" applyAlignment="1">
      <alignment vertical="center" wrapText="1"/>
    </xf>
    <xf numFmtId="0" fontId="59" fillId="3" borderId="3" xfId="0" quotePrefix="1" applyNumberFormat="1" applyFont="1" applyFill="1" applyBorder="1" applyAlignment="1">
      <alignment horizontal="center" vertical="center" wrapText="1"/>
    </xf>
    <xf numFmtId="0" fontId="59" fillId="3" borderId="8" xfId="0" quotePrefix="1" applyNumberFormat="1" applyFont="1" applyFill="1" applyBorder="1" applyAlignment="1">
      <alignment horizontal="center" vertical="center" wrapText="1"/>
    </xf>
    <xf numFmtId="0" fontId="59" fillId="3" borderId="3" xfId="0" applyNumberFormat="1" applyFont="1" applyFill="1" applyBorder="1" applyAlignment="1">
      <alignment horizontal="center" vertical="center" wrapText="1"/>
    </xf>
    <xf numFmtId="0" fontId="59" fillId="3" borderId="7" xfId="0" applyNumberFormat="1" applyFont="1" applyFill="1" applyBorder="1" applyAlignment="1">
      <alignment vertical="center" wrapText="1"/>
    </xf>
    <xf numFmtId="3" fontId="59" fillId="3" borderId="7" xfId="0" applyNumberFormat="1" applyFont="1" applyFill="1" applyBorder="1" applyAlignment="1">
      <alignment horizontal="center" vertical="center" wrapText="1"/>
    </xf>
    <xf numFmtId="0" fontId="59" fillId="3" borderId="7" xfId="0" applyNumberFormat="1" applyFont="1" applyFill="1" applyBorder="1" applyAlignment="1">
      <alignment horizontal="center" vertical="center" wrapText="1"/>
    </xf>
    <xf numFmtId="0" fontId="20" fillId="3" borderId="3" xfId="0" applyNumberFormat="1" applyFont="1" applyFill="1" applyBorder="1" applyAlignment="1">
      <alignment vertical="center" wrapText="1"/>
    </xf>
    <xf numFmtId="164" fontId="20" fillId="3" borderId="3" xfId="0" applyNumberFormat="1" applyFont="1" applyFill="1" applyBorder="1" applyAlignment="1">
      <alignment vertical="center"/>
    </xf>
    <xf numFmtId="168" fontId="59" fillId="3" borderId="3" xfId="0" applyNumberFormat="1" applyFont="1" applyFill="1" applyBorder="1" applyAlignment="1">
      <alignment vertical="center"/>
    </xf>
    <xf numFmtId="0" fontId="0" fillId="11" borderId="4" xfId="0" applyFill="1" applyBorder="1"/>
    <xf numFmtId="0" fontId="59" fillId="11" borderId="6" xfId="0" applyNumberFormat="1" applyFont="1" applyFill="1" applyBorder="1" applyAlignment="1">
      <alignment vertical="center" wrapText="1"/>
    </xf>
    <xf numFmtId="0" fontId="59" fillId="11" borderId="2" xfId="0" applyNumberFormat="1" applyFont="1" applyFill="1" applyBorder="1" applyAlignment="1">
      <alignment vertical="center" wrapText="1"/>
    </xf>
    <xf numFmtId="0" fontId="59" fillId="11" borderId="1" xfId="0" applyNumberFormat="1" applyFont="1" applyFill="1" applyBorder="1" applyAlignment="1">
      <alignment vertical="center" wrapText="1"/>
    </xf>
    <xf numFmtId="0" fontId="59" fillId="11" borderId="1" xfId="0" applyNumberFormat="1" applyFont="1" applyFill="1" applyBorder="1" applyAlignment="1">
      <alignment horizontal="center" vertical="center"/>
    </xf>
    <xf numFmtId="0" fontId="59" fillId="3" borderId="11" xfId="0" applyNumberFormat="1" applyFont="1" applyFill="1" applyBorder="1" applyAlignment="1">
      <alignment horizontal="center" vertical="center" wrapText="1"/>
    </xf>
    <xf numFmtId="0" fontId="59" fillId="3" borderId="13" xfId="0" applyNumberFormat="1" applyFont="1" applyFill="1" applyBorder="1" applyAlignment="1">
      <alignment horizontal="center" vertical="center" wrapText="1"/>
    </xf>
    <xf numFmtId="0" fontId="2" fillId="11" borderId="1" xfId="0" applyNumberFormat="1" applyFont="1" applyFill="1" applyBorder="1" applyAlignment="1">
      <alignment horizontal="center" vertical="center" wrapText="1"/>
    </xf>
    <xf numFmtId="0" fontId="59" fillId="11" borderId="18" xfId="0" applyNumberFormat="1" applyFont="1" applyFill="1" applyBorder="1" applyAlignment="1">
      <alignment horizontal="center" vertical="center" wrapText="1"/>
    </xf>
    <xf numFmtId="0" fontId="0" fillId="11" borderId="13" xfId="0" applyFill="1" applyBorder="1" applyAlignment="1"/>
    <xf numFmtId="0" fontId="0" fillId="11" borderId="9" xfId="0" applyFill="1" applyBorder="1" applyAlignment="1"/>
    <xf numFmtId="165" fontId="2" fillId="0" borderId="1" xfId="0" applyNumberFormat="1" applyFont="1" applyBorder="1" applyAlignment="1">
      <alignment horizontal="right" indent="1"/>
    </xf>
    <xf numFmtId="0" fontId="3" fillId="0" borderId="8" xfId="0" applyFont="1" applyFill="1" applyBorder="1" applyAlignment="1">
      <alignment horizontal="right" indent="1"/>
    </xf>
    <xf numFmtId="165" fontId="2" fillId="0" borderId="24" xfId="0" applyNumberFormat="1" applyFont="1" applyFill="1" applyBorder="1" applyAlignment="1">
      <alignment horizontal="center" vertical="center" wrapText="1"/>
    </xf>
    <xf numFmtId="0" fontId="3" fillId="0" borderId="8" xfId="0" applyFont="1" applyBorder="1" applyAlignment="1">
      <alignment horizontal="right" indent="1"/>
    </xf>
    <xf numFmtId="0" fontId="3" fillId="0" borderId="8" xfId="0" applyFont="1" applyBorder="1" applyAlignment="1">
      <alignment horizontal="right"/>
    </xf>
    <xf numFmtId="165" fontId="2" fillId="0" borderId="1" xfId="0" applyNumberFormat="1" applyFont="1" applyBorder="1" applyAlignment="1">
      <alignment horizontal="right" vertical="center" indent="1"/>
    </xf>
    <xf numFmtId="165" fontId="2" fillId="0" borderId="2" xfId="0" applyNumberFormat="1" applyFont="1" applyFill="1" applyBorder="1" applyAlignment="1">
      <alignment horizontal="right" vertical="center" wrapText="1" indent="1"/>
    </xf>
    <xf numFmtId="165" fontId="3" fillId="0" borderId="2" xfId="0" applyNumberFormat="1" applyFont="1" applyFill="1" applyBorder="1" applyAlignment="1">
      <alignment horizontal="right" vertical="center" wrapText="1" indent="1"/>
    </xf>
    <xf numFmtId="0" fontId="2" fillId="0" borderId="1" xfId="0" applyFont="1" applyBorder="1" applyAlignment="1">
      <alignment horizontal="right" indent="1"/>
    </xf>
    <xf numFmtId="165" fontId="4" fillId="0" borderId="1" xfId="0" applyNumberFormat="1" applyFont="1" applyBorder="1" applyAlignment="1">
      <alignment horizontal="right" indent="1"/>
    </xf>
    <xf numFmtId="165" fontId="3" fillId="0" borderId="2" xfId="0" applyNumberFormat="1" applyFont="1" applyBorder="1" applyAlignment="1">
      <alignment horizontal="right" indent="1"/>
    </xf>
    <xf numFmtId="165" fontId="3" fillId="0" borderId="1" xfId="0" applyNumberFormat="1" applyFont="1" applyFill="1" applyBorder="1" applyAlignment="1">
      <alignment horizontal="right" vertical="center" wrapText="1" indent="1"/>
    </xf>
    <xf numFmtId="165" fontId="12" fillId="0" borderId="1" xfId="0" applyNumberFormat="1" applyFont="1" applyBorder="1" applyAlignment="1">
      <alignment horizontal="right" indent="1"/>
    </xf>
    <xf numFmtId="0" fontId="2" fillId="0" borderId="7" xfId="0" applyNumberFormat="1" applyFont="1" applyFill="1" applyBorder="1" applyAlignment="1">
      <alignment horizontal="right" vertical="center" wrapText="1" indent="1"/>
    </xf>
    <xf numFmtId="0" fontId="3" fillId="0" borderId="0" xfId="0" applyFont="1" applyBorder="1" applyAlignment="1">
      <alignment horizontal="right" indent="1"/>
    </xf>
    <xf numFmtId="0" fontId="3" fillId="0" borderId="0" xfId="0" applyFont="1" applyAlignment="1">
      <alignment horizontal="right" indent="1"/>
    </xf>
    <xf numFmtId="0" fontId="3" fillId="0" borderId="8" xfId="0" applyFont="1" applyBorder="1" applyAlignment="1">
      <alignment horizontal="right" vertical="center" wrapText="1" indent="1"/>
    </xf>
    <xf numFmtId="0" fontId="2" fillId="0" borderId="1" xfId="0" applyNumberFormat="1" applyFont="1" applyBorder="1" applyAlignment="1">
      <alignment horizontal="right" vertical="center" wrapText="1" indent="1"/>
    </xf>
    <xf numFmtId="0" fontId="9" fillId="0" borderId="2" xfId="0" applyNumberFormat="1" applyFont="1" applyBorder="1" applyAlignment="1">
      <alignment horizontal="right" vertical="center" wrapText="1" indent="1"/>
    </xf>
    <xf numFmtId="0" fontId="9" fillId="0" borderId="7" xfId="0" applyNumberFormat="1" applyFont="1" applyBorder="1" applyAlignment="1">
      <alignment horizontal="right" vertical="center" wrapText="1" indent="1"/>
    </xf>
    <xf numFmtId="3" fontId="2" fillId="0" borderId="1" xfId="0" applyNumberFormat="1" applyFont="1" applyBorder="1" applyAlignment="1">
      <alignment horizontal="right" indent="1"/>
    </xf>
    <xf numFmtId="3" fontId="3" fillId="0" borderId="1" xfId="0" applyNumberFormat="1" applyFont="1" applyBorder="1" applyAlignment="1">
      <alignment horizontal="right" indent="1"/>
    </xf>
    <xf numFmtId="0" fontId="7" fillId="0" borderId="2" xfId="0" applyNumberFormat="1" applyFont="1" applyBorder="1" applyAlignment="1">
      <alignment horizontal="right" vertical="center" wrapText="1" indent="1"/>
    </xf>
    <xf numFmtId="3" fontId="4" fillId="0" borderId="1" xfId="0" applyNumberFormat="1" applyFont="1" applyBorder="1" applyAlignment="1">
      <alignment horizontal="right" indent="1"/>
    </xf>
    <xf numFmtId="164" fontId="3" fillId="0" borderId="1" xfId="0" applyNumberFormat="1" applyFont="1" applyBorder="1" applyAlignment="1">
      <alignment horizontal="right" indent="1"/>
    </xf>
    <xf numFmtId="164" fontId="4" fillId="0" borderId="1" xfId="0" applyNumberFormat="1" applyFont="1" applyBorder="1" applyAlignment="1">
      <alignment horizontal="right" indent="1"/>
    </xf>
    <xf numFmtId="3" fontId="4" fillId="0" borderId="7" xfId="0" applyNumberFormat="1" applyFont="1" applyFill="1" applyBorder="1" applyAlignment="1">
      <alignment horizontal="right" vertical="center" wrapText="1" indent="1"/>
    </xf>
    <xf numFmtId="3" fontId="3" fillId="0" borderId="1" xfId="0" applyNumberFormat="1" applyFont="1" applyFill="1" applyBorder="1" applyAlignment="1">
      <alignment horizontal="right" indent="1"/>
    </xf>
    <xf numFmtId="0" fontId="3" fillId="0" borderId="1" xfId="0" applyFont="1" applyFill="1" applyBorder="1" applyAlignment="1">
      <alignment horizontal="right" indent="1"/>
    </xf>
    <xf numFmtId="0" fontId="3" fillId="3" borderId="1" xfId="0" applyFont="1" applyFill="1" applyBorder="1" applyAlignment="1">
      <alignment horizontal="right" indent="1"/>
    </xf>
    <xf numFmtId="0" fontId="4" fillId="3" borderId="46" xfId="0" applyNumberFormat="1" applyFont="1" applyFill="1" applyBorder="1" applyAlignment="1">
      <alignment horizontal="right" vertical="center" wrapText="1" indent="1"/>
    </xf>
    <xf numFmtId="2" fontId="3" fillId="0" borderId="1" xfId="0" applyNumberFormat="1" applyFont="1" applyBorder="1" applyAlignment="1">
      <alignment horizontal="right" indent="1"/>
    </xf>
    <xf numFmtId="0" fontId="9" fillId="0" borderId="1" xfId="0" applyNumberFormat="1" applyFont="1" applyBorder="1" applyAlignment="1">
      <alignment horizontal="right" vertical="center" wrapText="1" indent="1"/>
    </xf>
    <xf numFmtId="0" fontId="2" fillId="2" borderId="27" xfId="0" applyNumberFormat="1" applyFont="1" applyFill="1" applyBorder="1" applyAlignment="1">
      <alignment horizontal="right" vertical="center" wrapText="1" indent="1"/>
    </xf>
    <xf numFmtId="0" fontId="2" fillId="2" borderId="1" xfId="0" applyNumberFormat="1" applyFont="1" applyFill="1" applyBorder="1" applyAlignment="1">
      <alignment horizontal="right" vertical="center" wrapText="1" indent="1"/>
    </xf>
    <xf numFmtId="0" fontId="2" fillId="2" borderId="32" xfId="0" applyNumberFormat="1" applyFont="1" applyFill="1" applyBorder="1" applyAlignment="1">
      <alignment horizontal="right" vertical="center" wrapText="1" indent="1"/>
    </xf>
    <xf numFmtId="165" fontId="3" fillId="0" borderId="0" xfId="0" applyNumberFormat="1" applyFont="1" applyBorder="1" applyAlignment="1">
      <alignment horizontal="right" indent="1"/>
    </xf>
    <xf numFmtId="0" fontId="3" fillId="3" borderId="8" xfId="0" applyFont="1" applyFill="1" applyBorder="1" applyAlignment="1">
      <alignment horizontal="right" indent="1"/>
    </xf>
    <xf numFmtId="0" fontId="3" fillId="0" borderId="1" xfId="0" applyFont="1" applyBorder="1" applyAlignment="1">
      <alignment horizontal="right" indent="1"/>
    </xf>
    <xf numFmtId="0" fontId="3" fillId="0" borderId="0" xfId="0" applyFont="1" applyFill="1" applyBorder="1" applyAlignment="1">
      <alignment horizontal="right" indent="1"/>
    </xf>
    <xf numFmtId="166" fontId="4" fillId="0" borderId="1" xfId="0" applyNumberFormat="1" applyFont="1" applyBorder="1" applyAlignment="1">
      <alignment horizontal="right" indent="1"/>
    </xf>
    <xf numFmtId="166" fontId="3" fillId="0" borderId="1" xfId="0" applyNumberFormat="1" applyFont="1" applyBorder="1" applyAlignment="1">
      <alignment horizontal="right" indent="1"/>
    </xf>
    <xf numFmtId="0" fontId="2" fillId="4" borderId="1" xfId="0" applyNumberFormat="1" applyFont="1" applyFill="1" applyBorder="1" applyAlignment="1">
      <alignment horizontal="center" vertical="center" wrapText="1"/>
    </xf>
    <xf numFmtId="0" fontId="9" fillId="4" borderId="1" xfId="0" applyNumberFormat="1" applyFont="1" applyFill="1" applyBorder="1" applyAlignment="1">
      <alignment horizontal="left" vertical="center" wrapText="1"/>
    </xf>
    <xf numFmtId="0" fontId="2" fillId="3" borderId="2" xfId="0" applyNumberFormat="1" applyFont="1" applyFill="1" applyBorder="1" applyAlignment="1">
      <alignment horizontal="left" vertical="center" wrapText="1"/>
    </xf>
    <xf numFmtId="0" fontId="2" fillId="3" borderId="3" xfId="0" applyNumberFormat="1" applyFont="1" applyFill="1" applyBorder="1" applyAlignment="1">
      <alignment horizontal="left" vertical="center" wrapText="1"/>
    </xf>
    <xf numFmtId="0" fontId="62" fillId="3" borderId="15" xfId="0" applyNumberFormat="1" applyFont="1" applyFill="1" applyBorder="1" applyAlignment="1">
      <alignment vertical="center"/>
    </xf>
    <xf numFmtId="0" fontId="62" fillId="3" borderId="0" xfId="0" applyNumberFormat="1" applyFont="1" applyFill="1" applyBorder="1" applyAlignment="1">
      <alignment vertical="center"/>
    </xf>
    <xf numFmtId="0" fontId="33" fillId="3" borderId="0" xfId="0" applyFont="1" applyFill="1" applyBorder="1"/>
    <xf numFmtId="0" fontId="33" fillId="3" borderId="8" xfId="0" applyFont="1" applyFill="1" applyBorder="1"/>
    <xf numFmtId="0" fontId="62" fillId="3" borderId="15" xfId="0" applyNumberFormat="1" applyFont="1" applyFill="1" applyBorder="1" applyAlignment="1">
      <alignment vertical="center" wrapText="1"/>
    </xf>
    <xf numFmtId="0" fontId="62" fillId="3" borderId="0" xfId="0" applyNumberFormat="1" applyFont="1" applyFill="1" applyBorder="1" applyAlignment="1">
      <alignment vertical="center" wrapText="1"/>
    </xf>
    <xf numFmtId="0" fontId="33" fillId="3" borderId="15" xfId="0" applyNumberFormat="1" applyFont="1" applyFill="1" applyBorder="1" applyAlignment="1">
      <alignment vertical="center"/>
    </xf>
    <xf numFmtId="0" fontId="33" fillId="3" borderId="0" xfId="0" applyNumberFormat="1" applyFont="1" applyFill="1" applyBorder="1" applyAlignment="1">
      <alignment vertical="center"/>
    </xf>
    <xf numFmtId="0" fontId="62" fillId="3" borderId="8" xfId="0" applyNumberFormat="1" applyFont="1" applyFill="1" applyBorder="1" applyAlignment="1">
      <alignment vertical="center" wrapText="1"/>
    </xf>
    <xf numFmtId="0" fontId="33" fillId="3" borderId="14" xfId="0" applyNumberFormat="1" applyFont="1" applyFill="1" applyBorder="1" applyAlignment="1">
      <alignment vertical="center"/>
    </xf>
    <xf numFmtId="0" fontId="33" fillId="3" borderId="10" xfId="0" applyNumberFormat="1" applyFont="1" applyFill="1" applyBorder="1" applyAlignment="1">
      <alignment vertical="center"/>
    </xf>
    <xf numFmtId="0" fontId="62" fillId="3" borderId="10" xfId="0" applyNumberFormat="1" applyFont="1" applyFill="1" applyBorder="1" applyAlignment="1">
      <alignment vertical="center" wrapText="1"/>
    </xf>
    <xf numFmtId="0" fontId="62" fillId="3" borderId="9" xfId="0" applyNumberFormat="1" applyFont="1" applyFill="1" applyBorder="1" applyAlignment="1">
      <alignment vertical="center" wrapText="1"/>
    </xf>
    <xf numFmtId="0" fontId="7" fillId="5" borderId="1" xfId="0" applyFont="1" applyFill="1" applyBorder="1"/>
    <xf numFmtId="0" fontId="2" fillId="5" borderId="1" xfId="0" applyNumberFormat="1" applyFont="1" applyFill="1" applyBorder="1" applyAlignment="1">
      <alignment horizontal="left" vertical="center" wrapText="1"/>
    </xf>
    <xf numFmtId="0" fontId="47" fillId="0" borderId="1" xfId="0" applyNumberFormat="1" applyFont="1" applyFill="1" applyBorder="1" applyAlignment="1">
      <alignment horizontal="left" vertical="center" wrapText="1"/>
    </xf>
    <xf numFmtId="0" fontId="3" fillId="3" borderId="1" xfId="0" quotePrefix="1" applyNumberFormat="1" applyFont="1" applyFill="1" applyBorder="1" applyAlignment="1">
      <alignment horizontal="left" vertical="center" wrapText="1"/>
    </xf>
    <xf numFmtId="0" fontId="3" fillId="6" borderId="3" xfId="0" applyFont="1" applyFill="1" applyBorder="1"/>
    <xf numFmtId="0" fontId="2" fillId="3" borderId="5" xfId="0" applyNumberFormat="1" applyFont="1" applyFill="1" applyBorder="1" applyAlignment="1">
      <alignment vertical="center"/>
    </xf>
    <xf numFmtId="0" fontId="2" fillId="6" borderId="4" xfId="0" applyNumberFormat="1" applyFont="1" applyFill="1" applyBorder="1" applyAlignment="1">
      <alignment vertical="center"/>
    </xf>
    <xf numFmtId="0" fontId="2" fillId="6" borderId="6" xfId="0" applyNumberFormat="1" applyFont="1" applyFill="1" applyBorder="1" applyAlignment="1">
      <alignment vertical="center"/>
    </xf>
    <xf numFmtId="0" fontId="3" fillId="6" borderId="6" xfId="0" applyFont="1" applyFill="1" applyBorder="1"/>
    <xf numFmtId="2" fontId="2" fillId="0" borderId="10" xfId="0" applyNumberFormat="1" applyFont="1" applyBorder="1" applyAlignment="1">
      <alignment vertical="center"/>
    </xf>
    <xf numFmtId="0" fontId="3" fillId="6" borderId="5" xfId="0" applyFont="1" applyFill="1" applyBorder="1"/>
    <xf numFmtId="0" fontId="2" fillId="0" borderId="15" xfId="0" applyNumberFormat="1" applyFont="1" applyBorder="1" applyAlignment="1">
      <alignment horizontal="left" vertical="center"/>
    </xf>
    <xf numFmtId="174" fontId="3" fillId="0" borderId="1" xfId="2" applyNumberFormat="1" applyFont="1" applyFill="1" applyBorder="1"/>
    <xf numFmtId="0" fontId="2" fillId="0" borderId="5" xfId="0" applyFont="1" applyBorder="1" applyAlignment="1">
      <alignment horizontal="left"/>
    </xf>
    <xf numFmtId="0" fontId="3" fillId="0" borderId="12" xfId="0" applyFont="1" applyFill="1" applyBorder="1" applyAlignment="1">
      <alignment horizontal="left"/>
    </xf>
    <xf numFmtId="0" fontId="3" fillId="0" borderId="0" xfId="0" applyFont="1" applyFill="1" applyBorder="1" applyAlignment="1">
      <alignment horizontal="left"/>
    </xf>
    <xf numFmtId="0" fontId="2" fillId="0" borderId="2" xfId="0" applyFont="1" applyBorder="1" applyAlignment="1">
      <alignment horizontal="left"/>
    </xf>
    <xf numFmtId="0" fontId="2" fillId="0" borderId="10" xfId="0" applyFont="1" applyBorder="1" applyAlignment="1">
      <alignment horizontal="left"/>
    </xf>
    <xf numFmtId="0" fontId="3" fillId="0" borderId="1" xfId="0" applyFont="1" applyBorder="1" applyAlignment="1">
      <alignment horizontal="left" wrapText="1"/>
    </xf>
    <xf numFmtId="164" fontId="3" fillId="0" borderId="7" xfId="0" applyNumberFormat="1" applyFont="1" applyBorder="1"/>
    <xf numFmtId="0" fontId="3" fillId="0" borderId="7" xfId="0" applyFont="1" applyBorder="1" applyAlignment="1">
      <alignment horizontal="right" indent="1"/>
    </xf>
    <xf numFmtId="4" fontId="5" fillId="0" borderId="1" xfId="0" applyNumberFormat="1" applyFont="1" applyBorder="1" applyAlignment="1">
      <alignment vertical="center"/>
    </xf>
    <xf numFmtId="0" fontId="2" fillId="3" borderId="1" xfId="0" applyNumberFormat="1" applyFont="1" applyFill="1" applyBorder="1" applyAlignment="1">
      <alignment horizontal="left" vertical="center" wrapText="1"/>
    </xf>
    <xf numFmtId="0" fontId="2" fillId="3" borderId="4" xfId="0" applyNumberFormat="1" applyFont="1" applyFill="1" applyBorder="1" applyAlignment="1">
      <alignment horizontal="left" vertical="center" wrapText="1"/>
    </xf>
    <xf numFmtId="0" fontId="2" fillId="3" borderId="6" xfId="0" applyNumberFormat="1" applyFont="1" applyFill="1" applyBorder="1" applyAlignment="1">
      <alignment horizontal="left" vertical="center" wrapText="1"/>
    </xf>
    <xf numFmtId="0" fontId="3" fillId="0" borderId="1" xfId="0" applyNumberFormat="1" applyFont="1" applyBorder="1" applyAlignment="1">
      <alignment vertical="center" wrapText="1"/>
    </xf>
    <xf numFmtId="0" fontId="3" fillId="0" borderId="2"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2" borderId="1" xfId="0" applyNumberFormat="1" applyFont="1" applyFill="1" applyBorder="1" applyAlignment="1">
      <alignment horizontal="center" vertical="center" wrapText="1"/>
    </xf>
    <xf numFmtId="0" fontId="2" fillId="0" borderId="1" xfId="0" applyNumberFormat="1" applyFont="1" applyBorder="1" applyAlignment="1">
      <alignment vertical="center" wrapText="1"/>
    </xf>
    <xf numFmtId="0" fontId="2" fillId="2" borderId="2" xfId="0" applyNumberFormat="1" applyFont="1" applyFill="1" applyBorder="1" applyAlignment="1">
      <alignment horizontal="center" vertical="center" wrapText="1"/>
    </xf>
    <xf numFmtId="0" fontId="3" fillId="0" borderId="2" xfId="0" applyFont="1" applyBorder="1" applyAlignment="1">
      <alignment horizontal="left" vertical="center" wrapText="1"/>
    </xf>
    <xf numFmtId="0" fontId="2" fillId="0" borderId="1" xfId="0" applyNumberFormat="1" applyFont="1" applyBorder="1" applyAlignment="1">
      <alignment horizontal="left" vertical="center" wrapText="1" indent="1"/>
    </xf>
    <xf numFmtId="0" fontId="2" fillId="0" borderId="1" xfId="0" applyNumberFormat="1" applyFont="1" applyBorder="1" applyAlignment="1">
      <alignment horizontal="center" vertical="center" wrapText="1"/>
    </xf>
    <xf numFmtId="0" fontId="7" fillId="0" borderId="1" xfId="0" applyNumberFormat="1" applyFont="1" applyBorder="1" applyAlignment="1">
      <alignment horizontal="left" vertical="center" wrapText="1"/>
    </xf>
    <xf numFmtId="0" fontId="2" fillId="0" borderId="4"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9" fillId="0" borderId="1" xfId="0" applyNumberFormat="1" applyFont="1" applyBorder="1" applyAlignment="1">
      <alignment horizontal="left" vertical="center" wrapText="1"/>
    </xf>
    <xf numFmtId="0" fontId="2" fillId="2" borderId="1" xfId="0" applyNumberFormat="1" applyFont="1" applyFill="1" applyBorder="1" applyAlignment="1">
      <alignment horizontal="center" vertical="center"/>
    </xf>
    <xf numFmtId="0" fontId="3" fillId="0" borderId="4" xfId="0" applyFont="1" applyBorder="1" applyAlignment="1">
      <alignment horizontal="left"/>
    </xf>
    <xf numFmtId="0" fontId="2" fillId="0" borderId="2" xfId="0" applyNumberFormat="1" applyFont="1" applyFill="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9" fillId="0" borderId="4" xfId="0" applyNumberFormat="1" applyFont="1" applyBorder="1" applyAlignment="1">
      <alignment horizontal="center" vertical="center" wrapText="1"/>
    </xf>
    <xf numFmtId="0" fontId="3" fillId="0" borderId="7" xfId="0" applyFont="1" applyFill="1" applyBorder="1" applyAlignment="1">
      <alignment horizontal="center" vertical="center" wrapText="1"/>
    </xf>
    <xf numFmtId="0" fontId="2" fillId="3" borderId="3" xfId="0" applyNumberFormat="1" applyFont="1" applyFill="1" applyBorder="1" applyAlignment="1">
      <alignment horizontal="left" vertical="center" wrapText="1"/>
    </xf>
    <xf numFmtId="0" fontId="16" fillId="0" borderId="1" xfId="0" applyNumberFormat="1" applyFont="1" applyBorder="1" applyAlignment="1">
      <alignment horizontal="center" vertical="center" wrapText="1"/>
    </xf>
    <xf numFmtId="0" fontId="16" fillId="0" borderId="4"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2" fillId="2" borderId="2" xfId="0" applyNumberFormat="1" applyFont="1" applyFill="1" applyBorder="1" applyAlignment="1">
      <alignment vertical="center" wrapText="1"/>
    </xf>
    <xf numFmtId="0" fontId="7" fillId="0" borderId="1" xfId="0" applyFont="1" applyFill="1" applyBorder="1" applyAlignment="1">
      <alignment horizontal="left" vertical="center" wrapText="1"/>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wrapText="1"/>
    </xf>
    <xf numFmtId="3" fontId="7" fillId="0" borderId="1" xfId="0" applyNumberFormat="1" applyFont="1" applyBorder="1" applyAlignment="1">
      <alignment horizontal="right" vertical="center" indent="1"/>
    </xf>
    <xf numFmtId="3" fontId="7" fillId="3" borderId="1" xfId="0" applyNumberFormat="1" applyFont="1" applyFill="1" applyBorder="1" applyAlignment="1">
      <alignment horizontal="center" vertical="center"/>
    </xf>
    <xf numFmtId="3" fontId="3" fillId="3" borderId="1" xfId="0" applyNumberFormat="1" applyFont="1" applyFill="1" applyBorder="1" applyAlignment="1">
      <alignment horizontal="center" vertical="center"/>
    </xf>
    <xf numFmtId="0" fontId="3" fillId="3" borderId="1" xfId="0" applyNumberFormat="1" applyFont="1" applyFill="1" applyBorder="1" applyAlignment="1">
      <alignment horizontal="left" vertical="center" wrapText="1"/>
    </xf>
    <xf numFmtId="3" fontId="2" fillId="3" borderId="1" xfId="0" applyNumberFormat="1" applyFont="1" applyFill="1" applyBorder="1" applyAlignment="1">
      <alignment horizontal="center" vertical="center"/>
    </xf>
    <xf numFmtId="0" fontId="3" fillId="3" borderId="1" xfId="0" applyNumberFormat="1" applyFont="1" applyFill="1" applyBorder="1" applyAlignment="1">
      <alignment horizontal="left" vertical="center" wrapText="1" indent="1"/>
    </xf>
    <xf numFmtId="0" fontId="2" fillId="3" borderId="2" xfId="0" applyNumberFormat="1" applyFont="1" applyFill="1" applyBorder="1" applyAlignment="1">
      <alignment horizontal="left" vertical="center" wrapText="1"/>
    </xf>
    <xf numFmtId="0" fontId="2" fillId="3" borderId="1" xfId="0" applyNumberFormat="1" applyFont="1" applyFill="1" applyBorder="1" applyAlignment="1">
      <alignment horizontal="left" vertical="center" wrapText="1" indent="1"/>
    </xf>
    <xf numFmtId="0" fontId="3" fillId="0" borderId="2" xfId="0" applyFont="1" applyBorder="1" applyAlignment="1">
      <alignment horizontal="left" vertical="center"/>
    </xf>
    <xf numFmtId="0" fontId="3" fillId="0" borderId="2" xfId="0" applyFont="1" applyBorder="1" applyAlignment="1">
      <alignment horizontal="center"/>
    </xf>
    <xf numFmtId="0" fontId="3" fillId="3" borderId="2" xfId="0" applyNumberFormat="1" applyFont="1" applyFill="1" applyBorder="1" applyAlignment="1">
      <alignment horizontal="center" vertical="center" wrapText="1"/>
    </xf>
    <xf numFmtId="0" fontId="3" fillId="0" borderId="7" xfId="0" applyFont="1" applyFill="1" applyBorder="1" applyAlignment="1">
      <alignment horizontal="center" vertical="center"/>
    </xf>
    <xf numFmtId="0" fontId="2" fillId="0" borderId="4" xfId="0" applyNumberFormat="1" applyFont="1" applyFill="1" applyBorder="1" applyAlignment="1">
      <alignment horizontal="center" vertical="center" wrapText="1"/>
    </xf>
    <xf numFmtId="170" fontId="3" fillId="0" borderId="2" xfId="2" applyNumberFormat="1" applyFont="1" applyBorder="1" applyAlignment="1">
      <alignment horizontal="center" vertical="center"/>
    </xf>
    <xf numFmtId="170" fontId="3" fillId="0" borderId="7" xfId="2" applyNumberFormat="1" applyFont="1" applyBorder="1" applyAlignment="1">
      <alignment horizontal="center" vertical="center"/>
    </xf>
    <xf numFmtId="0" fontId="2" fillId="0" borderId="5" xfId="0" applyNumberFormat="1" applyFont="1" applyBorder="1" applyAlignment="1">
      <alignment vertical="center" wrapText="1"/>
    </xf>
    <xf numFmtId="170" fontId="3" fillId="0" borderId="1" xfId="2" applyNumberFormat="1" applyFont="1" applyBorder="1" applyAlignment="1">
      <alignment horizontal="center" vertical="center"/>
    </xf>
    <xf numFmtId="170" fontId="3" fillId="0" borderId="4" xfId="2" applyNumberFormat="1" applyFont="1" applyBorder="1" applyAlignment="1">
      <alignment horizontal="center" vertical="center"/>
    </xf>
    <xf numFmtId="0" fontId="2" fillId="0" borderId="11" xfId="0" applyNumberFormat="1" applyFont="1" applyFill="1" applyBorder="1" applyAlignment="1">
      <alignment horizontal="left" vertical="center" wrapText="1"/>
    </xf>
    <xf numFmtId="0" fontId="2" fillId="0" borderId="12" xfId="0" applyNumberFormat="1" applyFont="1" applyFill="1" applyBorder="1" applyAlignment="1">
      <alignment horizontal="left" vertical="center" wrapText="1"/>
    </xf>
    <xf numFmtId="0" fontId="2" fillId="0" borderId="13" xfId="0" applyNumberFormat="1" applyFont="1" applyFill="1" applyBorder="1" applyAlignment="1">
      <alignment horizontal="left" vertical="center" wrapText="1"/>
    </xf>
    <xf numFmtId="0" fontId="2" fillId="0" borderId="14" xfId="0" applyNumberFormat="1" applyFont="1" applyFill="1" applyBorder="1" applyAlignment="1">
      <alignment horizontal="left" vertical="center" wrapText="1"/>
    </xf>
    <xf numFmtId="0" fontId="2" fillId="0" borderId="10" xfId="0" applyNumberFormat="1" applyFont="1" applyFill="1" applyBorder="1" applyAlignment="1">
      <alignment horizontal="left" vertical="center" wrapText="1"/>
    </xf>
    <xf numFmtId="0" fontId="2" fillId="0" borderId="9"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indent="1"/>
    </xf>
    <xf numFmtId="0" fontId="3" fillId="0" borderId="7" xfId="0"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7" xfId="0" quotePrefix="1" applyFont="1" applyFill="1" applyBorder="1" applyAlignment="1">
      <alignment horizontal="center" vertical="center" wrapText="1"/>
    </xf>
    <xf numFmtId="0" fontId="3" fillId="0" borderId="2" xfId="0" applyFont="1" applyFill="1" applyBorder="1" applyAlignment="1">
      <alignment horizontal="left" vertical="center"/>
    </xf>
    <xf numFmtId="0" fontId="3" fillId="0" borderId="2" xfId="0" applyFont="1" applyFill="1" applyBorder="1" applyAlignment="1">
      <alignment vertical="center"/>
    </xf>
    <xf numFmtId="0" fontId="3" fillId="0" borderId="7" xfId="0" applyFont="1" applyFill="1" applyBorder="1" applyAlignment="1">
      <alignment vertical="center"/>
    </xf>
    <xf numFmtId="3" fontId="7" fillId="0" borderId="2" xfId="0" applyNumberFormat="1" applyFont="1" applyBorder="1" applyAlignment="1">
      <alignment horizontal="center" vertical="center"/>
    </xf>
    <xf numFmtId="0" fontId="7" fillId="0" borderId="1" xfId="0" applyNumberFormat="1" applyFont="1" applyFill="1" applyBorder="1" applyAlignment="1">
      <alignment horizontal="left" vertical="center" wrapText="1"/>
    </xf>
    <xf numFmtId="3" fontId="7" fillId="0" borderId="1" xfId="0" applyNumberFormat="1" applyFont="1" applyBorder="1" applyAlignment="1">
      <alignment horizontal="center" vertical="center"/>
    </xf>
    <xf numFmtId="3" fontId="3" fillId="0" borderId="2" xfId="0" applyNumberFormat="1" applyFont="1" applyFill="1" applyBorder="1" applyAlignment="1">
      <alignment horizontal="center" vertical="center"/>
    </xf>
    <xf numFmtId="0" fontId="9" fillId="0" borderId="5" xfId="0" applyNumberFormat="1" applyFont="1" applyBorder="1" applyAlignment="1">
      <alignment vertical="center" wrapText="1"/>
    </xf>
    <xf numFmtId="0" fontId="16" fillId="0" borderId="4" xfId="0" applyNumberFormat="1" applyFont="1" applyBorder="1" applyAlignment="1">
      <alignment horizontal="left" vertical="center"/>
    </xf>
    <xf numFmtId="0" fontId="9" fillId="0" borderId="4" xfId="0" applyNumberFormat="1" applyFont="1" applyFill="1" applyBorder="1" applyAlignment="1">
      <alignment horizontal="left" vertical="center" wrapText="1"/>
    </xf>
    <xf numFmtId="0" fontId="9" fillId="0" borderId="6" xfId="0" applyNumberFormat="1" applyFont="1" applyFill="1" applyBorder="1" applyAlignment="1">
      <alignment horizontal="left" vertical="center" wrapText="1"/>
    </xf>
    <xf numFmtId="0" fontId="16" fillId="0" borderId="1" xfId="0" applyNumberFormat="1" applyFont="1" applyBorder="1" applyAlignment="1">
      <alignment vertical="center" wrapText="1"/>
    </xf>
    <xf numFmtId="0" fontId="16" fillId="0" borderId="5" xfId="0" applyNumberFormat="1" applyFont="1" applyBorder="1" applyAlignment="1">
      <alignment horizontal="center" vertical="center" wrapText="1"/>
    </xf>
    <xf numFmtId="0" fontId="16" fillId="2"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wrapText="1"/>
    </xf>
    <xf numFmtId="0" fontId="9" fillId="5" borderId="4" xfId="0" applyNumberFormat="1" applyFont="1" applyFill="1" applyBorder="1" applyAlignment="1">
      <alignment horizontal="left" vertical="center" indent="1"/>
    </xf>
    <xf numFmtId="0" fontId="9" fillId="5" borderId="5" xfId="0" applyNumberFormat="1" applyFont="1" applyFill="1" applyBorder="1" applyAlignment="1">
      <alignment horizontal="left" vertical="center" indent="1"/>
    </xf>
    <xf numFmtId="0" fontId="16" fillId="0" borderId="5" xfId="0" applyNumberFormat="1" applyFont="1" applyBorder="1" applyAlignment="1">
      <alignment horizontal="left" vertical="center" wrapText="1"/>
    </xf>
    <xf numFmtId="0" fontId="16" fillId="0" borderId="6" xfId="0" applyNumberFormat="1" applyFont="1" applyBorder="1" applyAlignment="1">
      <alignment horizontal="left" vertical="center" wrapText="1"/>
    </xf>
    <xf numFmtId="0" fontId="9" fillId="2" borderId="2" xfId="0" applyNumberFormat="1" applyFont="1" applyFill="1" applyBorder="1" applyAlignment="1">
      <alignment vertical="center" wrapText="1"/>
    </xf>
    <xf numFmtId="0" fontId="9" fillId="2" borderId="7" xfId="0" applyNumberFormat="1" applyFont="1" applyFill="1" applyBorder="1" applyAlignment="1">
      <alignment vertical="center" wrapText="1"/>
    </xf>
    <xf numFmtId="0" fontId="16" fillId="0" borderId="1" xfId="0" applyNumberFormat="1" applyFont="1" applyFill="1" applyBorder="1" applyAlignment="1">
      <alignment horizontal="center" vertical="center" wrapText="1"/>
    </xf>
    <xf numFmtId="0" fontId="16" fillId="2" borderId="2" xfId="0" applyNumberFormat="1" applyFont="1" applyFill="1" applyBorder="1" applyAlignment="1">
      <alignment vertical="center" wrapText="1"/>
    </xf>
    <xf numFmtId="0" fontId="16" fillId="0" borderId="5" xfId="0" applyNumberFormat="1" applyFont="1" applyFill="1" applyBorder="1" applyAlignment="1">
      <alignment horizontal="left" vertical="center" wrapText="1"/>
    </xf>
    <xf numFmtId="0" fontId="16" fillId="5" borderId="4" xfId="0" applyNumberFormat="1" applyFont="1" applyFill="1" applyBorder="1" applyAlignment="1">
      <alignment horizontal="left" vertical="center"/>
    </xf>
    <xf numFmtId="0" fontId="16" fillId="5" borderId="5" xfId="0" applyNumberFormat="1" applyFont="1" applyFill="1" applyBorder="1" applyAlignment="1">
      <alignment horizontal="left" vertical="center"/>
    </xf>
    <xf numFmtId="0" fontId="17" fillId="0" borderId="4" xfId="0" applyNumberFormat="1" applyFont="1" applyFill="1" applyBorder="1" applyAlignment="1">
      <alignment horizontal="center" vertical="center" wrapText="1"/>
    </xf>
    <xf numFmtId="0" fontId="17" fillId="0" borderId="5" xfId="0" applyNumberFormat="1" applyFont="1" applyFill="1" applyBorder="1" applyAlignment="1">
      <alignment horizontal="center" vertical="center" wrapText="1"/>
    </xf>
    <xf numFmtId="0" fontId="17" fillId="0" borderId="6" xfId="0" applyNumberFormat="1" applyFont="1" applyFill="1" applyBorder="1" applyAlignment="1">
      <alignment horizontal="center" vertical="center" wrapText="1"/>
    </xf>
    <xf numFmtId="0" fontId="2" fillId="3" borderId="9" xfId="0" applyNumberFormat="1" applyFont="1" applyFill="1" applyBorder="1" applyAlignment="1">
      <alignment horizontal="center" vertical="center" wrapText="1"/>
    </xf>
    <xf numFmtId="3" fontId="2" fillId="2" borderId="1" xfId="0" applyNumberFormat="1" applyFont="1" applyFill="1" applyBorder="1" applyAlignment="1">
      <alignment vertical="center" wrapText="1"/>
    </xf>
    <xf numFmtId="0" fontId="0" fillId="3" borderId="8" xfId="0" applyFill="1" applyBorder="1"/>
    <xf numFmtId="0" fontId="0" fillId="3" borderId="9" xfId="0" applyFill="1" applyBorder="1"/>
    <xf numFmtId="2" fontId="20" fillId="3" borderId="1" xfId="0" applyNumberFormat="1" applyFont="1" applyFill="1" applyBorder="1" applyAlignment="1">
      <alignment horizontal="right" vertical="center" indent="1"/>
    </xf>
    <xf numFmtId="2" fontId="20" fillId="3" borderId="2" xfId="0" applyNumberFormat="1" applyFont="1" applyFill="1" applyBorder="1" applyAlignment="1">
      <alignment horizontal="right" vertical="center" indent="1"/>
    </xf>
    <xf numFmtId="0" fontId="4" fillId="5" borderId="11" xfId="0" applyNumberFormat="1" applyFont="1" applyFill="1" applyBorder="1" applyAlignment="1">
      <alignment vertical="center" wrapText="1"/>
    </xf>
    <xf numFmtId="0" fontId="59" fillId="3" borderId="12" xfId="0" applyNumberFormat="1" applyFont="1" applyFill="1" applyBorder="1" applyAlignment="1">
      <alignment horizontal="left" vertical="center" wrapText="1" indent="1"/>
    </xf>
    <xf numFmtId="0" fontId="59" fillId="3" borderId="12" xfId="0" applyNumberFormat="1" applyFont="1" applyFill="1" applyBorder="1" applyAlignment="1">
      <alignment horizontal="center" vertical="center" wrapText="1"/>
    </xf>
    <xf numFmtId="0" fontId="59" fillId="3" borderId="5" xfId="0" applyNumberFormat="1" applyFont="1" applyFill="1" applyBorder="1" applyAlignment="1">
      <alignment horizontal="left" vertical="center" wrapText="1" indent="1"/>
    </xf>
    <xf numFmtId="0" fontId="59" fillId="3" borderId="5" xfId="0" applyNumberFormat="1" applyFont="1" applyFill="1" applyBorder="1" applyAlignment="1">
      <alignment horizontal="center" vertical="center" wrapText="1"/>
    </xf>
    <xf numFmtId="0" fontId="59" fillId="3" borderId="6" xfId="0" applyNumberFormat="1" applyFont="1" applyFill="1" applyBorder="1" applyAlignment="1">
      <alignment horizontal="center" vertical="center" wrapText="1"/>
    </xf>
    <xf numFmtId="173" fontId="59" fillId="3" borderId="3" xfId="0" applyNumberFormat="1" applyFont="1" applyFill="1" applyBorder="1" applyAlignment="1">
      <alignment horizontal="left" vertical="center"/>
    </xf>
    <xf numFmtId="3" fontId="59" fillId="18" borderId="1" xfId="0" applyNumberFormat="1" applyFont="1" applyFill="1" applyBorder="1" applyAlignment="1">
      <alignment horizontal="right" vertical="center" indent="1"/>
    </xf>
    <xf numFmtId="0" fontId="7" fillId="0" borderId="7" xfId="0" applyFont="1" applyBorder="1"/>
    <xf numFmtId="2" fontId="3" fillId="3" borderId="7" xfId="0" applyNumberFormat="1" applyFont="1" applyFill="1" applyBorder="1" applyAlignment="1">
      <alignment horizontal="right" vertical="center" indent="1"/>
    </xf>
    <xf numFmtId="0" fontId="7" fillId="0" borderId="1" xfId="0" applyFont="1" applyFill="1" applyBorder="1"/>
    <xf numFmtId="2" fontId="3" fillId="3" borderId="1" xfId="0" applyNumberFormat="1" applyFont="1" applyFill="1" applyBorder="1" applyAlignment="1">
      <alignment horizontal="right" vertical="center" indent="1"/>
    </xf>
    <xf numFmtId="0" fontId="7" fillId="0" borderId="1" xfId="0" applyFont="1" applyFill="1" applyBorder="1" applyAlignment="1">
      <alignment vertical="center"/>
    </xf>
    <xf numFmtId="0" fontId="7" fillId="0" borderId="2" xfId="0" applyFont="1" applyFill="1" applyBorder="1" applyAlignment="1">
      <alignment vertical="center"/>
    </xf>
    <xf numFmtId="0" fontId="3" fillId="0" borderId="2" xfId="0" applyFont="1" applyFill="1" applyBorder="1" applyAlignment="1">
      <alignment vertical="center" wrapText="1"/>
    </xf>
    <xf numFmtId="2" fontId="3" fillId="0" borderId="7" xfId="0" applyNumberFormat="1" applyFont="1" applyBorder="1" applyAlignment="1">
      <alignment vertical="center" wrapText="1"/>
    </xf>
    <xf numFmtId="0" fontId="7" fillId="0" borderId="1" xfId="0" applyFont="1" applyFill="1" applyBorder="1" applyAlignment="1">
      <alignment vertical="center" wrapText="1"/>
    </xf>
    <xf numFmtId="164" fontId="3" fillId="0" borderId="1" xfId="0" applyNumberFormat="1" applyFont="1" applyFill="1" applyBorder="1" applyAlignment="1">
      <alignment horizontal="center" vertical="center"/>
    </xf>
    <xf numFmtId="164" fontId="7" fillId="0" borderId="1" xfId="0" applyNumberFormat="1" applyFont="1" applyFill="1" applyBorder="1" applyAlignment="1">
      <alignment horizontal="center" vertical="center"/>
    </xf>
    <xf numFmtId="0" fontId="7" fillId="0" borderId="2" xfId="0" applyFont="1" applyFill="1" applyBorder="1" applyAlignment="1">
      <alignment vertical="center" wrapText="1"/>
    </xf>
    <xf numFmtId="0" fontId="2" fillId="11" borderId="1" xfId="0" applyNumberFormat="1" applyFont="1" applyFill="1" applyBorder="1" applyAlignment="1">
      <alignment horizontal="center" vertical="center" wrapText="1"/>
    </xf>
    <xf numFmtId="0" fontId="2" fillId="11" borderId="1" xfId="0" applyNumberFormat="1" applyFont="1" applyFill="1" applyBorder="1" applyAlignment="1">
      <alignment horizontal="center" vertical="center"/>
    </xf>
    <xf numFmtId="0" fontId="3" fillId="0" borderId="15" xfId="0" applyFont="1" applyFill="1" applyBorder="1" applyAlignment="1">
      <alignment vertical="center" wrapText="1"/>
    </xf>
    <xf numFmtId="164" fontId="11" fillId="0" borderId="1" xfId="0" applyNumberFormat="1" applyFont="1" applyBorder="1" applyAlignment="1">
      <alignment horizontal="center" vertical="center"/>
    </xf>
    <xf numFmtId="0" fontId="7" fillId="0" borderId="2" xfId="0" applyNumberFormat="1" applyFont="1" applyBorder="1" applyAlignment="1">
      <alignment vertical="center" wrapText="1"/>
    </xf>
    <xf numFmtId="0" fontId="15" fillId="0" borderId="14" xfId="0" applyFont="1" applyBorder="1"/>
    <xf numFmtId="164" fontId="3" fillId="0" borderId="14" xfId="0" applyNumberFormat="1" applyFont="1" applyBorder="1" applyAlignment="1">
      <alignment horizontal="center" vertical="center"/>
    </xf>
    <xf numFmtId="0" fontId="3" fillId="0" borderId="1" xfId="0" applyFont="1" applyFill="1" applyBorder="1" applyAlignment="1">
      <alignment wrapText="1"/>
    </xf>
    <xf numFmtId="164" fontId="3" fillId="0" borderId="2" xfId="0" applyNumberFormat="1" applyFont="1" applyFill="1" applyBorder="1" applyAlignment="1">
      <alignment horizontal="center" vertical="center"/>
    </xf>
    <xf numFmtId="0" fontId="3" fillId="0" borderId="7" xfId="0" applyFont="1" applyBorder="1" applyAlignment="1">
      <alignment vertical="center"/>
    </xf>
    <xf numFmtId="0" fontId="0" fillId="3" borderId="15" xfId="0" applyFill="1" applyBorder="1" applyAlignment="1"/>
    <xf numFmtId="0" fontId="0" fillId="3" borderId="14" xfId="0" applyFill="1" applyBorder="1" applyAlignment="1"/>
    <xf numFmtId="0" fontId="12" fillId="3" borderId="1" xfId="0" applyFont="1" applyFill="1" applyBorder="1" applyAlignment="1">
      <alignment horizontal="left" vertical="center" wrapText="1"/>
    </xf>
    <xf numFmtId="0" fontId="0" fillId="3" borderId="8" xfId="0" applyFont="1" applyFill="1" applyBorder="1" applyAlignment="1"/>
    <xf numFmtId="0" fontId="0" fillId="3" borderId="9" xfId="0" applyFont="1" applyFill="1" applyBorder="1" applyAlignment="1"/>
    <xf numFmtId="0" fontId="3" fillId="3" borderId="1" xfId="0" applyNumberFormat="1" applyFont="1" applyFill="1" applyBorder="1" applyAlignment="1">
      <alignment horizontal="left" wrapText="1"/>
    </xf>
    <xf numFmtId="0" fontId="2" fillId="4" borderId="5" xfId="0" applyFont="1" applyFill="1" applyBorder="1" applyAlignment="1">
      <alignment vertical="center"/>
    </xf>
    <xf numFmtId="0" fontId="2" fillId="4" borderId="6" xfId="0" applyFont="1" applyFill="1" applyBorder="1" applyAlignment="1">
      <alignment vertical="center"/>
    </xf>
    <xf numFmtId="0" fontId="3" fillId="0" borderId="11" xfId="0" applyFont="1" applyFill="1" applyBorder="1"/>
    <xf numFmtId="165" fontId="3" fillId="0" borderId="12" xfId="0" applyNumberFormat="1" applyFont="1" applyFill="1" applyBorder="1" applyAlignment="1">
      <alignment horizontal="right"/>
    </xf>
    <xf numFmtId="165" fontId="3" fillId="0" borderId="12" xfId="0" applyNumberFormat="1" applyFont="1" applyFill="1" applyBorder="1" applyAlignment="1">
      <alignment horizontal="center"/>
    </xf>
    <xf numFmtId="0" fontId="3" fillId="0" borderId="13" xfId="0" applyFont="1" applyFill="1" applyBorder="1" applyAlignment="1">
      <alignment horizontal="center"/>
    </xf>
    <xf numFmtId="0" fontId="3" fillId="0" borderId="0" xfId="0" applyNumberFormat="1" applyFont="1" applyFill="1" applyBorder="1" applyAlignment="1">
      <alignment horizontal="left"/>
    </xf>
    <xf numFmtId="0" fontId="3" fillId="0" borderId="0" xfId="0" applyNumberFormat="1" applyFont="1" applyBorder="1" applyAlignment="1">
      <alignment horizontal="left"/>
    </xf>
    <xf numFmtId="0" fontId="3" fillId="0" borderId="11" xfId="0" applyNumberFormat="1" applyFont="1" applyFill="1" applyBorder="1" applyAlignment="1">
      <alignment horizontal="left"/>
    </xf>
    <xf numFmtId="0" fontId="3" fillId="0" borderId="14" xfId="0" applyNumberFormat="1" applyFont="1" applyBorder="1" applyAlignment="1">
      <alignment horizontal="left"/>
    </xf>
    <xf numFmtId="0" fontId="3" fillId="0" borderId="15" xfId="0" applyNumberFormat="1" applyFont="1" applyBorder="1" applyAlignment="1">
      <alignment horizontal="left"/>
    </xf>
    <xf numFmtId="0" fontId="2" fillId="0" borderId="1" xfId="0" applyNumberFormat="1" applyFont="1" applyBorder="1" applyAlignment="1">
      <alignment horizontal="left" wrapText="1"/>
    </xf>
    <xf numFmtId="0" fontId="2" fillId="0" borderId="1" xfId="0" applyNumberFormat="1" applyFont="1" applyBorder="1" applyAlignment="1">
      <alignment horizontal="left"/>
    </xf>
    <xf numFmtId="0" fontId="2" fillId="0" borderId="1" xfId="0" applyNumberFormat="1" applyFont="1" applyFill="1" applyBorder="1" applyAlignment="1">
      <alignment horizontal="left"/>
    </xf>
    <xf numFmtId="0" fontId="3" fillId="0" borderId="5" xfId="0" applyNumberFormat="1" applyFont="1" applyBorder="1" applyAlignment="1">
      <alignment horizontal="left"/>
    </xf>
    <xf numFmtId="0" fontId="3" fillId="0" borderId="1" xfId="0" applyNumberFormat="1" applyFont="1" applyBorder="1" applyAlignment="1">
      <alignment horizontal="left"/>
    </xf>
    <xf numFmtId="0" fontId="2" fillId="0" borderId="4" xfId="0" applyNumberFormat="1" applyFont="1" applyBorder="1" applyAlignment="1">
      <alignment horizontal="left"/>
    </xf>
    <xf numFmtId="0" fontId="3" fillId="0" borderId="7" xfId="0" applyNumberFormat="1" applyFont="1" applyBorder="1" applyAlignment="1">
      <alignment horizontal="left"/>
    </xf>
    <xf numFmtId="0" fontId="3" fillId="0" borderId="1" xfId="0" applyNumberFormat="1" applyFont="1" applyBorder="1" applyAlignment="1">
      <alignment horizontal="left" wrapText="1"/>
    </xf>
    <xf numFmtId="0" fontId="3" fillId="0" borderId="11" xfId="0" applyNumberFormat="1" applyFont="1" applyBorder="1" applyAlignment="1">
      <alignment horizontal="left"/>
    </xf>
    <xf numFmtId="165" fontId="2" fillId="0" borderId="1" xfId="0" applyNumberFormat="1" applyFont="1" applyFill="1" applyBorder="1" applyAlignment="1">
      <alignment horizontal="center" wrapText="1"/>
    </xf>
    <xf numFmtId="0" fontId="2" fillId="0" borderId="15" xfId="0" applyNumberFormat="1" applyFont="1" applyBorder="1" applyAlignment="1">
      <alignment horizontal="left"/>
    </xf>
    <xf numFmtId="0" fontId="2" fillId="0" borderId="14" xfId="0" applyNumberFormat="1" applyFont="1" applyBorder="1" applyAlignment="1">
      <alignment horizontal="left"/>
    </xf>
    <xf numFmtId="0" fontId="2" fillId="0" borderId="15" xfId="0" applyNumberFormat="1" applyFont="1" applyBorder="1" applyAlignment="1">
      <alignment horizontal="left" wrapText="1"/>
    </xf>
    <xf numFmtId="0" fontId="3" fillId="0" borderId="15" xfId="0" applyNumberFormat="1" applyFont="1" applyFill="1" applyBorder="1" applyAlignment="1">
      <alignment horizontal="left"/>
    </xf>
    <xf numFmtId="0" fontId="3" fillId="0" borderId="0" xfId="0" applyFont="1" applyAlignment="1">
      <alignment vertical="center"/>
    </xf>
    <xf numFmtId="4" fontId="3" fillId="3" borderId="1" xfId="0" applyNumberFormat="1" applyFont="1" applyFill="1" applyBorder="1" applyAlignment="1">
      <alignment horizontal="right" vertical="center" wrapText="1" indent="1"/>
    </xf>
    <xf numFmtId="4" fontId="3" fillId="3" borderId="1" xfId="0" applyNumberFormat="1" applyFont="1" applyFill="1" applyBorder="1" applyAlignment="1">
      <alignment horizontal="right" indent="1"/>
    </xf>
    <xf numFmtId="4" fontId="3" fillId="3" borderId="1" xfId="0" applyNumberFormat="1" applyFont="1" applyFill="1" applyBorder="1" applyAlignment="1">
      <alignment horizontal="right" vertical="center" indent="1"/>
    </xf>
    <xf numFmtId="4" fontId="2" fillId="3" borderId="1" xfId="0" applyNumberFormat="1" applyFont="1" applyFill="1" applyBorder="1" applyAlignment="1">
      <alignment horizontal="right" vertical="center" indent="1"/>
    </xf>
    <xf numFmtId="4" fontId="3" fillId="3" borderId="1" xfId="0" applyNumberFormat="1" applyFont="1" applyFill="1" applyBorder="1" applyAlignment="1">
      <alignment horizontal="right" vertical="center" wrapText="1" indent="2"/>
    </xf>
    <xf numFmtId="0" fontId="2" fillId="3" borderId="11" xfId="0" applyNumberFormat="1" applyFont="1" applyFill="1" applyBorder="1" applyAlignment="1">
      <alignment vertical="center" wrapText="1"/>
    </xf>
    <xf numFmtId="0" fontId="3" fillId="3" borderId="13" xfId="0" applyFont="1" applyFill="1" applyBorder="1"/>
    <xf numFmtId="0" fontId="2" fillId="3" borderId="15" xfId="0" applyNumberFormat="1" applyFont="1" applyFill="1" applyBorder="1" applyAlignment="1">
      <alignment vertical="center" wrapText="1"/>
    </xf>
    <xf numFmtId="0" fontId="2" fillId="3" borderId="14" xfId="0" applyNumberFormat="1" applyFont="1" applyFill="1" applyBorder="1" applyAlignment="1">
      <alignment vertical="center" wrapText="1"/>
    </xf>
    <xf numFmtId="0" fontId="2" fillId="0" borderId="2" xfId="0" applyNumberFormat="1" applyFont="1" applyBorder="1" applyAlignment="1">
      <alignment vertical="center"/>
    </xf>
    <xf numFmtId="0" fontId="3" fillId="3" borderId="3" xfId="0" applyFont="1" applyFill="1" applyBorder="1"/>
    <xf numFmtId="0" fontId="3" fillId="3" borderId="3" xfId="0" applyNumberFormat="1" applyFont="1" applyFill="1" applyBorder="1" applyAlignment="1">
      <alignment vertical="center"/>
    </xf>
    <xf numFmtId="0" fontId="3" fillId="3" borderId="7" xfId="0" applyNumberFormat="1" applyFont="1" applyFill="1" applyBorder="1" applyAlignment="1">
      <alignment vertical="center"/>
    </xf>
    <xf numFmtId="3" fontId="3" fillId="4" borderId="5" xfId="0" applyNumberFormat="1" applyFont="1" applyFill="1" applyBorder="1"/>
    <xf numFmtId="0" fontId="2" fillId="0" borderId="0" xfId="0" applyFont="1" applyAlignment="1">
      <alignment horizontal="left" vertical="center"/>
    </xf>
    <xf numFmtId="0" fontId="2" fillId="5" borderId="6" xfId="0" applyFont="1" applyFill="1" applyBorder="1" applyAlignment="1">
      <alignment vertical="center"/>
    </xf>
    <xf numFmtId="0" fontId="3" fillId="0" borderId="0" xfId="0" quotePrefix="1" applyNumberFormat="1" applyFont="1" applyFill="1" applyBorder="1" applyAlignment="1">
      <alignment horizontal="center" vertical="center" wrapText="1"/>
    </xf>
    <xf numFmtId="49" fontId="3" fillId="0" borderId="0" xfId="0" quotePrefix="1" applyNumberFormat="1" applyFont="1" applyBorder="1" applyAlignment="1">
      <alignment horizontal="center" vertical="center" wrapText="1"/>
    </xf>
    <xf numFmtId="3" fontId="2" fillId="0" borderId="1" xfId="0" applyNumberFormat="1" applyFont="1" applyBorder="1" applyAlignment="1">
      <alignment vertical="center" wrapText="1"/>
    </xf>
    <xf numFmtId="0" fontId="0" fillId="0" borderId="7" xfId="0" applyFont="1" applyBorder="1"/>
    <xf numFmtId="0" fontId="3" fillId="0" borderId="13" xfId="0" applyFont="1" applyBorder="1" applyAlignment="1">
      <alignment vertical="center"/>
    </xf>
    <xf numFmtId="0" fontId="0" fillId="0" borderId="4" xfId="0" applyFont="1" applyBorder="1"/>
    <xf numFmtId="0" fontId="0" fillId="0" borderId="5" xfId="0" applyFont="1" applyBorder="1"/>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165" fontId="3" fillId="0" borderId="1" xfId="0" applyNumberFormat="1" applyFont="1" applyBorder="1" applyAlignment="1">
      <alignment vertical="center"/>
    </xf>
    <xf numFmtId="0" fontId="0" fillId="2" borderId="1" xfId="0" applyFont="1" applyFill="1" applyBorder="1" applyAlignment="1">
      <alignment horizontal="center"/>
    </xf>
    <xf numFmtId="0" fontId="3" fillId="0" borderId="9" xfId="0" applyFont="1" applyBorder="1" applyAlignment="1">
      <alignment horizontal="center"/>
    </xf>
    <xf numFmtId="170" fontId="3" fillId="0" borderId="1" xfId="2" applyNumberFormat="1" applyFont="1" applyBorder="1" applyAlignment="1">
      <alignment horizontal="left" vertical="center" wrapText="1"/>
    </xf>
    <xf numFmtId="170" fontId="3" fillId="0" borderId="1" xfId="2" applyNumberFormat="1" applyFont="1" applyFill="1" applyBorder="1" applyAlignment="1">
      <alignment horizontal="left" vertical="center" wrapText="1"/>
    </xf>
    <xf numFmtId="3" fontId="9" fillId="0" borderId="1" xfId="0" applyNumberFormat="1" applyFont="1" applyBorder="1" applyAlignment="1">
      <alignment horizontal="right" vertical="center" indent="1"/>
    </xf>
    <xf numFmtId="3" fontId="7" fillId="0" borderId="2" xfId="0" applyNumberFormat="1" applyFont="1" applyBorder="1" applyAlignment="1">
      <alignment horizontal="right" vertical="center" indent="1"/>
    </xf>
    <xf numFmtId="3" fontId="9" fillId="0" borderId="1" xfId="0" applyNumberFormat="1" applyFont="1" applyBorder="1" applyAlignment="1">
      <alignment horizontal="right" vertical="center" indent="2"/>
    </xf>
    <xf numFmtId="43" fontId="3" fillId="0" borderId="5" xfId="2" applyFont="1" applyFill="1" applyBorder="1"/>
    <xf numFmtId="43" fontId="3" fillId="0" borderId="6" xfId="2" applyFont="1" applyFill="1" applyBorder="1"/>
    <xf numFmtId="3" fontId="2" fillId="0" borderId="1" xfId="2" applyNumberFormat="1" applyFont="1" applyFill="1" applyBorder="1" applyAlignment="1"/>
    <xf numFmtId="170" fontId="2" fillId="0" borderId="1" xfId="2" applyNumberFormat="1" applyFont="1" applyFill="1" applyBorder="1" applyAlignment="1">
      <alignment horizontal="left" vertical="center"/>
    </xf>
    <xf numFmtId="174" fontId="2" fillId="0" borderId="1" xfId="0" applyNumberFormat="1" applyFont="1" applyBorder="1" applyAlignment="1">
      <alignment horizontal="right" vertical="center" indent="1"/>
    </xf>
    <xf numFmtId="174" fontId="2" fillId="0" borderId="1" xfId="0" applyNumberFormat="1" applyFont="1" applyBorder="1" applyAlignment="1">
      <alignment horizontal="right" indent="1"/>
    </xf>
    <xf numFmtId="174" fontId="2" fillId="0" borderId="1" xfId="2" applyNumberFormat="1" applyFont="1" applyFill="1" applyBorder="1" applyAlignment="1">
      <alignment horizontal="right" vertical="center" indent="1"/>
    </xf>
    <xf numFmtId="170" fontId="3" fillId="0" borderId="42" xfId="2" applyNumberFormat="1" applyFont="1" applyFill="1" applyBorder="1" applyAlignment="1">
      <alignment horizontal="left" vertical="center"/>
    </xf>
    <xf numFmtId="170" fontId="2" fillId="0" borderId="2" xfId="2" applyNumberFormat="1" applyFont="1" applyBorder="1"/>
    <xf numFmtId="170" fontId="3" fillId="0" borderId="2" xfId="2" applyNumberFormat="1" applyFont="1" applyBorder="1"/>
    <xf numFmtId="170" fontId="2" fillId="0" borderId="7" xfId="0" applyNumberFormat="1" applyFont="1" applyBorder="1" applyAlignment="1">
      <alignment horizontal="center" vertical="center"/>
    </xf>
    <xf numFmtId="170" fontId="2" fillId="0" borderId="2" xfId="0" applyNumberFormat="1" applyFont="1" applyBorder="1" applyAlignment="1">
      <alignment vertical="center"/>
    </xf>
    <xf numFmtId="170" fontId="2" fillId="0" borderId="2" xfId="0" applyNumberFormat="1" applyFont="1" applyBorder="1" applyAlignment="1">
      <alignment horizontal="center" vertical="center"/>
    </xf>
    <xf numFmtId="170" fontId="2" fillId="0" borderId="1" xfId="0" applyNumberFormat="1" applyFont="1" applyBorder="1" applyAlignment="1">
      <alignment horizontal="center" vertical="center"/>
    </xf>
    <xf numFmtId="170" fontId="3" fillId="0" borderId="1" xfId="2" applyNumberFormat="1" applyFont="1" applyBorder="1" applyAlignment="1">
      <alignment vertical="center"/>
    </xf>
    <xf numFmtId="0" fontId="2" fillId="3" borderId="2" xfId="0" applyNumberFormat="1" applyFont="1" applyFill="1" applyBorder="1" applyAlignment="1">
      <alignment horizontal="right" vertical="center"/>
    </xf>
    <xf numFmtId="3" fontId="2" fillId="0" borderId="2" xfId="0" applyNumberFormat="1" applyFont="1" applyBorder="1" applyAlignment="1">
      <alignment horizontal="right" vertical="center" wrapText="1"/>
    </xf>
    <xf numFmtId="3" fontId="2" fillId="0" borderId="1" xfId="2" applyNumberFormat="1" applyFont="1" applyBorder="1" applyAlignment="1">
      <alignment horizontal="right" vertical="center" wrapText="1"/>
    </xf>
    <xf numFmtId="3" fontId="2" fillId="0" borderId="7" xfId="0" applyNumberFormat="1" applyFont="1" applyBorder="1" applyAlignment="1">
      <alignment horizontal="right" vertical="center"/>
    </xf>
    <xf numFmtId="170" fontId="2" fillId="0" borderId="2" xfId="0" applyNumberFormat="1" applyFont="1" applyBorder="1" applyAlignment="1">
      <alignment horizontal="right" vertical="center"/>
    </xf>
    <xf numFmtId="170" fontId="3" fillId="0" borderId="1" xfId="2" applyNumberFormat="1" applyFont="1" applyBorder="1" applyAlignment="1">
      <alignment horizontal="right"/>
    </xf>
    <xf numFmtId="3" fontId="7" fillId="0" borderId="1" xfId="2" applyNumberFormat="1" applyFont="1" applyFill="1" applyBorder="1" applyAlignment="1">
      <alignment horizontal="right" vertical="center" indent="1"/>
    </xf>
    <xf numFmtId="3" fontId="7" fillId="3" borderId="1" xfId="2" applyNumberFormat="1" applyFont="1" applyFill="1" applyBorder="1" applyAlignment="1">
      <alignment horizontal="left" vertical="center" indent="1"/>
    </xf>
    <xf numFmtId="0" fontId="6" fillId="0" borderId="7" xfId="0" applyFont="1" applyFill="1" applyBorder="1" applyAlignment="1">
      <alignment vertical="center" wrapText="1"/>
    </xf>
    <xf numFmtId="0" fontId="2" fillId="5" borderId="23" xfId="0" applyNumberFormat="1" applyFont="1" applyFill="1" applyBorder="1" applyAlignment="1">
      <alignment vertical="center"/>
    </xf>
    <xf numFmtId="0" fontId="2" fillId="5" borderId="24" xfId="0" applyNumberFormat="1" applyFont="1" applyFill="1" applyBorder="1" applyAlignment="1">
      <alignment vertical="center"/>
    </xf>
    <xf numFmtId="0" fontId="29" fillId="0" borderId="1" xfId="0" applyNumberFormat="1" applyFont="1" applyBorder="1" applyAlignment="1">
      <alignment horizontal="left" vertical="center" wrapText="1"/>
    </xf>
    <xf numFmtId="0" fontId="16" fillId="0" borderId="0" xfId="0" applyFont="1" applyAlignment="1">
      <alignment horizontal="left" vertical="center"/>
    </xf>
    <xf numFmtId="3" fontId="52" fillId="0" borderId="2" xfId="0" applyNumberFormat="1" applyFont="1" applyBorder="1" applyAlignment="1">
      <alignment horizontal="center" vertical="center"/>
    </xf>
    <xf numFmtId="0" fontId="3"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NumberFormat="1" applyFont="1" applyBorder="1" applyAlignment="1">
      <alignment horizontal="left" vertical="center" wrapText="1"/>
    </xf>
    <xf numFmtId="0" fontId="2" fillId="0" borderId="1" xfId="0" applyNumberFormat="1" applyFont="1" applyBorder="1" applyAlignment="1">
      <alignment vertical="center" wrapText="1"/>
    </xf>
    <xf numFmtId="0" fontId="3" fillId="0" borderId="1" xfId="0" applyNumberFormat="1" applyFont="1" applyBorder="1" applyAlignment="1">
      <alignment vertical="center" wrapText="1"/>
    </xf>
    <xf numFmtId="0" fontId="4" fillId="3" borderId="7" xfId="0" applyNumberFormat="1" applyFont="1" applyFill="1" applyBorder="1" applyAlignment="1">
      <alignment horizontal="left" vertical="center" wrapText="1"/>
    </xf>
    <xf numFmtId="0" fontId="3" fillId="0" borderId="1" xfId="0" applyFont="1" applyBorder="1" applyAlignment="1">
      <alignment horizontal="center"/>
    </xf>
    <xf numFmtId="3" fontId="3" fillId="0" borderId="2" xfId="0" applyNumberFormat="1" applyFont="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3" fontId="3" fillId="0" borderId="2"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3" fontId="3" fillId="0" borderId="1" xfId="0" applyNumberFormat="1" applyFont="1" applyBorder="1" applyAlignment="1">
      <alignment horizontal="center" vertical="center" wrapText="1"/>
    </xf>
    <xf numFmtId="0" fontId="3" fillId="0" borderId="1" xfId="0" quotePrefix="1" applyNumberFormat="1" applyFont="1" applyFill="1" applyBorder="1" applyAlignment="1">
      <alignment horizontal="center" vertical="center" wrapText="1"/>
    </xf>
    <xf numFmtId="49" fontId="3" fillId="0" borderId="1" xfId="0" quotePrefix="1" applyNumberFormat="1" applyFont="1" applyBorder="1" applyAlignment="1">
      <alignment horizontal="center" vertical="center" wrapText="1"/>
    </xf>
    <xf numFmtId="0" fontId="3" fillId="0" borderId="1" xfId="0" applyFont="1" applyBorder="1" applyAlignment="1">
      <alignment vertical="center" wrapText="1"/>
    </xf>
    <xf numFmtId="3" fontId="3" fillId="0" borderId="1" xfId="0" quotePrefix="1" applyNumberFormat="1" applyFont="1" applyBorder="1" applyAlignment="1">
      <alignment horizontal="center" vertical="center" wrapText="1"/>
    </xf>
    <xf numFmtId="0" fontId="3" fillId="3" borderId="1" xfId="0" applyFont="1" applyFill="1" applyBorder="1" applyAlignment="1">
      <alignment horizontal="center"/>
    </xf>
    <xf numFmtId="49" fontId="3"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3" fontId="2" fillId="3" borderId="1" xfId="0" applyNumberFormat="1" applyFont="1" applyFill="1" applyBorder="1" applyAlignment="1">
      <alignment horizontal="center" vertical="center"/>
    </xf>
    <xf numFmtId="3" fontId="3" fillId="0" borderId="1" xfId="0" applyNumberFormat="1" applyFont="1" applyBorder="1" applyAlignment="1">
      <alignment horizontal="right" vertical="center"/>
    </xf>
    <xf numFmtId="0" fontId="2" fillId="3" borderId="4" xfId="0" applyFont="1" applyFill="1" applyBorder="1" applyAlignment="1">
      <alignment horizontal="center" vertical="center"/>
    </xf>
    <xf numFmtId="0" fontId="2" fillId="0" borderId="0" xfId="0" applyNumberFormat="1" applyFont="1" applyBorder="1" applyAlignment="1">
      <alignment horizontal="center" vertical="center" wrapText="1"/>
    </xf>
    <xf numFmtId="0" fontId="3" fillId="0" borderId="12" xfId="0" applyNumberFormat="1" applyFont="1" applyBorder="1" applyAlignment="1">
      <alignment horizontal="left" vertical="center" wrapText="1"/>
    </xf>
    <xf numFmtId="0" fontId="2" fillId="0" borderId="1" xfId="0" applyNumberFormat="1" applyFont="1" applyBorder="1" applyAlignment="1">
      <alignment horizontal="right" vertical="center" wrapText="1"/>
    </xf>
    <xf numFmtId="3" fontId="3" fillId="0" borderId="1" xfId="2" applyNumberFormat="1" applyFont="1" applyFill="1" applyBorder="1" applyAlignment="1"/>
    <xf numFmtId="3" fontId="3" fillId="0" borderId="1" xfId="0" applyNumberFormat="1" applyFont="1" applyFill="1" applyBorder="1" applyAlignment="1"/>
    <xf numFmtId="0" fontId="7" fillId="0" borderId="1" xfId="0" applyFont="1" applyBorder="1" applyAlignment="1">
      <alignment horizontal="left"/>
    </xf>
    <xf numFmtId="0" fontId="3" fillId="0" borderId="0" xfId="0" applyFont="1" applyFill="1" applyBorder="1" applyAlignment="1">
      <alignment horizontal="left" vertical="center"/>
    </xf>
    <xf numFmtId="0" fontId="0" fillId="0" borderId="0" xfId="0" applyFont="1" applyBorder="1"/>
    <xf numFmtId="43" fontId="3" fillId="0" borderId="0" xfId="2" applyFont="1" applyFill="1" applyBorder="1"/>
    <xf numFmtId="0" fontId="33" fillId="0" borderId="8" xfId="0" applyFont="1" applyBorder="1"/>
    <xf numFmtId="170" fontId="33" fillId="0" borderId="8" xfId="0" applyNumberFormat="1" applyFont="1" applyBorder="1"/>
    <xf numFmtId="0" fontId="0" fillId="11" borderId="11" xfId="0" applyFill="1" applyBorder="1" applyAlignment="1"/>
    <xf numFmtId="0" fontId="0" fillId="11" borderId="14" xfId="0" applyFill="1" applyBorder="1" applyAlignment="1"/>
    <xf numFmtId="0" fontId="2" fillId="0" borderId="4" xfId="0" applyNumberFormat="1" applyFont="1" applyFill="1" applyBorder="1" applyAlignment="1">
      <alignment horizontal="left" vertical="center"/>
    </xf>
    <xf numFmtId="0" fontId="23" fillId="0" borderId="1" xfId="0" applyNumberFormat="1" applyFont="1" applyFill="1" applyBorder="1" applyAlignment="1">
      <alignment horizontal="center" vertical="center"/>
    </xf>
    <xf numFmtId="3" fontId="23" fillId="0" borderId="1" xfId="0" applyNumberFormat="1" applyFont="1" applyBorder="1" applyAlignment="1">
      <alignment horizontal="center" vertical="center"/>
    </xf>
    <xf numFmtId="3" fontId="31" fillId="0" borderId="1" xfId="0" applyNumberFormat="1" applyFont="1" applyFill="1" applyBorder="1" applyAlignment="1">
      <alignment horizontal="center" vertical="center"/>
    </xf>
    <xf numFmtId="0" fontId="2" fillId="5" borderId="4" xfId="0" applyNumberFormat="1" applyFont="1" applyFill="1" applyBorder="1" applyAlignment="1">
      <alignment vertical="center"/>
    </xf>
    <xf numFmtId="0" fontId="4" fillId="5" borderId="1" xfId="0" applyNumberFormat="1" applyFont="1" applyFill="1" applyBorder="1" applyAlignment="1">
      <alignment horizontal="left" vertical="center" wrapText="1"/>
    </xf>
    <xf numFmtId="0" fontId="4" fillId="5" borderId="1" xfId="0" applyNumberFormat="1" applyFont="1" applyFill="1" applyBorder="1" applyAlignment="1">
      <alignment horizontal="left" vertical="center"/>
    </xf>
    <xf numFmtId="0" fontId="4" fillId="4" borderId="1" xfId="0" applyNumberFormat="1" applyFont="1" applyFill="1" applyBorder="1" applyAlignment="1">
      <alignment vertical="center" wrapText="1"/>
    </xf>
    <xf numFmtId="0" fontId="53" fillId="5" borderId="1" xfId="0" applyNumberFormat="1" applyFont="1" applyFill="1" applyBorder="1" applyAlignment="1">
      <alignment vertical="center" wrapText="1"/>
    </xf>
    <xf numFmtId="0" fontId="53" fillId="5" borderId="1" xfId="0" applyNumberFormat="1" applyFont="1" applyFill="1" applyBorder="1" applyAlignment="1">
      <alignment horizontal="left" vertical="center"/>
    </xf>
    <xf numFmtId="0" fontId="53" fillId="5" borderId="1" xfId="0" applyNumberFormat="1" applyFont="1" applyFill="1" applyBorder="1" applyAlignment="1">
      <alignment vertical="center"/>
    </xf>
    <xf numFmtId="0" fontId="29" fillId="0" borderId="4" xfId="0" applyNumberFormat="1" applyFont="1" applyFill="1" applyBorder="1" applyAlignment="1">
      <alignment horizontal="left" vertical="center" wrapText="1" indent="1"/>
    </xf>
    <xf numFmtId="0" fontId="29" fillId="0" borderId="5" xfId="0" applyNumberFormat="1" applyFont="1" applyFill="1" applyBorder="1" applyAlignment="1">
      <alignment vertical="center"/>
    </xf>
    <xf numFmtId="0" fontId="29" fillId="0" borderId="6" xfId="0" applyNumberFormat="1" applyFont="1" applyFill="1" applyBorder="1" applyAlignment="1">
      <alignment horizontal="left" vertical="center" wrapText="1" indent="1"/>
    </xf>
    <xf numFmtId="0" fontId="52" fillId="0" borderId="1" xfId="0" applyFont="1" applyBorder="1" applyAlignment="1">
      <alignment horizontal="left" vertical="center" wrapText="1" indent="1"/>
    </xf>
    <xf numFmtId="3" fontId="29" fillId="0" borderId="1" xfId="0" applyNumberFormat="1" applyFont="1" applyFill="1" applyBorder="1" applyAlignment="1">
      <alignment horizontal="center" vertical="center"/>
    </xf>
    <xf numFmtId="3" fontId="52" fillId="0" borderId="0" xfId="0" applyNumberFormat="1" applyFont="1" applyAlignment="1">
      <alignment horizontal="right"/>
    </xf>
    <xf numFmtId="3" fontId="52" fillId="0" borderId="1" xfId="0" applyNumberFormat="1" applyFont="1" applyBorder="1" applyAlignment="1">
      <alignment horizontal="right"/>
    </xf>
    <xf numFmtId="3" fontId="52" fillId="0" borderId="1" xfId="0" applyNumberFormat="1" applyFont="1" applyBorder="1" applyAlignment="1">
      <alignment horizontal="right" vertical="center"/>
    </xf>
    <xf numFmtId="3" fontId="52" fillId="0" borderId="4" xfId="0" applyNumberFormat="1" applyFont="1" applyBorder="1" applyAlignment="1">
      <alignment vertical="center" wrapText="1"/>
    </xf>
    <xf numFmtId="3" fontId="52" fillId="0" borderId="6" xfId="0" applyNumberFormat="1" applyFont="1" applyBorder="1" applyAlignment="1">
      <alignment horizontal="center" vertical="center"/>
    </xf>
    <xf numFmtId="0" fontId="52" fillId="0" borderId="0" xfId="0" applyFont="1"/>
    <xf numFmtId="3" fontId="17" fillId="0" borderId="4" xfId="0" applyNumberFormat="1" applyFont="1" applyBorder="1" applyAlignment="1">
      <alignment vertical="center" wrapText="1"/>
    </xf>
    <xf numFmtId="0" fontId="66" fillId="0" borderId="1" xfId="0" applyFont="1" applyBorder="1" applyAlignment="1">
      <alignment vertical="center" wrapText="1"/>
    </xf>
    <xf numFmtId="3" fontId="17" fillId="0" borderId="6" xfId="0" applyNumberFormat="1" applyFont="1" applyBorder="1" applyAlignment="1">
      <alignment horizontal="center" vertical="center"/>
    </xf>
    <xf numFmtId="0" fontId="67" fillId="3" borderId="1" xfId="0" applyFont="1" applyFill="1" applyBorder="1" applyAlignment="1">
      <alignment vertical="center" wrapText="1"/>
    </xf>
    <xf numFmtId="0" fontId="29" fillId="0" borderId="1" xfId="0" applyNumberFormat="1" applyFont="1" applyFill="1" applyBorder="1" applyAlignment="1">
      <alignment vertical="center" wrapText="1"/>
    </xf>
    <xf numFmtId="0" fontId="29" fillId="0" borderId="7" xfId="0" applyNumberFormat="1" applyFont="1" applyFill="1" applyBorder="1" applyAlignment="1">
      <alignment vertical="center" wrapText="1"/>
    </xf>
    <xf numFmtId="3" fontId="52" fillId="0" borderId="1" xfId="0" applyNumberFormat="1" applyFont="1" applyBorder="1" applyAlignment="1">
      <alignment vertical="center" wrapText="1"/>
    </xf>
    <xf numFmtId="3" fontId="52" fillId="0" borderId="1" xfId="0" applyNumberFormat="1" applyFont="1" applyFill="1" applyBorder="1" applyAlignment="1">
      <alignment horizontal="center" vertical="center"/>
    </xf>
    <xf numFmtId="0" fontId="17" fillId="0" borderId="4" xfId="0" applyFont="1" applyBorder="1" applyAlignment="1">
      <alignment vertical="center" wrapText="1"/>
    </xf>
    <xf numFmtId="0" fontId="66" fillId="3" borderId="1" xfId="0" applyFont="1" applyFill="1" applyBorder="1" applyAlignment="1">
      <alignment vertical="center" wrapText="1"/>
    </xf>
    <xf numFmtId="3" fontId="18" fillId="0" borderId="6" xfId="0" applyNumberFormat="1" applyFont="1" applyFill="1" applyBorder="1" applyAlignment="1">
      <alignment horizontal="center" vertical="center"/>
    </xf>
    <xf numFmtId="4" fontId="17" fillId="0" borderId="1" xfId="0" applyNumberFormat="1" applyFont="1" applyBorder="1" applyAlignment="1">
      <alignment vertical="center"/>
    </xf>
    <xf numFmtId="3" fontId="18" fillId="0" borderId="6" xfId="0" applyNumberFormat="1" applyFont="1" applyBorder="1" applyAlignment="1">
      <alignment horizontal="center" vertical="center"/>
    </xf>
    <xf numFmtId="0" fontId="17" fillId="3" borderId="1" xfId="0" applyFont="1" applyFill="1" applyBorder="1" applyAlignment="1">
      <alignment vertical="center" wrapText="1"/>
    </xf>
    <xf numFmtId="0" fontId="16" fillId="0" borderId="12" xfId="0" applyNumberFormat="1" applyFont="1" applyBorder="1" applyAlignment="1">
      <alignment vertical="center"/>
    </xf>
    <xf numFmtId="0" fontId="16" fillId="0" borderId="10" xfId="0" applyNumberFormat="1" applyFont="1" applyBorder="1" applyAlignment="1">
      <alignment vertical="center"/>
    </xf>
    <xf numFmtId="3" fontId="16" fillId="0" borderId="1" xfId="0" applyNumberFormat="1" applyFont="1" applyBorder="1" applyAlignment="1">
      <alignment horizontal="left" vertical="center" indent="1"/>
    </xf>
    <xf numFmtId="3" fontId="16" fillId="0" borderId="2" xfId="0" applyNumberFormat="1" applyFont="1" applyBorder="1" applyAlignment="1">
      <alignment horizontal="left" vertical="center" indent="1"/>
    </xf>
    <xf numFmtId="3" fontId="17" fillId="0" borderId="1" xfId="0" applyNumberFormat="1" applyFont="1" applyBorder="1" applyAlignment="1">
      <alignment horizontal="left" vertical="center" indent="1"/>
    </xf>
    <xf numFmtId="3" fontId="17" fillId="0" borderId="2" xfId="0" applyNumberFormat="1" applyFont="1" applyBorder="1" applyAlignment="1">
      <alignment horizontal="left" vertical="center" indent="1"/>
    </xf>
    <xf numFmtId="0" fontId="17" fillId="0" borderId="0" xfId="0" applyFont="1" applyAlignment="1">
      <alignment horizontal="left" indent="1"/>
    </xf>
    <xf numFmtId="0" fontId="68" fillId="5" borderId="5" xfId="0" applyNumberFormat="1" applyFont="1" applyFill="1" applyBorder="1" applyAlignment="1">
      <alignment horizontal="left" vertical="center" indent="1"/>
    </xf>
    <xf numFmtId="0" fontId="69" fillId="5" borderId="5" xfId="0" applyFont="1" applyFill="1" applyBorder="1"/>
    <xf numFmtId="0" fontId="69" fillId="5" borderId="6" xfId="0" applyFont="1" applyFill="1" applyBorder="1"/>
    <xf numFmtId="0" fontId="16" fillId="3" borderId="12" xfId="0" applyNumberFormat="1" applyFont="1" applyFill="1" applyBorder="1" applyAlignment="1">
      <alignment horizontal="left" vertical="center" wrapText="1" indent="1"/>
    </xf>
    <xf numFmtId="0" fontId="17" fillId="3" borderId="12" xfId="0" applyFont="1" applyFill="1" applyBorder="1" applyAlignment="1">
      <alignment horizontal="left" indent="1"/>
    </xf>
    <xf numFmtId="0" fontId="17" fillId="3" borderId="0" xfId="0" applyFont="1" applyFill="1" applyBorder="1" applyAlignment="1">
      <alignment horizontal="left" indent="1"/>
    </xf>
    <xf numFmtId="0" fontId="16" fillId="3" borderId="0" xfId="0" applyNumberFormat="1" applyFont="1" applyFill="1" applyBorder="1" applyAlignment="1">
      <alignment horizontal="left" vertical="center" wrapText="1" indent="1"/>
    </xf>
    <xf numFmtId="0" fontId="16" fillId="3" borderId="13" xfId="0" applyNumberFormat="1" applyFont="1" applyFill="1" applyBorder="1" applyAlignment="1">
      <alignment horizontal="left" vertical="center" wrapText="1" indent="1"/>
    </xf>
    <xf numFmtId="0" fontId="16" fillId="3" borderId="10" xfId="0" applyNumberFormat="1" applyFont="1" applyFill="1" applyBorder="1" applyAlignment="1">
      <alignment horizontal="left" vertical="center" wrapText="1" indent="1"/>
    </xf>
    <xf numFmtId="0" fontId="16" fillId="3" borderId="9" xfId="0" applyNumberFormat="1" applyFont="1" applyFill="1" applyBorder="1" applyAlignment="1">
      <alignment horizontal="left" vertical="center" wrapText="1" indent="1"/>
    </xf>
    <xf numFmtId="3" fontId="16" fillId="0" borderId="1" xfId="0" applyNumberFormat="1" applyFont="1" applyBorder="1" applyAlignment="1">
      <alignment horizontal="right" vertical="center" indent="1"/>
    </xf>
    <xf numFmtId="3" fontId="16" fillId="0" borderId="2" xfId="0" applyNumberFormat="1" applyFont="1" applyBorder="1" applyAlignment="1">
      <alignment horizontal="left" vertical="center" indent="3"/>
    </xf>
    <xf numFmtId="3" fontId="17" fillId="0" borderId="1" xfId="0" applyNumberFormat="1" applyFont="1" applyBorder="1" applyAlignment="1">
      <alignment horizontal="left" vertical="center" indent="3"/>
    </xf>
    <xf numFmtId="3" fontId="17" fillId="0" borderId="2" xfId="0" applyNumberFormat="1" applyFont="1" applyBorder="1" applyAlignment="1">
      <alignment horizontal="left" vertical="center" indent="3"/>
    </xf>
    <xf numFmtId="3" fontId="16" fillId="0" borderId="2" xfId="0" applyNumberFormat="1" applyFont="1" applyBorder="1" applyAlignment="1">
      <alignment horizontal="right" vertical="center" indent="1"/>
    </xf>
    <xf numFmtId="0" fontId="52" fillId="0" borderId="1" xfId="0" applyNumberFormat="1" applyFont="1" applyBorder="1" applyAlignment="1">
      <alignment vertical="center" wrapText="1"/>
    </xf>
    <xf numFmtId="0" fontId="52" fillId="0" borderId="1" xfId="0" applyNumberFormat="1" applyFont="1" applyFill="1" applyBorder="1" applyAlignment="1">
      <alignment horizontal="left" vertical="center" wrapText="1"/>
    </xf>
    <xf numFmtId="3" fontId="52" fillId="0" borderId="1" xfId="0" applyNumberFormat="1" applyFont="1" applyFill="1" applyBorder="1" applyAlignment="1">
      <alignment horizontal="right" vertical="center"/>
    </xf>
    <xf numFmtId="0" fontId="52" fillId="0" borderId="1" xfId="0" applyFont="1" applyFill="1" applyBorder="1" applyAlignment="1">
      <alignment horizontal="right"/>
    </xf>
    <xf numFmtId="0" fontId="52" fillId="0" borderId="1" xfId="0" applyFont="1" applyBorder="1"/>
    <xf numFmtId="0" fontId="16" fillId="0" borderId="2" xfId="0" applyNumberFormat="1" applyFont="1" applyBorder="1" applyAlignment="1">
      <alignment vertical="center" wrapText="1"/>
    </xf>
    <xf numFmtId="0" fontId="16" fillId="0" borderId="7" xfId="0" applyNumberFormat="1" applyFont="1" applyBorder="1" applyAlignment="1">
      <alignment vertical="center" wrapText="1"/>
    </xf>
    <xf numFmtId="0" fontId="16" fillId="3" borderId="12" xfId="0" applyNumberFormat="1" applyFont="1" applyFill="1" applyBorder="1" applyAlignment="1">
      <alignment horizontal="left" vertical="center" wrapText="1"/>
    </xf>
    <xf numFmtId="0" fontId="16" fillId="3" borderId="0" xfId="0" applyNumberFormat="1" applyFont="1" applyFill="1" applyBorder="1" applyAlignment="1">
      <alignment horizontal="left" vertical="center" wrapText="1"/>
    </xf>
    <xf numFmtId="0" fontId="17" fillId="0" borderId="9" xfId="0" applyFont="1" applyBorder="1"/>
    <xf numFmtId="3" fontId="16" fillId="0" borderId="1" xfId="0" applyNumberFormat="1" applyFont="1" applyBorder="1" applyAlignment="1">
      <alignment vertical="center"/>
    </xf>
    <xf numFmtId="3" fontId="16" fillId="0" borderId="2" xfId="0" applyNumberFormat="1" applyFont="1" applyBorder="1" applyAlignment="1">
      <alignment vertical="center"/>
    </xf>
    <xf numFmtId="0" fontId="17" fillId="3" borderId="0" xfId="0" applyFont="1" applyFill="1"/>
    <xf numFmtId="3" fontId="16" fillId="0" borderId="2" xfId="2" applyNumberFormat="1" applyFont="1" applyBorder="1" applyAlignment="1">
      <alignment vertical="center"/>
    </xf>
    <xf numFmtId="3" fontId="17" fillId="0" borderId="2" xfId="2" applyNumberFormat="1" applyFont="1" applyBorder="1" applyAlignment="1">
      <alignment vertical="center"/>
    </xf>
    <xf numFmtId="3" fontId="17" fillId="0" borderId="2" xfId="0" applyNumberFormat="1" applyFont="1" applyBorder="1" applyAlignment="1">
      <alignment vertical="center"/>
    </xf>
    <xf numFmtId="3" fontId="17" fillId="0" borderId="1" xfId="2" applyNumberFormat="1" applyFont="1" applyBorder="1" applyAlignment="1">
      <alignment vertical="center"/>
    </xf>
    <xf numFmtId="3" fontId="16" fillId="0" borderId="1" xfId="2" applyNumberFormat="1" applyFont="1" applyBorder="1" applyAlignment="1">
      <alignment vertical="center"/>
    </xf>
    <xf numFmtId="0" fontId="16" fillId="3" borderId="1"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3" fontId="16" fillId="3" borderId="2" xfId="0" applyNumberFormat="1" applyFont="1" applyFill="1" applyBorder="1" applyAlignment="1">
      <alignment horizontal="right" vertical="center" indent="1"/>
    </xf>
    <xf numFmtId="3" fontId="16" fillId="3" borderId="2" xfId="0" applyNumberFormat="1" applyFont="1" applyFill="1" applyBorder="1" applyAlignment="1">
      <alignment vertical="center"/>
    </xf>
    <xf numFmtId="0" fontId="17" fillId="3" borderId="1" xfId="0" applyNumberFormat="1" applyFont="1" applyFill="1" applyBorder="1" applyAlignment="1">
      <alignment horizontal="left" vertical="center" wrapText="1"/>
    </xf>
    <xf numFmtId="3" fontId="17" fillId="3" borderId="2" xfId="0" applyNumberFormat="1" applyFont="1" applyFill="1" applyBorder="1" applyAlignment="1">
      <alignment horizontal="right" vertical="center" indent="1"/>
    </xf>
    <xf numFmtId="3" fontId="17" fillId="3" borderId="1" xfId="0" applyNumberFormat="1" applyFont="1" applyFill="1" applyBorder="1" applyAlignment="1">
      <alignment horizontal="right" vertical="center" indent="1"/>
    </xf>
    <xf numFmtId="0" fontId="17" fillId="3" borderId="1" xfId="0" applyFont="1" applyFill="1" applyBorder="1" applyAlignment="1">
      <alignment horizontal="left" vertical="center" wrapText="1"/>
    </xf>
    <xf numFmtId="3" fontId="16" fillId="3" borderId="1" xfId="0" applyNumberFormat="1" applyFont="1" applyFill="1" applyBorder="1" applyAlignment="1">
      <alignment vertical="center"/>
    </xf>
    <xf numFmtId="0" fontId="17" fillId="3" borderId="1" xfId="0" applyFont="1" applyFill="1" applyBorder="1" applyAlignment="1">
      <alignment horizontal="center" vertical="center" wrapText="1"/>
    </xf>
    <xf numFmtId="3" fontId="16" fillId="0" borderId="1" xfId="0" applyNumberFormat="1" applyFont="1" applyFill="1" applyBorder="1" applyAlignment="1">
      <alignment horizontal="center" vertical="center"/>
    </xf>
    <xf numFmtId="3" fontId="16" fillId="3" borderId="2"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3" fontId="17" fillId="0" borderId="1" xfId="0" applyNumberFormat="1" applyFont="1" applyFill="1" applyBorder="1" applyAlignment="1">
      <alignment horizontal="left" vertical="center"/>
    </xf>
    <xf numFmtId="3" fontId="16" fillId="0" borderId="1" xfId="0" applyNumberFormat="1" applyFont="1" applyFill="1" applyBorder="1" applyAlignment="1">
      <alignment vertical="center"/>
    </xf>
    <xf numFmtId="3" fontId="29" fillId="3" borderId="2" xfId="0" applyNumberFormat="1" applyFont="1" applyFill="1" applyBorder="1" applyAlignment="1">
      <alignment vertical="center"/>
    </xf>
    <xf numFmtId="0" fontId="17" fillId="0" borderId="1" xfId="0" applyNumberFormat="1" applyFont="1" applyFill="1" applyBorder="1" applyAlignment="1">
      <alignment horizontal="left" vertical="center" wrapText="1"/>
    </xf>
    <xf numFmtId="3" fontId="17" fillId="0" borderId="1" xfId="0" applyNumberFormat="1" applyFont="1" applyFill="1" applyBorder="1" applyAlignment="1">
      <alignment vertical="center"/>
    </xf>
    <xf numFmtId="3" fontId="16" fillId="0" borderId="2" xfId="0" applyNumberFormat="1" applyFont="1" applyFill="1" applyBorder="1" applyAlignment="1">
      <alignment vertical="center"/>
    </xf>
    <xf numFmtId="3" fontId="16" fillId="3" borderId="1" xfId="0" applyNumberFormat="1" applyFont="1" applyFill="1" applyBorder="1" applyAlignment="1">
      <alignment horizontal="right" vertical="center" indent="1"/>
    </xf>
    <xf numFmtId="3" fontId="17" fillId="0" borderId="1" xfId="0" applyNumberFormat="1" applyFont="1" applyBorder="1" applyAlignment="1">
      <alignment horizontal="right" vertical="center" indent="1"/>
    </xf>
    <xf numFmtId="0" fontId="17" fillId="0" borderId="1" xfId="0" applyFont="1" applyBorder="1" applyAlignment="1"/>
    <xf numFmtId="3" fontId="29" fillId="3" borderId="1" xfId="0" applyNumberFormat="1" applyFont="1" applyFill="1" applyBorder="1" applyAlignment="1">
      <alignment vertical="center"/>
    </xf>
    <xf numFmtId="0" fontId="17" fillId="0" borderId="1" xfId="0" applyFont="1" applyBorder="1" applyAlignment="1">
      <alignment horizontal="right" vertical="center"/>
    </xf>
    <xf numFmtId="3" fontId="17" fillId="3" borderId="1" xfId="0" applyNumberFormat="1" applyFont="1" applyFill="1" applyBorder="1" applyAlignment="1">
      <alignment horizontal="left" vertical="center"/>
    </xf>
    <xf numFmtId="0" fontId="29" fillId="0" borderId="1" xfId="0" applyNumberFormat="1" applyFont="1" applyBorder="1" applyAlignment="1">
      <alignment vertical="center" wrapText="1"/>
    </xf>
    <xf numFmtId="0" fontId="52" fillId="0" borderId="5" xfId="0" applyFont="1" applyBorder="1"/>
    <xf numFmtId="0" fontId="52" fillId="0" borderId="6" xfId="0" applyFont="1" applyBorder="1"/>
    <xf numFmtId="0" fontId="29" fillId="5" borderId="4" xfId="0" applyNumberFormat="1" applyFont="1" applyFill="1" applyBorder="1" applyAlignment="1">
      <alignment vertical="center"/>
    </xf>
    <xf numFmtId="0" fontId="29" fillId="5" borderId="5" xfId="0" applyNumberFormat="1" applyFont="1" applyFill="1" applyBorder="1" applyAlignment="1">
      <alignment vertical="center"/>
    </xf>
    <xf numFmtId="0" fontId="52" fillId="5" borderId="5" xfId="0" applyFont="1" applyFill="1" applyBorder="1"/>
    <xf numFmtId="0" fontId="52" fillId="5" borderId="6" xfId="0" applyFont="1" applyFill="1" applyBorder="1"/>
    <xf numFmtId="0" fontId="52" fillId="4" borderId="12" xfId="0" applyFont="1" applyFill="1" applyBorder="1"/>
    <xf numFmtId="0" fontId="52" fillId="4" borderId="13" xfId="0" applyFont="1" applyFill="1" applyBorder="1"/>
    <xf numFmtId="0" fontId="52" fillId="4" borderId="10" xfId="0" applyFont="1" applyFill="1" applyBorder="1"/>
    <xf numFmtId="0" fontId="52" fillId="4" borderId="9" xfId="0" applyFont="1" applyFill="1" applyBorder="1"/>
    <xf numFmtId="0" fontId="29" fillId="2" borderId="1" xfId="0" applyNumberFormat="1" applyFont="1" applyFill="1" applyBorder="1" applyAlignment="1">
      <alignment horizontal="center" vertical="center" wrapText="1"/>
    </xf>
    <xf numFmtId="0" fontId="29" fillId="2" borderId="1" xfId="0" applyNumberFormat="1" applyFont="1" applyFill="1" applyBorder="1" applyAlignment="1">
      <alignment horizontal="center" vertical="center"/>
    </xf>
    <xf numFmtId="0" fontId="29" fillId="0" borderId="4" xfId="0" applyNumberFormat="1" applyFont="1" applyBorder="1" applyAlignment="1">
      <alignment wrapText="1"/>
    </xf>
    <xf numFmtId="0" fontId="29" fillId="0" borderId="5" xfId="0" applyNumberFormat="1" applyFont="1" applyBorder="1" applyAlignment="1">
      <alignment wrapText="1"/>
    </xf>
    <xf numFmtId="3" fontId="29" fillId="0" borderId="2" xfId="0" applyNumberFormat="1" applyFont="1" applyBorder="1" applyAlignment="1">
      <alignment horizontal="center" vertical="center"/>
    </xf>
    <xf numFmtId="0" fontId="52" fillId="0" borderId="1" xfId="0" applyNumberFormat="1" applyFont="1" applyBorder="1" applyAlignment="1">
      <alignment horizontal="left" vertical="center" wrapText="1"/>
    </xf>
    <xf numFmtId="3" fontId="52" fillId="0" borderId="2" xfId="0" applyNumberFormat="1" applyFont="1" applyBorder="1" applyAlignment="1">
      <alignment vertical="center"/>
    </xf>
    <xf numFmtId="3" fontId="52" fillId="0" borderId="1" xfId="0" applyNumberFormat="1" applyFont="1" applyBorder="1" applyAlignment="1">
      <alignment vertical="center"/>
    </xf>
    <xf numFmtId="3" fontId="16" fillId="0" borderId="1" xfId="0" applyNumberFormat="1" applyFont="1" applyBorder="1" applyAlignment="1">
      <alignment horizontal="center" vertical="center" wrapText="1"/>
    </xf>
    <xf numFmtId="0" fontId="16" fillId="0" borderId="10" xfId="0" applyNumberFormat="1" applyFont="1" applyBorder="1" applyAlignment="1">
      <alignment vertical="center" wrapText="1"/>
    </xf>
    <xf numFmtId="0" fontId="16" fillId="0" borderId="4" xfId="0" applyNumberFormat="1" applyFont="1" applyBorder="1" applyAlignment="1">
      <alignment vertical="center" wrapText="1"/>
    </xf>
    <xf numFmtId="3" fontId="16" fillId="0" borderId="1" xfId="0" applyNumberFormat="1" applyFont="1" applyBorder="1"/>
    <xf numFmtId="0" fontId="17" fillId="5" borderId="0" xfId="0" applyFont="1" applyFill="1"/>
    <xf numFmtId="0" fontId="17" fillId="0" borderId="1" xfId="0" applyNumberFormat="1" applyFont="1" applyBorder="1" applyAlignment="1">
      <alignment vertical="center" wrapText="1"/>
    </xf>
    <xf numFmtId="0" fontId="17" fillId="0" borderId="1" xfId="0" applyFont="1" applyFill="1" applyBorder="1" applyAlignment="1">
      <alignment vertical="center" wrapText="1"/>
    </xf>
    <xf numFmtId="0" fontId="17" fillId="0" borderId="4" xfId="0" applyNumberFormat="1" applyFont="1" applyBorder="1" applyAlignment="1">
      <alignment vertical="center" wrapText="1"/>
    </xf>
    <xf numFmtId="3" fontId="17" fillId="3" borderId="1" xfId="0" quotePrefix="1" applyNumberFormat="1" applyFont="1" applyFill="1" applyBorder="1" applyAlignment="1">
      <alignment horizontal="left" vertical="center" wrapText="1"/>
    </xf>
    <xf numFmtId="0" fontId="17" fillId="0" borderId="1" xfId="0" applyNumberFormat="1" applyFont="1" applyFill="1" applyBorder="1" applyAlignment="1">
      <alignment vertical="center" wrapText="1"/>
    </xf>
    <xf numFmtId="3" fontId="17" fillId="0" borderId="1" xfId="0" applyNumberFormat="1" applyFont="1" applyBorder="1" applyAlignment="1">
      <alignment horizontal="left" vertical="center" wrapText="1" indent="1"/>
    </xf>
    <xf numFmtId="0" fontId="7" fillId="0" borderId="1" xfId="1" applyFont="1" applyBorder="1" applyAlignment="1">
      <alignment vertical="center"/>
    </xf>
    <xf numFmtId="0" fontId="7" fillId="0" borderId="4" xfId="0" applyNumberFormat="1" applyFont="1" applyFill="1" applyBorder="1" applyAlignment="1">
      <alignment vertical="center" wrapText="1"/>
    </xf>
    <xf numFmtId="0" fontId="7" fillId="0" borderId="6" xfId="0" applyNumberFormat="1" applyFont="1" applyFill="1" applyBorder="1" applyAlignment="1">
      <alignment vertical="center" wrapText="1"/>
    </xf>
    <xf numFmtId="0" fontId="34" fillId="0" borderId="1" xfId="0" applyFont="1" applyFill="1" applyBorder="1" applyAlignment="1"/>
    <xf numFmtId="0" fontId="34" fillId="0" borderId="0" xfId="0" applyFont="1" applyFill="1"/>
    <xf numFmtId="0" fontId="2" fillId="0" borderId="15" xfId="0" applyNumberFormat="1" applyFont="1" applyBorder="1" applyAlignment="1">
      <alignment horizontal="left" vertical="center" wrapText="1" indent="1"/>
    </xf>
    <xf numFmtId="0" fontId="3" fillId="3" borderId="4" xfId="0" applyFont="1" applyFill="1" applyBorder="1" applyAlignment="1">
      <alignment horizontal="left" vertical="center" wrapText="1"/>
    </xf>
    <xf numFmtId="0" fontId="17" fillId="3" borderId="2" xfId="0" applyNumberFormat="1" applyFont="1" applyFill="1" applyBorder="1" applyAlignment="1">
      <alignment horizontal="center" vertical="center" wrapText="1"/>
    </xf>
    <xf numFmtId="0" fontId="17" fillId="3" borderId="2" xfId="0" quotePrefix="1" applyNumberFormat="1" applyFont="1" applyFill="1" applyBorder="1" applyAlignment="1">
      <alignment horizontal="center" vertical="center" wrapText="1"/>
    </xf>
    <xf numFmtId="0" fontId="17" fillId="3" borderId="3" xfId="0" applyNumberFormat="1" applyFont="1" applyFill="1" applyBorder="1" applyAlignment="1">
      <alignment horizontal="center" vertical="center" wrapText="1"/>
    </xf>
    <xf numFmtId="0" fontId="17" fillId="3" borderId="3" xfId="0" quotePrefix="1" applyNumberFormat="1" applyFont="1" applyFill="1" applyBorder="1" applyAlignment="1">
      <alignment horizontal="center" vertical="center" wrapText="1"/>
    </xf>
    <xf numFmtId="179" fontId="17" fillId="3" borderId="1" xfId="2" applyNumberFormat="1" applyFont="1" applyFill="1" applyBorder="1" applyAlignment="1">
      <alignment horizontal="center" vertical="center"/>
    </xf>
    <xf numFmtId="3" fontId="52" fillId="3" borderId="1" xfId="0" applyNumberFormat="1" applyFont="1" applyFill="1" applyBorder="1" applyAlignment="1">
      <alignment horizontal="center" vertical="center"/>
    </xf>
    <xf numFmtId="0" fontId="17" fillId="3" borderId="7" xfId="0" applyNumberFormat="1" applyFont="1" applyFill="1" applyBorder="1" applyAlignment="1">
      <alignment horizontal="center" vertical="center" wrapText="1"/>
    </xf>
    <xf numFmtId="0" fontId="17" fillId="3" borderId="7" xfId="0" quotePrefix="1" applyNumberFormat="1" applyFont="1" applyFill="1" applyBorder="1" applyAlignment="1">
      <alignment horizontal="center" vertical="center" wrapText="1"/>
    </xf>
    <xf numFmtId="4" fontId="17" fillId="3" borderId="1" xfId="0" applyNumberFormat="1" applyFont="1" applyFill="1" applyBorder="1" applyAlignment="1">
      <alignment horizontal="center" vertical="center"/>
    </xf>
    <xf numFmtId="0" fontId="29" fillId="3" borderId="2" xfId="0" applyNumberFormat="1" applyFont="1" applyFill="1" applyBorder="1" applyAlignment="1">
      <alignment horizontal="center" vertical="center" wrapText="1"/>
    </xf>
    <xf numFmtId="0" fontId="29" fillId="3" borderId="7" xfId="0" applyNumberFormat="1" applyFont="1" applyFill="1" applyBorder="1" applyAlignment="1">
      <alignment horizontal="center" vertical="center" wrapText="1"/>
    </xf>
    <xf numFmtId="0" fontId="16" fillId="0" borderId="2" xfId="0" applyFont="1" applyFill="1" applyBorder="1" applyAlignment="1">
      <alignment vertical="center" textRotation="90"/>
    </xf>
    <xf numFmtId="0" fontId="16" fillId="0" borderId="3" xfId="0" applyFont="1" applyFill="1" applyBorder="1" applyAlignment="1">
      <alignment vertical="center" textRotation="90"/>
    </xf>
    <xf numFmtId="166" fontId="17" fillId="3"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0" fontId="2" fillId="0" borderId="15" xfId="0" applyNumberFormat="1" applyFont="1" applyBorder="1" applyAlignment="1">
      <alignment vertical="center" wrapText="1"/>
    </xf>
    <xf numFmtId="0" fontId="29" fillId="0" borderId="2" xfId="0" applyNumberFormat="1" applyFont="1" applyFill="1" applyBorder="1" applyAlignment="1">
      <alignment vertical="center" wrapText="1"/>
    </xf>
    <xf numFmtId="0" fontId="16" fillId="0" borderId="7" xfId="0" applyFont="1" applyFill="1" applyBorder="1" applyAlignment="1">
      <alignment vertical="center" textRotation="90"/>
    </xf>
    <xf numFmtId="0" fontId="29" fillId="0" borderId="2" xfId="0" applyNumberFormat="1" applyFont="1" applyFill="1" applyBorder="1" applyAlignment="1">
      <alignment horizontal="center" vertical="center" wrapText="1"/>
    </xf>
    <xf numFmtId="3" fontId="3" fillId="3" borderId="7" xfId="0" applyNumberFormat="1" applyFont="1" applyFill="1" applyBorder="1" applyAlignment="1">
      <alignment horizontal="right" vertical="center" indent="1"/>
    </xf>
    <xf numFmtId="3" fontId="0" fillId="0" borderId="0" xfId="0" applyNumberFormat="1" applyFont="1" applyAlignment="1">
      <alignment wrapText="1"/>
    </xf>
    <xf numFmtId="3" fontId="29" fillId="0" borderId="2" xfId="0" applyNumberFormat="1" applyFont="1" applyFill="1" applyBorder="1" applyAlignment="1">
      <alignment horizontal="center" vertical="center" wrapText="1"/>
    </xf>
    <xf numFmtId="3" fontId="17" fillId="3" borderId="2" xfId="0" applyNumberFormat="1" applyFont="1" applyFill="1" applyBorder="1" applyAlignment="1">
      <alignment horizontal="center" vertical="center" wrapText="1"/>
    </xf>
    <xf numFmtId="3" fontId="17" fillId="3" borderId="3" xfId="0" applyNumberFormat="1" applyFont="1" applyFill="1" applyBorder="1" applyAlignment="1">
      <alignment horizontal="center" vertical="center" wrapText="1"/>
    </xf>
    <xf numFmtId="3" fontId="17" fillId="3" borderId="7" xfId="0" applyNumberFormat="1" applyFont="1" applyFill="1" applyBorder="1" applyAlignment="1">
      <alignment horizontal="center" vertical="center" wrapText="1"/>
    </xf>
    <xf numFmtId="0" fontId="16" fillId="3" borderId="2" xfId="0" applyNumberFormat="1" applyFont="1" applyFill="1" applyBorder="1" applyAlignment="1">
      <alignment horizontal="center" vertical="center" wrapText="1"/>
    </xf>
    <xf numFmtId="0" fontId="16" fillId="3" borderId="2" xfId="0" applyNumberFormat="1" applyFont="1" applyFill="1" applyBorder="1" applyAlignment="1">
      <alignment vertical="center" wrapText="1"/>
    </xf>
    <xf numFmtId="0" fontId="16" fillId="3" borderId="7" xfId="0" applyNumberFormat="1" applyFont="1" applyFill="1" applyBorder="1" applyAlignment="1">
      <alignment horizontal="center" vertical="center" wrapText="1"/>
    </xf>
    <xf numFmtId="0" fontId="16" fillId="3" borderId="7" xfId="0" applyNumberFormat="1" applyFont="1" applyFill="1" applyBorder="1" applyAlignment="1">
      <alignment vertical="center" wrapText="1"/>
    </xf>
    <xf numFmtId="0" fontId="17" fillId="3" borderId="2" xfId="0" applyNumberFormat="1" applyFont="1" applyFill="1" applyBorder="1" applyAlignment="1">
      <alignment vertical="center" wrapText="1"/>
    </xf>
    <xf numFmtId="0" fontId="17" fillId="3" borderId="2" xfId="0" quotePrefix="1" applyNumberFormat="1" applyFont="1" applyFill="1" applyBorder="1" applyAlignment="1">
      <alignment vertical="center" wrapText="1"/>
    </xf>
    <xf numFmtId="164" fontId="17" fillId="3" borderId="2" xfId="0" applyNumberFormat="1" applyFont="1" applyFill="1" applyBorder="1" applyAlignment="1">
      <alignment horizontal="center" vertical="center" wrapText="1"/>
    </xf>
    <xf numFmtId="0" fontId="17" fillId="3" borderId="3" xfId="0" applyNumberFormat="1" applyFont="1" applyFill="1" applyBorder="1" applyAlignment="1">
      <alignment vertical="center" wrapText="1"/>
    </xf>
    <xf numFmtId="0" fontId="17" fillId="3" borderId="3" xfId="0" quotePrefix="1" applyNumberFormat="1" applyFont="1" applyFill="1" applyBorder="1" applyAlignment="1">
      <alignment vertical="center" wrapText="1"/>
    </xf>
    <xf numFmtId="164" fontId="17" fillId="3" borderId="3" xfId="0" applyNumberFormat="1" applyFont="1" applyFill="1" applyBorder="1" applyAlignment="1">
      <alignment horizontal="center" vertical="center" wrapText="1"/>
    </xf>
    <xf numFmtId="0" fontId="17" fillId="3" borderId="7" xfId="0" applyNumberFormat="1" applyFont="1" applyFill="1" applyBorder="1" applyAlignment="1">
      <alignment vertical="center" wrapText="1"/>
    </xf>
    <xf numFmtId="0" fontId="17" fillId="3" borderId="7" xfId="0" quotePrefix="1" applyNumberFormat="1" applyFont="1" applyFill="1" applyBorder="1" applyAlignment="1">
      <alignment vertical="center" wrapText="1"/>
    </xf>
    <xf numFmtId="164" fontId="17" fillId="3" borderId="7" xfId="0" applyNumberFormat="1" applyFont="1" applyFill="1" applyBorder="1" applyAlignment="1">
      <alignment horizontal="center" vertical="center" wrapText="1"/>
    </xf>
    <xf numFmtId="0" fontId="16" fillId="5" borderId="5" xfId="0" applyNumberFormat="1" applyFont="1" applyFill="1" applyBorder="1" applyAlignment="1">
      <alignment vertical="center" wrapText="1"/>
    </xf>
    <xf numFmtId="3" fontId="12" fillId="3" borderId="4" xfId="0" applyNumberFormat="1" applyFont="1" applyFill="1" applyBorder="1" applyAlignment="1">
      <alignment horizontal="right" vertical="center" indent="1"/>
    </xf>
    <xf numFmtId="0" fontId="0" fillId="0" borderId="15" xfId="0" applyFont="1" applyBorder="1" applyAlignment="1">
      <alignment wrapText="1"/>
    </xf>
    <xf numFmtId="0" fontId="4" fillId="0" borderId="15" xfId="0" applyFont="1" applyBorder="1" applyAlignment="1">
      <alignment vertical="center"/>
    </xf>
    <xf numFmtId="3" fontId="29" fillId="0" borderId="1"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35" fillId="3" borderId="2" xfId="0" applyFont="1" applyFill="1" applyBorder="1" applyAlignment="1">
      <alignment wrapText="1"/>
    </xf>
    <xf numFmtId="0" fontId="35" fillId="3" borderId="7" xfId="0" applyFont="1" applyFill="1" applyBorder="1" applyAlignment="1">
      <alignment wrapText="1"/>
    </xf>
    <xf numFmtId="3" fontId="17" fillId="0" borderId="7" xfId="0" applyNumberFormat="1" applyFont="1" applyBorder="1" applyAlignment="1">
      <alignment horizontal="center" vertical="center"/>
    </xf>
    <xf numFmtId="0" fontId="16" fillId="0" borderId="4" xfId="0" applyFont="1" applyBorder="1" applyAlignment="1">
      <alignment horizontal="left" vertical="center"/>
    </xf>
    <xf numFmtId="0" fontId="16" fillId="0" borderId="3" xfId="0" applyNumberFormat="1" applyFont="1" applyBorder="1" applyAlignment="1">
      <alignment horizontal="center" vertical="center" wrapText="1"/>
    </xf>
    <xf numFmtId="3" fontId="17" fillId="0" borderId="3" xfId="0" applyNumberFormat="1" applyFont="1" applyBorder="1" applyAlignment="1">
      <alignment horizontal="center" vertical="center"/>
    </xf>
    <xf numFmtId="0" fontId="16" fillId="0" borderId="4" xfId="0" applyNumberFormat="1" applyFont="1" applyBorder="1" applyAlignment="1">
      <alignment vertical="center"/>
    </xf>
    <xf numFmtId="3" fontId="17" fillId="3" borderId="2" xfId="0" applyNumberFormat="1" applyFont="1" applyFill="1" applyBorder="1" applyAlignment="1">
      <alignment horizontal="center" vertical="center"/>
    </xf>
    <xf numFmtId="3" fontId="17" fillId="3" borderId="1" xfId="0" applyNumberFormat="1" applyFont="1" applyFill="1" applyBorder="1" applyAlignment="1">
      <alignment vertical="center"/>
    </xf>
    <xf numFmtId="3" fontId="17" fillId="0" borderId="7" xfId="0" applyNumberFormat="1" applyFont="1" applyBorder="1" applyAlignment="1">
      <alignment vertical="center"/>
    </xf>
    <xf numFmtId="4" fontId="17" fillId="3" borderId="2" xfId="0" applyNumberFormat="1" applyFont="1" applyFill="1" applyBorder="1" applyAlignment="1">
      <alignment horizontal="center" vertical="center"/>
    </xf>
    <xf numFmtId="170" fontId="3" fillId="0" borderId="1" xfId="2" applyNumberFormat="1" applyFont="1" applyFill="1" applyBorder="1" applyAlignment="1">
      <alignment horizontal="left" vertical="center"/>
    </xf>
    <xf numFmtId="174" fontId="3" fillId="0" borderId="1" xfId="2" applyNumberFormat="1" applyFont="1" applyFill="1" applyBorder="1" applyAlignment="1">
      <alignment horizontal="right" vertical="center" indent="1"/>
    </xf>
    <xf numFmtId="174" fontId="3" fillId="0" borderId="2" xfId="0" applyNumberFormat="1"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5" xfId="0" applyNumberFormat="1" applyFont="1" applyFill="1" applyBorder="1" applyAlignment="1">
      <alignment vertical="center"/>
    </xf>
    <xf numFmtId="0" fontId="29" fillId="0" borderId="5" xfId="0" applyNumberFormat="1" applyFont="1" applyBorder="1" applyAlignment="1">
      <alignment vertical="center"/>
    </xf>
    <xf numFmtId="0" fontId="29" fillId="3" borderId="5" xfId="0" applyNumberFormat="1" applyFont="1" applyFill="1" applyBorder="1" applyAlignment="1">
      <alignment vertical="center"/>
    </xf>
    <xf numFmtId="0" fontId="29" fillId="0" borderId="6" xfId="0" applyNumberFormat="1" applyFont="1" applyBorder="1" applyAlignment="1">
      <alignment vertical="center"/>
    </xf>
    <xf numFmtId="0" fontId="52" fillId="0" borderId="1" xfId="0" applyFont="1" applyFill="1" applyBorder="1" applyAlignment="1">
      <alignment horizontal="center" vertical="center" wrapText="1"/>
    </xf>
    <xf numFmtId="0" fontId="16" fillId="0" borderId="5" xfId="0" applyFont="1" applyBorder="1" applyAlignment="1">
      <alignment horizontal="left" vertical="center"/>
    </xf>
    <xf numFmtId="0" fontId="29" fillId="0" borderId="11" xfId="0" applyNumberFormat="1" applyFont="1" applyBorder="1" applyAlignment="1">
      <alignment horizontal="left" vertical="center" wrapText="1"/>
    </xf>
    <xf numFmtId="0" fontId="29" fillId="0" borderId="12" xfId="0" applyNumberFormat="1" applyFont="1" applyBorder="1" applyAlignment="1">
      <alignment horizontal="left" vertical="center" wrapText="1"/>
    </xf>
    <xf numFmtId="0" fontId="29" fillId="0" borderId="13" xfId="0" applyNumberFormat="1" applyFont="1" applyBorder="1" applyAlignment="1">
      <alignment horizontal="left" vertical="center" wrapText="1"/>
    </xf>
    <xf numFmtId="0" fontId="29" fillId="0" borderId="14" xfId="0" applyNumberFormat="1" applyFont="1" applyBorder="1" applyAlignment="1">
      <alignment horizontal="left" vertical="center" wrapText="1"/>
    </xf>
    <xf numFmtId="0" fontId="29" fillId="0" borderId="10" xfId="0" applyNumberFormat="1" applyFont="1" applyBorder="1" applyAlignment="1">
      <alignment horizontal="left" vertical="center" wrapText="1"/>
    </xf>
    <xf numFmtId="0" fontId="29" fillId="0" borderId="9" xfId="0" applyNumberFormat="1" applyFont="1" applyBorder="1" applyAlignment="1">
      <alignment horizontal="left" vertical="center" wrapText="1"/>
    </xf>
    <xf numFmtId="0" fontId="29" fillId="2" borderId="11" xfId="0" applyNumberFormat="1" applyFont="1" applyFill="1" applyBorder="1" applyAlignment="1">
      <alignment horizontal="center" vertical="center" wrapText="1"/>
    </xf>
    <xf numFmtId="0" fontId="29" fillId="2" borderId="13"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xf>
    <xf numFmtId="0" fontId="29" fillId="2" borderId="5" xfId="0" applyNumberFormat="1" applyFont="1" applyFill="1" applyBorder="1" applyAlignment="1">
      <alignment horizontal="center" vertical="center"/>
    </xf>
    <xf numFmtId="0" fontId="29" fillId="2" borderId="6" xfId="0" applyNumberFormat="1" applyFont="1" applyFill="1" applyBorder="1" applyAlignment="1">
      <alignment horizontal="center" vertical="center"/>
    </xf>
    <xf numFmtId="0" fontId="16" fillId="2" borderId="7" xfId="0" applyNumberFormat="1" applyFont="1" applyFill="1" applyBorder="1" applyAlignment="1">
      <alignment horizontal="left" vertical="center" wrapText="1" indent="1"/>
    </xf>
    <xf numFmtId="0" fontId="29" fillId="2" borderId="14" xfId="0" applyNumberFormat="1" applyFont="1" applyFill="1" applyBorder="1" applyAlignment="1">
      <alignment horizontal="center" vertical="center" wrapText="1"/>
    </xf>
    <xf numFmtId="0" fontId="29" fillId="2" borderId="9" xfId="0" applyNumberFormat="1" applyFont="1" applyFill="1" applyBorder="1" applyAlignment="1">
      <alignment horizontal="center" vertical="center" wrapText="1"/>
    </xf>
    <xf numFmtId="0" fontId="29" fillId="0" borderId="4" xfId="0" applyNumberFormat="1" applyFont="1" applyBorder="1" applyAlignment="1">
      <alignment horizontal="left" vertical="center" wrapText="1"/>
    </xf>
    <xf numFmtId="0" fontId="29" fillId="2" borderId="2"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center"/>
    </xf>
    <xf numFmtId="0" fontId="29" fillId="2" borderId="7" xfId="0" applyNumberFormat="1" applyFont="1" applyFill="1" applyBorder="1" applyAlignment="1">
      <alignment horizontal="center" vertical="center" wrapText="1"/>
    </xf>
    <xf numFmtId="0" fontId="29" fillId="2" borderId="7" xfId="0" applyNumberFormat="1" applyFont="1" applyFill="1" applyBorder="1" applyAlignment="1">
      <alignment horizontal="center" vertical="center"/>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xf>
    <xf numFmtId="0" fontId="29" fillId="0" borderId="2" xfId="0" quotePrefix="1" applyNumberFormat="1" applyFont="1" applyBorder="1" applyAlignment="1">
      <alignment horizontal="left" vertical="center"/>
    </xf>
    <xf numFmtId="0" fontId="29" fillId="0" borderId="7" xfId="0" quotePrefix="1" applyNumberFormat="1" applyFont="1" applyBorder="1" applyAlignment="1">
      <alignment horizontal="left" vertical="center"/>
    </xf>
    <xf numFmtId="0" fontId="29" fillId="0" borderId="2" xfId="0" applyNumberFormat="1" applyFont="1" applyBorder="1" applyAlignment="1">
      <alignment horizontal="left" vertical="center"/>
    </xf>
    <xf numFmtId="0" fontId="29" fillId="0" borderId="7" xfId="0" applyNumberFormat="1" applyFont="1" applyBorder="1" applyAlignment="1">
      <alignment horizontal="left" vertical="center"/>
    </xf>
    <xf numFmtId="0" fontId="29" fillId="2" borderId="2"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16" fillId="0" borderId="3" xfId="0" quotePrefix="1" applyNumberFormat="1" applyFont="1" applyBorder="1" applyAlignment="1">
      <alignment horizontal="center" vertical="center" wrapText="1"/>
    </xf>
    <xf numFmtId="0" fontId="16" fillId="3" borderId="8" xfId="0" applyNumberFormat="1" applyFont="1" applyFill="1" applyBorder="1" applyAlignment="1">
      <alignment vertical="center" wrapText="1"/>
    </xf>
    <xf numFmtId="3" fontId="16" fillId="0" borderId="3" xfId="0" quotePrefix="1" applyNumberFormat="1" applyFont="1" applyBorder="1" applyAlignment="1">
      <alignment horizontal="center" vertical="center" wrapText="1"/>
    </xf>
    <xf numFmtId="9" fontId="2" fillId="3" borderId="1" xfId="0" applyNumberFormat="1" applyFont="1" applyFill="1" applyBorder="1" applyAlignment="1">
      <alignment horizontal="center" vertical="center"/>
    </xf>
    <xf numFmtId="0" fontId="16" fillId="3" borderId="2" xfId="0" applyNumberFormat="1" applyFont="1" applyFill="1" applyBorder="1" applyAlignment="1">
      <alignment horizontal="left" vertical="center" wrapText="1"/>
    </xf>
    <xf numFmtId="180" fontId="3" fillId="3" borderId="1" xfId="0" applyNumberFormat="1" applyFont="1" applyFill="1" applyBorder="1" applyAlignment="1">
      <alignment horizontal="center" vertical="center"/>
    </xf>
    <xf numFmtId="0" fontId="16" fillId="3" borderId="1" xfId="0" applyNumberFormat="1" applyFont="1" applyFill="1" applyBorder="1" applyAlignment="1">
      <alignment horizontal="left" vertical="center" wrapText="1"/>
    </xf>
    <xf numFmtId="9" fontId="2" fillId="3" borderId="1" xfId="0" applyNumberFormat="1" applyFont="1" applyFill="1" applyBorder="1" applyAlignment="1">
      <alignment horizontal="right" vertical="center" indent="1"/>
    </xf>
    <xf numFmtId="180" fontId="3" fillId="3" borderId="1" xfId="0" applyNumberFormat="1" applyFont="1" applyFill="1" applyBorder="1" applyAlignment="1">
      <alignment horizontal="right" vertical="center" indent="1"/>
    </xf>
    <xf numFmtId="3" fontId="7" fillId="0" borderId="2" xfId="0" applyNumberFormat="1" applyFont="1" applyFill="1" applyBorder="1" applyAlignment="1">
      <alignment horizontal="center" vertical="center"/>
    </xf>
    <xf numFmtId="3" fontId="31" fillId="0" borderId="2" xfId="0" applyNumberFormat="1" applyFont="1" applyFill="1" applyBorder="1" applyAlignment="1">
      <alignment horizontal="center" vertical="center"/>
    </xf>
    <xf numFmtId="10" fontId="17" fillId="0" borderId="1" xfId="4" applyNumberFormat="1" applyFont="1" applyBorder="1" applyAlignment="1">
      <alignment horizontal="center" vertical="center"/>
    </xf>
    <xf numFmtId="10" fontId="16" fillId="0" borderId="1" xfId="4" applyNumberFormat="1" applyFont="1" applyBorder="1" applyAlignment="1">
      <alignment horizontal="center" vertical="center"/>
    </xf>
    <xf numFmtId="0" fontId="29" fillId="3" borderId="5" xfId="0" applyFont="1" applyFill="1" applyBorder="1" applyAlignment="1">
      <alignment horizontal="center" vertical="center"/>
    </xf>
    <xf numFmtId="0" fontId="16" fillId="0" borderId="1" xfId="0" applyNumberFormat="1" applyFont="1" applyBorder="1" applyAlignment="1">
      <alignment vertical="center"/>
    </xf>
    <xf numFmtId="0" fontId="16" fillId="0" borderId="3" xfId="0" quotePrefix="1" applyNumberFormat="1" applyFont="1" applyFill="1" applyBorder="1" applyAlignment="1">
      <alignment horizontal="center" vertical="center" wrapText="1"/>
    </xf>
    <xf numFmtId="0" fontId="16" fillId="0" borderId="15" xfId="0" applyNumberFormat="1" applyFont="1" applyBorder="1" applyAlignment="1">
      <alignment horizontal="center" vertical="center" wrapText="1"/>
    </xf>
    <xf numFmtId="3" fontId="17" fillId="0" borderId="42" xfId="0" applyNumberFormat="1" applyFont="1" applyBorder="1"/>
    <xf numFmtId="3" fontId="16" fillId="0" borderId="15" xfId="0" applyNumberFormat="1" applyFont="1" applyFill="1" applyBorder="1" applyAlignment="1">
      <alignment horizontal="center" vertical="center"/>
    </xf>
    <xf numFmtId="3" fontId="17" fillId="0" borderId="0" xfId="0" applyNumberFormat="1" applyFont="1" applyAlignment="1">
      <alignment horizontal="center" vertical="center"/>
    </xf>
    <xf numFmtId="170" fontId="3" fillId="0" borderId="12" xfId="0" applyNumberFormat="1" applyFont="1" applyBorder="1" applyAlignment="1"/>
    <xf numFmtId="3" fontId="17" fillId="0" borderId="1" xfId="0" applyNumberFormat="1" applyFont="1" applyBorder="1" applyAlignment="1">
      <alignment horizontal="center" vertical="center"/>
    </xf>
    <xf numFmtId="3" fontId="16" fillId="0" borderId="1" xfId="0" applyNumberFormat="1" applyFont="1" applyFill="1" applyBorder="1" applyAlignment="1">
      <alignment horizontal="right" vertical="center" indent="1"/>
    </xf>
    <xf numFmtId="0" fontId="12" fillId="0" borderId="3" xfId="0" applyFont="1" applyBorder="1" applyAlignment="1">
      <alignment vertical="center" textRotation="90" wrapText="1"/>
    </xf>
    <xf numFmtId="0" fontId="12" fillId="0" borderId="7" xfId="0" applyFont="1" applyBorder="1" applyAlignment="1">
      <alignment vertical="center" textRotation="90" wrapText="1"/>
    </xf>
    <xf numFmtId="3" fontId="3" fillId="3" borderId="0" xfId="0" applyNumberFormat="1" applyFont="1" applyFill="1" applyBorder="1" applyAlignment="1">
      <alignment horizontal="right" vertical="center" indent="1"/>
    </xf>
    <xf numFmtId="0" fontId="0" fillId="0" borderId="8" xfId="0" applyFill="1" applyBorder="1" applyAlignment="1"/>
    <xf numFmtId="0" fontId="0" fillId="0" borderId="8" xfId="0" applyFont="1" applyFill="1" applyBorder="1" applyAlignment="1"/>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vertical="center" wrapText="1"/>
    </xf>
    <xf numFmtId="0" fontId="3" fillId="0" borderId="0" xfId="0" applyFont="1" applyFill="1"/>
    <xf numFmtId="0" fontId="2" fillId="0" borderId="49" xfId="0" applyFont="1" applyBorder="1" applyAlignment="1">
      <alignment horizontal="center"/>
    </xf>
    <xf numFmtId="0" fontId="2" fillId="0" borderId="20" xfId="0" applyFont="1" applyBorder="1" applyAlignment="1">
      <alignment horizontal="center"/>
    </xf>
    <xf numFmtId="0" fontId="2" fillId="0" borderId="35" xfId="0" applyFont="1" applyBorder="1" applyAlignment="1">
      <alignment horizontal="center"/>
    </xf>
    <xf numFmtId="170" fontId="2" fillId="0" borderId="54" xfId="0" applyNumberFormat="1" applyFont="1" applyBorder="1" applyAlignment="1">
      <alignment horizontal="center"/>
    </xf>
    <xf numFmtId="174" fontId="2" fillId="0" borderId="0" xfId="0" applyNumberFormat="1" applyFont="1" applyBorder="1" applyAlignment="1">
      <alignment horizontal="center"/>
    </xf>
    <xf numFmtId="4" fontId="2" fillId="3" borderId="29" xfId="0" applyNumberFormat="1" applyFont="1" applyFill="1" applyBorder="1" applyAlignment="1">
      <alignment horizontal="center"/>
    </xf>
    <xf numFmtId="176" fontId="2" fillId="0" borderId="1" xfId="0" quotePrefix="1" applyNumberFormat="1" applyFont="1" applyBorder="1" applyAlignment="1">
      <alignment horizontal="center" vertical="center" wrapText="1"/>
    </xf>
    <xf numFmtId="43" fontId="2" fillId="0" borderId="1" xfId="2" applyNumberFormat="1" applyFont="1" applyBorder="1" applyAlignment="1">
      <alignment vertical="center" wrapText="1"/>
    </xf>
    <xf numFmtId="178" fontId="2" fillId="0" borderId="0" xfId="0" applyNumberFormat="1" applyFont="1" applyAlignment="1">
      <alignment horizontal="center"/>
    </xf>
    <xf numFmtId="0" fontId="2" fillId="0" borderId="49" xfId="0" applyFont="1" applyBorder="1" applyAlignment="1"/>
    <xf numFmtId="0" fontId="2" fillId="0" borderId="20" xfId="0" applyFont="1" applyBorder="1" applyAlignment="1"/>
    <xf numFmtId="0" fontId="3" fillId="0" borderId="12" xfId="0" applyNumberFormat="1" applyFont="1" applyFill="1" applyBorder="1" applyAlignment="1">
      <alignment vertical="center" wrapText="1"/>
    </xf>
    <xf numFmtId="3" fontId="2" fillId="0" borderId="0" xfId="0" applyNumberFormat="1" applyFont="1" applyBorder="1" applyAlignment="1"/>
    <xf numFmtId="0" fontId="3" fillId="0" borderId="15" xfId="0" applyFont="1" applyBorder="1" applyAlignment="1">
      <alignment horizontal="center" vertical="center" wrapText="1"/>
    </xf>
    <xf numFmtId="0" fontId="3" fillId="3" borderId="0" xfId="0" applyNumberFormat="1" applyFont="1" applyFill="1" applyBorder="1" applyAlignment="1">
      <alignment horizontal="center" vertical="center" wrapText="1"/>
    </xf>
    <xf numFmtId="0" fontId="3" fillId="3" borderId="2" xfId="0" applyFont="1" applyFill="1" applyBorder="1"/>
    <xf numFmtId="0" fontId="3" fillId="3" borderId="11" xfId="0" applyFont="1" applyFill="1" applyBorder="1" applyAlignment="1">
      <alignment horizontal="center"/>
    </xf>
    <xf numFmtId="3" fontId="0" fillId="0" borderId="1" xfId="0" applyNumberFormat="1" applyFont="1" applyFill="1" applyBorder="1"/>
    <xf numFmtId="0" fontId="3" fillId="0" borderId="3" xfId="0" applyFont="1" applyBorder="1" applyAlignment="1">
      <alignment vertical="center" textRotation="90"/>
    </xf>
    <xf numFmtId="0" fontId="3" fillId="0" borderId="7" xfId="0" applyFont="1" applyBorder="1" applyAlignment="1">
      <alignment vertical="center" textRotation="90"/>
    </xf>
    <xf numFmtId="0" fontId="3" fillId="0" borderId="1" xfId="0" applyNumberFormat="1" applyFont="1" applyBorder="1" applyAlignment="1">
      <alignment vertical="center" wrapText="1"/>
    </xf>
    <xf numFmtId="0" fontId="3" fillId="3" borderId="1" xfId="0" applyNumberFormat="1" applyFont="1" applyFill="1" applyBorder="1" applyAlignment="1">
      <alignment vertical="center" wrapText="1"/>
    </xf>
    <xf numFmtId="3" fontId="17" fillId="0" borderId="1" xfId="0" applyNumberFormat="1" applyFont="1" applyBorder="1" applyAlignment="1">
      <alignment horizontal="center" vertical="center"/>
    </xf>
    <xf numFmtId="0" fontId="16" fillId="3" borderId="1" xfId="0" applyNumberFormat="1" applyFont="1" applyFill="1" applyBorder="1" applyAlignment="1">
      <alignment horizontal="center" vertical="center" wrapText="1"/>
    </xf>
    <xf numFmtId="3" fontId="17" fillId="0" borderId="1" xfId="0" applyNumberFormat="1" applyFont="1" applyBorder="1" applyAlignment="1">
      <alignment horizontal="right" vertical="center"/>
    </xf>
    <xf numFmtId="3" fontId="17" fillId="0" borderId="1" xfId="0" applyNumberFormat="1" applyFont="1" applyBorder="1" applyAlignment="1">
      <alignment horizontal="right"/>
    </xf>
    <xf numFmtId="0" fontId="3" fillId="0" borderId="1" xfId="0" applyNumberFormat="1" applyFont="1" applyBorder="1" applyAlignment="1">
      <alignment horizontal="left" vertical="center" wrapText="1"/>
    </xf>
    <xf numFmtId="0" fontId="2" fillId="0" borderId="1" xfId="0" applyNumberFormat="1" applyFont="1" applyBorder="1" applyAlignment="1">
      <alignment vertical="center" wrapText="1"/>
    </xf>
    <xf numFmtId="0" fontId="2" fillId="0" borderId="5" xfId="0" applyNumberFormat="1" applyFont="1" applyBorder="1" applyAlignment="1">
      <alignment horizontal="left" vertical="center" wrapText="1"/>
    </xf>
    <xf numFmtId="0" fontId="3" fillId="3" borderId="2" xfId="0" applyNumberFormat="1" applyFont="1" applyFill="1" applyBorder="1" applyAlignment="1">
      <alignment horizontal="left" vertical="center" wrapText="1"/>
    </xf>
    <xf numFmtId="0" fontId="3" fillId="3" borderId="7"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2" fillId="0" borderId="1"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3" fillId="0" borderId="1" xfId="0" applyFont="1" applyBorder="1" applyAlignment="1">
      <alignment horizontal="left" vertical="center" wrapText="1"/>
    </xf>
    <xf numFmtId="0" fontId="2" fillId="2" borderId="1"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3" fontId="3" fillId="0" borderId="1" xfId="0" applyNumberFormat="1" applyFont="1" applyBorder="1" applyAlignment="1">
      <alignment horizontal="center" vertical="center"/>
    </xf>
    <xf numFmtId="0" fontId="3" fillId="0" borderId="1" xfId="0" applyFont="1" applyBorder="1" applyAlignment="1">
      <alignment horizontal="left" vertical="center"/>
    </xf>
    <xf numFmtId="3" fontId="3" fillId="3" borderId="1" xfId="0" applyNumberFormat="1" applyFont="1" applyFill="1" applyBorder="1" applyAlignment="1">
      <alignment horizontal="center" vertical="center"/>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3" fillId="3" borderId="1" xfId="0" applyNumberFormat="1" applyFont="1" applyFill="1" applyBorder="1" applyAlignment="1">
      <alignment horizontal="left" vertical="center" wrapText="1"/>
    </xf>
    <xf numFmtId="3" fontId="2" fillId="3" borderId="1" xfId="0" applyNumberFormat="1" applyFont="1" applyFill="1" applyBorder="1" applyAlignment="1">
      <alignment horizontal="center" vertical="center"/>
    </xf>
    <xf numFmtId="0" fontId="3" fillId="3" borderId="1" xfId="0" applyFont="1" applyFill="1" applyBorder="1" applyAlignment="1">
      <alignment horizontal="center"/>
    </xf>
    <xf numFmtId="0" fontId="2" fillId="3" borderId="1" xfId="0" applyNumberFormat="1" applyFont="1" applyFill="1" applyBorder="1" applyAlignment="1">
      <alignment horizontal="left" vertical="center" wrapText="1" indent="1"/>
    </xf>
    <xf numFmtId="0" fontId="2" fillId="3" borderId="2" xfId="0" applyNumberFormat="1" applyFont="1" applyFill="1" applyBorder="1" applyAlignment="1">
      <alignment horizontal="center" vertical="center" wrapText="1"/>
    </xf>
    <xf numFmtId="0" fontId="2" fillId="0" borderId="4" xfId="0" applyFont="1" applyBorder="1" applyAlignment="1">
      <alignment vertical="center"/>
    </xf>
    <xf numFmtId="0" fontId="2" fillId="3" borderId="1" xfId="0" applyFont="1" applyFill="1" applyBorder="1" applyAlignment="1">
      <alignment horizontal="left" vertical="center"/>
    </xf>
    <xf numFmtId="0" fontId="4" fillId="5" borderId="1" xfId="0" applyNumberFormat="1" applyFont="1" applyFill="1" applyBorder="1" applyAlignment="1">
      <alignment vertical="center" wrapText="1"/>
    </xf>
    <xf numFmtId="0" fontId="4" fillId="5" borderId="5" xfId="0" applyNumberFormat="1" applyFont="1" applyFill="1" applyBorder="1" applyAlignment="1">
      <alignment vertical="center"/>
    </xf>
    <xf numFmtId="0" fontId="4" fillId="5" borderId="6" xfId="0" applyNumberFormat="1" applyFont="1" applyFill="1" applyBorder="1" applyAlignment="1">
      <alignment vertical="center"/>
    </xf>
    <xf numFmtId="0" fontId="17" fillId="0" borderId="10" xfId="0" applyNumberFormat="1" applyFont="1" applyBorder="1" applyAlignment="1">
      <alignment horizontal="center" vertical="center" wrapText="1"/>
    </xf>
    <xf numFmtId="3" fontId="17" fillId="0" borderId="0" xfId="0" applyNumberFormat="1" applyFont="1" applyBorder="1" applyAlignment="1">
      <alignment horizontal="center" vertical="center"/>
    </xf>
    <xf numFmtId="3" fontId="16" fillId="0" borderId="0" xfId="0" applyNumberFormat="1" applyFont="1" applyBorder="1" applyAlignment="1">
      <alignment horizontal="center" vertical="center"/>
    </xf>
    <xf numFmtId="0" fontId="16" fillId="3" borderId="1" xfId="0" applyFont="1" applyFill="1" applyBorder="1" applyAlignment="1">
      <alignment vertical="center" wrapText="1"/>
    </xf>
    <xf numFmtId="0" fontId="16" fillId="3" borderId="6" xfId="0" applyFont="1" applyFill="1" applyBorder="1" applyAlignment="1">
      <alignment horizontal="center" vertical="center"/>
    </xf>
    <xf numFmtId="0" fontId="16" fillId="3" borderId="1" xfId="0" applyNumberFormat="1" applyFont="1" applyFill="1" applyBorder="1" applyAlignment="1">
      <alignment vertical="center" wrapText="1"/>
    </xf>
    <xf numFmtId="0" fontId="16" fillId="3" borderId="5" xfId="0" applyNumberFormat="1" applyFont="1" applyFill="1" applyBorder="1" applyAlignment="1">
      <alignment vertical="center" wrapText="1"/>
    </xf>
    <xf numFmtId="0" fontId="16" fillId="3" borderId="6" xfId="0" applyNumberFormat="1" applyFont="1" applyFill="1" applyBorder="1" applyAlignment="1">
      <alignment vertical="center" wrapText="1"/>
    </xf>
    <xf numFmtId="0" fontId="16" fillId="3" borderId="4" xfId="0" applyNumberFormat="1" applyFont="1" applyFill="1" applyBorder="1" applyAlignment="1">
      <alignment vertical="center"/>
    </xf>
    <xf numFmtId="0" fontId="17" fillId="3" borderId="5" xfId="0" applyFont="1" applyFill="1" applyBorder="1"/>
    <xf numFmtId="0" fontId="16" fillId="3" borderId="6" xfId="0" applyNumberFormat="1" applyFont="1" applyFill="1" applyBorder="1" applyAlignment="1">
      <alignment vertical="center"/>
    </xf>
    <xf numFmtId="0" fontId="16" fillId="3" borderId="1" xfId="0" applyNumberFormat="1" applyFont="1" applyFill="1" applyBorder="1" applyAlignment="1">
      <alignment horizontal="center" vertical="center"/>
    </xf>
    <xf numFmtId="3" fontId="29" fillId="3" borderId="1" xfId="0" applyNumberFormat="1" applyFont="1" applyFill="1" applyBorder="1" applyAlignment="1">
      <alignment horizontal="center" vertical="center"/>
    </xf>
    <xf numFmtId="0" fontId="16" fillId="3" borderId="1" xfId="0" applyFont="1" applyFill="1" applyBorder="1" applyAlignment="1">
      <alignment horizontal="center" vertical="center" textRotation="90"/>
    </xf>
    <xf numFmtId="0" fontId="18" fillId="3" borderId="4" xfId="0" quotePrefix="1" applyNumberFormat="1" applyFont="1" applyFill="1" applyBorder="1" applyAlignment="1">
      <alignment vertical="center" wrapText="1"/>
    </xf>
    <xf numFmtId="0" fontId="18" fillId="3" borderId="5" xfId="0" quotePrefix="1" applyNumberFormat="1" applyFont="1" applyFill="1" applyBorder="1" applyAlignment="1">
      <alignment vertical="center" wrapText="1"/>
    </xf>
    <xf numFmtId="0" fontId="18" fillId="3" borderId="6" xfId="0" quotePrefix="1" applyNumberFormat="1" applyFont="1" applyFill="1" applyBorder="1" applyAlignment="1">
      <alignment vertical="center" wrapText="1"/>
    </xf>
    <xf numFmtId="0" fontId="3" fillId="3" borderId="5" xfId="0" applyNumberFormat="1" applyFont="1" applyFill="1" applyBorder="1" applyAlignment="1">
      <alignment vertical="center" wrapText="1"/>
    </xf>
    <xf numFmtId="0" fontId="3" fillId="3" borderId="6" xfId="0" applyNumberFormat="1" applyFont="1" applyFill="1" applyBorder="1" applyAlignment="1">
      <alignment vertical="center" wrapText="1"/>
    </xf>
    <xf numFmtId="0" fontId="3" fillId="3" borderId="2" xfId="0" applyFont="1" applyFill="1" applyBorder="1" applyAlignment="1">
      <alignment vertical="center"/>
    </xf>
    <xf numFmtId="0" fontId="17" fillId="3" borderId="1" xfId="0" applyFont="1" applyFill="1" applyBorder="1" applyAlignment="1">
      <alignment horizontal="center"/>
    </xf>
    <xf numFmtId="3" fontId="17" fillId="3" borderId="7" xfId="0" applyNumberFormat="1" applyFont="1" applyFill="1" applyBorder="1" applyAlignment="1">
      <alignment horizontal="center" vertical="center"/>
    </xf>
    <xf numFmtId="3" fontId="16" fillId="3" borderId="7" xfId="0" applyNumberFormat="1" applyFont="1" applyFill="1" applyBorder="1" applyAlignment="1">
      <alignment horizontal="right" vertical="center" indent="1"/>
    </xf>
    <xf numFmtId="0" fontId="17" fillId="3" borderId="2" xfId="0" applyFont="1" applyFill="1" applyBorder="1" applyAlignment="1">
      <alignment horizontal="center"/>
    </xf>
    <xf numFmtId="3" fontId="17" fillId="3" borderId="2" xfId="0" applyNumberFormat="1" applyFont="1" applyFill="1" applyBorder="1" applyAlignment="1">
      <alignment horizontal="center" vertical="center"/>
    </xf>
    <xf numFmtId="0" fontId="17" fillId="3" borderId="3" xfId="0" applyFont="1" applyFill="1" applyBorder="1" applyAlignment="1">
      <alignment horizontal="center"/>
    </xf>
    <xf numFmtId="0" fontId="17" fillId="3" borderId="7" xfId="0" applyFont="1" applyFill="1" applyBorder="1" applyAlignment="1">
      <alignment horizontal="center"/>
    </xf>
    <xf numFmtId="0" fontId="17" fillId="3" borderId="1" xfId="0" applyFont="1" applyFill="1" applyBorder="1"/>
    <xf numFmtId="0" fontId="17" fillId="3" borderId="1" xfId="0" applyFont="1" applyFill="1" applyBorder="1" applyAlignment="1">
      <alignment horizontal="right" indent="1"/>
    </xf>
    <xf numFmtId="0" fontId="17" fillId="3" borderId="7" xfId="0" applyFont="1" applyFill="1" applyBorder="1"/>
    <xf numFmtId="3" fontId="17" fillId="3" borderId="1" xfId="0" applyNumberFormat="1" applyFont="1" applyFill="1" applyBorder="1"/>
    <xf numFmtId="3" fontId="17" fillId="3" borderId="1" xfId="0" applyNumberFormat="1" applyFont="1" applyFill="1" applyBorder="1" applyAlignment="1">
      <alignment horizontal="right" indent="1"/>
    </xf>
    <xf numFmtId="0" fontId="0" fillId="3" borderId="0" xfId="0" applyFill="1" applyAlignment="1">
      <alignment wrapText="1"/>
    </xf>
    <xf numFmtId="3" fontId="16" fillId="3" borderId="2" xfId="0" applyNumberFormat="1" applyFont="1" applyFill="1" applyBorder="1" applyAlignment="1">
      <alignment horizontal="center" vertical="center"/>
    </xf>
    <xf numFmtId="4" fontId="16" fillId="3" borderId="1" xfId="0" applyNumberFormat="1" applyFont="1" applyFill="1" applyBorder="1" applyAlignment="1">
      <alignment horizontal="center" vertical="center"/>
    </xf>
    <xf numFmtId="4" fontId="16" fillId="3" borderId="1" xfId="0" applyNumberFormat="1" applyFont="1" applyFill="1" applyBorder="1" applyAlignment="1">
      <alignment vertical="center"/>
    </xf>
    <xf numFmtId="0" fontId="17" fillId="5" borderId="5" xfId="0" applyFont="1" applyFill="1" applyBorder="1" applyAlignment="1"/>
    <xf numFmtId="0" fontId="16" fillId="5" borderId="5" xfId="0" applyNumberFormat="1" applyFont="1" applyFill="1" applyBorder="1" applyAlignment="1">
      <alignment horizontal="left" vertical="center" wrapText="1"/>
    </xf>
    <xf numFmtId="0" fontId="16" fillId="5" borderId="6" xfId="0" applyNumberFormat="1" applyFont="1" applyFill="1" applyBorder="1" applyAlignment="1">
      <alignment horizontal="left" vertical="center" wrapText="1"/>
    </xf>
    <xf numFmtId="0" fontId="4" fillId="5" borderId="1" xfId="0" applyNumberFormat="1" applyFont="1" applyFill="1" applyBorder="1" applyAlignment="1">
      <alignment vertical="center"/>
    </xf>
    <xf numFmtId="0" fontId="4" fillId="5" borderId="4" xfId="0" applyNumberFormat="1" applyFont="1" applyFill="1" applyBorder="1" applyAlignment="1">
      <alignment vertical="center"/>
    </xf>
    <xf numFmtId="0" fontId="12" fillId="5" borderId="5" xfId="0" applyFont="1" applyFill="1" applyBorder="1"/>
    <xf numFmtId="3" fontId="2" fillId="0" borderId="1" xfId="0" applyNumberFormat="1" applyFont="1" applyBorder="1" applyAlignment="1">
      <alignment horizontal="left" vertical="center" wrapText="1"/>
    </xf>
    <xf numFmtId="0" fontId="2" fillId="0" borderId="1" xfId="0" applyNumberFormat="1" applyFont="1" applyBorder="1" applyAlignment="1">
      <alignment vertical="center" wrapText="1"/>
    </xf>
    <xf numFmtId="0" fontId="2" fillId="0" borderId="1" xfId="0" applyNumberFormat="1" applyFont="1" applyBorder="1" applyAlignment="1">
      <alignment horizontal="left" vertical="center" wrapText="1"/>
    </xf>
    <xf numFmtId="0" fontId="3" fillId="0" borderId="7" xfId="0" quotePrefix="1"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center" wrapText="1"/>
    </xf>
    <xf numFmtId="3" fontId="2" fillId="0" borderId="1" xfId="0" applyNumberFormat="1" applyFont="1" applyBorder="1" applyAlignment="1">
      <alignment horizontal="center" vertical="center"/>
    </xf>
    <xf numFmtId="0" fontId="17" fillId="0" borderId="7" xfId="0" applyNumberFormat="1" applyFont="1" applyBorder="1" applyAlignment="1">
      <alignment horizontal="left" vertical="center" wrapText="1"/>
    </xf>
    <xf numFmtId="0" fontId="17" fillId="0" borderId="7" xfId="0" applyNumberFormat="1" applyFont="1" applyBorder="1" applyAlignment="1">
      <alignment horizontal="center" vertical="center" wrapText="1"/>
    </xf>
    <xf numFmtId="0" fontId="16" fillId="0" borderId="1" xfId="0" applyNumberFormat="1" applyFont="1" applyBorder="1" applyAlignment="1">
      <alignment vertical="center" wrapText="1"/>
    </xf>
    <xf numFmtId="0" fontId="16" fillId="0" borderId="10" xfId="0" applyNumberFormat="1" applyFont="1" applyBorder="1" applyAlignment="1">
      <alignment horizontal="center" vertical="center" wrapText="1"/>
    </xf>
    <xf numFmtId="0" fontId="16"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xf>
    <xf numFmtId="0" fontId="2" fillId="0" borderId="1" xfId="0" applyFont="1" applyBorder="1" applyAlignment="1">
      <alignment horizontal="center" vertical="center" textRotation="90"/>
    </xf>
    <xf numFmtId="0" fontId="4" fillId="5" borderId="4" xfId="0" applyNumberFormat="1" applyFont="1" applyFill="1" applyBorder="1" applyAlignment="1">
      <alignment horizontal="left" vertical="center"/>
    </xf>
    <xf numFmtId="0" fontId="16" fillId="0" borderId="5" xfId="0" applyNumberFormat="1" applyFont="1" applyBorder="1" applyAlignment="1">
      <alignment horizontal="left" vertical="center" wrapText="1"/>
    </xf>
    <xf numFmtId="0" fontId="16" fillId="0" borderId="6"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2" fillId="3" borderId="1" xfId="0" applyNumberFormat="1" applyFont="1" applyFill="1" applyBorder="1" applyAlignment="1">
      <alignment vertical="center" wrapText="1"/>
    </xf>
    <xf numFmtId="0" fontId="3" fillId="0" borderId="1" xfId="0" applyNumberFormat="1" applyFont="1" applyBorder="1" applyAlignment="1">
      <alignment vertical="center" wrapText="1"/>
    </xf>
    <xf numFmtId="0" fontId="3" fillId="3" borderId="2"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16" fillId="0" borderId="6" xfId="0" applyNumberFormat="1" applyFont="1" applyBorder="1" applyAlignment="1">
      <alignment vertical="center" wrapText="1"/>
    </xf>
    <xf numFmtId="0" fontId="16" fillId="0" borderId="1" xfId="0" applyFont="1" applyBorder="1" applyAlignment="1">
      <alignment horizontal="center" vertical="center" textRotation="90"/>
    </xf>
    <xf numFmtId="0" fontId="16" fillId="3" borderId="1"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0" fontId="2" fillId="0" borderId="3" xfId="0" applyFont="1" applyBorder="1" applyAlignment="1">
      <alignment horizontal="center" vertical="center" textRotation="90"/>
    </xf>
    <xf numFmtId="0" fontId="3" fillId="0" borderId="1" xfId="0" applyFont="1" applyBorder="1" applyAlignment="1">
      <alignment horizontal="left" vertical="center"/>
    </xf>
    <xf numFmtId="0" fontId="3" fillId="3" borderId="2"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3" fontId="3" fillId="0" borderId="2" xfId="0" applyNumberFormat="1" applyFont="1" applyBorder="1" applyAlignment="1">
      <alignment horizontal="center" vertical="center"/>
    </xf>
    <xf numFmtId="0" fontId="2"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xf>
    <xf numFmtId="0" fontId="3" fillId="0" borderId="0" xfId="0" applyFont="1" applyBorder="1" applyAlignment="1">
      <alignment horizontal="left" vertical="center"/>
    </xf>
    <xf numFmtId="4" fontId="2" fillId="0" borderId="1" xfId="0" applyNumberFormat="1" applyFont="1" applyBorder="1" applyAlignment="1">
      <alignment horizontal="center" vertical="center"/>
    </xf>
    <xf numFmtId="0" fontId="2" fillId="0" borderId="0" xfId="0" applyFont="1" applyBorder="1" applyAlignment="1">
      <alignment horizontal="left" vertical="center"/>
    </xf>
    <xf numFmtId="0" fontId="7" fillId="3" borderId="1" xfId="0" applyNumberFormat="1" applyFont="1" applyFill="1" applyBorder="1" applyAlignment="1">
      <alignment horizontal="left" vertical="center" wrapText="1"/>
    </xf>
    <xf numFmtId="0" fontId="3" fillId="3" borderId="11"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1" xfId="0" applyFont="1" applyFill="1" applyBorder="1" applyAlignment="1">
      <alignment horizontal="center" vertical="center" wrapText="1"/>
    </xf>
    <xf numFmtId="3" fontId="2" fillId="0" borderId="2" xfId="0" applyNumberFormat="1" applyFont="1" applyBorder="1" applyAlignment="1">
      <alignment horizontal="center" vertical="center"/>
    </xf>
    <xf numFmtId="0" fontId="2" fillId="2" borderId="1" xfId="0" applyNumberFormat="1" applyFont="1" applyFill="1" applyBorder="1" applyAlignment="1">
      <alignment horizontal="center" vertical="center"/>
    </xf>
    <xf numFmtId="0" fontId="3" fillId="0" borderId="1" xfId="0" applyFont="1" applyBorder="1" applyAlignment="1">
      <alignment vertical="center" wrapText="1"/>
    </xf>
    <xf numFmtId="0" fontId="9" fillId="0" borderId="1" xfId="0" applyNumberFormat="1" applyFont="1" applyBorder="1" applyAlignment="1">
      <alignment horizontal="center" vertical="center" wrapText="1"/>
    </xf>
    <xf numFmtId="0" fontId="2" fillId="0" borderId="15" xfId="0" applyNumberFormat="1" applyFont="1" applyBorder="1" applyAlignment="1">
      <alignment horizontal="left" vertical="center"/>
    </xf>
    <xf numFmtId="0" fontId="3" fillId="3" borderId="1" xfId="0" applyFont="1" applyFill="1" applyBorder="1" applyAlignment="1">
      <alignment horizontal="left" vertical="center"/>
    </xf>
    <xf numFmtId="0" fontId="3" fillId="3"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0" fontId="7" fillId="0" borderId="1" xfId="0" applyNumberFormat="1" applyFont="1" applyBorder="1" applyAlignment="1">
      <alignment vertical="center" wrapText="1"/>
    </xf>
    <xf numFmtId="0" fontId="9" fillId="0" borderId="2"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2" fillId="0" borderId="1" xfId="0" applyFont="1" applyFill="1" applyBorder="1" applyAlignment="1">
      <alignment horizontal="left" vertical="center" wrapText="1"/>
    </xf>
    <xf numFmtId="3" fontId="2" fillId="0" borderId="1" xfId="0" applyNumberFormat="1" applyFont="1" applyFill="1" applyBorder="1" applyAlignment="1">
      <alignment horizontal="center" vertical="center" wrapText="1"/>
    </xf>
    <xf numFmtId="0" fontId="2" fillId="0" borderId="1" xfId="0" applyFont="1" applyBorder="1" applyAlignment="1">
      <alignment horizontal="left" vertical="center"/>
    </xf>
    <xf numFmtId="0" fontId="9" fillId="0" borderId="1" xfId="0" applyNumberFormat="1" applyFont="1" applyBorder="1" applyAlignment="1">
      <alignment horizontal="right" vertical="center" wrapText="1" indent="1"/>
    </xf>
    <xf numFmtId="0" fontId="3" fillId="0" borderId="1" xfId="0" applyFont="1" applyBorder="1" applyAlignment="1">
      <alignment horizontal="right" indent="1"/>
    </xf>
    <xf numFmtId="0" fontId="3" fillId="0" borderId="5" xfId="0" applyNumberFormat="1" applyFont="1" applyBorder="1" applyAlignment="1">
      <alignment horizontal="center" vertical="center" wrapText="1"/>
    </xf>
    <xf numFmtId="0" fontId="9" fillId="0" borderId="7" xfId="0" applyNumberFormat="1" applyFont="1" applyBorder="1" applyAlignment="1">
      <alignment horizontal="center" vertical="center" wrapText="1"/>
    </xf>
    <xf numFmtId="0" fontId="2" fillId="0" borderId="1" xfId="0" applyNumberFormat="1" applyFont="1" applyBorder="1" applyAlignment="1">
      <alignment horizontal="left" wrapText="1"/>
    </xf>
    <xf numFmtId="0" fontId="3" fillId="0" borderId="1" xfId="0" applyFont="1" applyBorder="1" applyAlignment="1">
      <alignment horizontal="left"/>
    </xf>
    <xf numFmtId="0" fontId="2" fillId="3" borderId="14" xfId="0" applyNumberFormat="1" applyFont="1" applyFill="1" applyBorder="1" applyAlignment="1">
      <alignment horizontal="left" vertical="center" wrapText="1"/>
    </xf>
    <xf numFmtId="0" fontId="16" fillId="0" borderId="7" xfId="0" applyFont="1" applyBorder="1" applyAlignment="1">
      <alignment horizontal="center" vertical="center" textRotation="90"/>
    </xf>
    <xf numFmtId="0" fontId="17" fillId="0" borderId="14" xfId="0" applyNumberFormat="1" applyFont="1" applyBorder="1" applyAlignment="1">
      <alignment horizontal="left" vertical="center" wrapText="1"/>
    </xf>
    <xf numFmtId="0" fontId="3" fillId="0" borderId="3" xfId="0" applyFont="1" applyFill="1" applyBorder="1" applyAlignment="1">
      <alignment vertical="center"/>
    </xf>
    <xf numFmtId="0" fontId="17" fillId="0" borderId="7" xfId="0" applyNumberFormat="1" applyFont="1" applyFill="1" applyBorder="1" applyAlignment="1">
      <alignment horizontal="center" vertical="center" wrapText="1"/>
    </xf>
    <xf numFmtId="0" fontId="3" fillId="0" borderId="4" xfId="0" applyNumberFormat="1" applyFont="1" applyBorder="1" applyAlignment="1">
      <alignment vertical="center" wrapText="1"/>
    </xf>
    <xf numFmtId="0" fontId="16" fillId="0" borderId="5" xfId="0" applyNumberFormat="1" applyFont="1" applyBorder="1" applyAlignment="1">
      <alignment vertical="center" wrapText="1"/>
    </xf>
    <xf numFmtId="0" fontId="16" fillId="0" borderId="4" xfId="0" applyNumberFormat="1" applyFont="1" applyBorder="1" applyAlignment="1">
      <alignment horizontal="left" vertical="center"/>
    </xf>
    <xf numFmtId="0" fontId="17" fillId="0" borderId="5" xfId="0" applyNumberFormat="1" applyFont="1" applyBorder="1" applyAlignment="1">
      <alignment horizontal="center" vertical="center" wrapText="1"/>
    </xf>
    <xf numFmtId="0" fontId="17" fillId="0" borderId="1" xfId="0" applyNumberFormat="1" applyFont="1" applyBorder="1" applyAlignment="1">
      <alignment vertical="center" wrapText="1"/>
    </xf>
    <xf numFmtId="0" fontId="3" fillId="0" borderId="3" xfId="0" applyNumberFormat="1" applyFont="1" applyBorder="1" applyAlignment="1">
      <alignment vertical="center" wrapText="1"/>
    </xf>
    <xf numFmtId="0" fontId="4" fillId="4" borderId="4" xfId="0" applyNumberFormat="1" applyFont="1" applyFill="1" applyBorder="1" applyAlignment="1">
      <alignment horizontal="left" vertical="center"/>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3" fillId="0" borderId="7" xfId="0" applyNumberFormat="1" applyFont="1" applyFill="1" applyBorder="1" applyAlignment="1">
      <alignment vertical="center" wrapText="1"/>
    </xf>
    <xf numFmtId="0" fontId="1" fillId="3" borderId="5" xfId="0" applyFont="1" applyFill="1" applyBorder="1" applyAlignment="1">
      <alignment horizontal="center" vertical="center"/>
    </xf>
    <xf numFmtId="0" fontId="1" fillId="0" borderId="5" xfId="0" applyFont="1" applyBorder="1" applyAlignment="1">
      <alignment horizontal="center" vertical="center"/>
    </xf>
    <xf numFmtId="0" fontId="2" fillId="3" borderId="12" xfId="0" applyNumberFormat="1" applyFont="1" applyFill="1" applyBorder="1" applyAlignment="1">
      <alignment horizontal="center" vertical="center" wrapText="1"/>
    </xf>
    <xf numFmtId="0" fontId="2" fillId="3" borderId="10" xfId="0" applyNumberFormat="1" applyFont="1" applyFill="1" applyBorder="1" applyAlignment="1">
      <alignment horizontal="center" vertical="center" wrapText="1"/>
    </xf>
    <xf numFmtId="0" fontId="2" fillId="0" borderId="5" xfId="0" applyNumberFormat="1" applyFont="1" applyBorder="1" applyAlignment="1">
      <alignment horizontal="left" vertical="top" wrapText="1"/>
    </xf>
    <xf numFmtId="0" fontId="2" fillId="5" borderId="5" xfId="0" applyNumberFormat="1" applyFont="1" applyFill="1" applyBorder="1" applyAlignment="1">
      <alignment horizontal="center" vertical="center"/>
    </xf>
    <xf numFmtId="0" fontId="3" fillId="3" borderId="4" xfId="0" applyNumberFormat="1" applyFont="1" applyFill="1" applyBorder="1" applyAlignment="1">
      <alignment horizontal="center" vertical="center" wrapText="1"/>
    </xf>
    <xf numFmtId="3" fontId="2" fillId="3" borderId="2" xfId="0" applyNumberFormat="1" applyFont="1" applyFill="1" applyBorder="1" applyAlignment="1">
      <alignment horizontal="right" vertical="center" indent="1"/>
    </xf>
    <xf numFmtId="0" fontId="2" fillId="3" borderId="13" xfId="0" applyNumberFormat="1" applyFont="1" applyFill="1" applyBorder="1" applyAlignment="1">
      <alignment horizontal="center" vertical="center" wrapText="1"/>
    </xf>
    <xf numFmtId="3" fontId="2" fillId="3" borderId="32" xfId="0" applyNumberFormat="1" applyFont="1" applyFill="1" applyBorder="1" applyAlignment="1">
      <alignment horizontal="center" vertical="center"/>
    </xf>
    <xf numFmtId="0" fontId="0" fillId="3" borderId="1" xfId="0" applyFill="1" applyBorder="1" applyAlignment="1">
      <alignment horizontal="center" vertical="center"/>
    </xf>
    <xf numFmtId="0" fontId="2" fillId="3" borderId="5" xfId="0" applyNumberFormat="1" applyFont="1" applyFill="1" applyBorder="1" applyAlignment="1">
      <alignment horizontal="center" vertical="center"/>
    </xf>
    <xf numFmtId="0" fontId="2" fillId="3" borderId="4" xfId="0" applyNumberFormat="1" applyFont="1" applyFill="1" applyBorder="1" applyAlignment="1">
      <alignment vertical="center"/>
    </xf>
    <xf numFmtId="0" fontId="2" fillId="3" borderId="6" xfId="0" applyNumberFormat="1" applyFont="1" applyFill="1" applyBorder="1" applyAlignment="1">
      <alignment vertical="center"/>
    </xf>
    <xf numFmtId="0" fontId="0" fillId="3" borderId="12" xfId="0" applyFill="1" applyBorder="1" applyAlignment="1">
      <alignment horizontal="center" vertical="center"/>
    </xf>
    <xf numFmtId="0" fontId="0" fillId="3" borderId="13" xfId="0" applyFill="1" applyBorder="1" applyAlignment="1">
      <alignment horizontal="center" vertical="center"/>
    </xf>
    <xf numFmtId="0" fontId="0" fillId="3" borderId="0" xfId="0" applyFill="1" applyBorder="1" applyAlignment="1">
      <alignment horizontal="center" vertical="center"/>
    </xf>
    <xf numFmtId="0" fontId="0" fillId="3" borderId="8" xfId="0" applyFill="1" applyBorder="1" applyAlignment="1">
      <alignment horizontal="center" vertical="center"/>
    </xf>
    <xf numFmtId="0" fontId="2" fillId="3" borderId="2" xfId="0" applyNumberFormat="1" applyFont="1" applyFill="1" applyBorder="1" applyAlignment="1">
      <alignment horizontal="center" vertical="center"/>
    </xf>
    <xf numFmtId="0" fontId="3" fillId="3" borderId="1" xfId="0" applyFont="1" applyFill="1" applyBorder="1" applyAlignment="1">
      <alignment horizontal="left"/>
    </xf>
    <xf numFmtId="0" fontId="1" fillId="3" borderId="1" xfId="0" applyFont="1" applyFill="1" applyBorder="1" applyAlignment="1">
      <alignment horizontal="center" vertical="center"/>
    </xf>
    <xf numFmtId="3" fontId="3" fillId="3" borderId="2" xfId="0" applyNumberFormat="1" applyFont="1" applyFill="1" applyBorder="1" applyAlignment="1">
      <alignment horizontal="center"/>
    </xf>
    <xf numFmtId="0" fontId="0" fillId="3" borderId="1" xfId="0" applyFill="1" applyBorder="1" applyAlignment="1">
      <alignment horizontal="center"/>
    </xf>
    <xf numFmtId="0" fontId="1" fillId="3" borderId="1" xfId="0" applyFont="1" applyFill="1" applyBorder="1" applyAlignment="1">
      <alignment horizontal="center"/>
    </xf>
    <xf numFmtId="3" fontId="1" fillId="3" borderId="32" xfId="0" applyNumberFormat="1" applyFont="1" applyFill="1" applyBorder="1" applyAlignment="1">
      <alignment horizontal="right" vertical="center" indent="1"/>
    </xf>
    <xf numFmtId="3" fontId="2" fillId="3" borderId="32" xfId="0" applyNumberFormat="1" applyFont="1" applyFill="1" applyBorder="1" applyAlignment="1">
      <alignment horizontal="right" vertical="center" indent="1"/>
    </xf>
    <xf numFmtId="3" fontId="17" fillId="3" borderId="2" xfId="0" applyNumberFormat="1" applyFont="1" applyFill="1" applyBorder="1" applyAlignment="1">
      <alignment vertical="center"/>
    </xf>
    <xf numFmtId="0" fontId="0" fillId="3" borderId="11" xfId="0" applyFill="1" applyBorder="1" applyAlignment="1">
      <alignment wrapText="1"/>
    </xf>
    <xf numFmtId="0" fontId="0" fillId="3" borderId="15" xfId="0" applyFill="1" applyBorder="1" applyAlignment="1">
      <alignment wrapText="1"/>
    </xf>
    <xf numFmtId="0" fontId="0" fillId="3" borderId="3" xfId="0" applyFill="1" applyBorder="1" applyAlignment="1">
      <alignment wrapText="1"/>
    </xf>
    <xf numFmtId="0" fontId="0" fillId="3" borderId="7" xfId="0" applyFill="1" applyBorder="1" applyAlignment="1">
      <alignment wrapText="1"/>
    </xf>
    <xf numFmtId="0" fontId="2" fillId="4" borderId="5" xfId="0" applyNumberFormat="1" applyFont="1" applyFill="1" applyBorder="1" applyAlignment="1">
      <alignment horizontal="center" vertical="center"/>
    </xf>
    <xf numFmtId="0" fontId="0" fillId="4" borderId="5" xfId="0" applyFill="1" applyBorder="1" applyAlignment="1">
      <alignment horizontal="center" vertical="center"/>
    </xf>
    <xf numFmtId="0" fontId="16" fillId="3" borderId="1" xfId="0" applyFont="1" applyFill="1" applyBorder="1" applyAlignment="1">
      <alignment horizontal="left" vertical="center" wrapText="1" indent="1"/>
    </xf>
    <xf numFmtId="0" fontId="35" fillId="3" borderId="1" xfId="0" applyFont="1" applyFill="1" applyBorder="1" applyAlignment="1">
      <alignment horizontal="left" wrapText="1"/>
    </xf>
    <xf numFmtId="0" fontId="2" fillId="3" borderId="7" xfId="0" applyFont="1" applyFill="1" applyBorder="1" applyAlignment="1">
      <alignment horizontal="left" vertical="center"/>
    </xf>
    <xf numFmtId="0" fontId="2" fillId="11" borderId="6" xfId="0" applyFont="1" applyFill="1" applyBorder="1" applyAlignment="1">
      <alignment horizontal="center" vertical="center"/>
    </xf>
    <xf numFmtId="176" fontId="3" fillId="0" borderId="12" xfId="0" quotePrefix="1" applyNumberFormat="1" applyFont="1" applyBorder="1" applyAlignment="1">
      <alignment vertical="center" wrapText="1"/>
    </xf>
    <xf numFmtId="0"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17" fillId="0" borderId="1" xfId="0" quotePrefix="1" applyNumberFormat="1" applyFont="1" applyBorder="1" applyAlignment="1">
      <alignment vertical="center" wrapText="1"/>
    </xf>
    <xf numFmtId="49" fontId="17" fillId="0" borderId="5" xfId="0" quotePrefix="1" applyNumberFormat="1" applyFont="1" applyBorder="1" applyAlignment="1">
      <alignment horizontal="center" vertical="center" wrapText="1"/>
    </xf>
    <xf numFmtId="0" fontId="17" fillId="0" borderId="5" xfId="0" quotePrefix="1" applyNumberFormat="1" applyFont="1" applyBorder="1" applyAlignment="1">
      <alignment horizontal="center" vertical="center" wrapText="1"/>
    </xf>
    <xf numFmtId="3" fontId="17" fillId="0" borderId="5" xfId="0" quotePrefix="1" applyNumberFormat="1" applyFont="1" applyBorder="1" applyAlignment="1">
      <alignment horizontal="center" vertical="center" wrapText="1"/>
    </xf>
    <xf numFmtId="0" fontId="17" fillId="0" borderId="5" xfId="0" applyNumberFormat="1" applyFont="1" applyBorder="1" applyAlignment="1">
      <alignment vertical="center" wrapText="1"/>
    </xf>
    <xf numFmtId="3" fontId="17" fillId="0" borderId="5" xfId="0" applyNumberFormat="1" applyFont="1" applyBorder="1" applyAlignment="1">
      <alignment horizontal="center" vertical="center"/>
    </xf>
    <xf numFmtId="3" fontId="16" fillId="0" borderId="6" xfId="0" applyNumberFormat="1" applyFont="1" applyBorder="1" applyAlignment="1">
      <alignment horizontal="right" vertical="center" indent="1"/>
    </xf>
    <xf numFmtId="4" fontId="17" fillId="0" borderId="1" xfId="0" applyNumberFormat="1" applyFont="1" applyBorder="1" applyAlignment="1">
      <alignment horizontal="center" vertical="center"/>
    </xf>
    <xf numFmtId="0" fontId="2" fillId="5" borderId="9" xfId="0" applyFont="1" applyFill="1" applyBorder="1" applyAlignment="1">
      <alignment horizontal="center" vertical="center" textRotation="90"/>
    </xf>
    <xf numFmtId="168" fontId="3" fillId="0" borderId="1" xfId="0" applyNumberFormat="1" applyFont="1" applyBorder="1" applyAlignment="1">
      <alignment vertical="center"/>
    </xf>
    <xf numFmtId="0" fontId="3" fillId="0" borderId="14" xfId="0" applyNumberFormat="1" applyFont="1" applyBorder="1" applyAlignment="1">
      <alignment horizontal="left" vertical="center" wrapText="1"/>
    </xf>
    <xf numFmtId="3" fontId="3" fillId="0" borderId="5" xfId="0" quotePrefix="1" applyNumberFormat="1" applyFont="1" applyBorder="1" applyAlignment="1">
      <alignment horizontal="center" vertical="center" wrapText="1"/>
    </xf>
    <xf numFmtId="0" fontId="3" fillId="0" borderId="5" xfId="0" applyFont="1" applyFill="1" applyBorder="1" applyAlignment="1">
      <alignment vertical="center" wrapText="1"/>
    </xf>
    <xf numFmtId="0" fontId="3" fillId="0" borderId="5" xfId="0" applyFont="1" applyFill="1" applyBorder="1" applyAlignment="1">
      <alignment horizontal="left" vertical="center" wrapText="1"/>
    </xf>
    <xf numFmtId="168" fontId="3" fillId="0" borderId="5" xfId="0" applyNumberFormat="1" applyFont="1" applyBorder="1" applyAlignment="1">
      <alignment vertical="center"/>
    </xf>
    <xf numFmtId="3" fontId="3" fillId="0" borderId="6" xfId="0" applyNumberFormat="1" applyFont="1" applyBorder="1" applyAlignment="1">
      <alignment horizontal="right" vertical="center" indent="1"/>
    </xf>
    <xf numFmtId="0" fontId="2" fillId="5" borderId="1" xfId="0" applyFont="1" applyFill="1" applyBorder="1" applyAlignment="1">
      <alignment horizontal="center" vertical="center" textRotation="90"/>
    </xf>
    <xf numFmtId="164" fontId="3" fillId="0" borderId="1" xfId="0" applyNumberFormat="1" applyFont="1" applyBorder="1" applyAlignment="1">
      <alignment horizontal="right" vertical="center" indent="1"/>
    </xf>
    <xf numFmtId="164" fontId="2" fillId="0" borderId="1" xfId="0" applyNumberFormat="1" applyFont="1" applyBorder="1" applyAlignment="1">
      <alignment horizontal="right" vertical="center" indent="1"/>
    </xf>
    <xf numFmtId="43" fontId="3" fillId="0" borderId="1" xfId="2" applyFont="1" applyBorder="1" applyAlignment="1">
      <alignment vertical="center"/>
    </xf>
    <xf numFmtId="43" fontId="3" fillId="0" borderId="1" xfId="2" applyFont="1" applyBorder="1"/>
    <xf numFmtId="181" fontId="3" fillId="0" borderId="1" xfId="2" applyNumberFormat="1" applyFont="1" applyBorder="1" applyAlignment="1">
      <alignment vertical="center"/>
    </xf>
    <xf numFmtId="0" fontId="0" fillId="3" borderId="10" xfId="0" applyFont="1" applyFill="1" applyBorder="1" applyAlignment="1"/>
    <xf numFmtId="0" fontId="3" fillId="0" borderId="10" xfId="0" applyFont="1" applyFill="1" applyBorder="1" applyAlignment="1">
      <alignment horizontal="left" vertical="center" wrapText="1"/>
    </xf>
    <xf numFmtId="171" fontId="3" fillId="0" borderId="10" xfId="0" applyNumberFormat="1" applyFont="1" applyFill="1" applyBorder="1" applyAlignment="1">
      <alignment horizontal="center" vertical="center" wrapText="1"/>
    </xf>
    <xf numFmtId="172" fontId="3" fillId="0" borderId="10" xfId="0" applyNumberFormat="1" applyFont="1" applyFill="1" applyBorder="1" applyAlignment="1">
      <alignment horizontal="center" vertical="center" wrapText="1"/>
    </xf>
    <xf numFmtId="167" fontId="3" fillId="0" borderId="10" xfId="0" applyNumberFormat="1" applyFont="1" applyFill="1" applyBorder="1" applyAlignment="1">
      <alignment horizontal="center" vertical="center" wrapText="1"/>
    </xf>
    <xf numFmtId="0" fontId="3" fillId="0" borderId="10"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0" fontId="2" fillId="0" borderId="10" xfId="0" applyFont="1" applyFill="1" applyBorder="1" applyAlignment="1">
      <alignment horizontal="center" vertical="center"/>
    </xf>
    <xf numFmtId="0" fontId="3" fillId="0" borderId="10" xfId="0" applyFont="1" applyBorder="1" applyAlignment="1">
      <alignment horizontal="center" vertical="center" wrapText="1"/>
    </xf>
    <xf numFmtId="0" fontId="3" fillId="0" borderId="10" xfId="0" applyNumberFormat="1" applyFont="1" applyBorder="1" applyAlignment="1">
      <alignment vertical="center" wrapText="1"/>
    </xf>
    <xf numFmtId="0" fontId="3" fillId="0" borderId="10" xfId="0" applyFont="1" applyBorder="1" applyAlignment="1">
      <alignment vertical="center"/>
    </xf>
    <xf numFmtId="0" fontId="3" fillId="0" borderId="10" xfId="0" applyFont="1" applyBorder="1" applyAlignment="1">
      <alignment vertical="center" wrapText="1"/>
    </xf>
    <xf numFmtId="164" fontId="3" fillId="0" borderId="9" xfId="0" applyNumberFormat="1" applyFont="1" applyBorder="1" applyAlignment="1">
      <alignment horizontal="center" vertical="center" wrapText="1"/>
    </xf>
    <xf numFmtId="0" fontId="8" fillId="0" borderId="1" xfId="0" applyFont="1" applyBorder="1" applyAlignment="1">
      <alignment horizontal="left" vertical="center" wrapText="1"/>
    </xf>
    <xf numFmtId="0" fontId="8" fillId="0" borderId="4" xfId="0" applyFont="1" applyBorder="1" applyAlignment="1">
      <alignment vertical="center" wrapText="1"/>
    </xf>
    <xf numFmtId="0" fontId="1" fillId="4" borderId="1" xfId="0" applyNumberFormat="1" applyFont="1" applyFill="1" applyBorder="1" applyAlignment="1">
      <alignment horizontal="left" vertical="center" wrapText="1"/>
    </xf>
    <xf numFmtId="3" fontId="2" fillId="3" borderId="1" xfId="0" applyNumberFormat="1" applyFont="1" applyFill="1" applyBorder="1" applyAlignment="1">
      <alignment horizontal="left" vertical="center" wrapText="1"/>
    </xf>
    <xf numFmtId="0" fontId="53" fillId="5" borderId="4" xfId="0" applyFont="1" applyFill="1" applyBorder="1" applyAlignment="1">
      <alignment vertical="center"/>
    </xf>
    <xf numFmtId="0" fontId="4" fillId="5" borderId="1" xfId="0" applyFont="1" applyFill="1" applyBorder="1" applyAlignment="1">
      <alignment horizontal="left" vertical="center" wrapText="1"/>
    </xf>
    <xf numFmtId="0" fontId="4" fillId="0" borderId="1" xfId="0" applyFont="1" applyBorder="1" applyAlignment="1">
      <alignment horizontal="left" vertical="center" wrapText="1" indent="1"/>
    </xf>
    <xf numFmtId="0" fontId="4" fillId="4" borderId="1" xfId="0" applyNumberFormat="1" applyFont="1" applyFill="1" applyBorder="1" applyAlignment="1">
      <alignment horizontal="left" vertical="center" wrapText="1" indent="1"/>
    </xf>
    <xf numFmtId="0" fontId="4" fillId="6" borderId="1" xfId="0" applyNumberFormat="1" applyFont="1" applyFill="1" applyBorder="1" applyAlignment="1">
      <alignment horizontal="left" vertical="center" wrapText="1"/>
    </xf>
    <xf numFmtId="0" fontId="4" fillId="6" borderId="1"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indent="1"/>
    </xf>
    <xf numFmtId="0" fontId="2" fillId="5" borderId="5" xfId="0" applyNumberFormat="1" applyFont="1" applyFill="1" applyBorder="1" applyAlignment="1">
      <alignment horizontal="left" vertical="center" indent="1"/>
    </xf>
    <xf numFmtId="0" fontId="2" fillId="5" borderId="6" xfId="0" applyNumberFormat="1" applyFont="1" applyFill="1" applyBorder="1" applyAlignment="1">
      <alignment horizontal="left" vertical="center" indent="1"/>
    </xf>
    <xf numFmtId="0" fontId="3" fillId="5" borderId="47" xfId="0" applyFont="1" applyFill="1" applyBorder="1"/>
    <xf numFmtId="0" fontId="3" fillId="5" borderId="52" xfId="0" applyFont="1" applyFill="1" applyBorder="1"/>
    <xf numFmtId="0" fontId="53" fillId="5" borderId="1" xfId="0" applyNumberFormat="1" applyFont="1" applyFill="1" applyBorder="1" applyAlignment="1">
      <alignment horizontal="left" vertical="center" wrapText="1"/>
    </xf>
    <xf numFmtId="0" fontId="4" fillId="4" borderId="0" xfId="0" applyFont="1" applyFill="1" applyAlignment="1">
      <alignment vertical="center"/>
    </xf>
    <xf numFmtId="0" fontId="4" fillId="4" borderId="4" xfId="0" applyNumberFormat="1" applyFont="1" applyFill="1" applyBorder="1" applyAlignment="1">
      <alignment vertical="center"/>
    </xf>
    <xf numFmtId="0" fontId="4" fillId="0" borderId="7" xfId="0" applyFont="1" applyBorder="1" applyAlignment="1">
      <alignment vertical="center" textRotation="90"/>
    </xf>
    <xf numFmtId="0" fontId="4" fillId="5" borderId="22" xfId="0" applyNumberFormat="1" applyFont="1" applyFill="1" applyBorder="1" applyAlignment="1">
      <alignment vertical="center"/>
    </xf>
    <xf numFmtId="0" fontId="4" fillId="5" borderId="9" xfId="0" applyFont="1" applyFill="1" applyBorder="1" applyAlignment="1">
      <alignment horizontal="center" vertical="center" textRotation="90"/>
    </xf>
    <xf numFmtId="0" fontId="4" fillId="5" borderId="1" xfId="0" applyNumberFormat="1" applyFont="1" applyFill="1" applyBorder="1" applyAlignment="1">
      <alignment horizontal="left" vertical="center" wrapText="1" indent="1"/>
    </xf>
    <xf numFmtId="3" fontId="9" fillId="0" borderId="1" xfId="0" applyNumberFormat="1" applyFont="1" applyFill="1" applyBorder="1" applyAlignment="1">
      <alignment horizontal="right" vertical="center" indent="1"/>
    </xf>
    <xf numFmtId="3" fontId="17" fillId="3" borderId="2" xfId="0" quotePrefix="1" applyNumberFormat="1" applyFont="1" applyFill="1" applyBorder="1" applyAlignment="1">
      <alignment horizontal="center" vertical="center" wrapText="1"/>
    </xf>
    <xf numFmtId="3" fontId="17" fillId="3" borderId="3" xfId="0" quotePrefix="1" applyNumberFormat="1" applyFont="1" applyFill="1" applyBorder="1" applyAlignment="1">
      <alignment horizontal="center" vertical="center" wrapText="1"/>
    </xf>
    <xf numFmtId="3" fontId="16" fillId="0" borderId="2" xfId="0" applyNumberFormat="1" applyFont="1" applyFill="1" applyBorder="1" applyAlignment="1">
      <alignment horizontal="right" vertical="center" indent="1"/>
    </xf>
    <xf numFmtId="3" fontId="17" fillId="0" borderId="1" xfId="0" applyNumberFormat="1" applyFont="1" applyFill="1" applyBorder="1" applyAlignment="1">
      <alignment horizontal="right" vertical="center" indent="1"/>
    </xf>
    <xf numFmtId="3" fontId="17" fillId="0" borderId="2" xfId="0" applyNumberFormat="1" applyFont="1" applyFill="1" applyBorder="1" applyAlignment="1">
      <alignment horizontal="right" vertical="center" indent="1"/>
    </xf>
    <xf numFmtId="3" fontId="17" fillId="3" borderId="7" xfId="0" quotePrefix="1" applyNumberFormat="1" applyFont="1" applyFill="1" applyBorder="1" applyAlignment="1">
      <alignment horizontal="center" vertical="center" wrapText="1"/>
    </xf>
    <xf numFmtId="0" fontId="17" fillId="4" borderId="5" xfId="0" applyFont="1" applyFill="1" applyBorder="1"/>
    <xf numFmtId="0" fontId="17" fillId="4" borderId="6" xfId="0" applyFont="1" applyFill="1" applyBorder="1"/>
    <xf numFmtId="3" fontId="16" fillId="3" borderId="6" xfId="0" applyNumberFormat="1" applyFont="1" applyFill="1" applyBorder="1" applyAlignment="1">
      <alignment horizontal="center" vertical="center"/>
    </xf>
    <xf numFmtId="3" fontId="17" fillId="3" borderId="6" xfId="0" applyNumberFormat="1" applyFont="1" applyFill="1" applyBorder="1" applyAlignment="1">
      <alignment horizontal="center" vertical="center"/>
    </xf>
    <xf numFmtId="3" fontId="17" fillId="0" borderId="1" xfId="0" applyNumberFormat="1" applyFont="1" applyBorder="1"/>
    <xf numFmtId="0" fontId="0" fillId="5" borderId="6" xfId="0" applyFill="1" applyBorder="1" applyAlignment="1">
      <alignment horizontal="right" indent="1"/>
    </xf>
    <xf numFmtId="0" fontId="65" fillId="0" borderId="14" xfId="0" applyNumberFormat="1" applyFont="1" applyBorder="1" applyAlignment="1">
      <alignment horizontal="center" vertical="center" wrapText="1"/>
    </xf>
    <xf numFmtId="3" fontId="17" fillId="0" borderId="10" xfId="0" applyNumberFormat="1" applyFont="1" applyBorder="1" applyAlignment="1">
      <alignment horizontal="center" vertical="center" wrapText="1"/>
    </xf>
    <xf numFmtId="0" fontId="3" fillId="0" borderId="5" xfId="0" applyFont="1" applyFill="1" applyBorder="1" applyAlignment="1">
      <alignment horizontal="left" vertical="center" wrapText="1" indent="1"/>
    </xf>
    <xf numFmtId="3" fontId="17" fillId="0" borderId="5" xfId="0" applyNumberFormat="1" applyFont="1" applyBorder="1" applyAlignment="1">
      <alignment vertical="center"/>
    </xf>
    <xf numFmtId="3" fontId="52" fillId="0" borderId="0" xfId="0" applyNumberFormat="1" applyFont="1" applyAlignment="1">
      <alignment vertical="center"/>
    </xf>
    <xf numFmtId="3" fontId="29" fillId="0" borderId="1" xfId="0" applyNumberFormat="1" applyFont="1" applyBorder="1" applyAlignment="1">
      <alignment horizontal="right" vertical="center" indent="1"/>
    </xf>
    <xf numFmtId="3" fontId="52" fillId="0" borderId="1" xfId="0" applyNumberFormat="1" applyFont="1" applyBorder="1" applyAlignment="1">
      <alignment horizontal="right" vertical="center" indent="1"/>
    </xf>
    <xf numFmtId="3" fontId="29" fillId="0" borderId="1" xfId="0" applyNumberFormat="1" applyFont="1" applyBorder="1" applyAlignment="1">
      <alignment vertical="center"/>
    </xf>
    <xf numFmtId="0" fontId="3" fillId="3" borderId="6" xfId="0" applyFont="1" applyFill="1" applyBorder="1" applyAlignment="1">
      <alignment wrapText="1"/>
    </xf>
    <xf numFmtId="0" fontId="3" fillId="3" borderId="5" xfId="0" applyNumberFormat="1" applyFont="1" applyFill="1" applyBorder="1" applyAlignment="1">
      <alignment horizontal="left" vertical="center" wrapText="1"/>
    </xf>
    <xf numFmtId="0" fontId="3" fillId="3" borderId="12" xfId="0" applyNumberFormat="1" applyFont="1" applyFill="1" applyBorder="1" applyAlignment="1">
      <alignment horizontal="left" vertical="center" wrapText="1"/>
    </xf>
    <xf numFmtId="0" fontId="3" fillId="3" borderId="6" xfId="0" applyFont="1" applyFill="1" applyBorder="1" applyAlignment="1">
      <alignment vertical="center" wrapText="1"/>
    </xf>
    <xf numFmtId="0" fontId="35" fillId="3" borderId="6" xfId="0" applyFont="1" applyFill="1" applyBorder="1" applyAlignment="1">
      <alignment wrapText="1"/>
    </xf>
    <xf numFmtId="0" fontId="35" fillId="3" borderId="6"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4" fillId="6" borderId="1" xfId="0" applyNumberFormat="1" applyFont="1" applyFill="1" applyBorder="1" applyAlignment="1">
      <alignment vertical="center" wrapText="1"/>
    </xf>
    <xf numFmtId="0" fontId="4" fillId="6" borderId="1" xfId="0" applyNumberFormat="1" applyFont="1" applyFill="1" applyBorder="1" applyAlignment="1">
      <alignment horizontal="left" vertical="center"/>
    </xf>
    <xf numFmtId="0" fontId="4" fillId="6" borderId="1" xfId="0" applyNumberFormat="1" applyFont="1" applyFill="1" applyBorder="1" applyAlignment="1">
      <alignment vertical="center"/>
    </xf>
    <xf numFmtId="0" fontId="4" fillId="5" borderId="1" xfId="0" applyNumberFormat="1" applyFont="1" applyFill="1" applyBorder="1" applyAlignment="1">
      <alignment horizontal="left" vertical="center"/>
    </xf>
    <xf numFmtId="4" fontId="7" fillId="3" borderId="1" xfId="0" applyNumberFormat="1" applyFont="1" applyFill="1" applyBorder="1" applyAlignment="1">
      <alignment vertical="center" wrapText="1"/>
    </xf>
    <xf numFmtId="0" fontId="53" fillId="6" borderId="1" xfId="0" applyNumberFormat="1" applyFont="1" applyFill="1" applyBorder="1" applyAlignment="1">
      <alignment horizontal="left" vertical="center" wrapText="1"/>
    </xf>
    <xf numFmtId="0" fontId="47" fillId="5" borderId="1" xfId="0" applyNumberFormat="1" applyFont="1" applyFill="1" applyBorder="1" applyAlignment="1">
      <alignment horizontal="left" vertical="center" wrapText="1"/>
    </xf>
    <xf numFmtId="0" fontId="47" fillId="5" borderId="4" xfId="0" applyNumberFormat="1" applyFont="1" applyFill="1" applyBorder="1" applyAlignment="1">
      <alignment horizontal="left" vertical="center"/>
    </xf>
    <xf numFmtId="0" fontId="47" fillId="5" borderId="5" xfId="0" applyNumberFormat="1" applyFont="1" applyFill="1" applyBorder="1" applyAlignment="1">
      <alignment vertical="center"/>
    </xf>
    <xf numFmtId="0" fontId="47" fillId="5" borderId="5" xfId="0" applyNumberFormat="1" applyFont="1" applyFill="1" applyBorder="1" applyAlignment="1">
      <alignment horizontal="center" vertical="center"/>
    </xf>
    <xf numFmtId="4" fontId="47" fillId="5" borderId="5" xfId="0" applyNumberFormat="1" applyFont="1" applyFill="1" applyBorder="1" applyAlignment="1">
      <alignment vertical="center"/>
    </xf>
    <xf numFmtId="0" fontId="47" fillId="5" borderId="5" xfId="0" applyNumberFormat="1" applyFont="1" applyFill="1" applyBorder="1" applyAlignment="1">
      <alignment horizontal="left" vertical="center"/>
    </xf>
    <xf numFmtId="0" fontId="48" fillId="5" borderId="5" xfId="0" applyFont="1" applyFill="1" applyBorder="1"/>
    <xf numFmtId="4" fontId="48" fillId="5" borderId="6" xfId="0" applyNumberFormat="1" applyFont="1" applyFill="1" applyBorder="1" applyAlignment="1">
      <alignment horizontal="right"/>
    </xf>
    <xf numFmtId="0" fontId="2" fillId="0" borderId="1" xfId="0" applyNumberFormat="1" applyFont="1" applyBorder="1" applyAlignment="1">
      <alignment horizontal="left"/>
    </xf>
    <xf numFmtId="49" fontId="2" fillId="0" borderId="1" xfId="0" applyNumberFormat="1" applyFont="1" applyBorder="1"/>
    <xf numFmtId="0" fontId="4" fillId="5" borderId="1" xfId="0" applyFont="1" applyFill="1" applyBorder="1" applyAlignment="1">
      <alignment horizontal="left" vertical="center"/>
    </xf>
    <xf numFmtId="0" fontId="4" fillId="5" borderId="1" xfId="0" applyFont="1" applyFill="1" applyBorder="1" applyAlignment="1">
      <alignment vertical="center"/>
    </xf>
    <xf numFmtId="165" fontId="3" fillId="5" borderId="1" xfId="0" applyNumberFormat="1" applyFont="1" applyFill="1" applyBorder="1" applyAlignment="1">
      <alignment horizontal="center"/>
    </xf>
    <xf numFmtId="165" fontId="3" fillId="5" borderId="0" xfId="0" applyNumberFormat="1" applyFont="1" applyFill="1" applyBorder="1" applyAlignment="1">
      <alignment horizontal="center"/>
    </xf>
    <xf numFmtId="165" fontId="3" fillId="5" borderId="0" xfId="0" applyNumberFormat="1" applyFont="1" applyFill="1" applyBorder="1" applyAlignment="1">
      <alignment horizontal="right" indent="1"/>
    </xf>
    <xf numFmtId="0" fontId="3" fillId="5" borderId="0" xfId="0" applyFont="1" applyFill="1" applyBorder="1" applyAlignment="1">
      <alignment horizontal="right" indent="1"/>
    </xf>
    <xf numFmtId="0" fontId="3" fillId="5" borderId="8" xfId="0" applyFont="1" applyFill="1" applyBorder="1" applyAlignment="1">
      <alignment horizontal="right" indent="1"/>
    </xf>
    <xf numFmtId="165" fontId="4" fillId="5" borderId="1" xfId="0" applyNumberFormat="1" applyFont="1" applyFill="1" applyBorder="1" applyAlignment="1">
      <alignment horizontal="center" vertical="center"/>
    </xf>
    <xf numFmtId="165" fontId="4" fillId="5" borderId="0" xfId="0" applyNumberFormat="1" applyFont="1" applyFill="1" applyBorder="1" applyAlignment="1">
      <alignment horizontal="center" vertical="center"/>
    </xf>
    <xf numFmtId="0" fontId="4" fillId="5" borderId="0" xfId="0" applyFont="1" applyFill="1" applyBorder="1" applyAlignment="1">
      <alignment vertical="center"/>
    </xf>
    <xf numFmtId="0" fontId="4" fillId="5" borderId="8" xfId="0" applyFont="1" applyFill="1" applyBorder="1" applyAlignment="1">
      <alignment vertical="center"/>
    </xf>
    <xf numFmtId="0" fontId="4" fillId="5" borderId="8" xfId="0" applyFont="1" applyFill="1" applyBorder="1" applyAlignment="1">
      <alignment horizontal="center" vertical="center"/>
    </xf>
    <xf numFmtId="0" fontId="2" fillId="0" borderId="1" xfId="0" applyFont="1" applyBorder="1" applyAlignment="1">
      <alignment horizontal="left" wrapText="1"/>
    </xf>
    <xf numFmtId="0" fontId="4" fillId="5" borderId="8" xfId="0" applyFont="1" applyFill="1" applyBorder="1" applyAlignment="1">
      <alignment horizontal="right" vertical="center"/>
    </xf>
    <xf numFmtId="0" fontId="2" fillId="0" borderId="0" xfId="0" applyNumberFormat="1" applyFont="1" applyBorder="1" applyAlignment="1">
      <alignment vertical="center"/>
    </xf>
    <xf numFmtId="0" fontId="4" fillId="5" borderId="1" xfId="0" applyFont="1" applyFill="1" applyBorder="1" applyAlignment="1">
      <alignment horizontal="left" vertical="center"/>
    </xf>
    <xf numFmtId="0" fontId="9" fillId="0" borderId="7" xfId="0" applyNumberFormat="1" applyFont="1" applyBorder="1" applyAlignment="1">
      <alignment horizontal="right" wrapText="1" indent="1"/>
    </xf>
    <xf numFmtId="0" fontId="9" fillId="0" borderId="7" xfId="0" applyNumberFormat="1" applyFont="1" applyBorder="1" applyAlignment="1">
      <alignment horizontal="left" vertical="center" wrapText="1" indent="1"/>
    </xf>
    <xf numFmtId="0" fontId="4" fillId="4" borderId="4" xfId="0" applyFont="1" applyFill="1" applyBorder="1" applyAlignment="1">
      <alignment vertical="center"/>
    </xf>
    <xf numFmtId="0" fontId="4" fillId="4" borderId="5" xfId="0" applyFont="1" applyFill="1" applyBorder="1" applyAlignment="1">
      <alignment vertical="center"/>
    </xf>
    <xf numFmtId="0" fontId="2" fillId="2" borderId="1" xfId="0" applyNumberFormat="1" applyFont="1" applyFill="1" applyBorder="1" applyAlignment="1">
      <alignment horizontal="center" vertical="center"/>
    </xf>
    <xf numFmtId="0" fontId="2" fillId="0" borderId="1" xfId="0" applyNumberFormat="1" applyFont="1" applyBorder="1" applyAlignment="1">
      <alignment vertical="center" wrapText="1"/>
    </xf>
    <xf numFmtId="0" fontId="2"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16" fillId="0" borderId="4" xfId="0" applyNumberFormat="1" applyFont="1" applyBorder="1" applyAlignment="1">
      <alignment horizontal="left" vertical="center" wrapText="1"/>
    </xf>
    <xf numFmtId="0" fontId="16" fillId="0" borderId="5" xfId="0" applyNumberFormat="1" applyFont="1" applyBorder="1" applyAlignment="1">
      <alignment horizontal="left" vertical="center" wrapText="1"/>
    </xf>
    <xf numFmtId="0" fontId="3" fillId="0" borderId="1" xfId="0" applyFont="1" applyBorder="1" applyAlignment="1">
      <alignment horizontal="center"/>
    </xf>
    <xf numFmtId="0" fontId="2" fillId="3" borderId="1" xfId="0" applyNumberFormat="1" applyFont="1" applyFill="1" applyBorder="1" applyAlignment="1">
      <alignment vertical="center" wrapText="1"/>
    </xf>
    <xf numFmtId="0" fontId="2" fillId="0" borderId="4" xfId="0" applyNumberFormat="1" applyFont="1" applyBorder="1" applyAlignment="1">
      <alignment vertical="center" wrapText="1"/>
    </xf>
    <xf numFmtId="3" fontId="12" fillId="0" borderId="2" xfId="0" applyNumberFormat="1" applyFont="1" applyBorder="1" applyAlignment="1">
      <alignment horizontal="right" vertical="center" wrapText="1" indent="1"/>
    </xf>
    <xf numFmtId="2" fontId="2" fillId="3" borderId="1" xfId="0" applyNumberFormat="1" applyFont="1" applyFill="1" applyBorder="1" applyAlignment="1">
      <alignment horizontal="right" vertical="center" indent="1"/>
    </xf>
    <xf numFmtId="0" fontId="4" fillId="5" borderId="4" xfId="0" applyNumberFormat="1" applyFont="1" applyFill="1" applyBorder="1" applyAlignment="1">
      <alignment vertical="center" wrapText="1"/>
    </xf>
    <xf numFmtId="0" fontId="16" fillId="0" borderId="4" xfId="0" applyNumberFormat="1" applyFont="1" applyBorder="1" applyAlignment="1">
      <alignment vertical="center" wrapText="1"/>
    </xf>
    <xf numFmtId="0" fontId="2" fillId="0" borderId="5" xfId="0" applyNumberFormat="1" applyFont="1" applyBorder="1" applyAlignment="1">
      <alignment horizontal="left" vertical="center" wrapText="1" indent="1"/>
    </xf>
    <xf numFmtId="0" fontId="9" fillId="2" borderId="4"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3" fillId="0" borderId="1" xfId="0" applyFont="1" applyBorder="1" applyAlignment="1">
      <alignment horizontal="left" vertical="center"/>
    </xf>
    <xf numFmtId="165" fontId="3" fillId="0" borderId="7" xfId="0" applyNumberFormat="1" applyFont="1" applyBorder="1" applyAlignment="1">
      <alignment horizontal="center" vertical="center"/>
    </xf>
    <xf numFmtId="0" fontId="3" fillId="0" borderId="2" xfId="0" applyFont="1" applyBorder="1" applyAlignment="1">
      <alignment horizontal="center"/>
    </xf>
    <xf numFmtId="0" fontId="3" fillId="3" borderId="1" xfId="0" applyNumberFormat="1" applyFont="1" applyFill="1" applyBorder="1" applyAlignment="1">
      <alignment horizontal="center" vertical="center" wrapText="1"/>
    </xf>
    <xf numFmtId="0" fontId="3" fillId="0" borderId="3" xfId="0" applyFont="1" applyBorder="1" applyAlignment="1">
      <alignment horizontal="center"/>
    </xf>
    <xf numFmtId="0" fontId="2" fillId="2" borderId="1" xfId="0" applyFont="1" applyFill="1" applyBorder="1" applyAlignment="1">
      <alignment horizontal="center" vertical="center" wrapText="1"/>
    </xf>
    <xf numFmtId="3" fontId="3" fillId="0" borderId="1" xfId="0" applyNumberFormat="1" applyFont="1" applyBorder="1" applyAlignment="1">
      <alignment horizontal="center" vertical="center"/>
    </xf>
    <xf numFmtId="0" fontId="3" fillId="0" borderId="7" xfId="0" applyFont="1" applyBorder="1" applyAlignment="1">
      <alignment vertical="center" wrapText="1"/>
    </xf>
    <xf numFmtId="0" fontId="3"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2" fillId="0" borderId="1" xfId="0" applyNumberFormat="1" applyFont="1" applyBorder="1" applyAlignment="1">
      <alignment horizontal="left" vertical="center"/>
    </xf>
    <xf numFmtId="0" fontId="3" fillId="3" borderId="1" xfId="0" applyFont="1" applyFill="1" applyBorder="1" applyAlignment="1">
      <alignment horizontal="center" wrapText="1"/>
    </xf>
    <xf numFmtId="0" fontId="4" fillId="5" borderId="1" xfId="0" applyNumberFormat="1" applyFont="1" applyFill="1" applyBorder="1" applyAlignment="1">
      <alignment horizontal="left" vertical="center"/>
    </xf>
    <xf numFmtId="0" fontId="2" fillId="3"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0" borderId="1" xfId="0" applyFont="1" applyBorder="1" applyAlignment="1">
      <alignment horizontal="left" vertical="center" wrapText="1"/>
    </xf>
    <xf numFmtId="0" fontId="9" fillId="0" borderId="1" xfId="0" applyNumberFormat="1" applyFont="1" applyBorder="1" applyAlignment="1">
      <alignment horizontal="right" vertical="center" wrapText="1" indent="1"/>
    </xf>
    <xf numFmtId="0" fontId="3" fillId="0" borderId="1" xfId="0" applyFont="1" applyBorder="1" applyAlignment="1">
      <alignment horizontal="right" indent="1"/>
    </xf>
    <xf numFmtId="0" fontId="16" fillId="0" borderId="11" xfId="0" applyNumberFormat="1" applyFont="1" applyBorder="1" applyAlignment="1">
      <alignment horizontal="left" vertical="center" wrapText="1"/>
    </xf>
    <xf numFmtId="0" fontId="3" fillId="3" borderId="1" xfId="0" applyFont="1" applyFill="1" applyBorder="1" applyAlignment="1">
      <alignment horizontal="center" vertical="center"/>
    </xf>
    <xf numFmtId="0" fontId="16" fillId="0" borderId="0" xfId="0" applyNumberFormat="1" applyFont="1" applyBorder="1" applyAlignment="1">
      <alignment horizontal="left" vertical="center" wrapText="1"/>
    </xf>
    <xf numFmtId="0" fontId="2" fillId="0" borderId="1" xfId="0" applyNumberFormat="1" applyFont="1" applyBorder="1" applyAlignment="1">
      <alignment vertical="center"/>
    </xf>
    <xf numFmtId="0" fontId="2" fillId="0" borderId="12" xfId="0" applyNumberFormat="1" applyFont="1" applyBorder="1" applyAlignment="1">
      <alignment vertical="center"/>
    </xf>
    <xf numFmtId="0" fontId="2" fillId="0" borderId="10" xfId="0" applyNumberFormat="1" applyFont="1" applyBorder="1" applyAlignment="1">
      <alignment vertical="center"/>
    </xf>
    <xf numFmtId="0" fontId="2" fillId="2" borderId="1" xfId="0" applyNumberFormat="1" applyFont="1" applyFill="1" applyBorder="1" applyAlignment="1">
      <alignment horizontal="right" vertical="center" wrapText="1"/>
    </xf>
    <xf numFmtId="0" fontId="17" fillId="0" borderId="1" xfId="0" applyFont="1" applyBorder="1" applyAlignment="1">
      <alignment horizontal="center" vertical="center"/>
    </xf>
    <xf numFmtId="49" fontId="2" fillId="0" borderId="1" xfId="0" applyNumberFormat="1" applyFont="1" applyBorder="1" applyAlignment="1">
      <alignment horizontal="center"/>
    </xf>
    <xf numFmtId="0" fontId="2" fillId="0" borderId="1" xfId="0" applyFont="1" applyBorder="1" applyAlignment="1">
      <alignment horizontal="center"/>
    </xf>
    <xf numFmtId="0" fontId="3" fillId="5" borderId="1" xfId="0" applyFont="1" applyFill="1" applyBorder="1" applyAlignment="1">
      <alignment wrapText="1"/>
    </xf>
    <xf numFmtId="0" fontId="3" fillId="3" borderId="1" xfId="0" applyFont="1" applyFill="1" applyBorder="1" applyAlignment="1">
      <alignment horizontal="center" vertical="center"/>
    </xf>
    <xf numFmtId="0" fontId="3" fillId="3" borderId="1" xfId="0" applyFont="1" applyFill="1" applyBorder="1" applyAlignment="1">
      <alignment horizontal="center" wrapText="1"/>
    </xf>
    <xf numFmtId="0" fontId="8" fillId="0" borderId="1" xfId="0" applyFont="1" applyBorder="1" applyAlignment="1">
      <alignment vertical="center" wrapText="1"/>
    </xf>
    <xf numFmtId="0" fontId="4" fillId="0" borderId="1" xfId="0" applyFont="1" applyBorder="1" applyAlignment="1">
      <alignment vertical="center" wrapText="1"/>
    </xf>
    <xf numFmtId="0" fontId="74" fillId="4" borderId="1" xfId="0" applyNumberFormat="1" applyFont="1" applyFill="1" applyBorder="1" applyAlignment="1">
      <alignment horizontal="left" vertical="center" wrapText="1"/>
    </xf>
    <xf numFmtId="0" fontId="4" fillId="0" borderId="5" xfId="0" applyNumberFormat="1" applyFont="1" applyBorder="1" applyAlignment="1">
      <alignment horizontal="left" vertical="center" wrapText="1" indent="1"/>
    </xf>
    <xf numFmtId="0" fontId="16" fillId="0" borderId="0" xfId="0" applyFont="1" applyBorder="1" applyAlignment="1">
      <alignment horizontal="center" vertical="center" textRotation="90"/>
    </xf>
    <xf numFmtId="0" fontId="17" fillId="3" borderId="0" xfId="0" quotePrefix="1" applyNumberFormat="1" applyFont="1" applyFill="1" applyBorder="1" applyAlignment="1">
      <alignment horizontal="left" vertical="center" wrapText="1"/>
    </xf>
    <xf numFmtId="0" fontId="17" fillId="3" borderId="0" xfId="0" applyNumberFormat="1" applyFont="1" applyFill="1" applyBorder="1" applyAlignment="1">
      <alignment horizontal="center" vertical="center" wrapText="1"/>
    </xf>
    <xf numFmtId="0" fontId="7" fillId="3" borderId="0" xfId="0" applyNumberFormat="1" applyFont="1" applyFill="1" applyBorder="1" applyAlignment="1">
      <alignment horizontal="left" vertical="center" wrapText="1"/>
    </xf>
    <xf numFmtId="49" fontId="16" fillId="0" borderId="0" xfId="0" quotePrefix="1" applyNumberFormat="1" applyFont="1" applyFill="1" applyBorder="1" applyAlignment="1">
      <alignment horizontal="center" vertical="center" wrapText="1"/>
    </xf>
    <xf numFmtId="49" fontId="16" fillId="0" borderId="0" xfId="0" quotePrefix="1"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3" fontId="16" fillId="0" borderId="0" xfId="0" quotePrefix="1" applyNumberFormat="1" applyFont="1" applyBorder="1" applyAlignment="1">
      <alignment horizontal="center" vertical="center" wrapText="1"/>
    </xf>
    <xf numFmtId="0" fontId="16" fillId="0" borderId="0" xfId="0" applyNumberFormat="1" applyFont="1" applyBorder="1" applyAlignment="1">
      <alignment horizontal="center" vertical="center" wrapText="1"/>
    </xf>
    <xf numFmtId="0" fontId="4" fillId="5" borderId="1" xfId="0" applyFont="1" applyFill="1" applyBorder="1" applyAlignment="1">
      <alignment horizontal="center" vertical="center" textRotation="90"/>
    </xf>
    <xf numFmtId="179" fontId="3" fillId="0" borderId="1" xfId="2" applyNumberFormat="1" applyFont="1" applyBorder="1" applyAlignment="1">
      <alignment horizontal="center" vertical="center"/>
    </xf>
    <xf numFmtId="0" fontId="0" fillId="0" borderId="12" xfId="0" applyBorder="1" applyAlignment="1">
      <alignment wrapText="1"/>
    </xf>
    <xf numFmtId="0" fontId="16" fillId="0" borderId="11" xfId="0" applyNumberFormat="1" applyFont="1" applyBorder="1" applyAlignment="1">
      <alignment vertical="center"/>
    </xf>
    <xf numFmtId="0" fontId="16" fillId="0" borderId="15" xfId="0" applyNumberFormat="1" applyFont="1" applyBorder="1" applyAlignment="1">
      <alignment vertical="center"/>
    </xf>
    <xf numFmtId="0" fontId="16" fillId="0" borderId="14" xfId="0" applyNumberFormat="1" applyFont="1" applyBorder="1" applyAlignment="1">
      <alignment vertical="center"/>
    </xf>
    <xf numFmtId="0" fontId="4" fillId="0" borderId="5" xfId="0" applyNumberFormat="1" applyFont="1" applyBorder="1" applyAlignment="1">
      <alignment vertical="center"/>
    </xf>
    <xf numFmtId="0" fontId="2" fillId="0" borderId="12" xfId="0" applyNumberFormat="1" applyFont="1" applyBorder="1" applyAlignment="1">
      <alignment horizontal="left" vertical="center" wrapText="1" indent="1"/>
    </xf>
    <xf numFmtId="0" fontId="0" fillId="5" borderId="5" xfId="0" applyFill="1" applyBorder="1" applyAlignment="1">
      <alignment wrapText="1"/>
    </xf>
    <xf numFmtId="0" fontId="0" fillId="5" borderId="1" xfId="0" applyFill="1" applyBorder="1" applyAlignment="1">
      <alignment wrapText="1"/>
    </xf>
    <xf numFmtId="3" fontId="3" fillId="0" borderId="1" xfId="0" applyNumberFormat="1" applyFont="1" applyBorder="1" applyAlignment="1">
      <alignment horizontal="right" vertical="center" indent="2"/>
    </xf>
    <xf numFmtId="3" fontId="3" fillId="0" borderId="1" xfId="0" applyNumberFormat="1" applyFont="1" applyFill="1" applyBorder="1" applyAlignment="1">
      <alignment horizontal="right" vertical="center" wrapText="1" indent="1"/>
    </xf>
    <xf numFmtId="0" fontId="0" fillId="0" borderId="0" xfId="0" applyAlignment="1">
      <alignment horizontal="right" wrapText="1" indent="1"/>
    </xf>
    <xf numFmtId="3" fontId="3" fillId="0" borderId="1" xfId="0" applyNumberFormat="1" applyFont="1" applyBorder="1" applyAlignment="1">
      <alignment horizontal="left" vertical="center"/>
    </xf>
    <xf numFmtId="0" fontId="3" fillId="0" borderId="11" xfId="0" applyFont="1" applyBorder="1"/>
    <xf numFmtId="165" fontId="2" fillId="0" borderId="2" xfId="0" applyNumberFormat="1" applyFont="1" applyFill="1" applyBorder="1" applyAlignment="1">
      <alignment horizontal="right" wrapText="1" indent="1"/>
    </xf>
    <xf numFmtId="165" fontId="3" fillId="0" borderId="2" xfId="0" applyNumberFormat="1" applyFont="1" applyFill="1" applyBorder="1" applyAlignment="1">
      <alignment horizontal="right" wrapText="1" indent="1"/>
    </xf>
    <xf numFmtId="165" fontId="2" fillId="0" borderId="1" xfId="0" applyNumberFormat="1" applyFont="1" applyBorder="1" applyAlignment="1">
      <alignment horizontal="left"/>
    </xf>
    <xf numFmtId="165" fontId="4" fillId="0" borderId="1" xfId="0" applyNumberFormat="1" applyFont="1" applyBorder="1" applyAlignment="1">
      <alignment horizontal="right" vertical="center" indent="1"/>
    </xf>
    <xf numFmtId="165" fontId="3" fillId="0" borderId="3" xfId="0" applyNumberFormat="1" applyFont="1" applyBorder="1" applyAlignment="1">
      <alignment horizontal="center"/>
    </xf>
    <xf numFmtId="165" fontId="3" fillId="0" borderId="7" xfId="0" applyNumberFormat="1" applyFont="1" applyBorder="1" applyAlignment="1">
      <alignment horizontal="center"/>
    </xf>
    <xf numFmtId="0" fontId="3" fillId="0" borderId="2" xfId="0" applyFont="1" applyBorder="1" applyAlignment="1">
      <alignment wrapText="1"/>
    </xf>
    <xf numFmtId="0" fontId="2" fillId="0" borderId="7" xfId="0" applyNumberFormat="1" applyFont="1" applyBorder="1" applyAlignment="1">
      <alignment vertical="center" wrapText="1"/>
    </xf>
    <xf numFmtId="0" fontId="2" fillId="0" borderId="1" xfId="0" applyNumberFormat="1" applyFont="1" applyFill="1" applyBorder="1" applyAlignment="1">
      <alignment horizontal="right" vertical="center" wrapText="1"/>
    </xf>
    <xf numFmtId="0" fontId="4" fillId="5" borderId="4" xfId="0" applyFont="1" applyFill="1" applyBorder="1" applyAlignment="1">
      <alignment horizontal="left" vertical="center"/>
    </xf>
    <xf numFmtId="165" fontId="4" fillId="5" borderId="5" xfId="0" applyNumberFormat="1" applyFont="1" applyFill="1" applyBorder="1" applyAlignment="1">
      <alignment horizontal="center" vertical="center"/>
    </xf>
    <xf numFmtId="0" fontId="4" fillId="5" borderId="5" xfId="0" applyFont="1" applyFill="1" applyBorder="1" applyAlignment="1">
      <alignment vertical="center"/>
    </xf>
    <xf numFmtId="0" fontId="4" fillId="5" borderId="6" xfId="0" applyFont="1" applyFill="1" applyBorder="1" applyAlignment="1">
      <alignment horizontal="right" vertical="center"/>
    </xf>
    <xf numFmtId="3" fontId="3" fillId="0" borderId="1" xfId="0" applyNumberFormat="1" applyFont="1" applyBorder="1" applyAlignment="1">
      <alignment horizontal="left"/>
    </xf>
    <xf numFmtId="0" fontId="3" fillId="0" borderId="25" xfId="0" applyFont="1" applyBorder="1" applyAlignment="1">
      <alignment horizontal="right" indent="1"/>
    </xf>
    <xf numFmtId="0" fontId="3" fillId="8" borderId="0" xfId="0" applyFont="1" applyFill="1" applyAlignment="1">
      <alignment horizontal="right" indent="1"/>
    </xf>
    <xf numFmtId="0" fontId="23" fillId="3" borderId="1" xfId="0" applyNumberFormat="1" applyFont="1" applyFill="1" applyBorder="1" applyAlignment="1">
      <alignment horizontal="right" vertical="center" indent="1"/>
    </xf>
    <xf numFmtId="3" fontId="23" fillId="3" borderId="1" xfId="0" applyNumberFormat="1" applyFont="1" applyFill="1" applyBorder="1" applyAlignment="1">
      <alignment horizontal="right" vertical="center" indent="1"/>
    </xf>
    <xf numFmtId="0" fontId="3" fillId="3" borderId="7" xfId="0" applyFont="1" applyFill="1" applyBorder="1" applyAlignment="1">
      <alignment horizontal="right" vertical="center" indent="1"/>
    </xf>
    <xf numFmtId="3" fontId="9" fillId="3" borderId="1" xfId="0" applyNumberFormat="1" applyFont="1" applyFill="1" applyBorder="1" applyAlignment="1">
      <alignment horizontal="right" vertical="center" wrapText="1" indent="1"/>
    </xf>
    <xf numFmtId="3" fontId="7" fillId="3" borderId="1" xfId="0" applyNumberFormat="1" applyFont="1" applyFill="1" applyBorder="1" applyAlignment="1">
      <alignment horizontal="right" vertical="center" wrapText="1" indent="1"/>
    </xf>
    <xf numFmtId="3" fontId="2" fillId="3" borderId="1" xfId="0" applyNumberFormat="1" applyFont="1" applyFill="1" applyBorder="1" applyAlignment="1">
      <alignment horizontal="right" vertical="center" wrapText="1" indent="1"/>
    </xf>
    <xf numFmtId="1" fontId="2" fillId="3" borderId="1" xfId="0" applyNumberFormat="1" applyFont="1" applyFill="1" applyBorder="1" applyAlignment="1">
      <alignment horizontal="right" vertical="center" indent="1"/>
    </xf>
    <xf numFmtId="4" fontId="3" fillId="0" borderId="1" xfId="0" applyNumberFormat="1" applyFont="1" applyBorder="1" applyAlignment="1">
      <alignment horizontal="right" vertical="center" indent="1"/>
    </xf>
    <xf numFmtId="4" fontId="2" fillId="3" borderId="1" xfId="0" applyNumberFormat="1" applyFont="1" applyFill="1" applyBorder="1" applyAlignment="1">
      <alignment horizontal="right" vertical="center" wrapText="1" indent="1"/>
    </xf>
    <xf numFmtId="164" fontId="2" fillId="3" borderId="1" xfId="0" applyNumberFormat="1" applyFont="1" applyFill="1" applyBorder="1" applyAlignment="1">
      <alignment horizontal="right" vertical="center" indent="1"/>
    </xf>
    <xf numFmtId="0" fontId="2" fillId="3" borderId="1" xfId="0" applyNumberFormat="1" applyFont="1" applyFill="1" applyBorder="1" applyAlignment="1">
      <alignment horizontal="right" vertical="center" wrapText="1" indent="1"/>
    </xf>
    <xf numFmtId="0" fontId="2" fillId="3" borderId="1" xfId="0" applyFont="1" applyFill="1" applyBorder="1" applyAlignment="1">
      <alignment horizontal="right" vertical="center" indent="1"/>
    </xf>
    <xf numFmtId="170" fontId="2" fillId="3" borderId="1" xfId="2" applyNumberFormat="1" applyFont="1" applyFill="1" applyBorder="1" applyAlignment="1">
      <alignment horizontal="right" vertical="center" wrapText="1" indent="1"/>
    </xf>
    <xf numFmtId="0" fontId="3" fillId="3" borderId="1" xfId="0" applyFont="1" applyFill="1" applyBorder="1" applyAlignment="1">
      <alignment horizontal="right" vertical="center" indent="1"/>
    </xf>
    <xf numFmtId="1" fontId="2" fillId="3" borderId="1" xfId="0" applyNumberFormat="1" applyFont="1" applyFill="1" applyBorder="1" applyAlignment="1">
      <alignment horizontal="right" indent="1"/>
    </xf>
    <xf numFmtId="4" fontId="2" fillId="3" borderId="1" xfId="0" applyNumberFormat="1" applyFont="1" applyFill="1" applyBorder="1" applyAlignment="1">
      <alignment horizontal="right" indent="1"/>
    </xf>
    <xf numFmtId="4" fontId="7" fillId="3" borderId="1" xfId="0" applyNumberFormat="1" applyFont="1" applyFill="1" applyBorder="1" applyAlignment="1">
      <alignment horizontal="right" indent="1"/>
    </xf>
    <xf numFmtId="4" fontId="3" fillId="0" borderId="1" xfId="0" applyNumberFormat="1" applyFont="1" applyBorder="1" applyAlignment="1">
      <alignment horizontal="right" indent="1"/>
    </xf>
    <xf numFmtId="3" fontId="3" fillId="0" borderId="1" xfId="0" applyNumberFormat="1" applyFont="1" applyFill="1" applyBorder="1" applyAlignment="1">
      <alignment horizontal="right" vertical="center" indent="1"/>
    </xf>
    <xf numFmtId="3" fontId="3" fillId="0" borderId="1" xfId="0" applyNumberFormat="1" applyFont="1" applyBorder="1" applyAlignment="1">
      <alignment horizontal="right" indent="2"/>
    </xf>
    <xf numFmtId="3" fontId="3" fillId="3" borderId="1" xfId="0" applyNumberFormat="1" applyFont="1" applyFill="1" applyBorder="1" applyAlignment="1">
      <alignment horizontal="right" indent="1"/>
    </xf>
    <xf numFmtId="4" fontId="2" fillId="0" borderId="1" xfId="0" applyNumberFormat="1" applyFont="1" applyBorder="1" applyAlignment="1">
      <alignment horizontal="right" vertical="center" indent="1"/>
    </xf>
    <xf numFmtId="0" fontId="35" fillId="3" borderId="1" xfId="0" applyFont="1" applyFill="1" applyBorder="1" applyAlignment="1">
      <alignment horizontal="center" wrapText="1"/>
    </xf>
    <xf numFmtId="4" fontId="2" fillId="9" borderId="1" xfId="5" applyNumberFormat="1" applyFont="1" applyFill="1" applyBorder="1" applyAlignment="1">
      <alignment horizontal="right" vertical="center" indent="1"/>
    </xf>
    <xf numFmtId="4" fontId="3" fillId="9" borderId="1" xfId="5" applyNumberFormat="1" applyFont="1" applyFill="1" applyBorder="1" applyAlignment="1">
      <alignment horizontal="right" vertical="center" indent="1"/>
    </xf>
    <xf numFmtId="0" fontId="3" fillId="3" borderId="2" xfId="0" applyFont="1" applyFill="1" applyBorder="1" applyAlignment="1">
      <alignment horizontal="right" indent="1"/>
    </xf>
    <xf numFmtId="4" fontId="2" fillId="3" borderId="2" xfId="0" applyNumberFormat="1" applyFont="1" applyFill="1" applyBorder="1" applyAlignment="1">
      <alignment horizontal="right" indent="1"/>
    </xf>
    <xf numFmtId="174" fontId="2" fillId="3" borderId="1" xfId="2" applyNumberFormat="1" applyFont="1" applyFill="1" applyBorder="1" applyAlignment="1">
      <alignment horizontal="right" vertical="center" indent="1"/>
    </xf>
    <xf numFmtId="3" fontId="3" fillId="0" borderId="2" xfId="0" applyNumberFormat="1" applyFont="1" applyBorder="1" applyAlignment="1">
      <alignment horizontal="right" vertical="center" indent="1"/>
    </xf>
    <xf numFmtId="3" fontId="3" fillId="0" borderId="54" xfId="0" applyNumberFormat="1" applyFont="1" applyBorder="1" applyAlignment="1">
      <alignment horizontal="right" indent="1"/>
    </xf>
    <xf numFmtId="0" fontId="2" fillId="3" borderId="7" xfId="0" applyFont="1" applyFill="1" applyBorder="1" applyAlignment="1">
      <alignment horizontal="right" vertical="center" indent="1"/>
    </xf>
    <xf numFmtId="3" fontId="3" fillId="0" borderId="1" xfId="2" applyNumberFormat="1" applyFont="1" applyBorder="1" applyAlignment="1">
      <alignment horizontal="right" vertical="center" wrapText="1" indent="1"/>
    </xf>
    <xf numFmtId="170" fontId="2" fillId="0" borderId="1" xfId="2" applyNumberFormat="1" applyFont="1" applyBorder="1" applyAlignment="1">
      <alignment horizontal="right" vertical="center" wrapText="1" indent="1"/>
    </xf>
    <xf numFmtId="3" fontId="2" fillId="0" borderId="1" xfId="0" applyNumberFormat="1" applyFont="1" applyBorder="1" applyAlignment="1">
      <alignment horizontal="right" vertical="center" wrapText="1" indent="1"/>
    </xf>
    <xf numFmtId="170" fontId="2" fillId="0" borderId="48" xfId="2" applyNumberFormat="1" applyFont="1" applyBorder="1" applyAlignment="1">
      <alignment horizontal="right" vertical="center" wrapText="1" indent="1"/>
    </xf>
    <xf numFmtId="0" fontId="3" fillId="0" borderId="1" xfId="0" applyFont="1" applyBorder="1" applyAlignment="1">
      <alignment horizontal="right" vertical="center" indent="1"/>
    </xf>
    <xf numFmtId="0" fontId="3" fillId="11" borderId="1" xfId="0" applyFont="1" applyFill="1" applyBorder="1" applyAlignment="1">
      <alignment horizontal="right" vertical="center" indent="1"/>
    </xf>
    <xf numFmtId="4" fontId="3" fillId="3" borderId="3" xfId="0" applyNumberFormat="1" applyFont="1" applyFill="1" applyBorder="1" applyAlignment="1">
      <alignment horizontal="right" vertical="center" indent="1"/>
    </xf>
    <xf numFmtId="3" fontId="2" fillId="3" borderId="3" xfId="0" applyNumberFormat="1" applyFont="1" applyFill="1" applyBorder="1" applyAlignment="1">
      <alignment horizontal="right" vertical="center" indent="1"/>
    </xf>
    <xf numFmtId="3" fontId="3" fillId="0" borderId="1" xfId="2" applyNumberFormat="1" applyFont="1" applyBorder="1" applyAlignment="1">
      <alignment horizontal="right" vertical="center" indent="1"/>
    </xf>
    <xf numFmtId="3" fontId="0" fillId="0" borderId="1" xfId="0" applyNumberFormat="1" applyFont="1" applyBorder="1" applyAlignment="1">
      <alignment horizontal="right" indent="1"/>
    </xf>
    <xf numFmtId="3" fontId="12" fillId="0" borderId="1" xfId="0" applyNumberFormat="1" applyFont="1" applyBorder="1"/>
    <xf numFmtId="3" fontId="12" fillId="0" borderId="1" xfId="0" applyNumberFormat="1" applyFont="1" applyBorder="1" applyAlignment="1">
      <alignment horizontal="left"/>
    </xf>
    <xf numFmtId="0" fontId="3" fillId="0" borderId="1" xfId="0" applyFont="1" applyBorder="1" applyAlignment="1">
      <alignment horizontal="right" vertical="center" indent="2"/>
    </xf>
    <xf numFmtId="3" fontId="12" fillId="0" borderId="1" xfId="0" applyNumberFormat="1" applyFont="1" applyBorder="1" applyAlignment="1">
      <alignment horizontal="right" indent="2"/>
    </xf>
    <xf numFmtId="0" fontId="3" fillId="0" borderId="0" xfId="0" applyFont="1" applyAlignment="1">
      <alignment horizontal="center" vertical="center"/>
    </xf>
    <xf numFmtId="0" fontId="17" fillId="2"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xf>
    <xf numFmtId="0" fontId="72" fillId="3" borderId="0" xfId="0" applyFont="1" applyFill="1" applyBorder="1" applyAlignment="1">
      <alignment vertical="center"/>
    </xf>
    <xf numFmtId="0" fontId="1" fillId="0" borderId="0" xfId="0" applyFont="1" applyBorder="1" applyAlignment="1">
      <alignment vertical="center"/>
    </xf>
    <xf numFmtId="0" fontId="16" fillId="0" borderId="1" xfId="0" applyFont="1" applyBorder="1" applyAlignment="1">
      <alignment horizontal="center" vertical="center" textRotation="90"/>
    </xf>
    <xf numFmtId="0" fontId="4" fillId="0" borderId="5" xfId="0" applyFont="1" applyBorder="1" applyAlignment="1">
      <alignment horizontal="left" vertical="center"/>
    </xf>
    <xf numFmtId="0" fontId="16" fillId="0" borderId="1" xfId="0" applyNumberFormat="1" applyFont="1" applyBorder="1" applyAlignment="1">
      <alignment horizontal="left" vertical="center" wrapText="1"/>
    </xf>
    <xf numFmtId="0" fontId="16" fillId="0" borderId="4" xfId="0" applyNumberFormat="1" applyFont="1" applyBorder="1" applyAlignment="1">
      <alignment horizontal="left" vertical="center" wrapText="1"/>
    </xf>
    <xf numFmtId="0" fontId="16" fillId="0" borderId="5" xfId="0" applyNumberFormat="1" applyFont="1" applyBorder="1" applyAlignment="1">
      <alignment horizontal="left" vertical="center" wrapText="1"/>
    </xf>
    <xf numFmtId="0" fontId="16" fillId="5" borderId="4" xfId="0" applyNumberFormat="1" applyFont="1" applyFill="1" applyBorder="1" applyAlignment="1">
      <alignment horizontal="left" vertical="center"/>
    </xf>
    <xf numFmtId="0" fontId="16" fillId="5" borderId="5" xfId="0" applyNumberFormat="1" applyFont="1" applyFill="1" applyBorder="1" applyAlignment="1">
      <alignment horizontal="left" vertical="center"/>
    </xf>
    <xf numFmtId="0" fontId="16" fillId="0" borderId="1" xfId="0" applyNumberFormat="1" applyFont="1" applyBorder="1" applyAlignment="1">
      <alignment vertical="center" wrapText="1"/>
    </xf>
    <xf numFmtId="0" fontId="16" fillId="3" borderId="11" xfId="0" applyNumberFormat="1" applyFont="1" applyFill="1" applyBorder="1" applyAlignment="1">
      <alignment horizontal="left" vertical="center" wrapText="1"/>
    </xf>
    <xf numFmtId="0" fontId="16" fillId="3" borderId="12" xfId="0" applyNumberFormat="1" applyFont="1" applyFill="1" applyBorder="1" applyAlignment="1">
      <alignment horizontal="left" vertical="center" wrapText="1"/>
    </xf>
    <xf numFmtId="0" fontId="16" fillId="3" borderId="13" xfId="0" applyNumberFormat="1" applyFont="1" applyFill="1" applyBorder="1" applyAlignment="1">
      <alignment horizontal="left" vertical="center" wrapText="1"/>
    </xf>
    <xf numFmtId="0" fontId="16" fillId="3" borderId="14" xfId="0" applyNumberFormat="1" applyFont="1" applyFill="1" applyBorder="1" applyAlignment="1">
      <alignment horizontal="left" vertical="center" wrapText="1"/>
    </xf>
    <xf numFmtId="0" fontId="16" fillId="3" borderId="10" xfId="0" applyNumberFormat="1" applyFont="1" applyFill="1" applyBorder="1" applyAlignment="1">
      <alignment horizontal="left" vertical="center" wrapText="1"/>
    </xf>
    <xf numFmtId="0" fontId="16" fillId="3" borderId="9" xfId="0" applyNumberFormat="1" applyFont="1" applyFill="1" applyBorder="1" applyAlignment="1">
      <alignment horizontal="left" vertical="center" wrapText="1"/>
    </xf>
    <xf numFmtId="0" fontId="16" fillId="0" borderId="1" xfId="0" applyNumberFormat="1" applyFont="1" applyBorder="1" applyAlignment="1">
      <alignment horizontal="center" vertical="center" wrapText="1"/>
    </xf>
    <xf numFmtId="0" fontId="16" fillId="0" borderId="11" xfId="0" applyNumberFormat="1" applyFont="1" applyBorder="1" applyAlignment="1">
      <alignment horizontal="center" vertical="center" wrapText="1"/>
    </xf>
    <xf numFmtId="0" fontId="16" fillId="0" borderId="13" xfId="0" applyNumberFormat="1" applyFont="1" applyBorder="1" applyAlignment="1">
      <alignment horizontal="center" vertical="center" wrapText="1"/>
    </xf>
    <xf numFmtId="0" fontId="16" fillId="0" borderId="11" xfId="0" applyNumberFormat="1" applyFont="1" applyBorder="1" applyAlignment="1">
      <alignment horizontal="left" vertical="center"/>
    </xf>
    <xf numFmtId="0" fontId="16" fillId="0" borderId="12" xfId="0" applyNumberFormat="1" applyFont="1" applyBorder="1" applyAlignment="1">
      <alignment horizontal="left" vertical="center"/>
    </xf>
    <xf numFmtId="0" fontId="16" fillId="0" borderId="13" xfId="0" applyNumberFormat="1" applyFont="1" applyBorder="1" applyAlignment="1">
      <alignment horizontal="left" vertical="center"/>
    </xf>
    <xf numFmtId="0" fontId="16" fillId="0" borderId="14" xfId="0" applyNumberFormat="1" applyFont="1" applyBorder="1" applyAlignment="1">
      <alignment horizontal="left" vertical="center"/>
    </xf>
    <xf numFmtId="0" fontId="16" fillId="0" borderId="10" xfId="0" applyNumberFormat="1" applyFont="1" applyBorder="1" applyAlignment="1">
      <alignment horizontal="left" vertical="center"/>
    </xf>
    <xf numFmtId="0" fontId="16" fillId="0" borderId="9" xfId="0" applyNumberFormat="1" applyFont="1" applyBorder="1" applyAlignment="1">
      <alignment horizontal="left" vertical="center"/>
    </xf>
    <xf numFmtId="0" fontId="16" fillId="0" borderId="4"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16" fillId="3" borderId="4" xfId="0" applyNumberFormat="1" applyFont="1" applyFill="1" applyBorder="1" applyAlignment="1">
      <alignment horizontal="left" vertical="center" wrapText="1"/>
    </xf>
    <xf numFmtId="0" fontId="16" fillId="3" borderId="5" xfId="0" applyNumberFormat="1" applyFont="1" applyFill="1" applyBorder="1" applyAlignment="1">
      <alignment horizontal="left" vertical="center" wrapText="1"/>
    </xf>
    <xf numFmtId="0" fontId="16" fillId="3" borderId="6" xfId="0" applyNumberFormat="1" applyFont="1" applyFill="1" applyBorder="1" applyAlignment="1">
      <alignment horizontal="left" vertical="center" wrapText="1"/>
    </xf>
    <xf numFmtId="0" fontId="16" fillId="2" borderId="2" xfId="0" applyNumberFormat="1" applyFont="1" applyFill="1" applyBorder="1" applyAlignment="1">
      <alignment vertical="center" wrapText="1"/>
    </xf>
    <xf numFmtId="0" fontId="16" fillId="2" borderId="7" xfId="0" applyNumberFormat="1" applyFont="1" applyFill="1" applyBorder="1" applyAlignment="1">
      <alignment vertical="center" wrapText="1"/>
    </xf>
    <xf numFmtId="0" fontId="16" fillId="2" borderId="11" xfId="0" applyNumberFormat="1" applyFont="1" applyFill="1" applyBorder="1" applyAlignment="1">
      <alignment horizontal="center" vertical="center" wrapText="1"/>
    </xf>
    <xf numFmtId="0" fontId="16" fillId="2" borderId="13"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6" fillId="2" borderId="14"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7" fillId="3" borderId="2" xfId="0" quotePrefix="1" applyNumberFormat="1" applyFont="1" applyFill="1" applyBorder="1" applyAlignment="1">
      <alignment horizontal="left" vertical="center" wrapText="1"/>
    </xf>
    <xf numFmtId="0" fontId="17" fillId="3" borderId="7" xfId="0" quotePrefix="1" applyNumberFormat="1" applyFont="1" applyFill="1" applyBorder="1" applyAlignment="1">
      <alignment horizontal="left" vertical="center" wrapText="1"/>
    </xf>
    <xf numFmtId="49" fontId="16" fillId="3" borderId="2" xfId="0" applyNumberFormat="1" applyFont="1" applyFill="1" applyBorder="1" applyAlignment="1">
      <alignment horizontal="center" vertical="center"/>
    </xf>
    <xf numFmtId="49" fontId="16" fillId="3" borderId="3" xfId="0" applyNumberFormat="1" applyFont="1" applyFill="1" applyBorder="1" applyAlignment="1">
      <alignment horizontal="center" vertical="center"/>
    </xf>
    <xf numFmtId="0" fontId="16" fillId="0" borderId="2" xfId="0" applyNumberFormat="1" applyFont="1" applyBorder="1" applyAlignment="1">
      <alignment horizontal="center" vertical="center"/>
    </xf>
    <xf numFmtId="0" fontId="16" fillId="0" borderId="7" xfId="0" applyNumberFormat="1" applyFont="1" applyBorder="1" applyAlignment="1">
      <alignment horizontal="center" vertical="center"/>
    </xf>
    <xf numFmtId="0" fontId="17" fillId="3" borderId="2" xfId="0" applyNumberFormat="1" applyFont="1" applyFill="1" applyBorder="1" applyAlignment="1">
      <alignment horizontal="center" vertical="center" wrapText="1"/>
    </xf>
    <xf numFmtId="0" fontId="17" fillId="3" borderId="7" xfId="0" applyNumberFormat="1" applyFont="1" applyFill="1" applyBorder="1" applyAlignment="1">
      <alignment horizontal="center" vertical="center" wrapText="1"/>
    </xf>
    <xf numFmtId="0" fontId="7" fillId="3" borderId="2" xfId="0" applyNumberFormat="1" applyFont="1" applyFill="1" applyBorder="1" applyAlignment="1">
      <alignment horizontal="left" vertical="center" wrapText="1"/>
    </xf>
    <xf numFmtId="0" fontId="7" fillId="3" borderId="7" xfId="0" applyNumberFormat="1" applyFont="1" applyFill="1" applyBorder="1" applyAlignment="1">
      <alignment horizontal="left" vertical="center" wrapText="1"/>
    </xf>
    <xf numFmtId="0" fontId="17" fillId="0" borderId="11" xfId="0" applyNumberFormat="1" applyFont="1" applyBorder="1" applyAlignment="1">
      <alignment horizontal="left" vertical="center"/>
    </xf>
    <xf numFmtId="0" fontId="17" fillId="0" borderId="12" xfId="0" applyNumberFormat="1" applyFont="1" applyBorder="1" applyAlignment="1">
      <alignment horizontal="left" vertical="center"/>
    </xf>
    <xf numFmtId="0" fontId="17" fillId="0" borderId="13" xfId="0" applyNumberFormat="1" applyFont="1" applyBorder="1" applyAlignment="1">
      <alignment horizontal="left" vertical="center"/>
    </xf>
    <xf numFmtId="0" fontId="17" fillId="0" borderId="14" xfId="0" applyNumberFormat="1" applyFont="1" applyBorder="1" applyAlignment="1">
      <alignment horizontal="left" vertical="center"/>
    </xf>
    <xf numFmtId="0" fontId="17" fillId="0" borderId="10" xfId="0" applyNumberFormat="1" applyFont="1" applyBorder="1" applyAlignment="1">
      <alignment horizontal="left" vertical="center"/>
    </xf>
    <xf numFmtId="0" fontId="17" fillId="0" borderId="9" xfId="0" applyNumberFormat="1" applyFont="1" applyBorder="1" applyAlignment="1">
      <alignment horizontal="left" vertical="center"/>
    </xf>
    <xf numFmtId="0" fontId="16" fillId="2" borderId="4" xfId="0" applyNumberFormat="1" applyFont="1" applyFill="1" applyBorder="1" applyAlignment="1">
      <alignment horizontal="center" vertical="center"/>
    </xf>
    <xf numFmtId="0" fontId="16" fillId="2" borderId="5" xfId="0" applyNumberFormat="1" applyFont="1" applyFill="1" applyBorder="1" applyAlignment="1">
      <alignment horizontal="center" vertical="center"/>
    </xf>
    <xf numFmtId="0" fontId="16" fillId="2" borderId="6"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0" fontId="17" fillId="3" borderId="2" xfId="0" applyNumberFormat="1" applyFont="1" applyFill="1" applyBorder="1" applyAlignment="1">
      <alignment horizontal="left" vertical="center" wrapText="1"/>
    </xf>
    <xf numFmtId="0" fontId="17" fillId="3" borderId="7" xfId="0" applyNumberFormat="1" applyFont="1" applyFill="1" applyBorder="1" applyAlignment="1">
      <alignment horizontal="left" vertical="center" wrapText="1"/>
    </xf>
    <xf numFmtId="49" fontId="16" fillId="0" borderId="2" xfId="0" quotePrefix="1" applyNumberFormat="1" applyFont="1" applyFill="1" applyBorder="1" applyAlignment="1">
      <alignment horizontal="center" vertical="center" wrapText="1"/>
    </xf>
    <xf numFmtId="49" fontId="16" fillId="0" borderId="7" xfId="0" quotePrefix="1" applyNumberFormat="1" applyFont="1" applyFill="1" applyBorder="1" applyAlignment="1">
      <alignment horizontal="center" vertical="center" wrapText="1"/>
    </xf>
    <xf numFmtId="49" fontId="16" fillId="0" borderId="2" xfId="0" quotePrefix="1" applyNumberFormat="1" applyFont="1" applyBorder="1" applyAlignment="1">
      <alignment horizontal="center" vertical="center" wrapText="1"/>
    </xf>
    <xf numFmtId="49" fontId="16" fillId="0" borderId="7" xfId="0" quotePrefix="1" applyNumberFormat="1" applyFont="1" applyBorder="1" applyAlignment="1">
      <alignment horizontal="center" vertical="center" wrapText="1"/>
    </xf>
    <xf numFmtId="0" fontId="17" fillId="0" borderId="2"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3" fontId="16" fillId="0" borderId="2" xfId="0" quotePrefix="1" applyNumberFormat="1" applyFont="1" applyBorder="1" applyAlignment="1">
      <alignment horizontal="center" vertical="center" wrapText="1"/>
    </xf>
    <xf numFmtId="3" fontId="16" fillId="0" borderId="7" xfId="0" quotePrefix="1" applyNumberFormat="1" applyFont="1" applyBorder="1" applyAlignment="1">
      <alignment horizontal="center" vertical="center" wrapText="1"/>
    </xf>
    <xf numFmtId="0" fontId="16" fillId="0" borderId="2" xfId="0" applyNumberFormat="1" applyFont="1" applyBorder="1" applyAlignment="1">
      <alignment horizontal="center" vertical="center" wrapText="1"/>
    </xf>
    <xf numFmtId="0" fontId="16" fillId="0" borderId="7" xfId="0" applyNumberFormat="1" applyFont="1" applyBorder="1" applyAlignment="1">
      <alignment horizontal="center" vertical="center" wrapText="1"/>
    </xf>
    <xf numFmtId="164" fontId="16" fillId="3" borderId="2" xfId="0" applyNumberFormat="1" applyFont="1" applyFill="1" applyBorder="1" applyAlignment="1">
      <alignment horizontal="center" vertical="center" wrapText="1"/>
    </xf>
    <xf numFmtId="164" fontId="16" fillId="3" borderId="7" xfId="0" applyNumberFormat="1" applyFont="1" applyFill="1" applyBorder="1" applyAlignment="1">
      <alignment horizontal="center" vertical="center" wrapText="1"/>
    </xf>
    <xf numFmtId="0" fontId="16" fillId="3" borderId="2" xfId="0" applyNumberFormat="1" applyFont="1" applyFill="1" applyBorder="1" applyAlignment="1">
      <alignment horizontal="center" vertical="center" wrapText="1"/>
    </xf>
    <xf numFmtId="0" fontId="16" fillId="3" borderId="7" xfId="0" applyNumberFormat="1" applyFont="1" applyFill="1" applyBorder="1" applyAlignment="1">
      <alignment horizontal="center" vertical="center" wrapText="1"/>
    </xf>
    <xf numFmtId="0" fontId="17" fillId="3" borderId="3" xfId="0" applyNumberFormat="1" applyFont="1" applyFill="1" applyBorder="1" applyAlignment="1">
      <alignment horizontal="left" vertical="center" wrapText="1"/>
    </xf>
    <xf numFmtId="0" fontId="16" fillId="3" borderId="2" xfId="0" applyNumberFormat="1" applyFont="1" applyFill="1" applyBorder="1" applyAlignment="1">
      <alignment horizontal="left" vertical="center" wrapText="1"/>
    </xf>
    <xf numFmtId="0" fontId="16" fillId="3" borderId="7" xfId="0" applyNumberFormat="1" applyFont="1" applyFill="1" applyBorder="1" applyAlignment="1">
      <alignment horizontal="left" vertical="center" wrapText="1"/>
    </xf>
    <xf numFmtId="0" fontId="16" fillId="3" borderId="2" xfId="0" quotePrefix="1" applyNumberFormat="1" applyFont="1" applyFill="1" applyBorder="1" applyAlignment="1">
      <alignment horizontal="center" vertical="center" wrapText="1"/>
    </xf>
    <xf numFmtId="0" fontId="16" fillId="3" borderId="7" xfId="0" quotePrefix="1" applyNumberFormat="1" applyFont="1" applyFill="1" applyBorder="1" applyAlignment="1">
      <alignment horizontal="center" vertical="center" wrapText="1"/>
    </xf>
    <xf numFmtId="3" fontId="29" fillId="3" borderId="2" xfId="0" applyNumberFormat="1" applyFont="1" applyFill="1" applyBorder="1" applyAlignment="1">
      <alignment horizontal="center" vertical="center" wrapText="1"/>
    </xf>
    <xf numFmtId="3" fontId="29" fillId="3" borderId="7" xfId="0" applyNumberFormat="1" applyFont="1" applyFill="1" applyBorder="1" applyAlignment="1">
      <alignment horizontal="center" vertical="center" wrapText="1"/>
    </xf>
    <xf numFmtId="3" fontId="17" fillId="3" borderId="2" xfId="0" applyNumberFormat="1" applyFont="1" applyFill="1" applyBorder="1" applyAlignment="1">
      <alignment horizontal="center" vertical="center" wrapText="1"/>
    </xf>
    <xf numFmtId="3" fontId="17" fillId="3" borderId="3" xfId="0" applyNumberFormat="1" applyFont="1" applyFill="1" applyBorder="1" applyAlignment="1">
      <alignment horizontal="center" vertical="center" wrapText="1"/>
    </xf>
    <xf numFmtId="3" fontId="17" fillId="3" borderId="7" xfId="0" applyNumberFormat="1" applyFont="1" applyFill="1" applyBorder="1" applyAlignment="1">
      <alignment horizontal="center" vertical="center" wrapText="1"/>
    </xf>
    <xf numFmtId="0" fontId="17" fillId="3" borderId="3" xfId="0" applyNumberFormat="1" applyFont="1" applyFill="1" applyBorder="1" applyAlignment="1">
      <alignment horizontal="center" vertical="center" wrapText="1"/>
    </xf>
    <xf numFmtId="0" fontId="9" fillId="2" borderId="2" xfId="0" applyNumberFormat="1" applyFont="1" applyFill="1" applyBorder="1" applyAlignment="1">
      <alignment horizontal="center" vertical="center" wrapText="1"/>
    </xf>
    <xf numFmtId="0" fontId="9" fillId="2" borderId="7" xfId="0" applyNumberFormat="1" applyFont="1" applyFill="1" applyBorder="1" applyAlignment="1">
      <alignment horizontal="center" vertical="center" wrapText="1"/>
    </xf>
    <xf numFmtId="0" fontId="9" fillId="2" borderId="4"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29" fillId="0" borderId="2"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2" xfId="0" applyNumberFormat="1" applyFont="1" applyFill="1" applyBorder="1" applyAlignment="1">
      <alignment horizontal="center" vertical="center" wrapText="1"/>
    </xf>
    <xf numFmtId="0" fontId="29" fillId="0" borderId="7" xfId="0" applyNumberFormat="1" applyFont="1" applyFill="1" applyBorder="1" applyAlignment="1">
      <alignment horizontal="center" vertical="center" wrapText="1"/>
    </xf>
    <xf numFmtId="0" fontId="29" fillId="0" borderId="2" xfId="0" quotePrefix="1" applyNumberFormat="1" applyFont="1" applyFill="1" applyBorder="1" applyAlignment="1">
      <alignment horizontal="center" vertical="center" wrapText="1"/>
    </xf>
    <xf numFmtId="0" fontId="29" fillId="0" borderId="7" xfId="0" quotePrefix="1" applyNumberFormat="1" applyFont="1" applyFill="1" applyBorder="1" applyAlignment="1">
      <alignment horizontal="center" vertical="center" wrapText="1"/>
    </xf>
    <xf numFmtId="0" fontId="9" fillId="2" borderId="2" xfId="0" applyNumberFormat="1" applyFont="1" applyFill="1" applyBorder="1" applyAlignment="1">
      <alignment horizontal="center" vertical="center"/>
    </xf>
    <xf numFmtId="0" fontId="9" fillId="2" borderId="7" xfId="0" applyNumberFormat="1" applyFont="1" applyFill="1" applyBorder="1" applyAlignment="1">
      <alignment horizontal="center" vertical="center"/>
    </xf>
    <xf numFmtId="3" fontId="29" fillId="0" borderId="2" xfId="0" applyNumberFormat="1" applyFont="1" applyFill="1" applyBorder="1" applyAlignment="1">
      <alignment horizontal="center" vertical="center" wrapText="1"/>
    </xf>
    <xf numFmtId="3" fontId="29" fillId="0" borderId="7" xfId="0" applyNumberFormat="1" applyFont="1" applyFill="1" applyBorder="1" applyAlignment="1">
      <alignment horizontal="center" vertical="center" wrapText="1"/>
    </xf>
    <xf numFmtId="1" fontId="16" fillId="3" borderId="2" xfId="0" quotePrefix="1" applyNumberFormat="1" applyFont="1" applyFill="1" applyBorder="1" applyAlignment="1">
      <alignment horizontal="center" vertical="center" wrapText="1"/>
    </xf>
    <xf numFmtId="1" fontId="16" fillId="3" borderId="7" xfId="0" quotePrefix="1" applyNumberFormat="1" applyFont="1" applyFill="1" applyBorder="1" applyAlignment="1">
      <alignment horizontal="center" vertical="center" wrapText="1"/>
    </xf>
    <xf numFmtId="164" fontId="17" fillId="3" borderId="2" xfId="0" applyNumberFormat="1" applyFont="1" applyFill="1" applyBorder="1" applyAlignment="1">
      <alignment horizontal="center" vertical="center" wrapText="1"/>
    </xf>
    <xf numFmtId="164" fontId="17" fillId="3" borderId="3" xfId="0" applyNumberFormat="1" applyFont="1" applyFill="1" applyBorder="1" applyAlignment="1">
      <alignment horizontal="center" vertical="center" wrapText="1"/>
    </xf>
    <xf numFmtId="164" fontId="17" fillId="3" borderId="7" xfId="0" applyNumberFormat="1" applyFont="1" applyFill="1" applyBorder="1" applyAlignment="1">
      <alignment horizontal="center" vertical="center" wrapText="1"/>
    </xf>
    <xf numFmtId="0" fontId="16" fillId="0" borderId="2" xfId="0" applyFont="1" applyFill="1" applyBorder="1" applyAlignment="1">
      <alignment vertical="center" textRotation="90"/>
    </xf>
    <xf numFmtId="0" fontId="16" fillId="0" borderId="3" xfId="0" applyFont="1" applyFill="1" applyBorder="1" applyAlignment="1">
      <alignment vertical="center" textRotation="90"/>
    </xf>
    <xf numFmtId="0" fontId="16" fillId="0" borderId="7" xfId="0" applyFont="1" applyFill="1" applyBorder="1" applyAlignment="1">
      <alignment vertical="center" textRotation="90"/>
    </xf>
    <xf numFmtId="0" fontId="16" fillId="0" borderId="1" xfId="0" applyFont="1" applyFill="1" applyBorder="1" applyAlignment="1">
      <alignment vertical="center" textRotation="90"/>
    </xf>
    <xf numFmtId="0" fontId="9" fillId="2" borderId="11" xfId="0" applyNumberFormat="1" applyFont="1" applyFill="1" applyBorder="1" applyAlignment="1">
      <alignment horizontal="center" vertical="center"/>
    </xf>
    <xf numFmtId="0" fontId="9" fillId="2" borderId="14"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4" xfId="0" applyNumberFormat="1" applyFont="1" applyFill="1" applyBorder="1" applyAlignment="1">
      <alignment horizontal="center" vertical="center"/>
    </xf>
    <xf numFmtId="0" fontId="9" fillId="2" borderId="5" xfId="0" applyNumberFormat="1" applyFont="1" applyFill="1" applyBorder="1" applyAlignment="1">
      <alignment horizontal="center" vertical="center"/>
    </xf>
    <xf numFmtId="0" fontId="9" fillId="2" borderId="6" xfId="0" applyNumberFormat="1" applyFont="1" applyFill="1" applyBorder="1" applyAlignment="1">
      <alignment horizontal="center" vertical="center"/>
    </xf>
    <xf numFmtId="0" fontId="29" fillId="0" borderId="11" xfId="0" applyNumberFormat="1" applyFont="1" applyFill="1" applyBorder="1" applyAlignment="1">
      <alignment horizontal="center" vertical="center" wrapText="1"/>
    </xf>
    <xf numFmtId="0" fontId="29" fillId="0" borderId="14" xfId="0" applyNumberFormat="1" applyFont="1" applyFill="1" applyBorder="1" applyAlignment="1">
      <alignment horizontal="center" vertical="center" wrapText="1"/>
    </xf>
    <xf numFmtId="0" fontId="17" fillId="0" borderId="1" xfId="0" applyNumberFormat="1" applyFont="1" applyFill="1" applyBorder="1" applyAlignment="1">
      <alignment vertical="center" wrapText="1"/>
    </xf>
    <xf numFmtId="0" fontId="29" fillId="3" borderId="2" xfId="0" applyNumberFormat="1" applyFont="1" applyFill="1" applyBorder="1" applyAlignment="1">
      <alignment horizontal="center" vertical="center" wrapText="1"/>
    </xf>
    <xf numFmtId="0" fontId="29" fillId="3" borderId="7" xfId="0" applyNumberFormat="1" applyFont="1" applyFill="1" applyBorder="1" applyAlignment="1">
      <alignment horizontal="center" vertical="center" wrapText="1"/>
    </xf>
    <xf numFmtId="0" fontId="4" fillId="2" borderId="11" xfId="0" applyNumberFormat="1" applyFont="1" applyFill="1" applyBorder="1" applyAlignment="1">
      <alignment horizontal="center" vertical="center" wrapText="1"/>
    </xf>
    <xf numFmtId="0" fontId="4" fillId="2" borderId="13" xfId="0" applyNumberFormat="1" applyFont="1" applyFill="1" applyBorder="1" applyAlignment="1">
      <alignment horizontal="center" vertical="center" wrapText="1"/>
    </xf>
    <xf numFmtId="0" fontId="4" fillId="2" borderId="14"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0" fontId="4"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16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171" fontId="3" fillId="0" borderId="1" xfId="0" applyNumberFormat="1" applyFont="1" applyFill="1" applyBorder="1" applyAlignment="1">
      <alignment horizontal="center" vertical="center" wrapText="1"/>
    </xf>
    <xf numFmtId="172" fontId="3" fillId="0" borderId="1" xfId="0" applyNumberFormat="1" applyFont="1" applyFill="1" applyBorder="1" applyAlignment="1">
      <alignment horizontal="center" vertical="center" wrapText="1"/>
    </xf>
    <xf numFmtId="167" fontId="3" fillId="0"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7" fillId="0" borderId="1" xfId="0" applyFont="1" applyFill="1" applyBorder="1" applyAlignment="1">
      <alignment horizontal="left" vertical="center" wrapText="1"/>
    </xf>
    <xf numFmtId="167"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xf>
    <xf numFmtId="0" fontId="3" fillId="0" borderId="7"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164" fontId="3" fillId="0" borderId="2" xfId="0" applyNumberFormat="1" applyFont="1" applyBorder="1" applyAlignment="1">
      <alignment horizontal="center" vertical="center" wrapText="1"/>
    </xf>
    <xf numFmtId="164" fontId="3" fillId="0" borderId="2"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NumberFormat="1" applyFont="1" applyFill="1" applyBorder="1" applyAlignment="1">
      <alignment horizontal="left" vertical="center" wrapText="1"/>
    </xf>
    <xf numFmtId="0" fontId="3" fillId="0" borderId="7" xfId="0" applyNumberFormat="1" applyFont="1" applyFill="1" applyBorder="1" applyAlignment="1">
      <alignment horizontal="center" vertical="center" wrapText="1"/>
    </xf>
    <xf numFmtId="164" fontId="3" fillId="0" borderId="3" xfId="0" applyNumberFormat="1" applyFont="1" applyBorder="1" applyAlignment="1">
      <alignment horizontal="center" vertical="center" wrapText="1"/>
    </xf>
    <xf numFmtId="16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NumberFormat="1" applyFont="1" applyBorder="1" applyAlignment="1">
      <alignment horizontal="left" vertical="center" wrapText="1"/>
    </xf>
    <xf numFmtId="0" fontId="3" fillId="0" borderId="7" xfId="0" applyFont="1" applyBorder="1" applyAlignment="1">
      <alignment horizontal="left" vertical="center" wrapText="1"/>
    </xf>
    <xf numFmtId="3" fontId="2" fillId="11" borderId="1" xfId="0" applyNumberFormat="1" applyFont="1" applyFill="1" applyBorder="1" applyAlignment="1">
      <alignment horizontal="right" vertical="center" indent="1"/>
    </xf>
    <xf numFmtId="0" fontId="52" fillId="0" borderId="7" xfId="0" applyFont="1" applyFill="1" applyBorder="1" applyAlignment="1">
      <alignment horizontal="left" wrapText="1"/>
    </xf>
    <xf numFmtId="0" fontId="52" fillId="0" borderId="1" xfId="0" applyFont="1" applyFill="1" applyBorder="1" applyAlignment="1">
      <alignment horizontal="left" wrapText="1"/>
    </xf>
    <xf numFmtId="171" fontId="3" fillId="0" borderId="7" xfId="0" applyNumberFormat="1" applyFont="1" applyFill="1" applyBorder="1" applyAlignment="1">
      <alignment horizontal="center" vertical="center" wrapText="1"/>
    </xf>
    <xf numFmtId="172" fontId="3" fillId="0" borderId="7" xfId="0" applyNumberFormat="1" applyFont="1" applyFill="1" applyBorder="1" applyAlignment="1">
      <alignment horizontal="center" vertical="center" wrapText="1"/>
    </xf>
    <xf numFmtId="167" fontId="3" fillId="0" borderId="7" xfId="0" applyNumberFormat="1" applyFont="1" applyFill="1" applyBorder="1" applyAlignment="1">
      <alignment horizontal="center" vertical="center" wrapText="1"/>
    </xf>
    <xf numFmtId="164" fontId="3" fillId="0" borderId="3" xfId="0" applyNumberFormat="1" applyFont="1" applyFill="1" applyBorder="1" applyAlignment="1">
      <alignment horizontal="center" vertical="center" wrapText="1"/>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3" fillId="0" borderId="7" xfId="0" applyNumberFormat="1" applyFont="1" applyBorder="1" applyAlignment="1">
      <alignment horizontal="left" vertical="center" wrapText="1"/>
    </xf>
    <xf numFmtId="0" fontId="2" fillId="11" borderId="2" xfId="0" applyNumberFormat="1" applyFont="1" applyFill="1" applyBorder="1" applyAlignment="1">
      <alignment horizontal="center" vertical="center" wrapText="1"/>
    </xf>
    <xf numFmtId="0" fontId="2" fillId="11" borderId="7" xfId="0" applyNumberFormat="1" applyFont="1" applyFill="1" applyBorder="1" applyAlignment="1">
      <alignment horizontal="center" vertical="center" wrapText="1"/>
    </xf>
    <xf numFmtId="0" fontId="2" fillId="11" borderId="4" xfId="0" applyNumberFormat="1" applyFont="1" applyFill="1" applyBorder="1" applyAlignment="1">
      <alignment horizontal="center" vertical="center"/>
    </xf>
    <xf numFmtId="0" fontId="2" fillId="11" borderId="5" xfId="0" applyNumberFormat="1" applyFont="1" applyFill="1" applyBorder="1" applyAlignment="1">
      <alignment horizontal="center" vertical="center"/>
    </xf>
    <xf numFmtId="0" fontId="2" fillId="11" borderId="6" xfId="0" applyNumberFormat="1" applyFont="1" applyFill="1" applyBorder="1" applyAlignment="1">
      <alignment horizontal="center" vertical="center"/>
    </xf>
    <xf numFmtId="0" fontId="3" fillId="0" borderId="3" xfId="0" applyNumberFormat="1" applyFont="1" applyBorder="1" applyAlignment="1">
      <alignment horizontal="left" vertical="center" wrapText="1"/>
    </xf>
    <xf numFmtId="0" fontId="7" fillId="0" borderId="2" xfId="0" applyNumberFormat="1" applyFont="1" applyFill="1" applyBorder="1" applyAlignment="1">
      <alignment horizontal="left" vertical="center" wrapText="1"/>
    </xf>
    <xf numFmtId="0" fontId="7" fillId="0" borderId="7" xfId="0" applyNumberFormat="1" applyFont="1" applyFill="1" applyBorder="1" applyAlignment="1">
      <alignment horizontal="left" vertical="center" wrapText="1"/>
    </xf>
    <xf numFmtId="0" fontId="7" fillId="0" borderId="2"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64" fontId="7" fillId="0" borderId="2" xfId="0" applyNumberFormat="1" applyFont="1" applyBorder="1" applyAlignment="1">
      <alignment horizontal="center" vertical="center" wrapText="1"/>
    </xf>
    <xf numFmtId="164" fontId="7" fillId="0" borderId="7" xfId="0" applyNumberFormat="1" applyFont="1" applyBorder="1" applyAlignment="1">
      <alignment horizontal="center" vertical="center" wrapText="1"/>
    </xf>
    <xf numFmtId="171" fontId="3" fillId="0" borderId="2" xfId="0" applyNumberFormat="1" applyFont="1" applyFill="1" applyBorder="1" applyAlignment="1">
      <alignment horizontal="center" vertical="center" wrapText="1"/>
    </xf>
    <xf numFmtId="172" fontId="3" fillId="0" borderId="2" xfId="0" applyNumberFormat="1" applyFont="1" applyFill="1" applyBorder="1" applyAlignment="1">
      <alignment horizontal="center" vertical="center" wrapText="1"/>
    </xf>
    <xf numFmtId="167" fontId="3" fillId="0" borderId="3" xfId="0" applyNumberFormat="1" applyFont="1" applyFill="1" applyBorder="1" applyAlignment="1">
      <alignment horizontal="center" vertical="center" wrapText="1"/>
    </xf>
    <xf numFmtId="0" fontId="7" fillId="0" borderId="3" xfId="0" applyNumberFormat="1" applyFont="1" applyFill="1" applyBorder="1" applyAlignment="1">
      <alignment horizontal="left" vertical="center" wrapText="1"/>
    </xf>
    <xf numFmtId="0" fontId="7" fillId="0" borderId="3" xfId="0" applyNumberFormat="1" applyFont="1" applyFill="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2" xfId="0" applyNumberFormat="1" applyFont="1" applyFill="1" applyBorder="1" applyAlignment="1">
      <alignment horizontal="center" vertical="center" wrapText="1"/>
    </xf>
    <xf numFmtId="3" fontId="59" fillId="3" borderId="1" xfId="0" applyNumberFormat="1" applyFont="1" applyFill="1" applyBorder="1" applyAlignment="1">
      <alignment horizontal="right" vertical="center" inden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164" fontId="60" fillId="0" borderId="2" xfId="0" applyNumberFormat="1" applyFont="1" applyBorder="1" applyAlignment="1">
      <alignment horizontal="center" vertical="center" wrapText="1"/>
    </xf>
    <xf numFmtId="164" fontId="60" fillId="0" borderId="3" xfId="0" applyNumberFormat="1" applyFont="1" applyBorder="1" applyAlignment="1">
      <alignment horizontal="center" vertical="center" wrapText="1"/>
    </xf>
    <xf numFmtId="164" fontId="60" fillId="0" borderId="2" xfId="0" applyNumberFormat="1" applyFont="1" applyFill="1" applyBorder="1" applyAlignment="1">
      <alignment horizontal="center" vertical="center" wrapText="1"/>
    </xf>
    <xf numFmtId="0" fontId="60" fillId="0" borderId="3" xfId="0" applyNumberFormat="1" applyFont="1" applyFill="1" applyBorder="1" applyAlignment="1">
      <alignment horizontal="center" vertical="center" wrapText="1"/>
    </xf>
    <xf numFmtId="0" fontId="60" fillId="0" borderId="1" xfId="0" applyFont="1" applyBorder="1" applyAlignment="1">
      <alignment horizontal="center" vertical="center" wrapText="1"/>
    </xf>
    <xf numFmtId="0" fontId="7" fillId="0" borderId="2" xfId="0" applyNumberFormat="1" applyFont="1" applyBorder="1" applyAlignment="1">
      <alignment horizontal="left" vertical="center" wrapText="1"/>
    </xf>
    <xf numFmtId="0" fontId="7" fillId="0" borderId="3" xfId="0" applyNumberFormat="1" applyFont="1" applyBorder="1" applyAlignment="1">
      <alignment horizontal="left" vertical="center" wrapText="1"/>
    </xf>
    <xf numFmtId="0" fontId="7" fillId="0" borderId="7" xfId="0" applyNumberFormat="1" applyFont="1" applyBorder="1" applyAlignment="1">
      <alignment horizontal="left" vertical="center" wrapText="1"/>
    </xf>
    <xf numFmtId="164" fontId="20" fillId="0" borderId="2" xfId="0" applyNumberFormat="1" applyFont="1" applyFill="1" applyBorder="1" applyAlignment="1">
      <alignment horizontal="center" vertical="center" wrapText="1"/>
    </xf>
    <xf numFmtId="0" fontId="20" fillId="0" borderId="3"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59" fillId="11" borderId="11" xfId="0" applyNumberFormat="1" applyFont="1" applyFill="1" applyBorder="1" applyAlignment="1">
      <alignment horizontal="center" vertical="center" wrapText="1"/>
    </xf>
    <xf numFmtId="0" fontId="59" fillId="11" borderId="14" xfId="0" applyNumberFormat="1" applyFont="1" applyFill="1" applyBorder="1" applyAlignment="1">
      <alignment horizontal="center" vertical="center" wrapText="1"/>
    </xf>
    <xf numFmtId="0" fontId="59" fillId="11" borderId="13" xfId="0" applyNumberFormat="1" applyFont="1" applyFill="1" applyBorder="1" applyAlignment="1">
      <alignment horizontal="center" vertical="center" wrapText="1"/>
    </xf>
    <xf numFmtId="0" fontId="59" fillId="11" borderId="9" xfId="0" applyNumberFormat="1" applyFont="1" applyFill="1" applyBorder="1" applyAlignment="1">
      <alignment horizontal="center" vertical="center" wrapText="1"/>
    </xf>
    <xf numFmtId="0" fontId="16" fillId="11" borderId="2" xfId="0" applyNumberFormat="1" applyFont="1" applyFill="1" applyBorder="1" applyAlignment="1">
      <alignment horizontal="center" vertical="center" wrapText="1"/>
    </xf>
    <xf numFmtId="0" fontId="16" fillId="11" borderId="7" xfId="0" applyNumberFormat="1" applyFont="1" applyFill="1" applyBorder="1" applyAlignment="1">
      <alignment horizontal="center" vertical="center" wrapText="1"/>
    </xf>
    <xf numFmtId="0" fontId="59" fillId="11" borderId="1" xfId="0" applyNumberFormat="1" applyFont="1" applyFill="1" applyBorder="1" applyAlignment="1">
      <alignment horizontal="center" vertical="center" wrapText="1"/>
    </xf>
    <xf numFmtId="0" fontId="59" fillId="11" borderId="2" xfId="0" applyNumberFormat="1" applyFont="1" applyFill="1" applyBorder="1" applyAlignment="1">
      <alignment horizontal="center" vertical="center" wrapText="1"/>
    </xf>
    <xf numFmtId="0" fontId="59" fillId="11" borderId="7" xfId="0" applyNumberFormat="1" applyFont="1" applyFill="1" applyBorder="1" applyAlignment="1">
      <alignment horizontal="center" vertical="center" wrapText="1"/>
    </xf>
    <xf numFmtId="0" fontId="2" fillId="11" borderId="11" xfId="0" applyNumberFormat="1" applyFont="1" applyFill="1" applyBorder="1" applyAlignment="1">
      <alignment horizontal="center" vertical="center" wrapText="1"/>
    </xf>
    <xf numFmtId="0" fontId="2" fillId="11" borderId="13" xfId="0" applyNumberFormat="1" applyFont="1" applyFill="1" applyBorder="1" applyAlignment="1">
      <alignment horizontal="center" vertical="center" wrapText="1"/>
    </xf>
    <xf numFmtId="0" fontId="2" fillId="11" borderId="14" xfId="0" applyNumberFormat="1" applyFont="1" applyFill="1" applyBorder="1" applyAlignment="1">
      <alignment horizontal="center" vertical="center" wrapText="1"/>
    </xf>
    <xf numFmtId="0" fontId="2" fillId="11" borderId="9" xfId="0" applyNumberFormat="1" applyFont="1" applyFill="1" applyBorder="1" applyAlignment="1">
      <alignment horizontal="center" vertical="center" wrapText="1"/>
    </xf>
    <xf numFmtId="0" fontId="17" fillId="0" borderId="2" xfId="0" applyFont="1" applyBorder="1" applyAlignment="1">
      <alignment horizontal="left" vertical="center" wrapText="1"/>
    </xf>
    <xf numFmtId="0" fontId="17" fillId="0" borderId="7" xfId="0" applyFont="1" applyBorder="1" applyAlignment="1">
      <alignment horizontal="left" vertical="center" wrapText="1"/>
    </xf>
    <xf numFmtId="0" fontId="3" fillId="0" borderId="1" xfId="0" applyNumberFormat="1" applyFont="1" applyFill="1" applyBorder="1" applyAlignment="1">
      <alignment horizontal="left" vertical="center" wrapText="1"/>
    </xf>
    <xf numFmtId="164" fontId="3" fillId="0" borderId="1" xfId="0" applyNumberFormat="1" applyFont="1" applyFill="1" applyBorder="1" applyAlignment="1">
      <alignment horizontal="center" vertical="center" wrapText="1"/>
    </xf>
    <xf numFmtId="164" fontId="20" fillId="0" borderId="2" xfId="0" applyNumberFormat="1" applyFont="1" applyBorder="1" applyAlignment="1">
      <alignment horizontal="center" vertical="center" wrapText="1"/>
    </xf>
    <xf numFmtId="164" fontId="20" fillId="0" borderId="7" xfId="0" applyNumberFormat="1" applyFont="1" applyBorder="1" applyAlignment="1">
      <alignment horizontal="center" vertical="center" wrapText="1"/>
    </xf>
    <xf numFmtId="164"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7" fillId="0" borderId="1" xfId="3" applyFont="1" applyBorder="1" applyAlignment="1">
      <alignment horizontal="left" vertical="center" wrapText="1"/>
    </xf>
    <xf numFmtId="171" fontId="20" fillId="0" borderId="1" xfId="0" applyNumberFormat="1" applyFont="1" applyFill="1" applyBorder="1" applyAlignment="1">
      <alignment horizontal="center" vertical="center" wrapText="1"/>
    </xf>
    <xf numFmtId="172" fontId="20" fillId="0" borderId="1" xfId="0" applyNumberFormat="1" applyFont="1" applyFill="1" applyBorder="1" applyAlignment="1">
      <alignment horizontal="center" vertical="center" wrapText="1"/>
    </xf>
    <xf numFmtId="167" fontId="20" fillId="0" borderId="2" xfId="0" applyNumberFormat="1" applyFont="1" applyFill="1" applyBorder="1" applyAlignment="1">
      <alignment horizontal="center" vertical="center" wrapText="1"/>
    </xf>
    <xf numFmtId="167" fontId="20" fillId="0" borderId="3" xfId="0" applyNumberFormat="1" applyFont="1" applyFill="1" applyBorder="1" applyAlignment="1">
      <alignment horizontal="center" vertical="center" wrapText="1"/>
    </xf>
    <xf numFmtId="167" fontId="20" fillId="0" borderId="7" xfId="0" applyNumberFormat="1" applyFont="1" applyFill="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7" xfId="0" applyNumberFormat="1" applyFont="1" applyBorder="1" applyAlignment="1">
      <alignment horizontal="center" vertical="center" wrapText="1"/>
    </xf>
    <xf numFmtId="164" fontId="20" fillId="0" borderId="3" xfId="0" applyNumberFormat="1" applyFont="1" applyBorder="1" applyAlignment="1">
      <alignment horizontal="center" vertical="center" wrapText="1"/>
    </xf>
    <xf numFmtId="0" fontId="20" fillId="0" borderId="7"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7" fillId="0" borderId="1" xfId="0" applyFont="1" applyBorder="1" applyAlignment="1">
      <alignment horizontal="left" vertical="center" wrapText="1"/>
    </xf>
    <xf numFmtId="0" fontId="3" fillId="0" borderId="1" xfId="0" applyNumberFormat="1" applyFont="1" applyBorder="1" applyAlignment="1">
      <alignment horizontal="left" vertical="center" wrapText="1"/>
    </xf>
    <xf numFmtId="0" fontId="59" fillId="17" borderId="2" xfId="0" applyNumberFormat="1" applyFont="1" applyFill="1" applyBorder="1" applyAlignment="1">
      <alignment horizontal="center" vertical="center"/>
    </xf>
    <xf numFmtId="0" fontId="59" fillId="17" borderId="3" xfId="0" applyNumberFormat="1" applyFont="1" applyFill="1" applyBorder="1" applyAlignment="1">
      <alignment horizontal="center" vertical="center"/>
    </xf>
    <xf numFmtId="0" fontId="59" fillId="17" borderId="7" xfId="0" applyNumberFormat="1" applyFont="1" applyFill="1" applyBorder="1" applyAlignment="1">
      <alignment horizontal="center" vertical="center"/>
    </xf>
    <xf numFmtId="0" fontId="59" fillId="17" borderId="2" xfId="0" applyNumberFormat="1" applyFont="1" applyFill="1" applyBorder="1" applyAlignment="1">
      <alignment horizontal="center" vertical="center" wrapText="1"/>
    </xf>
    <xf numFmtId="0" fontId="59" fillId="17" borderId="7" xfId="0" applyNumberFormat="1" applyFont="1" applyFill="1" applyBorder="1" applyAlignment="1">
      <alignment horizontal="center" vertical="center" wrapText="1"/>
    </xf>
    <xf numFmtId="0" fontId="2" fillId="17" borderId="2" xfId="0" applyNumberFormat="1" applyFont="1" applyFill="1" applyBorder="1" applyAlignment="1">
      <alignment horizontal="center" vertical="center" wrapText="1"/>
    </xf>
    <xf numFmtId="0" fontId="2" fillId="17" borderId="7" xfId="0" applyNumberFormat="1" applyFont="1" applyFill="1" applyBorder="1" applyAlignment="1">
      <alignment horizontal="center" vertical="center" wrapText="1"/>
    </xf>
    <xf numFmtId="0" fontId="59" fillId="17" borderId="4" xfId="0" applyNumberFormat="1" applyFont="1" applyFill="1" applyBorder="1" applyAlignment="1">
      <alignment horizontal="center" vertical="center" wrapText="1"/>
    </xf>
    <xf numFmtId="0" fontId="59" fillId="17" borderId="6" xfId="0" applyNumberFormat="1" applyFont="1" applyFill="1" applyBorder="1" applyAlignment="1">
      <alignment horizontal="center" vertical="center" wrapText="1"/>
    </xf>
    <xf numFmtId="0" fontId="59" fillId="17" borderId="3" xfId="0" applyNumberFormat="1" applyFont="1" applyFill="1" applyBorder="1" applyAlignment="1">
      <alignment horizontal="center" vertical="center" wrapText="1"/>
    </xf>
    <xf numFmtId="0" fontId="59" fillId="17" borderId="4" xfId="0" applyNumberFormat="1" applyFont="1" applyFill="1" applyBorder="1" applyAlignment="1">
      <alignment horizontal="center" vertical="center"/>
    </xf>
    <xf numFmtId="0" fontId="59" fillId="17" borderId="5" xfId="0" applyNumberFormat="1" applyFont="1" applyFill="1" applyBorder="1" applyAlignment="1">
      <alignment horizontal="center" vertical="center"/>
    </xf>
    <xf numFmtId="0" fontId="59" fillId="17" borderId="6" xfId="0" applyNumberFormat="1" applyFont="1" applyFill="1" applyBorder="1" applyAlignment="1">
      <alignment horizontal="center" vertical="center"/>
    </xf>
    <xf numFmtId="166" fontId="12" fillId="0" borderId="2" xfId="0" applyNumberFormat="1" applyFont="1" applyFill="1" applyBorder="1" applyAlignment="1">
      <alignment horizontal="center" vertical="center" wrapText="1"/>
    </xf>
    <xf numFmtId="166" fontId="12" fillId="0" borderId="3" xfId="0" applyNumberFormat="1" applyFont="1" applyFill="1" applyBorder="1" applyAlignment="1">
      <alignment horizontal="center" vertical="center" wrapText="1"/>
    </xf>
    <xf numFmtId="166" fontId="12" fillId="0" borderId="7" xfId="0" applyNumberFormat="1" applyFont="1" applyFill="1" applyBorder="1" applyAlignment="1">
      <alignment horizontal="center" vertical="center" wrapText="1"/>
    </xf>
    <xf numFmtId="164" fontId="12" fillId="0" borderId="2" xfId="0" applyNumberFormat="1" applyFont="1" applyFill="1" applyBorder="1" applyAlignment="1">
      <alignment horizontal="center" vertical="center" wrapText="1"/>
    </xf>
    <xf numFmtId="164" fontId="12" fillId="0" borderId="3" xfId="0" applyNumberFormat="1" applyFont="1" applyFill="1" applyBorder="1" applyAlignment="1">
      <alignment horizontal="center" vertical="center" wrapText="1"/>
    </xf>
    <xf numFmtId="164" fontId="12" fillId="0" borderId="7" xfId="0" applyNumberFormat="1" applyFont="1" applyFill="1" applyBorder="1" applyAlignment="1">
      <alignment horizontal="center" vertical="center" wrapText="1"/>
    </xf>
    <xf numFmtId="2" fontId="2" fillId="3" borderId="1" xfId="0" applyNumberFormat="1" applyFont="1" applyFill="1" applyBorder="1" applyAlignment="1">
      <alignment horizontal="right" vertical="center" indent="1"/>
    </xf>
    <xf numFmtId="0" fontId="4" fillId="3" borderId="2" xfId="0" applyNumberFormat="1" applyFont="1" applyFill="1" applyBorder="1" applyAlignment="1">
      <alignment horizontal="left" vertical="center" wrapText="1"/>
    </xf>
    <xf numFmtId="0" fontId="4" fillId="3" borderId="7" xfId="0" applyNumberFormat="1" applyFont="1" applyFill="1" applyBorder="1" applyAlignment="1">
      <alignment horizontal="left" vertical="center" wrapText="1"/>
    </xf>
    <xf numFmtId="0" fontId="4" fillId="0" borderId="2" xfId="0" quotePrefix="1" applyNumberFormat="1" applyFont="1" applyBorder="1" applyAlignment="1">
      <alignment horizontal="left" vertical="center"/>
    </xf>
    <xf numFmtId="0" fontId="4" fillId="0" borderId="7" xfId="0" quotePrefix="1" applyNumberFormat="1" applyFont="1" applyBorder="1" applyAlignment="1">
      <alignment horizontal="left" vertical="center"/>
    </xf>
    <xf numFmtId="0" fontId="4" fillId="0" borderId="11"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0" fontId="4" fillId="0" borderId="10" xfId="0" applyNumberFormat="1" applyFont="1" applyBorder="1" applyAlignment="1">
      <alignment horizontal="left" vertical="center" wrapText="1"/>
    </xf>
    <xf numFmtId="0" fontId="55" fillId="3" borderId="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7"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 xfId="0" quotePrefix="1" applyFont="1" applyBorder="1" applyAlignment="1">
      <alignment horizontal="center" vertical="center" wrapText="1"/>
    </xf>
    <xf numFmtId="0" fontId="12" fillId="0" borderId="3" xfId="0" quotePrefix="1" applyFont="1" applyBorder="1" applyAlignment="1">
      <alignment horizontal="center" vertical="center" wrapText="1"/>
    </xf>
    <xf numFmtId="0" fontId="12" fillId="0" borderId="7" xfId="0" quotePrefix="1" applyFont="1" applyBorder="1" applyAlignment="1">
      <alignment horizontal="center" vertical="center" wrapText="1"/>
    </xf>
    <xf numFmtId="49" fontId="12" fillId="3" borderId="2" xfId="2" quotePrefix="1" applyNumberFormat="1" applyFont="1" applyFill="1" applyBorder="1" applyAlignment="1">
      <alignment horizontal="center" vertical="center" wrapText="1"/>
    </xf>
    <xf numFmtId="49" fontId="12" fillId="3" borderId="3" xfId="2" quotePrefix="1" applyNumberFormat="1" applyFont="1" applyFill="1" applyBorder="1" applyAlignment="1">
      <alignment horizontal="center" vertical="center" wrapText="1"/>
    </xf>
    <xf numFmtId="49" fontId="12" fillId="3" borderId="7" xfId="2" quotePrefix="1" applyNumberFormat="1" applyFont="1" applyFill="1" applyBorder="1" applyAlignment="1">
      <alignment horizontal="center" vertical="center" wrapText="1"/>
    </xf>
    <xf numFmtId="0" fontId="12" fillId="3" borderId="2" xfId="0" applyNumberFormat="1" applyFont="1" applyFill="1" applyBorder="1" applyAlignment="1">
      <alignment horizontal="center" vertical="center" wrapText="1"/>
    </xf>
    <xf numFmtId="0" fontId="12" fillId="3" borderId="3" xfId="0" applyNumberFormat="1" applyFont="1" applyFill="1" applyBorder="1" applyAlignment="1">
      <alignment horizontal="center" vertical="center" wrapText="1"/>
    </xf>
    <xf numFmtId="0" fontId="12" fillId="3" borderId="7" xfId="0" applyNumberFormat="1" applyFont="1" applyFill="1" applyBorder="1" applyAlignment="1">
      <alignment horizontal="center" vertical="center" wrapText="1"/>
    </xf>
    <xf numFmtId="3" fontId="12" fillId="3" borderId="2" xfId="0" quotePrefix="1" applyNumberFormat="1" applyFont="1" applyFill="1" applyBorder="1" applyAlignment="1">
      <alignment horizontal="center" vertical="center" wrapText="1"/>
    </xf>
    <xf numFmtId="3" fontId="12" fillId="3" borderId="3" xfId="0" quotePrefix="1" applyNumberFormat="1" applyFont="1" applyFill="1" applyBorder="1" applyAlignment="1">
      <alignment horizontal="center" vertical="center" wrapText="1"/>
    </xf>
    <xf numFmtId="3" fontId="12" fillId="3" borderId="7" xfId="0" quotePrefix="1" applyNumberFormat="1" applyFont="1" applyFill="1" applyBorder="1" applyAlignment="1">
      <alignment horizontal="center" vertical="center" wrapText="1"/>
    </xf>
    <xf numFmtId="0" fontId="55" fillId="0" borderId="1" xfId="3" applyFont="1" applyBorder="1" applyAlignment="1">
      <alignment horizontal="left" vertical="center" wrapText="1"/>
    </xf>
    <xf numFmtId="171" fontId="12" fillId="0" borderId="1" xfId="0" applyNumberFormat="1" applyFont="1" applyFill="1" applyBorder="1" applyAlignment="1">
      <alignment horizontal="center" vertical="center" wrapText="1"/>
    </xf>
    <xf numFmtId="172" fontId="12" fillId="0" borderId="1" xfId="0" applyNumberFormat="1" applyFont="1" applyFill="1" applyBorder="1" applyAlignment="1">
      <alignment horizontal="center" vertical="center" wrapText="1"/>
    </xf>
    <xf numFmtId="167" fontId="12" fillId="0" borderId="2" xfId="0" applyNumberFormat="1" applyFont="1" applyFill="1" applyBorder="1" applyAlignment="1">
      <alignment horizontal="center" vertical="center" wrapText="1"/>
    </xf>
    <xf numFmtId="167" fontId="12" fillId="0" borderId="3"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2" xfId="0" applyNumberFormat="1" applyFont="1" applyBorder="1" applyAlignment="1">
      <alignment horizontal="center" vertical="center" wrapText="1"/>
    </xf>
    <xf numFmtId="0" fontId="12" fillId="0" borderId="3"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4" fontId="12" fillId="0" borderId="2" xfId="0" applyNumberFormat="1"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2" fillId="11" borderId="1" xfId="0" applyNumberFormat="1" applyFont="1" applyFill="1" applyBorder="1" applyAlignment="1">
      <alignment horizontal="center" vertical="center" wrapText="1"/>
    </xf>
    <xf numFmtId="0" fontId="4" fillId="3" borderId="1" xfId="0" applyNumberFormat="1" applyFont="1" applyFill="1" applyBorder="1" applyAlignment="1">
      <alignment horizontal="left" vertical="center" wrapText="1"/>
    </xf>
    <xf numFmtId="0" fontId="55" fillId="3" borderId="2" xfId="0" applyNumberFormat="1" applyFont="1" applyFill="1" applyBorder="1" applyAlignment="1">
      <alignment horizontal="left" vertical="center" wrapText="1"/>
    </xf>
    <xf numFmtId="0" fontId="55" fillId="3" borderId="3" xfId="0" applyNumberFormat="1" applyFont="1" applyFill="1" applyBorder="1" applyAlignment="1">
      <alignment horizontal="left" vertical="center" wrapText="1"/>
    </xf>
    <xf numFmtId="0" fontId="55" fillId="3" borderId="7" xfId="0" applyNumberFormat="1" applyFont="1" applyFill="1" applyBorder="1" applyAlignment="1">
      <alignment horizontal="left" vertical="center" wrapText="1"/>
    </xf>
    <xf numFmtId="3" fontId="55" fillId="3" borderId="2" xfId="0" quotePrefix="1" applyNumberFormat="1" applyFont="1" applyFill="1" applyBorder="1" applyAlignment="1">
      <alignment horizontal="center" vertical="center" wrapText="1"/>
    </xf>
    <xf numFmtId="3" fontId="55" fillId="3" borderId="3" xfId="0" quotePrefix="1" applyNumberFormat="1" applyFont="1" applyFill="1" applyBorder="1" applyAlignment="1">
      <alignment horizontal="center" vertical="center" wrapText="1"/>
    </xf>
    <xf numFmtId="3" fontId="55" fillId="3" borderId="7" xfId="0" quotePrefix="1" applyNumberFormat="1" applyFont="1" applyFill="1" applyBorder="1" applyAlignment="1">
      <alignment horizontal="center" vertical="center" wrapText="1"/>
    </xf>
    <xf numFmtId="3" fontId="55" fillId="3" borderId="1" xfId="0" quotePrefix="1" applyNumberFormat="1" applyFont="1" applyFill="1" applyBorder="1" applyAlignment="1">
      <alignment horizontal="center" vertical="center" wrapText="1"/>
    </xf>
    <xf numFmtId="0" fontId="55" fillId="3" borderId="2" xfId="0" applyNumberFormat="1" applyFont="1" applyFill="1" applyBorder="1" applyAlignment="1">
      <alignment horizontal="center" vertical="center" wrapText="1"/>
    </xf>
    <xf numFmtId="0" fontId="55" fillId="3" borderId="3" xfId="0" applyNumberFormat="1" applyFont="1" applyFill="1" applyBorder="1" applyAlignment="1">
      <alignment horizontal="center" vertical="center" wrapText="1"/>
    </xf>
    <xf numFmtId="0" fontId="55" fillId="3" borderId="7" xfId="0" applyNumberFormat="1" applyFont="1" applyFill="1" applyBorder="1" applyAlignment="1">
      <alignment horizontal="center" vertical="center" wrapText="1"/>
    </xf>
    <xf numFmtId="0" fontId="4" fillId="3" borderId="11" xfId="0" applyNumberFormat="1" applyFont="1" applyFill="1" applyBorder="1" applyAlignment="1">
      <alignment horizontal="left" vertical="center" wrapText="1"/>
    </xf>
    <xf numFmtId="0" fontId="4" fillId="3" borderId="13" xfId="0" applyNumberFormat="1" applyFont="1" applyFill="1" applyBorder="1" applyAlignment="1">
      <alignment horizontal="left" vertical="center" wrapText="1"/>
    </xf>
    <xf numFmtId="0" fontId="55" fillId="3" borderId="1" xfId="0" applyNumberFormat="1" applyFont="1" applyFill="1" applyBorder="1" applyAlignment="1">
      <alignment horizontal="center" vertical="center" wrapText="1"/>
    </xf>
    <xf numFmtId="0" fontId="4" fillId="4" borderId="4" xfId="0" applyNumberFormat="1" applyFont="1" applyFill="1" applyBorder="1" applyAlignment="1">
      <alignment horizontal="left" vertical="center" wrapText="1"/>
    </xf>
    <xf numFmtId="0" fontId="4" fillId="4" borderId="5" xfId="0" applyNumberFormat="1" applyFont="1" applyFill="1" applyBorder="1" applyAlignment="1">
      <alignment horizontal="left" vertical="center" wrapText="1"/>
    </xf>
    <xf numFmtId="0" fontId="4" fillId="0" borderId="4"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center" wrapText="1"/>
    </xf>
    <xf numFmtId="0" fontId="4" fillId="3" borderId="4" xfId="0" applyNumberFormat="1" applyFont="1" applyFill="1" applyBorder="1" applyAlignment="1">
      <alignment horizontal="center" vertical="center" wrapText="1"/>
    </xf>
    <xf numFmtId="0" fontId="4" fillId="3" borderId="6" xfId="0" applyNumberFormat="1" applyFont="1" applyFill="1" applyBorder="1" applyAlignment="1">
      <alignment horizontal="center" vertical="center" wrapText="1"/>
    </xf>
    <xf numFmtId="0" fontId="12" fillId="3" borderId="2" xfId="0" applyNumberFormat="1" applyFont="1" applyFill="1" applyBorder="1" applyAlignment="1">
      <alignment horizontal="left" vertical="center" wrapText="1"/>
    </xf>
    <xf numFmtId="0" fontId="12" fillId="3" borderId="3" xfId="0" applyNumberFormat="1" applyFont="1" applyFill="1" applyBorder="1" applyAlignment="1">
      <alignment horizontal="left" vertical="center" wrapText="1"/>
    </xf>
    <xf numFmtId="0" fontId="12" fillId="3" borderId="7" xfId="0" applyNumberFormat="1" applyFont="1" applyFill="1" applyBorder="1" applyAlignment="1">
      <alignment horizontal="left" vertical="center" wrapText="1"/>
    </xf>
    <xf numFmtId="0" fontId="12" fillId="3" borderId="1" xfId="0" applyNumberFormat="1" applyFont="1" applyFill="1" applyBorder="1" applyAlignment="1">
      <alignment horizontal="center" vertical="center" wrapText="1"/>
    </xf>
    <xf numFmtId="0" fontId="12" fillId="0" borderId="7" xfId="0" applyNumberFormat="1" applyFont="1" applyBorder="1" applyAlignment="1">
      <alignment horizontal="center" vertical="center" wrapText="1"/>
    </xf>
    <xf numFmtId="0" fontId="4" fillId="3" borderId="5"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4" fillId="3" borderId="4" xfId="0" applyNumberFormat="1" applyFont="1" applyFill="1" applyBorder="1" applyAlignment="1">
      <alignment horizontal="left" vertical="center" wrapText="1"/>
    </xf>
    <xf numFmtId="0" fontId="4" fillId="3" borderId="5" xfId="0" applyNumberFormat="1" applyFont="1" applyFill="1" applyBorder="1" applyAlignment="1">
      <alignment horizontal="left" vertical="center" wrapText="1"/>
    </xf>
    <xf numFmtId="0" fontId="4" fillId="3" borderId="6"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4" fillId="3" borderId="12" xfId="0" applyNumberFormat="1" applyFont="1" applyFill="1" applyBorder="1" applyAlignment="1">
      <alignment horizontal="left" vertical="center" wrapText="1"/>
    </xf>
    <xf numFmtId="0" fontId="4" fillId="3" borderId="14" xfId="0" applyNumberFormat="1" applyFont="1" applyFill="1" applyBorder="1" applyAlignment="1">
      <alignment horizontal="left" vertical="center" wrapText="1"/>
    </xf>
    <xf numFmtId="0" fontId="4" fillId="3" borderId="10" xfId="0" applyNumberFormat="1" applyFont="1" applyFill="1" applyBorder="1" applyAlignment="1">
      <alignment horizontal="left" vertical="center" wrapText="1"/>
    </xf>
    <xf numFmtId="3" fontId="12" fillId="3" borderId="2" xfId="0" applyNumberFormat="1" applyFont="1" applyFill="1" applyBorder="1" applyAlignment="1">
      <alignment horizontal="center" vertical="center" wrapText="1"/>
    </xf>
    <xf numFmtId="3" fontId="12" fillId="3" borderId="3" xfId="0" applyNumberFormat="1" applyFont="1" applyFill="1" applyBorder="1" applyAlignment="1">
      <alignment horizontal="center" vertical="center" wrapText="1"/>
    </xf>
    <xf numFmtId="3" fontId="12" fillId="3" borderId="7" xfId="0" applyNumberFormat="1" applyFont="1" applyFill="1" applyBorder="1" applyAlignment="1">
      <alignment horizontal="center" vertical="center" wrapText="1"/>
    </xf>
    <xf numFmtId="0" fontId="12" fillId="3" borderId="11"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wrapText="1"/>
    </xf>
    <xf numFmtId="0" fontId="2" fillId="3" borderId="7" xfId="0" applyNumberFormat="1"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1" fontId="12" fillId="3" borderId="2"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wrapText="1"/>
    </xf>
    <xf numFmtId="0" fontId="12" fillId="3" borderId="1" xfId="0" applyFont="1" applyFill="1" applyBorder="1" applyAlignment="1">
      <alignment horizontal="center" wrapText="1"/>
    </xf>
    <xf numFmtId="0" fontId="12" fillId="3" borderId="2" xfId="0" applyFont="1" applyFill="1" applyBorder="1" applyAlignment="1">
      <alignment horizontal="center" wrapText="1"/>
    </xf>
    <xf numFmtId="0" fontId="12" fillId="3" borderId="3" xfId="0" applyFont="1" applyFill="1" applyBorder="1" applyAlignment="1">
      <alignment horizontal="center" wrapText="1"/>
    </xf>
    <xf numFmtId="0" fontId="12" fillId="3" borderId="7" xfId="0" applyFont="1" applyFill="1" applyBorder="1" applyAlignment="1">
      <alignment horizontal="center" wrapText="1"/>
    </xf>
    <xf numFmtId="0" fontId="12" fillId="0" borderId="1" xfId="0" applyNumberFormat="1" applyFont="1" applyBorder="1" applyAlignment="1">
      <alignment horizontal="center" vertical="center" wrapText="1"/>
    </xf>
    <xf numFmtId="1" fontId="12" fillId="3" borderId="7" xfId="0" applyNumberFormat="1" applyFont="1" applyFill="1" applyBorder="1" applyAlignment="1">
      <alignment horizontal="center" vertical="center" wrapText="1"/>
    </xf>
    <xf numFmtId="0" fontId="4" fillId="3" borderId="2" xfId="0" quotePrefix="1" applyNumberFormat="1" applyFont="1" applyFill="1" applyBorder="1" applyAlignment="1">
      <alignment horizontal="left" vertical="center" wrapText="1"/>
    </xf>
    <xf numFmtId="0" fontId="4" fillId="3" borderId="3" xfId="0" applyNumberFormat="1" applyFont="1" applyFill="1" applyBorder="1" applyAlignment="1">
      <alignment horizontal="left" vertical="center" wrapText="1"/>
    </xf>
    <xf numFmtId="0" fontId="4" fillId="3" borderId="15" xfId="0" applyNumberFormat="1" applyFont="1" applyFill="1" applyBorder="1" applyAlignment="1">
      <alignment horizontal="left" vertical="center" wrapText="1"/>
    </xf>
    <xf numFmtId="0" fontId="4" fillId="3" borderId="0" xfId="0" applyNumberFormat="1" applyFont="1" applyFill="1" applyBorder="1" applyAlignment="1">
      <alignment horizontal="left" vertical="center" wrapText="1"/>
    </xf>
    <xf numFmtId="3" fontId="12" fillId="3" borderId="1" xfId="0" quotePrefix="1" applyNumberFormat="1" applyFont="1" applyFill="1" applyBorder="1" applyAlignment="1">
      <alignment horizontal="center" vertical="center" wrapText="1"/>
    </xf>
    <xf numFmtId="0" fontId="2" fillId="3" borderId="19" xfId="0" applyNumberFormat="1" applyFont="1" applyFill="1" applyBorder="1" applyAlignment="1">
      <alignment horizontal="left" vertical="center" wrapText="1"/>
    </xf>
    <xf numFmtId="0" fontId="2" fillId="3" borderId="21" xfId="0" applyNumberFormat="1" applyFont="1" applyFill="1" applyBorder="1" applyAlignment="1">
      <alignment horizontal="left" vertical="center" wrapText="1"/>
    </xf>
    <xf numFmtId="0" fontId="2" fillId="3" borderId="4" xfId="0" applyNumberFormat="1" applyFont="1" applyFill="1" applyBorder="1" applyAlignment="1">
      <alignment horizontal="left" vertical="center" wrapText="1"/>
    </xf>
    <xf numFmtId="0" fontId="2" fillId="3" borderId="6" xfId="0" applyNumberFormat="1" applyFont="1" applyFill="1" applyBorder="1" applyAlignment="1">
      <alignment horizontal="left" vertical="center" wrapText="1"/>
    </xf>
    <xf numFmtId="0" fontId="4" fillId="3" borderId="1" xfId="0" quotePrefix="1" applyNumberFormat="1" applyFont="1" applyFill="1" applyBorder="1" applyAlignment="1">
      <alignment horizontal="center" vertical="center" wrapText="1"/>
    </xf>
    <xf numFmtId="0" fontId="4" fillId="3" borderId="9"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12" fillId="2" borderId="1" xfId="0" applyNumberFormat="1" applyFont="1" applyFill="1" applyBorder="1" applyAlignment="1">
      <alignment horizontal="center" vertical="center" wrapText="1"/>
    </xf>
    <xf numFmtId="0" fontId="4" fillId="3" borderId="14" xfId="0" applyNumberFormat="1" applyFont="1" applyFill="1" applyBorder="1" applyAlignment="1">
      <alignment horizontal="center" vertical="center" wrapText="1"/>
    </xf>
    <xf numFmtId="0" fontId="4" fillId="3" borderId="10" xfId="0" applyNumberFormat="1" applyFont="1" applyFill="1" applyBorder="1" applyAlignment="1">
      <alignment horizontal="center" vertical="center" wrapText="1"/>
    </xf>
    <xf numFmtId="0" fontId="4" fillId="3" borderId="9" xfId="0" applyNumberFormat="1" applyFont="1" applyFill="1" applyBorder="1" applyAlignment="1">
      <alignment horizontal="center" vertical="center" wrapText="1"/>
    </xf>
    <xf numFmtId="0" fontId="12" fillId="0" borderId="45" xfId="0" quotePrefix="1" applyNumberFormat="1" applyFont="1" applyBorder="1" applyAlignment="1">
      <alignment horizontal="left" vertical="center" wrapText="1"/>
    </xf>
    <xf numFmtId="0" fontId="12" fillId="0" borderId="30" xfId="0" quotePrefix="1" applyNumberFormat="1" applyFont="1" applyBorder="1" applyAlignment="1">
      <alignment horizontal="left" vertical="center" wrapText="1"/>
    </xf>
    <xf numFmtId="0" fontId="12" fillId="0" borderId="46" xfId="0" quotePrefix="1" applyNumberFormat="1" applyFont="1" applyBorder="1" applyAlignment="1">
      <alignment horizontal="left" vertical="center" wrapText="1"/>
    </xf>
    <xf numFmtId="0" fontId="12" fillId="0" borderId="2" xfId="0" applyNumberFormat="1" applyFont="1" applyBorder="1" applyAlignment="1">
      <alignment horizontal="left" vertical="center" wrapText="1"/>
    </xf>
    <xf numFmtId="0" fontId="12" fillId="0" borderId="3" xfId="0" applyNumberFormat="1" applyFont="1" applyBorder="1" applyAlignment="1">
      <alignment horizontal="left" vertical="center" wrapText="1"/>
    </xf>
    <xf numFmtId="0" fontId="12" fillId="0" borderId="7" xfId="0" applyNumberFormat="1" applyFont="1" applyBorder="1" applyAlignment="1">
      <alignment horizontal="left" vertical="center" wrapText="1"/>
    </xf>
    <xf numFmtId="0" fontId="12" fillId="0" borderId="2" xfId="0" quotePrefix="1" applyNumberFormat="1" applyFont="1" applyBorder="1" applyAlignment="1">
      <alignment horizontal="center" vertical="center" wrapText="1"/>
    </xf>
    <xf numFmtId="0" fontId="12" fillId="0" borderId="3" xfId="0" quotePrefix="1" applyNumberFormat="1" applyFont="1" applyBorder="1" applyAlignment="1">
      <alignment horizontal="center" vertical="center" wrapText="1"/>
    </xf>
    <xf numFmtId="0" fontId="12" fillId="0" borderId="7" xfId="0" quotePrefix="1" applyNumberFormat="1" applyFont="1" applyBorder="1" applyAlignment="1">
      <alignment horizontal="center" vertical="center" wrapText="1"/>
    </xf>
    <xf numFmtId="4" fontId="12" fillId="0" borderId="2" xfId="0" quotePrefix="1" applyNumberFormat="1" applyFont="1" applyBorder="1" applyAlignment="1">
      <alignment horizontal="center" vertical="center" wrapText="1"/>
    </xf>
    <xf numFmtId="4" fontId="12" fillId="0" borderId="3" xfId="0" quotePrefix="1" applyNumberFormat="1" applyFont="1" applyBorder="1" applyAlignment="1">
      <alignment horizontal="center" vertical="center" wrapText="1"/>
    </xf>
    <xf numFmtId="4" fontId="12" fillId="0" borderId="7" xfId="0" quotePrefix="1" applyNumberFormat="1" applyFont="1" applyBorder="1" applyAlignment="1">
      <alignment horizontal="center" vertical="center" wrapText="1"/>
    </xf>
    <xf numFmtId="3" fontId="12" fillId="0" borderId="2" xfId="0" quotePrefix="1" applyNumberFormat="1" applyFont="1" applyBorder="1" applyAlignment="1">
      <alignment horizontal="center" vertical="center" wrapText="1"/>
    </xf>
    <xf numFmtId="3" fontId="12" fillId="0" borderId="3" xfId="0" quotePrefix="1" applyNumberFormat="1" applyFont="1" applyBorder="1" applyAlignment="1">
      <alignment horizontal="center" vertical="center" wrapText="1"/>
    </xf>
    <xf numFmtId="3" fontId="12" fillId="0" borderId="7" xfId="0" quotePrefix="1" applyNumberFormat="1" applyFont="1" applyBorder="1" applyAlignment="1">
      <alignment horizontal="center" vertical="center" wrapText="1"/>
    </xf>
    <xf numFmtId="0" fontId="2" fillId="0" borderId="4" xfId="0" applyNumberFormat="1" applyFont="1" applyBorder="1" applyAlignment="1">
      <alignment horizontal="left" vertical="center" wrapText="1"/>
    </xf>
    <xf numFmtId="0" fontId="2" fillId="0" borderId="5" xfId="0" applyNumberFormat="1" applyFont="1" applyBorder="1" applyAlignment="1">
      <alignment horizontal="left" vertical="center" wrapText="1"/>
    </xf>
    <xf numFmtId="0" fontId="4" fillId="0" borderId="1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4" xfId="0" applyFont="1" applyBorder="1" applyAlignment="1">
      <alignment horizontal="center" vertical="center" textRotation="90" wrapText="1"/>
    </xf>
    <xf numFmtId="0" fontId="4" fillId="0" borderId="42" xfId="0" applyFont="1" applyBorder="1" applyAlignment="1">
      <alignment horizontal="center" vertical="center" textRotation="90" wrapText="1"/>
    </xf>
    <xf numFmtId="0" fontId="4" fillId="0" borderId="43" xfId="0" applyFont="1" applyBorder="1" applyAlignment="1">
      <alignment horizontal="center" vertical="center" textRotation="90" wrapText="1"/>
    </xf>
    <xf numFmtId="0" fontId="4" fillId="0" borderId="5" xfId="0" applyFont="1" applyBorder="1" applyAlignment="1">
      <alignment horizontal="left" vertical="center" wrapText="1"/>
    </xf>
    <xf numFmtId="0" fontId="4" fillId="0" borderId="1" xfId="0" applyNumberFormat="1" applyFont="1" applyBorder="1" applyAlignment="1">
      <alignment horizontal="left" vertical="center" wrapText="1"/>
    </xf>
    <xf numFmtId="0" fontId="4" fillId="0" borderId="4" xfId="0" applyNumberFormat="1" applyFont="1" applyBorder="1" applyAlignment="1">
      <alignment horizontal="left" vertical="center" wrapText="1"/>
    </xf>
    <xf numFmtId="0" fontId="4" fillId="0" borderId="5" xfId="0" applyNumberFormat="1" applyFont="1" applyBorder="1" applyAlignment="1">
      <alignment horizontal="left" vertical="center" wrapText="1"/>
    </xf>
    <xf numFmtId="167" fontId="4" fillId="3" borderId="2" xfId="0" quotePrefix="1" applyNumberFormat="1" applyFont="1" applyFill="1" applyBorder="1" applyAlignment="1">
      <alignment horizontal="left" vertical="center" wrapText="1"/>
    </xf>
    <xf numFmtId="167" fontId="4" fillId="3" borderId="3" xfId="0" quotePrefix="1" applyNumberFormat="1" applyFont="1" applyFill="1" applyBorder="1" applyAlignment="1">
      <alignment horizontal="left" vertical="center" wrapText="1"/>
    </xf>
    <xf numFmtId="0" fontId="4" fillId="0" borderId="1" xfId="0" applyNumberFormat="1" applyFont="1" applyBorder="1" applyAlignment="1">
      <alignment horizontal="center" vertical="center" wrapText="1"/>
    </xf>
    <xf numFmtId="0" fontId="4" fillId="0" borderId="13" xfId="0" applyNumberFormat="1" applyFont="1" applyBorder="1" applyAlignment="1">
      <alignment horizontal="left" vertical="center" wrapText="1"/>
    </xf>
    <xf numFmtId="0" fontId="4" fillId="0" borderId="11"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6"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9" xfId="0" applyNumberFormat="1" applyFont="1" applyFill="1" applyBorder="1" applyAlignment="1">
      <alignment horizontal="left" vertical="center" wrapText="1"/>
    </xf>
    <xf numFmtId="0" fontId="2" fillId="3" borderId="4" xfId="0" applyNumberFormat="1" applyFont="1" applyFill="1" applyBorder="1" applyAlignment="1">
      <alignment horizontal="center" vertical="center" wrapText="1"/>
    </xf>
    <xf numFmtId="0" fontId="2" fillId="3" borderId="5" xfId="0" applyNumberFormat="1" applyFont="1" applyFill="1" applyBorder="1" applyAlignment="1">
      <alignment horizontal="center" vertical="center" wrapText="1"/>
    </xf>
    <xf numFmtId="0" fontId="2" fillId="3" borderId="6" xfId="0" applyNumberFormat="1" applyFont="1" applyFill="1" applyBorder="1" applyAlignment="1">
      <alignment horizontal="center" vertical="center" wrapText="1"/>
    </xf>
    <xf numFmtId="0" fontId="55" fillId="3" borderId="45" xfId="0" applyNumberFormat="1" applyFont="1" applyFill="1" applyBorder="1" applyAlignment="1">
      <alignment horizontal="left" vertical="center" wrapText="1"/>
    </xf>
    <xf numFmtId="0" fontId="55" fillId="3" borderId="30" xfId="0" applyNumberFormat="1" applyFont="1" applyFill="1" applyBorder="1" applyAlignment="1">
      <alignment horizontal="left" vertical="center" wrapText="1"/>
    </xf>
    <xf numFmtId="0" fontId="55" fillId="3" borderId="46" xfId="0" applyNumberFormat="1" applyFont="1" applyFill="1" applyBorder="1" applyAlignment="1">
      <alignment horizontal="left" vertical="center" wrapText="1"/>
    </xf>
    <xf numFmtId="3" fontId="55" fillId="3" borderId="2" xfId="0" applyNumberFormat="1" applyFont="1" applyFill="1" applyBorder="1" applyAlignment="1">
      <alignment horizontal="center" vertical="center" wrapText="1"/>
    </xf>
    <xf numFmtId="3" fontId="55" fillId="3" borderId="3" xfId="0" applyNumberFormat="1" applyFont="1" applyFill="1" applyBorder="1" applyAlignment="1">
      <alignment horizontal="center" vertical="center" wrapText="1"/>
    </xf>
    <xf numFmtId="3" fontId="55" fillId="3" borderId="7" xfId="0" applyNumberFormat="1" applyFont="1" applyFill="1" applyBorder="1" applyAlignment="1">
      <alignment horizontal="center" vertical="center" wrapText="1"/>
    </xf>
    <xf numFmtId="0" fontId="16" fillId="3" borderId="4" xfId="0" applyNumberFormat="1" applyFont="1" applyFill="1" applyBorder="1" applyAlignment="1">
      <alignment horizontal="center" vertical="center" wrapText="1"/>
    </xf>
    <xf numFmtId="0" fontId="16" fillId="3" borderId="5" xfId="0" applyNumberFormat="1" applyFont="1" applyFill="1" applyBorder="1" applyAlignment="1">
      <alignment horizontal="center" vertical="center" wrapText="1"/>
    </xf>
    <xf numFmtId="0" fontId="16" fillId="3" borderId="6" xfId="0" applyNumberFormat="1" applyFont="1" applyFill="1" applyBorder="1" applyAlignment="1">
      <alignment horizontal="center" vertical="center" wrapText="1"/>
    </xf>
    <xf numFmtId="0" fontId="12" fillId="0" borderId="1" xfId="0" applyNumberFormat="1" applyFont="1" applyBorder="1" applyAlignment="1">
      <alignment horizontal="left" vertical="center" wrapText="1"/>
    </xf>
    <xf numFmtId="1" fontId="55" fillId="3" borderId="2" xfId="0" applyNumberFormat="1" applyFont="1" applyFill="1" applyBorder="1" applyAlignment="1">
      <alignment horizontal="center" vertical="center" wrapText="1"/>
    </xf>
    <xf numFmtId="1" fontId="55" fillId="3" borderId="3" xfId="0" applyNumberFormat="1" applyFont="1" applyFill="1" applyBorder="1" applyAlignment="1">
      <alignment horizontal="center" vertical="center" wrapText="1"/>
    </xf>
    <xf numFmtId="1" fontId="55" fillId="3" borderId="7" xfId="0" applyNumberFormat="1" applyFont="1" applyFill="1" applyBorder="1" applyAlignment="1">
      <alignment horizontal="center" vertical="center" wrapText="1"/>
    </xf>
    <xf numFmtId="0" fontId="54" fillId="3" borderId="13" xfId="0" applyFont="1" applyFill="1" applyBorder="1" applyAlignment="1">
      <alignment horizontal="center" vertical="center" wrapText="1"/>
    </xf>
    <xf numFmtId="0" fontId="54" fillId="3" borderId="8" xfId="0" applyFont="1" applyFill="1" applyBorder="1" applyAlignment="1">
      <alignment horizontal="center" vertical="center" wrapText="1"/>
    </xf>
    <xf numFmtId="0" fontId="54" fillId="3" borderId="9" xfId="0" applyFont="1" applyFill="1" applyBorder="1" applyAlignment="1">
      <alignment horizontal="center" vertical="center" wrapText="1"/>
    </xf>
    <xf numFmtId="0" fontId="54" fillId="3" borderId="2" xfId="0" applyFont="1" applyFill="1" applyBorder="1" applyAlignment="1">
      <alignment vertical="center" wrapText="1"/>
    </xf>
    <xf numFmtId="0" fontId="54" fillId="3" borderId="3" xfId="0" applyFont="1" applyFill="1" applyBorder="1" applyAlignment="1">
      <alignment vertical="center" wrapText="1"/>
    </xf>
    <xf numFmtId="0" fontId="54" fillId="3" borderId="7" xfId="0" applyFont="1" applyFill="1" applyBorder="1" applyAlignment="1">
      <alignment vertical="center" wrapText="1"/>
    </xf>
    <xf numFmtId="0" fontId="55" fillId="3" borderId="2" xfId="0" applyFont="1" applyFill="1" applyBorder="1" applyAlignment="1">
      <alignment vertical="center" wrapText="1"/>
    </xf>
    <xf numFmtId="0" fontId="55" fillId="3" borderId="3" xfId="0" applyFont="1" applyFill="1" applyBorder="1" applyAlignment="1">
      <alignment vertical="center" wrapText="1"/>
    </xf>
    <xf numFmtId="0" fontId="55" fillId="3" borderId="7" xfId="0" applyFont="1" applyFill="1" applyBorder="1" applyAlignment="1">
      <alignment vertical="center" wrapText="1"/>
    </xf>
    <xf numFmtId="0" fontId="12" fillId="3" borderId="1" xfId="0" applyNumberFormat="1" applyFont="1" applyFill="1" applyBorder="1" applyAlignment="1">
      <alignment vertical="center" wrapText="1"/>
    </xf>
    <xf numFmtId="0" fontId="3" fillId="0" borderId="1" xfId="0" applyNumberFormat="1" applyFont="1" applyBorder="1" applyAlignment="1">
      <alignment vertical="center" wrapText="1"/>
    </xf>
    <xf numFmtId="0" fontId="12" fillId="0" borderId="1" xfId="0" applyNumberFormat="1" applyFont="1" applyBorder="1" applyAlignment="1">
      <alignment vertical="center" wrapText="1"/>
    </xf>
    <xf numFmtId="2" fontId="12" fillId="3" borderId="2" xfId="0" applyNumberFormat="1" applyFont="1" applyFill="1" applyBorder="1" applyAlignment="1">
      <alignment horizontal="center" vertical="center" wrapText="1"/>
    </xf>
    <xf numFmtId="2" fontId="12" fillId="3" borderId="3" xfId="0" applyNumberFormat="1" applyFont="1" applyFill="1" applyBorder="1" applyAlignment="1">
      <alignment horizontal="center" vertical="center" wrapText="1"/>
    </xf>
    <xf numFmtId="2" fontId="12" fillId="3" borderId="7" xfId="0" applyNumberFormat="1" applyFont="1" applyFill="1" applyBorder="1" applyAlignment="1">
      <alignment horizontal="center" vertical="center" wrapText="1"/>
    </xf>
    <xf numFmtId="0" fontId="12" fillId="3" borderId="2" xfId="0" applyFont="1" applyFill="1" applyBorder="1" applyAlignment="1">
      <alignment vertical="center" wrapText="1"/>
    </xf>
    <xf numFmtId="0" fontId="12" fillId="3" borderId="3" xfId="0" applyFont="1" applyFill="1" applyBorder="1" applyAlignment="1">
      <alignment vertical="center" wrapText="1"/>
    </xf>
    <xf numFmtId="0" fontId="4" fillId="3" borderId="7" xfId="0" applyFont="1" applyFill="1" applyBorder="1" applyAlignment="1">
      <alignment vertical="center" wrapText="1"/>
    </xf>
    <xf numFmtId="0" fontId="12" fillId="3" borderId="7" xfId="0" applyFont="1" applyFill="1" applyBorder="1" applyAlignment="1">
      <alignment vertical="center" wrapText="1"/>
    </xf>
    <xf numFmtId="0" fontId="12" fillId="3" borderId="2" xfId="0" applyNumberFormat="1" applyFont="1" applyFill="1" applyBorder="1" applyAlignment="1">
      <alignment vertical="center" wrapText="1"/>
    </xf>
    <xf numFmtId="0" fontId="12" fillId="3" borderId="3" xfId="0" applyNumberFormat="1" applyFont="1" applyFill="1" applyBorder="1" applyAlignment="1">
      <alignment vertical="center" wrapText="1"/>
    </xf>
    <xf numFmtId="0" fontId="12" fillId="3" borderId="7" xfId="0" applyNumberFormat="1" applyFont="1" applyFill="1" applyBorder="1" applyAlignment="1">
      <alignment vertical="center" wrapText="1"/>
    </xf>
    <xf numFmtId="0" fontId="3" fillId="3" borderId="2" xfId="0" applyNumberFormat="1" applyFont="1" applyFill="1" applyBorder="1" applyAlignment="1">
      <alignment horizontal="left" vertical="center" wrapText="1"/>
    </xf>
    <xf numFmtId="0" fontId="3" fillId="3" borderId="7" xfId="0" applyNumberFormat="1" applyFont="1" applyFill="1" applyBorder="1" applyAlignment="1">
      <alignment horizontal="left" vertical="center" wrapText="1"/>
    </xf>
    <xf numFmtId="0" fontId="54" fillId="3" borderId="1" xfId="0" applyFont="1" applyFill="1" applyBorder="1" applyAlignment="1">
      <alignment horizontal="center" vertical="center" wrapText="1"/>
    </xf>
    <xf numFmtId="0" fontId="55" fillId="3" borderId="1"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7" xfId="0" applyFont="1" applyFill="1" applyBorder="1" applyAlignment="1">
      <alignment horizontal="left" vertical="center" wrapText="1"/>
    </xf>
    <xf numFmtId="0" fontId="53" fillId="3" borderId="2" xfId="0" applyNumberFormat="1" applyFont="1" applyFill="1" applyBorder="1" applyAlignment="1">
      <alignment horizontal="center" vertical="center" wrapText="1"/>
    </xf>
    <xf numFmtId="0" fontId="53" fillId="3" borderId="3" xfId="0" applyNumberFormat="1" applyFont="1" applyFill="1" applyBorder="1" applyAlignment="1">
      <alignment horizontal="center" vertical="center" wrapText="1"/>
    </xf>
    <xf numFmtId="0" fontId="53" fillId="3" borderId="7" xfId="0" applyNumberFormat="1" applyFont="1" applyFill="1" applyBorder="1" applyAlignment="1">
      <alignment horizontal="center" vertical="center" wrapText="1"/>
    </xf>
    <xf numFmtId="0" fontId="2" fillId="3" borderId="2" xfId="0" applyNumberFormat="1" applyFont="1" applyFill="1" applyBorder="1" applyAlignment="1">
      <alignment horizontal="left" vertical="center" wrapText="1"/>
    </xf>
    <xf numFmtId="0" fontId="2" fillId="3" borderId="3" xfId="0" applyNumberFormat="1" applyFont="1" applyFill="1" applyBorder="1" applyAlignment="1">
      <alignment horizontal="left" vertical="center" wrapText="1"/>
    </xf>
    <xf numFmtId="2" fontId="4" fillId="3" borderId="2" xfId="0" applyNumberFormat="1" applyFont="1" applyFill="1" applyBorder="1" applyAlignment="1">
      <alignment horizontal="center" vertical="center" wrapText="1"/>
    </xf>
    <xf numFmtId="2" fontId="4" fillId="3" borderId="3"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3" fontId="4" fillId="3" borderId="2"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wrapText="1"/>
    </xf>
    <xf numFmtId="3" fontId="4" fillId="3" borderId="7"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0" fontId="4" fillId="3" borderId="7"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0" fontId="2" fillId="3" borderId="5" xfId="0" applyNumberFormat="1" applyFont="1" applyFill="1" applyBorder="1" applyAlignment="1">
      <alignment horizontal="left" vertical="center" wrapText="1"/>
    </xf>
    <xf numFmtId="0" fontId="55" fillId="3" borderId="1" xfId="0" applyNumberFormat="1" applyFont="1" applyFill="1" applyBorder="1" applyAlignment="1">
      <alignment vertical="center" wrapText="1"/>
    </xf>
    <xf numFmtId="4" fontId="12" fillId="3" borderId="1" xfId="0" applyNumberFormat="1" applyFont="1" applyFill="1" applyBorder="1" applyAlignment="1">
      <alignment horizontal="center" vertical="center" wrapText="1"/>
    </xf>
    <xf numFmtId="3" fontId="2" fillId="3" borderId="4" xfId="0" applyNumberFormat="1" applyFont="1" applyFill="1" applyBorder="1" applyAlignment="1">
      <alignment horizontal="left" vertical="center" wrapText="1"/>
    </xf>
    <xf numFmtId="3" fontId="2" fillId="3" borderId="6" xfId="0" applyNumberFormat="1" applyFont="1" applyFill="1" applyBorder="1" applyAlignment="1">
      <alignment horizontal="left" vertical="center" wrapText="1"/>
    </xf>
    <xf numFmtId="0" fontId="55" fillId="3" borderId="1" xfId="0" applyNumberFormat="1" applyFont="1" applyFill="1" applyBorder="1" applyAlignment="1">
      <alignment horizontal="left" vertical="center" wrapText="1"/>
    </xf>
    <xf numFmtId="0" fontId="55" fillId="0" borderId="1" xfId="0" applyFont="1" applyBorder="1" applyAlignment="1">
      <alignment vertical="center" wrapText="1"/>
    </xf>
    <xf numFmtId="0" fontId="12" fillId="0" borderId="1" xfId="0" applyFont="1" applyBorder="1" applyAlignment="1">
      <alignment vertical="center" wrapText="1"/>
    </xf>
    <xf numFmtId="0" fontId="3" fillId="3" borderId="1" xfId="0" applyNumberFormat="1" applyFont="1" applyFill="1" applyBorder="1" applyAlignment="1">
      <alignment vertical="center" wrapText="1"/>
    </xf>
    <xf numFmtId="3" fontId="55" fillId="3" borderId="1" xfId="0" applyNumberFormat="1" applyFont="1" applyFill="1" applyBorder="1" applyAlignment="1">
      <alignment horizontal="center" vertical="center" wrapText="1"/>
    </xf>
    <xf numFmtId="0" fontId="4" fillId="2" borderId="6" xfId="0" applyNumberFormat="1" applyFont="1" applyFill="1" applyBorder="1" applyAlignment="1">
      <alignment horizontal="left" vertical="center" wrapText="1"/>
    </xf>
    <xf numFmtId="0" fontId="4" fillId="2" borderId="10"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wrapText="1"/>
    </xf>
    <xf numFmtId="0" fontId="4" fillId="0" borderId="7" xfId="0" applyNumberFormat="1" applyFont="1" applyBorder="1" applyAlignment="1">
      <alignment horizontal="center" vertical="center" wrapText="1"/>
    </xf>
    <xf numFmtId="0" fontId="12" fillId="0" borderId="11" xfId="0" applyNumberFormat="1" applyFont="1" applyBorder="1" applyAlignment="1">
      <alignment horizontal="left" vertical="center" wrapText="1"/>
    </xf>
    <xf numFmtId="0" fontId="12" fillId="0" borderId="12" xfId="0" applyNumberFormat="1" applyFont="1" applyBorder="1" applyAlignment="1">
      <alignment horizontal="left" vertical="center" wrapText="1"/>
    </xf>
    <xf numFmtId="0" fontId="12" fillId="0" borderId="13" xfId="0" applyNumberFormat="1" applyFont="1" applyBorder="1" applyAlignment="1">
      <alignment horizontal="left" vertical="center" wrapText="1"/>
    </xf>
    <xf numFmtId="0" fontId="12" fillId="0" borderId="14" xfId="0" applyNumberFormat="1" applyFont="1" applyBorder="1" applyAlignment="1">
      <alignment horizontal="left" vertical="center" wrapText="1"/>
    </xf>
    <xf numFmtId="0" fontId="12" fillId="0" borderId="10" xfId="0" applyNumberFormat="1" applyFont="1" applyBorder="1" applyAlignment="1">
      <alignment horizontal="left" vertical="center" wrapText="1"/>
    </xf>
    <xf numFmtId="0" fontId="12" fillId="0" borderId="9" xfId="0" applyNumberFormat="1" applyFont="1" applyBorder="1" applyAlignment="1">
      <alignment horizontal="left" vertical="center" wrapText="1"/>
    </xf>
    <xf numFmtId="0" fontId="55" fillId="0" borderId="2" xfId="0" applyNumberFormat="1" applyFont="1" applyBorder="1" applyAlignment="1">
      <alignment horizontal="left" vertical="center" wrapText="1"/>
    </xf>
    <xf numFmtId="0" fontId="55" fillId="0" borderId="3" xfId="0" applyNumberFormat="1" applyFont="1" applyBorder="1" applyAlignment="1">
      <alignment horizontal="left" vertical="center" wrapText="1"/>
    </xf>
    <xf numFmtId="0" fontId="55" fillId="0" borderId="7" xfId="0" applyNumberFormat="1" applyFont="1" applyBorder="1" applyAlignment="1">
      <alignment horizontal="left" vertical="center" wrapText="1"/>
    </xf>
    <xf numFmtId="0" fontId="12" fillId="0" borderId="2" xfId="0" quotePrefix="1" applyNumberFormat="1" applyFont="1" applyBorder="1" applyAlignment="1">
      <alignment horizontal="left" vertical="center" wrapText="1"/>
    </xf>
    <xf numFmtId="0" fontId="12" fillId="0" borderId="3" xfId="0" quotePrefix="1" applyNumberFormat="1" applyFont="1" applyBorder="1" applyAlignment="1">
      <alignment horizontal="left" vertical="center" wrapText="1"/>
    </xf>
    <xf numFmtId="0" fontId="12" fillId="0" borderId="7" xfId="0" quotePrefix="1" applyNumberFormat="1" applyFont="1" applyBorder="1" applyAlignment="1">
      <alignment horizontal="left" vertical="center" wrapText="1"/>
    </xf>
    <xf numFmtId="0" fontId="55" fillId="0" borderId="2" xfId="0" applyNumberFormat="1" applyFont="1" applyFill="1" applyBorder="1" applyAlignment="1">
      <alignment horizontal="left" vertical="center" wrapText="1"/>
    </xf>
    <xf numFmtId="0" fontId="55" fillId="0" borderId="3" xfId="0" applyNumberFormat="1" applyFont="1" applyFill="1" applyBorder="1" applyAlignment="1">
      <alignment horizontal="left" vertical="center" wrapText="1"/>
    </xf>
    <xf numFmtId="0" fontId="55" fillId="0" borderId="7" xfId="0" applyNumberFormat="1" applyFont="1" applyFill="1" applyBorder="1" applyAlignment="1">
      <alignment horizontal="left" vertical="center" wrapText="1"/>
    </xf>
    <xf numFmtId="0" fontId="12" fillId="0" borderId="2" xfId="0" quotePrefix="1" applyNumberFormat="1" applyFont="1" applyFill="1" applyBorder="1" applyAlignment="1">
      <alignment horizontal="center" vertical="center" wrapText="1"/>
    </xf>
    <xf numFmtId="0" fontId="12" fillId="0" borderId="3" xfId="0" quotePrefix="1" applyNumberFormat="1" applyFont="1" applyFill="1" applyBorder="1" applyAlignment="1">
      <alignment horizontal="center" vertical="center" wrapText="1"/>
    </xf>
    <xf numFmtId="0" fontId="12" fillId="0" borderId="7" xfId="0" quotePrefix="1" applyNumberFormat="1" applyFont="1" applyFill="1" applyBorder="1" applyAlignment="1">
      <alignment horizontal="center" vertical="center" wrapText="1"/>
    </xf>
    <xf numFmtId="0" fontId="4" fillId="0" borderId="2" xfId="0" quotePrefix="1" applyNumberFormat="1" applyFont="1" applyBorder="1" applyAlignment="1">
      <alignment horizontal="left" vertical="center" wrapText="1"/>
    </xf>
    <xf numFmtId="0" fontId="53" fillId="0" borderId="11" xfId="0" applyNumberFormat="1" applyFont="1" applyBorder="1" applyAlignment="1">
      <alignment horizontal="left" vertical="center" wrapText="1"/>
    </xf>
    <xf numFmtId="0" fontId="53" fillId="0" borderId="12" xfId="0" applyNumberFormat="1" applyFont="1" applyBorder="1" applyAlignment="1">
      <alignment horizontal="left" vertical="center" wrapText="1"/>
    </xf>
    <xf numFmtId="0" fontId="53" fillId="0" borderId="13" xfId="0" applyNumberFormat="1" applyFont="1" applyBorder="1" applyAlignment="1">
      <alignment horizontal="left" vertical="center" wrapText="1"/>
    </xf>
    <xf numFmtId="0" fontId="53" fillId="0" borderId="11" xfId="0" applyNumberFormat="1" applyFont="1" applyBorder="1" applyAlignment="1">
      <alignment horizontal="center" vertical="center" wrapText="1"/>
    </xf>
    <xf numFmtId="0" fontId="53" fillId="0" borderId="13" xfId="0" applyNumberFormat="1" applyFont="1" applyBorder="1" applyAlignment="1">
      <alignment horizontal="center" vertical="center" wrapText="1"/>
    </xf>
    <xf numFmtId="0" fontId="4" fillId="0" borderId="9" xfId="0" applyNumberFormat="1" applyFont="1" applyBorder="1" applyAlignment="1">
      <alignment horizontal="left" vertical="center" wrapText="1"/>
    </xf>
    <xf numFmtId="0" fontId="53" fillId="0" borderId="4" xfId="0" applyNumberFormat="1" applyFont="1" applyBorder="1" applyAlignment="1">
      <alignment horizontal="center" vertical="center" wrapText="1"/>
    </xf>
    <xf numFmtId="0" fontId="53" fillId="0" borderId="5" xfId="0" applyNumberFormat="1" applyFont="1" applyBorder="1" applyAlignment="1">
      <alignment horizontal="center" vertical="center" wrapText="1"/>
    </xf>
    <xf numFmtId="0" fontId="53" fillId="0" borderId="6" xfId="0" applyNumberFormat="1" applyFont="1" applyBorder="1" applyAlignment="1">
      <alignment horizontal="center" vertical="center" wrapText="1"/>
    </xf>
    <xf numFmtId="0" fontId="53" fillId="0" borderId="1"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0" fontId="1" fillId="4" borderId="4" xfId="0" applyNumberFormat="1" applyFont="1" applyFill="1" applyBorder="1" applyAlignment="1">
      <alignment horizontal="left" vertical="center" wrapText="1"/>
    </xf>
    <xf numFmtId="0" fontId="1" fillId="4" borderId="5" xfId="0" applyNumberFormat="1" applyFont="1" applyFill="1" applyBorder="1" applyAlignment="1">
      <alignment horizontal="left" vertical="center" wrapText="1"/>
    </xf>
    <xf numFmtId="49" fontId="12" fillId="0" borderId="2" xfId="0" quotePrefix="1" applyNumberFormat="1" applyFont="1" applyBorder="1" applyAlignment="1">
      <alignment horizontal="center" vertical="center" wrapText="1"/>
    </xf>
    <xf numFmtId="49" fontId="12" fillId="0" borderId="3" xfId="0" quotePrefix="1" applyNumberFormat="1" applyFont="1" applyBorder="1" applyAlignment="1">
      <alignment horizontal="center" vertical="center" wrapText="1"/>
    </xf>
    <xf numFmtId="49" fontId="12" fillId="0" borderId="7" xfId="0" quotePrefix="1" applyNumberFormat="1" applyFont="1" applyBorder="1" applyAlignment="1">
      <alignment horizontal="center" vertical="center" wrapText="1"/>
    </xf>
    <xf numFmtId="0" fontId="1" fillId="4" borderId="6" xfId="0" applyNumberFormat="1" applyFont="1" applyFill="1" applyBorder="1" applyAlignment="1">
      <alignment horizontal="left" vertical="center" wrapText="1"/>
    </xf>
    <xf numFmtId="0" fontId="4" fillId="0" borderId="1" xfId="0" applyFont="1" applyBorder="1" applyAlignment="1">
      <alignment horizontal="center" vertical="center" textRotation="90" wrapText="1"/>
    </xf>
    <xf numFmtId="49" fontId="4" fillId="0" borderId="2" xfId="0" quotePrefix="1" applyNumberFormat="1" applyFont="1" applyBorder="1" applyAlignment="1">
      <alignment horizontal="left" vertical="center" wrapText="1"/>
    </xf>
    <xf numFmtId="49" fontId="4" fillId="0" borderId="7" xfId="0" applyNumberFormat="1" applyFont="1" applyBorder="1" applyAlignment="1">
      <alignment horizontal="left" vertical="center" wrapText="1"/>
    </xf>
    <xf numFmtId="3" fontId="12" fillId="0" borderId="2" xfId="0" applyNumberFormat="1" applyFont="1" applyBorder="1" applyAlignment="1">
      <alignment vertical="center" wrapText="1"/>
    </xf>
    <xf numFmtId="3" fontId="12" fillId="0" borderId="3" xfId="0" applyNumberFormat="1" applyFont="1" applyBorder="1" applyAlignment="1">
      <alignment vertical="center" wrapText="1"/>
    </xf>
    <xf numFmtId="3" fontId="12" fillId="0" borderId="7" xfId="0" applyNumberFormat="1" applyFont="1" applyBorder="1" applyAlignment="1">
      <alignment vertical="center" wrapText="1"/>
    </xf>
    <xf numFmtId="3" fontId="12" fillId="0" borderId="2" xfId="0" applyNumberFormat="1" applyFont="1" applyBorder="1" applyAlignment="1">
      <alignment horizontal="right" vertical="center" wrapText="1" indent="1"/>
    </xf>
    <xf numFmtId="3" fontId="12" fillId="0" borderId="3" xfId="0" applyNumberFormat="1" applyFont="1" applyBorder="1" applyAlignment="1">
      <alignment horizontal="right" vertical="center" wrapText="1" indent="1"/>
    </xf>
    <xf numFmtId="3" fontId="12" fillId="0" borderId="7" xfId="0" applyNumberFormat="1" applyFont="1" applyBorder="1" applyAlignment="1">
      <alignment horizontal="right" vertical="center" wrapText="1" indent="1"/>
    </xf>
    <xf numFmtId="0" fontId="12" fillId="0" borderId="7" xfId="0" applyNumberFormat="1" applyFont="1" applyFill="1" applyBorder="1" applyAlignment="1">
      <alignment horizontal="center" vertical="center" wrapText="1"/>
    </xf>
    <xf numFmtId="0" fontId="12" fillId="0" borderId="2"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7" xfId="0" applyFont="1" applyBorder="1" applyAlignment="1">
      <alignment horizontal="center" vertical="center" textRotation="90" wrapText="1"/>
    </xf>
    <xf numFmtId="0" fontId="4" fillId="0" borderId="1" xfId="0" applyNumberFormat="1" applyFont="1" applyFill="1" applyBorder="1" applyAlignment="1">
      <alignment horizontal="left" vertical="center" wrapText="1"/>
    </xf>
    <xf numFmtId="0" fontId="4" fillId="2" borderId="4" xfId="0" applyNumberFormat="1" applyFont="1" applyFill="1" applyBorder="1" applyAlignment="1">
      <alignment horizontal="left" vertical="center" wrapText="1"/>
    </xf>
    <xf numFmtId="0" fontId="4" fillId="2" borderId="5" xfId="0" applyNumberFormat="1" applyFont="1" applyFill="1" applyBorder="1" applyAlignment="1">
      <alignment horizontal="left" vertical="center" wrapText="1"/>
    </xf>
    <xf numFmtId="0" fontId="4" fillId="0" borderId="3" xfId="0" quotePrefix="1" applyNumberFormat="1" applyFont="1" applyBorder="1" applyAlignment="1">
      <alignment horizontal="left" vertical="center" wrapText="1"/>
    </xf>
    <xf numFmtId="0" fontId="4" fillId="0" borderId="7" xfId="0" quotePrefix="1" applyNumberFormat="1" applyFont="1" applyBorder="1" applyAlignment="1">
      <alignment horizontal="left" vertical="center" wrapText="1"/>
    </xf>
    <xf numFmtId="0" fontId="4" fillId="0" borderId="3" xfId="0" applyNumberFormat="1" applyFont="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1" xfId="0" quotePrefix="1" applyNumberFormat="1" applyFont="1" applyFill="1" applyBorder="1" applyAlignment="1">
      <alignment horizontal="center" vertical="center" wrapText="1"/>
    </xf>
    <xf numFmtId="49" fontId="4" fillId="0" borderId="1" xfId="0" quotePrefix="1" applyNumberFormat="1" applyFont="1" applyBorder="1" applyAlignment="1">
      <alignment horizontal="center" vertical="center" wrapText="1"/>
    </xf>
    <xf numFmtId="3" fontId="4" fillId="0" borderId="1" xfId="0" quotePrefix="1" applyNumberFormat="1" applyFont="1" applyBorder="1" applyAlignment="1">
      <alignment horizontal="center" vertical="center" wrapText="1"/>
    </xf>
    <xf numFmtId="3" fontId="4" fillId="0" borderId="2" xfId="0" quotePrefix="1" applyNumberFormat="1" applyFont="1" applyBorder="1" applyAlignment="1">
      <alignment horizontal="center" vertical="center" wrapText="1"/>
    </xf>
    <xf numFmtId="3" fontId="4" fillId="0" borderId="3" xfId="0" quotePrefix="1" applyNumberFormat="1" applyFont="1" applyBorder="1" applyAlignment="1">
      <alignment horizontal="center" vertical="center" wrapText="1"/>
    </xf>
    <xf numFmtId="3" fontId="4" fillId="0" borderId="7" xfId="0" quotePrefix="1" applyNumberFormat="1" applyFont="1" applyBorder="1" applyAlignment="1">
      <alignment horizontal="center" vertical="center" wrapText="1"/>
    </xf>
    <xf numFmtId="0" fontId="12" fillId="0" borderId="1" xfId="0" applyFont="1" applyBorder="1" applyAlignment="1">
      <alignment horizontal="center" vertical="center" textRotation="90" wrapText="1"/>
    </xf>
    <xf numFmtId="0" fontId="4" fillId="0" borderId="4" xfId="0" applyNumberFormat="1" applyFont="1" applyFill="1" applyBorder="1" applyAlignment="1">
      <alignment vertical="center" wrapText="1"/>
    </xf>
    <xf numFmtId="0" fontId="4" fillId="0" borderId="5" xfId="0" applyNumberFormat="1" applyFont="1" applyFill="1" applyBorder="1" applyAlignment="1">
      <alignment vertical="center" wrapText="1"/>
    </xf>
    <xf numFmtId="0" fontId="4" fillId="0" borderId="6" xfId="0" applyNumberFormat="1" applyFont="1" applyFill="1" applyBorder="1" applyAlignment="1">
      <alignment vertical="center" wrapText="1"/>
    </xf>
    <xf numFmtId="0" fontId="4" fillId="0" borderId="1" xfId="0" quotePrefix="1" applyNumberFormat="1" applyFont="1" applyBorder="1" applyAlignment="1">
      <alignment horizontal="left"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2" fillId="0" borderId="1" xfId="0" applyNumberFormat="1" applyFont="1" applyBorder="1" applyAlignment="1">
      <alignment horizontal="left" vertical="center" wrapText="1"/>
    </xf>
    <xf numFmtId="0" fontId="4" fillId="0" borderId="11" xfId="0" applyNumberFormat="1" applyFont="1" applyBorder="1" applyAlignment="1">
      <alignment vertical="center" wrapText="1"/>
    </xf>
    <xf numFmtId="0" fontId="4" fillId="0" borderId="12" xfId="0" applyNumberFormat="1" applyFont="1" applyBorder="1" applyAlignment="1">
      <alignment vertical="center" wrapText="1"/>
    </xf>
    <xf numFmtId="0" fontId="4" fillId="0" borderId="13" xfId="0" applyNumberFormat="1" applyFont="1" applyBorder="1" applyAlignment="1">
      <alignment vertical="center" wrapText="1"/>
    </xf>
    <xf numFmtId="0" fontId="4" fillId="0" borderId="14" xfId="0" applyNumberFormat="1" applyFont="1" applyBorder="1" applyAlignment="1">
      <alignment vertical="center" wrapText="1"/>
    </xf>
    <xf numFmtId="0" fontId="4" fillId="0" borderId="10" xfId="0" applyNumberFormat="1" applyFont="1" applyBorder="1" applyAlignment="1">
      <alignment vertical="center" wrapText="1"/>
    </xf>
    <xf numFmtId="0" fontId="4" fillId="0" borderId="9" xfId="0" applyNumberFormat="1" applyFont="1" applyBorder="1" applyAlignment="1">
      <alignment vertical="center" wrapText="1"/>
    </xf>
    <xf numFmtId="0" fontId="2" fillId="2" borderId="1" xfId="0" applyNumberFormat="1" applyFont="1" applyFill="1" applyBorder="1" applyAlignment="1">
      <alignment horizontal="center" vertical="center" wrapText="1"/>
    </xf>
    <xf numFmtId="0" fontId="4" fillId="0" borderId="1" xfId="0" applyNumberFormat="1" applyFont="1" applyBorder="1" applyAlignment="1">
      <alignment vertical="center" wrapText="1"/>
    </xf>
    <xf numFmtId="0" fontId="4" fillId="2" borderId="2" xfId="0" applyNumberFormat="1" applyFont="1" applyFill="1" applyBorder="1" applyAlignment="1">
      <alignment vertical="center" wrapText="1"/>
    </xf>
    <xf numFmtId="0" fontId="4" fillId="2" borderId="7" xfId="0" applyNumberFormat="1" applyFont="1" applyFill="1" applyBorder="1" applyAlignment="1">
      <alignment vertical="center" wrapText="1"/>
    </xf>
    <xf numFmtId="0" fontId="4" fillId="2" borderId="2" xfId="0" applyNumberFormat="1" applyFont="1" applyFill="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4" fillId="4" borderId="6" xfId="0" applyNumberFormat="1"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59" fillId="0" borderId="1" xfId="0" applyNumberFormat="1" applyFont="1" applyBorder="1" applyAlignment="1">
      <alignment horizontal="left" vertical="center" wrapText="1"/>
    </xf>
    <xf numFmtId="0" fontId="59" fillId="0" borderId="4" xfId="0" applyNumberFormat="1" applyFont="1" applyBorder="1" applyAlignment="1">
      <alignment horizontal="left" vertical="center" wrapText="1"/>
    </xf>
    <xf numFmtId="0" fontId="59" fillId="17" borderId="1" xfId="0" applyNumberFormat="1" applyFont="1" applyFill="1" applyBorder="1" applyAlignment="1">
      <alignment horizontal="center" vertical="center" wrapText="1"/>
    </xf>
    <xf numFmtId="0" fontId="4" fillId="5" borderId="11" xfId="0" applyNumberFormat="1" applyFont="1" applyFill="1" applyBorder="1" applyAlignment="1">
      <alignment horizontal="left" vertical="center" wrapText="1"/>
    </xf>
    <xf numFmtId="0" fontId="4" fillId="5" borderId="12" xfId="0" applyNumberFormat="1" applyFont="1" applyFill="1" applyBorder="1" applyAlignment="1">
      <alignment horizontal="left" vertical="center" wrapText="1"/>
    </xf>
    <xf numFmtId="0" fontId="4" fillId="5" borderId="8" xfId="0" applyNumberFormat="1" applyFont="1" applyFill="1" applyBorder="1" applyAlignment="1">
      <alignment horizontal="left" vertical="center" wrapText="1"/>
    </xf>
    <xf numFmtId="0" fontId="4" fillId="0" borderId="14"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0" borderId="10" xfId="0" applyNumberFormat="1" applyFont="1" applyBorder="1" applyAlignment="1">
      <alignment horizontal="center" vertical="center" wrapText="1"/>
    </xf>
    <xf numFmtId="0" fontId="0" fillId="0" borderId="15" xfId="0" applyBorder="1" applyAlignment="1">
      <alignment horizontal="center"/>
    </xf>
    <xf numFmtId="0" fontId="55" fillId="0" borderId="2" xfId="3" applyFont="1" applyBorder="1" applyAlignment="1">
      <alignment horizontal="left" vertical="center" wrapText="1"/>
    </xf>
    <xf numFmtId="0" fontId="55" fillId="0" borderId="3" xfId="3" applyFont="1" applyBorder="1" applyAlignment="1">
      <alignment horizontal="left" vertical="center" wrapText="1"/>
    </xf>
    <xf numFmtId="0" fontId="55" fillId="0" borderId="7" xfId="3" applyFont="1" applyBorder="1" applyAlignment="1">
      <alignment horizontal="left" vertical="center" wrapText="1"/>
    </xf>
    <xf numFmtId="171" fontId="12" fillId="0" borderId="2" xfId="0" applyNumberFormat="1" applyFont="1" applyFill="1" applyBorder="1" applyAlignment="1">
      <alignment horizontal="center" vertical="center" wrapText="1"/>
    </xf>
    <xf numFmtId="171" fontId="12" fillId="0" borderId="3" xfId="0" applyNumberFormat="1" applyFont="1" applyFill="1" applyBorder="1" applyAlignment="1">
      <alignment horizontal="center" vertical="center" wrapText="1"/>
    </xf>
    <xf numFmtId="171" fontId="12" fillId="0" borderId="7" xfId="0" applyNumberFormat="1" applyFont="1" applyFill="1" applyBorder="1" applyAlignment="1">
      <alignment horizontal="center" vertical="center" wrapText="1"/>
    </xf>
    <xf numFmtId="172" fontId="12" fillId="0" borderId="2" xfId="0" applyNumberFormat="1" applyFont="1" applyFill="1" applyBorder="1" applyAlignment="1">
      <alignment horizontal="center" vertical="center" wrapText="1"/>
    </xf>
    <xf numFmtId="172" fontId="12" fillId="0" borderId="3" xfId="0" applyNumberFormat="1" applyFont="1" applyFill="1" applyBorder="1" applyAlignment="1">
      <alignment horizontal="center" vertical="center" wrapText="1"/>
    </xf>
    <xf numFmtId="172" fontId="12" fillId="0" borderId="7" xfId="0" applyNumberFormat="1" applyFont="1" applyFill="1" applyBorder="1" applyAlignment="1">
      <alignment horizontal="center" vertical="center" wrapText="1"/>
    </xf>
    <xf numFmtId="167" fontId="12" fillId="0" borderId="7" xfId="0" applyNumberFormat="1" applyFont="1" applyFill="1" applyBorder="1" applyAlignment="1">
      <alignment horizontal="center" vertical="center" wrapText="1"/>
    </xf>
    <xf numFmtId="0" fontId="61" fillId="0" borderId="14" xfId="0" applyFont="1" applyBorder="1" applyAlignment="1">
      <alignment horizontal="center" vertical="center"/>
    </xf>
    <xf numFmtId="0" fontId="61" fillId="0" borderId="4" xfId="0" applyFont="1" applyBorder="1" applyAlignment="1">
      <alignment horizontal="center" vertical="center"/>
    </xf>
    <xf numFmtId="0" fontId="59" fillId="11" borderId="4" xfId="0" applyNumberFormat="1" applyFont="1" applyFill="1" applyBorder="1" applyAlignment="1">
      <alignment horizontal="left" vertical="center" wrapText="1"/>
    </xf>
    <xf numFmtId="0" fontId="59" fillId="11" borderId="6" xfId="0" applyNumberFormat="1" applyFont="1" applyFill="1" applyBorder="1" applyAlignment="1">
      <alignment horizontal="left" vertical="center" wrapText="1"/>
    </xf>
    <xf numFmtId="0" fontId="2" fillId="11" borderId="1" xfId="0" applyNumberFormat="1" applyFont="1" applyFill="1" applyBorder="1" applyAlignment="1">
      <alignment horizontal="left" vertical="center" wrapText="1"/>
    </xf>
    <xf numFmtId="0" fontId="2" fillId="11" borderId="1" xfId="0" applyNumberFormat="1" applyFont="1" applyFill="1" applyBorder="1" applyAlignment="1">
      <alignment horizontal="center" vertical="center"/>
    </xf>
    <xf numFmtId="164" fontId="3" fillId="0" borderId="7" xfId="0" applyNumberFormat="1" applyFont="1" applyFill="1" applyBorder="1" applyAlignment="1">
      <alignment horizontal="center" vertical="center" wrapText="1"/>
    </xf>
    <xf numFmtId="171" fontId="20" fillId="0" borderId="2" xfId="0" applyNumberFormat="1" applyFont="1" applyFill="1" applyBorder="1" applyAlignment="1">
      <alignment horizontal="center" vertical="center" wrapText="1"/>
    </xf>
    <xf numFmtId="172" fontId="20" fillId="0" borderId="2" xfId="0" applyNumberFormat="1" applyFont="1" applyFill="1" applyBorder="1" applyAlignment="1">
      <alignment horizontal="center" vertical="center" wrapText="1"/>
    </xf>
    <xf numFmtId="167" fontId="20" fillId="0" borderId="1" xfId="0" applyNumberFormat="1" applyFont="1" applyFill="1" applyBorder="1" applyAlignment="1">
      <alignment horizontal="center" vertical="center" wrapText="1"/>
    </xf>
    <xf numFmtId="164" fontId="20" fillId="0" borderId="1" xfId="0" applyNumberFormat="1" applyFont="1" applyBorder="1" applyAlignment="1">
      <alignment horizontal="center" vertical="center" wrapText="1"/>
    </xf>
    <xf numFmtId="0" fontId="52" fillId="0" borderId="1" xfId="3" applyFont="1" applyBorder="1" applyAlignment="1">
      <alignment horizontal="left" vertical="top" wrapText="1"/>
    </xf>
    <xf numFmtId="171" fontId="60" fillId="0" borderId="1" xfId="0" applyNumberFormat="1" applyFont="1" applyFill="1" applyBorder="1" applyAlignment="1">
      <alignment horizontal="center" vertical="center" wrapText="1"/>
    </xf>
    <xf numFmtId="172" fontId="60" fillId="0" borderId="1" xfId="0" applyNumberFormat="1" applyFont="1" applyFill="1" applyBorder="1" applyAlignment="1">
      <alignment horizontal="center" vertical="center" wrapText="1"/>
    </xf>
    <xf numFmtId="167" fontId="60" fillId="0" borderId="1" xfId="0" applyNumberFormat="1" applyFont="1" applyFill="1" applyBorder="1" applyAlignment="1">
      <alignment horizontal="center" vertical="center" wrapText="1"/>
    </xf>
    <xf numFmtId="0" fontId="52" fillId="0" borderId="1" xfId="3" applyFont="1" applyBorder="1" applyAlignment="1">
      <alignment horizontal="left" vertical="center" wrapText="1"/>
    </xf>
    <xf numFmtId="0" fontId="7" fillId="0" borderId="3" xfId="0" applyFont="1" applyBorder="1" applyAlignment="1">
      <alignment horizontal="center" vertical="center" wrapText="1"/>
    </xf>
    <xf numFmtId="0" fontId="59" fillId="17" borderId="5" xfId="0" applyNumberFormat="1" applyFont="1" applyFill="1" applyBorder="1" applyAlignment="1">
      <alignment horizontal="left" vertical="center" wrapText="1"/>
    </xf>
    <xf numFmtId="0" fontId="59" fillId="3" borderId="12" xfId="0" applyNumberFormat="1" applyFont="1" applyFill="1" applyBorder="1" applyAlignment="1">
      <alignment horizontal="left" vertical="center" wrapText="1"/>
    </xf>
    <xf numFmtId="0" fontId="4" fillId="0" borderId="1" xfId="0" applyNumberFormat="1" applyFont="1" applyBorder="1" applyAlignment="1">
      <alignment horizontal="left" vertical="center"/>
    </xf>
    <xf numFmtId="0" fontId="4" fillId="0" borderId="11" xfId="0" applyNumberFormat="1" applyFont="1" applyBorder="1" applyAlignment="1">
      <alignment horizontal="left" vertical="center"/>
    </xf>
    <xf numFmtId="0" fontId="4" fillId="0" borderId="12" xfId="0" applyNumberFormat="1" applyFont="1" applyBorder="1" applyAlignment="1">
      <alignment horizontal="left" vertical="center"/>
    </xf>
    <xf numFmtId="0" fontId="4" fillId="0" borderId="14" xfId="0" applyNumberFormat="1" applyFont="1" applyBorder="1" applyAlignment="1">
      <alignment horizontal="left" vertical="center"/>
    </xf>
    <xf numFmtId="0" fontId="4" fillId="0" borderId="10" xfId="0" applyNumberFormat="1" applyFont="1" applyBorder="1" applyAlignment="1">
      <alignment horizontal="left" vertical="center"/>
    </xf>
    <xf numFmtId="0" fontId="2" fillId="11" borderId="2" xfId="0" applyNumberFormat="1" applyFont="1" applyFill="1" applyBorder="1" applyAlignment="1">
      <alignment horizontal="left" vertical="center" wrapText="1"/>
    </xf>
    <xf numFmtId="0" fontId="2" fillId="11" borderId="7" xfId="0" applyNumberFormat="1" applyFont="1" applyFill="1" applyBorder="1" applyAlignment="1">
      <alignment horizontal="left" vertical="center" wrapText="1"/>
    </xf>
    <xf numFmtId="0" fontId="16" fillId="0" borderId="2" xfId="0" applyFont="1" applyBorder="1" applyAlignment="1">
      <alignment horizontal="center" vertical="center" textRotation="90"/>
    </xf>
    <xf numFmtId="0" fontId="16" fillId="0" borderId="3" xfId="0" applyFont="1" applyBorder="1" applyAlignment="1">
      <alignment horizontal="center" vertical="center" textRotation="90"/>
    </xf>
    <xf numFmtId="0" fontId="16" fillId="0" borderId="7" xfId="0" applyFont="1" applyBorder="1" applyAlignment="1">
      <alignment horizontal="center" vertical="center" textRotation="90"/>
    </xf>
    <xf numFmtId="3" fontId="4" fillId="0" borderId="1" xfId="0" applyNumberFormat="1" applyFont="1" applyBorder="1" applyAlignment="1">
      <alignment horizontal="center" vertical="center" wrapText="1"/>
    </xf>
    <xf numFmtId="0" fontId="4" fillId="2" borderId="4" xfId="0" applyNumberFormat="1" applyFont="1" applyFill="1" applyBorder="1" applyAlignment="1">
      <alignment horizontal="center" vertical="center"/>
    </xf>
    <xf numFmtId="0" fontId="4" fillId="2" borderId="5" xfId="0" applyNumberFormat="1" applyFont="1" applyFill="1" applyBorder="1" applyAlignment="1">
      <alignment horizontal="center" vertical="center"/>
    </xf>
    <xf numFmtId="0" fontId="4" fillId="2" borderId="10"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4" fillId="2" borderId="1" xfId="0" applyNumberFormat="1" applyFont="1" applyFill="1" applyBorder="1" applyAlignment="1">
      <alignment horizontal="center" vertical="center"/>
    </xf>
    <xf numFmtId="0" fontId="4" fillId="5" borderId="4" xfId="0" applyNumberFormat="1" applyFont="1" applyFill="1" applyBorder="1" applyAlignment="1">
      <alignment horizontal="left" vertical="center"/>
    </xf>
    <xf numFmtId="0" fontId="4" fillId="5" borderId="5" xfId="0" applyNumberFormat="1" applyFont="1" applyFill="1" applyBorder="1" applyAlignment="1">
      <alignment horizontal="left" vertical="center"/>
    </xf>
    <xf numFmtId="0" fontId="2" fillId="0" borderId="1" xfId="0" applyNumberFormat="1" applyFont="1" applyBorder="1" applyAlignment="1">
      <alignment vertical="center" wrapText="1"/>
    </xf>
    <xf numFmtId="0" fontId="2" fillId="0" borderId="2" xfId="0" quotePrefix="1" applyNumberFormat="1" applyFont="1" applyBorder="1" applyAlignment="1">
      <alignment horizontal="left" vertical="center"/>
    </xf>
    <xf numFmtId="0" fontId="2" fillId="0" borderId="3" xfId="0" applyNumberFormat="1" applyFont="1" applyBorder="1" applyAlignment="1">
      <alignment horizontal="left" vertical="center"/>
    </xf>
    <xf numFmtId="0" fontId="2" fillId="2" borderId="1" xfId="0" applyNumberFormat="1" applyFont="1" applyFill="1" applyBorder="1" applyAlignment="1">
      <alignment horizontal="center" vertical="center"/>
    </xf>
    <xf numFmtId="0" fontId="2" fillId="0" borderId="1" xfId="0" applyFont="1" applyBorder="1" applyAlignment="1">
      <alignment horizontal="center" vertical="center" textRotation="90"/>
    </xf>
    <xf numFmtId="0" fontId="2" fillId="0" borderId="11" xfId="0" applyNumberFormat="1" applyFont="1" applyBorder="1" applyAlignment="1">
      <alignment horizontal="left" vertical="center" wrapText="1"/>
    </xf>
    <xf numFmtId="0" fontId="2" fillId="0" borderId="12" xfId="0" applyNumberFormat="1" applyFont="1" applyBorder="1" applyAlignment="1">
      <alignment horizontal="left" vertical="center" wrapText="1"/>
    </xf>
    <xf numFmtId="0" fontId="2" fillId="0" borderId="14" xfId="0" applyNumberFormat="1" applyFont="1" applyBorder="1" applyAlignment="1">
      <alignment horizontal="left" vertical="center" wrapText="1"/>
    </xf>
    <xf numFmtId="0" fontId="2" fillId="0" borderId="10" xfId="0" applyNumberFormat="1" applyFont="1" applyBorder="1" applyAlignment="1">
      <alignment horizontal="left" vertical="center" wrapText="1"/>
    </xf>
    <xf numFmtId="0" fontId="2" fillId="0" borderId="1" xfId="0" applyNumberFormat="1" applyFont="1" applyBorder="1" applyAlignment="1">
      <alignment horizontal="center" vertical="center" wrapText="1"/>
    </xf>
    <xf numFmtId="0" fontId="2" fillId="0" borderId="13" xfId="0" applyNumberFormat="1" applyFont="1" applyBorder="1" applyAlignment="1">
      <alignment horizontal="left" vertical="center" wrapText="1"/>
    </xf>
    <xf numFmtId="0" fontId="16" fillId="2" borderId="1" xfId="0" applyNumberFormat="1" applyFont="1" applyFill="1" applyBorder="1" applyAlignment="1">
      <alignment vertical="center" wrapText="1"/>
    </xf>
    <xf numFmtId="0" fontId="17" fillId="0" borderId="2" xfId="0" quotePrefix="1" applyNumberFormat="1" applyFont="1" applyBorder="1" applyAlignment="1">
      <alignment horizontal="left" vertical="center" wrapText="1"/>
    </xf>
    <xf numFmtId="0" fontId="17" fillId="0" borderId="3" xfId="0" quotePrefix="1" applyNumberFormat="1" applyFont="1" applyBorder="1" applyAlignment="1">
      <alignment horizontal="left" vertical="center" wrapText="1"/>
    </xf>
    <xf numFmtId="0" fontId="17" fillId="0" borderId="7" xfId="0" quotePrefix="1" applyNumberFormat="1" applyFont="1" applyBorder="1" applyAlignment="1">
      <alignment horizontal="left" vertical="center" wrapText="1"/>
    </xf>
    <xf numFmtId="0" fontId="17" fillId="0" borderId="2" xfId="0" applyNumberFormat="1" applyFont="1" applyBorder="1" applyAlignment="1">
      <alignment horizontal="left" vertical="center" wrapText="1"/>
    </xf>
    <xf numFmtId="0" fontId="17" fillId="0" borderId="3" xfId="0" applyNumberFormat="1" applyFont="1" applyBorder="1" applyAlignment="1">
      <alignment horizontal="left" vertical="center" wrapText="1"/>
    </xf>
    <xf numFmtId="0" fontId="17" fillId="0" borderId="7" xfId="0" applyNumberFormat="1" applyFont="1" applyBorder="1" applyAlignment="1">
      <alignment horizontal="left" vertical="center" wrapText="1"/>
    </xf>
    <xf numFmtId="0" fontId="17" fillId="0" borderId="1" xfId="0" applyNumberFormat="1" applyFont="1" applyBorder="1" applyAlignment="1">
      <alignment horizontal="center" vertical="center" wrapText="1"/>
    </xf>
    <xf numFmtId="49" fontId="17" fillId="0" borderId="1" xfId="0" quotePrefix="1" applyNumberFormat="1" applyFont="1" applyBorder="1" applyAlignment="1">
      <alignment horizontal="center" vertical="center" wrapText="1"/>
    </xf>
    <xf numFmtId="0" fontId="17" fillId="0" borderId="1" xfId="0" quotePrefix="1" applyNumberFormat="1" applyFont="1" applyBorder="1" applyAlignment="1">
      <alignment horizontal="center" vertical="center" wrapText="1"/>
    </xf>
    <xf numFmtId="3" fontId="17" fillId="0" borderId="1" xfId="0" quotePrefix="1" applyNumberFormat="1" applyFont="1" applyBorder="1" applyAlignment="1">
      <alignment horizontal="center" vertical="center" wrapText="1"/>
    </xf>
    <xf numFmtId="0" fontId="3" fillId="0" borderId="2" xfId="0" quotePrefix="1" applyNumberFormat="1" applyFont="1" applyBorder="1" applyAlignment="1">
      <alignment horizontal="center" vertical="center" wrapText="1"/>
    </xf>
    <xf numFmtId="0" fontId="3" fillId="0" borderId="3" xfId="0" quotePrefix="1" applyNumberFormat="1" applyFont="1" applyBorder="1" applyAlignment="1">
      <alignment horizontal="center" vertical="center" wrapText="1"/>
    </xf>
    <xf numFmtId="0" fontId="3" fillId="0" borderId="7" xfId="0" quotePrefix="1" applyNumberFormat="1" applyFont="1" applyBorder="1" applyAlignment="1">
      <alignment horizontal="center" vertical="center" wrapText="1"/>
    </xf>
    <xf numFmtId="3" fontId="3" fillId="0" borderId="2" xfId="0" quotePrefix="1" applyNumberFormat="1" applyFont="1" applyBorder="1" applyAlignment="1">
      <alignment horizontal="center" vertical="center" wrapText="1"/>
    </xf>
    <xf numFmtId="3" fontId="3" fillId="0" borderId="3" xfId="0" quotePrefix="1" applyNumberFormat="1" applyFont="1" applyBorder="1" applyAlignment="1">
      <alignment horizontal="center" vertical="center" wrapText="1"/>
    </xf>
    <xf numFmtId="3" fontId="3" fillId="0" borderId="7" xfId="0" quotePrefix="1" applyNumberFormat="1" applyFont="1" applyBorder="1" applyAlignment="1">
      <alignment horizontal="center" vertical="center" wrapText="1"/>
    </xf>
    <xf numFmtId="0" fontId="3" fillId="0" borderId="1" xfId="0" applyFont="1" applyBorder="1" applyAlignment="1">
      <alignment horizontal="center"/>
    </xf>
    <xf numFmtId="3"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7" xfId="0" applyFont="1" applyBorder="1" applyAlignment="1">
      <alignment horizontal="left" vertical="center"/>
    </xf>
    <xf numFmtId="49" fontId="3" fillId="0" borderId="1" xfId="0" applyNumberFormat="1" applyFont="1" applyBorder="1" applyAlignment="1">
      <alignment horizontal="center" vertical="center"/>
    </xf>
    <xf numFmtId="0" fontId="3" fillId="0" borderId="2" xfId="0" quotePrefix="1" applyNumberFormat="1" applyFont="1" applyFill="1" applyBorder="1" applyAlignment="1">
      <alignment horizontal="center" vertical="center" wrapText="1"/>
    </xf>
    <xf numFmtId="0" fontId="3" fillId="0" borderId="3" xfId="0" quotePrefix="1" applyNumberFormat="1" applyFont="1" applyFill="1" applyBorder="1" applyAlignment="1">
      <alignment horizontal="center" vertical="center" wrapText="1"/>
    </xf>
    <xf numFmtId="0" fontId="3" fillId="0" borderId="7" xfId="0" quotePrefix="1" applyNumberFormat="1" applyFont="1" applyFill="1" applyBorder="1" applyAlignment="1">
      <alignment horizontal="center" vertical="center" wrapText="1"/>
    </xf>
    <xf numFmtId="4" fontId="3" fillId="0" borderId="2" xfId="0" quotePrefix="1" applyNumberFormat="1" applyFont="1" applyBorder="1" applyAlignment="1">
      <alignment horizontal="center" vertical="center" wrapText="1"/>
    </xf>
    <xf numFmtId="4" fontId="3" fillId="0" borderId="3" xfId="0" quotePrefix="1" applyNumberFormat="1" applyFont="1" applyBorder="1" applyAlignment="1">
      <alignment horizontal="center" vertical="center" wrapText="1"/>
    </xf>
    <xf numFmtId="4" fontId="3" fillId="0" borderId="7" xfId="0" quotePrefix="1" applyNumberFormat="1" applyFont="1" applyBorder="1" applyAlignment="1">
      <alignment horizontal="center" vertical="center" wrapText="1"/>
    </xf>
    <xf numFmtId="0" fontId="3" fillId="0" borderId="3" xfId="0" applyNumberFormat="1" applyFont="1" applyBorder="1" applyAlignment="1">
      <alignment horizontal="center" vertical="center"/>
    </xf>
    <xf numFmtId="0" fontId="3" fillId="0" borderId="7" xfId="0" applyNumberFormat="1" applyFont="1" applyBorder="1" applyAlignment="1">
      <alignment horizontal="center" vertical="center"/>
    </xf>
    <xf numFmtId="0" fontId="4" fillId="0" borderId="1" xfId="0" applyFont="1" applyBorder="1" applyAlignment="1">
      <alignment horizontal="left" vertical="center"/>
    </xf>
    <xf numFmtId="0" fontId="4" fillId="0" borderId="4" xfId="0" applyFont="1" applyBorder="1" applyAlignment="1">
      <alignment horizontal="left" vertical="center"/>
    </xf>
    <xf numFmtId="0" fontId="16" fillId="0" borderId="2" xfId="0" applyNumberFormat="1" applyFont="1" applyBorder="1" applyAlignment="1">
      <alignment horizontal="left" vertical="center"/>
    </xf>
    <xf numFmtId="0" fontId="16" fillId="0" borderId="3" xfId="0" applyNumberFormat="1" applyFont="1" applyBorder="1" applyAlignment="1">
      <alignment horizontal="left" vertical="center"/>
    </xf>
    <xf numFmtId="0" fontId="16" fillId="0" borderId="7" xfId="0" applyNumberFormat="1" applyFont="1" applyBorder="1" applyAlignment="1">
      <alignment horizontal="left" vertical="center"/>
    </xf>
    <xf numFmtId="0" fontId="16" fillId="0" borderId="12" xfId="0" applyNumberFormat="1" applyFont="1" applyBorder="1" applyAlignment="1">
      <alignment horizontal="center" vertical="center" wrapText="1"/>
    </xf>
    <xf numFmtId="0" fontId="16" fillId="0" borderId="14"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16" fillId="0" borderId="6" xfId="0" applyNumberFormat="1" applyFont="1" applyBorder="1" applyAlignment="1">
      <alignment horizontal="left" vertical="center" wrapText="1"/>
    </xf>
    <xf numFmtId="0" fontId="17" fillId="0" borderId="1" xfId="0" quotePrefix="1" applyNumberFormat="1" applyFont="1" applyBorder="1" applyAlignment="1">
      <alignment vertical="center" wrapText="1"/>
    </xf>
    <xf numFmtId="0" fontId="17" fillId="0" borderId="1" xfId="0" applyNumberFormat="1" applyFont="1" applyFill="1" applyBorder="1" applyAlignment="1">
      <alignment horizontal="left" vertical="center" wrapText="1"/>
    </xf>
    <xf numFmtId="0" fontId="3" fillId="0" borderId="2" xfId="0" quotePrefix="1" applyNumberFormat="1" applyFont="1" applyBorder="1" applyAlignment="1">
      <alignment horizontal="left" vertical="center" wrapText="1"/>
    </xf>
    <xf numFmtId="0" fontId="3" fillId="0" borderId="3" xfId="0" quotePrefix="1" applyNumberFormat="1" applyFont="1" applyBorder="1" applyAlignment="1">
      <alignment horizontal="left" vertical="center" wrapText="1"/>
    </xf>
    <xf numFmtId="0" fontId="3" fillId="0" borderId="7" xfId="0" quotePrefix="1" applyNumberFormat="1" applyFont="1" applyBorder="1" applyAlignment="1">
      <alignment horizontal="left" vertical="center" wrapText="1"/>
    </xf>
    <xf numFmtId="0" fontId="16" fillId="0" borderId="1" xfId="0" applyNumberFormat="1" applyFont="1" applyBorder="1" applyAlignment="1">
      <alignment horizontal="left" vertical="center"/>
    </xf>
    <xf numFmtId="3" fontId="3" fillId="0" borderId="1" xfId="0" quotePrefix="1"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6" xfId="0" applyNumberFormat="1" applyFont="1" applyBorder="1" applyAlignment="1">
      <alignment horizontal="center" vertical="center" wrapText="1"/>
    </xf>
    <xf numFmtId="0" fontId="2" fillId="0" borderId="11"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2" fillId="0" borderId="14" xfId="0" applyNumberFormat="1" applyFont="1" applyBorder="1" applyAlignment="1">
      <alignment horizontal="center" vertical="center"/>
    </xf>
    <xf numFmtId="0" fontId="2" fillId="0" borderId="10" xfId="0" applyNumberFormat="1" applyFont="1" applyBorder="1" applyAlignment="1">
      <alignment horizontal="center" vertical="center"/>
    </xf>
    <xf numFmtId="0" fontId="2" fillId="2" borderId="2" xfId="0" applyNumberFormat="1" applyFont="1" applyFill="1" applyBorder="1" applyAlignment="1">
      <alignment vertical="center" wrapText="1"/>
    </xf>
    <xf numFmtId="0" fontId="2" fillId="2" borderId="7" xfId="0" applyNumberFormat="1" applyFont="1" applyFill="1" applyBorder="1" applyAlignment="1">
      <alignment vertical="center" wrapText="1"/>
    </xf>
    <xf numFmtId="0" fontId="2" fillId="2" borderId="11"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0" fontId="2" fillId="2" borderId="6" xfId="0" applyNumberFormat="1" applyFont="1" applyFill="1" applyBorder="1" applyAlignment="1">
      <alignment horizontal="center" vertical="center"/>
    </xf>
    <xf numFmtId="0" fontId="2" fillId="0" borderId="2" xfId="0" applyNumberFormat="1" applyFont="1" applyBorder="1" applyAlignment="1">
      <alignment horizontal="left" vertical="center"/>
    </xf>
    <xf numFmtId="0" fontId="2" fillId="0" borderId="7" xfId="0" applyNumberFormat="1" applyFont="1" applyBorder="1" applyAlignment="1">
      <alignment horizontal="left" vertical="center"/>
    </xf>
    <xf numFmtId="0" fontId="2" fillId="0" borderId="11" xfId="0" applyNumberFormat="1" applyFont="1" applyBorder="1" applyAlignment="1">
      <alignment horizontal="left" vertical="center"/>
    </xf>
    <xf numFmtId="0" fontId="2" fillId="0" borderId="12" xfId="0" applyNumberFormat="1" applyFont="1" applyBorder="1" applyAlignment="1">
      <alignment horizontal="left" vertical="center"/>
    </xf>
    <xf numFmtId="0" fontId="2" fillId="0" borderId="14" xfId="0" applyNumberFormat="1" applyFont="1" applyBorder="1" applyAlignment="1">
      <alignment horizontal="left" vertical="center"/>
    </xf>
    <xf numFmtId="0" fontId="2" fillId="0" borderId="10" xfId="0" applyNumberFormat="1" applyFont="1" applyBorder="1" applyAlignment="1">
      <alignment horizontal="left" vertical="center"/>
    </xf>
    <xf numFmtId="0" fontId="2" fillId="2" borderId="1" xfId="0" applyNumberFormat="1" applyFont="1" applyFill="1" applyBorder="1" applyAlignment="1">
      <alignment horizontal="left" vertical="center" wrapText="1"/>
    </xf>
    <xf numFmtId="0" fontId="2" fillId="2" borderId="14" xfId="0" applyNumberFormat="1" applyFont="1" applyFill="1" applyBorder="1" applyAlignment="1">
      <alignment horizontal="center" vertical="center" wrapText="1"/>
    </xf>
    <xf numFmtId="0" fontId="2" fillId="2" borderId="9" xfId="0" applyNumberFormat="1" applyFont="1" applyFill="1" applyBorder="1" applyAlignment="1">
      <alignment horizontal="center" vertical="center" wrapText="1"/>
    </xf>
    <xf numFmtId="0" fontId="2" fillId="0" borderId="6" xfId="0" applyNumberFormat="1" applyFont="1" applyBorder="1" applyAlignment="1">
      <alignment horizontal="left" vertical="center" wrapText="1"/>
    </xf>
    <xf numFmtId="0" fontId="7" fillId="0" borderId="2" xfId="0" quotePrefix="1" applyNumberFormat="1" applyFont="1" applyBorder="1" applyAlignment="1">
      <alignment vertical="center" wrapText="1"/>
    </xf>
    <xf numFmtId="0" fontId="7" fillId="0" borderId="3" xfId="0" quotePrefix="1" applyNumberFormat="1" applyFont="1" applyBorder="1" applyAlignment="1">
      <alignment vertical="center" wrapText="1"/>
    </xf>
    <xf numFmtId="0" fontId="7" fillId="0" borderId="7" xfId="0" quotePrefix="1" applyNumberFormat="1" applyFont="1" applyBorder="1" applyAlignment="1">
      <alignment vertical="center" wrapText="1"/>
    </xf>
    <xf numFmtId="0" fontId="7" fillId="3" borderId="3" xfId="0" applyNumberFormat="1" applyFont="1" applyFill="1" applyBorder="1" applyAlignment="1">
      <alignment horizontal="left" vertical="center" wrapText="1"/>
    </xf>
    <xf numFmtId="164" fontId="3" fillId="0" borderId="2" xfId="0" quotePrefix="1" applyNumberFormat="1" applyFont="1" applyBorder="1" applyAlignment="1">
      <alignment horizontal="center" vertical="center" wrapText="1"/>
    </xf>
    <xf numFmtId="164" fontId="3" fillId="0" borderId="3" xfId="0" quotePrefix="1" applyNumberFormat="1" applyFont="1" applyBorder="1" applyAlignment="1">
      <alignment horizontal="center" vertical="center" wrapText="1"/>
    </xf>
    <xf numFmtId="164" fontId="3" fillId="0" borderId="7" xfId="0" quotePrefix="1" applyNumberFormat="1" applyFont="1" applyBorder="1" applyAlignment="1">
      <alignment horizontal="center" vertical="center" wrapText="1"/>
    </xf>
    <xf numFmtId="0" fontId="3" fillId="0" borderId="2" xfId="0" applyNumberFormat="1" applyFont="1" applyBorder="1" applyAlignment="1">
      <alignment vertical="center" wrapText="1"/>
    </xf>
    <xf numFmtId="0" fontId="3" fillId="0" borderId="3" xfId="0" applyNumberFormat="1" applyFont="1" applyBorder="1" applyAlignment="1">
      <alignment vertical="center" wrapText="1"/>
    </xf>
    <xf numFmtId="0" fontId="3" fillId="0" borderId="7" xfId="0" applyNumberFormat="1" applyFont="1" applyBorder="1" applyAlignment="1">
      <alignment vertical="center" wrapText="1"/>
    </xf>
    <xf numFmtId="0" fontId="9" fillId="0" borderId="2" xfId="0" applyNumberFormat="1" applyFont="1" applyBorder="1" applyAlignment="1">
      <alignment horizontal="left" vertical="center"/>
    </xf>
    <xf numFmtId="0" fontId="9" fillId="0" borderId="7" xfId="0" applyNumberFormat="1" applyFont="1" applyBorder="1" applyAlignment="1">
      <alignment horizontal="left" vertical="center"/>
    </xf>
    <xf numFmtId="0" fontId="2" fillId="2" borderId="2" xfId="0" applyNumberFormat="1" applyFont="1" applyFill="1" applyBorder="1" applyAlignment="1">
      <alignment horizontal="left" vertical="center" wrapText="1"/>
    </xf>
    <xf numFmtId="0" fontId="2" fillId="2" borderId="7" xfId="0" applyNumberFormat="1" applyFont="1" applyFill="1" applyBorder="1" applyAlignment="1">
      <alignment horizontal="left" vertical="center" wrapText="1"/>
    </xf>
    <xf numFmtId="0" fontId="2" fillId="0" borderId="2" xfId="0" quotePrefix="1" applyNumberFormat="1" applyFont="1" applyBorder="1" applyAlignment="1">
      <alignment horizontal="center" vertical="center"/>
    </xf>
    <xf numFmtId="0" fontId="2" fillId="0" borderId="3" xfId="0" applyNumberFormat="1" applyFont="1" applyBorder="1" applyAlignment="1">
      <alignment horizontal="center" vertical="center"/>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9" fillId="0" borderId="2" xfId="0" applyNumberFormat="1" applyFont="1" applyBorder="1" applyAlignment="1">
      <alignment horizontal="center" vertical="center"/>
    </xf>
    <xf numFmtId="0" fontId="9" fillId="0" borderId="7" xfId="0" applyNumberFormat="1" applyFont="1" applyBorder="1" applyAlignment="1">
      <alignment horizontal="center" vertical="center"/>
    </xf>
    <xf numFmtId="0" fontId="2" fillId="0" borderId="14" xfId="0" applyNumberFormat="1" applyFont="1" applyBorder="1" applyAlignment="1">
      <alignment horizontal="center" vertical="center" wrapText="1"/>
    </xf>
    <xf numFmtId="0" fontId="7" fillId="0" borderId="2" xfId="0" quotePrefix="1" applyNumberFormat="1" applyFont="1" applyBorder="1" applyAlignment="1">
      <alignment horizontal="left" vertical="center" wrapText="1"/>
    </xf>
    <xf numFmtId="0" fontId="7" fillId="0" borderId="3" xfId="0" quotePrefix="1" applyNumberFormat="1" applyFont="1" applyBorder="1" applyAlignment="1">
      <alignment horizontal="left" vertical="center" wrapText="1"/>
    </xf>
    <xf numFmtId="0" fontId="7" fillId="0" borderId="7" xfId="0" quotePrefix="1" applyNumberFormat="1" applyFont="1" applyBorder="1" applyAlignment="1">
      <alignment horizontal="left" vertical="center" wrapText="1"/>
    </xf>
    <xf numFmtId="0" fontId="3" fillId="0" borderId="11" xfId="0" applyFont="1" applyBorder="1" applyAlignment="1">
      <alignment horizontal="center"/>
    </xf>
    <xf numFmtId="0" fontId="3" fillId="0" borderId="14" xfId="0" applyFont="1" applyBorder="1" applyAlignment="1">
      <alignment horizont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4" fillId="5" borderId="4" xfId="0" applyNumberFormat="1" applyFont="1" applyFill="1" applyBorder="1" applyAlignment="1">
      <alignment horizontal="left" vertical="center" wrapText="1"/>
    </xf>
    <xf numFmtId="0" fontId="4" fillId="5" borderId="5" xfId="0" applyNumberFormat="1" applyFont="1" applyFill="1" applyBorder="1" applyAlignment="1">
      <alignment horizontal="left" vertical="center" wrapText="1"/>
    </xf>
    <xf numFmtId="3" fontId="3" fillId="0" borderId="2" xfId="0" quotePrefix="1" applyNumberFormat="1" applyFont="1" applyFill="1" applyBorder="1" applyAlignment="1">
      <alignment horizontal="center" vertical="center" wrapText="1"/>
    </xf>
    <xf numFmtId="0" fontId="16" fillId="0" borderId="4" xfId="0" applyNumberFormat="1" applyFont="1" applyFill="1" applyBorder="1" applyAlignment="1">
      <alignment horizontal="left" vertical="center" wrapText="1"/>
    </xf>
    <xf numFmtId="0" fontId="16" fillId="0" borderId="6" xfId="0" applyNumberFormat="1" applyFont="1" applyFill="1" applyBorder="1" applyAlignment="1">
      <alignment horizontal="left" vertical="center" wrapText="1"/>
    </xf>
    <xf numFmtId="0" fontId="1" fillId="0" borderId="10" xfId="0" applyFont="1" applyBorder="1" applyAlignment="1">
      <alignment horizontal="center" vertical="center"/>
    </xf>
    <xf numFmtId="0" fontId="2" fillId="5" borderId="4" xfId="0" applyNumberFormat="1" applyFont="1" applyFill="1" applyBorder="1" applyAlignment="1">
      <alignment horizontal="left" vertical="center"/>
    </xf>
    <xf numFmtId="0" fontId="2" fillId="5" borderId="5" xfId="0" applyNumberFormat="1" applyFont="1" applyFill="1" applyBorder="1" applyAlignment="1">
      <alignment horizontal="left" vertical="center"/>
    </xf>
    <xf numFmtId="0" fontId="2" fillId="0" borderId="2" xfId="0" applyFont="1" applyBorder="1" applyAlignment="1">
      <alignment horizontal="center" vertical="center" textRotation="90"/>
    </xf>
    <xf numFmtId="0" fontId="2" fillId="0" borderId="3" xfId="0" applyFont="1" applyBorder="1" applyAlignment="1">
      <alignment horizontal="center" vertical="center" textRotation="90"/>
    </xf>
    <xf numFmtId="0" fontId="2" fillId="0" borderId="4" xfId="0" applyNumberFormat="1" applyFont="1" applyBorder="1" applyAlignment="1">
      <alignment horizontal="left" vertical="center"/>
    </xf>
    <xf numFmtId="0" fontId="2" fillId="0" borderId="5" xfId="0" applyNumberFormat="1" applyFont="1" applyBorder="1" applyAlignment="1">
      <alignment horizontal="left" vertical="center"/>
    </xf>
    <xf numFmtId="0" fontId="72" fillId="3" borderId="5" xfId="0" applyFont="1" applyFill="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3" borderId="1" xfId="0" quotePrefix="1" applyNumberFormat="1" applyFont="1" applyFill="1" applyBorder="1" applyAlignment="1">
      <alignment horizontal="center" vertical="center" wrapText="1"/>
    </xf>
    <xf numFmtId="0" fontId="3" fillId="3" borderId="1" xfId="0" quotePrefix="1" applyFont="1" applyFill="1" applyBorder="1" applyAlignment="1">
      <alignment horizontal="center" vertical="center" wrapText="1"/>
    </xf>
    <xf numFmtId="0" fontId="0" fillId="3" borderId="1" xfId="0" applyFont="1" applyFill="1" applyBorder="1" applyAlignment="1">
      <alignment horizontal="center"/>
    </xf>
    <xf numFmtId="3" fontId="3" fillId="3"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NumberFormat="1" applyFont="1" applyFill="1" applyBorder="1" applyAlignment="1">
      <alignment horizontal="left" vertical="center" wrapText="1"/>
    </xf>
    <xf numFmtId="0" fontId="2" fillId="3" borderId="11" xfId="0" applyNumberFormat="1" applyFont="1" applyFill="1" applyBorder="1" applyAlignment="1">
      <alignment horizontal="left" vertical="center" wrapText="1"/>
    </xf>
    <xf numFmtId="0" fontId="2" fillId="3" borderId="12" xfId="0" applyNumberFormat="1" applyFont="1" applyFill="1" applyBorder="1" applyAlignment="1">
      <alignment horizontal="left" vertical="center" wrapText="1"/>
    </xf>
    <xf numFmtId="0" fontId="3" fillId="3" borderId="2" xfId="0" quotePrefix="1" applyNumberFormat="1" applyFont="1" applyFill="1" applyBorder="1" applyAlignment="1">
      <alignment horizontal="left" vertical="center" wrapText="1"/>
    </xf>
    <xf numFmtId="0" fontId="3" fillId="3" borderId="3" xfId="0" quotePrefix="1" applyNumberFormat="1" applyFont="1" applyFill="1" applyBorder="1" applyAlignment="1">
      <alignment horizontal="left" vertical="center" wrapText="1"/>
    </xf>
    <xf numFmtId="0" fontId="3" fillId="3" borderId="7" xfId="0" quotePrefix="1" applyNumberFormat="1" applyFont="1" applyFill="1" applyBorder="1" applyAlignment="1">
      <alignment horizontal="left" vertical="center" wrapText="1"/>
    </xf>
    <xf numFmtId="49" fontId="3" fillId="3" borderId="1" xfId="0" quotePrefix="1" applyNumberFormat="1" applyFont="1" applyFill="1" applyBorder="1" applyAlignment="1">
      <alignment horizontal="center" vertical="center" wrapText="1"/>
    </xf>
    <xf numFmtId="3" fontId="3" fillId="3" borderId="1" xfId="0" quotePrefix="1" applyNumberFormat="1" applyFont="1" applyFill="1" applyBorder="1" applyAlignment="1">
      <alignment horizontal="center" vertical="center" wrapText="1"/>
    </xf>
    <xf numFmtId="0" fontId="2" fillId="3" borderId="2" xfId="0" quotePrefix="1" applyNumberFormat="1" applyFont="1" applyFill="1" applyBorder="1" applyAlignment="1">
      <alignment horizontal="left" vertical="center" wrapText="1"/>
    </xf>
    <xf numFmtId="0" fontId="2" fillId="3" borderId="3" xfId="0" quotePrefix="1" applyNumberFormat="1" applyFont="1" applyFill="1" applyBorder="1" applyAlignment="1">
      <alignment horizontal="left" vertical="center" wrapText="1"/>
    </xf>
    <xf numFmtId="0" fontId="2" fillId="3" borderId="7" xfId="0" quotePrefix="1" applyNumberFormat="1" applyFont="1" applyFill="1" applyBorder="1" applyAlignment="1">
      <alignment horizontal="left" vertical="center" wrapText="1"/>
    </xf>
    <xf numFmtId="0" fontId="2" fillId="3" borderId="2" xfId="0" applyNumberFormat="1" applyFont="1" applyFill="1" applyBorder="1" applyAlignment="1">
      <alignment horizontal="center" vertical="center" wrapText="1"/>
    </xf>
    <xf numFmtId="0" fontId="2" fillId="3" borderId="3" xfId="0" applyNumberFormat="1" applyFont="1" applyFill="1" applyBorder="1" applyAlignment="1">
      <alignment horizontal="center" vertical="center" wrapText="1"/>
    </xf>
    <xf numFmtId="0" fontId="2" fillId="3" borderId="7" xfId="0" applyNumberFormat="1" applyFont="1" applyFill="1" applyBorder="1" applyAlignment="1">
      <alignment horizontal="center" vertical="center" wrapText="1"/>
    </xf>
    <xf numFmtId="0" fontId="2" fillId="3" borderId="2" xfId="0" quotePrefix="1" applyNumberFormat="1" applyFont="1" applyFill="1" applyBorder="1" applyAlignment="1">
      <alignment horizontal="center" vertical="center" wrapText="1"/>
    </xf>
    <xf numFmtId="0" fontId="2" fillId="3" borderId="3" xfId="0" quotePrefix="1" applyNumberFormat="1" applyFont="1" applyFill="1" applyBorder="1" applyAlignment="1">
      <alignment horizontal="center" vertical="center" wrapText="1"/>
    </xf>
    <xf numFmtId="0" fontId="2" fillId="3" borderId="7" xfId="0" quotePrefix="1" applyNumberFormat="1" applyFont="1" applyFill="1" applyBorder="1" applyAlignment="1">
      <alignment horizontal="center" vertical="center" wrapText="1"/>
    </xf>
    <xf numFmtId="3" fontId="2" fillId="3" borderId="2" xfId="0" quotePrefix="1" applyNumberFormat="1" applyFont="1" applyFill="1" applyBorder="1" applyAlignment="1">
      <alignment horizontal="center" vertical="center" wrapText="1"/>
    </xf>
    <xf numFmtId="3" fontId="2" fillId="3" borderId="3" xfId="0" quotePrefix="1" applyNumberFormat="1" applyFont="1" applyFill="1" applyBorder="1" applyAlignment="1">
      <alignment horizontal="center" vertical="center" wrapText="1"/>
    </xf>
    <xf numFmtId="3" fontId="2" fillId="3" borderId="7" xfId="0" quotePrefix="1" applyNumberFormat="1" applyFont="1" applyFill="1" applyBorder="1" applyAlignment="1">
      <alignment horizontal="center" vertical="center" wrapText="1"/>
    </xf>
    <xf numFmtId="0" fontId="2" fillId="3" borderId="1" xfId="0" applyFont="1" applyFill="1" applyBorder="1" applyAlignment="1">
      <alignment horizontal="center" vertical="center" textRotation="90"/>
    </xf>
    <xf numFmtId="0" fontId="16" fillId="3" borderId="11" xfId="0" applyFont="1" applyFill="1" applyBorder="1" applyAlignment="1">
      <alignment vertical="center"/>
    </xf>
    <xf numFmtId="0" fontId="16" fillId="3" borderId="12" xfId="0" applyFont="1" applyFill="1" applyBorder="1" applyAlignment="1">
      <alignment vertical="center"/>
    </xf>
    <xf numFmtId="0" fontId="16" fillId="3" borderId="13" xfId="0" applyFont="1" applyFill="1" applyBorder="1" applyAlignment="1">
      <alignment vertical="center"/>
    </xf>
    <xf numFmtId="0" fontId="2" fillId="3" borderId="4" xfId="0" applyNumberFormat="1" applyFont="1" applyFill="1" applyBorder="1" applyAlignment="1">
      <alignment vertical="center" wrapText="1"/>
    </xf>
    <xf numFmtId="0" fontId="2" fillId="3" borderId="5" xfId="0" applyNumberFormat="1" applyFont="1" applyFill="1" applyBorder="1" applyAlignment="1">
      <alignment vertical="center" wrapText="1"/>
    </xf>
    <xf numFmtId="0" fontId="2" fillId="3" borderId="6" xfId="0" applyNumberFormat="1" applyFont="1" applyFill="1" applyBorder="1" applyAlignment="1">
      <alignment vertical="center" wrapText="1"/>
    </xf>
    <xf numFmtId="0" fontId="2" fillId="3" borderId="13" xfId="0" applyNumberFormat="1" applyFont="1" applyFill="1" applyBorder="1" applyAlignment="1">
      <alignment horizontal="left" vertical="center" wrapText="1"/>
    </xf>
    <xf numFmtId="0" fontId="2" fillId="3" borderId="14" xfId="0" applyNumberFormat="1" applyFont="1" applyFill="1" applyBorder="1" applyAlignment="1">
      <alignment horizontal="left" vertical="center" wrapText="1"/>
    </xf>
    <xf numFmtId="0" fontId="2" fillId="3" borderId="10" xfId="0" applyNumberFormat="1" applyFont="1" applyFill="1" applyBorder="1" applyAlignment="1">
      <alignment horizontal="left" vertical="center" wrapText="1"/>
    </xf>
    <xf numFmtId="0" fontId="2" fillId="3" borderId="9" xfId="0" applyNumberFormat="1" applyFont="1" applyFill="1" applyBorder="1" applyAlignment="1">
      <alignment horizontal="left" vertical="center" wrapText="1"/>
    </xf>
    <xf numFmtId="0" fontId="2" fillId="3" borderId="2" xfId="0" applyFont="1" applyFill="1" applyBorder="1" applyAlignment="1">
      <alignment horizontal="center" vertical="center" textRotation="90"/>
    </xf>
    <xf numFmtId="0" fontId="2" fillId="3" borderId="3" xfId="0" applyFont="1" applyFill="1" applyBorder="1" applyAlignment="1">
      <alignment horizontal="center" vertical="center" textRotation="90"/>
    </xf>
    <xf numFmtId="0" fontId="2" fillId="3" borderId="15" xfId="0" applyFont="1" applyFill="1" applyBorder="1" applyAlignment="1">
      <alignment horizontal="center" vertical="center" textRotation="90"/>
    </xf>
    <xf numFmtId="0" fontId="2" fillId="3" borderId="14" xfId="0" applyFont="1" applyFill="1" applyBorder="1" applyAlignment="1">
      <alignment horizontal="center" vertical="center" textRotation="90"/>
    </xf>
    <xf numFmtId="0" fontId="2" fillId="3" borderId="1" xfId="0" applyNumberFormat="1" applyFont="1" applyFill="1" applyBorder="1" applyAlignment="1">
      <alignment horizontal="left" vertical="center" wrapText="1" indent="1"/>
    </xf>
    <xf numFmtId="0" fontId="2" fillId="3" borderId="2" xfId="0" quotePrefix="1" applyNumberFormat="1" applyFont="1" applyFill="1" applyBorder="1" applyAlignment="1">
      <alignment horizontal="left" vertical="center"/>
    </xf>
    <xf numFmtId="0" fontId="2" fillId="3" borderId="3" xfId="0" applyNumberFormat="1" applyFont="1" applyFill="1" applyBorder="1" applyAlignment="1">
      <alignment horizontal="left" vertical="center"/>
    </xf>
    <xf numFmtId="0" fontId="2" fillId="3" borderId="15" xfId="0" applyNumberFormat="1" applyFont="1" applyFill="1" applyBorder="1" applyAlignment="1">
      <alignment horizontal="left" vertical="center" wrapText="1"/>
    </xf>
    <xf numFmtId="0" fontId="2" fillId="3" borderId="0" xfId="0" applyNumberFormat="1" applyFont="1" applyFill="1" applyBorder="1" applyAlignment="1">
      <alignment horizontal="left" vertical="center" wrapText="1"/>
    </xf>
    <xf numFmtId="0" fontId="3" fillId="3" borderId="4" xfId="0" applyNumberFormat="1"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6" xfId="0" applyNumberFormat="1" applyFont="1" applyFill="1" applyBorder="1" applyAlignment="1">
      <alignment horizontal="center" vertical="center" wrapText="1"/>
    </xf>
    <xf numFmtId="0" fontId="2" fillId="3" borderId="2" xfId="0" applyNumberFormat="1" applyFont="1" applyFill="1" applyBorder="1" applyAlignment="1">
      <alignment horizontal="left" vertical="center"/>
    </xf>
    <xf numFmtId="0" fontId="2" fillId="3" borderId="7" xfId="0" applyNumberFormat="1" applyFont="1" applyFill="1" applyBorder="1" applyAlignment="1">
      <alignment horizontal="left" vertical="center"/>
    </xf>
    <xf numFmtId="0" fontId="2" fillId="3" borderId="11" xfId="0" applyNumberFormat="1" applyFont="1" applyFill="1" applyBorder="1" applyAlignment="1">
      <alignment horizontal="left" vertical="center"/>
    </xf>
    <xf numFmtId="0" fontId="2" fillId="3" borderId="12" xfId="0" applyNumberFormat="1" applyFont="1" applyFill="1" applyBorder="1" applyAlignment="1">
      <alignment horizontal="left" vertical="center"/>
    </xf>
    <xf numFmtId="0" fontId="2" fillId="3" borderId="14" xfId="0" applyNumberFormat="1" applyFont="1" applyFill="1" applyBorder="1" applyAlignment="1">
      <alignment horizontal="left" vertical="center"/>
    </xf>
    <xf numFmtId="0" fontId="2" fillId="3" borderId="10" xfId="0" applyNumberFormat="1" applyFont="1" applyFill="1" applyBorder="1" applyAlignment="1">
      <alignment horizontal="left" vertical="center"/>
    </xf>
    <xf numFmtId="0" fontId="2" fillId="3" borderId="1" xfId="0" applyNumberFormat="1" applyFont="1" applyFill="1" applyBorder="1" applyAlignment="1">
      <alignment horizontal="center" vertical="center" wrapText="1"/>
    </xf>
    <xf numFmtId="0" fontId="2" fillId="3" borderId="2" xfId="0" applyNumberFormat="1" applyFont="1" applyFill="1" applyBorder="1" applyAlignment="1">
      <alignment horizontal="left" vertical="center" wrapText="1" indent="1"/>
    </xf>
    <xf numFmtId="0" fontId="2" fillId="3" borderId="11" xfId="0" applyNumberFormat="1" applyFont="1" applyFill="1" applyBorder="1" applyAlignment="1">
      <alignment horizontal="center" vertical="center" wrapText="1"/>
    </xf>
    <xf numFmtId="0" fontId="2" fillId="3" borderId="13" xfId="0" applyNumberFormat="1" applyFont="1" applyFill="1" applyBorder="1" applyAlignment="1">
      <alignment horizontal="center" vertical="center" wrapText="1"/>
    </xf>
    <xf numFmtId="0" fontId="2" fillId="3" borderId="15"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3" borderId="4" xfId="0" applyNumberFormat="1" applyFont="1" applyFill="1" applyBorder="1" applyAlignment="1">
      <alignment horizontal="left" vertical="center"/>
    </xf>
    <xf numFmtId="0" fontId="2" fillId="3" borderId="5" xfId="0" applyNumberFormat="1" applyFont="1" applyFill="1" applyBorder="1" applyAlignment="1">
      <alignment horizontal="left" vertical="center"/>
    </xf>
    <xf numFmtId="0" fontId="2" fillId="3" borderId="6" xfId="0" applyNumberFormat="1" applyFont="1" applyFill="1" applyBorder="1" applyAlignment="1">
      <alignment horizontal="left" vertical="center"/>
    </xf>
    <xf numFmtId="0" fontId="2" fillId="3" borderId="1" xfId="0" applyNumberFormat="1" applyFont="1" applyFill="1" applyBorder="1" applyAlignment="1">
      <alignment horizontal="center" vertical="center"/>
    </xf>
    <xf numFmtId="0" fontId="2" fillId="3" borderId="2" xfId="0" applyNumberFormat="1"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 xfId="0" quotePrefix="1" applyFont="1" applyFill="1" applyBorder="1" applyAlignment="1">
      <alignment horizontal="center" vertical="center" wrapText="1"/>
    </xf>
    <xf numFmtId="0" fontId="3" fillId="3" borderId="3" xfId="0" quotePrefix="1" applyFont="1" applyFill="1" applyBorder="1" applyAlignment="1">
      <alignment horizontal="center" vertical="center" wrapText="1"/>
    </xf>
    <xf numFmtId="0" fontId="3" fillId="3" borderId="7" xfId="0" quotePrefix="1" applyFont="1" applyFill="1" applyBorder="1" applyAlignment="1">
      <alignment horizontal="center" vertical="center" wrapText="1"/>
    </xf>
    <xf numFmtId="0" fontId="0" fillId="3" borderId="2" xfId="0" applyFont="1" applyFill="1" applyBorder="1" applyAlignment="1">
      <alignment horizontal="center"/>
    </xf>
    <xf numFmtId="0" fontId="0" fillId="3" borderId="3" xfId="0" applyFont="1" applyFill="1" applyBorder="1" applyAlignment="1">
      <alignment horizontal="center"/>
    </xf>
    <xf numFmtId="0" fontId="0" fillId="3" borderId="7" xfId="0" applyFont="1" applyFill="1" applyBorder="1" applyAlignment="1">
      <alignment horizontal="center"/>
    </xf>
    <xf numFmtId="0" fontId="3" fillId="3" borderId="2" xfId="0" quotePrefix="1" applyNumberFormat="1" applyFont="1" applyFill="1" applyBorder="1" applyAlignment="1">
      <alignment horizontal="center" vertical="center" wrapText="1"/>
    </xf>
    <xf numFmtId="0" fontId="3" fillId="3" borderId="3" xfId="0" quotePrefix="1" applyNumberFormat="1" applyFont="1" applyFill="1" applyBorder="1" applyAlignment="1">
      <alignment horizontal="center" vertical="center" wrapText="1"/>
    </xf>
    <xf numFmtId="0" fontId="3" fillId="3" borderId="7" xfId="0" quotePrefix="1" applyNumberFormat="1" applyFont="1" applyFill="1" applyBorder="1" applyAlignment="1">
      <alignment horizontal="center" vertical="center" wrapText="1"/>
    </xf>
    <xf numFmtId="3" fontId="3" fillId="3" borderId="2" xfId="0" applyNumberFormat="1"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4" fillId="3" borderId="3"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3" fillId="3" borderId="2" xfId="0" applyFont="1" applyFill="1" applyBorder="1" applyAlignment="1">
      <alignment horizontal="center" vertical="center"/>
    </xf>
    <xf numFmtId="0" fontId="1" fillId="0" borderId="14" xfId="0" applyFont="1" applyBorder="1" applyAlignment="1">
      <alignment horizontal="center" vertical="center"/>
    </xf>
    <xf numFmtId="0" fontId="2" fillId="0" borderId="7" xfId="0" applyFont="1" applyBorder="1" applyAlignment="1">
      <alignment horizontal="center" vertical="center" textRotation="90"/>
    </xf>
    <xf numFmtId="0" fontId="2" fillId="0" borderId="4" xfId="0" applyNumberFormat="1" applyFont="1" applyBorder="1" applyAlignment="1">
      <alignment horizontal="left" vertical="top" wrapText="1"/>
    </xf>
    <xf numFmtId="0" fontId="2" fillId="0" borderId="5" xfId="0" applyNumberFormat="1" applyFont="1" applyBorder="1" applyAlignment="1">
      <alignment horizontal="left" vertical="top" wrapText="1"/>
    </xf>
    <xf numFmtId="0" fontId="2" fillId="0" borderId="1" xfId="0" applyNumberFormat="1" applyFont="1" applyBorder="1" applyAlignment="1">
      <alignment horizontal="left" vertical="center"/>
    </xf>
    <xf numFmtId="0" fontId="2" fillId="0" borderId="2" xfId="0" applyNumberFormat="1" applyFont="1" applyBorder="1" applyAlignment="1">
      <alignment horizontal="center" vertical="center"/>
    </xf>
    <xf numFmtId="0" fontId="2" fillId="0" borderId="7" xfId="0" applyNumberFormat="1" applyFont="1" applyBorder="1" applyAlignment="1">
      <alignment horizontal="center" vertical="center"/>
    </xf>
    <xf numFmtId="0" fontId="2" fillId="2" borderId="12"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52" fillId="3" borderId="2" xfId="0" applyNumberFormat="1" applyFont="1" applyFill="1" applyBorder="1" applyAlignment="1">
      <alignment horizontal="left" vertical="center" wrapText="1"/>
    </xf>
    <xf numFmtId="0" fontId="52" fillId="3" borderId="7" xfId="0" applyNumberFormat="1" applyFont="1" applyFill="1" applyBorder="1" applyAlignment="1">
      <alignment horizontal="left" vertical="center" wrapText="1"/>
    </xf>
    <xf numFmtId="49" fontId="17" fillId="0" borderId="2" xfId="0" quotePrefix="1" applyNumberFormat="1" applyFont="1" applyFill="1" applyBorder="1" applyAlignment="1">
      <alignment horizontal="center" vertical="center" wrapText="1"/>
    </xf>
    <xf numFmtId="49" fontId="17" fillId="0" borderId="7" xfId="0" quotePrefix="1" applyNumberFormat="1" applyFont="1" applyFill="1" applyBorder="1" applyAlignment="1">
      <alignment horizontal="center" vertical="center" wrapText="1"/>
    </xf>
    <xf numFmtId="49" fontId="17" fillId="0" borderId="2" xfId="0" quotePrefix="1" applyNumberFormat="1" applyFont="1" applyBorder="1" applyAlignment="1">
      <alignment horizontal="center" vertical="center" wrapText="1"/>
    </xf>
    <xf numFmtId="49" fontId="17" fillId="0" borderId="7" xfId="0" quotePrefix="1" applyNumberFormat="1" applyFont="1" applyBorder="1" applyAlignment="1">
      <alignment horizontal="center" vertical="center" wrapText="1"/>
    </xf>
    <xf numFmtId="3" fontId="17" fillId="0" borderId="2" xfId="0" quotePrefix="1" applyNumberFormat="1" applyFont="1" applyBorder="1" applyAlignment="1">
      <alignment horizontal="center" vertical="center" wrapText="1"/>
    </xf>
    <xf numFmtId="3" fontId="17" fillId="0" borderId="7" xfId="0" quotePrefix="1" applyNumberFormat="1" applyFont="1" applyBorder="1" applyAlignment="1">
      <alignment horizontal="center" vertical="center" wrapText="1"/>
    </xf>
    <xf numFmtId="0" fontId="72" fillId="3" borderId="10" xfId="0" applyFont="1" applyFill="1" applyBorder="1" applyAlignment="1">
      <alignment horizontal="center"/>
    </xf>
    <xf numFmtId="0" fontId="16" fillId="0" borderId="5" xfId="0" applyFont="1" applyBorder="1" applyAlignment="1">
      <alignment horizontal="left" vertical="center"/>
    </xf>
    <xf numFmtId="0" fontId="16" fillId="0" borderId="1" xfId="0" applyNumberFormat="1" applyFont="1" applyFill="1" applyBorder="1" applyAlignment="1">
      <alignment horizontal="left" vertical="center" wrapText="1"/>
    </xf>
    <xf numFmtId="0" fontId="16" fillId="0" borderId="2" xfId="0" quotePrefix="1" applyNumberFormat="1" applyFont="1" applyBorder="1" applyAlignment="1">
      <alignment horizontal="left" vertical="center" wrapText="1"/>
    </xf>
    <xf numFmtId="0" fontId="16" fillId="0" borderId="3" xfId="0" quotePrefix="1" applyNumberFormat="1" applyFont="1" applyBorder="1" applyAlignment="1">
      <alignment horizontal="left" vertical="center" wrapText="1"/>
    </xf>
    <xf numFmtId="0" fontId="16" fillId="0" borderId="7" xfId="0" quotePrefix="1" applyNumberFormat="1" applyFont="1" applyBorder="1" applyAlignment="1">
      <alignment horizontal="left" vertical="center" wrapText="1"/>
    </xf>
    <xf numFmtId="0" fontId="16" fillId="0" borderId="11" xfId="0" applyNumberFormat="1" applyFont="1" applyBorder="1" applyAlignment="1">
      <alignment horizontal="left" vertical="center" wrapText="1"/>
    </xf>
    <xf numFmtId="0" fontId="16" fillId="0" borderId="12" xfId="0" applyNumberFormat="1" applyFont="1" applyBorder="1" applyAlignment="1">
      <alignment horizontal="left" vertical="center" wrapText="1"/>
    </xf>
    <xf numFmtId="0" fontId="16" fillId="0" borderId="13" xfId="0" applyNumberFormat="1" applyFont="1" applyBorder="1" applyAlignment="1">
      <alignment horizontal="left" vertical="center" wrapText="1"/>
    </xf>
    <xf numFmtId="0" fontId="16" fillId="0" borderId="14" xfId="0" applyNumberFormat="1" applyFont="1" applyBorder="1" applyAlignment="1">
      <alignment horizontal="left" vertical="center" wrapText="1"/>
    </xf>
    <xf numFmtId="0" fontId="16" fillId="0" borderId="10" xfId="0" applyNumberFormat="1" applyFont="1" applyBorder="1" applyAlignment="1">
      <alignment horizontal="left" vertical="center" wrapText="1"/>
    </xf>
    <xf numFmtId="0" fontId="16" fillId="0" borderId="9" xfId="0" applyNumberFormat="1" applyFont="1" applyBorder="1" applyAlignment="1">
      <alignment horizontal="left" vertical="center" wrapText="1"/>
    </xf>
    <xf numFmtId="0" fontId="16" fillId="3" borderId="1" xfId="0" applyNumberFormat="1" applyFont="1" applyFill="1" applyBorder="1" applyAlignment="1">
      <alignment horizontal="center" vertical="center" wrapText="1"/>
    </xf>
    <xf numFmtId="0" fontId="29" fillId="0" borderId="2"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0" fontId="29" fillId="0" borderId="7" xfId="0" applyNumberFormat="1" applyFont="1" applyBorder="1" applyAlignment="1">
      <alignment horizontal="center" vertical="center" wrapText="1"/>
    </xf>
    <xf numFmtId="3" fontId="29" fillId="0" borderId="2" xfId="0" quotePrefix="1" applyNumberFormat="1" applyFont="1" applyBorder="1" applyAlignment="1">
      <alignment horizontal="center" vertical="center" wrapText="1"/>
    </xf>
    <xf numFmtId="3" fontId="29" fillId="0" borderId="3" xfId="0" quotePrefix="1" applyNumberFormat="1" applyFont="1" applyBorder="1" applyAlignment="1">
      <alignment horizontal="center" vertical="center" wrapText="1"/>
    </xf>
    <xf numFmtId="3" fontId="29" fillId="0" borderId="7" xfId="0" quotePrefix="1" applyNumberFormat="1" applyFont="1" applyBorder="1" applyAlignment="1">
      <alignment horizontal="center" vertical="center" wrapText="1"/>
    </xf>
    <xf numFmtId="0" fontId="52" fillId="0" borderId="2" xfId="0" applyNumberFormat="1" applyFont="1" applyBorder="1" applyAlignment="1">
      <alignment horizontal="center" vertical="center" wrapText="1"/>
    </xf>
    <xf numFmtId="0" fontId="52" fillId="0" borderId="3" xfId="0" applyNumberFormat="1" applyFont="1" applyBorder="1" applyAlignment="1">
      <alignment horizontal="center" vertical="center" wrapText="1"/>
    </xf>
    <xf numFmtId="0" fontId="52" fillId="0" borderId="7" xfId="0" applyNumberFormat="1" applyFont="1" applyBorder="1" applyAlignment="1">
      <alignment horizontal="center" vertical="center" wrapText="1"/>
    </xf>
    <xf numFmtId="0" fontId="29" fillId="0" borderId="2" xfId="0" quotePrefix="1" applyNumberFormat="1" applyFont="1" applyBorder="1" applyAlignment="1">
      <alignment horizontal="center" vertical="center" wrapText="1"/>
    </xf>
    <xf numFmtId="0" fontId="29" fillId="0" borderId="3" xfId="0" quotePrefix="1" applyNumberFormat="1" applyFont="1" applyBorder="1" applyAlignment="1">
      <alignment horizontal="center" vertical="center" wrapText="1"/>
    </xf>
    <xf numFmtId="0" fontId="29" fillId="0" borderId="7" xfId="0" quotePrefix="1" applyNumberFormat="1" applyFont="1" applyBorder="1" applyAlignment="1">
      <alignment horizontal="center" vertical="center" wrapText="1"/>
    </xf>
    <xf numFmtId="0" fontId="29" fillId="0" borderId="3" xfId="0" quotePrefix="1" applyNumberFormat="1" applyFont="1" applyFill="1" applyBorder="1" applyAlignment="1">
      <alignment horizontal="center" vertical="center" wrapText="1"/>
    </xf>
    <xf numFmtId="0" fontId="71" fillId="3" borderId="2" xfId="0" applyNumberFormat="1" applyFont="1" applyFill="1" applyBorder="1" applyAlignment="1">
      <alignment horizontal="left" vertical="center" wrapText="1"/>
    </xf>
    <xf numFmtId="0" fontId="71" fillId="3" borderId="3" xfId="0" applyNumberFormat="1" applyFont="1" applyFill="1" applyBorder="1" applyAlignment="1">
      <alignment horizontal="left" vertical="center" wrapText="1"/>
    </xf>
    <xf numFmtId="0" fontId="71" fillId="3" borderId="7" xfId="0" applyNumberFormat="1" applyFont="1" applyFill="1" applyBorder="1" applyAlignment="1">
      <alignment horizontal="left" vertical="center" wrapText="1"/>
    </xf>
    <xf numFmtId="0" fontId="73" fillId="0" borderId="2" xfId="0" applyNumberFormat="1" applyFont="1" applyBorder="1" applyAlignment="1">
      <alignment horizontal="left" vertical="center" wrapText="1"/>
    </xf>
    <xf numFmtId="0" fontId="73" fillId="0" borderId="3" xfId="0" applyNumberFormat="1" applyFont="1" applyBorder="1" applyAlignment="1">
      <alignment horizontal="left" vertical="center" wrapText="1"/>
    </xf>
    <xf numFmtId="0" fontId="73" fillId="0" borderId="7" xfId="0" applyNumberFormat="1" applyFont="1" applyBorder="1" applyAlignment="1">
      <alignment horizontal="left" vertical="center" wrapText="1"/>
    </xf>
    <xf numFmtId="165" fontId="2" fillId="2" borderId="2" xfId="0" applyNumberFormat="1" applyFont="1" applyFill="1" applyBorder="1" applyAlignment="1">
      <alignment horizontal="center" vertical="center"/>
    </xf>
    <xf numFmtId="165" fontId="2" fillId="2" borderId="7" xfId="0" applyNumberFormat="1" applyFont="1" applyFill="1" applyBorder="1" applyAlignment="1">
      <alignment horizontal="center" vertical="center"/>
    </xf>
    <xf numFmtId="0" fontId="2" fillId="2" borderId="3" xfId="0" applyNumberFormat="1" applyFont="1" applyFill="1" applyBorder="1" applyAlignment="1">
      <alignment horizontal="center" vertical="center" wrapText="1"/>
    </xf>
    <xf numFmtId="0" fontId="3" fillId="0" borderId="2" xfId="0" applyNumberFormat="1" applyFont="1" applyBorder="1" applyAlignment="1">
      <alignment horizontal="center" vertical="center"/>
    </xf>
    <xf numFmtId="4" fontId="2" fillId="2" borderId="4" xfId="0" applyNumberFormat="1" applyFont="1" applyFill="1" applyBorder="1" applyAlignment="1">
      <alignment horizontal="left" vertical="center"/>
    </xf>
    <xf numFmtId="4" fontId="2" fillId="2" borderId="6" xfId="0" applyNumberFormat="1" applyFont="1" applyFill="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49" fontId="3" fillId="0" borderId="2" xfId="0" quotePrefix="1"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2"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165" fontId="3" fillId="0" borderId="2" xfId="0" applyNumberFormat="1" applyFont="1" applyBorder="1" applyAlignment="1">
      <alignment horizontal="center" vertical="center"/>
    </xf>
    <xf numFmtId="165" fontId="3" fillId="0" borderId="3" xfId="0" applyNumberFormat="1" applyFont="1" applyBorder="1" applyAlignment="1">
      <alignment horizontal="center" vertical="center"/>
    </xf>
    <xf numFmtId="165" fontId="3" fillId="0" borderId="7" xfId="0" applyNumberFormat="1" applyFont="1" applyBorder="1" applyAlignment="1">
      <alignment horizontal="center" vertical="center"/>
    </xf>
    <xf numFmtId="0" fontId="2" fillId="0" borderId="6" xfId="0" applyNumberFormat="1" applyFont="1" applyBorder="1" applyAlignment="1">
      <alignment horizontal="left" vertical="center"/>
    </xf>
    <xf numFmtId="0" fontId="2" fillId="2" borderId="4"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7" fillId="0" borderId="1" xfId="0" applyNumberFormat="1" applyFont="1" applyBorder="1" applyAlignment="1">
      <alignment horizontal="left" vertical="center" wrapText="1"/>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9" fillId="0" borderId="1" xfId="0" applyNumberFormat="1" applyFont="1" applyBorder="1" applyAlignment="1">
      <alignment horizontal="left" vertical="center" wrapText="1"/>
    </xf>
    <xf numFmtId="0" fontId="2" fillId="2" borderId="2" xfId="0" applyNumberFormat="1" applyFont="1" applyFill="1" applyBorder="1" applyAlignment="1">
      <alignment horizontal="right" vertical="center" wrapText="1" indent="1"/>
    </xf>
    <xf numFmtId="0" fontId="2" fillId="2" borderId="7" xfId="0" applyNumberFormat="1" applyFont="1" applyFill="1" applyBorder="1" applyAlignment="1">
      <alignment horizontal="right" vertical="center" wrapText="1" indent="1"/>
    </xf>
    <xf numFmtId="0" fontId="2" fillId="3" borderId="1" xfId="0" applyFont="1" applyFill="1" applyBorder="1" applyAlignment="1">
      <alignment vertical="center" wrapText="1"/>
    </xf>
    <xf numFmtId="0" fontId="2" fillId="16" borderId="1" xfId="0" applyFont="1" applyFill="1" applyBorder="1" applyAlignment="1">
      <alignment vertical="center" wrapText="1"/>
    </xf>
    <xf numFmtId="0" fontId="2" fillId="3" borderId="7" xfId="0" applyFont="1" applyFill="1" applyBorder="1" applyAlignment="1">
      <alignment vertical="center" wrapText="1"/>
    </xf>
    <xf numFmtId="0" fontId="3" fillId="0" borderId="1" xfId="0" applyFont="1" applyBorder="1" applyAlignment="1">
      <alignment horizontal="left" vertical="center" wrapText="1"/>
    </xf>
    <xf numFmtId="0" fontId="5" fillId="0" borderId="1" xfId="0" applyFont="1" applyBorder="1" applyAlignment="1">
      <alignment vertical="center" wrapText="1"/>
    </xf>
    <xf numFmtId="0" fontId="2" fillId="0" borderId="15" xfId="0" applyFont="1" applyBorder="1" applyAlignment="1">
      <alignment horizontal="center" vertical="center"/>
    </xf>
    <xf numFmtId="0" fontId="2" fillId="0" borderId="0" xfId="0" applyFont="1" applyBorder="1" applyAlignment="1">
      <alignment horizontal="center" vertical="center"/>
    </xf>
    <xf numFmtId="0" fontId="8" fillId="0" borderId="5" xfId="0" applyFont="1" applyBorder="1" applyAlignment="1">
      <alignment horizontal="left" vertical="center"/>
    </xf>
    <xf numFmtId="0" fontId="4" fillId="4" borderId="4" xfId="0" applyNumberFormat="1" applyFont="1" applyFill="1" applyBorder="1" applyAlignment="1">
      <alignment horizontal="left" vertical="center"/>
    </xf>
    <xf numFmtId="0" fontId="4" fillId="4" borderId="5" xfId="0" applyNumberFormat="1" applyFont="1" applyFill="1" applyBorder="1" applyAlignment="1">
      <alignment horizontal="left" vertical="center"/>
    </xf>
    <xf numFmtId="0" fontId="4" fillId="4" borderId="6" xfId="0" applyNumberFormat="1" applyFont="1" applyFill="1" applyBorder="1" applyAlignment="1">
      <alignment horizontal="left" vertical="center"/>
    </xf>
    <xf numFmtId="3" fontId="2" fillId="0" borderId="2" xfId="0" quotePrefix="1" applyNumberFormat="1" applyFont="1" applyBorder="1" applyAlignment="1">
      <alignment horizontal="center" vertical="center" wrapText="1"/>
    </xf>
    <xf numFmtId="3" fontId="2" fillId="0" borderId="3" xfId="0" quotePrefix="1" applyNumberFormat="1" applyFont="1" applyBorder="1" applyAlignment="1">
      <alignment horizontal="center" vertical="center" wrapText="1"/>
    </xf>
    <xf numFmtId="3" fontId="2" fillId="0" borderId="7" xfId="0" quotePrefix="1"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0" fontId="2" fillId="0" borderId="2" xfId="0" applyNumberFormat="1" applyFont="1" applyFill="1" applyBorder="1" applyAlignment="1">
      <alignment vertical="center" wrapText="1"/>
    </xf>
    <xf numFmtId="0" fontId="2" fillId="0" borderId="7" xfId="0" applyNumberFormat="1" applyFont="1" applyFill="1" applyBorder="1" applyAlignment="1">
      <alignment vertical="center" wrapText="1"/>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2" fillId="0" borderId="2" xfId="0" quotePrefix="1" applyNumberFormat="1" applyFont="1" applyBorder="1" applyAlignment="1">
      <alignment horizontal="left" vertical="center" wrapText="1"/>
    </xf>
    <xf numFmtId="0" fontId="2" fillId="0" borderId="3" xfId="0" quotePrefix="1" applyNumberFormat="1" applyFont="1" applyBorder="1" applyAlignment="1">
      <alignment horizontal="left" vertical="center" wrapText="1"/>
    </xf>
    <xf numFmtId="0" fontId="2" fillId="0" borderId="7" xfId="0" quotePrefix="1"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0" borderId="7" xfId="0" applyNumberFormat="1" applyFont="1" applyBorder="1" applyAlignment="1">
      <alignment horizontal="left" vertical="center" wrapText="1"/>
    </xf>
    <xf numFmtId="0" fontId="9" fillId="0" borderId="2"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9" fillId="0" borderId="7" xfId="0" applyNumberFormat="1" applyFont="1" applyFill="1" applyBorder="1" applyAlignment="1">
      <alignment horizontal="center" vertical="center" wrapText="1"/>
    </xf>
    <xf numFmtId="0" fontId="2" fillId="0" borderId="2" xfId="0" quotePrefix="1" applyNumberFormat="1" applyFont="1" applyFill="1" applyBorder="1" applyAlignment="1">
      <alignment horizontal="center" vertical="center" wrapText="1"/>
    </xf>
    <xf numFmtId="0" fontId="2" fillId="0" borderId="3" xfId="0" quotePrefix="1" applyNumberFormat="1" applyFont="1" applyFill="1" applyBorder="1" applyAlignment="1">
      <alignment horizontal="center" vertical="center" wrapText="1"/>
    </xf>
    <xf numFmtId="0" fontId="2" fillId="0" borderId="7" xfId="0" quotePrefix="1" applyNumberFormat="1" applyFont="1" applyFill="1" applyBorder="1" applyAlignment="1">
      <alignment horizontal="center" vertical="center" wrapText="1"/>
    </xf>
    <xf numFmtId="0" fontId="2" fillId="0" borderId="2" xfId="0" quotePrefix="1" applyNumberFormat="1" applyFont="1" applyBorder="1" applyAlignment="1">
      <alignment horizontal="center" vertical="center" wrapText="1"/>
    </xf>
    <xf numFmtId="0" fontId="2" fillId="0" borderId="3" xfId="0" quotePrefix="1" applyNumberFormat="1" applyFont="1" applyBorder="1" applyAlignment="1">
      <alignment horizontal="center" vertical="center" wrapText="1"/>
    </xf>
    <xf numFmtId="0" fontId="2" fillId="0" borderId="7" xfId="0" quotePrefix="1" applyNumberFormat="1" applyFont="1" applyBorder="1" applyAlignment="1">
      <alignment horizontal="center" vertical="center" wrapText="1"/>
    </xf>
    <xf numFmtId="0" fontId="2" fillId="2" borderId="4" xfId="0" applyNumberFormat="1" applyFont="1" applyFill="1" applyBorder="1" applyAlignment="1">
      <alignment horizontal="left" vertical="center"/>
    </xf>
    <xf numFmtId="0" fontId="2" fillId="2" borderId="5" xfId="0" applyNumberFormat="1" applyFont="1" applyFill="1" applyBorder="1" applyAlignment="1">
      <alignment horizontal="left" vertical="center"/>
    </xf>
    <xf numFmtId="0" fontId="2" fillId="2" borderId="6" xfId="0" applyNumberFormat="1" applyFont="1" applyFill="1" applyBorder="1" applyAlignment="1">
      <alignment horizontal="left" vertical="center"/>
    </xf>
    <xf numFmtId="0" fontId="3" fillId="0" borderId="11" xfId="0" applyNumberFormat="1" applyFont="1" applyBorder="1" applyAlignment="1">
      <alignment horizontal="left" vertical="center"/>
    </xf>
    <xf numFmtId="0" fontId="3" fillId="0" borderId="12" xfId="0" applyNumberFormat="1" applyFont="1" applyBorder="1" applyAlignment="1">
      <alignment horizontal="left" vertical="center"/>
    </xf>
    <xf numFmtId="0" fontId="3" fillId="0" borderId="13" xfId="0" applyNumberFormat="1" applyFont="1" applyBorder="1" applyAlignment="1">
      <alignment horizontal="left" vertical="center"/>
    </xf>
    <xf numFmtId="0" fontId="3" fillId="0" borderId="14" xfId="0" applyNumberFormat="1" applyFont="1" applyBorder="1" applyAlignment="1">
      <alignment horizontal="left" vertical="center"/>
    </xf>
    <xf numFmtId="0" fontId="3" fillId="0" borderId="10" xfId="0" applyNumberFormat="1" applyFont="1" applyBorder="1" applyAlignment="1">
      <alignment horizontal="left" vertical="center"/>
    </xf>
    <xf numFmtId="0" fontId="3" fillId="0" borderId="9" xfId="0" applyNumberFormat="1" applyFont="1" applyBorder="1" applyAlignment="1">
      <alignment horizontal="left" vertical="center"/>
    </xf>
    <xf numFmtId="165" fontId="3" fillId="0" borderId="2" xfId="0" applyNumberFormat="1" applyFont="1" applyBorder="1" applyAlignment="1">
      <alignment horizontal="center" vertical="center" wrapText="1"/>
    </xf>
    <xf numFmtId="165" fontId="3" fillId="0" borderId="3"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0" fontId="2" fillId="2" borderId="4" xfId="0" applyNumberFormat="1" applyFont="1" applyFill="1" applyBorder="1" applyAlignment="1">
      <alignment horizontal="left" vertical="center" wrapText="1"/>
    </xf>
    <xf numFmtId="0" fontId="2" fillId="2" borderId="6"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3" xfId="0" applyNumberFormat="1" applyFont="1" applyFill="1" applyBorder="1" applyAlignment="1">
      <alignment horizontal="left" vertical="center" wrapText="1"/>
    </xf>
    <xf numFmtId="0" fontId="2" fillId="2" borderId="14" xfId="0" applyNumberFormat="1" applyFont="1" applyFill="1" applyBorder="1" applyAlignment="1">
      <alignment horizontal="left" vertical="center" wrapText="1"/>
    </xf>
    <xf numFmtId="0" fontId="2" fillId="2" borderId="9" xfId="0" applyNumberFormat="1" applyFont="1" applyFill="1" applyBorder="1" applyAlignment="1">
      <alignment horizontal="lef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3" fillId="0" borderId="11" xfId="0" applyNumberFormat="1" applyFont="1" applyBorder="1" applyAlignment="1">
      <alignment horizontal="left" vertical="center" wrapText="1"/>
    </xf>
    <xf numFmtId="0" fontId="3" fillId="0" borderId="12" xfId="0" applyNumberFormat="1" applyFont="1" applyBorder="1" applyAlignment="1">
      <alignment horizontal="left" vertical="center" wrapText="1"/>
    </xf>
    <xf numFmtId="0" fontId="3" fillId="0" borderId="13" xfId="0" applyNumberFormat="1" applyFont="1" applyBorder="1" applyAlignment="1">
      <alignment horizontal="left" vertical="center" wrapText="1"/>
    </xf>
    <xf numFmtId="0" fontId="3" fillId="0" borderId="11" xfId="0" applyNumberFormat="1" applyFont="1" applyBorder="1" applyAlignment="1">
      <alignment horizontal="left" vertical="center" wrapText="1" indent="1"/>
    </xf>
    <xf numFmtId="0" fontId="3" fillId="0" borderId="13" xfId="0" applyNumberFormat="1" applyFont="1" applyBorder="1" applyAlignment="1">
      <alignment horizontal="left" vertical="center" wrapText="1" indent="1"/>
    </xf>
    <xf numFmtId="0" fontId="2" fillId="0" borderId="15" xfId="0" applyNumberFormat="1" applyFont="1" applyFill="1" applyBorder="1" applyAlignment="1">
      <alignment horizontal="center" vertical="center" wrapText="1"/>
    </xf>
    <xf numFmtId="0" fontId="2" fillId="0" borderId="14" xfId="0" applyNumberFormat="1" applyFont="1" applyFill="1" applyBorder="1" applyAlignment="1">
      <alignment horizontal="center" vertical="center" wrapText="1"/>
    </xf>
    <xf numFmtId="0" fontId="3" fillId="0" borderId="4" xfId="0" applyFont="1" applyBorder="1" applyAlignment="1">
      <alignment horizontal="left"/>
    </xf>
    <xf numFmtId="0" fontId="3" fillId="0" borderId="6" xfId="0" applyFont="1" applyBorder="1" applyAlignment="1">
      <alignment horizontal="left"/>
    </xf>
    <xf numFmtId="0" fontId="3" fillId="0" borderId="14" xfId="0" applyFont="1" applyBorder="1" applyAlignment="1">
      <alignment horizontal="left" vertical="center"/>
    </xf>
    <xf numFmtId="0" fontId="3" fillId="0" borderId="9" xfId="0" applyFont="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165" fontId="3" fillId="0" borderId="1" xfId="0" applyNumberFormat="1" applyFont="1" applyBorder="1" applyAlignment="1">
      <alignment horizontal="center" vertical="center" wrapText="1"/>
    </xf>
    <xf numFmtId="0" fontId="2" fillId="2" borderId="5" xfId="0" applyNumberFormat="1" applyFont="1" applyFill="1" applyBorder="1" applyAlignment="1">
      <alignment horizontal="center" vertical="center" wrapText="1"/>
    </xf>
    <xf numFmtId="3" fontId="3" fillId="0" borderId="2" xfId="0" applyNumberFormat="1" applyFont="1" applyBorder="1" applyAlignment="1">
      <alignment horizontal="left" vertical="center" wrapText="1"/>
    </xf>
    <xf numFmtId="3" fontId="3" fillId="0" borderId="3" xfId="0" applyNumberFormat="1" applyFont="1" applyBorder="1" applyAlignment="1">
      <alignment horizontal="left" vertical="center" wrapText="1"/>
    </xf>
    <xf numFmtId="3" fontId="3" fillId="0" borderId="7" xfId="0" applyNumberFormat="1" applyFont="1" applyBorder="1" applyAlignment="1">
      <alignment horizontal="left" vertical="center" wrapText="1"/>
    </xf>
    <xf numFmtId="0" fontId="3" fillId="0" borderId="11" xfId="0" applyNumberFormat="1" applyFont="1" applyFill="1" applyBorder="1" applyAlignment="1">
      <alignment horizontal="left" vertical="center" wrapText="1"/>
    </xf>
    <xf numFmtId="0" fontId="3" fillId="0" borderId="12" xfId="0" applyNumberFormat="1" applyFont="1" applyFill="1" applyBorder="1" applyAlignment="1">
      <alignment horizontal="left" vertical="center" wrapText="1"/>
    </xf>
    <xf numFmtId="0" fontId="3" fillId="0" borderId="13"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13" xfId="0" applyNumberFormat="1" applyFont="1" applyBorder="1" applyAlignment="1">
      <alignment horizontal="left" vertical="center" wrapText="1" indent="1"/>
    </xf>
    <xf numFmtId="0" fontId="2" fillId="2" borderId="45" xfId="0" applyNumberFormat="1" applyFont="1" applyFill="1" applyBorder="1" applyAlignment="1">
      <alignment horizontal="center" vertical="center" wrapText="1"/>
    </xf>
    <xf numFmtId="0" fontId="2" fillId="2" borderId="46" xfId="0" applyNumberFormat="1" applyFont="1" applyFill="1" applyBorder="1" applyAlignment="1">
      <alignment horizontal="center" vertical="center" wrapText="1"/>
    </xf>
    <xf numFmtId="0" fontId="2" fillId="2" borderId="15" xfId="0" applyNumberFormat="1" applyFont="1" applyFill="1" applyBorder="1" applyAlignment="1">
      <alignment horizontal="center" vertical="center" wrapText="1"/>
    </xf>
    <xf numFmtId="0" fontId="2" fillId="2" borderId="36" xfId="0" applyNumberFormat="1" applyFont="1" applyFill="1" applyBorder="1" applyAlignment="1">
      <alignment horizontal="left" vertical="center" wrapText="1"/>
    </xf>
    <xf numFmtId="0" fontId="2" fillId="2" borderId="10" xfId="0" applyNumberFormat="1" applyFont="1" applyFill="1" applyBorder="1" applyAlignment="1">
      <alignment horizontal="left" vertical="center" wrapText="1"/>
    </xf>
    <xf numFmtId="0" fontId="2" fillId="2" borderId="15" xfId="0" applyNumberFormat="1" applyFont="1" applyFill="1" applyBorder="1" applyAlignment="1">
      <alignment horizontal="left" vertical="center" wrapText="1"/>
    </xf>
    <xf numFmtId="0" fontId="2" fillId="2" borderId="39" xfId="0" applyNumberFormat="1" applyFont="1" applyFill="1" applyBorder="1" applyAlignment="1">
      <alignment horizontal="left" vertical="center" wrapText="1"/>
    </xf>
    <xf numFmtId="0" fontId="2" fillId="2" borderId="34" xfId="0" applyNumberFormat="1" applyFont="1" applyFill="1" applyBorder="1" applyAlignment="1">
      <alignment horizontal="left" vertical="center" wrapText="1"/>
    </xf>
    <xf numFmtId="0" fontId="2" fillId="2" borderId="40" xfId="0" applyNumberFormat="1" applyFont="1" applyFill="1" applyBorder="1" applyAlignment="1">
      <alignment horizontal="center" vertical="center" wrapText="1"/>
    </xf>
    <xf numFmtId="0" fontId="2" fillId="2" borderId="23" xfId="0" applyNumberFormat="1" applyFont="1" applyFill="1" applyBorder="1" applyAlignment="1">
      <alignment horizontal="center" vertical="center" wrapText="1"/>
    </xf>
    <xf numFmtId="0" fontId="2" fillId="2" borderId="34" xfId="0" applyNumberFormat="1" applyFont="1" applyFill="1" applyBorder="1" applyAlignment="1">
      <alignment horizontal="center" vertical="center" wrapText="1"/>
    </xf>
    <xf numFmtId="0" fontId="2" fillId="0" borderId="25" xfId="0" applyNumberFormat="1" applyFont="1" applyFill="1" applyBorder="1" applyAlignment="1">
      <alignment horizontal="center" vertical="center" wrapText="1"/>
    </xf>
    <xf numFmtId="0" fontId="2" fillId="0" borderId="33" xfId="0" applyNumberFormat="1" applyFont="1" applyFill="1" applyBorder="1" applyAlignment="1">
      <alignment horizontal="center" vertical="center" wrapText="1"/>
    </xf>
    <xf numFmtId="0" fontId="2" fillId="0" borderId="26" xfId="0" applyNumberFormat="1" applyFont="1" applyFill="1" applyBorder="1" applyAlignment="1">
      <alignment horizontal="center" vertical="center" wrapText="1"/>
    </xf>
    <xf numFmtId="0" fontId="2" fillId="2" borderId="30" xfId="0" applyNumberFormat="1" applyFont="1" applyFill="1" applyBorder="1" applyAlignment="1">
      <alignment horizontal="left" vertical="center" wrapText="1"/>
    </xf>
    <xf numFmtId="0" fontId="2" fillId="2" borderId="4" xfId="0" applyFont="1" applyFill="1" applyBorder="1" applyAlignment="1">
      <alignment horizontal="left"/>
    </xf>
    <xf numFmtId="0" fontId="3" fillId="2" borderId="6" xfId="0" applyFont="1" applyFill="1" applyBorder="1" applyAlignment="1">
      <alignment horizontal="left"/>
    </xf>
    <xf numFmtId="0" fontId="2" fillId="0" borderId="12" xfId="0" applyNumberFormat="1" applyFont="1" applyBorder="1" applyAlignment="1">
      <alignment horizontal="center" vertical="center" wrapText="1"/>
    </xf>
    <xf numFmtId="0" fontId="2" fillId="0" borderId="10" xfId="0" applyFont="1" applyBorder="1" applyAlignment="1">
      <alignment horizontal="center" vertical="center" wrapText="1"/>
    </xf>
    <xf numFmtId="165" fontId="3" fillId="0" borderId="2" xfId="0" applyNumberFormat="1" applyFont="1" applyBorder="1" applyAlignment="1">
      <alignment horizontal="left" vertical="center" wrapText="1"/>
    </xf>
    <xf numFmtId="165" fontId="3" fillId="0" borderId="3" xfId="0" applyNumberFormat="1" applyFont="1" applyBorder="1" applyAlignment="1">
      <alignment horizontal="left" vertical="center" wrapText="1"/>
    </xf>
    <xf numFmtId="165" fontId="3" fillId="0" borderId="7" xfId="0" applyNumberFormat="1" applyFont="1" applyBorder="1" applyAlignment="1">
      <alignment horizontal="left" vertical="center" wrapText="1"/>
    </xf>
    <xf numFmtId="0" fontId="9" fillId="0" borderId="1" xfId="0" applyNumberFormat="1" applyFont="1" applyBorder="1" applyAlignment="1">
      <alignment horizontal="center" vertical="center" wrapText="1"/>
    </xf>
    <xf numFmtId="0" fontId="3" fillId="0" borderId="1" xfId="0" applyFont="1" applyBorder="1" applyAlignment="1">
      <alignment horizontal="left"/>
    </xf>
    <xf numFmtId="0" fontId="3" fillId="0" borderId="4" xfId="0" applyFont="1" applyBorder="1" applyAlignment="1">
      <alignment horizontal="left" wrapText="1"/>
    </xf>
    <xf numFmtId="0" fontId="3" fillId="0" borderId="6" xfId="0" applyFont="1" applyBorder="1" applyAlignment="1">
      <alignment horizontal="left" wrapText="1"/>
    </xf>
    <xf numFmtId="0" fontId="2" fillId="0" borderId="10"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165" fontId="3" fillId="2" borderId="2" xfId="0" applyNumberFormat="1" applyFont="1" applyFill="1" applyBorder="1" applyAlignment="1">
      <alignment horizontal="center" vertical="center"/>
    </xf>
    <xf numFmtId="165" fontId="3" fillId="2" borderId="7" xfId="0" applyNumberFormat="1" applyFont="1" applyFill="1" applyBorder="1" applyAlignment="1">
      <alignment horizontal="center" vertical="center"/>
    </xf>
    <xf numFmtId="0" fontId="2" fillId="2" borderId="8" xfId="0" applyNumberFormat="1" applyFont="1" applyFill="1" applyBorder="1" applyAlignment="1">
      <alignment horizontal="center" vertical="center" wrapText="1"/>
    </xf>
    <xf numFmtId="165" fontId="3" fillId="2" borderId="2" xfId="0" applyNumberFormat="1" applyFont="1" applyFill="1" applyBorder="1" applyAlignment="1">
      <alignment horizontal="right" vertical="center" indent="1"/>
    </xf>
    <xf numFmtId="165" fontId="3" fillId="2" borderId="7" xfId="0" applyNumberFormat="1" applyFont="1" applyFill="1" applyBorder="1" applyAlignment="1">
      <alignment horizontal="right" vertical="center" indent="1"/>
    </xf>
    <xf numFmtId="0" fontId="2" fillId="0" borderId="11" xfId="0" applyNumberFormat="1"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Border="1" applyAlignment="1">
      <alignment horizontal="left" vertical="center"/>
    </xf>
    <xf numFmtId="0" fontId="2" fillId="0" borderId="8" xfId="0" applyFont="1" applyBorder="1" applyAlignment="1">
      <alignment horizontal="left" vertical="center"/>
    </xf>
    <xf numFmtId="0" fontId="2" fillId="0" borderId="11" xfId="0" applyNumberFormat="1" applyFont="1" applyBorder="1" applyAlignment="1">
      <alignment horizontal="left" wrapText="1"/>
    </xf>
    <xf numFmtId="0" fontId="2" fillId="0" borderId="15" xfId="0" applyNumberFormat="1" applyFont="1" applyBorder="1" applyAlignment="1">
      <alignment horizontal="left" wrapText="1"/>
    </xf>
    <xf numFmtId="0" fontId="3" fillId="0" borderId="0" xfId="0" applyFont="1" applyBorder="1" applyAlignment="1">
      <alignment horizontal="left"/>
    </xf>
    <xf numFmtId="0" fontId="0" fillId="0" borderId="0" xfId="0" applyBorder="1" applyAlignment="1">
      <alignment horizontal="left"/>
    </xf>
    <xf numFmtId="0" fontId="0" fillId="0" borderId="8" xfId="0" applyBorder="1" applyAlignment="1">
      <alignment horizontal="left"/>
    </xf>
    <xf numFmtId="0" fontId="3" fillId="0" borderId="8" xfId="0" applyFont="1" applyBorder="1" applyAlignment="1">
      <alignment horizontal="left"/>
    </xf>
    <xf numFmtId="0" fontId="3" fillId="0" borderId="0" xfId="0" applyFont="1" applyBorder="1" applyAlignment="1">
      <alignment horizontal="left" vertical="center"/>
    </xf>
    <xf numFmtId="0" fontId="3" fillId="0" borderId="8" xfId="0" applyFont="1" applyBorder="1" applyAlignment="1">
      <alignment horizontal="left" vertical="center"/>
    </xf>
    <xf numFmtId="0" fontId="2" fillId="2" borderId="1" xfId="0" applyNumberFormat="1" applyFont="1" applyFill="1" applyBorder="1" applyAlignment="1">
      <alignment horizontal="right" vertical="center" wrapText="1" indent="1"/>
    </xf>
    <xf numFmtId="0" fontId="2" fillId="2" borderId="3" xfId="0" applyNumberFormat="1" applyFont="1" applyFill="1" applyBorder="1" applyAlignment="1">
      <alignment horizontal="left" vertical="center" wrapText="1"/>
    </xf>
    <xf numFmtId="0" fontId="3" fillId="0" borderId="11" xfId="0" applyFont="1" applyBorder="1" applyAlignment="1">
      <alignment horizontal="left"/>
    </xf>
    <xf numFmtId="0" fontId="3" fillId="0" borderId="13" xfId="0" applyFont="1" applyBorder="1" applyAlignment="1">
      <alignment horizontal="left"/>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left"/>
    </xf>
    <xf numFmtId="0" fontId="2" fillId="0" borderId="7" xfId="0" applyFont="1" applyBorder="1" applyAlignment="1">
      <alignment horizontal="left"/>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3" fillId="0" borderId="1" xfId="0" applyNumberFormat="1" applyFont="1" applyBorder="1" applyAlignment="1">
      <alignment horizontal="center" vertical="center"/>
    </xf>
    <xf numFmtId="0" fontId="3" fillId="0" borderId="1" xfId="0" applyFont="1" applyBorder="1" applyAlignment="1">
      <alignment horizontal="left" vertical="center"/>
    </xf>
    <xf numFmtId="0" fontId="3" fillId="0" borderId="4" xfId="0" applyFont="1" applyBorder="1" applyAlignment="1">
      <alignment horizontal="center"/>
    </xf>
    <xf numFmtId="0" fontId="3" fillId="0" borderId="6" xfId="0" applyFont="1" applyBorder="1" applyAlignment="1">
      <alignment horizontal="center"/>
    </xf>
    <xf numFmtId="0" fontId="3" fillId="0" borderId="1" xfId="0" applyNumberFormat="1" applyFont="1" applyBorder="1" applyAlignment="1">
      <alignment horizontal="left" vertical="center"/>
    </xf>
    <xf numFmtId="0" fontId="4" fillId="5" borderId="1" xfId="0" applyFont="1" applyFill="1" applyBorder="1" applyAlignment="1">
      <alignment horizontal="left" vertical="center"/>
    </xf>
    <xf numFmtId="0" fontId="9" fillId="0" borderId="7" xfId="0" applyNumberFormat="1" applyFont="1" applyBorder="1" applyAlignment="1">
      <alignment horizontal="center" vertical="center" wrapText="1"/>
    </xf>
    <xf numFmtId="0" fontId="2" fillId="0" borderId="1" xfId="0" applyNumberFormat="1" applyFont="1" applyBorder="1" applyAlignment="1">
      <alignment horizontal="left" wrapText="1"/>
    </xf>
    <xf numFmtId="0" fontId="9" fillId="0" borderId="4" xfId="0" applyNumberFormat="1" applyFont="1" applyBorder="1" applyAlignment="1">
      <alignment horizontal="center" vertical="center" wrapText="1"/>
    </xf>
    <xf numFmtId="0" fontId="9" fillId="0" borderId="5" xfId="0" applyNumberFormat="1" applyFont="1" applyBorder="1" applyAlignment="1">
      <alignment horizontal="center" vertical="center" wrapText="1"/>
    </xf>
    <xf numFmtId="0" fontId="9" fillId="0" borderId="6" xfId="0" applyNumberFormat="1" applyFont="1" applyBorder="1" applyAlignment="1">
      <alignment horizontal="center" vertical="center" wrapText="1"/>
    </xf>
    <xf numFmtId="0" fontId="9" fillId="0" borderId="4" xfId="0" applyNumberFormat="1" applyFont="1" applyBorder="1" applyAlignment="1">
      <alignment horizontal="center" vertical="top" wrapText="1"/>
    </xf>
    <xf numFmtId="0" fontId="9" fillId="0" borderId="5" xfId="0" applyNumberFormat="1" applyFont="1" applyBorder="1" applyAlignment="1">
      <alignment horizontal="center" vertical="top" wrapText="1"/>
    </xf>
    <xf numFmtId="0" fontId="9" fillId="0" borderId="6" xfId="0" applyNumberFormat="1" applyFont="1" applyBorder="1" applyAlignment="1">
      <alignment horizontal="center" vertical="top" wrapText="1"/>
    </xf>
    <xf numFmtId="0" fontId="9" fillId="0" borderId="2" xfId="0" applyNumberFormat="1" applyFont="1" applyBorder="1" applyAlignment="1">
      <alignment horizontal="center" vertical="center" wrapText="1"/>
    </xf>
    <xf numFmtId="0" fontId="9" fillId="0" borderId="4" xfId="0" applyNumberFormat="1" applyFont="1" applyBorder="1" applyAlignment="1">
      <alignment horizontal="center" wrapText="1"/>
    </xf>
    <xf numFmtId="0" fontId="9" fillId="0" borderId="5" xfId="0" applyNumberFormat="1" applyFont="1" applyBorder="1" applyAlignment="1">
      <alignment horizontal="center" wrapText="1"/>
    </xf>
    <xf numFmtId="0" fontId="9" fillId="0" borderId="6" xfId="0" applyNumberFormat="1" applyFont="1" applyBorder="1" applyAlignment="1">
      <alignment horizontal="center" wrapText="1"/>
    </xf>
    <xf numFmtId="0" fontId="3" fillId="0" borderId="10" xfId="0" applyNumberFormat="1" applyFont="1" applyBorder="1" applyAlignment="1">
      <alignment horizontal="left" wrapText="1"/>
    </xf>
    <xf numFmtId="0" fontId="3" fillId="0" borderId="9" xfId="0" applyNumberFormat="1" applyFont="1" applyBorder="1" applyAlignment="1">
      <alignment horizontal="left" wrapText="1"/>
    </xf>
    <xf numFmtId="0" fontId="2" fillId="0" borderId="1" xfId="0" applyNumberFormat="1" applyFont="1" applyBorder="1" applyAlignment="1">
      <alignment horizontal="left"/>
    </xf>
    <xf numFmtId="0" fontId="7" fillId="0" borderId="1" xfId="0" applyNumberFormat="1" applyFont="1" applyBorder="1" applyAlignment="1">
      <alignment horizontal="center" vertical="center" wrapText="1"/>
    </xf>
    <xf numFmtId="0" fontId="9" fillId="0" borderId="3" xfId="0" applyNumberFormat="1" applyFont="1" applyBorder="1" applyAlignment="1">
      <alignment horizontal="center" vertical="center" wrapText="1"/>
    </xf>
    <xf numFmtId="0" fontId="9" fillId="0" borderId="11" xfId="0" applyNumberFormat="1" applyFont="1" applyBorder="1" applyAlignment="1">
      <alignment horizontal="center" vertical="center" wrapText="1"/>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7" fillId="0" borderId="4" xfId="0" applyNumberFormat="1" applyFont="1" applyBorder="1" applyAlignment="1">
      <alignment horizontal="center" vertical="center" wrapText="1"/>
    </xf>
    <xf numFmtId="0" fontId="7" fillId="0" borderId="5" xfId="0" applyNumberFormat="1" applyFont="1" applyBorder="1" applyAlignment="1">
      <alignment horizontal="center" vertical="center" wrapText="1"/>
    </xf>
    <xf numFmtId="0" fontId="7" fillId="0" borderId="6" xfId="0" applyNumberFormat="1" applyFont="1" applyBorder="1" applyAlignment="1">
      <alignment horizontal="center" vertical="center" wrapText="1"/>
    </xf>
    <xf numFmtId="3" fontId="2" fillId="2" borderId="4" xfId="0" applyNumberFormat="1" applyFont="1" applyFill="1" applyBorder="1" applyAlignment="1">
      <alignment horizontal="center" vertical="center" wrapText="1"/>
    </xf>
    <xf numFmtId="3" fontId="2" fillId="2" borderId="5" xfId="0"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0" fontId="3" fillId="0" borderId="4" xfId="0" applyFont="1" applyFill="1" applyBorder="1" applyAlignment="1">
      <alignment horizontal="left"/>
    </xf>
    <xf numFmtId="0" fontId="3" fillId="0" borderId="6" xfId="0" applyFont="1" applyFill="1" applyBorder="1" applyAlignment="1">
      <alignment horizontal="left"/>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NumberFormat="1" applyFont="1" applyBorder="1" applyAlignment="1">
      <alignment horizontal="center"/>
    </xf>
    <xf numFmtId="0" fontId="3" fillId="0" borderId="3" xfId="0" applyNumberFormat="1" applyFont="1" applyBorder="1" applyAlignment="1">
      <alignment horizontal="center"/>
    </xf>
    <xf numFmtId="0" fontId="3" fillId="0" borderId="7" xfId="0" applyNumberFormat="1" applyFont="1" applyBorder="1" applyAlignment="1">
      <alignment horizontal="center"/>
    </xf>
    <xf numFmtId="0" fontId="2" fillId="2" borderId="20"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19"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28" xfId="0" applyNumberFormat="1" applyFont="1" applyFill="1" applyBorder="1" applyAlignment="1">
      <alignment horizontal="center" vertical="center" wrapText="1"/>
    </xf>
    <xf numFmtId="0" fontId="2" fillId="2" borderId="38" xfId="0" applyNumberFormat="1" applyFont="1" applyFill="1" applyBorder="1" applyAlignment="1">
      <alignment horizontal="center" vertical="center" wrapText="1"/>
    </xf>
    <xf numFmtId="0" fontId="3" fillId="0" borderId="1" xfId="0" applyFont="1" applyBorder="1" applyAlignment="1">
      <alignment horizontal="center" wrapText="1"/>
    </xf>
    <xf numFmtId="0" fontId="2" fillId="2" borderId="18" xfId="0" applyNumberFormat="1" applyFont="1" applyFill="1" applyBorder="1" applyAlignment="1">
      <alignment horizontal="center" vertical="center" wrapText="1"/>
    </xf>
    <xf numFmtId="0" fontId="9" fillId="0" borderId="1" xfId="0" applyNumberFormat="1" applyFont="1" applyBorder="1" applyAlignment="1">
      <alignment horizontal="right" vertical="center" wrapText="1" indent="1"/>
    </xf>
    <xf numFmtId="0" fontId="7" fillId="0" borderId="1" xfId="0" applyNumberFormat="1" applyFont="1" applyBorder="1" applyAlignment="1">
      <alignment horizontal="right" vertical="center" wrapText="1" indent="1"/>
    </xf>
    <xf numFmtId="0" fontId="7" fillId="0" borderId="25" xfId="0" applyNumberFormat="1" applyFont="1" applyBorder="1" applyAlignment="1">
      <alignment horizontal="center" vertical="center" wrapText="1"/>
    </xf>
    <xf numFmtId="0" fontId="7" fillId="0" borderId="33" xfId="0" applyNumberFormat="1" applyFont="1" applyBorder="1" applyAlignment="1">
      <alignment horizontal="center" vertical="center" wrapText="1"/>
    </xf>
    <xf numFmtId="0" fontId="7" fillId="0" borderId="26" xfId="0" applyNumberFormat="1" applyFont="1" applyBorder="1" applyAlignment="1">
      <alignment horizontal="center" vertical="center" wrapText="1"/>
    </xf>
    <xf numFmtId="0" fontId="2" fillId="2" borderId="28" xfId="0" applyNumberFormat="1" applyFont="1" applyFill="1" applyBorder="1" applyAlignment="1">
      <alignment horizontal="right" vertical="center" wrapText="1" indent="1"/>
    </xf>
    <xf numFmtId="0" fontId="2" fillId="2" borderId="23" xfId="0" applyNumberFormat="1" applyFont="1" applyFill="1" applyBorder="1" applyAlignment="1">
      <alignment horizontal="right" vertical="center" wrapText="1" indent="1"/>
    </xf>
    <xf numFmtId="0" fontId="2" fillId="2" borderId="38" xfId="0" applyNumberFormat="1" applyFont="1" applyFill="1" applyBorder="1" applyAlignment="1">
      <alignment horizontal="right" vertical="center" wrapText="1" indent="1"/>
    </xf>
    <xf numFmtId="0" fontId="3" fillId="0" borderId="1" xfId="0" applyFont="1" applyBorder="1" applyAlignment="1">
      <alignment horizontal="right" wrapText="1" indent="1"/>
    </xf>
    <xf numFmtId="0" fontId="3" fillId="0" borderId="1" xfId="0" applyFont="1" applyBorder="1" applyAlignment="1">
      <alignment horizontal="right" indent="1"/>
    </xf>
    <xf numFmtId="0" fontId="9" fillId="0" borderId="25" xfId="0" applyNumberFormat="1" applyFont="1" applyBorder="1" applyAlignment="1">
      <alignment horizontal="center" vertical="center" wrapText="1"/>
    </xf>
    <xf numFmtId="0" fontId="9" fillId="0" borderId="33" xfId="0" applyNumberFormat="1" applyFont="1" applyBorder="1" applyAlignment="1">
      <alignment horizontal="center" vertical="center" wrapText="1"/>
    </xf>
    <xf numFmtId="0" fontId="9" fillId="0" borderId="26" xfId="0" applyNumberFormat="1" applyFont="1" applyBorder="1" applyAlignment="1">
      <alignment horizontal="center" vertical="center" wrapText="1"/>
    </xf>
    <xf numFmtId="0" fontId="9" fillId="0" borderId="1" xfId="0" applyNumberFormat="1" applyFont="1" applyBorder="1" applyAlignment="1">
      <alignment vertical="center" wrapText="1"/>
    </xf>
    <xf numFmtId="0" fontId="7" fillId="0" borderId="1" xfId="0" applyNumberFormat="1" applyFont="1" applyBorder="1" applyAlignment="1">
      <alignment vertical="center" wrapText="1"/>
    </xf>
    <xf numFmtId="0" fontId="2" fillId="0" borderId="15" xfId="0" applyNumberFormat="1" applyFont="1" applyBorder="1" applyAlignment="1">
      <alignment horizontal="left"/>
    </xf>
    <xf numFmtId="3" fontId="2" fillId="2" borderId="1" xfId="0" applyNumberFormat="1" applyFont="1" applyFill="1" applyBorder="1" applyAlignment="1">
      <alignment horizontal="center" vertical="center" wrapText="1"/>
    </xf>
    <xf numFmtId="0" fontId="2" fillId="0" borderId="1" xfId="0" applyFont="1" applyBorder="1" applyAlignment="1">
      <alignment horizontal="left" vertical="center"/>
    </xf>
    <xf numFmtId="0" fontId="2" fillId="2" borderId="1"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1"/>
    </xf>
    <xf numFmtId="0" fontId="2" fillId="0" borderId="15" xfId="0" applyNumberFormat="1" applyFont="1" applyBorder="1" applyAlignment="1">
      <alignment horizontal="center" vertical="center"/>
    </xf>
    <xf numFmtId="0" fontId="2" fillId="0" borderId="0" xfId="0" applyNumberFormat="1" applyFont="1" applyBorder="1" applyAlignment="1">
      <alignment horizontal="center" vertical="center"/>
    </xf>
    <xf numFmtId="3"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3" fillId="2" borderId="1" xfId="0" applyNumberFormat="1" applyFont="1" applyFill="1" applyBorder="1" applyAlignment="1">
      <alignment horizontal="left" vertical="center" wrapText="1"/>
    </xf>
    <xf numFmtId="0" fontId="2" fillId="0" borderId="1" xfId="0" applyFont="1" applyFill="1" applyBorder="1" applyAlignment="1">
      <alignment horizont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2" fillId="0" borderId="7"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3" fontId="2" fillId="0" borderId="1" xfId="0" applyNumberFormat="1" applyFont="1" applyFill="1" applyBorder="1" applyAlignment="1">
      <alignment horizontal="center" vertical="center" wrapText="1"/>
    </xf>
    <xf numFmtId="3" fontId="2" fillId="0" borderId="1" xfId="0" applyNumberFormat="1" applyFont="1" applyFill="1" applyBorder="1" applyAlignment="1">
      <alignment horizontal="left" vertical="center"/>
    </xf>
    <xf numFmtId="0" fontId="2" fillId="0" borderId="1" xfId="0" applyFont="1" applyFill="1" applyBorder="1" applyAlignment="1">
      <alignment horizontal="justify" vertical="center"/>
    </xf>
    <xf numFmtId="0" fontId="23" fillId="3" borderId="4" xfId="0" applyNumberFormat="1" applyFont="1" applyFill="1" applyBorder="1" applyAlignment="1">
      <alignment horizontal="left" vertical="center" wrapText="1"/>
    </xf>
    <xf numFmtId="0" fontId="23" fillId="3" borderId="6" xfId="0" applyNumberFormat="1" applyFont="1" applyFill="1" applyBorder="1" applyAlignment="1">
      <alignment horizontal="left" vertical="center" wrapText="1"/>
    </xf>
    <xf numFmtId="0" fontId="23" fillId="3" borderId="1" xfId="0" applyNumberFormat="1" applyFont="1" applyFill="1" applyBorder="1" applyAlignment="1">
      <alignment horizontal="left" vertical="center" wrapText="1"/>
    </xf>
    <xf numFmtId="0" fontId="2" fillId="0" borderId="1" xfId="0" applyFont="1" applyBorder="1" applyAlignment="1">
      <alignment horizontal="justify" vertical="center"/>
    </xf>
    <xf numFmtId="3" fontId="2" fillId="0" borderId="3" xfId="0" applyNumberFormat="1" applyFont="1" applyBorder="1" applyAlignment="1">
      <alignment horizontal="center" vertical="center"/>
    </xf>
    <xf numFmtId="0" fontId="2" fillId="5" borderId="4" xfId="0" applyNumberFormat="1" applyFont="1" applyFill="1" applyBorder="1" applyAlignment="1">
      <alignment horizontal="left" vertical="center"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0" borderId="15" xfId="0" applyNumberFormat="1" applyFont="1" applyBorder="1" applyAlignment="1">
      <alignment horizontal="left" vertical="center" wrapText="1"/>
    </xf>
    <xf numFmtId="0" fontId="2" fillId="0" borderId="0" xfId="0" applyNumberFormat="1" applyFont="1" applyBorder="1" applyAlignment="1">
      <alignment horizontal="left" vertical="center" wrapText="1"/>
    </xf>
    <xf numFmtId="4" fontId="2" fillId="0" borderId="4" xfId="0" applyNumberFormat="1" applyFont="1" applyBorder="1" applyAlignment="1">
      <alignment horizontal="center" vertical="center" wrapText="1"/>
    </xf>
    <xf numFmtId="4" fontId="2" fillId="0" borderId="5"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4" fontId="2" fillId="0" borderId="4" xfId="0" applyNumberFormat="1" applyFont="1" applyBorder="1" applyAlignment="1">
      <alignment horizontal="right" vertical="center" wrapText="1"/>
    </xf>
    <xf numFmtId="4" fontId="2" fillId="0" borderId="6" xfId="0" applyNumberFormat="1" applyFont="1" applyBorder="1" applyAlignment="1">
      <alignment horizontal="right" vertical="center" wrapText="1"/>
    </xf>
    <xf numFmtId="4" fontId="3" fillId="0" borderId="4" xfId="0" applyNumberFormat="1" applyFont="1" applyBorder="1" applyAlignment="1">
      <alignment horizontal="center" vertical="center" wrapText="1"/>
    </xf>
    <xf numFmtId="4" fontId="3" fillId="0" borderId="5" xfId="0" applyNumberFormat="1" applyFont="1" applyBorder="1" applyAlignment="1">
      <alignment horizontal="center" vertical="center" wrapText="1"/>
    </xf>
    <xf numFmtId="4" fontId="3" fillId="0" borderId="6" xfId="0" applyNumberFormat="1"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3" fillId="2" borderId="1" xfId="2" applyFont="1" applyFill="1" applyBorder="1" applyAlignment="1">
      <alignment horizontal="left" vertical="center" wrapText="1"/>
    </xf>
    <xf numFmtId="4" fontId="3" fillId="0" borderId="2" xfId="0" applyNumberFormat="1" applyFont="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4" fontId="2" fillId="2" borderId="4" xfId="0" applyNumberFormat="1" applyFont="1" applyFill="1" applyBorder="1" applyAlignment="1">
      <alignment horizontal="right" vertical="center"/>
    </xf>
    <xf numFmtId="4" fontId="2" fillId="2" borderId="5" xfId="0" applyNumberFormat="1" applyFont="1" applyFill="1" applyBorder="1" applyAlignment="1">
      <alignment horizontal="right" vertical="center"/>
    </xf>
    <xf numFmtId="4" fontId="2" fillId="2" borderId="6" xfId="0" applyNumberFormat="1" applyFont="1" applyFill="1" applyBorder="1" applyAlignment="1">
      <alignment horizontal="right" vertical="center"/>
    </xf>
    <xf numFmtId="4" fontId="2" fillId="2" borderId="1" xfId="0" applyNumberFormat="1" applyFont="1" applyFill="1" applyBorder="1" applyAlignment="1">
      <alignment horizontal="right" vertical="center"/>
    </xf>
    <xf numFmtId="49" fontId="3" fillId="0" borderId="1" xfId="0" applyNumberFormat="1" applyFont="1" applyBorder="1" applyAlignment="1">
      <alignment horizontal="center" vertical="center" wrapText="1"/>
    </xf>
    <xf numFmtId="4" fontId="2" fillId="0" borderId="1" xfId="0" applyNumberFormat="1" applyFont="1" applyBorder="1" applyAlignment="1">
      <alignment horizontal="right" vertical="center" wrapText="1"/>
    </xf>
    <xf numFmtId="0" fontId="2" fillId="3" borderId="1" xfId="0" applyFont="1" applyFill="1" applyBorder="1" applyAlignment="1">
      <alignment horizontal="center" vertical="center"/>
    </xf>
    <xf numFmtId="0" fontId="3" fillId="0" borderId="1" xfId="0" applyFont="1" applyBorder="1" applyAlignment="1">
      <alignment horizontal="center" vertical="center"/>
    </xf>
    <xf numFmtId="43" fontId="3" fillId="0" borderId="1" xfId="2" applyFont="1" applyBorder="1" applyAlignment="1">
      <alignment horizontal="center" vertical="center"/>
    </xf>
    <xf numFmtId="43" fontId="3" fillId="0" borderId="2" xfId="2" applyFont="1" applyBorder="1" applyAlignment="1">
      <alignment horizontal="center" vertical="center" wrapText="1"/>
    </xf>
    <xf numFmtId="43" fontId="3" fillId="0" borderId="3" xfId="2" applyFont="1" applyBorder="1" applyAlignment="1">
      <alignment horizontal="center" vertical="center" wrapText="1"/>
    </xf>
    <xf numFmtId="43" fontId="3" fillId="0" borderId="7" xfId="2" applyFont="1" applyBorder="1" applyAlignment="1">
      <alignment horizontal="center" vertical="center" wrapText="1"/>
    </xf>
    <xf numFmtId="43" fontId="3" fillId="0" borderId="1" xfId="2" applyFont="1" applyBorder="1" applyAlignment="1">
      <alignment horizontal="center" vertical="center" wrapText="1"/>
    </xf>
    <xf numFmtId="4" fontId="2" fillId="2" borderId="4" xfId="0" applyNumberFormat="1" applyFont="1" applyFill="1" applyBorder="1" applyAlignment="1">
      <alignment horizontal="center" vertical="center"/>
    </xf>
    <xf numFmtId="4" fontId="2" fillId="2" borderId="5" xfId="0" applyNumberFormat="1" applyFont="1" applyFill="1" applyBorder="1" applyAlignment="1">
      <alignment horizontal="center" vertical="center"/>
    </xf>
    <xf numFmtId="4" fontId="2" fillId="2" borderId="6" xfId="0" applyNumberFormat="1" applyFont="1" applyFill="1" applyBorder="1" applyAlignment="1">
      <alignment horizontal="center" vertical="center"/>
    </xf>
    <xf numFmtId="3" fontId="3" fillId="0" borderId="7" xfId="0" applyNumberFormat="1" applyFont="1" applyBorder="1" applyAlignment="1">
      <alignment horizontal="center"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7" xfId="0" applyFont="1" applyFill="1" applyBorder="1" applyAlignment="1">
      <alignment horizontal="left" vertical="center" wrapText="1"/>
    </xf>
    <xf numFmtId="3"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3" fontId="3" fillId="0" borderId="2" xfId="0" applyNumberFormat="1" applyFont="1" applyBorder="1" applyAlignment="1">
      <alignment horizontal="center" vertical="center"/>
    </xf>
    <xf numFmtId="3" fontId="3" fillId="0" borderId="3" xfId="0" applyNumberFormat="1" applyFont="1" applyBorder="1" applyAlignment="1">
      <alignment horizontal="center" vertical="center"/>
    </xf>
    <xf numFmtId="4" fontId="2" fillId="2" borderId="2" xfId="0" applyNumberFormat="1" applyFont="1" applyFill="1" applyBorder="1" applyAlignment="1">
      <alignment horizontal="right" vertical="center"/>
    </xf>
    <xf numFmtId="4" fontId="2" fillId="2" borderId="7" xfId="0" applyNumberFormat="1" applyFont="1" applyFill="1" applyBorder="1" applyAlignment="1">
      <alignment horizontal="right" vertical="center"/>
    </xf>
    <xf numFmtId="0" fontId="4" fillId="6" borderId="4" xfId="0" applyNumberFormat="1" applyFont="1" applyFill="1" applyBorder="1" applyAlignment="1">
      <alignment horizontal="left" vertical="center"/>
    </xf>
    <xf numFmtId="0" fontId="4" fillId="6" borderId="5" xfId="0" applyNumberFormat="1" applyFont="1" applyFill="1" applyBorder="1" applyAlignment="1">
      <alignment horizontal="left" vertical="center"/>
    </xf>
    <xf numFmtId="0" fontId="4" fillId="6" borderId="6" xfId="0" applyNumberFormat="1" applyFont="1" applyFill="1" applyBorder="1" applyAlignment="1">
      <alignment horizontal="left" vertical="center"/>
    </xf>
    <xf numFmtId="0" fontId="9" fillId="0" borderId="2" xfId="0" quotePrefix="1" applyNumberFormat="1" applyFont="1" applyBorder="1" applyAlignment="1">
      <alignment horizontal="left" vertical="center" wrapText="1"/>
    </xf>
    <xf numFmtId="0" fontId="9" fillId="0" borderId="3" xfId="0" quotePrefix="1" applyNumberFormat="1" applyFont="1" applyBorder="1" applyAlignment="1">
      <alignment horizontal="left" vertical="center" wrapText="1"/>
    </xf>
    <xf numFmtId="0" fontId="9" fillId="0" borderId="7" xfId="0" quotePrefix="1" applyNumberFormat="1" applyFont="1" applyBorder="1" applyAlignment="1">
      <alignment horizontal="left" vertical="center" wrapText="1"/>
    </xf>
    <xf numFmtId="0" fontId="9" fillId="0" borderId="2" xfId="0" quotePrefix="1" applyNumberFormat="1" applyFont="1" applyFill="1" applyBorder="1" applyAlignment="1">
      <alignment horizontal="center" vertical="center" wrapText="1"/>
    </xf>
    <xf numFmtId="0" fontId="9" fillId="0" borderId="3" xfId="0" quotePrefix="1" applyNumberFormat="1" applyFont="1" applyFill="1" applyBorder="1" applyAlignment="1">
      <alignment horizontal="center" vertical="center" wrapText="1"/>
    </xf>
    <xf numFmtId="0" fontId="9" fillId="0" borderId="2" xfId="0" quotePrefix="1" applyNumberFormat="1" applyFont="1" applyBorder="1" applyAlignment="1">
      <alignment horizontal="center" vertical="center" wrapText="1"/>
    </xf>
    <xf numFmtId="0" fontId="9" fillId="0" borderId="3" xfId="0" quotePrefix="1" applyNumberFormat="1" applyFont="1" applyBorder="1" applyAlignment="1">
      <alignment horizontal="center" vertical="center" wrapText="1"/>
    </xf>
    <xf numFmtId="3" fontId="9" fillId="0" borderId="2" xfId="0" quotePrefix="1" applyNumberFormat="1" applyFont="1" applyBorder="1" applyAlignment="1">
      <alignment horizontal="center" vertical="center" wrapText="1"/>
    </xf>
    <xf numFmtId="3" fontId="9" fillId="0" borderId="3" xfId="0" quotePrefix="1" applyNumberFormat="1" applyFont="1" applyBorder="1" applyAlignment="1">
      <alignment horizontal="center" vertical="center" wrapText="1"/>
    </xf>
    <xf numFmtId="0" fontId="2" fillId="2" borderId="1" xfId="0" applyNumberFormat="1" applyFont="1" applyFill="1" applyBorder="1" applyAlignment="1">
      <alignment vertical="center" wrapText="1"/>
    </xf>
    <xf numFmtId="0" fontId="3" fillId="0" borderId="1" xfId="0" applyFont="1" applyBorder="1" applyAlignment="1">
      <alignment horizontal="left" vertical="center" indent="1"/>
    </xf>
    <xf numFmtId="0" fontId="9" fillId="3" borderId="4" xfId="0" applyNumberFormat="1" applyFont="1" applyFill="1" applyBorder="1" applyAlignment="1">
      <alignment horizontal="left" vertical="center" wrapText="1"/>
    </xf>
    <xf numFmtId="0" fontId="9" fillId="3" borderId="6" xfId="0" applyNumberFormat="1" applyFont="1" applyFill="1" applyBorder="1" applyAlignment="1">
      <alignment horizontal="left" vertical="center" wrapText="1"/>
    </xf>
    <xf numFmtId="3" fontId="9" fillId="0" borderId="2" xfId="0" quotePrefix="1" applyNumberFormat="1" applyFont="1" applyBorder="1" applyAlignment="1">
      <alignment horizontal="right" vertical="center" wrapText="1"/>
    </xf>
    <xf numFmtId="3" fontId="9" fillId="0" borderId="3" xfId="0" quotePrefix="1" applyNumberFormat="1" applyFont="1" applyBorder="1" applyAlignment="1">
      <alignment horizontal="right" vertical="center" wrapText="1"/>
    </xf>
    <xf numFmtId="4" fontId="2" fillId="2" borderId="1" xfId="0" applyNumberFormat="1" applyFont="1" applyFill="1" applyBorder="1" applyAlignment="1">
      <alignment horizontal="center" vertical="center"/>
    </xf>
    <xf numFmtId="0" fontId="4" fillId="6" borderId="1" xfId="0" applyNumberFormat="1" applyFont="1" applyFill="1" applyBorder="1" applyAlignment="1">
      <alignment horizontal="left" vertical="center"/>
    </xf>
    <xf numFmtId="0" fontId="12" fillId="6" borderId="1" xfId="0" applyNumberFormat="1" applyFont="1" applyFill="1" applyBorder="1" applyAlignment="1">
      <alignment horizontal="left" vertical="center"/>
    </xf>
    <xf numFmtId="0" fontId="9" fillId="2" borderId="1" xfId="0" applyNumberFormat="1" applyFont="1" applyFill="1" applyBorder="1" applyAlignment="1">
      <alignment horizontal="left" vertical="center" wrapText="1"/>
    </xf>
    <xf numFmtId="0" fontId="47" fillId="0" borderId="4" xfId="0" applyNumberFormat="1" applyFont="1" applyFill="1" applyBorder="1" applyAlignment="1">
      <alignment horizontal="left" vertical="center" wrapText="1"/>
    </xf>
    <xf numFmtId="0" fontId="47" fillId="0" borderId="5" xfId="0" applyNumberFormat="1" applyFont="1" applyFill="1" applyBorder="1" applyAlignment="1">
      <alignment horizontal="left" vertical="center" wrapText="1"/>
    </xf>
    <xf numFmtId="0" fontId="47" fillId="0" borderId="6" xfId="0" applyNumberFormat="1" applyFont="1" applyFill="1" applyBorder="1" applyAlignment="1">
      <alignment horizontal="left" vertical="center" wrapText="1"/>
    </xf>
    <xf numFmtId="0" fontId="47" fillId="0" borderId="1" xfId="0" applyNumberFormat="1" applyFont="1" applyFill="1" applyBorder="1" applyAlignment="1">
      <alignment horizontal="left" vertical="center" wrapText="1"/>
    </xf>
    <xf numFmtId="0" fontId="47" fillId="0" borderId="2" xfId="0" quotePrefix="1" applyNumberFormat="1" applyFont="1" applyFill="1" applyBorder="1" applyAlignment="1">
      <alignment horizontal="left" vertical="center"/>
    </xf>
    <xf numFmtId="0" fontId="47" fillId="0" borderId="3" xfId="0" applyNumberFormat="1" applyFont="1" applyFill="1" applyBorder="1" applyAlignment="1">
      <alignment horizontal="left" vertical="center"/>
    </xf>
    <xf numFmtId="0" fontId="47" fillId="0" borderId="11" xfId="0" applyNumberFormat="1" applyFont="1" applyFill="1" applyBorder="1" applyAlignment="1">
      <alignment horizontal="left" vertical="center" wrapText="1"/>
    </xf>
    <xf numFmtId="0" fontId="47" fillId="0" borderId="12" xfId="0" applyNumberFormat="1" applyFont="1" applyFill="1" applyBorder="1" applyAlignment="1">
      <alignment horizontal="left" vertical="center" wrapText="1"/>
    </xf>
    <xf numFmtId="0" fontId="47" fillId="0" borderId="15" xfId="0" applyNumberFormat="1" applyFont="1" applyFill="1" applyBorder="1" applyAlignment="1">
      <alignment horizontal="left" vertical="center" wrapText="1"/>
    </xf>
    <xf numFmtId="0" fontId="47" fillId="0" borderId="0" xfId="0" applyNumberFormat="1" applyFont="1" applyFill="1" applyBorder="1" applyAlignment="1">
      <alignment horizontal="left" vertical="center" wrapText="1"/>
    </xf>
    <xf numFmtId="0" fontId="47" fillId="0" borderId="4" xfId="0" applyNumberFormat="1" applyFont="1" applyFill="1" applyBorder="1" applyAlignment="1">
      <alignment horizontal="center" vertical="center" wrapText="1"/>
    </xf>
    <xf numFmtId="0" fontId="47" fillId="0" borderId="5" xfId="0" applyNumberFormat="1" applyFont="1" applyFill="1" applyBorder="1" applyAlignment="1">
      <alignment horizontal="center" vertical="center" wrapText="1"/>
    </xf>
    <xf numFmtId="0" fontId="47" fillId="0" borderId="6" xfId="0" applyNumberFormat="1" applyFont="1" applyFill="1" applyBorder="1" applyAlignment="1">
      <alignment horizontal="center" vertical="center" wrapText="1"/>
    </xf>
    <xf numFmtId="0" fontId="48" fillId="0" borderId="4" xfId="0" applyNumberFormat="1" applyFont="1" applyFill="1" applyBorder="1" applyAlignment="1">
      <alignment horizontal="center" vertical="center" wrapText="1"/>
    </xf>
    <xf numFmtId="0" fontId="48" fillId="0" borderId="5" xfId="0" applyNumberFormat="1" applyFont="1" applyFill="1" applyBorder="1" applyAlignment="1">
      <alignment horizontal="center" vertical="center" wrapText="1"/>
    </xf>
    <xf numFmtId="0" fontId="48" fillId="0" borderId="6" xfId="0" applyNumberFormat="1" applyFont="1" applyFill="1" applyBorder="1" applyAlignment="1">
      <alignment horizontal="center" vertical="center" wrapText="1"/>
    </xf>
    <xf numFmtId="0" fontId="47" fillId="0" borderId="2" xfId="0" applyNumberFormat="1" applyFont="1" applyFill="1" applyBorder="1" applyAlignment="1">
      <alignment horizontal="left" vertical="center"/>
    </xf>
    <xf numFmtId="0" fontId="47" fillId="0" borderId="7" xfId="0" applyNumberFormat="1" applyFont="1" applyFill="1" applyBorder="1" applyAlignment="1">
      <alignment horizontal="left" vertical="center"/>
    </xf>
    <xf numFmtId="0" fontId="47" fillId="0" borderId="11" xfId="0" applyNumberFormat="1" applyFont="1" applyFill="1" applyBorder="1" applyAlignment="1">
      <alignment horizontal="left" vertical="center"/>
    </xf>
    <xf numFmtId="0" fontId="47" fillId="0" borderId="12" xfId="0" applyNumberFormat="1" applyFont="1" applyFill="1" applyBorder="1" applyAlignment="1">
      <alignment horizontal="left" vertical="center"/>
    </xf>
    <xf numFmtId="0" fontId="47" fillId="0" borderId="14" xfId="0" applyNumberFormat="1" applyFont="1" applyFill="1" applyBorder="1" applyAlignment="1">
      <alignment horizontal="left" vertical="center"/>
    </xf>
    <xf numFmtId="0" fontId="47" fillId="0" borderId="10" xfId="0" applyNumberFormat="1" applyFont="1" applyFill="1" applyBorder="1" applyAlignment="1">
      <alignment horizontal="left" vertical="center"/>
    </xf>
    <xf numFmtId="0" fontId="47" fillId="0" borderId="1" xfId="0" applyNumberFormat="1" applyFont="1" applyFill="1" applyBorder="1" applyAlignment="1">
      <alignment horizontal="center" vertical="center" wrapText="1"/>
    </xf>
    <xf numFmtId="0" fontId="47" fillId="13" borderId="1" xfId="0" applyNumberFormat="1" applyFont="1" applyFill="1" applyBorder="1" applyAlignment="1">
      <alignment horizontal="left" vertical="center" wrapText="1"/>
    </xf>
    <xf numFmtId="0" fontId="47" fillId="13" borderId="1" xfId="0" applyNumberFormat="1" applyFont="1" applyFill="1" applyBorder="1" applyAlignment="1">
      <alignment horizontal="center" vertical="center" wrapText="1"/>
    </xf>
    <xf numFmtId="0" fontId="58" fillId="9" borderId="4" xfId="0" applyNumberFormat="1" applyFont="1" applyFill="1" applyBorder="1" applyAlignment="1">
      <alignment horizontal="left" vertical="center" wrapText="1"/>
    </xf>
    <xf numFmtId="0" fontId="58" fillId="9" borderId="6" xfId="0" applyNumberFormat="1" applyFont="1" applyFill="1" applyBorder="1" applyAlignment="1">
      <alignment horizontal="left" vertical="center" wrapText="1"/>
    </xf>
    <xf numFmtId="0" fontId="48" fillId="0" borderId="2"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48" fillId="0" borderId="7" xfId="0" applyFont="1" applyFill="1" applyBorder="1" applyAlignment="1">
      <alignment horizontal="center" vertical="center" wrapText="1"/>
    </xf>
    <xf numFmtId="1" fontId="7"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xf>
    <xf numFmtId="0" fontId="7" fillId="0"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3"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xf>
    <xf numFmtId="0" fontId="9" fillId="3" borderId="1"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 fontId="7" fillId="0" borderId="1" xfId="0" applyNumberFormat="1" applyFont="1" applyBorder="1" applyAlignment="1">
      <alignment horizontal="center" vertical="center"/>
    </xf>
    <xf numFmtId="0" fontId="7" fillId="0" borderId="1" xfId="0" applyFont="1" applyBorder="1" applyAlignment="1">
      <alignment horizontal="center" vertical="center" textRotation="90" wrapText="1"/>
    </xf>
    <xf numFmtId="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9" fillId="3" borderId="1" xfId="0" applyNumberFormat="1" applyFont="1" applyFill="1" applyBorder="1" applyAlignment="1">
      <alignment vertical="center" wrapText="1"/>
    </xf>
    <xf numFmtId="49" fontId="7" fillId="0"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wrapText="1"/>
    </xf>
    <xf numFmtId="3" fontId="7" fillId="0" borderId="1" xfId="0" applyNumberFormat="1" applyFont="1" applyBorder="1" applyAlignment="1">
      <alignment horizontal="right" vertical="center" indent="1"/>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9" fillId="3" borderId="6" xfId="0" applyFont="1" applyFill="1" applyBorder="1" applyAlignment="1">
      <alignment horizontal="left" vertical="center"/>
    </xf>
    <xf numFmtId="0" fontId="7" fillId="3" borderId="1" xfId="0" applyFont="1" applyFill="1" applyBorder="1" applyAlignment="1">
      <alignment horizontal="center" vertical="center" textRotation="90" wrapText="1"/>
    </xf>
    <xf numFmtId="0" fontId="7" fillId="3" borderId="1" xfId="0" applyFont="1" applyFill="1" applyBorder="1" applyAlignment="1">
      <alignment horizontal="left" vertical="center"/>
    </xf>
    <xf numFmtId="0" fontId="7" fillId="3" borderId="1" xfId="0" applyNumberFormat="1" applyFont="1" applyFill="1" applyBorder="1" applyAlignment="1">
      <alignment horizontal="left" vertical="center" wrapText="1"/>
    </xf>
    <xf numFmtId="0" fontId="9" fillId="4" borderId="1" xfId="0" applyNumberFormat="1" applyFont="1" applyFill="1" applyBorder="1" applyAlignment="1">
      <alignment horizontal="left" vertical="center"/>
    </xf>
    <xf numFmtId="0" fontId="7" fillId="3" borderId="1" xfId="0" applyNumberFormat="1" applyFont="1" applyFill="1" applyBorder="1" applyAlignment="1">
      <alignment horizontal="left" vertical="center"/>
    </xf>
    <xf numFmtId="164" fontId="7" fillId="0" borderId="1" xfId="0" applyNumberFormat="1" applyFont="1" applyBorder="1" applyAlignment="1">
      <alignment horizontal="center" vertical="center"/>
    </xf>
    <xf numFmtId="4"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4" fontId="9" fillId="3" borderId="1" xfId="0" applyNumberFormat="1" applyFont="1" applyFill="1" applyBorder="1" applyAlignment="1">
      <alignment vertical="center" wrapText="1"/>
    </xf>
    <xf numFmtId="3" fontId="7" fillId="3" borderId="1" xfId="0" applyNumberFormat="1" applyFont="1" applyFill="1" applyBorder="1" applyAlignment="1">
      <alignment horizontal="center" vertical="center"/>
    </xf>
    <xf numFmtId="4" fontId="7" fillId="3" borderId="1" xfId="0" applyNumberFormat="1"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3" borderId="1" xfId="0" applyFont="1" applyFill="1" applyBorder="1" applyAlignment="1">
      <alignment horizontal="left" vertical="center" wrapText="1"/>
    </xf>
    <xf numFmtId="3"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xf>
    <xf numFmtId="0" fontId="3" fillId="3" borderId="1" xfId="0" applyFont="1" applyFill="1" applyBorder="1" applyAlignment="1">
      <alignment horizontal="center" vertical="center" textRotation="90" wrapText="1"/>
    </xf>
    <xf numFmtId="3" fontId="3" fillId="3" borderId="1" xfId="0" applyNumberFormat="1" applyFont="1" applyFill="1" applyBorder="1" applyAlignment="1">
      <alignment horizontal="right" vertical="center" indent="1"/>
    </xf>
    <xf numFmtId="0" fontId="2" fillId="4" borderId="1" xfId="0" applyNumberFormat="1" applyFont="1" applyFill="1" applyBorder="1" applyAlignment="1">
      <alignment horizontal="left" vertical="center"/>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left" vertical="center"/>
    </xf>
    <xf numFmtId="0" fontId="3" fillId="3" borderId="1" xfId="0" applyFont="1" applyFill="1" applyBorder="1" applyAlignment="1">
      <alignment horizontal="left" vertical="center" wrapText="1"/>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0" borderId="1" xfId="0" applyFont="1" applyBorder="1" applyAlignment="1">
      <alignment horizontal="left" vertical="center" wrapText="1"/>
    </xf>
    <xf numFmtId="0" fontId="2" fillId="3" borderId="1" xfId="0" applyNumberFormat="1" applyFont="1" applyFill="1" applyBorder="1" applyAlignment="1">
      <alignment vertical="center" wrapText="1"/>
    </xf>
    <xf numFmtId="0" fontId="2" fillId="0" borderId="1" xfId="0" applyFont="1" applyBorder="1" applyAlignment="1">
      <alignment horizontal="center" vertical="center" textRotation="90" wrapText="1"/>
    </xf>
    <xf numFmtId="0" fontId="2" fillId="3" borderId="1" xfId="0" applyFont="1" applyFill="1" applyBorder="1" applyAlignment="1">
      <alignment horizontal="left" vertical="center" wrapText="1"/>
    </xf>
    <xf numFmtId="164" fontId="2" fillId="0" borderId="1" xfId="0" applyNumberFormat="1" applyFont="1" applyBorder="1" applyAlignment="1">
      <alignment horizontal="center" vertical="center" wrapText="1"/>
    </xf>
    <xf numFmtId="4" fontId="3" fillId="0" borderId="1" xfId="0" applyNumberFormat="1" applyFont="1" applyBorder="1" applyAlignment="1">
      <alignment horizontal="right" vertical="center" indent="1"/>
    </xf>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1" xfId="0" applyFont="1" applyFill="1" applyBorder="1" applyAlignment="1">
      <alignment horizontal="center" vertical="center" textRotation="90" wrapText="1"/>
    </xf>
    <xf numFmtId="164" fontId="3" fillId="0" borderId="1" xfId="0" applyNumberFormat="1" applyFont="1" applyBorder="1" applyAlignment="1">
      <alignment horizontal="center" vertical="center"/>
    </xf>
    <xf numFmtId="4"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4" fontId="2" fillId="2" borderId="1" xfId="0" applyNumberFormat="1" applyFont="1" applyFill="1" applyBorder="1" applyAlignment="1">
      <alignment horizontal="left" vertical="center" wrapText="1"/>
    </xf>
    <xf numFmtId="3" fontId="2" fillId="3" borderId="1" xfId="0" applyNumberFormat="1" applyFont="1" applyFill="1" applyBorder="1" applyAlignment="1">
      <alignment horizontal="center" vertical="center"/>
    </xf>
    <xf numFmtId="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xf>
    <xf numFmtId="3" fontId="2" fillId="3"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 fontId="3" fillId="3" borderId="1" xfId="0" applyNumberFormat="1" applyFont="1" applyFill="1" applyBorder="1" applyAlignment="1">
      <alignment horizontal="right" vertical="center" indent="1"/>
    </xf>
    <xf numFmtId="4" fontId="3" fillId="0" borderId="1" xfId="0" applyNumberFormat="1" applyFont="1" applyBorder="1" applyAlignment="1">
      <alignment horizontal="center" vertical="center"/>
    </xf>
    <xf numFmtId="0" fontId="2" fillId="2" borderId="1" xfId="0" applyFont="1" applyFill="1" applyBorder="1" applyAlignment="1">
      <alignment vertical="center" wrapText="1"/>
    </xf>
    <xf numFmtId="49" fontId="3" fillId="3"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textRotation="90" wrapText="1"/>
    </xf>
    <xf numFmtId="4" fontId="3" fillId="0" borderId="1" xfId="0" applyNumberFormat="1" applyFont="1" applyBorder="1" applyAlignment="1">
      <alignment horizontal="center" vertical="center" wrapText="1"/>
    </xf>
    <xf numFmtId="0" fontId="2" fillId="2" borderId="1" xfId="0" applyFont="1" applyFill="1" applyBorder="1" applyAlignment="1">
      <alignment horizontal="left" vertical="center" wrapText="1"/>
    </xf>
    <xf numFmtId="49" fontId="3" fillId="0" borderId="1" xfId="0" applyNumberFormat="1" applyFont="1" applyBorder="1" applyAlignment="1">
      <alignment horizontal="center"/>
    </xf>
    <xf numFmtId="4" fontId="2" fillId="7" borderId="1" xfId="0" applyNumberFormat="1" applyFont="1" applyFill="1" applyBorder="1" applyAlignment="1">
      <alignment horizontal="center" vertical="center"/>
    </xf>
    <xf numFmtId="0"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4" fillId="5" borderId="1" xfId="0" applyNumberFormat="1" applyFont="1" applyFill="1" applyBorder="1" applyAlignment="1">
      <alignment horizontal="left" vertical="center"/>
    </xf>
    <xf numFmtId="0" fontId="3" fillId="3" borderId="1" xfId="0" quotePrefix="1" applyNumberFormat="1" applyFont="1" applyFill="1" applyBorder="1" applyAlignment="1">
      <alignment horizontal="left" vertical="center"/>
    </xf>
    <xf numFmtId="0" fontId="2" fillId="7" borderId="1" xfId="0" applyNumberFormat="1" applyFont="1" applyFill="1" applyBorder="1" applyAlignment="1">
      <alignment horizontal="left" vertical="center" wrapText="1"/>
    </xf>
    <xf numFmtId="0" fontId="2" fillId="6" borderId="1" xfId="0" applyFont="1" applyFill="1" applyBorder="1" applyAlignment="1">
      <alignment horizontal="center"/>
    </xf>
    <xf numFmtId="0" fontId="3" fillId="3" borderId="1" xfId="0" applyFont="1" applyFill="1" applyBorder="1" applyAlignment="1">
      <alignment horizontal="left" vertical="center" wrapText="1" indent="1"/>
    </xf>
    <xf numFmtId="0" fontId="3" fillId="2" borderId="1" xfId="0" applyNumberFormat="1" applyFont="1" applyFill="1" applyBorder="1" applyAlignment="1">
      <alignment vertical="center" wrapText="1"/>
    </xf>
    <xf numFmtId="4" fontId="3" fillId="2" borderId="1" xfId="0" applyNumberFormat="1" applyFont="1" applyFill="1" applyBorder="1" applyAlignment="1">
      <alignment vertical="center" wrapText="1"/>
    </xf>
    <xf numFmtId="0" fontId="7" fillId="3" borderId="1" xfId="0" applyFont="1" applyFill="1" applyBorder="1" applyAlignment="1">
      <alignment horizontal="left" vertical="center" wrapText="1" indent="1"/>
    </xf>
    <xf numFmtId="0" fontId="3" fillId="3" borderId="1" xfId="0" applyNumberFormat="1" applyFont="1" applyFill="1" applyBorder="1" applyAlignment="1">
      <alignment horizontal="left" vertical="center" wrapText="1" indent="1"/>
    </xf>
    <xf numFmtId="49" fontId="3" fillId="3" borderId="1" xfId="0" applyNumberFormat="1" applyFont="1" applyFill="1" applyBorder="1" applyAlignment="1">
      <alignment horizontal="left" vertical="center" wrapText="1" indent="1"/>
    </xf>
    <xf numFmtId="4" fontId="3" fillId="3" borderId="1"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49" fontId="3" fillId="3" borderId="1" xfId="0" applyNumberFormat="1" applyFont="1" applyFill="1" applyBorder="1" applyAlignment="1">
      <alignment horizontal="left" vertical="center" wrapText="1"/>
    </xf>
    <xf numFmtId="0" fontId="2" fillId="0" borderId="1" xfId="0" quotePrefix="1" applyNumberFormat="1" applyFont="1" applyBorder="1" applyAlignment="1">
      <alignment horizontal="center" vertical="center"/>
    </xf>
    <xf numFmtId="0" fontId="2" fillId="0" borderId="1" xfId="0" applyNumberFormat="1" applyFont="1" applyBorder="1" applyAlignment="1">
      <alignment horizontal="center" vertical="center"/>
    </xf>
    <xf numFmtId="4" fontId="3" fillId="3" borderId="1" xfId="0" applyNumberFormat="1" applyFont="1" applyFill="1" applyBorder="1" applyAlignment="1">
      <alignment horizontal="center"/>
    </xf>
    <xf numFmtId="4" fontId="3" fillId="3" borderId="1" xfId="0" applyNumberFormat="1" applyFont="1" applyFill="1" applyBorder="1" applyAlignment="1">
      <alignment horizontal="right" vertical="center" wrapText="1" indent="1"/>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0" borderId="1" xfId="0" quotePrefix="1" applyNumberFormat="1" applyFont="1" applyBorder="1" applyAlignment="1">
      <alignment vertical="center" wrapText="1"/>
    </xf>
    <xf numFmtId="0" fontId="3" fillId="0" borderId="1" xfId="0" quotePrefix="1" applyNumberFormat="1" applyFont="1" applyFill="1" applyBorder="1" applyAlignment="1">
      <alignment horizontal="center" vertical="center" wrapText="1"/>
    </xf>
    <xf numFmtId="0" fontId="3" fillId="0" borderId="1" xfId="0" quotePrefix="1" applyNumberFormat="1" applyFont="1" applyBorder="1" applyAlignment="1">
      <alignment horizontal="center" vertical="center" wrapText="1"/>
    </xf>
    <xf numFmtId="0" fontId="2" fillId="0" borderId="15" xfId="0" applyNumberFormat="1" applyFont="1" applyBorder="1" applyAlignment="1">
      <alignment horizontal="left" vertical="center"/>
    </xf>
    <xf numFmtId="0" fontId="2" fillId="0" borderId="0" xfId="0" applyNumberFormat="1" applyFont="1" applyBorder="1" applyAlignment="1">
      <alignment horizontal="left" vertical="center"/>
    </xf>
    <xf numFmtId="0" fontId="20" fillId="0" borderId="1" xfId="0" applyNumberFormat="1" applyFont="1" applyBorder="1" applyAlignment="1">
      <alignment horizontal="center" vertical="center" wrapText="1"/>
    </xf>
    <xf numFmtId="0" fontId="2" fillId="0" borderId="1" xfId="0" quotePrefix="1" applyNumberFormat="1" applyFont="1" applyBorder="1" applyAlignment="1">
      <alignment horizontal="left" vertical="center"/>
    </xf>
    <xf numFmtId="0" fontId="20" fillId="3" borderId="1" xfId="0" applyNumberFormat="1" applyFont="1" applyFill="1" applyBorder="1" applyAlignment="1">
      <alignment horizontal="center" vertical="center" wrapText="1"/>
    </xf>
    <xf numFmtId="4" fontId="3" fillId="0" borderId="1" xfId="0" quotePrefix="1" applyNumberFormat="1" applyFont="1" applyBorder="1" applyAlignment="1">
      <alignment horizontal="center" vertical="center" wrapText="1"/>
    </xf>
    <xf numFmtId="0" fontId="3" fillId="0" borderId="2" xfId="0" quotePrefix="1" applyNumberFormat="1" applyFont="1" applyBorder="1" applyAlignment="1">
      <alignment vertical="center" wrapText="1"/>
    </xf>
    <xf numFmtId="0" fontId="3" fillId="0" borderId="3" xfId="0" quotePrefix="1" applyNumberFormat="1" applyFont="1" applyBorder="1" applyAlignment="1">
      <alignment vertical="center" wrapText="1"/>
    </xf>
    <xf numFmtId="0" fontId="3" fillId="0" borderId="7" xfId="0" quotePrefix="1" applyNumberFormat="1" applyFont="1" applyBorder="1" applyAlignment="1">
      <alignment vertical="center" wrapText="1"/>
    </xf>
    <xf numFmtId="0" fontId="3" fillId="3" borderId="1" xfId="0" quotePrefix="1" applyNumberFormat="1" applyFont="1" applyFill="1" applyBorder="1" applyAlignment="1">
      <alignment horizontal="left" vertical="center" wrapText="1"/>
    </xf>
    <xf numFmtId="0" fontId="7" fillId="0" borderId="1" xfId="0" quotePrefix="1" applyNumberFormat="1" applyFont="1" applyBorder="1" applyAlignment="1">
      <alignment horizontal="center" vertical="center" wrapText="1"/>
    </xf>
    <xf numFmtId="0" fontId="11" fillId="0" borderId="1" xfId="0" quotePrefix="1" applyNumberFormat="1" applyFont="1" applyBorder="1" applyAlignment="1">
      <alignment horizontal="center" vertical="center" wrapText="1"/>
    </xf>
    <xf numFmtId="0" fontId="2" fillId="0" borderId="4" xfId="0" applyNumberFormat="1" applyFont="1" applyBorder="1" applyAlignment="1">
      <alignment vertical="center" wrapText="1"/>
    </xf>
    <xf numFmtId="0" fontId="2" fillId="0" borderId="5" xfId="0" applyNumberFormat="1" applyFont="1" applyBorder="1" applyAlignment="1">
      <alignment vertical="center" wrapText="1"/>
    </xf>
    <xf numFmtId="0" fontId="2" fillId="0" borderId="6" xfId="0" applyNumberFormat="1" applyFont="1" applyBorder="1" applyAlignment="1">
      <alignment vertical="center" wrapText="1"/>
    </xf>
    <xf numFmtId="3" fontId="9" fillId="0" borderId="1" xfId="0" quotePrefix="1" applyNumberFormat="1" applyFont="1" applyBorder="1" applyAlignment="1">
      <alignment horizontal="center" vertical="center" wrapText="1"/>
    </xf>
    <xf numFmtId="0" fontId="9" fillId="0" borderId="1" xfId="0" applyNumberFormat="1" applyFont="1" applyFill="1" applyBorder="1" applyAlignment="1">
      <alignment horizontal="left" vertical="center" wrapText="1"/>
    </xf>
    <xf numFmtId="0" fontId="23" fillId="0" borderId="1" xfId="0" quotePrefix="1" applyNumberFormat="1" applyFont="1" applyBorder="1" applyAlignment="1">
      <alignment horizontal="left" vertical="center" wrapText="1"/>
    </xf>
    <xf numFmtId="0" fontId="9" fillId="0" borderId="1" xfId="0" quotePrefix="1" applyNumberFormat="1" applyFont="1" applyBorder="1" applyAlignment="1">
      <alignment horizontal="left" vertical="center" wrapText="1"/>
    </xf>
    <xf numFmtId="3" fontId="7" fillId="0" borderId="1" xfId="0" applyNumberFormat="1" applyFont="1" applyFill="1" applyBorder="1" applyAlignment="1">
      <alignment horizontal="center" vertical="center" wrapText="1"/>
    </xf>
    <xf numFmtId="0" fontId="23" fillId="0" borderId="1" xfId="0" applyNumberFormat="1" applyFont="1" applyBorder="1" applyAlignment="1">
      <alignment horizontal="center" vertical="center" wrapText="1"/>
    </xf>
    <xf numFmtId="0" fontId="23" fillId="0" borderId="1"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3" fontId="36" fillId="0" borderId="1" xfId="0" applyNumberFormat="1" applyFont="1" applyFill="1" applyBorder="1" applyAlignment="1">
      <alignment horizontal="center" vertical="center" wrapText="1"/>
    </xf>
    <xf numFmtId="0" fontId="2" fillId="0" borderId="1" xfId="0" applyNumberFormat="1" applyFont="1" applyBorder="1" applyAlignment="1">
      <alignment horizontal="left" vertical="center" indent="1"/>
    </xf>
    <xf numFmtId="2" fontId="7" fillId="3" borderId="1"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7" xfId="0" applyFont="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2" fillId="10" borderId="2" xfId="0" applyFont="1" applyFill="1" applyBorder="1" applyAlignment="1">
      <alignment horizontal="left" vertical="center" wrapText="1"/>
    </xf>
    <xf numFmtId="0" fontId="2" fillId="10" borderId="7" xfId="0" applyFont="1" applyFill="1" applyBorder="1" applyAlignment="1">
      <alignment horizontal="left" vertical="center" wrapText="1"/>
    </xf>
    <xf numFmtId="0" fontId="2" fillId="10" borderId="2" xfId="0" applyFont="1" applyFill="1" applyBorder="1" applyAlignment="1">
      <alignment horizontal="center" vertical="center" wrapText="1"/>
    </xf>
    <xf numFmtId="0" fontId="2" fillId="10" borderId="7" xfId="0" applyFont="1" applyFill="1" applyBorder="1" applyAlignment="1">
      <alignment horizontal="center" vertical="center" wrapText="1"/>
    </xf>
    <xf numFmtId="164" fontId="3" fillId="0" borderId="2" xfId="0" applyNumberFormat="1" applyFont="1" applyBorder="1" applyAlignment="1">
      <alignment horizontal="left" vertical="center"/>
    </xf>
    <xf numFmtId="164" fontId="3" fillId="0" borderId="7" xfId="0" applyNumberFormat="1" applyFont="1" applyBorder="1" applyAlignment="1">
      <alignment horizontal="left" vertical="center"/>
    </xf>
    <xf numFmtId="3" fontId="3" fillId="0" borderId="2" xfId="0" applyNumberFormat="1" applyFont="1" applyBorder="1" applyAlignment="1">
      <alignment horizontal="right" vertical="center" wrapText="1"/>
    </xf>
    <xf numFmtId="3" fontId="3" fillId="0" borderId="3"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3" fontId="3" fillId="0" borderId="2" xfId="0" applyNumberFormat="1" applyFont="1" applyBorder="1" applyAlignment="1">
      <alignment horizontal="right" vertical="center" indent="1"/>
    </xf>
    <xf numFmtId="3" fontId="3" fillId="0" borderId="3" xfId="0" applyNumberFormat="1" applyFont="1" applyBorder="1" applyAlignment="1">
      <alignment horizontal="right" vertical="center" indent="1"/>
    </xf>
    <xf numFmtId="3" fontId="3" fillId="0" borderId="7" xfId="0" applyNumberFormat="1" applyFont="1" applyBorder="1" applyAlignment="1">
      <alignment horizontal="right" vertical="center" indent="1"/>
    </xf>
    <xf numFmtId="49" fontId="3" fillId="0" borderId="2" xfId="0" quotePrefix="1" applyNumberFormat="1" applyFont="1" applyBorder="1" applyAlignment="1">
      <alignment horizontal="left" vertical="center" wrapText="1"/>
    </xf>
    <xf numFmtId="49" fontId="3" fillId="0" borderId="7" xfId="0" quotePrefix="1" applyNumberFormat="1" applyFont="1" applyBorder="1" applyAlignment="1">
      <alignment horizontal="left" vertical="center" wrapText="1"/>
    </xf>
    <xf numFmtId="49" fontId="3" fillId="0" borderId="2"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3" fontId="2" fillId="0" borderId="2" xfId="0" applyNumberFormat="1" applyFont="1" applyBorder="1" applyAlignment="1">
      <alignment horizontal="left" vertical="center" wrapText="1"/>
    </xf>
    <xf numFmtId="3" fontId="2" fillId="0" borderId="3" xfId="0" applyNumberFormat="1" applyFont="1" applyBorder="1" applyAlignment="1">
      <alignment horizontal="left" vertical="center" wrapText="1"/>
    </xf>
    <xf numFmtId="3" fontId="2" fillId="0" borderId="7" xfId="0" applyNumberFormat="1" applyFont="1" applyBorder="1" applyAlignment="1">
      <alignment horizontal="left" vertical="center" wrapText="1"/>
    </xf>
    <xf numFmtId="0" fontId="2" fillId="10" borderId="4"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12"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4" xfId="0" applyFont="1" applyFill="1" applyBorder="1" applyAlignment="1">
      <alignment horizontal="center" vertical="center"/>
    </xf>
    <xf numFmtId="0" fontId="2" fillId="10" borderId="5" xfId="0" applyFont="1" applyFill="1" applyBorder="1" applyAlignment="1">
      <alignment horizontal="center" vertical="center"/>
    </xf>
    <xf numFmtId="0" fontId="2" fillId="10" borderId="6" xfId="0" applyFont="1" applyFill="1" applyBorder="1" applyAlignment="1">
      <alignment horizontal="center" vertical="center"/>
    </xf>
    <xf numFmtId="0" fontId="2" fillId="10" borderId="2" xfId="0" applyFont="1" applyFill="1" applyBorder="1" applyAlignment="1">
      <alignment horizontal="center" vertical="center"/>
    </xf>
    <xf numFmtId="0" fontId="2" fillId="10" borderId="7" xfId="0" applyFont="1" applyFill="1" applyBorder="1" applyAlignment="1">
      <alignment horizontal="center" vertical="center"/>
    </xf>
    <xf numFmtId="49" fontId="3" fillId="0" borderId="3" xfId="0" quotePrefix="1" applyNumberFormat="1" applyFont="1" applyBorder="1" applyAlignment="1">
      <alignment horizontal="left" vertical="center" wrapText="1"/>
    </xf>
    <xf numFmtId="49" fontId="3" fillId="0" borderId="2" xfId="0" quotePrefix="1" applyNumberFormat="1" applyFont="1" applyBorder="1" applyAlignment="1">
      <alignment horizontal="center" vertical="center" wrapText="1"/>
    </xf>
    <xf numFmtId="49" fontId="3" fillId="0" borderId="3" xfId="0" quotePrefix="1" applyNumberFormat="1" applyFont="1" applyBorder="1" applyAlignment="1">
      <alignment horizontal="center" vertical="center" wrapText="1"/>
    </xf>
    <xf numFmtId="49" fontId="3" fillId="0" borderId="7" xfId="0" quotePrefix="1" applyNumberFormat="1" applyFont="1" applyBorder="1" applyAlignment="1">
      <alignment horizontal="center" vertical="center" wrapText="1"/>
    </xf>
    <xf numFmtId="3" fontId="3" fillId="0" borderId="2" xfId="4" applyNumberFormat="1" applyFont="1" applyBorder="1" applyAlignment="1">
      <alignment horizontal="center" vertical="center" wrapText="1"/>
    </xf>
    <xf numFmtId="3" fontId="3" fillId="0" borderId="7" xfId="4" applyNumberFormat="1" applyFont="1" applyBorder="1" applyAlignment="1">
      <alignment horizontal="center"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2" fillId="3" borderId="13" xfId="0" applyFont="1" applyFill="1" applyBorder="1" applyAlignment="1">
      <alignment horizontal="left" vertical="center"/>
    </xf>
    <xf numFmtId="0" fontId="2" fillId="3" borderId="15" xfId="0" applyFont="1" applyFill="1" applyBorder="1" applyAlignment="1">
      <alignment horizontal="left" vertical="center"/>
    </xf>
    <xf numFmtId="0" fontId="2" fillId="3" borderId="0" xfId="0" applyFont="1" applyFill="1" applyBorder="1" applyAlignment="1">
      <alignment horizontal="left" vertical="center"/>
    </xf>
    <xf numFmtId="0" fontId="2" fillId="3" borderId="8" xfId="0" applyFont="1" applyFill="1" applyBorder="1" applyAlignment="1">
      <alignment horizontal="left" vertical="center"/>
    </xf>
    <xf numFmtId="0" fontId="2" fillId="3" borderId="14" xfId="0" applyFont="1" applyFill="1" applyBorder="1" applyAlignment="1">
      <alignment horizontal="left" vertical="center"/>
    </xf>
    <xf numFmtId="0" fontId="2" fillId="3" borderId="10" xfId="0" applyFont="1" applyFill="1" applyBorder="1" applyAlignment="1">
      <alignment horizontal="left" vertical="center"/>
    </xf>
    <xf numFmtId="0" fontId="2" fillId="3" borderId="9" xfId="0" applyFont="1" applyFill="1" applyBorder="1" applyAlignment="1">
      <alignment horizontal="left" vertical="center"/>
    </xf>
    <xf numFmtId="0" fontId="2" fillId="11" borderId="2" xfId="0" applyFont="1" applyFill="1" applyBorder="1" applyAlignment="1">
      <alignment horizontal="center" vertical="center"/>
    </xf>
    <xf numFmtId="0" fontId="2" fillId="11" borderId="7"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3" fontId="2" fillId="3" borderId="2" xfId="0" applyNumberFormat="1" applyFont="1" applyFill="1" applyBorder="1" applyAlignment="1">
      <alignment horizontal="center" vertical="center" wrapText="1"/>
    </xf>
    <xf numFmtId="3" fontId="2" fillId="3" borderId="7"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176" fontId="2" fillId="0" borderId="2" xfId="0" quotePrefix="1" applyNumberFormat="1" applyFont="1" applyBorder="1" applyAlignment="1">
      <alignment horizontal="center" vertical="center" wrapText="1"/>
    </xf>
    <xf numFmtId="176" fontId="2" fillId="0" borderId="7" xfId="0" quotePrefix="1" applyNumberFormat="1" applyFont="1" applyBorder="1" applyAlignment="1">
      <alignment horizontal="center" vertical="center" wrapText="1"/>
    </xf>
    <xf numFmtId="176" fontId="2" fillId="3" borderId="2" xfId="0" applyNumberFormat="1" applyFont="1" applyFill="1" applyBorder="1" applyAlignment="1">
      <alignment horizontal="center" vertical="center" wrapText="1"/>
    </xf>
    <xf numFmtId="176" fontId="2" fillId="3" borderId="7"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0" fontId="3" fillId="0" borderId="2" xfId="0" applyNumberFormat="1" applyFont="1" applyBorder="1" applyAlignment="1">
      <alignment horizontal="left" vertical="top" wrapText="1"/>
    </xf>
    <xf numFmtId="0" fontId="3" fillId="0" borderId="7" xfId="0" applyNumberFormat="1" applyFont="1" applyBorder="1" applyAlignment="1">
      <alignment horizontal="left" vertical="top" wrapText="1"/>
    </xf>
    <xf numFmtId="3" fontId="2" fillId="0" borderId="4" xfId="0" applyNumberFormat="1"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6" xfId="0" applyNumberFormat="1" applyFont="1" applyBorder="1" applyAlignment="1">
      <alignment horizontal="right" vertical="center" wrapText="1"/>
    </xf>
    <xf numFmtId="49" fontId="2" fillId="0" borderId="2" xfId="0" quotePrefix="1" applyNumberFormat="1" applyFont="1" applyBorder="1" applyAlignment="1">
      <alignment horizontal="center" vertical="center" wrapText="1"/>
    </xf>
    <xf numFmtId="49" fontId="2" fillId="0" borderId="7" xfId="0" quotePrefix="1" applyNumberFormat="1" applyFont="1" applyBorder="1" applyAlignment="1">
      <alignment horizontal="center" vertical="center" wrapText="1"/>
    </xf>
    <xf numFmtId="43" fontId="2" fillId="0" borderId="4" xfId="2" applyNumberFormat="1" applyFont="1" applyBorder="1" applyAlignment="1">
      <alignment horizontal="center" vertical="center" wrapText="1"/>
    </xf>
    <xf numFmtId="43" fontId="2" fillId="0" borderId="5" xfId="2" applyNumberFormat="1" applyFont="1" applyBorder="1" applyAlignment="1">
      <alignment horizontal="center" vertical="center" wrapText="1"/>
    </xf>
    <xf numFmtId="43" fontId="2" fillId="0" borderId="6" xfId="2" applyNumberFormat="1" applyFont="1" applyBorder="1" applyAlignment="1">
      <alignment horizontal="center" vertical="center" wrapText="1"/>
    </xf>
    <xf numFmtId="0" fontId="3" fillId="0" borderId="2" xfId="0" applyFont="1" applyBorder="1" applyAlignment="1">
      <alignment horizontal="left" wrapText="1"/>
    </xf>
    <xf numFmtId="0" fontId="3" fillId="0" borderId="7" xfId="0" applyFont="1" applyBorder="1" applyAlignment="1">
      <alignment horizontal="left" wrapText="1"/>
    </xf>
    <xf numFmtId="49" fontId="3" fillId="3" borderId="2" xfId="0" quotePrefix="1" applyNumberFormat="1" applyFont="1" applyFill="1" applyBorder="1" applyAlignment="1">
      <alignment horizontal="center" vertical="center" wrapText="1"/>
    </xf>
    <xf numFmtId="49" fontId="3" fillId="3" borderId="7" xfId="0" quotePrefix="1" applyNumberFormat="1" applyFont="1" applyFill="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2" fillId="2" borderId="2" xfId="0" applyFont="1" applyFill="1" applyBorder="1" applyAlignment="1">
      <alignment vertical="center" wrapText="1"/>
    </xf>
    <xf numFmtId="0" fontId="2" fillId="2" borderId="7" xfId="0" applyFont="1" applyFill="1" applyBorder="1" applyAlignment="1">
      <alignment vertical="center" wrapText="1"/>
    </xf>
    <xf numFmtId="0" fontId="2" fillId="2" borderId="1"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7" fillId="0" borderId="6" xfId="0" applyFont="1" applyBorder="1" applyAlignment="1">
      <alignment horizontal="left" vertical="center"/>
    </xf>
    <xf numFmtId="0" fontId="3" fillId="3" borderId="14"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1" fontId="3" fillId="3" borderId="1" xfId="0" applyNumberFormat="1"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2" fillId="0" borderId="0" xfId="0" applyFont="1" applyBorder="1" applyAlignment="1">
      <alignment horizontal="center"/>
    </xf>
    <xf numFmtId="43" fontId="2" fillId="0" borderId="12" xfId="2" applyNumberFormat="1" applyFont="1" applyBorder="1" applyAlignment="1">
      <alignment horizontal="center" vertical="center" wrapText="1"/>
    </xf>
    <xf numFmtId="43" fontId="2" fillId="0" borderId="36" xfId="2" applyNumberFormat="1" applyFont="1" applyBorder="1" applyAlignment="1">
      <alignment horizontal="center" vertical="center" wrapText="1"/>
    </xf>
    <xf numFmtId="0" fontId="0" fillId="0" borderId="1" xfId="0" applyFont="1" applyBorder="1" applyAlignment="1">
      <alignment horizontal="center" vertical="center"/>
    </xf>
    <xf numFmtId="4" fontId="9" fillId="9" borderId="1" xfId="5" applyNumberFormat="1" applyFont="1" applyFill="1" applyBorder="1" applyAlignment="1">
      <alignment horizontal="center"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9" fillId="2" borderId="11" xfId="0" applyNumberFormat="1" applyFont="1" applyFill="1" applyBorder="1" applyAlignment="1">
      <alignment horizontal="left" vertical="center" wrapText="1"/>
    </xf>
    <xf numFmtId="0" fontId="9" fillId="2" borderId="13" xfId="0" applyNumberFormat="1" applyFont="1" applyFill="1" applyBorder="1" applyAlignment="1">
      <alignment horizontal="left" vertical="center" wrapText="1"/>
    </xf>
    <xf numFmtId="0" fontId="9" fillId="2" borderId="14" xfId="0" applyNumberFormat="1" applyFont="1" applyFill="1" applyBorder="1" applyAlignment="1">
      <alignment horizontal="left" vertical="center" wrapText="1"/>
    </xf>
    <xf numFmtId="0" fontId="9" fillId="2" borderId="9" xfId="0" applyNumberFormat="1" applyFont="1" applyFill="1" applyBorder="1" applyAlignment="1">
      <alignment horizontal="left" vertical="center" wrapText="1"/>
    </xf>
    <xf numFmtId="0" fontId="2" fillId="2" borderId="1"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1" fontId="3" fillId="0" borderId="1"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6" xfId="0" applyNumberFormat="1" applyFont="1" applyBorder="1" applyAlignment="1">
      <alignment horizontal="center" vertical="center"/>
    </xf>
    <xf numFmtId="0" fontId="2" fillId="0" borderId="15" xfId="0" applyFont="1" applyBorder="1" applyAlignment="1">
      <alignment horizontal="left" vertical="center"/>
    </xf>
    <xf numFmtId="4" fontId="2" fillId="0" borderId="1" xfId="0" applyNumberFormat="1" applyFont="1" applyBorder="1" applyAlignment="1">
      <alignment horizontal="right" vertical="center" indent="1"/>
    </xf>
    <xf numFmtId="0" fontId="3" fillId="0" borderId="2" xfId="0" applyFont="1" applyBorder="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2" fontId="3" fillId="0" borderId="1" xfId="0" applyNumberFormat="1" applyFont="1" applyBorder="1" applyAlignment="1">
      <alignment horizontal="center" vertical="center"/>
    </xf>
    <xf numFmtId="0" fontId="2" fillId="11" borderId="1" xfId="0" applyFont="1" applyFill="1" applyBorder="1" applyAlignment="1">
      <alignment horizontal="center" vertical="center" wrapText="1"/>
    </xf>
    <xf numFmtId="0" fontId="2" fillId="3" borderId="11"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4" xfId="0" applyFont="1" applyFill="1" applyBorder="1" applyAlignment="1">
      <alignment horizontal="center" vertical="center"/>
    </xf>
    <xf numFmtId="0" fontId="0" fillId="0" borderId="3" xfId="0" applyFont="1" applyBorder="1" applyAlignment="1">
      <alignment horizontal="center" vertical="center" wrapText="1"/>
    </xf>
    <xf numFmtId="0" fontId="0" fillId="0" borderId="7" xfId="0" applyFont="1" applyBorder="1" applyAlignment="1">
      <alignment horizontal="center" vertical="center" wrapText="1"/>
    </xf>
    <xf numFmtId="4" fontId="3" fillId="0" borderId="11" xfId="0" applyNumberFormat="1" applyFont="1" applyBorder="1" applyAlignment="1">
      <alignment horizontal="center" vertical="center"/>
    </xf>
    <xf numFmtId="4" fontId="3" fillId="0" borderId="15" xfId="0" applyNumberFormat="1" applyFont="1" applyBorder="1" applyAlignment="1">
      <alignment horizontal="center" vertical="center"/>
    </xf>
    <xf numFmtId="4" fontId="3" fillId="0" borderId="14" xfId="0" applyNumberFormat="1" applyFont="1" applyBorder="1" applyAlignment="1">
      <alignment horizontal="center" vertical="center"/>
    </xf>
    <xf numFmtId="4" fontId="3" fillId="0" borderId="2"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7" xfId="0" applyNumberFormat="1"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2" fillId="2" borderId="1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7" xfId="0" applyFont="1" applyBorder="1" applyAlignment="1">
      <alignment vertical="center" wrapText="1"/>
    </xf>
    <xf numFmtId="0" fontId="3" fillId="0" borderId="15" xfId="0" applyFont="1" applyBorder="1" applyAlignment="1">
      <alignment horizontal="left" vertical="center"/>
    </xf>
    <xf numFmtId="0" fontId="3" fillId="0" borderId="5" xfId="0" applyFont="1" applyBorder="1" applyAlignment="1">
      <alignment horizontal="center"/>
    </xf>
    <xf numFmtId="0" fontId="3" fillId="0" borderId="1" xfId="0" applyFont="1" applyBorder="1" applyAlignment="1">
      <alignment horizontal="right" vertical="center" indent="1"/>
    </xf>
    <xf numFmtId="3" fontId="3" fillId="0" borderId="11" xfId="0" applyNumberFormat="1" applyFont="1" applyBorder="1" applyAlignment="1">
      <alignment horizontal="center" vertical="center"/>
    </xf>
    <xf numFmtId="3" fontId="3" fillId="0" borderId="14" xfId="0" applyNumberFormat="1" applyFont="1" applyBorder="1" applyAlignment="1">
      <alignment horizontal="center" vertical="center"/>
    </xf>
    <xf numFmtId="3" fontId="3" fillId="0" borderId="1" xfId="2" applyNumberFormat="1" applyFont="1" applyBorder="1" applyAlignment="1">
      <alignment horizontal="right" vertical="center" indent="1"/>
    </xf>
    <xf numFmtId="43" fontId="3" fillId="3" borderId="2" xfId="2" applyFont="1" applyFill="1" applyBorder="1" applyAlignment="1">
      <alignment horizontal="center" vertical="center" wrapText="1"/>
    </xf>
    <xf numFmtId="43" fontId="3" fillId="3" borderId="3" xfId="2" applyFont="1" applyFill="1" applyBorder="1" applyAlignment="1">
      <alignment horizontal="center" vertical="center" wrapText="1"/>
    </xf>
    <xf numFmtId="43" fontId="3" fillId="3" borderId="7" xfId="2" applyFont="1" applyFill="1" applyBorder="1" applyAlignment="1">
      <alignment horizontal="center" vertical="center" wrapText="1"/>
    </xf>
    <xf numFmtId="0" fontId="7" fillId="0" borderId="2" xfId="0" applyFont="1" applyBorder="1" applyAlignment="1">
      <alignment horizontal="center" vertical="center"/>
    </xf>
    <xf numFmtId="0" fontId="7" fillId="0" borderId="7" xfId="0" applyFont="1" applyBorder="1" applyAlignment="1">
      <alignment horizontal="center" vertical="center"/>
    </xf>
    <xf numFmtId="0" fontId="2" fillId="2" borderId="14"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0" fillId="0" borderId="1" xfId="0" applyFont="1" applyBorder="1" applyAlignment="1">
      <alignment horizontal="center"/>
    </xf>
    <xf numFmtId="3" fontId="3" fillId="0" borderId="2" xfId="2" applyNumberFormat="1" applyFont="1" applyBorder="1" applyAlignment="1">
      <alignment horizontal="right" vertical="center" indent="1"/>
    </xf>
    <xf numFmtId="3" fontId="3" fillId="0" borderId="7" xfId="2" applyNumberFormat="1" applyFont="1" applyBorder="1" applyAlignment="1">
      <alignment horizontal="right" vertical="center" indent="1"/>
    </xf>
    <xf numFmtId="176" fontId="3" fillId="0" borderId="2" xfId="2" applyNumberFormat="1" applyFont="1" applyBorder="1" applyAlignment="1">
      <alignment horizontal="center" vertical="center"/>
    </xf>
    <xf numFmtId="176" fontId="3" fillId="0" borderId="7" xfId="2" applyNumberFormat="1" applyFont="1" applyBorder="1" applyAlignment="1">
      <alignment horizontal="center" vertical="center"/>
    </xf>
    <xf numFmtId="43" fontId="3" fillId="0" borderId="2" xfId="2" applyFont="1" applyBorder="1" applyAlignment="1">
      <alignment vertical="center" wrapText="1"/>
    </xf>
    <xf numFmtId="43" fontId="3" fillId="0" borderId="7" xfId="2" applyFont="1" applyBorder="1" applyAlignment="1">
      <alignment vertical="center" wrapText="1"/>
    </xf>
    <xf numFmtId="176" fontId="3" fillId="0" borderId="3" xfId="2" applyNumberFormat="1" applyFont="1" applyBorder="1" applyAlignment="1">
      <alignment horizontal="center" vertical="center"/>
    </xf>
    <xf numFmtId="0" fontId="7" fillId="0" borderId="3" xfId="0" applyFont="1" applyBorder="1" applyAlignment="1">
      <alignment horizontal="center" vertical="center"/>
    </xf>
    <xf numFmtId="0" fontId="2" fillId="3" borderId="2" xfId="0" applyFont="1" applyFill="1" applyBorder="1" applyAlignment="1">
      <alignment horizontal="left" vertical="center" wrapText="1" indent="1"/>
    </xf>
    <xf numFmtId="0" fontId="2" fillId="3" borderId="7" xfId="0" applyFont="1" applyFill="1" applyBorder="1" applyAlignment="1">
      <alignment horizontal="left" vertical="center" wrapText="1" inden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3" fillId="3" borderId="13" xfId="0" applyFont="1" applyFill="1" applyBorder="1" applyAlignment="1">
      <alignment horizontal="left" vertical="center"/>
    </xf>
    <xf numFmtId="0" fontId="3" fillId="3" borderId="14" xfId="0" applyFont="1" applyFill="1" applyBorder="1" applyAlignment="1">
      <alignment horizontal="left" vertical="center"/>
    </xf>
    <xf numFmtId="0" fontId="3" fillId="3" borderId="10" xfId="0" applyFont="1" applyFill="1" applyBorder="1" applyAlignment="1">
      <alignment horizontal="left" vertical="center"/>
    </xf>
    <xf numFmtId="0" fontId="3" fillId="3" borderId="9" xfId="0" applyFont="1" applyFill="1" applyBorder="1" applyAlignment="1">
      <alignment horizontal="left"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 fillId="3" borderId="3" xfId="0" applyFont="1" applyFill="1" applyBorder="1" applyAlignment="1">
      <alignment horizontal="left" vertical="center" wrapText="1" indent="1"/>
    </xf>
    <xf numFmtId="1" fontId="2" fillId="0" borderId="4" xfId="0" applyNumberFormat="1" applyFont="1" applyBorder="1" applyAlignment="1">
      <alignment horizontal="center" vertical="center"/>
    </xf>
    <xf numFmtId="1" fontId="2" fillId="0" borderId="6" xfId="0" applyNumberFormat="1" applyFont="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2" fillId="3" borderId="13" xfId="0" applyNumberFormat="1" applyFont="1" applyFill="1" applyBorder="1" applyAlignment="1">
      <alignment horizontal="left" vertical="center"/>
    </xf>
    <xf numFmtId="0" fontId="2" fillId="3" borderId="15" xfId="0" applyNumberFormat="1" applyFont="1" applyFill="1" applyBorder="1" applyAlignment="1">
      <alignment horizontal="left" vertical="center"/>
    </xf>
    <xf numFmtId="0" fontId="2" fillId="3" borderId="0" xfId="0" applyNumberFormat="1" applyFont="1" applyFill="1" applyBorder="1" applyAlignment="1">
      <alignment horizontal="left" vertical="center"/>
    </xf>
    <xf numFmtId="0" fontId="2" fillId="3" borderId="8" xfId="0" applyNumberFormat="1" applyFont="1" applyFill="1" applyBorder="1" applyAlignment="1">
      <alignment horizontal="left" vertical="center"/>
    </xf>
    <xf numFmtId="0" fontId="2" fillId="3" borderId="9" xfId="0" applyNumberFormat="1" applyFont="1" applyFill="1" applyBorder="1" applyAlignment="1">
      <alignment horizontal="left" vertical="center"/>
    </xf>
    <xf numFmtId="0" fontId="3" fillId="0" borderId="3" xfId="0" applyFont="1" applyBorder="1" applyAlignment="1">
      <alignment horizontal="left"/>
    </xf>
    <xf numFmtId="0" fontId="3" fillId="0" borderId="7" xfId="0" applyFont="1" applyBorder="1" applyAlignment="1">
      <alignment horizontal="left"/>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7" xfId="0" applyFont="1" applyBorder="1" applyAlignment="1">
      <alignment horizontal="left" vertical="top" wrapText="1"/>
    </xf>
    <xf numFmtId="0" fontId="3" fillId="3" borderId="2" xfId="0" applyFont="1" applyFill="1" applyBorder="1" applyAlignment="1">
      <alignment horizontal="center" wrapText="1"/>
    </xf>
    <xf numFmtId="0" fontId="3" fillId="3" borderId="3" xfId="0" applyFont="1" applyFill="1" applyBorder="1" applyAlignment="1">
      <alignment horizontal="center"/>
    </xf>
    <xf numFmtId="0" fontId="3" fillId="3" borderId="7" xfId="0" applyFont="1" applyFill="1" applyBorder="1" applyAlignment="1">
      <alignment horizontal="center"/>
    </xf>
    <xf numFmtId="0" fontId="3" fillId="0" borderId="2" xfId="0" applyNumberFormat="1" applyFont="1" applyBorder="1" applyAlignment="1">
      <alignment horizontal="left" wrapText="1"/>
    </xf>
    <xf numFmtId="0" fontId="3" fillId="0" borderId="3" xfId="0" applyNumberFormat="1" applyFont="1" applyBorder="1" applyAlignment="1">
      <alignment horizontal="left"/>
    </xf>
    <xf numFmtId="0" fontId="2" fillId="2" borderId="11"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1" xfId="0" applyNumberFormat="1" applyFont="1" applyFill="1" applyBorder="1" applyAlignment="1">
      <alignment horizontal="center" vertical="center"/>
    </xf>
    <xf numFmtId="0" fontId="9" fillId="2" borderId="11" xfId="0" applyNumberFormat="1" applyFont="1" applyFill="1" applyBorder="1" applyAlignment="1">
      <alignment horizontal="center" vertical="center" wrapText="1"/>
    </xf>
    <xf numFmtId="0" fontId="9" fillId="2" borderId="13" xfId="0" applyNumberFormat="1" applyFont="1" applyFill="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2" fillId="0" borderId="1" xfId="0" quotePrefix="1" applyNumberFormat="1" applyFont="1" applyFill="1" applyBorder="1" applyAlignment="1">
      <alignment horizontal="center" vertical="center" wrapText="1"/>
    </xf>
    <xf numFmtId="0" fontId="2" fillId="0" borderId="1" xfId="0" quotePrefix="1" applyNumberFormat="1" applyFont="1" applyBorder="1" applyAlignment="1">
      <alignment horizontal="center" vertical="center" wrapText="1"/>
    </xf>
    <xf numFmtId="0" fontId="3" fillId="3" borderId="11" xfId="0" applyNumberFormat="1" applyFont="1" applyFill="1" applyBorder="1" applyAlignment="1">
      <alignment horizontal="center" vertical="center" wrapText="1"/>
    </xf>
    <xf numFmtId="0" fontId="3" fillId="3" borderId="15" xfId="0" applyNumberFormat="1" applyFont="1" applyFill="1" applyBorder="1" applyAlignment="1">
      <alignment horizontal="center" vertical="center" wrapText="1"/>
    </xf>
    <xf numFmtId="0" fontId="3" fillId="3" borderId="14" xfId="0" applyNumberFormat="1" applyFont="1" applyFill="1" applyBorder="1" applyAlignment="1">
      <alignment horizontal="center" vertical="center" wrapText="1"/>
    </xf>
    <xf numFmtId="4" fontId="47" fillId="13" borderId="2" xfId="0" applyNumberFormat="1" applyFont="1" applyFill="1" applyBorder="1" applyAlignment="1">
      <alignment horizontal="center" vertical="center"/>
    </xf>
    <xf numFmtId="4" fontId="47" fillId="13" borderId="7" xfId="0" applyNumberFormat="1" applyFont="1" applyFill="1" applyBorder="1" applyAlignment="1">
      <alignment horizontal="center" vertical="center"/>
    </xf>
    <xf numFmtId="0" fontId="47" fillId="0" borderId="2" xfId="0" quotePrefix="1" applyNumberFormat="1" applyFont="1" applyFill="1" applyBorder="1" applyAlignment="1">
      <alignment horizontal="left" vertical="center" wrapText="1"/>
    </xf>
    <xf numFmtId="0" fontId="47" fillId="0" borderId="3" xfId="0" quotePrefix="1" applyNumberFormat="1" applyFont="1" applyFill="1" applyBorder="1" applyAlignment="1">
      <alignment horizontal="left" vertical="center" wrapText="1"/>
    </xf>
    <xf numFmtId="0" fontId="47" fillId="0" borderId="7" xfId="0" quotePrefix="1" applyNumberFormat="1" applyFont="1" applyFill="1" applyBorder="1" applyAlignment="1">
      <alignment horizontal="left" vertical="center" wrapText="1"/>
    </xf>
    <xf numFmtId="0" fontId="47" fillId="0" borderId="2" xfId="0" quotePrefix="1" applyNumberFormat="1" applyFont="1" applyFill="1" applyBorder="1" applyAlignment="1">
      <alignment horizontal="center" vertical="center" wrapText="1"/>
    </xf>
    <xf numFmtId="0" fontId="47" fillId="0" borderId="3" xfId="0" quotePrefix="1" applyNumberFormat="1" applyFont="1" applyFill="1" applyBorder="1" applyAlignment="1">
      <alignment horizontal="center" vertical="center" wrapText="1"/>
    </xf>
    <xf numFmtId="0" fontId="47" fillId="0" borderId="7" xfId="0" quotePrefix="1" applyNumberFormat="1" applyFont="1" applyFill="1" applyBorder="1" applyAlignment="1">
      <alignment horizontal="center" vertical="center" wrapText="1"/>
    </xf>
    <xf numFmtId="4" fontId="47" fillId="0" borderId="2" xfId="0" quotePrefix="1" applyNumberFormat="1" applyFont="1" applyFill="1" applyBorder="1" applyAlignment="1">
      <alignment horizontal="right" vertical="center"/>
    </xf>
    <xf numFmtId="4" fontId="47" fillId="0" borderId="3" xfId="0" quotePrefix="1" applyNumberFormat="1" applyFont="1" applyFill="1" applyBorder="1" applyAlignment="1">
      <alignment horizontal="right" vertical="center"/>
    </xf>
    <xf numFmtId="4" fontId="47" fillId="0" borderId="7" xfId="0" quotePrefix="1" applyNumberFormat="1" applyFont="1" applyFill="1" applyBorder="1" applyAlignment="1">
      <alignment horizontal="right" vertical="center"/>
    </xf>
    <xf numFmtId="0" fontId="58" fillId="9" borderId="14" xfId="0" applyNumberFormat="1" applyFont="1" applyFill="1" applyBorder="1" applyAlignment="1">
      <alignment horizontal="left" vertical="center" wrapText="1"/>
    </xf>
    <xf numFmtId="0" fontId="58" fillId="9" borderId="10" xfId="0" applyNumberFormat="1" applyFont="1" applyFill="1" applyBorder="1" applyAlignment="1">
      <alignment horizontal="left" vertical="center" wrapText="1"/>
    </xf>
    <xf numFmtId="0" fontId="47" fillId="9" borderId="4" xfId="0" applyNumberFormat="1" applyFont="1" applyFill="1" applyBorder="1" applyAlignment="1">
      <alignment horizontal="left" vertical="center" wrapText="1"/>
    </xf>
    <xf numFmtId="0" fontId="47" fillId="9" borderId="6" xfId="0" applyNumberFormat="1" applyFont="1" applyFill="1" applyBorder="1" applyAlignment="1">
      <alignment horizontal="left" vertical="center" wrapText="1"/>
    </xf>
    <xf numFmtId="0" fontId="47" fillId="9" borderId="14" xfId="0" applyNumberFormat="1" applyFont="1" applyFill="1" applyBorder="1" applyAlignment="1">
      <alignment horizontal="left" vertical="center" wrapText="1"/>
    </xf>
    <xf numFmtId="0" fontId="47" fillId="9" borderId="10" xfId="0" applyNumberFormat="1" applyFont="1" applyFill="1" applyBorder="1" applyAlignment="1">
      <alignment horizontal="left" vertical="center" wrapText="1"/>
    </xf>
    <xf numFmtId="0" fontId="48" fillId="0" borderId="1" xfId="0" applyFont="1" applyFill="1" applyBorder="1" applyAlignment="1">
      <alignment horizontal="center" vertical="center"/>
    </xf>
    <xf numFmtId="4" fontId="48" fillId="0" borderId="2" xfId="0" applyNumberFormat="1" applyFont="1" applyFill="1" applyBorder="1" applyAlignment="1">
      <alignment horizontal="right" vertical="center" wrapText="1"/>
    </xf>
    <xf numFmtId="4" fontId="48" fillId="0" borderId="3" xfId="0" applyNumberFormat="1" applyFont="1" applyFill="1" applyBorder="1" applyAlignment="1">
      <alignment horizontal="right" vertical="center" wrapText="1"/>
    </xf>
    <xf numFmtId="4" fontId="48" fillId="0" borderId="7" xfId="0" applyNumberFormat="1" applyFont="1" applyFill="1" applyBorder="1" applyAlignment="1">
      <alignment horizontal="right" vertical="center" wrapText="1"/>
    </xf>
    <xf numFmtId="0" fontId="47" fillId="13" borderId="11" xfId="0" applyNumberFormat="1" applyFont="1" applyFill="1" applyBorder="1" applyAlignment="1">
      <alignment horizontal="center" vertical="center" wrapText="1"/>
    </xf>
    <xf numFmtId="0" fontId="47" fillId="13" borderId="13" xfId="0" applyNumberFormat="1" applyFont="1" applyFill="1" applyBorder="1" applyAlignment="1">
      <alignment horizontal="center" vertical="center" wrapText="1"/>
    </xf>
    <xf numFmtId="0" fontId="47" fillId="13" borderId="14" xfId="0" applyNumberFormat="1" applyFont="1" applyFill="1" applyBorder="1" applyAlignment="1">
      <alignment horizontal="center" vertical="center" wrapText="1"/>
    </xf>
    <xf numFmtId="0" fontId="47" fillId="13" borderId="9" xfId="0" applyNumberFormat="1" applyFont="1" applyFill="1" applyBorder="1" applyAlignment="1">
      <alignment horizontal="center" vertical="center" wrapText="1"/>
    </xf>
    <xf numFmtId="0" fontId="47" fillId="13" borderId="4" xfId="0" applyNumberFormat="1" applyFont="1" applyFill="1" applyBorder="1" applyAlignment="1">
      <alignment horizontal="left" vertical="center"/>
    </xf>
    <xf numFmtId="0" fontId="47" fillId="13" borderId="5" xfId="0" applyNumberFormat="1" applyFont="1" applyFill="1" applyBorder="1" applyAlignment="1">
      <alignment horizontal="left" vertical="center"/>
    </xf>
    <xf numFmtId="0" fontId="47" fillId="13" borderId="6" xfId="0" applyNumberFormat="1" applyFont="1" applyFill="1" applyBorder="1" applyAlignment="1">
      <alignment horizontal="left" vertical="center"/>
    </xf>
    <xf numFmtId="0" fontId="47" fillId="0" borderId="1" xfId="0" quotePrefix="1" applyNumberFormat="1" applyFont="1" applyFill="1" applyBorder="1" applyAlignment="1">
      <alignment horizontal="left" vertical="center" wrapText="1"/>
    </xf>
    <xf numFmtId="0" fontId="48" fillId="0" borderId="1" xfId="0" applyFont="1" applyFill="1" applyBorder="1" applyAlignment="1">
      <alignment horizontal="left" vertical="center" indent="1"/>
    </xf>
    <xf numFmtId="3" fontId="49" fillId="0" borderId="2" xfId="0" quotePrefix="1" applyNumberFormat="1" applyFont="1" applyFill="1" applyBorder="1" applyAlignment="1">
      <alignment horizontal="center" vertical="center" wrapText="1"/>
    </xf>
    <xf numFmtId="3" fontId="49" fillId="0" borderId="3" xfId="0" quotePrefix="1" applyNumberFormat="1" applyFont="1" applyFill="1" applyBorder="1" applyAlignment="1">
      <alignment horizontal="center" vertical="center" wrapText="1"/>
    </xf>
    <xf numFmtId="4" fontId="49" fillId="0" borderId="2" xfId="0" quotePrefix="1" applyNumberFormat="1" applyFont="1" applyFill="1" applyBorder="1" applyAlignment="1">
      <alignment horizontal="right" vertical="center" wrapText="1"/>
    </xf>
    <xf numFmtId="4" fontId="49" fillId="0" borderId="3" xfId="0" quotePrefix="1" applyNumberFormat="1" applyFont="1" applyFill="1" applyBorder="1" applyAlignment="1">
      <alignment horizontal="right" vertical="center" wrapText="1"/>
    </xf>
    <xf numFmtId="0" fontId="49" fillId="0" borderId="2"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wrapText="1"/>
    </xf>
    <xf numFmtId="0" fontId="49" fillId="0" borderId="7" xfId="0" applyNumberFormat="1" applyFont="1" applyFill="1" applyBorder="1" applyAlignment="1">
      <alignment horizontal="center" vertical="center" wrapText="1"/>
    </xf>
    <xf numFmtId="3" fontId="2" fillId="3" borderId="3" xfId="0" applyNumberFormat="1"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16" borderId="9" xfId="0" applyFont="1" applyFill="1" applyBorder="1" applyAlignment="1">
      <alignment horizontal="center" vertical="center" wrapText="1"/>
    </xf>
    <xf numFmtId="4" fontId="48" fillId="0" borderId="1" xfId="0" applyNumberFormat="1" applyFont="1" applyFill="1" applyBorder="1" applyAlignment="1">
      <alignment horizontal="right" vertical="center"/>
    </xf>
    <xf numFmtId="0" fontId="16" fillId="3" borderId="3" xfId="0" applyNumberFormat="1" applyFont="1" applyFill="1" applyBorder="1" applyAlignment="1">
      <alignment horizontal="center" vertical="center" wrapText="1"/>
    </xf>
    <xf numFmtId="0" fontId="18" fillId="3" borderId="2" xfId="0" applyNumberFormat="1" applyFont="1" applyFill="1" applyBorder="1" applyAlignment="1">
      <alignment horizontal="center" vertical="center" wrapText="1"/>
    </xf>
    <xf numFmtId="0" fontId="18" fillId="3" borderId="3" xfId="0" applyNumberFormat="1" applyFont="1" applyFill="1" applyBorder="1" applyAlignment="1">
      <alignment horizontal="center" vertical="center" wrapText="1"/>
    </xf>
    <xf numFmtId="0" fontId="17" fillId="3" borderId="7" xfId="0" applyFont="1" applyFill="1" applyBorder="1" applyAlignment="1">
      <alignment horizontal="left" vertical="center" indent="1"/>
    </xf>
    <xf numFmtId="0" fontId="17" fillId="3" borderId="1" xfId="0" applyFont="1" applyFill="1" applyBorder="1" applyAlignment="1">
      <alignment horizontal="left" vertical="center" indent="1"/>
    </xf>
    <xf numFmtId="3" fontId="17" fillId="3" borderId="7"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0" fontId="17" fillId="3" borderId="7"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7" fillId="3" borderId="2"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2" fillId="2" borderId="2" xfId="0" applyNumberFormat="1" applyFont="1" applyFill="1" applyBorder="1" applyAlignment="1">
      <alignment horizontal="center" wrapText="1"/>
    </xf>
    <xf numFmtId="0" fontId="2" fillId="2" borderId="7" xfId="0" applyNumberFormat="1" applyFont="1" applyFill="1" applyBorder="1" applyAlignment="1">
      <alignment horizontal="center" wrapText="1"/>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7" xfId="0" applyFont="1" applyFill="1" applyBorder="1" applyAlignment="1">
      <alignment horizontal="center" vertical="center" wrapText="1"/>
    </xf>
    <xf numFmtId="3" fontId="17" fillId="3" borderId="2" xfId="0" applyNumberFormat="1" applyFont="1" applyFill="1" applyBorder="1" applyAlignment="1">
      <alignment horizontal="center" vertical="center"/>
    </xf>
    <xf numFmtId="3" fontId="17" fillId="3" borderId="3" xfId="0" applyNumberFormat="1" applyFont="1" applyFill="1" applyBorder="1" applyAlignment="1">
      <alignment horizontal="center" vertical="center"/>
    </xf>
    <xf numFmtId="0" fontId="29" fillId="3" borderId="3" xfId="0" applyNumberFormat="1" applyFont="1" applyFill="1" applyBorder="1" applyAlignment="1">
      <alignment horizontal="center" vertical="center" wrapText="1"/>
    </xf>
    <xf numFmtId="3" fontId="29" fillId="3" borderId="2" xfId="0" quotePrefix="1" applyNumberFormat="1" applyFont="1" applyFill="1" applyBorder="1" applyAlignment="1">
      <alignment horizontal="center" vertical="center" wrapText="1"/>
    </xf>
    <xf numFmtId="3" fontId="29" fillId="3" borderId="3" xfId="0" quotePrefix="1" applyNumberFormat="1" applyFont="1" applyFill="1" applyBorder="1" applyAlignment="1">
      <alignment horizontal="center" vertical="center" wrapText="1"/>
    </xf>
    <xf numFmtId="0" fontId="16" fillId="3" borderId="2" xfId="0" applyNumberFormat="1" applyFont="1" applyFill="1" applyBorder="1" applyAlignment="1">
      <alignment horizontal="left" vertical="center"/>
    </xf>
    <xf numFmtId="0" fontId="16" fillId="3" borderId="3" xfId="0" applyNumberFormat="1" applyFont="1" applyFill="1" applyBorder="1" applyAlignment="1">
      <alignment horizontal="left" vertical="center"/>
    </xf>
    <xf numFmtId="0" fontId="16" fillId="3" borderId="7" xfId="0" applyNumberFormat="1" applyFont="1" applyFill="1" applyBorder="1" applyAlignment="1">
      <alignment horizontal="left" vertical="center"/>
    </xf>
    <xf numFmtId="0" fontId="17" fillId="3" borderId="7" xfId="0" applyFont="1" applyFill="1" applyBorder="1" applyAlignment="1">
      <alignment horizontal="center"/>
    </xf>
    <xf numFmtId="0" fontId="17" fillId="3" borderId="1" xfId="0" applyFont="1" applyFill="1" applyBorder="1" applyAlignment="1">
      <alignment horizontal="center"/>
    </xf>
    <xf numFmtId="0" fontId="4" fillId="3" borderId="10" xfId="0" applyFont="1" applyFill="1" applyBorder="1" applyAlignment="1">
      <alignment horizontal="center"/>
    </xf>
    <xf numFmtId="0" fontId="16" fillId="3" borderId="2" xfId="0" applyFont="1" applyFill="1" applyBorder="1" applyAlignment="1">
      <alignment horizontal="center" vertical="center" textRotation="90"/>
    </xf>
    <xf numFmtId="0" fontId="16" fillId="3" borderId="3" xfId="0" applyFont="1" applyFill="1" applyBorder="1" applyAlignment="1">
      <alignment horizontal="center" vertical="center" textRotation="90"/>
    </xf>
    <xf numFmtId="0" fontId="16" fillId="3" borderId="7" xfId="0" applyFont="1" applyFill="1" applyBorder="1" applyAlignment="1">
      <alignment horizontal="center" vertical="center" textRotation="90"/>
    </xf>
    <xf numFmtId="0" fontId="16" fillId="3" borderId="1" xfId="0" applyFont="1" applyFill="1" applyBorder="1" applyAlignment="1">
      <alignment horizontal="left" vertical="center"/>
    </xf>
    <xf numFmtId="0" fontId="16" fillId="3" borderId="4" xfId="0" applyFont="1" applyFill="1" applyBorder="1" applyAlignment="1">
      <alignment horizontal="left" vertical="center"/>
    </xf>
    <xf numFmtId="0" fontId="16" fillId="3" borderId="4" xfId="0" applyNumberFormat="1" applyFont="1" applyFill="1" applyBorder="1" applyAlignment="1">
      <alignment vertical="center" wrapText="1"/>
    </xf>
    <xf numFmtId="0" fontId="16" fillId="3" borderId="5" xfId="0" applyNumberFormat="1" applyFont="1" applyFill="1" applyBorder="1" applyAlignment="1">
      <alignment vertical="center" wrapText="1"/>
    </xf>
    <xf numFmtId="0" fontId="16" fillId="5" borderId="4" xfId="0" applyNumberFormat="1" applyFont="1" applyFill="1" applyBorder="1" applyAlignment="1">
      <alignment vertical="center" wrapText="1"/>
    </xf>
    <xf numFmtId="0" fontId="16" fillId="5" borderId="5" xfId="0" applyNumberFormat="1" applyFont="1" applyFill="1" applyBorder="1" applyAlignment="1">
      <alignment vertical="center" wrapText="1"/>
    </xf>
    <xf numFmtId="0" fontId="16" fillId="3" borderId="1" xfId="0" applyFont="1" applyFill="1" applyBorder="1" applyAlignment="1">
      <alignment horizontal="center" vertical="center" textRotation="90"/>
    </xf>
    <xf numFmtId="0" fontId="16" fillId="3" borderId="1" xfId="0" applyNumberFormat="1" applyFont="1" applyFill="1" applyBorder="1" applyAlignment="1">
      <alignment vertical="center" wrapText="1"/>
    </xf>
    <xf numFmtId="0" fontId="16" fillId="3" borderId="1" xfId="0" applyNumberFormat="1" applyFont="1" applyFill="1" applyBorder="1" applyAlignment="1">
      <alignment horizontal="left" vertical="center"/>
    </xf>
    <xf numFmtId="0" fontId="16" fillId="3" borderId="11" xfId="0" applyNumberFormat="1" applyFont="1" applyFill="1" applyBorder="1" applyAlignment="1">
      <alignment horizontal="center" vertical="center" wrapText="1"/>
    </xf>
    <xf numFmtId="0" fontId="16" fillId="3" borderId="12" xfId="0" applyNumberFormat="1" applyFont="1" applyFill="1" applyBorder="1" applyAlignment="1">
      <alignment horizontal="center" vertical="center" wrapText="1"/>
    </xf>
    <xf numFmtId="0" fontId="16" fillId="3" borderId="13" xfId="0" applyNumberFormat="1" applyFont="1" applyFill="1" applyBorder="1" applyAlignment="1">
      <alignment horizontal="center" vertical="center" wrapText="1"/>
    </xf>
    <xf numFmtId="0" fontId="16" fillId="3" borderId="14" xfId="0" applyNumberFormat="1" applyFont="1" applyFill="1" applyBorder="1" applyAlignment="1">
      <alignment horizontal="center" vertical="center" wrapText="1"/>
    </xf>
    <xf numFmtId="0" fontId="16" fillId="3" borderId="10" xfId="0" applyNumberFormat="1" applyFont="1" applyFill="1" applyBorder="1" applyAlignment="1">
      <alignment horizontal="center" vertical="center" wrapText="1"/>
    </xf>
    <xf numFmtId="0" fontId="16" fillId="3" borderId="9" xfId="0" applyNumberFormat="1" applyFont="1" applyFill="1" applyBorder="1" applyAlignment="1">
      <alignment horizontal="center" vertical="center" wrapText="1"/>
    </xf>
    <xf numFmtId="0" fontId="16" fillId="3" borderId="1" xfId="0" applyNumberFormat="1" applyFont="1" applyFill="1" applyBorder="1" applyAlignment="1">
      <alignment horizontal="left" vertical="center" wrapText="1"/>
    </xf>
    <xf numFmtId="0" fontId="16" fillId="3" borderId="4" xfId="0" applyNumberFormat="1" applyFont="1" applyFill="1" applyBorder="1" applyAlignment="1">
      <alignment horizontal="center" vertical="center"/>
    </xf>
    <xf numFmtId="0" fontId="16" fillId="3" borderId="5" xfId="0" applyNumberFormat="1" applyFont="1" applyFill="1" applyBorder="1" applyAlignment="1">
      <alignment horizontal="center" vertical="center"/>
    </xf>
    <xf numFmtId="0" fontId="16" fillId="3" borderId="6" xfId="0" applyNumberFormat="1" applyFont="1" applyFill="1" applyBorder="1" applyAlignment="1">
      <alignment horizontal="center" vertical="center"/>
    </xf>
    <xf numFmtId="0" fontId="16" fillId="3" borderId="1" xfId="0" applyNumberFormat="1" applyFont="1" applyFill="1" applyBorder="1" applyAlignment="1">
      <alignment horizontal="center" vertical="center"/>
    </xf>
    <xf numFmtId="0" fontId="29" fillId="3" borderId="2" xfId="0" quotePrefix="1" applyNumberFormat="1" applyFont="1" applyFill="1" applyBorder="1" applyAlignment="1">
      <alignment vertical="center" wrapText="1"/>
    </xf>
    <xf numFmtId="0" fontId="29" fillId="3" borderId="3" xfId="0" quotePrefix="1" applyNumberFormat="1" applyFont="1" applyFill="1" applyBorder="1" applyAlignment="1">
      <alignment vertical="center" wrapText="1"/>
    </xf>
    <xf numFmtId="0" fontId="29" fillId="3" borderId="4" xfId="0" applyNumberFormat="1" applyFont="1" applyFill="1" applyBorder="1" applyAlignment="1">
      <alignment horizontal="left" vertical="center" wrapText="1"/>
    </xf>
    <xf numFmtId="0" fontId="29" fillId="3" borderId="6" xfId="0" applyNumberFormat="1" applyFont="1" applyFill="1" applyBorder="1" applyAlignment="1">
      <alignment horizontal="left" vertical="center" wrapText="1"/>
    </xf>
    <xf numFmtId="0" fontId="29" fillId="3" borderId="2" xfId="0" applyNumberFormat="1" applyFont="1" applyFill="1" applyBorder="1" applyAlignment="1">
      <alignment horizontal="left" vertical="center" wrapText="1"/>
    </xf>
    <xf numFmtId="0" fontId="29" fillId="3" borderId="3" xfId="0" applyNumberFormat="1" applyFont="1" applyFill="1" applyBorder="1" applyAlignment="1">
      <alignment horizontal="left" vertical="center" wrapText="1"/>
    </xf>
    <xf numFmtId="0" fontId="29" fillId="3" borderId="1" xfId="0" applyNumberFormat="1" applyFont="1" applyFill="1" applyBorder="1" applyAlignment="1">
      <alignment horizontal="left" vertical="center" wrapText="1"/>
    </xf>
    <xf numFmtId="0" fontId="23" fillId="3" borderId="1" xfId="0" applyNumberFormat="1" applyFont="1" applyFill="1" applyBorder="1" applyAlignment="1">
      <alignment vertical="center" wrapText="1"/>
    </xf>
    <xf numFmtId="3" fontId="55" fillId="3" borderId="2" xfId="0" applyNumberFormat="1" applyFont="1" applyFill="1" applyBorder="1" applyAlignment="1">
      <alignment horizontal="left" vertical="center" wrapText="1"/>
    </xf>
    <xf numFmtId="3" fontId="55" fillId="3" borderId="3" xfId="0" applyNumberFormat="1" applyFont="1" applyFill="1" applyBorder="1" applyAlignment="1">
      <alignment horizontal="left" vertical="center" wrapText="1"/>
    </xf>
    <xf numFmtId="3" fontId="55" fillId="3" borderId="7" xfId="0" applyNumberFormat="1" applyFont="1" applyFill="1" applyBorder="1" applyAlignment="1">
      <alignment horizontal="left" vertical="center" wrapText="1"/>
    </xf>
    <xf numFmtId="3" fontId="70" fillId="3" borderId="2" xfId="0" applyNumberFormat="1" applyFont="1" applyFill="1" applyBorder="1" applyAlignment="1">
      <alignment horizontal="left" vertical="center" wrapText="1"/>
    </xf>
    <xf numFmtId="3" fontId="70" fillId="3" borderId="3" xfId="0" applyNumberFormat="1" applyFont="1" applyFill="1" applyBorder="1" applyAlignment="1">
      <alignment horizontal="left" vertical="center" wrapText="1"/>
    </xf>
    <xf numFmtId="3" fontId="70" fillId="3" borderId="7" xfId="0" applyNumberFormat="1" applyFont="1" applyFill="1" applyBorder="1" applyAlignment="1">
      <alignment horizontal="left" vertical="center" wrapText="1"/>
    </xf>
    <xf numFmtId="0" fontId="16" fillId="3" borderId="3" xfId="0" applyNumberFormat="1" applyFont="1" applyFill="1" applyBorder="1" applyAlignment="1">
      <alignment horizontal="left" vertical="center" wrapText="1"/>
    </xf>
    <xf numFmtId="2" fontId="52" fillId="3" borderId="2" xfId="0" applyNumberFormat="1" applyFont="1" applyFill="1" applyBorder="1" applyAlignment="1">
      <alignment horizontal="left" vertical="center" wrapText="1"/>
    </xf>
    <xf numFmtId="2" fontId="52" fillId="3" borderId="3" xfId="0" applyNumberFormat="1" applyFont="1" applyFill="1" applyBorder="1" applyAlignment="1">
      <alignment horizontal="left" vertical="center" wrapText="1"/>
    </xf>
    <xf numFmtId="2" fontId="52" fillId="3" borderId="7" xfId="0" applyNumberFormat="1" applyFont="1" applyFill="1" applyBorder="1" applyAlignment="1">
      <alignment horizontal="left" vertical="center" wrapText="1"/>
    </xf>
    <xf numFmtId="3" fontId="16" fillId="3" borderId="2" xfId="0" applyNumberFormat="1" applyFont="1" applyFill="1" applyBorder="1" applyAlignment="1">
      <alignment horizontal="center" vertical="center"/>
    </xf>
    <xf numFmtId="3" fontId="16" fillId="3" borderId="3" xfId="0" applyNumberFormat="1" applyFont="1" applyFill="1" applyBorder="1" applyAlignment="1">
      <alignment horizontal="center" vertical="center"/>
    </xf>
    <xf numFmtId="3" fontId="16" fillId="3" borderId="7" xfId="0" applyNumberFormat="1" applyFont="1" applyFill="1" applyBorder="1" applyAlignment="1">
      <alignment horizontal="center" vertical="center"/>
    </xf>
    <xf numFmtId="3" fontId="70" fillId="3" borderId="2" xfId="0" applyNumberFormat="1" applyFont="1" applyFill="1" applyBorder="1" applyAlignment="1">
      <alignment horizontal="center" vertical="center" wrapText="1"/>
    </xf>
    <xf numFmtId="3" fontId="70" fillId="3" borderId="3" xfId="0" applyNumberFormat="1" applyFont="1" applyFill="1" applyBorder="1" applyAlignment="1">
      <alignment horizontal="center" vertical="center" wrapText="1"/>
    </xf>
    <xf numFmtId="3" fontId="70" fillId="3" borderId="7" xfId="0" applyNumberFormat="1" applyFont="1" applyFill="1" applyBorder="1" applyAlignment="1">
      <alignment horizontal="center" vertical="center" wrapText="1"/>
    </xf>
    <xf numFmtId="2" fontId="29" fillId="3" borderId="2" xfId="0" applyNumberFormat="1" applyFont="1" applyFill="1" applyBorder="1" applyAlignment="1">
      <alignment horizontal="left" vertical="center" wrapText="1"/>
    </xf>
    <xf numFmtId="2" fontId="29" fillId="3" borderId="3" xfId="0" applyNumberFormat="1" applyFont="1" applyFill="1" applyBorder="1" applyAlignment="1">
      <alignment horizontal="left" vertical="center" wrapText="1"/>
    </xf>
    <xf numFmtId="2" fontId="29" fillId="3" borderId="7" xfId="0" applyNumberFormat="1" applyFont="1" applyFill="1" applyBorder="1" applyAlignment="1">
      <alignment horizontal="left" vertical="center" wrapText="1"/>
    </xf>
    <xf numFmtId="0" fontId="16" fillId="3" borderId="13"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2" fontId="52" fillId="3" borderId="2" xfId="0" applyNumberFormat="1" applyFont="1" applyFill="1" applyBorder="1" applyAlignment="1">
      <alignment horizontal="center" vertical="center" wrapText="1"/>
    </xf>
    <xf numFmtId="2" fontId="52" fillId="3" borderId="3" xfId="0" applyNumberFormat="1"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7" xfId="0" applyFont="1" applyFill="1" applyBorder="1" applyAlignment="1">
      <alignment horizontal="left" vertical="center" wrapText="1"/>
    </xf>
    <xf numFmtId="170" fontId="3" fillId="0" borderId="1" xfId="2" applyNumberFormat="1" applyFont="1" applyBorder="1" applyAlignment="1">
      <alignment horizontal="left" vertical="center"/>
    </xf>
    <xf numFmtId="170" fontId="3" fillId="0" borderId="2" xfId="2" applyNumberFormat="1" applyFont="1" applyBorder="1" applyAlignment="1">
      <alignment horizontal="center" vertical="center"/>
    </xf>
    <xf numFmtId="170" fontId="3" fillId="0" borderId="3" xfId="2" applyNumberFormat="1" applyFont="1" applyBorder="1" applyAlignment="1">
      <alignment horizontal="center" vertical="center"/>
    </xf>
    <xf numFmtId="170" fontId="3" fillId="0" borderId="7" xfId="2" applyNumberFormat="1" applyFont="1" applyBorder="1" applyAlignment="1">
      <alignment horizontal="center" vertical="center"/>
    </xf>
    <xf numFmtId="170" fontId="3" fillId="0" borderId="1" xfId="2" applyNumberFormat="1" applyFont="1" applyBorder="1" applyAlignment="1">
      <alignment horizontal="center" vertical="center"/>
    </xf>
    <xf numFmtId="0" fontId="9" fillId="0" borderId="4" xfId="0" applyNumberFormat="1" applyFont="1" applyBorder="1" applyAlignment="1">
      <alignment horizontal="left" vertical="center" wrapText="1"/>
    </xf>
    <xf numFmtId="0" fontId="9" fillId="0" borderId="5" xfId="0" applyNumberFormat="1" applyFont="1" applyBorder="1" applyAlignment="1">
      <alignment horizontal="left" vertical="center" wrapText="1"/>
    </xf>
    <xf numFmtId="0" fontId="2" fillId="0" borderId="4"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7" xfId="0" applyFont="1" applyFill="1" applyBorder="1" applyAlignment="1">
      <alignment horizontal="left" vertical="center"/>
    </xf>
    <xf numFmtId="0" fontId="3" fillId="0" borderId="3" xfId="0" applyFont="1" applyFill="1" applyBorder="1" applyAlignment="1">
      <alignment horizontal="left" vertical="center" wrapText="1"/>
    </xf>
    <xf numFmtId="170" fontId="3" fillId="0" borderId="2" xfId="2" applyNumberFormat="1" applyFont="1" applyFill="1" applyBorder="1" applyAlignment="1">
      <alignment horizontal="center" vertical="center"/>
    </xf>
    <xf numFmtId="170" fontId="3" fillId="0" borderId="3" xfId="2" applyNumberFormat="1" applyFont="1" applyFill="1" applyBorder="1" applyAlignment="1">
      <alignment horizontal="center" vertical="center"/>
    </xf>
    <xf numFmtId="170" fontId="3" fillId="0" borderId="7" xfId="2" applyNumberFormat="1" applyFont="1" applyFill="1" applyBorder="1" applyAlignment="1">
      <alignment horizontal="center" vertical="center"/>
    </xf>
    <xf numFmtId="170" fontId="3" fillId="0" borderId="4" xfId="2" applyNumberFormat="1" applyFont="1" applyBorder="1" applyAlignment="1">
      <alignment horizontal="center" vertical="center"/>
    </xf>
    <xf numFmtId="170" fontId="3" fillId="0" borderId="5" xfId="2" applyNumberFormat="1" applyFont="1" applyBorder="1" applyAlignment="1">
      <alignment horizontal="center" vertical="center"/>
    </xf>
    <xf numFmtId="170" fontId="3" fillId="0" borderId="6" xfId="2" applyNumberFormat="1" applyFont="1" applyBorder="1" applyAlignment="1">
      <alignment horizontal="center" vertical="center"/>
    </xf>
    <xf numFmtId="170" fontId="3" fillId="0" borderId="4" xfId="2" applyNumberFormat="1" applyFont="1" applyBorder="1" applyAlignment="1">
      <alignment horizontal="center" vertical="center" wrapText="1"/>
    </xf>
    <xf numFmtId="170" fontId="3" fillId="0" borderId="6" xfId="2" applyNumberFormat="1" applyFont="1" applyBorder="1" applyAlignment="1">
      <alignment horizontal="center" vertical="center" wrapText="1"/>
    </xf>
    <xf numFmtId="0" fontId="8" fillId="0" borderId="4" xfId="0" applyFont="1" applyBorder="1"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9" fillId="3" borderId="1" xfId="0" applyNumberFormat="1" applyFont="1" applyFill="1" applyBorder="1" applyAlignment="1">
      <alignment horizontal="center" vertical="center"/>
    </xf>
    <xf numFmtId="0" fontId="9" fillId="3" borderId="1" xfId="0" applyNumberFormat="1" applyFont="1" applyFill="1" applyBorder="1" applyAlignment="1">
      <alignment horizontal="center" vertical="center" wrapText="1"/>
    </xf>
    <xf numFmtId="0" fontId="9" fillId="3" borderId="1" xfId="0" applyNumberFormat="1" applyFont="1" applyFill="1" applyBorder="1" applyAlignment="1">
      <alignment horizontal="left" vertical="center" wrapText="1" indent="1"/>
    </xf>
    <xf numFmtId="0" fontId="7" fillId="3" borderId="1" xfId="0" applyNumberFormat="1" applyFont="1" applyFill="1" applyBorder="1" applyAlignment="1">
      <alignment horizontal="left" vertical="center" wrapText="1" indent="1"/>
    </xf>
    <xf numFmtId="0" fontId="9" fillId="3" borderId="1" xfId="0" quotePrefix="1" applyNumberFormat="1" applyFont="1" applyFill="1" applyBorder="1" applyAlignment="1">
      <alignment horizontal="center" vertical="center"/>
    </xf>
    <xf numFmtId="170" fontId="3" fillId="0" borderId="1" xfId="2"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32" fillId="0" borderId="1" xfId="0" applyFont="1" applyBorder="1" applyAlignment="1">
      <alignment horizontal="left" vertical="center"/>
    </xf>
    <xf numFmtId="0" fontId="2" fillId="3" borderId="1" xfId="0" applyFont="1" applyFill="1" applyBorder="1" applyAlignment="1">
      <alignment horizontal="left" vertical="center"/>
    </xf>
    <xf numFmtId="0" fontId="9" fillId="0" borderId="1" xfId="0" applyFont="1" applyBorder="1" applyAlignment="1">
      <alignment horizontal="left" vertical="center" wrapText="1"/>
    </xf>
    <xf numFmtId="0" fontId="2" fillId="0" borderId="3" xfId="0" applyFont="1" applyBorder="1" applyAlignment="1">
      <alignment horizontal="left" vertical="center" wrapText="1"/>
    </xf>
    <xf numFmtId="0" fontId="7" fillId="3" borderId="2" xfId="0" applyNumberFormat="1" applyFont="1" applyFill="1" applyBorder="1" applyAlignment="1">
      <alignment horizontal="center" vertical="center" wrapText="1"/>
    </xf>
    <xf numFmtId="0" fontId="7" fillId="3" borderId="7" xfId="0" applyNumberFormat="1" applyFont="1" applyFill="1" applyBorder="1" applyAlignment="1">
      <alignment horizontal="center" vertical="center" wrapText="1"/>
    </xf>
    <xf numFmtId="170" fontId="3" fillId="0" borderId="1" xfId="2" applyNumberFormat="1" applyFont="1" applyBorder="1" applyAlignment="1">
      <alignment horizontal="center" vertical="center" wrapText="1"/>
    </xf>
    <xf numFmtId="170" fontId="3" fillId="0" borderId="2" xfId="2" applyNumberFormat="1" applyFont="1" applyBorder="1" applyAlignment="1">
      <alignment horizontal="right" vertical="center"/>
    </xf>
    <xf numFmtId="170" fontId="3" fillId="0" borderId="7" xfId="2" applyNumberFormat="1" applyFont="1" applyBorder="1" applyAlignment="1">
      <alignment horizontal="right" vertical="center"/>
    </xf>
    <xf numFmtId="170" fontId="3" fillId="0" borderId="13" xfId="2" applyNumberFormat="1" applyFont="1" applyBorder="1" applyAlignment="1">
      <alignment horizontal="center" vertical="center"/>
    </xf>
    <xf numFmtId="170" fontId="3" fillId="0" borderId="8" xfId="2" applyNumberFormat="1" applyFont="1" applyBorder="1" applyAlignment="1">
      <alignment horizontal="center" vertical="center"/>
    </xf>
    <xf numFmtId="170" fontId="3" fillId="0" borderId="9" xfId="2" applyNumberFormat="1" applyFont="1" applyBorder="1" applyAlignment="1">
      <alignment horizontal="center" vertical="center"/>
    </xf>
    <xf numFmtId="170" fontId="3" fillId="0" borderId="2" xfId="2" applyNumberFormat="1" applyFont="1" applyBorder="1" applyAlignment="1">
      <alignment horizontal="center"/>
    </xf>
    <xf numFmtId="170" fontId="3" fillId="0" borderId="7" xfId="2" applyNumberFormat="1" applyFont="1" applyBorder="1" applyAlignment="1">
      <alignment horizontal="center"/>
    </xf>
    <xf numFmtId="170" fontId="3" fillId="0" borderId="5" xfId="2" applyNumberFormat="1" applyFont="1" applyBorder="1" applyAlignment="1">
      <alignment horizontal="center" vertical="center" wrapText="1"/>
    </xf>
    <xf numFmtId="0" fontId="3" fillId="0" borderId="4" xfId="0" applyNumberFormat="1" applyFont="1" applyBorder="1" applyAlignment="1">
      <alignment vertical="center" wrapText="1"/>
    </xf>
    <xf numFmtId="0" fontId="3" fillId="0" borderId="5" xfId="0" applyNumberFormat="1" applyFont="1" applyBorder="1" applyAlignment="1">
      <alignment vertical="center" wrapText="1"/>
    </xf>
    <xf numFmtId="0" fontId="3" fillId="0" borderId="6" xfId="0" applyNumberFormat="1" applyFont="1" applyBorder="1" applyAlignment="1">
      <alignment vertical="center" wrapText="1"/>
    </xf>
    <xf numFmtId="0" fontId="7" fillId="3" borderId="4" xfId="0" applyNumberFormat="1" applyFont="1" applyFill="1" applyBorder="1" applyAlignment="1">
      <alignment vertical="center" wrapText="1"/>
    </xf>
    <xf numFmtId="0" fontId="7" fillId="3" borderId="6" xfId="0" applyNumberFormat="1" applyFont="1" applyFill="1" applyBorder="1" applyAlignment="1">
      <alignment vertical="center" wrapText="1"/>
    </xf>
    <xf numFmtId="0" fontId="7" fillId="3" borderId="4" xfId="0" applyNumberFormat="1" applyFont="1" applyFill="1" applyBorder="1" applyAlignment="1">
      <alignment horizontal="left" vertical="center" wrapText="1"/>
    </xf>
    <xf numFmtId="0" fontId="7" fillId="3" borderId="6" xfId="0" applyNumberFormat="1" applyFont="1" applyFill="1" applyBorder="1" applyAlignment="1">
      <alignment horizontal="left" vertical="center" wrapText="1"/>
    </xf>
    <xf numFmtId="0" fontId="2" fillId="2" borderId="1" xfId="0" applyNumberFormat="1" applyFont="1" applyFill="1" applyBorder="1" applyAlignment="1">
      <alignment horizontal="right" vertical="center"/>
    </xf>
    <xf numFmtId="170" fontId="9" fillId="3" borderId="2" xfId="0" applyNumberFormat="1" applyFont="1" applyFill="1" applyBorder="1" applyAlignment="1">
      <alignment horizontal="center" vertical="center" wrapText="1"/>
    </xf>
    <xf numFmtId="170" fontId="9" fillId="3" borderId="7" xfId="0" applyNumberFormat="1" applyFont="1" applyFill="1" applyBorder="1" applyAlignment="1">
      <alignment horizontal="center" vertical="center" wrapText="1"/>
    </xf>
    <xf numFmtId="170" fontId="3" fillId="0" borderId="2" xfId="2" quotePrefix="1" applyNumberFormat="1" applyFont="1" applyBorder="1" applyAlignment="1">
      <alignment horizontal="center" vertical="center" wrapText="1"/>
    </xf>
    <xf numFmtId="170" fontId="3" fillId="0" borderId="3" xfId="2" quotePrefix="1" applyNumberFormat="1" applyFont="1" applyBorder="1" applyAlignment="1">
      <alignment horizontal="center" vertical="center" wrapText="1"/>
    </xf>
    <xf numFmtId="170" fontId="3" fillId="0" borderId="7" xfId="2" quotePrefix="1" applyNumberFormat="1" applyFont="1" applyBorder="1" applyAlignment="1">
      <alignment horizontal="center" vertical="center" wrapText="1"/>
    </xf>
    <xf numFmtId="0" fontId="2" fillId="2" borderId="2" xfId="0" applyNumberFormat="1" applyFont="1" applyFill="1" applyBorder="1" applyAlignment="1">
      <alignment horizontal="left" vertical="center" wrapText="1" indent="1"/>
    </xf>
    <xf numFmtId="0" fontId="2" fillId="2" borderId="7" xfId="0" applyNumberFormat="1" applyFont="1" applyFill="1" applyBorder="1" applyAlignment="1">
      <alignment horizontal="left" vertical="center" wrapText="1" indent="1"/>
    </xf>
    <xf numFmtId="170" fontId="3" fillId="0" borderId="2" xfId="2" applyNumberFormat="1" applyFont="1" applyBorder="1" applyAlignment="1">
      <alignment horizontal="left" vertical="center" wrapText="1"/>
    </xf>
    <xf numFmtId="170" fontId="3" fillId="0" borderId="7" xfId="2" applyNumberFormat="1" applyFont="1" applyBorder="1" applyAlignment="1">
      <alignment horizontal="left" vertical="center" wrapText="1"/>
    </xf>
    <xf numFmtId="170" fontId="3" fillId="0" borderId="2" xfId="2" applyNumberFormat="1" applyFont="1" applyFill="1" applyBorder="1" applyAlignment="1">
      <alignment horizontal="center"/>
    </xf>
    <xf numFmtId="170" fontId="3" fillId="0" borderId="7" xfId="2" applyNumberFormat="1" applyFont="1" applyFill="1" applyBorder="1" applyAlignment="1">
      <alignment horizontal="center"/>
    </xf>
    <xf numFmtId="0" fontId="2" fillId="0" borderId="2" xfId="0" applyNumberFormat="1" applyFont="1" applyFill="1" applyBorder="1" applyAlignment="1">
      <alignment horizontal="left" vertical="center" wrapText="1"/>
    </xf>
    <xf numFmtId="0" fontId="2" fillId="0" borderId="3" xfId="0" applyNumberFormat="1" applyFont="1" applyFill="1" applyBorder="1" applyAlignment="1">
      <alignment horizontal="left" vertical="center" wrapText="1"/>
    </xf>
    <xf numFmtId="0" fontId="2" fillId="0" borderId="4" xfId="0" applyNumberFormat="1" applyFont="1" applyFill="1" applyBorder="1" applyAlignment="1">
      <alignment vertical="center" wrapText="1"/>
    </xf>
    <xf numFmtId="0" fontId="2" fillId="0" borderId="5" xfId="0" applyNumberFormat="1" applyFont="1" applyFill="1" applyBorder="1" applyAlignment="1">
      <alignment vertical="center" wrapText="1"/>
    </xf>
    <xf numFmtId="0" fontId="2" fillId="0" borderId="11" xfId="0" applyNumberFormat="1" applyFont="1" applyFill="1" applyBorder="1" applyAlignment="1">
      <alignment vertical="center" wrapText="1"/>
    </xf>
    <xf numFmtId="0" fontId="2" fillId="0" borderId="12" xfId="0" applyNumberFormat="1" applyFont="1" applyFill="1" applyBorder="1" applyAlignment="1">
      <alignmen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7" xfId="0" applyFont="1" applyBorder="1" applyAlignment="1">
      <alignment horizontal="left" vertical="center" wrapText="1"/>
    </xf>
    <xf numFmtId="0" fontId="2" fillId="0" borderId="22" xfId="0" applyNumberFormat="1" applyFont="1" applyFill="1" applyBorder="1" applyAlignment="1">
      <alignment horizontal="center" vertical="center" wrapText="1"/>
    </xf>
    <xf numFmtId="0" fontId="2" fillId="0" borderId="24" xfId="0" applyNumberFormat="1" applyFont="1" applyFill="1" applyBorder="1" applyAlignment="1">
      <alignment horizontal="center" vertical="center" wrapText="1"/>
    </xf>
    <xf numFmtId="0" fontId="2" fillId="0" borderId="11" xfId="0" applyNumberFormat="1" applyFont="1" applyFill="1" applyBorder="1" applyAlignment="1">
      <alignment horizontal="left" vertical="center" wrapText="1"/>
    </xf>
    <xf numFmtId="0" fontId="2" fillId="0" borderId="12" xfId="0" applyNumberFormat="1" applyFont="1" applyFill="1" applyBorder="1" applyAlignment="1">
      <alignment horizontal="left" vertical="center" wrapText="1"/>
    </xf>
    <xf numFmtId="0" fontId="2" fillId="0" borderId="13" xfId="0" applyNumberFormat="1" applyFont="1" applyFill="1" applyBorder="1" applyAlignment="1">
      <alignment horizontal="left" vertical="center" wrapText="1"/>
    </xf>
    <xf numFmtId="0" fontId="2" fillId="0" borderId="14" xfId="0" applyNumberFormat="1" applyFont="1" applyFill="1" applyBorder="1" applyAlignment="1">
      <alignment horizontal="left" vertical="center" wrapText="1"/>
    </xf>
    <xf numFmtId="0" fontId="2" fillId="0" borderId="10" xfId="0" applyNumberFormat="1" applyFont="1" applyFill="1" applyBorder="1" applyAlignment="1">
      <alignment horizontal="left" vertical="center" wrapText="1"/>
    </xf>
    <xf numFmtId="0" fontId="2" fillId="0" borderId="9" xfId="0" applyNumberFormat="1" applyFont="1" applyFill="1" applyBorder="1" applyAlignment="1">
      <alignment horizontal="left" vertical="center" wrapText="1"/>
    </xf>
    <xf numFmtId="0" fontId="2" fillId="0" borderId="9" xfId="0" applyNumberFormat="1" applyFont="1" applyFill="1" applyBorder="1" applyAlignment="1">
      <alignment horizontal="center" vertical="center" wrapText="1"/>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 fillId="0" borderId="4" xfId="0" applyNumberFormat="1" applyFont="1" applyFill="1" applyBorder="1" applyAlignment="1">
      <alignment horizontal="left" vertical="center" indent="1"/>
    </xf>
    <xf numFmtId="0" fontId="2" fillId="0" borderId="5" xfId="0" applyNumberFormat="1" applyFont="1" applyFill="1" applyBorder="1" applyAlignment="1">
      <alignment horizontal="left" vertical="center" indent="1"/>
    </xf>
    <xf numFmtId="0" fontId="2" fillId="0" borderId="6" xfId="0" applyNumberFormat="1" applyFont="1" applyFill="1" applyBorder="1" applyAlignment="1">
      <alignment horizontal="left" vertical="center" indent="1"/>
    </xf>
    <xf numFmtId="0" fontId="2" fillId="0" borderId="3" xfId="0" quotePrefix="1" applyNumberFormat="1" applyFont="1" applyFill="1" applyBorder="1" applyAlignment="1">
      <alignment horizontal="center" vertical="center"/>
    </xf>
    <xf numFmtId="0" fontId="2" fillId="0" borderId="15" xfId="0" applyNumberFormat="1" applyFont="1" applyFill="1" applyBorder="1" applyAlignment="1">
      <alignment horizontal="left" vertical="center" wrapText="1"/>
    </xf>
    <xf numFmtId="0" fontId="2" fillId="0" borderId="0" xfId="0" applyNumberFormat="1" applyFont="1" applyFill="1" applyBorder="1" applyAlignment="1">
      <alignment horizontal="left" vertical="center" wrapText="1"/>
    </xf>
    <xf numFmtId="0" fontId="2" fillId="0" borderId="8" xfId="0" applyNumberFormat="1" applyFont="1" applyFill="1" applyBorder="1" applyAlignment="1">
      <alignment horizontal="left" vertical="center" wrapText="1"/>
    </xf>
    <xf numFmtId="0" fontId="2" fillId="0" borderId="23" xfId="0" applyNumberFormat="1" applyFont="1" applyFill="1" applyBorder="1" applyAlignment="1">
      <alignment horizontal="center" vertical="center" wrapText="1"/>
    </xf>
    <xf numFmtId="0" fontId="2" fillId="0" borderId="1" xfId="0" applyNumberFormat="1" applyFont="1" applyFill="1" applyBorder="1" applyAlignment="1">
      <alignment vertical="center" wrapText="1"/>
    </xf>
    <xf numFmtId="0" fontId="2" fillId="0" borderId="2"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0" fontId="2" fillId="0" borderId="4" xfId="0" applyNumberFormat="1" applyFont="1" applyFill="1" applyBorder="1" applyAlignment="1">
      <alignment horizontal="left" vertical="center" wrapText="1" indent="1"/>
    </xf>
    <xf numFmtId="0" fontId="2" fillId="0" borderId="6" xfId="0" applyNumberFormat="1" applyFont="1" applyFill="1" applyBorder="1" applyAlignment="1">
      <alignment horizontal="left" vertical="center" wrapText="1" indent="1"/>
    </xf>
    <xf numFmtId="0" fontId="2" fillId="2" borderId="2" xfId="0" applyNumberFormat="1" applyFont="1" applyFill="1" applyBorder="1" applyAlignment="1">
      <alignment horizontal="center" vertical="center"/>
    </xf>
    <xf numFmtId="0" fontId="2" fillId="2" borderId="7" xfId="0" applyNumberFormat="1" applyFont="1" applyFill="1" applyBorder="1" applyAlignment="1">
      <alignment horizontal="center" vertical="center"/>
    </xf>
    <xf numFmtId="0" fontId="2" fillId="0" borderId="1" xfId="0" applyNumberFormat="1" applyFont="1" applyFill="1" applyBorder="1" applyAlignment="1">
      <alignment horizontal="left" vertical="center" wrapText="1" inden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2" xfId="0" quotePrefix="1" applyFont="1" applyFill="1" applyBorder="1" applyAlignment="1">
      <alignment horizontal="center" vertical="center" wrapText="1"/>
    </xf>
    <xf numFmtId="0" fontId="3" fillId="0" borderId="3" xfId="0" quotePrefix="1" applyFont="1" applyFill="1" applyBorder="1" applyAlignment="1">
      <alignment horizontal="center" vertical="center" wrapText="1"/>
    </xf>
    <xf numFmtId="0" fontId="3" fillId="0" borderId="7" xfId="0" quotePrefix="1" applyFont="1" applyFill="1" applyBorder="1" applyAlignment="1">
      <alignment horizontal="center" vertical="center" wrapText="1"/>
    </xf>
    <xf numFmtId="0" fontId="2" fillId="0" borderId="7" xfId="0" applyNumberFormat="1" applyFont="1" applyFill="1" applyBorder="1" applyAlignment="1">
      <alignment horizontal="left" vertical="center" wrapText="1"/>
    </xf>
    <xf numFmtId="0" fontId="2" fillId="0" borderId="3" xfId="0" applyNumberFormat="1"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6" fillId="0" borderId="2"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0" fontId="6" fillId="0" borderId="2" xfId="0" quotePrefix="1"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7" fillId="0" borderId="7"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3" fillId="0" borderId="2" xfId="0" applyFont="1" applyFill="1" applyBorder="1" applyAlignment="1">
      <alignment vertical="center"/>
    </xf>
    <xf numFmtId="0" fontId="3" fillId="0" borderId="3" xfId="0" applyFont="1" applyFill="1" applyBorder="1" applyAlignment="1">
      <alignment vertical="center"/>
    </xf>
    <xf numFmtId="0" fontId="3" fillId="0" borderId="7" xfId="0" applyFont="1" applyFill="1" applyBorder="1" applyAlignment="1">
      <alignment vertical="center"/>
    </xf>
    <xf numFmtId="0" fontId="3" fillId="0" borderId="2" xfId="0" quotePrefix="1" applyFont="1" applyFill="1" applyBorder="1" applyAlignment="1">
      <alignment horizontal="center" vertical="center"/>
    </xf>
    <xf numFmtId="174" fontId="3" fillId="0" borderId="2" xfId="2" applyNumberFormat="1" applyFont="1" applyFill="1" applyBorder="1" applyAlignment="1">
      <alignment horizontal="center" vertical="center"/>
    </xf>
    <xf numFmtId="174" fontId="3" fillId="0" borderId="3" xfId="2" applyNumberFormat="1" applyFont="1" applyFill="1" applyBorder="1" applyAlignment="1">
      <alignment horizontal="center" vertical="center"/>
    </xf>
    <xf numFmtId="174" fontId="3" fillId="0" borderId="7" xfId="2" applyNumberFormat="1" applyFont="1" applyFill="1" applyBorder="1" applyAlignment="1">
      <alignment horizontal="center" vertical="center"/>
    </xf>
    <xf numFmtId="174" fontId="3" fillId="0" borderId="1" xfId="2" applyNumberFormat="1" applyFont="1" applyFill="1" applyBorder="1" applyAlignment="1">
      <alignment horizontal="center" vertical="center"/>
    </xf>
    <xf numFmtId="0" fontId="3" fillId="0" borderId="1" xfId="0" quotePrefix="1" applyFont="1" applyFill="1" applyBorder="1" applyAlignment="1">
      <alignment horizontal="center" vertical="center"/>
    </xf>
    <xf numFmtId="0" fontId="2" fillId="0" borderId="6" xfId="0" applyFont="1" applyFill="1" applyBorder="1" applyAlignment="1">
      <alignment horizontal="left" vertical="center"/>
    </xf>
    <xf numFmtId="0" fontId="2" fillId="0" borderId="1" xfId="0" applyFont="1" applyFill="1" applyBorder="1"/>
    <xf numFmtId="0" fontId="2" fillId="0" borderId="1" xfId="0" applyFont="1" applyFill="1" applyBorder="1" applyAlignment="1">
      <alignment horizontal="left"/>
    </xf>
    <xf numFmtId="174" fontId="3" fillId="0" borderId="2" xfId="2" applyNumberFormat="1" applyFont="1" applyFill="1" applyBorder="1" applyAlignment="1">
      <alignment horizontal="center" vertical="center" wrapText="1"/>
    </xf>
    <xf numFmtId="174" fontId="3" fillId="0" borderId="3" xfId="2" applyNumberFormat="1" applyFont="1" applyFill="1" applyBorder="1" applyAlignment="1">
      <alignment horizontal="center" vertical="center" wrapText="1"/>
    </xf>
    <xf numFmtId="174" fontId="3" fillId="0" borderId="7" xfId="2" applyNumberFormat="1" applyFont="1" applyFill="1" applyBorder="1" applyAlignment="1">
      <alignment horizontal="center" vertical="center" wrapText="1"/>
    </xf>
    <xf numFmtId="0" fontId="9" fillId="0" borderId="4" xfId="0" applyNumberFormat="1" applyFont="1" applyBorder="1" applyAlignment="1">
      <alignment vertical="center"/>
    </xf>
    <xf numFmtId="0" fontId="9" fillId="0" borderId="5" xfId="0" applyNumberFormat="1" applyFont="1" applyBorder="1" applyAlignment="1">
      <alignment vertical="center"/>
    </xf>
    <xf numFmtId="0" fontId="9" fillId="0" borderId="2" xfId="0" applyNumberFormat="1" applyFont="1" applyBorder="1" applyAlignment="1">
      <alignment horizontal="left" vertical="center" wrapText="1"/>
    </xf>
    <xf numFmtId="0" fontId="9" fillId="0" borderId="2" xfId="0" quotePrefix="1" applyNumberFormat="1" applyFont="1" applyBorder="1" applyAlignment="1">
      <alignment horizontal="center" vertical="center"/>
    </xf>
    <xf numFmtId="0" fontId="9" fillId="0" borderId="3" xfId="0" quotePrefix="1" applyNumberFormat="1" applyFont="1" applyBorder="1" applyAlignment="1">
      <alignment horizontal="center" vertical="center"/>
    </xf>
    <xf numFmtId="0" fontId="9" fillId="0" borderId="11" xfId="0" applyNumberFormat="1" applyFont="1" applyBorder="1" applyAlignment="1">
      <alignment vertical="center" wrapText="1"/>
    </xf>
    <xf numFmtId="0" fontId="9" fillId="0" borderId="12"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0" xfId="0" applyNumberFormat="1" applyFont="1" applyBorder="1" applyAlignment="1">
      <alignment vertical="center" wrapText="1"/>
    </xf>
    <xf numFmtId="0" fontId="9" fillId="0" borderId="14" xfId="0" applyNumberFormat="1" applyFont="1" applyBorder="1" applyAlignment="1">
      <alignment vertical="center" wrapText="1"/>
    </xf>
    <xf numFmtId="0" fontId="9" fillId="0" borderId="10" xfId="0" applyNumberFormat="1" applyFont="1" applyBorder="1" applyAlignment="1">
      <alignment vertical="center" wrapText="1"/>
    </xf>
    <xf numFmtId="0" fontId="7" fillId="0" borderId="6" xfId="0" applyFont="1" applyBorder="1" applyAlignment="1">
      <alignment horizontal="center"/>
    </xf>
    <xf numFmtId="0" fontId="7" fillId="0" borderId="1" xfId="0" applyFont="1" applyBorder="1" applyAlignment="1">
      <alignment horizontal="center"/>
    </xf>
    <xf numFmtId="0" fontId="7" fillId="0" borderId="13" xfId="0" applyFont="1" applyBorder="1" applyAlignment="1">
      <alignment horizontal="center"/>
    </xf>
    <xf numFmtId="0" fontId="7" fillId="0" borderId="2" xfId="0" applyFont="1" applyBorder="1" applyAlignment="1">
      <alignment horizontal="center"/>
    </xf>
    <xf numFmtId="0" fontId="9" fillId="0" borderId="11" xfId="0" applyNumberFormat="1" applyFont="1" applyBorder="1" applyAlignment="1">
      <alignment horizontal="left" vertical="center" wrapText="1"/>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8" xfId="0" applyNumberFormat="1" applyFont="1" applyBorder="1" applyAlignment="1">
      <alignment horizontal="left" vertical="center" wrapText="1"/>
    </xf>
    <xf numFmtId="0" fontId="9" fillId="0" borderId="11" xfId="0" applyNumberFormat="1" applyFont="1" applyBorder="1" applyAlignment="1">
      <alignment horizontal="left" vertical="center" wrapText="1" indent="1"/>
    </xf>
    <xf numFmtId="0" fontId="9" fillId="0" borderId="13" xfId="0" applyNumberFormat="1" applyFont="1" applyBorder="1" applyAlignment="1">
      <alignment horizontal="left" vertical="center" wrapText="1" indent="1"/>
    </xf>
    <xf numFmtId="0" fontId="9" fillId="0" borderId="15" xfId="0" applyNumberFormat="1" applyFont="1" applyBorder="1" applyAlignment="1">
      <alignment horizontal="left" vertical="center" wrapText="1" indent="1"/>
    </xf>
    <xf numFmtId="0" fontId="9" fillId="0" borderId="8" xfId="0" applyNumberFormat="1" applyFont="1" applyBorder="1" applyAlignment="1">
      <alignment horizontal="left" vertical="center" wrapText="1" indent="1"/>
    </xf>
    <xf numFmtId="0" fontId="9" fillId="3" borderId="2" xfId="0" applyNumberFormat="1" applyFont="1" applyFill="1" applyBorder="1" applyAlignment="1">
      <alignment horizontal="center" vertical="center"/>
    </xf>
    <xf numFmtId="0" fontId="9" fillId="3" borderId="7" xfId="0" applyNumberFormat="1" applyFont="1" applyFill="1" applyBorder="1" applyAlignment="1">
      <alignment horizontal="center" vertical="center"/>
    </xf>
    <xf numFmtId="0" fontId="9" fillId="3" borderId="11" xfId="0" applyNumberFormat="1" applyFont="1" applyFill="1" applyBorder="1" applyAlignment="1">
      <alignment vertical="center" wrapText="1"/>
    </xf>
    <xf numFmtId="0" fontId="9" fillId="3" borderId="12" xfId="0" applyNumberFormat="1" applyFont="1" applyFill="1" applyBorder="1" applyAlignment="1">
      <alignment vertical="center" wrapText="1"/>
    </xf>
    <xf numFmtId="0" fontId="9" fillId="3" borderId="14" xfId="0" applyNumberFormat="1" applyFont="1" applyFill="1" applyBorder="1" applyAlignment="1">
      <alignment vertical="center" wrapText="1"/>
    </xf>
    <xf numFmtId="0" fontId="9" fillId="3" borderId="10" xfId="0" applyNumberFormat="1" applyFont="1" applyFill="1" applyBorder="1" applyAlignment="1">
      <alignment vertical="center" wrapText="1"/>
    </xf>
    <xf numFmtId="0" fontId="9" fillId="3" borderId="4" xfId="0" applyNumberFormat="1" applyFont="1" applyFill="1" applyBorder="1" applyAlignment="1">
      <alignment horizontal="center" vertical="center" wrapText="1"/>
    </xf>
    <xf numFmtId="0" fontId="9" fillId="3" borderId="5" xfId="0" applyNumberFormat="1" applyFont="1" applyFill="1" applyBorder="1" applyAlignment="1">
      <alignment horizontal="center" vertical="center" wrapText="1"/>
    </xf>
    <xf numFmtId="0" fontId="9" fillId="3" borderId="6" xfId="0" applyNumberFormat="1" applyFont="1" applyFill="1" applyBorder="1" applyAlignment="1">
      <alignment horizontal="center" vertical="center" wrapText="1"/>
    </xf>
    <xf numFmtId="0" fontId="9" fillId="3" borderId="5" xfId="0" applyNumberFormat="1" applyFont="1" applyFill="1" applyBorder="1" applyAlignment="1">
      <alignment horizontal="left" vertical="center" wrapText="1"/>
    </xf>
    <xf numFmtId="0" fontId="9" fillId="3" borderId="4" xfId="0" applyNumberFormat="1" applyFont="1" applyFill="1" applyBorder="1" applyAlignment="1">
      <alignment horizontal="left" vertical="center" wrapText="1" indent="1"/>
    </xf>
    <xf numFmtId="0" fontId="9" fillId="3" borderId="6" xfId="0" applyNumberFormat="1" applyFont="1" applyFill="1" applyBorder="1" applyAlignment="1">
      <alignment horizontal="left" vertical="center" wrapText="1" indent="1"/>
    </xf>
    <xf numFmtId="0" fontId="9" fillId="2" borderId="10" xfId="0" applyNumberFormat="1" applyFont="1" applyFill="1" applyBorder="1" applyAlignment="1">
      <alignment horizontal="center" vertical="center"/>
    </xf>
    <xf numFmtId="0" fontId="7" fillId="0" borderId="2" xfId="0" quotePrefix="1" applyNumberFormat="1" applyFont="1" applyBorder="1" applyAlignment="1">
      <alignment horizontal="center" vertical="center" wrapText="1"/>
    </xf>
    <xf numFmtId="0" fontId="7" fillId="0" borderId="7" xfId="0" applyNumberFormat="1" applyFont="1" applyBorder="1" applyAlignment="1">
      <alignment horizontal="center" vertical="center" wrapText="1"/>
    </xf>
    <xf numFmtId="3" fontId="7" fillId="0" borderId="2" xfId="0" applyNumberFormat="1" applyFont="1" applyBorder="1" applyAlignment="1">
      <alignment horizontal="center" vertical="center"/>
    </xf>
    <xf numFmtId="3" fontId="7" fillId="0" borderId="3" xfId="0" applyNumberFormat="1" applyFont="1" applyBorder="1" applyAlignment="1">
      <alignment horizontal="center" vertical="center"/>
    </xf>
    <xf numFmtId="0" fontId="7" fillId="0" borderId="1" xfId="0" applyNumberFormat="1" applyFont="1" applyFill="1" applyBorder="1" applyAlignment="1">
      <alignment horizontal="left" vertical="center" wrapText="1"/>
    </xf>
    <xf numFmtId="3" fontId="7" fillId="0" borderId="1" xfId="0" applyNumberFormat="1" applyFont="1" applyBorder="1" applyAlignment="1">
      <alignment horizontal="center" vertical="center"/>
    </xf>
    <xf numFmtId="0" fontId="9" fillId="4" borderId="2" xfId="0" applyNumberFormat="1" applyFont="1" applyFill="1" applyBorder="1" applyAlignment="1">
      <alignment vertical="center" wrapText="1"/>
    </xf>
    <xf numFmtId="0" fontId="9" fillId="4" borderId="7" xfId="0" applyNumberFormat="1" applyFont="1" applyFill="1" applyBorder="1" applyAlignment="1">
      <alignment vertical="center" wrapText="1"/>
    </xf>
    <xf numFmtId="0" fontId="9" fillId="4" borderId="3" xfId="0" applyNumberFormat="1" applyFont="1" applyFill="1" applyBorder="1" applyAlignment="1">
      <alignment horizontal="center" vertical="center"/>
    </xf>
    <xf numFmtId="0" fontId="9" fillId="4" borderId="7" xfId="0" applyNumberFormat="1" applyFont="1" applyFill="1" applyBorder="1" applyAlignment="1">
      <alignment horizontal="center" vertical="center"/>
    </xf>
    <xf numFmtId="0" fontId="9" fillId="4" borderId="15" xfId="0" applyNumberFormat="1" applyFont="1" applyFill="1" applyBorder="1" applyAlignment="1">
      <alignment horizontal="left" vertical="center" wrapText="1" indent="1"/>
    </xf>
    <xf numFmtId="0" fontId="9" fillId="4" borderId="0" xfId="0" applyNumberFormat="1" applyFont="1" applyFill="1" applyBorder="1" applyAlignment="1">
      <alignment horizontal="left" vertical="center" wrapText="1" indent="1"/>
    </xf>
    <xf numFmtId="0" fontId="9" fillId="4" borderId="14" xfId="0" applyNumberFormat="1" applyFont="1" applyFill="1" applyBorder="1" applyAlignment="1">
      <alignment horizontal="left" vertical="center" wrapText="1" indent="1"/>
    </xf>
    <xf numFmtId="0" fontId="9" fillId="4" borderId="10" xfId="0" applyNumberFormat="1" applyFont="1" applyFill="1" applyBorder="1" applyAlignment="1">
      <alignment horizontal="left" vertical="center" wrapText="1" indent="1"/>
    </xf>
    <xf numFmtId="0" fontId="9" fillId="4" borderId="14" xfId="0" applyNumberFormat="1" applyFont="1" applyFill="1" applyBorder="1" applyAlignment="1">
      <alignment horizontal="center" vertical="center" wrapText="1"/>
    </xf>
    <xf numFmtId="0" fontId="9" fillId="4" borderId="10" xfId="0" applyNumberFormat="1" applyFont="1" applyFill="1" applyBorder="1" applyAlignment="1">
      <alignment horizontal="center" vertical="center" wrapText="1"/>
    </xf>
    <xf numFmtId="0" fontId="9" fillId="4" borderId="9" xfId="0" applyNumberFormat="1" applyFont="1" applyFill="1" applyBorder="1" applyAlignment="1">
      <alignment horizontal="center" vertical="center" wrapText="1"/>
    </xf>
    <xf numFmtId="0" fontId="9" fillId="4" borderId="4" xfId="0" applyNumberFormat="1" applyFont="1" applyFill="1" applyBorder="1" applyAlignment="1">
      <alignment horizontal="left" vertical="center" wrapText="1"/>
    </xf>
    <xf numFmtId="0" fontId="9" fillId="4" borderId="5" xfId="0" applyNumberFormat="1" applyFont="1" applyFill="1" applyBorder="1" applyAlignment="1">
      <alignment horizontal="left" vertical="center" wrapText="1"/>
    </xf>
    <xf numFmtId="0" fontId="9" fillId="4" borderId="6" xfId="0" applyNumberFormat="1" applyFont="1" applyFill="1" applyBorder="1" applyAlignment="1">
      <alignment horizontal="left" vertical="center" wrapText="1"/>
    </xf>
    <xf numFmtId="0" fontId="9" fillId="4" borderId="4" xfId="0" applyNumberFormat="1" applyFont="1" applyFill="1" applyBorder="1" applyAlignment="1">
      <alignment horizontal="left" vertical="center" wrapText="1" indent="1"/>
    </xf>
    <xf numFmtId="0" fontId="9" fillId="4" borderId="6" xfId="0" applyNumberFormat="1" applyFont="1" applyFill="1" applyBorder="1" applyAlignment="1">
      <alignment horizontal="left" vertical="center" wrapText="1" indent="1"/>
    </xf>
    <xf numFmtId="0" fontId="9" fillId="2" borderId="2" xfId="0" applyNumberFormat="1" applyFont="1" applyFill="1" applyBorder="1" applyAlignment="1">
      <alignment vertical="center" wrapText="1"/>
    </xf>
    <xf numFmtId="0" fontId="9" fillId="2" borderId="7" xfId="0" applyNumberFormat="1" applyFont="1" applyFill="1" applyBorder="1" applyAlignment="1">
      <alignment vertical="center" wrapText="1"/>
    </xf>
    <xf numFmtId="0" fontId="9" fillId="4" borderId="7" xfId="0" applyNumberFormat="1" applyFont="1" applyFill="1" applyBorder="1" applyAlignment="1">
      <alignment horizontal="left" vertical="center" wrapText="1"/>
    </xf>
    <xf numFmtId="0" fontId="9" fillId="4" borderId="1" xfId="0" applyNumberFormat="1" applyFont="1" applyFill="1" applyBorder="1" applyAlignment="1">
      <alignment horizontal="left" vertical="center" wrapText="1"/>
    </xf>
    <xf numFmtId="3" fontId="7" fillId="0" borderId="7" xfId="0" applyNumberFormat="1" applyFont="1" applyBorder="1" applyAlignment="1">
      <alignment horizontal="center" vertical="center"/>
    </xf>
    <xf numFmtId="0" fontId="9" fillId="0" borderId="6" xfId="0" applyNumberFormat="1" applyFont="1" applyBorder="1" applyAlignment="1">
      <alignment horizontal="left" vertical="center" wrapText="1"/>
    </xf>
    <xf numFmtId="0" fontId="9" fillId="0" borderId="8" xfId="0" applyNumberFormat="1" applyFont="1" applyBorder="1" applyAlignment="1">
      <alignment horizontal="center" vertical="center" wrapText="1"/>
    </xf>
    <xf numFmtId="0" fontId="9" fillId="0" borderId="9" xfId="0" applyNumberFormat="1" applyFont="1" applyBorder="1" applyAlignment="1">
      <alignment horizontal="center" vertical="center" wrapText="1"/>
    </xf>
    <xf numFmtId="3" fontId="17" fillId="0" borderId="2" xfId="0" applyNumberFormat="1" applyFont="1" applyFill="1" applyBorder="1" applyAlignment="1">
      <alignment horizontal="center" vertical="center" wrapText="1"/>
    </xf>
    <xf numFmtId="3" fontId="17" fillId="0" borderId="7" xfId="0" applyNumberFormat="1" applyFont="1" applyFill="1" applyBorder="1" applyAlignment="1">
      <alignment horizontal="center" vertical="center" wrapText="1"/>
    </xf>
    <xf numFmtId="174" fontId="3" fillId="0" borderId="1" xfId="2"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xf>
    <xf numFmtId="3" fontId="3" fillId="0" borderId="7" xfId="0" applyNumberFormat="1" applyFont="1" applyFill="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7" fillId="3" borderId="2" xfId="0" applyFont="1" applyFill="1" applyBorder="1" applyAlignment="1">
      <alignment horizontal="center" vertical="center"/>
    </xf>
    <xf numFmtId="0" fontId="7" fillId="3" borderId="7" xfId="0" applyFont="1" applyFill="1" applyBorder="1" applyAlignment="1">
      <alignment horizontal="center" vertical="center"/>
    </xf>
    <xf numFmtId="0" fontId="9" fillId="0" borderId="4" xfId="0" applyNumberFormat="1" applyFont="1" applyBorder="1" applyAlignment="1">
      <alignment vertical="center" wrapText="1"/>
    </xf>
    <xf numFmtId="0" fontId="9" fillId="0" borderId="5" xfId="0" applyNumberFormat="1" applyFont="1" applyBorder="1" applyAlignment="1">
      <alignment vertical="center" wrapText="1"/>
    </xf>
    <xf numFmtId="0" fontId="29" fillId="0" borderId="1" xfId="0" quotePrefix="1" applyNumberFormat="1" applyFont="1" applyBorder="1" applyAlignment="1">
      <alignment horizontal="center" vertical="center" wrapText="1"/>
    </xf>
    <xf numFmtId="0" fontId="29" fillId="0" borderId="2" xfId="0" quotePrefix="1" applyNumberFormat="1" applyFont="1" applyFill="1" applyBorder="1" applyAlignment="1">
      <alignment horizontal="left" vertical="center" wrapText="1"/>
    </xf>
    <xf numFmtId="0" fontId="29" fillId="0" borderId="3" xfId="0" quotePrefix="1" applyNumberFormat="1" applyFont="1" applyFill="1" applyBorder="1" applyAlignment="1">
      <alignment horizontal="left" vertical="center" wrapText="1"/>
    </xf>
    <xf numFmtId="0" fontId="29" fillId="0" borderId="1" xfId="0" quotePrefix="1" applyNumberFormat="1" applyFont="1" applyBorder="1" applyAlignment="1">
      <alignment horizontal="left" vertical="center" wrapText="1"/>
    </xf>
    <xf numFmtId="3" fontId="29" fillId="0" borderId="1" xfId="0" quotePrefix="1" applyNumberFormat="1" applyFont="1" applyBorder="1" applyAlignment="1">
      <alignment horizontal="center" vertical="center" wrapText="1"/>
    </xf>
    <xf numFmtId="0" fontId="29" fillId="0" borderId="2" xfId="0" quotePrefix="1" applyNumberFormat="1" applyFont="1" applyBorder="1" applyAlignment="1">
      <alignment horizontal="left" vertical="center" wrapText="1"/>
    </xf>
    <xf numFmtId="0" fontId="29" fillId="0" borderId="3" xfId="0" quotePrefix="1" applyNumberFormat="1" applyFont="1" applyBorder="1" applyAlignment="1">
      <alignment horizontal="left" vertical="center" wrapText="1"/>
    </xf>
    <xf numFmtId="0" fontId="29" fillId="0" borderId="1" xfId="0" quotePrefix="1" applyNumberFormat="1" applyFont="1" applyFill="1" applyBorder="1" applyAlignment="1">
      <alignment horizontal="left" vertical="center" wrapText="1"/>
    </xf>
    <xf numFmtId="0" fontId="17" fillId="0" borderId="3" xfId="0" applyNumberFormat="1" applyFont="1" applyBorder="1" applyAlignment="1">
      <alignment horizontal="center" vertical="center" wrapText="1"/>
    </xf>
    <xf numFmtId="0" fontId="65" fillId="0" borderId="2"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0" fontId="65" fillId="0" borderId="7"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3" fontId="17" fillId="0" borderId="3" xfId="0" applyNumberFormat="1" applyFont="1" applyBorder="1" applyAlignment="1">
      <alignment horizontal="center" vertical="center" wrapText="1"/>
    </xf>
    <xf numFmtId="3" fontId="17" fillId="0" borderId="7" xfId="0" applyNumberFormat="1" applyFont="1" applyBorder="1" applyAlignment="1">
      <alignment horizontal="center" vertical="center" wrapText="1"/>
    </xf>
    <xf numFmtId="0" fontId="16" fillId="0" borderId="3" xfId="0" applyNumberFormat="1" applyFont="1" applyBorder="1" applyAlignment="1">
      <alignment horizontal="center" vertical="center" wrapText="1"/>
    </xf>
    <xf numFmtId="0" fontId="16" fillId="0" borderId="2" xfId="0" applyNumberFormat="1" applyFont="1" applyBorder="1" applyAlignment="1">
      <alignment horizontal="left" vertical="center" wrapText="1" indent="1"/>
    </xf>
    <xf numFmtId="0" fontId="16" fillId="0" borderId="3" xfId="0" applyNumberFormat="1" applyFont="1" applyBorder="1" applyAlignment="1">
      <alignment horizontal="left" vertical="center" wrapText="1" indent="1"/>
    </xf>
    <xf numFmtId="0" fontId="16" fillId="0" borderId="7" xfId="0" applyNumberFormat="1" applyFont="1" applyBorder="1" applyAlignment="1">
      <alignment horizontal="left" vertical="center" wrapText="1" indent="1"/>
    </xf>
    <xf numFmtId="0" fontId="16" fillId="3" borderId="3" xfId="0" quotePrefix="1" applyNumberFormat="1" applyFont="1" applyFill="1" applyBorder="1" applyAlignment="1">
      <alignment horizontal="center" vertical="center" wrapText="1"/>
    </xf>
    <xf numFmtId="3" fontId="16" fillId="3" borderId="2" xfId="0" quotePrefix="1" applyNumberFormat="1" applyFont="1" applyFill="1" applyBorder="1" applyAlignment="1">
      <alignment horizontal="center" vertical="center" wrapText="1"/>
    </xf>
    <xf numFmtId="3" fontId="16" fillId="3" borderId="3" xfId="0" quotePrefix="1" applyNumberFormat="1" applyFont="1" applyFill="1" applyBorder="1" applyAlignment="1">
      <alignment horizontal="center" vertical="center" wrapText="1"/>
    </xf>
    <xf numFmtId="3" fontId="16" fillId="3" borderId="7" xfId="0" quotePrefix="1" applyNumberFormat="1" applyFont="1" applyFill="1" applyBorder="1" applyAlignment="1">
      <alignment horizontal="center" vertical="center" wrapText="1"/>
    </xf>
    <xf numFmtId="0" fontId="16" fillId="0" borderId="10" xfId="0" applyFont="1" applyBorder="1" applyAlignment="1">
      <alignment horizontal="center" vertical="center"/>
    </xf>
    <xf numFmtId="0" fontId="16" fillId="0" borderId="13" xfId="0" applyFont="1" applyBorder="1" applyAlignment="1">
      <alignment horizontal="center" vertical="center" textRotation="90"/>
    </xf>
    <xf numFmtId="0" fontId="16" fillId="0" borderId="8" xfId="0" applyFont="1" applyBorder="1" applyAlignment="1">
      <alignment horizontal="center" vertical="center" textRotation="90"/>
    </xf>
    <xf numFmtId="0" fontId="16" fillId="0" borderId="9" xfId="0" applyFont="1" applyBorder="1" applyAlignment="1">
      <alignment horizontal="center" vertical="center" textRotation="90"/>
    </xf>
    <xf numFmtId="0" fontId="16" fillId="0" borderId="4" xfId="0" applyNumberFormat="1" applyFont="1" applyBorder="1" applyAlignment="1">
      <alignment horizontal="left" vertical="center"/>
    </xf>
    <xf numFmtId="0" fontId="16" fillId="3" borderId="2" xfId="0" applyNumberFormat="1" applyFont="1" applyFill="1" applyBorder="1" applyAlignment="1">
      <alignment horizontal="center" vertical="center"/>
    </xf>
    <xf numFmtId="0" fontId="16" fillId="3" borderId="3" xfId="0" applyNumberFormat="1" applyFont="1" applyFill="1" applyBorder="1" applyAlignment="1">
      <alignment horizontal="center" vertical="center"/>
    </xf>
    <xf numFmtId="0" fontId="17" fillId="0" borderId="4"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6" fillId="3" borderId="7" xfId="0" applyNumberFormat="1" applyFont="1" applyFill="1" applyBorder="1" applyAlignment="1">
      <alignment horizontal="center" vertical="center"/>
    </xf>
    <xf numFmtId="0" fontId="16" fillId="2" borderId="12"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17" fillId="0" borderId="2" xfId="0" applyFont="1" applyBorder="1" applyAlignment="1">
      <alignment horizontal="center"/>
    </xf>
    <xf numFmtId="0" fontId="17" fillId="0" borderId="7" xfId="0" applyFont="1" applyBorder="1" applyAlignment="1">
      <alignment horizontal="center"/>
    </xf>
    <xf numFmtId="0" fontId="17" fillId="0" borderId="4" xfId="0" applyFont="1" applyBorder="1" applyAlignment="1">
      <alignment horizontal="center"/>
    </xf>
    <xf numFmtId="0" fontId="17" fillId="0" borderId="11" xfId="0" applyFont="1" applyBorder="1" applyAlignment="1">
      <alignment horizontal="center"/>
    </xf>
    <xf numFmtId="0" fontId="24" fillId="0" borderId="1" xfId="0" applyFont="1" applyBorder="1" applyAlignment="1">
      <alignment horizontal="left" vertical="center" wrapText="1"/>
    </xf>
    <xf numFmtId="0" fontId="17" fillId="0" borderId="6" xfId="0" applyFont="1" applyBorder="1" applyAlignment="1">
      <alignment horizontal="center"/>
    </xf>
    <xf numFmtId="0" fontId="17" fillId="0" borderId="13" xfId="0"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vertical="center" wrapText="1"/>
    </xf>
    <xf numFmtId="0" fontId="17" fillId="0" borderId="14" xfId="0" applyFont="1" applyBorder="1" applyAlignment="1">
      <alignment horizontal="center"/>
    </xf>
    <xf numFmtId="0" fontId="17" fillId="0" borderId="9" xfId="0" applyFont="1" applyBorder="1" applyAlignment="1">
      <alignment horizontal="center"/>
    </xf>
    <xf numFmtId="0" fontId="17" fillId="0" borderId="15" xfId="0" applyFont="1" applyBorder="1" applyAlignment="1">
      <alignment horizontal="center"/>
    </xf>
    <xf numFmtId="0" fontId="17" fillId="0" borderId="8" xfId="0" applyFont="1" applyBorder="1" applyAlignment="1">
      <alignment horizontal="center"/>
    </xf>
    <xf numFmtId="0" fontId="17" fillId="0" borderId="3" xfId="0" applyFont="1" applyBorder="1" applyAlignment="1">
      <alignment horizontal="center"/>
    </xf>
    <xf numFmtId="0" fontId="17" fillId="0" borderId="6" xfId="0" applyFont="1" applyBorder="1" applyAlignment="1">
      <alignment horizontal="center" wrapText="1"/>
    </xf>
    <xf numFmtId="0" fontId="17" fillId="0" borderId="11" xfId="0" applyNumberFormat="1" applyFont="1" applyBorder="1" applyAlignment="1">
      <alignment horizontal="center" vertical="center" wrapText="1"/>
    </xf>
    <xf numFmtId="0" fontId="17" fillId="0" borderId="14" xfId="0" applyNumberFormat="1" applyFont="1" applyBorder="1" applyAlignment="1">
      <alignment horizontal="center" vertical="center" wrapText="1"/>
    </xf>
    <xf numFmtId="0" fontId="17" fillId="0" borderId="13" xfId="0" applyNumberFormat="1" applyFont="1" applyBorder="1" applyAlignment="1">
      <alignment horizontal="center" vertical="center" wrapText="1"/>
    </xf>
    <xf numFmtId="0" fontId="17" fillId="0" borderId="9" xfId="0" applyNumberFormat="1" applyFont="1" applyBorder="1" applyAlignment="1">
      <alignment horizontal="center" vertical="center" wrapText="1"/>
    </xf>
    <xf numFmtId="0" fontId="16" fillId="0" borderId="5" xfId="0" applyNumberFormat="1" applyFont="1" applyBorder="1" applyAlignment="1">
      <alignment horizontal="left" vertical="center"/>
    </xf>
    <xf numFmtId="0" fontId="16" fillId="2" borderId="2" xfId="0" applyNumberFormat="1" applyFont="1" applyFill="1" applyBorder="1" applyAlignment="1">
      <alignment horizontal="center" vertical="center" wrapText="1"/>
    </xf>
    <xf numFmtId="0" fontId="16" fillId="2" borderId="7" xfId="0" applyNumberFormat="1" applyFont="1" applyFill="1" applyBorder="1" applyAlignment="1">
      <alignment horizontal="center" vertical="center" wrapText="1"/>
    </xf>
    <xf numFmtId="0" fontId="16" fillId="0" borderId="2" xfId="0" quotePrefix="1" applyNumberFormat="1" applyFont="1" applyBorder="1" applyAlignment="1">
      <alignment vertical="center" wrapText="1"/>
    </xf>
    <xf numFmtId="0" fontId="16" fillId="0" borderId="3" xfId="0" quotePrefix="1" applyNumberFormat="1" applyFont="1" applyBorder="1" applyAlignment="1">
      <alignment vertical="center" wrapText="1"/>
    </xf>
    <xf numFmtId="0" fontId="16" fillId="0" borderId="7" xfId="0" quotePrefix="1" applyNumberFormat="1" applyFont="1" applyBorder="1" applyAlignment="1">
      <alignment vertical="center" wrapText="1"/>
    </xf>
    <xf numFmtId="0" fontId="16" fillId="2" borderId="2" xfId="0" applyNumberFormat="1" applyFont="1" applyFill="1" applyBorder="1" applyAlignment="1">
      <alignment horizontal="center" vertical="center"/>
    </xf>
    <xf numFmtId="0" fontId="16" fillId="2" borderId="7" xfId="0" applyNumberFormat="1" applyFont="1" applyFill="1" applyBorder="1" applyAlignment="1">
      <alignment horizontal="center" vertical="center"/>
    </xf>
    <xf numFmtId="0" fontId="16" fillId="0" borderId="2" xfId="0" quotePrefix="1" applyNumberFormat="1" applyFont="1" applyFill="1" applyBorder="1" applyAlignment="1">
      <alignment horizontal="center" vertical="center" wrapText="1"/>
    </xf>
    <xf numFmtId="0" fontId="16" fillId="0" borderId="3" xfId="0" quotePrefix="1" applyNumberFormat="1" applyFont="1" applyFill="1" applyBorder="1" applyAlignment="1">
      <alignment horizontal="center" vertical="center" wrapText="1"/>
    </xf>
    <xf numFmtId="0" fontId="16" fillId="0" borderId="7" xfId="0" quotePrefix="1" applyNumberFormat="1" applyFont="1" applyFill="1" applyBorder="1" applyAlignment="1">
      <alignment horizontal="center" vertical="center" wrapText="1"/>
    </xf>
    <xf numFmtId="0" fontId="16" fillId="0" borderId="2" xfId="0" quotePrefix="1" applyNumberFormat="1" applyFont="1" applyBorder="1" applyAlignment="1">
      <alignment horizontal="center" vertical="center" wrapText="1"/>
    </xf>
    <xf numFmtId="0" fontId="16" fillId="0" borderId="3" xfId="0" quotePrefix="1" applyNumberFormat="1" applyFont="1" applyBorder="1" applyAlignment="1">
      <alignment horizontal="center" vertical="center" wrapText="1"/>
    </xf>
    <xf numFmtId="0" fontId="16" fillId="0" borderId="7" xfId="0" quotePrefix="1" applyNumberFormat="1" applyFont="1" applyBorder="1" applyAlignment="1">
      <alignment horizontal="center" vertical="center" wrapText="1"/>
    </xf>
    <xf numFmtId="3" fontId="16" fillId="0" borderId="3" xfId="0" quotePrefix="1" applyNumberFormat="1" applyFont="1" applyBorder="1" applyAlignment="1">
      <alignment horizontal="center" vertical="center" wrapText="1"/>
    </xf>
    <xf numFmtId="0" fontId="16" fillId="0" borderId="15" xfId="0" applyNumberFormat="1" applyFont="1" applyBorder="1" applyAlignment="1">
      <alignment horizontal="center" vertical="center" wrapText="1"/>
    </xf>
    <xf numFmtId="0" fontId="16" fillId="0" borderId="2" xfId="0" applyNumberFormat="1" applyFont="1" applyBorder="1" applyAlignment="1">
      <alignment vertical="center" wrapText="1"/>
    </xf>
    <xf numFmtId="0" fontId="16" fillId="0" borderId="7" xfId="0" applyNumberFormat="1" applyFont="1" applyBorder="1" applyAlignment="1">
      <alignment vertical="center" wrapText="1"/>
    </xf>
    <xf numFmtId="0" fontId="16" fillId="2" borderId="4"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7" fillId="0" borderId="2" xfId="0" applyFont="1" applyBorder="1" applyAlignment="1">
      <alignment horizontal="right" vertical="center"/>
    </xf>
    <xf numFmtId="0" fontId="17" fillId="0" borderId="3" xfId="0" applyFont="1" applyBorder="1" applyAlignment="1">
      <alignment horizontal="right" vertical="center"/>
    </xf>
    <xf numFmtId="0" fontId="17" fillId="0" borderId="7" xfId="0" applyFont="1" applyBorder="1" applyAlignment="1">
      <alignment horizontal="right" vertical="center"/>
    </xf>
    <xf numFmtId="0" fontId="53" fillId="3" borderId="10" xfId="0" applyFont="1" applyFill="1" applyBorder="1" applyAlignment="1">
      <alignment horizontal="center" vertical="center"/>
    </xf>
    <xf numFmtId="0" fontId="17" fillId="0" borderId="3" xfId="0" applyFont="1" applyBorder="1" applyAlignment="1">
      <alignment horizontal="left" vertical="center" wrapText="1"/>
    </xf>
    <xf numFmtId="1" fontId="17" fillId="0" borderId="1" xfId="0" quotePrefix="1" applyNumberFormat="1" applyFont="1" applyFill="1" applyBorder="1" applyAlignment="1">
      <alignment horizontal="center" vertical="center" wrapText="1"/>
    </xf>
    <xf numFmtId="1" fontId="17" fillId="0" borderId="1" xfId="0" quotePrefix="1"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1" fontId="17" fillId="0" borderId="2" xfId="0" quotePrefix="1" applyNumberFormat="1" applyFont="1" applyFill="1" applyBorder="1" applyAlignment="1">
      <alignment horizontal="center" vertical="center" wrapText="1"/>
    </xf>
    <xf numFmtId="1" fontId="17" fillId="0" borderId="3" xfId="0" quotePrefix="1" applyNumberFormat="1" applyFont="1" applyFill="1" applyBorder="1" applyAlignment="1">
      <alignment horizontal="center" vertical="center" wrapText="1"/>
    </xf>
    <xf numFmtId="1" fontId="17" fillId="0" borderId="2" xfId="0" quotePrefix="1" applyNumberFormat="1" applyFont="1" applyBorder="1" applyAlignment="1">
      <alignment horizontal="center" vertical="center" wrapText="1"/>
    </xf>
    <xf numFmtId="1" fontId="17" fillId="0" borderId="3" xfId="0" quotePrefix="1" applyNumberFormat="1" applyFont="1" applyBorder="1" applyAlignment="1">
      <alignment horizontal="center" vertical="center" wrapText="1"/>
    </xf>
    <xf numFmtId="0" fontId="16" fillId="0" borderId="2" xfId="0" quotePrefix="1" applyNumberFormat="1" applyFont="1" applyBorder="1" applyAlignment="1">
      <alignment horizontal="center" vertical="center"/>
    </xf>
    <xf numFmtId="0" fontId="16" fillId="0" borderId="3" xfId="0" applyNumberFormat="1" applyFont="1" applyBorder="1" applyAlignment="1">
      <alignment horizontal="center"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7" fillId="3" borderId="3" xfId="0" applyNumberFormat="1" applyFont="1" applyFill="1" applyBorder="1" applyAlignment="1">
      <alignment horizontal="center" vertical="center" wrapText="1"/>
    </xf>
    <xf numFmtId="1" fontId="16" fillId="0" borderId="2" xfId="0" quotePrefix="1" applyNumberFormat="1" applyFont="1" applyFill="1" applyBorder="1" applyAlignment="1">
      <alignment horizontal="center" vertical="center" wrapText="1"/>
    </xf>
    <xf numFmtId="1" fontId="16" fillId="0" borderId="3" xfId="0" quotePrefix="1" applyNumberFormat="1" applyFont="1" applyFill="1" applyBorder="1" applyAlignment="1">
      <alignment horizontal="center" vertical="center" wrapText="1"/>
    </xf>
    <xf numFmtId="1" fontId="16" fillId="0" borderId="2" xfId="0" quotePrefix="1" applyNumberFormat="1" applyFont="1" applyBorder="1" applyAlignment="1">
      <alignment horizontal="center" vertical="center" wrapText="1"/>
    </xf>
    <xf numFmtId="1" fontId="16" fillId="0" borderId="3" xfId="0" quotePrefix="1" applyNumberFormat="1" applyFont="1" applyBorder="1" applyAlignment="1">
      <alignment horizontal="center" vertical="center" wrapText="1"/>
    </xf>
    <xf numFmtId="0" fontId="12" fillId="0" borderId="11" xfId="0" applyFont="1" applyBorder="1" applyAlignment="1">
      <alignment horizontal="left" vertical="center" wrapText="1"/>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1"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4" fillId="0" borderId="1" xfId="0" applyFont="1" applyBorder="1" applyAlignment="1">
      <alignment horizontal="center" vertical="center"/>
    </xf>
    <xf numFmtId="0" fontId="0" fillId="0" borderId="7" xfId="0" applyBorder="1" applyAlignment="1">
      <alignment horizontal="center" wrapText="1"/>
    </xf>
    <xf numFmtId="0" fontId="12" fillId="0" borderId="7" xfId="0" applyFont="1"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wrapText="1"/>
    </xf>
    <xf numFmtId="0" fontId="0" fillId="0" borderId="15" xfId="0" applyBorder="1" applyAlignment="1">
      <alignment horizontal="center" wrapText="1"/>
    </xf>
    <xf numFmtId="0" fontId="0" fillId="0" borderId="14" xfId="0" applyBorder="1" applyAlignment="1">
      <alignment horizont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7" xfId="0" applyFont="1" applyBorder="1" applyAlignment="1">
      <alignment horizontal="left"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7" xfId="0" applyFont="1" applyBorder="1" applyAlignment="1">
      <alignment horizontal="center" vertical="center"/>
    </xf>
    <xf numFmtId="0" fontId="53" fillId="0" borderId="2" xfId="0" quotePrefix="1" applyNumberFormat="1" applyFont="1" applyBorder="1" applyAlignment="1">
      <alignment horizontal="left" vertical="center" wrapText="1"/>
    </xf>
    <xf numFmtId="0" fontId="53" fillId="0" borderId="3" xfId="0" quotePrefix="1" applyNumberFormat="1" applyFont="1" applyBorder="1" applyAlignment="1">
      <alignment horizontal="left" vertical="center" wrapText="1"/>
    </xf>
    <xf numFmtId="0" fontId="53" fillId="0" borderId="2" xfId="0" applyNumberFormat="1" applyFont="1" applyBorder="1" applyAlignment="1">
      <alignment horizontal="center" vertical="center" wrapText="1"/>
    </xf>
    <xf numFmtId="0" fontId="53" fillId="0" borderId="3" xfId="0" applyNumberFormat="1" applyFont="1" applyBorder="1" applyAlignment="1">
      <alignment horizontal="center" vertical="center" wrapText="1"/>
    </xf>
    <xf numFmtId="0" fontId="53" fillId="0" borderId="2" xfId="0" quotePrefix="1" applyNumberFormat="1" applyFont="1" applyFill="1" applyBorder="1" applyAlignment="1">
      <alignment horizontal="center" vertical="center" wrapText="1"/>
    </xf>
    <xf numFmtId="0" fontId="53" fillId="0" borderId="3" xfId="0" quotePrefix="1" applyNumberFormat="1" applyFont="1" applyFill="1" applyBorder="1" applyAlignment="1">
      <alignment horizontal="center" vertical="center" wrapText="1"/>
    </xf>
    <xf numFmtId="0" fontId="53" fillId="0" borderId="2" xfId="0" quotePrefix="1" applyNumberFormat="1" applyFont="1" applyBorder="1" applyAlignment="1">
      <alignment horizontal="center" vertical="center" wrapText="1"/>
    </xf>
    <xf numFmtId="0" fontId="53" fillId="0" borderId="3" xfId="0" quotePrefix="1" applyNumberFormat="1" applyFont="1" applyBorder="1" applyAlignment="1">
      <alignment horizontal="center" vertical="center" wrapText="1"/>
    </xf>
    <xf numFmtId="3" fontId="53" fillId="0" borderId="2" xfId="0" quotePrefix="1" applyNumberFormat="1" applyFont="1" applyBorder="1" applyAlignment="1">
      <alignment horizontal="center" vertical="center" wrapText="1"/>
    </xf>
    <xf numFmtId="3" fontId="53" fillId="0" borderId="3" xfId="0" quotePrefix="1" applyNumberFormat="1" applyFont="1" applyBorder="1" applyAlignment="1">
      <alignment horizontal="center" vertical="center" wrapText="1"/>
    </xf>
    <xf numFmtId="0" fontId="9" fillId="0" borderId="4" xfId="0" applyNumberFormat="1" applyFont="1" applyFill="1" applyBorder="1" applyAlignment="1">
      <alignment horizontal="left" vertical="center" wrapText="1"/>
    </xf>
    <xf numFmtId="0" fontId="9" fillId="0" borderId="6" xfId="0" applyNumberFormat="1" applyFont="1" applyFill="1" applyBorder="1" applyAlignment="1">
      <alignment horizontal="left" vertical="center" wrapText="1"/>
    </xf>
    <xf numFmtId="0" fontId="9" fillId="0" borderId="4"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34" fillId="0" borderId="4" xfId="0" applyFont="1" applyFill="1" applyBorder="1" applyAlignment="1">
      <alignment horizontal="center"/>
    </xf>
    <xf numFmtId="0" fontId="34" fillId="0" borderId="5" xfId="0" applyFont="1" applyFill="1" applyBorder="1" applyAlignment="1">
      <alignment horizontal="center"/>
    </xf>
    <xf numFmtId="0" fontId="34" fillId="0" borderId="6" xfId="0" applyFont="1" applyFill="1" applyBorder="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3" fontId="17" fillId="0" borderId="3" xfId="0" applyNumberFormat="1" applyFont="1" applyFill="1" applyBorder="1" applyAlignment="1">
      <alignment horizontal="center" vertical="center" wrapText="1"/>
    </xf>
    <xf numFmtId="0" fontId="17" fillId="0" borderId="2" xfId="0" applyNumberFormat="1" applyFont="1" applyFill="1" applyBorder="1" applyAlignment="1">
      <alignment vertical="center" wrapText="1"/>
    </xf>
    <xf numFmtId="0" fontId="17" fillId="0" borderId="3" xfId="0" applyNumberFormat="1" applyFont="1" applyFill="1" applyBorder="1" applyAlignment="1">
      <alignment vertical="center" wrapText="1"/>
    </xf>
    <xf numFmtId="0" fontId="17" fillId="0" borderId="7" xfId="0" applyNumberFormat="1" applyFont="1" applyFill="1" applyBorder="1" applyAlignment="1">
      <alignment vertical="center" wrapText="1"/>
    </xf>
    <xf numFmtId="0" fontId="17" fillId="0" borderId="3" xfId="0" applyNumberFormat="1" applyFont="1" applyFill="1" applyBorder="1" applyAlignment="1">
      <alignment horizontal="center" vertical="center" wrapText="1"/>
    </xf>
    <xf numFmtId="0" fontId="17" fillId="0" borderId="2" xfId="0" applyNumberFormat="1" applyFont="1" applyFill="1" applyBorder="1" applyAlignment="1">
      <alignment horizontal="left" vertical="center" wrapText="1"/>
    </xf>
    <xf numFmtId="0" fontId="17" fillId="0" borderId="3" xfId="0" applyNumberFormat="1" applyFont="1" applyFill="1" applyBorder="1" applyAlignment="1">
      <alignment horizontal="left" vertical="center" wrapText="1"/>
    </xf>
    <xf numFmtId="0" fontId="17" fillId="0" borderId="7" xfId="0" applyNumberFormat="1" applyFont="1" applyFill="1" applyBorder="1" applyAlignment="1">
      <alignment horizontal="left" vertical="center" wrapText="1"/>
    </xf>
    <xf numFmtId="0" fontId="12" fillId="0" borderId="1" xfId="0" quotePrefix="1" applyNumberFormat="1" applyFont="1" applyBorder="1" applyAlignment="1">
      <alignment horizontal="left" vertical="center" wrapText="1"/>
    </xf>
    <xf numFmtId="49" fontId="12" fillId="0" borderId="1" xfId="0" quotePrefix="1" applyNumberFormat="1" applyFont="1" applyBorder="1" applyAlignment="1">
      <alignment horizontal="center" vertical="center" wrapText="1"/>
    </xf>
    <xf numFmtId="0" fontId="12" fillId="0" borderId="1" xfId="0" quotePrefix="1" applyNumberFormat="1" applyFont="1" applyBorder="1" applyAlignment="1">
      <alignment horizontal="center" vertical="center" wrapText="1"/>
    </xf>
    <xf numFmtId="170" fontId="12" fillId="0" borderId="1" xfId="2" quotePrefix="1" applyNumberFormat="1" applyFont="1" applyBorder="1" applyAlignment="1">
      <alignment horizontal="center" vertical="center" wrapText="1"/>
    </xf>
    <xf numFmtId="0" fontId="2" fillId="2" borderId="1" xfId="0" applyNumberFormat="1" applyFont="1" applyFill="1" applyBorder="1" applyAlignment="1">
      <alignment horizontal="right" vertical="center" wrapText="1"/>
    </xf>
    <xf numFmtId="3" fontId="17" fillId="0" borderId="2" xfId="0" quotePrefix="1" applyNumberFormat="1" applyFont="1" applyFill="1" applyBorder="1" applyAlignment="1">
      <alignment horizontal="center" vertical="center" wrapText="1"/>
    </xf>
    <xf numFmtId="3" fontId="17" fillId="0" borderId="3" xfId="0" quotePrefix="1" applyNumberFormat="1" applyFont="1" applyFill="1" applyBorder="1" applyAlignment="1">
      <alignment horizontal="center" vertical="center" wrapText="1"/>
    </xf>
    <xf numFmtId="3" fontId="17" fillId="0" borderId="7" xfId="0" quotePrefix="1" applyNumberFormat="1" applyFont="1" applyFill="1" applyBorder="1" applyAlignment="1">
      <alignment horizontal="center" vertical="center" wrapText="1"/>
    </xf>
    <xf numFmtId="0" fontId="17" fillId="0" borderId="1" xfId="0" applyNumberFormat="1" applyFont="1" applyBorder="1" applyAlignment="1">
      <alignment horizontal="left" vertical="center" wrapText="1"/>
    </xf>
    <xf numFmtId="3" fontId="12" fillId="0" borderId="1" xfId="0" quotePrefix="1" applyNumberFormat="1" applyFont="1" applyBorder="1" applyAlignment="1">
      <alignment horizontal="center" vertical="center" wrapText="1"/>
    </xf>
    <xf numFmtId="3" fontId="52" fillId="0" borderId="2" xfId="0" quotePrefix="1" applyNumberFormat="1" applyFont="1" applyBorder="1" applyAlignment="1">
      <alignment horizontal="center" vertical="center" wrapText="1"/>
    </xf>
    <xf numFmtId="3" fontId="52" fillId="0" borderId="3" xfId="0" quotePrefix="1" applyNumberFormat="1" applyFont="1" applyBorder="1" applyAlignment="1">
      <alignment horizontal="center" vertical="center" wrapText="1"/>
    </xf>
    <xf numFmtId="3" fontId="52" fillId="0" borderId="7" xfId="0" quotePrefix="1" applyNumberFormat="1" applyFont="1" applyBorder="1" applyAlignment="1">
      <alignment horizontal="center" vertical="center" wrapText="1"/>
    </xf>
    <xf numFmtId="0" fontId="17" fillId="0" borderId="1" xfId="0" applyNumberFormat="1" applyFont="1" applyBorder="1" applyAlignment="1">
      <alignment vertical="center" wrapText="1"/>
    </xf>
    <xf numFmtId="0" fontId="17" fillId="0" borderId="2" xfId="0" applyNumberFormat="1" applyFont="1" applyBorder="1" applyAlignment="1">
      <alignment vertical="center" wrapText="1"/>
    </xf>
    <xf numFmtId="0" fontId="17" fillId="0" borderId="3" xfId="0" applyNumberFormat="1" applyFont="1" applyBorder="1" applyAlignment="1">
      <alignment vertical="center" wrapText="1"/>
    </xf>
    <xf numFmtId="0" fontId="17" fillId="0" borderId="7" xfId="0" applyNumberFormat="1" applyFont="1" applyBorder="1" applyAlignment="1">
      <alignment vertical="center" wrapText="1"/>
    </xf>
    <xf numFmtId="0" fontId="17" fillId="0" borderId="2" xfId="0" quotePrefix="1" applyNumberFormat="1" applyFont="1" applyBorder="1" applyAlignment="1">
      <alignment horizontal="center" vertical="center" wrapText="1"/>
    </xf>
    <xf numFmtId="0" fontId="17" fillId="0" borderId="3" xfId="0" quotePrefix="1" applyNumberFormat="1" applyFont="1" applyBorder="1" applyAlignment="1">
      <alignment horizontal="center" vertical="center" wrapText="1"/>
    </xf>
    <xf numFmtId="0" fontId="3" fillId="0" borderId="1" xfId="0" applyFont="1" applyBorder="1" applyAlignment="1">
      <alignment horizontal="center" vertical="center" textRotation="90"/>
    </xf>
    <xf numFmtId="0" fontId="2" fillId="0" borderId="11" xfId="0" applyNumberFormat="1" applyFont="1" applyBorder="1" applyAlignment="1">
      <alignment vertical="center"/>
    </xf>
    <xf numFmtId="0" fontId="2" fillId="0" borderId="12" xfId="0" applyNumberFormat="1" applyFont="1" applyBorder="1" applyAlignment="1">
      <alignment vertical="center"/>
    </xf>
    <xf numFmtId="0" fontId="2" fillId="0" borderId="13" xfId="0" applyNumberFormat="1" applyFont="1" applyBorder="1" applyAlignment="1">
      <alignment vertical="center"/>
    </xf>
    <xf numFmtId="0" fontId="2" fillId="0" borderId="14" xfId="0" applyNumberFormat="1" applyFont="1" applyBorder="1" applyAlignment="1">
      <alignment vertical="center"/>
    </xf>
    <xf numFmtId="0" fontId="2" fillId="0" borderId="10" xfId="0" applyNumberFormat="1" applyFont="1" applyBorder="1" applyAlignment="1">
      <alignment vertical="center"/>
    </xf>
    <xf numFmtId="0" fontId="2" fillId="0" borderId="9" xfId="0" applyNumberFormat="1" applyFont="1" applyBorder="1" applyAlignment="1">
      <alignment vertical="center"/>
    </xf>
    <xf numFmtId="0" fontId="2" fillId="0" borderId="1" xfId="0" applyNumberFormat="1" applyFont="1" applyBorder="1" applyAlignment="1">
      <alignment vertical="center"/>
    </xf>
    <xf numFmtId="0" fontId="2" fillId="14" borderId="1" xfId="0" applyNumberFormat="1" applyFont="1" applyFill="1" applyBorder="1" applyAlignment="1">
      <alignment horizontal="left" vertical="center" wrapText="1"/>
    </xf>
    <xf numFmtId="0" fontId="2" fillId="14" borderId="1" xfId="0" quotePrefix="1" applyNumberFormat="1" applyFont="1" applyFill="1" applyBorder="1" applyAlignment="1">
      <alignment horizontal="left" vertical="center"/>
    </xf>
    <xf numFmtId="0" fontId="2" fillId="14" borderId="1" xfId="0" applyNumberFormat="1" applyFont="1" applyFill="1" applyBorder="1" applyAlignment="1">
      <alignment horizontal="left" vertical="center"/>
    </xf>
    <xf numFmtId="0" fontId="2" fillId="14" borderId="1" xfId="0" applyNumberFormat="1" applyFont="1" applyFill="1" applyBorder="1" applyAlignment="1">
      <alignment horizontal="center" vertical="center" wrapText="1"/>
    </xf>
    <xf numFmtId="0" fontId="3" fillId="14" borderId="1" xfId="0" quotePrefix="1" applyNumberFormat="1" applyFont="1" applyFill="1" applyBorder="1" applyAlignment="1">
      <alignment horizontal="center" vertical="center" wrapText="1"/>
    </xf>
    <xf numFmtId="0" fontId="3" fillId="14" borderId="1" xfId="0" applyNumberFormat="1" applyFont="1" applyFill="1" applyBorder="1" applyAlignment="1">
      <alignment horizontal="center" vertical="center" wrapText="1"/>
    </xf>
    <xf numFmtId="0" fontId="8" fillId="0" borderId="14" xfId="0" applyFont="1" applyBorder="1" applyAlignment="1">
      <alignment horizontal="center" vertical="center"/>
    </xf>
    <xf numFmtId="0" fontId="8" fillId="0" borderId="10"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8" fillId="0" borderId="13" xfId="0" applyFont="1" applyBorder="1" applyAlignment="1">
      <alignment horizontal="left" vertical="center"/>
    </xf>
    <xf numFmtId="3" fontId="17" fillId="0" borderId="3" xfId="0" quotePrefix="1" applyNumberFormat="1" applyFont="1" applyBorder="1" applyAlignment="1">
      <alignment horizontal="center" vertical="center" wrapText="1"/>
    </xf>
    <xf numFmtId="0" fontId="5" fillId="0" borderId="1" xfId="0" quotePrefix="1" applyNumberFormat="1" applyFont="1" applyBorder="1" applyAlignment="1">
      <alignment horizontal="center" vertical="center" wrapText="1"/>
    </xf>
    <xf numFmtId="0" fontId="5" fillId="0" borderId="1" xfId="0" applyNumberFormat="1" applyFont="1" applyBorder="1" applyAlignment="1">
      <alignment horizontal="left" vertical="center" wrapText="1"/>
    </xf>
    <xf numFmtId="0" fontId="28" fillId="0" borderId="1" xfId="0" applyNumberFormat="1" applyFont="1" applyBorder="1" applyAlignment="1">
      <alignment horizontal="left" vertical="center" wrapText="1"/>
    </xf>
    <xf numFmtId="0" fontId="2" fillId="2" borderId="1" xfId="0" applyNumberFormat="1" applyFont="1" applyFill="1" applyBorder="1" applyAlignment="1">
      <alignment horizontal="left" vertical="center"/>
    </xf>
    <xf numFmtId="0" fontId="3" fillId="0" borderId="1" xfId="0" quotePrefix="1" applyNumberFormat="1" applyFont="1" applyBorder="1" applyAlignment="1">
      <alignment horizontal="left" vertical="center" wrapText="1"/>
    </xf>
    <xf numFmtId="49" fontId="3" fillId="0" borderId="1" xfId="0" quotePrefix="1" applyNumberFormat="1" applyFont="1" applyBorder="1" applyAlignment="1">
      <alignment horizontal="center" vertical="center" wrapText="1"/>
    </xf>
    <xf numFmtId="0" fontId="3" fillId="0" borderId="3" xfId="0" applyFont="1" applyBorder="1" applyAlignment="1">
      <alignment horizontal="center" vertical="center" textRotation="90"/>
    </xf>
    <xf numFmtId="0" fontId="3" fillId="0" borderId="17" xfId="0" applyFont="1" applyBorder="1" applyAlignment="1">
      <alignment horizontal="center" vertical="center" textRotation="90"/>
    </xf>
    <xf numFmtId="0" fontId="2" fillId="0" borderId="14" xfId="0" applyNumberFormat="1" applyFont="1" applyFill="1" applyBorder="1" applyAlignment="1">
      <alignment vertical="center" wrapText="1"/>
    </xf>
    <xf numFmtId="0" fontId="2" fillId="0" borderId="10" xfId="0" applyNumberFormat="1" applyFont="1" applyFill="1" applyBorder="1" applyAlignment="1">
      <alignment vertical="center" wrapText="1"/>
    </xf>
    <xf numFmtId="0" fontId="2" fillId="0" borderId="9" xfId="0" applyNumberFormat="1" applyFont="1" applyFill="1" applyBorder="1" applyAlignment="1">
      <alignment vertical="center" wrapText="1"/>
    </xf>
    <xf numFmtId="0" fontId="6" fillId="0" borderId="1" xfId="0" quotePrefix="1" applyNumberFormat="1" applyFont="1" applyBorder="1" applyAlignment="1">
      <alignment horizontal="center" vertical="center" wrapText="1"/>
    </xf>
    <xf numFmtId="3" fontId="3" fillId="0" borderId="16" xfId="0" quotePrefix="1"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3" fillId="0" borderId="4" xfId="0" applyNumberFormat="1" applyFont="1" applyBorder="1" applyAlignment="1">
      <alignment horizontal="left" vertical="center" wrapText="1"/>
    </xf>
    <xf numFmtId="0" fontId="3" fillId="0" borderId="6" xfId="0" applyNumberFormat="1" applyFont="1" applyBorder="1" applyAlignment="1">
      <alignment horizontal="left" vertical="center" wrapText="1"/>
    </xf>
    <xf numFmtId="3" fontId="3" fillId="0" borderId="2" xfId="0" applyNumberFormat="1" applyFont="1" applyBorder="1" applyAlignment="1">
      <alignment horizontal="left" vertical="center" indent="1"/>
    </xf>
    <xf numFmtId="3" fontId="3" fillId="0" borderId="7" xfId="0" applyNumberFormat="1" applyFont="1" applyBorder="1" applyAlignment="1">
      <alignment horizontal="left" vertical="center" indent="1"/>
    </xf>
    <xf numFmtId="3" fontId="17" fillId="0" borderId="2" xfId="0" applyNumberFormat="1" applyFont="1" applyBorder="1" applyAlignment="1">
      <alignment horizontal="center" vertical="center"/>
    </xf>
    <xf numFmtId="3" fontId="17" fillId="0" borderId="3" xfId="0" applyNumberFormat="1" applyFont="1" applyBorder="1" applyAlignment="1">
      <alignment horizontal="center" vertical="center"/>
    </xf>
    <xf numFmtId="3" fontId="17" fillId="0" borderId="7" xfId="0" applyNumberFormat="1" applyFont="1" applyBorder="1" applyAlignment="1">
      <alignment horizontal="center" vertical="center"/>
    </xf>
    <xf numFmtId="0" fontId="3" fillId="0" borderId="17" xfId="0" quotePrefix="1" applyNumberFormat="1" applyFont="1" applyBorder="1" applyAlignment="1">
      <alignment horizontal="left" vertical="center" wrapText="1"/>
    </xf>
    <xf numFmtId="49" fontId="3" fillId="0" borderId="1" xfId="0" quotePrefix="1" applyNumberFormat="1" applyFont="1" applyFill="1" applyBorder="1" applyAlignment="1">
      <alignment horizontal="center" vertical="center" wrapText="1"/>
    </xf>
    <xf numFmtId="49" fontId="3" fillId="0" borderId="16" xfId="0" quotePrefix="1" applyNumberFormat="1" applyFont="1" applyFill="1" applyBorder="1" applyAlignment="1">
      <alignment horizontal="center" vertical="center" wrapText="1"/>
    </xf>
    <xf numFmtId="49" fontId="3" fillId="0" borderId="16" xfId="0" quotePrefix="1" applyNumberFormat="1" applyFont="1" applyBorder="1" applyAlignment="1">
      <alignment horizontal="center" vertical="center" wrapText="1"/>
    </xf>
    <xf numFmtId="0" fontId="2" fillId="0" borderId="2" xfId="0" applyNumberFormat="1" applyFont="1" applyBorder="1" applyAlignment="1">
      <alignment horizontal="left" vertical="center" indent="1"/>
    </xf>
    <xf numFmtId="0" fontId="2" fillId="0" borderId="7" xfId="0" applyNumberFormat="1" applyFont="1" applyBorder="1" applyAlignment="1">
      <alignment horizontal="left" vertical="center" inden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2" fillId="0" borderId="6" xfId="0" applyNumberFormat="1" applyFont="1" applyBorder="1" applyAlignment="1">
      <alignment horizontal="left" vertical="center" wrapText="1" indent="1"/>
    </xf>
    <xf numFmtId="0" fontId="3" fillId="0" borderId="2" xfId="0" applyFont="1" applyBorder="1" applyAlignment="1">
      <alignment horizontal="center" vertical="center" textRotation="90"/>
    </xf>
    <xf numFmtId="0" fontId="3" fillId="0" borderId="7" xfId="0" applyFont="1" applyBorder="1" applyAlignment="1">
      <alignment horizontal="center" vertical="center" textRotation="90"/>
    </xf>
    <xf numFmtId="0" fontId="2" fillId="0" borderId="3" xfId="0" applyNumberFormat="1" applyFont="1" applyBorder="1" applyAlignment="1">
      <alignment horizontal="left" vertical="center" indent="1"/>
    </xf>
    <xf numFmtId="0" fontId="3" fillId="0" borderId="12"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10" xfId="0" applyNumberFormat="1" applyFont="1" applyBorder="1" applyAlignment="1">
      <alignment horizontal="left" vertical="center" wrapText="1" indent="1"/>
    </xf>
    <xf numFmtId="0" fontId="3" fillId="0" borderId="9" xfId="0" applyNumberFormat="1" applyFont="1" applyBorder="1" applyAlignment="1">
      <alignment horizontal="left" vertical="center" wrapText="1" indent="1"/>
    </xf>
    <xf numFmtId="49" fontId="17" fillId="0" borderId="3" xfId="0" quotePrefix="1" applyNumberFormat="1" applyFont="1" applyBorder="1" applyAlignment="1">
      <alignment horizontal="center" vertical="center" wrapText="1"/>
    </xf>
    <xf numFmtId="49" fontId="17" fillId="0" borderId="2" xfId="0" quotePrefix="1" applyNumberFormat="1" applyFont="1" applyBorder="1" applyAlignment="1">
      <alignment vertical="center" wrapText="1"/>
    </xf>
    <xf numFmtId="49" fontId="17" fillId="0" borderId="3" xfId="0" quotePrefix="1" applyNumberFormat="1" applyFont="1" applyBorder="1" applyAlignment="1">
      <alignment vertical="center" wrapText="1"/>
    </xf>
    <xf numFmtId="49" fontId="17" fillId="0" borderId="7" xfId="0" quotePrefix="1" applyNumberFormat="1" applyFont="1" applyBorder="1" applyAlignment="1">
      <alignment vertical="center" wrapText="1"/>
    </xf>
    <xf numFmtId="0" fontId="3" fillId="0" borderId="2" xfId="0" applyNumberFormat="1" applyFont="1" applyBorder="1" applyAlignment="1">
      <alignment horizontal="left" vertical="center" wrapText="1" indent="1"/>
    </xf>
    <xf numFmtId="0" fontId="3" fillId="0" borderId="7" xfId="0" applyNumberFormat="1" applyFont="1" applyBorder="1" applyAlignment="1">
      <alignment horizontal="left" vertical="center" wrapText="1" indent="1"/>
    </xf>
    <xf numFmtId="0" fontId="12" fillId="0" borderId="1" xfId="0" quotePrefix="1" applyNumberFormat="1" applyFont="1" applyBorder="1" applyAlignment="1">
      <alignment horizontal="left" vertical="center" wrapText="1" indent="1"/>
    </xf>
    <xf numFmtId="0" fontId="3" fillId="0" borderId="4" xfId="0" applyNumberFormat="1" applyFont="1" applyBorder="1" applyAlignment="1">
      <alignment horizontal="right" vertical="center" wrapTex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0" fontId="2" fillId="0" borderId="1" xfId="0" applyNumberFormat="1" applyFont="1" applyBorder="1" applyAlignment="1">
      <alignment horizontal="right" vertical="center" wrapText="1"/>
    </xf>
    <xf numFmtId="0" fontId="53" fillId="5" borderId="4" xfId="0" applyNumberFormat="1" applyFont="1" applyFill="1" applyBorder="1" applyAlignment="1">
      <alignment horizontal="left" vertical="center" indent="1"/>
    </xf>
    <xf numFmtId="0" fontId="53" fillId="5" borderId="5" xfId="0" applyNumberFormat="1" applyFont="1" applyFill="1" applyBorder="1" applyAlignment="1">
      <alignment horizontal="left" vertical="center" indent="1"/>
    </xf>
    <xf numFmtId="0" fontId="29" fillId="0" borderId="4"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3" borderId="7" xfId="0" quotePrefix="1" applyNumberFormat="1" applyFont="1" applyFill="1" applyBorder="1" applyAlignment="1">
      <alignment vertical="center" wrapText="1"/>
    </xf>
    <xf numFmtId="0" fontId="52" fillId="0" borderId="2" xfId="0" applyNumberFormat="1" applyFont="1" applyBorder="1" applyAlignment="1">
      <alignment horizontal="left" vertical="center" wrapText="1"/>
    </xf>
    <xf numFmtId="0" fontId="52" fillId="0" borderId="3" xfId="0" applyNumberFormat="1" applyFont="1" applyBorder="1" applyAlignment="1">
      <alignment horizontal="left" vertical="center" wrapText="1"/>
    </xf>
    <xf numFmtId="0" fontId="52" fillId="0" borderId="7" xfId="0" applyNumberFormat="1" applyFont="1" applyBorder="1" applyAlignment="1">
      <alignment horizontal="left" vertical="center" wrapText="1"/>
    </xf>
    <xf numFmtId="0" fontId="52" fillId="0" borderId="2" xfId="0" quotePrefix="1" applyNumberFormat="1" applyFont="1" applyFill="1" applyBorder="1" applyAlignment="1">
      <alignment horizontal="center" vertical="center" wrapText="1"/>
    </xf>
    <xf numFmtId="0" fontId="52" fillId="0" borderId="3" xfId="0" quotePrefix="1" applyNumberFormat="1" applyFont="1" applyFill="1" applyBorder="1" applyAlignment="1">
      <alignment horizontal="center" vertical="center" wrapText="1"/>
    </xf>
    <xf numFmtId="0" fontId="52" fillId="0" borderId="7" xfId="0" quotePrefix="1" applyNumberFormat="1" applyFont="1" applyFill="1" applyBorder="1" applyAlignment="1">
      <alignment horizontal="center" vertical="center" wrapText="1"/>
    </xf>
    <xf numFmtId="0" fontId="52" fillId="0" borderId="2" xfId="0" quotePrefix="1" applyNumberFormat="1" applyFont="1" applyBorder="1" applyAlignment="1">
      <alignment horizontal="center" vertical="center" wrapText="1"/>
    </xf>
    <xf numFmtId="0" fontId="52" fillId="0" borderId="3" xfId="0" quotePrefix="1" applyNumberFormat="1" applyFont="1" applyBorder="1" applyAlignment="1">
      <alignment horizontal="center" vertical="center" wrapText="1"/>
    </xf>
    <xf numFmtId="0" fontId="52" fillId="0" borderId="7" xfId="0" quotePrefix="1" applyNumberFormat="1" applyFont="1" applyBorder="1" applyAlignment="1">
      <alignment horizontal="center" vertical="center" wrapText="1"/>
    </xf>
    <xf numFmtId="3" fontId="52" fillId="0" borderId="2" xfId="0" applyNumberFormat="1" applyFont="1" applyBorder="1" applyAlignment="1">
      <alignment horizontal="center" vertical="center" wrapText="1"/>
    </xf>
    <xf numFmtId="3" fontId="52" fillId="0" borderId="3" xfId="0" applyNumberFormat="1" applyFont="1" applyBorder="1" applyAlignment="1">
      <alignment horizontal="center" vertical="center" wrapText="1"/>
    </xf>
    <xf numFmtId="3" fontId="52" fillId="0" borderId="7" xfId="0" applyNumberFormat="1" applyFont="1" applyBorder="1" applyAlignment="1">
      <alignment horizontal="center" vertical="center" wrapText="1"/>
    </xf>
    <xf numFmtId="0" fontId="52" fillId="0" borderId="1" xfId="0" applyNumberFormat="1" applyFont="1" applyBorder="1" applyAlignment="1">
      <alignment horizontal="center" vertical="center" wrapText="1"/>
    </xf>
    <xf numFmtId="0" fontId="29" fillId="0" borderId="9" xfId="0" applyNumberFormat="1" applyFont="1" applyFill="1" applyBorder="1" applyAlignment="1">
      <alignment horizontal="left" vertical="center" wrapText="1"/>
    </xf>
    <xf numFmtId="0" fontId="29" fillId="0" borderId="13" xfId="0" applyNumberFormat="1" applyFont="1" applyFill="1" applyBorder="1" applyAlignment="1">
      <alignment horizontal="left" vertical="center" wrapText="1"/>
    </xf>
    <xf numFmtId="0" fontId="52" fillId="0" borderId="2" xfId="0" quotePrefix="1" applyNumberFormat="1" applyFont="1" applyBorder="1" applyAlignment="1">
      <alignment vertical="center" wrapText="1"/>
    </xf>
    <xf numFmtId="0" fontId="52" fillId="0" borderId="3" xfId="0" quotePrefix="1" applyNumberFormat="1" applyFont="1" applyBorder="1" applyAlignment="1">
      <alignment vertical="center" wrapText="1"/>
    </xf>
    <xf numFmtId="0" fontId="52" fillId="0" borderId="7" xfId="0" quotePrefix="1" applyNumberFormat="1" applyFont="1" applyBorder="1" applyAlignment="1">
      <alignment vertical="center" wrapText="1"/>
    </xf>
    <xf numFmtId="0" fontId="52" fillId="0" borderId="2" xfId="0" quotePrefix="1" applyNumberFormat="1" applyFont="1" applyBorder="1" applyAlignment="1">
      <alignment horizontal="left" vertical="center" wrapText="1"/>
    </xf>
    <xf numFmtId="0" fontId="52" fillId="0" borderId="3" xfId="0" quotePrefix="1" applyNumberFormat="1" applyFont="1" applyBorder="1" applyAlignment="1">
      <alignment horizontal="left" vertical="center" wrapText="1"/>
    </xf>
    <xf numFmtId="0" fontId="52" fillId="0" borderId="7" xfId="0" quotePrefix="1" applyNumberFormat="1" applyFont="1" applyBorder="1" applyAlignment="1">
      <alignment horizontal="left" vertical="center" wrapText="1"/>
    </xf>
    <xf numFmtId="0" fontId="17" fillId="0" borderId="2" xfId="0" quotePrefix="1" applyNumberFormat="1" applyFont="1" applyBorder="1" applyAlignment="1">
      <alignment vertical="center" wrapText="1"/>
    </xf>
    <xf numFmtId="0" fontId="17" fillId="0" borderId="3" xfId="0" quotePrefix="1" applyNumberFormat="1" applyFont="1" applyBorder="1" applyAlignment="1">
      <alignment vertical="center" wrapText="1"/>
    </xf>
    <xf numFmtId="0" fontId="17" fillId="0" borderId="2" xfId="0" quotePrefix="1" applyNumberFormat="1" applyFont="1" applyFill="1" applyBorder="1" applyAlignment="1">
      <alignment horizontal="center" vertical="center" wrapText="1"/>
    </xf>
    <xf numFmtId="0" fontId="17" fillId="0" borderId="3" xfId="0" quotePrefix="1" applyNumberFormat="1" applyFont="1" applyFill="1" applyBorder="1" applyAlignment="1">
      <alignment horizontal="center" vertical="center" wrapText="1"/>
    </xf>
    <xf numFmtId="0" fontId="52" fillId="0" borderId="2" xfId="0" applyNumberFormat="1" applyFont="1" applyBorder="1" applyAlignment="1">
      <alignment vertical="center" wrapText="1"/>
    </xf>
    <xf numFmtId="0" fontId="52" fillId="0" borderId="3" xfId="0" applyNumberFormat="1" applyFont="1" applyBorder="1" applyAlignment="1">
      <alignment vertical="center" wrapText="1"/>
    </xf>
    <xf numFmtId="0" fontId="52" fillId="0" borderId="7" xfId="0" applyNumberFormat="1" applyFont="1" applyBorder="1" applyAlignment="1">
      <alignment vertical="center" wrapText="1"/>
    </xf>
    <xf numFmtId="0" fontId="16" fillId="0" borderId="2" xfId="0" quotePrefix="1" applyNumberFormat="1" applyFont="1" applyBorder="1" applyAlignment="1">
      <alignment horizontal="left" vertical="center"/>
    </xf>
    <xf numFmtId="0" fontId="16" fillId="0" borderId="15" xfId="0" applyNumberFormat="1" applyFont="1" applyBorder="1" applyAlignment="1">
      <alignment horizontal="left" vertical="center" wrapText="1"/>
    </xf>
    <xf numFmtId="0" fontId="16" fillId="0" borderId="0" xfId="0" applyNumberFormat="1" applyFont="1" applyBorder="1" applyAlignment="1">
      <alignment horizontal="left" vertical="center" wrapText="1"/>
    </xf>
    <xf numFmtId="3" fontId="52" fillId="0" borderId="1" xfId="0" quotePrefix="1" applyNumberFormat="1" applyFont="1" applyBorder="1" applyAlignment="1">
      <alignment horizontal="center" vertical="center" wrapText="1"/>
    </xf>
    <xf numFmtId="0" fontId="18" fillId="0" borderId="1" xfId="0" applyNumberFormat="1" applyFont="1" applyFill="1" applyBorder="1" applyAlignment="1">
      <alignment horizontal="left" vertical="center" wrapText="1"/>
    </xf>
    <xf numFmtId="0" fontId="52" fillId="0" borderId="1" xfId="0" quotePrefix="1" applyNumberFormat="1" applyFont="1" applyBorder="1" applyAlignment="1">
      <alignment vertical="center" wrapText="1"/>
    </xf>
    <xf numFmtId="0" fontId="52" fillId="0" borderId="1" xfId="0" applyNumberFormat="1" applyFont="1" applyBorder="1" applyAlignment="1">
      <alignment horizontal="left" vertical="center" wrapText="1"/>
    </xf>
    <xf numFmtId="0" fontId="52" fillId="0" borderId="1" xfId="0" quotePrefix="1" applyNumberFormat="1" applyFont="1" applyFill="1" applyBorder="1" applyAlignment="1">
      <alignment horizontal="center" vertical="center" wrapText="1"/>
    </xf>
    <xf numFmtId="0" fontId="52" fillId="0" borderId="1" xfId="0" quotePrefix="1" applyNumberFormat="1" applyFont="1" applyBorder="1" applyAlignment="1">
      <alignment horizontal="center" vertical="center" wrapText="1"/>
    </xf>
    <xf numFmtId="0" fontId="16" fillId="2" borderId="2" xfId="0" applyNumberFormat="1" applyFont="1" applyFill="1" applyBorder="1" applyAlignment="1">
      <alignment horizontal="left" vertical="center" wrapText="1"/>
    </xf>
    <xf numFmtId="0" fontId="16" fillId="2" borderId="7" xfId="0" applyNumberFormat="1" applyFont="1" applyFill="1" applyBorder="1" applyAlignment="1">
      <alignment horizontal="left" vertical="center" wrapText="1"/>
    </xf>
    <xf numFmtId="0" fontId="16" fillId="0" borderId="2" xfId="0" applyNumberFormat="1" applyFont="1" applyBorder="1" applyAlignment="1">
      <alignment horizontal="left" vertical="center" indent="1"/>
    </xf>
    <xf numFmtId="0" fontId="16" fillId="0" borderId="7" xfId="0" applyNumberFormat="1" applyFont="1" applyBorder="1" applyAlignment="1">
      <alignment horizontal="left" vertical="center" indent="1"/>
    </xf>
    <xf numFmtId="0" fontId="16" fillId="0" borderId="11" xfId="0" applyNumberFormat="1" applyFont="1" applyBorder="1" applyAlignment="1">
      <alignment horizontal="left" vertical="center" wrapText="1" indent="1"/>
    </xf>
    <xf numFmtId="0" fontId="16" fillId="0" borderId="12" xfId="0" applyNumberFormat="1" applyFont="1" applyBorder="1" applyAlignment="1">
      <alignment horizontal="left" vertical="center" wrapText="1" indent="1"/>
    </xf>
    <xf numFmtId="0" fontId="16" fillId="0" borderId="14" xfId="0" applyNumberFormat="1" applyFont="1" applyBorder="1" applyAlignment="1">
      <alignment horizontal="left" vertical="center" wrapText="1" indent="1"/>
    </xf>
    <xf numFmtId="0" fontId="16" fillId="0" borderId="10" xfId="0" applyNumberFormat="1" applyFont="1" applyBorder="1" applyAlignment="1">
      <alignment horizontal="left" vertical="center" wrapText="1" indent="1"/>
    </xf>
    <xf numFmtId="0" fontId="17" fillId="0" borderId="4" xfId="0" applyNumberFormat="1" applyFont="1" applyBorder="1" applyAlignment="1">
      <alignment horizontal="left" vertical="center" wrapText="1" indent="1"/>
    </xf>
    <xf numFmtId="0" fontId="17" fillId="0" borderId="5" xfId="0" applyNumberFormat="1" applyFont="1" applyBorder="1" applyAlignment="1">
      <alignment horizontal="left" vertical="center" wrapText="1" indent="1"/>
    </xf>
    <xf numFmtId="0" fontId="17" fillId="0" borderId="6" xfId="0" applyNumberFormat="1" applyFont="1" applyBorder="1" applyAlignment="1">
      <alignment horizontal="left" vertical="center" wrapText="1" indent="1"/>
    </xf>
    <xf numFmtId="0" fontId="16" fillId="0" borderId="1" xfId="0" applyNumberFormat="1" applyFont="1" applyBorder="1" applyAlignment="1">
      <alignment horizontal="left" vertical="center" indent="1"/>
    </xf>
    <xf numFmtId="0" fontId="16" fillId="0" borderId="4" xfId="0" applyNumberFormat="1" applyFont="1" applyBorder="1" applyAlignment="1">
      <alignment horizontal="left" vertical="center" indent="1"/>
    </xf>
    <xf numFmtId="0" fontId="16" fillId="0" borderId="11" xfId="0" applyNumberFormat="1" applyFont="1" applyBorder="1" applyAlignment="1">
      <alignment horizontal="left" vertical="center" indent="1"/>
    </xf>
    <xf numFmtId="0" fontId="16" fillId="0" borderId="12" xfId="0" applyNumberFormat="1" applyFont="1" applyBorder="1" applyAlignment="1">
      <alignment horizontal="left" vertical="center" indent="1"/>
    </xf>
    <xf numFmtId="0" fontId="16" fillId="0" borderId="14" xfId="0" applyNumberFormat="1" applyFont="1" applyBorder="1" applyAlignment="1">
      <alignment horizontal="left" vertical="center" indent="1"/>
    </xf>
    <xf numFmtId="0" fontId="16" fillId="0" borderId="10" xfId="0" applyNumberFormat="1" applyFont="1" applyBorder="1" applyAlignment="1">
      <alignment horizontal="left" vertical="center" indent="1"/>
    </xf>
    <xf numFmtId="0" fontId="16" fillId="0" borderId="4" xfId="0" applyNumberFormat="1" applyFont="1" applyBorder="1" applyAlignment="1">
      <alignment horizontal="left" vertical="center" wrapText="1" indent="1"/>
    </xf>
    <xf numFmtId="0" fontId="16" fillId="0" borderId="5" xfId="0" applyNumberFormat="1" applyFont="1" applyBorder="1" applyAlignment="1">
      <alignment horizontal="left" vertical="center" wrapText="1" indent="1"/>
    </xf>
    <xf numFmtId="0" fontId="16" fillId="0" borderId="6" xfId="0" applyNumberFormat="1" applyFont="1" applyBorder="1" applyAlignment="1">
      <alignment horizontal="left" vertical="center" wrapText="1" indent="1"/>
    </xf>
    <xf numFmtId="0" fontId="16" fillId="0" borderId="11" xfId="0" applyNumberFormat="1" applyFont="1" applyBorder="1" applyAlignment="1">
      <alignment horizontal="center" vertical="center"/>
    </xf>
    <xf numFmtId="0" fontId="16" fillId="0" borderId="14" xfId="0" applyNumberFormat="1" applyFont="1" applyBorder="1" applyAlignment="1">
      <alignment horizontal="center" vertical="center"/>
    </xf>
    <xf numFmtId="3" fontId="16" fillId="0" borderId="1" xfId="0" quotePrefix="1" applyNumberFormat="1" applyFont="1" applyBorder="1" applyAlignment="1">
      <alignment horizontal="center" vertical="center" wrapText="1"/>
    </xf>
    <xf numFmtId="0" fontId="16" fillId="0" borderId="1" xfId="0" quotePrefix="1" applyNumberFormat="1" applyFont="1" applyBorder="1" applyAlignment="1">
      <alignment horizontal="center" vertical="center" wrapText="1"/>
    </xf>
    <xf numFmtId="0" fontId="16" fillId="2" borderId="4" xfId="0" applyNumberFormat="1" applyFont="1" applyFill="1" applyBorder="1" applyAlignment="1">
      <alignment horizontal="left" vertical="center"/>
    </xf>
    <xf numFmtId="0" fontId="16" fillId="2" borderId="5" xfId="0" applyNumberFormat="1" applyFont="1" applyFill="1" applyBorder="1" applyAlignment="1">
      <alignment horizontal="left" vertical="center"/>
    </xf>
    <xf numFmtId="0" fontId="16" fillId="2" borderId="6" xfId="0" applyNumberFormat="1" applyFont="1" applyFill="1" applyBorder="1" applyAlignment="1">
      <alignment horizontal="left" vertical="center"/>
    </xf>
    <xf numFmtId="0" fontId="16" fillId="0" borderId="1" xfId="0" quotePrefix="1" applyNumberFormat="1" applyFont="1" applyBorder="1" applyAlignment="1">
      <alignment vertical="center" wrapText="1"/>
    </xf>
    <xf numFmtId="0" fontId="16" fillId="0" borderId="1" xfId="0" quotePrefix="1" applyNumberFormat="1" applyFont="1" applyBorder="1" applyAlignment="1">
      <alignment horizontal="left" vertical="center" wrapText="1"/>
    </xf>
    <xf numFmtId="0" fontId="29" fillId="0" borderId="1" xfId="0" quotePrefix="1" applyNumberFormat="1" applyFont="1" applyBorder="1" applyAlignment="1">
      <alignment vertical="center" wrapText="1"/>
    </xf>
    <xf numFmtId="0" fontId="29" fillId="0" borderId="1" xfId="0" applyNumberFormat="1" applyFont="1" applyBorder="1" applyAlignment="1">
      <alignment horizontal="center" vertical="center" wrapText="1"/>
    </xf>
    <xf numFmtId="0" fontId="29" fillId="0" borderId="1" xfId="0" quotePrefix="1" applyNumberFormat="1" applyFont="1" applyFill="1" applyBorder="1" applyAlignment="1">
      <alignment horizontal="center" vertical="center" wrapText="1"/>
    </xf>
    <xf numFmtId="0" fontId="16" fillId="0" borderId="2" xfId="0" applyNumberFormat="1" applyFont="1" applyBorder="1" applyAlignment="1">
      <alignment horizontal="left" vertical="center" wrapText="1"/>
    </xf>
    <xf numFmtId="0" fontId="16" fillId="0" borderId="7" xfId="0" applyNumberFormat="1" applyFont="1" applyBorder="1" applyAlignment="1">
      <alignment horizontal="left" vertical="center" wrapText="1"/>
    </xf>
    <xf numFmtId="0" fontId="16" fillId="0" borderId="4" xfId="0" applyNumberFormat="1" applyFont="1" applyBorder="1" applyAlignment="1">
      <alignment vertical="center" wrapText="1"/>
    </xf>
    <xf numFmtId="0" fontId="16" fillId="0" borderId="5" xfId="0" applyNumberFormat="1" applyFont="1" applyBorder="1" applyAlignment="1">
      <alignment vertical="center" wrapText="1"/>
    </xf>
    <xf numFmtId="0" fontId="4" fillId="5" borderId="6" xfId="0" applyNumberFormat="1" applyFont="1" applyFill="1" applyBorder="1" applyAlignment="1">
      <alignment horizontal="left" vertical="center"/>
    </xf>
    <xf numFmtId="0" fontId="16" fillId="0" borderId="6" xfId="0" applyNumberFormat="1" applyFont="1" applyBorder="1" applyAlignment="1">
      <alignment horizontal="left" vertical="center"/>
    </xf>
    <xf numFmtId="0" fontId="29" fillId="0" borderId="1" xfId="0" applyNumberFormat="1" applyFont="1" applyFill="1" applyBorder="1" applyAlignment="1">
      <alignment horizontal="left" vertical="center" wrapText="1"/>
    </xf>
    <xf numFmtId="49" fontId="16" fillId="0" borderId="2" xfId="0" applyNumberFormat="1"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0" borderId="3" xfId="0" quotePrefix="1" applyNumberFormat="1" applyFont="1" applyFill="1" applyBorder="1" applyAlignment="1">
      <alignment horizontal="center" vertical="center" wrapText="1"/>
    </xf>
    <xf numFmtId="0" fontId="16" fillId="3" borderId="4" xfId="0" applyNumberFormat="1" applyFont="1" applyFill="1" applyBorder="1" applyAlignment="1">
      <alignment horizontal="left" vertical="center"/>
    </xf>
    <xf numFmtId="0" fontId="17" fillId="3" borderId="4" xfId="0" applyNumberFormat="1" applyFont="1" applyFill="1" applyBorder="1" applyAlignment="1">
      <alignment horizontal="center" vertical="center" wrapText="1"/>
    </xf>
    <xf numFmtId="0" fontId="17" fillId="3" borderId="5" xfId="0" applyNumberFormat="1" applyFont="1" applyFill="1" applyBorder="1" applyAlignment="1">
      <alignment horizontal="center" vertical="center" wrapText="1"/>
    </xf>
    <xf numFmtId="0" fontId="17" fillId="3" borderId="6" xfId="0" applyNumberFormat="1" applyFont="1" applyFill="1" applyBorder="1" applyAlignment="1">
      <alignment horizontal="center" vertical="center" wrapText="1"/>
    </xf>
    <xf numFmtId="174" fontId="16" fillId="0" borderId="2" xfId="2" quotePrefix="1" applyNumberFormat="1" applyFont="1" applyBorder="1" applyAlignment="1">
      <alignment horizontal="center" vertical="center" wrapText="1"/>
    </xf>
    <xf numFmtId="174" fontId="16" fillId="0" borderId="3" xfId="2" quotePrefix="1" applyNumberFormat="1" applyFont="1" applyBorder="1" applyAlignment="1">
      <alignment horizontal="center" vertical="center" wrapText="1"/>
    </xf>
    <xf numFmtId="174" fontId="16" fillId="0" borderId="7" xfId="2" quotePrefix="1" applyNumberFormat="1" applyFont="1" applyBorder="1" applyAlignment="1">
      <alignment horizontal="center" vertical="center" wrapText="1"/>
    </xf>
    <xf numFmtId="0" fontId="16" fillId="0" borderId="1" xfId="2" applyNumberFormat="1" applyFont="1" applyBorder="1" applyAlignment="1">
      <alignment horizontal="center" vertical="center" wrapText="1"/>
    </xf>
    <xf numFmtId="49" fontId="16" fillId="0" borderId="1" xfId="4" quotePrefix="1" applyNumberFormat="1" applyFont="1" applyFill="1" applyBorder="1" applyAlignment="1">
      <alignment horizontal="center" vertical="center" wrapText="1"/>
    </xf>
    <xf numFmtId="49" fontId="16" fillId="0" borderId="1" xfId="0" quotePrefix="1" applyNumberFormat="1" applyFont="1" applyBorder="1" applyAlignment="1">
      <alignment horizontal="center" vertical="center" wrapText="1"/>
    </xf>
    <xf numFmtId="49" fontId="16" fillId="0" borderId="1" xfId="2" quotePrefix="1" applyNumberFormat="1" applyFont="1" applyBorder="1" applyAlignment="1">
      <alignment horizontal="center" vertical="center" wrapText="1"/>
    </xf>
    <xf numFmtId="0" fontId="52" fillId="3" borderId="2" xfId="0" quotePrefix="1" applyNumberFormat="1" applyFont="1" applyFill="1" applyBorder="1" applyAlignment="1">
      <alignment horizontal="left" vertical="center" wrapText="1"/>
    </xf>
    <xf numFmtId="0" fontId="52" fillId="3" borderId="3" xfId="0" quotePrefix="1" applyNumberFormat="1" applyFont="1" applyFill="1" applyBorder="1" applyAlignment="1">
      <alignment horizontal="left" vertical="center" wrapText="1"/>
    </xf>
    <xf numFmtId="0" fontId="52" fillId="3" borderId="7" xfId="0" quotePrefix="1" applyNumberFormat="1" applyFont="1" applyFill="1" applyBorder="1" applyAlignment="1">
      <alignment horizontal="left" vertical="center" wrapText="1"/>
    </xf>
    <xf numFmtId="3" fontId="52" fillId="3" borderId="2" xfId="0" quotePrefix="1" applyNumberFormat="1" applyFont="1" applyFill="1" applyBorder="1" applyAlignment="1">
      <alignment horizontal="center" vertical="center" wrapText="1"/>
    </xf>
    <xf numFmtId="3" fontId="52" fillId="3" borderId="3" xfId="0" quotePrefix="1" applyNumberFormat="1" applyFont="1" applyFill="1" applyBorder="1" applyAlignment="1">
      <alignment horizontal="center" vertical="center" wrapText="1"/>
    </xf>
    <xf numFmtId="0" fontId="29" fillId="0" borderId="4" xfId="0" applyNumberFormat="1" applyFont="1" applyBorder="1" applyAlignment="1">
      <alignment horizontal="center" vertical="center" wrapText="1"/>
    </xf>
    <xf numFmtId="0" fontId="29" fillId="0" borderId="6" xfId="0" applyNumberFormat="1" applyFont="1" applyBorder="1" applyAlignment="1">
      <alignment horizontal="center" vertical="center" wrapText="1"/>
    </xf>
    <xf numFmtId="0" fontId="29" fillId="0" borderId="11" xfId="0" applyNumberFormat="1" applyFont="1" applyBorder="1" applyAlignment="1">
      <alignment horizontal="left" vertical="center" wrapText="1"/>
    </xf>
    <xf numFmtId="0" fontId="29" fillId="0" borderId="12" xfId="0" applyNumberFormat="1" applyFont="1" applyBorder="1" applyAlignment="1">
      <alignment horizontal="left" vertical="center" wrapText="1"/>
    </xf>
    <xf numFmtId="0" fontId="29" fillId="0" borderId="13" xfId="0" applyNumberFormat="1" applyFont="1" applyBorder="1" applyAlignment="1">
      <alignment horizontal="left" vertical="center" wrapText="1"/>
    </xf>
    <xf numFmtId="0" fontId="29" fillId="0" borderId="15" xfId="0" applyNumberFormat="1" applyFont="1" applyBorder="1" applyAlignment="1">
      <alignment horizontal="left" vertical="center" wrapText="1"/>
    </xf>
    <xf numFmtId="0" fontId="29" fillId="0" borderId="0" xfId="0" applyNumberFormat="1" applyFont="1" applyBorder="1" applyAlignment="1">
      <alignment horizontal="left" vertical="center" wrapText="1"/>
    </xf>
    <xf numFmtId="0" fontId="29" fillId="0" borderId="8" xfId="0" applyNumberFormat="1" applyFont="1" applyBorder="1" applyAlignment="1">
      <alignment horizontal="left" vertical="center" wrapText="1"/>
    </xf>
    <xf numFmtId="0" fontId="29" fillId="0" borderId="11" xfId="0" applyNumberFormat="1" applyFont="1" applyBorder="1" applyAlignment="1">
      <alignment horizontal="left" vertical="center" wrapText="1" indent="1"/>
    </xf>
    <xf numFmtId="0" fontId="29" fillId="0" borderId="13" xfId="0" applyNumberFormat="1" applyFont="1" applyBorder="1" applyAlignment="1">
      <alignment horizontal="left" vertical="center" wrapText="1" indent="1"/>
    </xf>
    <xf numFmtId="0" fontId="29" fillId="0" borderId="15"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0" fontId="29" fillId="4" borderId="2" xfId="0" applyNumberFormat="1" applyFont="1" applyFill="1" applyBorder="1" applyAlignment="1">
      <alignment vertical="center" wrapText="1"/>
    </xf>
    <xf numFmtId="0" fontId="29" fillId="4" borderId="7" xfId="0" applyNumberFormat="1" applyFont="1" applyFill="1" applyBorder="1" applyAlignment="1">
      <alignment vertical="center" wrapText="1"/>
    </xf>
    <xf numFmtId="0" fontId="29" fillId="4" borderId="2" xfId="0" applyNumberFormat="1" applyFont="1" applyFill="1" applyBorder="1" applyAlignment="1">
      <alignment horizontal="center" vertical="center"/>
    </xf>
    <xf numFmtId="0" fontId="29" fillId="4" borderId="7" xfId="0" applyNumberFormat="1" applyFont="1" applyFill="1" applyBorder="1" applyAlignment="1">
      <alignment horizontal="center" vertical="center"/>
    </xf>
    <xf numFmtId="0" fontId="29" fillId="4" borderId="11" xfId="0" applyNumberFormat="1" applyFont="1" applyFill="1" applyBorder="1" applyAlignment="1">
      <alignment horizontal="left" vertical="center" wrapText="1" indent="1"/>
    </xf>
    <xf numFmtId="0" fontId="29" fillId="4" borderId="12" xfId="0" applyNumberFormat="1" applyFont="1" applyFill="1" applyBorder="1" applyAlignment="1">
      <alignment horizontal="left" vertical="center" wrapText="1" indent="1"/>
    </xf>
    <xf numFmtId="0" fontId="29" fillId="4" borderId="14" xfId="0" applyNumberFormat="1" applyFont="1" applyFill="1" applyBorder="1" applyAlignment="1">
      <alignment horizontal="left" vertical="center" wrapText="1" indent="1"/>
    </xf>
    <xf numFmtId="0" fontId="29" fillId="4" borderId="10" xfId="0" applyNumberFormat="1" applyFont="1" applyFill="1" applyBorder="1" applyAlignment="1">
      <alignment horizontal="left" vertical="center" wrapText="1" indent="1"/>
    </xf>
    <xf numFmtId="0" fontId="29" fillId="4" borderId="4" xfId="0" applyNumberFormat="1" applyFont="1" applyFill="1" applyBorder="1" applyAlignment="1">
      <alignment horizontal="center" vertical="center" wrapText="1"/>
    </xf>
    <xf numFmtId="0" fontId="29" fillId="4" borderId="5" xfId="0" applyNumberFormat="1" applyFont="1" applyFill="1" applyBorder="1" applyAlignment="1">
      <alignment horizontal="center" vertical="center" wrapText="1"/>
    </xf>
    <xf numFmtId="0" fontId="29" fillId="4" borderId="6" xfId="0" applyNumberFormat="1" applyFont="1" applyFill="1" applyBorder="1" applyAlignment="1">
      <alignment horizontal="center" vertical="center" wrapText="1"/>
    </xf>
    <xf numFmtId="0" fontId="29" fillId="4" borderId="4" xfId="0" applyNumberFormat="1" applyFont="1" applyFill="1" applyBorder="1" applyAlignment="1">
      <alignment horizontal="left" vertical="center" wrapText="1"/>
    </xf>
    <xf numFmtId="0" fontId="29" fillId="4" borderId="5" xfId="0" applyNumberFormat="1" applyFont="1" applyFill="1" applyBorder="1" applyAlignment="1">
      <alignment horizontal="left" vertical="center" wrapText="1"/>
    </xf>
    <xf numFmtId="0" fontId="29" fillId="4" borderId="6" xfId="0" applyNumberFormat="1" applyFont="1" applyFill="1" applyBorder="1" applyAlignment="1">
      <alignment horizontal="left" vertical="center" wrapText="1"/>
    </xf>
    <xf numFmtId="0" fontId="29" fillId="4" borderId="4" xfId="0" applyNumberFormat="1" applyFont="1" applyFill="1" applyBorder="1" applyAlignment="1">
      <alignment horizontal="left" vertical="center" wrapText="1" indent="1"/>
    </xf>
    <xf numFmtId="0" fontId="29" fillId="4" borderId="6" xfId="0" applyNumberFormat="1" applyFont="1" applyFill="1" applyBorder="1" applyAlignment="1">
      <alignment horizontal="left" vertical="center" wrapText="1" indent="1"/>
    </xf>
    <xf numFmtId="0" fontId="29" fillId="0" borderId="4"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4" xfId="0" applyNumberFormat="1" applyFont="1" applyBorder="1" applyAlignment="1">
      <alignment vertical="center"/>
    </xf>
    <xf numFmtId="0" fontId="29" fillId="0" borderId="5" xfId="0" applyNumberFormat="1" applyFont="1" applyBorder="1" applyAlignment="1">
      <alignment vertical="center"/>
    </xf>
    <xf numFmtId="0" fontId="29" fillId="0" borderId="12" xfId="0" applyNumberFormat="1" applyFont="1" applyBorder="1" applyAlignment="1">
      <alignment vertical="center"/>
    </xf>
    <xf numFmtId="0" fontId="29" fillId="0" borderId="1" xfId="0" applyNumberFormat="1" applyFont="1" applyBorder="1" applyAlignment="1">
      <alignment vertical="center" wrapText="1"/>
    </xf>
    <xf numFmtId="0" fontId="29" fillId="0" borderId="2" xfId="0" applyNumberFormat="1" applyFont="1" applyBorder="1" applyAlignment="1">
      <alignment vertical="center" wrapText="1"/>
    </xf>
    <xf numFmtId="0" fontId="29" fillId="0" borderId="2" xfId="0" quotePrefix="1" applyNumberFormat="1" applyFont="1" applyBorder="1" applyAlignment="1">
      <alignment horizontal="center" vertical="center"/>
    </xf>
    <xf numFmtId="0" fontId="29" fillId="0" borderId="3" xfId="0" quotePrefix="1" applyNumberFormat="1" applyFont="1" applyBorder="1" applyAlignment="1">
      <alignment horizontal="center" vertical="center"/>
    </xf>
    <xf numFmtId="0" fontId="29" fillId="0" borderId="12" xfId="0" applyNumberFormat="1" applyFont="1" applyBorder="1" applyAlignment="1">
      <alignment horizontal="left" vertical="center" wrapText="1" indent="1"/>
    </xf>
    <xf numFmtId="0" fontId="29" fillId="0" borderId="0" xfId="0" applyNumberFormat="1" applyFont="1" applyBorder="1" applyAlignment="1">
      <alignment horizontal="left" vertical="center" wrapText="1" indent="1"/>
    </xf>
    <xf numFmtId="0" fontId="52" fillId="0" borderId="6" xfId="0" applyFont="1" applyBorder="1" applyAlignment="1">
      <alignment horizontal="center"/>
    </xf>
    <xf numFmtId="0" fontId="52" fillId="0" borderId="1" xfId="0" applyFont="1" applyBorder="1" applyAlignment="1">
      <alignment horizontal="center"/>
    </xf>
    <xf numFmtId="0" fontId="52" fillId="0" borderId="13" xfId="0" applyFont="1" applyBorder="1" applyAlignment="1">
      <alignment horizontal="center"/>
    </xf>
    <xf numFmtId="0" fontId="52" fillId="0" borderId="2" xfId="0" applyFont="1" applyBorder="1" applyAlignment="1">
      <alignment horizontal="center"/>
    </xf>
    <xf numFmtId="0" fontId="29" fillId="0" borderId="5" xfId="0" applyNumberFormat="1" applyFont="1" applyBorder="1" applyAlignment="1">
      <alignment horizontal="center" vertical="center" wrapText="1"/>
    </xf>
    <xf numFmtId="3" fontId="52" fillId="0" borderId="2" xfId="0" applyNumberFormat="1" applyFont="1" applyBorder="1" applyAlignment="1">
      <alignment horizontal="center" vertical="center"/>
    </xf>
    <xf numFmtId="3" fontId="52" fillId="0" borderId="3" xfId="0" applyNumberFormat="1" applyFont="1" applyBorder="1" applyAlignment="1">
      <alignment horizontal="center" vertical="center"/>
    </xf>
    <xf numFmtId="3" fontId="52" fillId="0" borderId="7" xfId="0" applyNumberFormat="1" applyFont="1" applyBorder="1" applyAlignment="1">
      <alignment horizontal="center" vertical="center"/>
    </xf>
    <xf numFmtId="0" fontId="29" fillId="0" borderId="4" xfId="0" applyNumberFormat="1" applyFont="1" applyBorder="1" applyAlignment="1">
      <alignment horizontal="left" vertical="center" wrapText="1"/>
    </xf>
    <xf numFmtId="0" fontId="29" fillId="0" borderId="5" xfId="0" applyNumberFormat="1" applyFont="1" applyBorder="1" applyAlignment="1">
      <alignment horizontal="left" vertical="center" wrapText="1"/>
    </xf>
    <xf numFmtId="0" fontId="29" fillId="2" borderId="1" xfId="0" applyNumberFormat="1" applyFont="1" applyFill="1" applyBorder="1" applyAlignment="1">
      <alignment horizontal="center" vertical="center"/>
    </xf>
    <xf numFmtId="0" fontId="29" fillId="2" borderId="1" xfId="0" applyNumberFormat="1" applyFont="1" applyFill="1" applyBorder="1" applyAlignment="1">
      <alignment horizontal="center" vertical="center" wrapText="1"/>
    </xf>
    <xf numFmtId="0" fontId="29" fillId="2" borderId="11" xfId="0" applyNumberFormat="1" applyFont="1" applyFill="1" applyBorder="1" applyAlignment="1">
      <alignment horizontal="center" vertical="center" wrapText="1"/>
    </xf>
    <xf numFmtId="0" fontId="29" fillId="2" borderId="13"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xf>
    <xf numFmtId="0" fontId="29" fillId="2" borderId="5" xfId="0" applyNumberFormat="1" applyFont="1" applyFill="1" applyBorder="1" applyAlignment="1">
      <alignment horizontal="center" vertical="center"/>
    </xf>
    <xf numFmtId="0" fontId="29" fillId="2" borderId="10" xfId="0" applyNumberFormat="1" applyFont="1" applyFill="1" applyBorder="1" applyAlignment="1">
      <alignment horizontal="center" vertical="center"/>
    </xf>
    <xf numFmtId="0" fontId="29" fillId="2" borderId="6" xfId="0" applyNumberFormat="1" applyFont="1" applyFill="1" applyBorder="1" applyAlignment="1">
      <alignment horizontal="center" vertical="center"/>
    </xf>
    <xf numFmtId="0" fontId="29" fillId="2" borderId="2" xfId="0" applyNumberFormat="1" applyFont="1" applyFill="1" applyBorder="1" applyAlignment="1">
      <alignment vertical="center" wrapText="1"/>
    </xf>
    <xf numFmtId="0" fontId="29" fillId="2" borderId="7" xfId="0" applyNumberFormat="1" applyFont="1" applyFill="1" applyBorder="1" applyAlignment="1">
      <alignment vertical="center" wrapText="1"/>
    </xf>
    <xf numFmtId="0" fontId="17" fillId="0" borderId="7" xfId="0" quotePrefix="1" applyNumberFormat="1" applyFont="1" applyFill="1" applyBorder="1" applyAlignment="1">
      <alignment horizontal="center" vertical="center" wrapText="1"/>
    </xf>
    <xf numFmtId="0" fontId="17" fillId="0" borderId="7" xfId="0" quotePrefix="1" applyNumberFormat="1" applyFont="1" applyBorder="1" applyAlignment="1">
      <alignment horizontal="center" vertical="center" wrapText="1"/>
    </xf>
    <xf numFmtId="3" fontId="16" fillId="2" borderId="2" xfId="0" applyNumberFormat="1" applyFont="1" applyFill="1" applyBorder="1" applyAlignment="1">
      <alignment horizontal="center" vertical="center"/>
    </xf>
    <xf numFmtId="3" fontId="16" fillId="2" borderId="7" xfId="0" applyNumberFormat="1" applyFont="1" applyFill="1" applyBorder="1" applyAlignment="1">
      <alignment horizontal="center" vertical="center"/>
    </xf>
    <xf numFmtId="49" fontId="16" fillId="0" borderId="3" xfId="0" quotePrefix="1" applyNumberFormat="1" applyFont="1" applyBorder="1" applyAlignment="1">
      <alignment horizontal="center" vertical="center" wrapText="1"/>
    </xf>
    <xf numFmtId="0" fontId="16" fillId="0" borderId="1" xfId="0" applyNumberFormat="1" applyFont="1" applyFill="1" applyBorder="1" applyAlignment="1">
      <alignment horizontal="left" vertical="center"/>
    </xf>
    <xf numFmtId="0" fontId="16" fillId="0" borderId="4" xfId="0" applyNumberFormat="1" applyFont="1" applyFill="1" applyBorder="1" applyAlignment="1">
      <alignment horizontal="left" vertical="center"/>
    </xf>
    <xf numFmtId="0" fontId="16" fillId="0" borderId="2" xfId="0" applyNumberFormat="1" applyFont="1" applyFill="1" applyBorder="1" applyAlignment="1">
      <alignment horizontal="center" vertical="center"/>
    </xf>
    <xf numFmtId="0" fontId="16" fillId="0" borderId="3"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center" vertical="center" wrapText="1"/>
    </xf>
    <xf numFmtId="0" fontId="16" fillId="0" borderId="6" xfId="0" applyNumberFormat="1" applyFont="1" applyFill="1" applyBorder="1" applyAlignment="1">
      <alignment horizontal="center" vertical="center" wrapText="1"/>
    </xf>
    <xf numFmtId="0" fontId="16" fillId="0" borderId="5" xfId="0" applyFont="1" applyFill="1" applyBorder="1" applyAlignment="1">
      <alignment horizontal="left" vertical="center"/>
    </xf>
    <xf numFmtId="0" fontId="16" fillId="0" borderId="5" xfId="0" applyNumberFormat="1" applyFont="1" applyFill="1" applyBorder="1" applyAlignment="1">
      <alignment horizontal="left" vertical="center" wrapText="1"/>
    </xf>
    <xf numFmtId="0" fontId="17" fillId="0" borderId="2" xfId="0" quotePrefix="1" applyNumberFormat="1" applyFont="1" applyFill="1" applyBorder="1" applyAlignment="1">
      <alignment horizontal="left" vertical="center" wrapText="1"/>
    </xf>
    <xf numFmtId="0" fontId="17" fillId="0" borderId="3" xfId="0" quotePrefix="1" applyNumberFormat="1" applyFont="1" applyFill="1" applyBorder="1" applyAlignment="1">
      <alignment horizontal="left" vertical="center" wrapText="1"/>
    </xf>
    <xf numFmtId="0" fontId="17" fillId="0" borderId="7" xfId="0" quotePrefix="1" applyNumberFormat="1" applyFont="1" applyFill="1" applyBorder="1" applyAlignment="1">
      <alignment horizontal="left" vertical="center" wrapText="1"/>
    </xf>
    <xf numFmtId="0" fontId="17" fillId="0" borderId="2" xfId="0" applyNumberFormat="1" applyFont="1" applyFill="1" applyBorder="1" applyAlignment="1">
      <alignment horizontal="left" vertical="center" wrapText="1" indent="1"/>
    </xf>
    <xf numFmtId="0" fontId="17" fillId="0" borderId="3" xfId="0" applyNumberFormat="1" applyFont="1" applyFill="1" applyBorder="1" applyAlignment="1">
      <alignment horizontal="left" vertical="center" wrapText="1" indent="1"/>
    </xf>
    <xf numFmtId="0" fontId="17" fillId="0" borderId="4" xfId="0" applyNumberFormat="1" applyFont="1" applyFill="1" applyBorder="1" applyAlignment="1">
      <alignment horizontal="center" vertical="center" wrapText="1"/>
    </xf>
    <xf numFmtId="0" fontId="17" fillId="0" borderId="5" xfId="0" applyNumberFormat="1" applyFont="1" applyFill="1" applyBorder="1" applyAlignment="1">
      <alignment horizontal="center" vertical="center" wrapText="1"/>
    </xf>
    <xf numFmtId="0" fontId="17" fillId="0" borderId="6" xfId="0" applyNumberFormat="1" applyFont="1" applyFill="1" applyBorder="1" applyAlignment="1">
      <alignment horizontal="center" vertical="center" wrapText="1"/>
    </xf>
    <xf numFmtId="0" fontId="16" fillId="0" borderId="7" xfId="0" applyNumberFormat="1" applyFont="1" applyFill="1" applyBorder="1" applyAlignment="1">
      <alignment horizontal="center" vertical="center"/>
    </xf>
    <xf numFmtId="0" fontId="16" fillId="0" borderId="12" xfId="0" applyNumberFormat="1" applyFont="1" applyFill="1" applyBorder="1" applyAlignment="1">
      <alignment horizontal="center" vertical="center" wrapText="1"/>
    </xf>
    <xf numFmtId="0" fontId="16" fillId="0" borderId="13" xfId="0" applyNumberFormat="1" applyFont="1" applyFill="1" applyBorder="1" applyAlignment="1">
      <alignment horizontal="center" vertical="center" wrapText="1"/>
    </xf>
    <xf numFmtId="0" fontId="16" fillId="0" borderId="10" xfId="0" applyNumberFormat="1" applyFont="1" applyFill="1" applyBorder="1" applyAlignment="1">
      <alignment horizontal="center" vertical="center" wrapText="1"/>
    </xf>
    <xf numFmtId="0" fontId="16" fillId="0" borderId="9"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3" fontId="17" fillId="0" borderId="1" xfId="0" quotePrefix="1" applyNumberFormat="1" applyFont="1" applyFill="1" applyBorder="1" applyAlignment="1">
      <alignment horizontal="center" vertical="center" wrapText="1"/>
    </xf>
    <xf numFmtId="0" fontId="17" fillId="0" borderId="1" xfId="0" applyNumberFormat="1" applyFont="1" applyFill="1" applyBorder="1" applyAlignment="1">
      <alignment horizontal="left" vertical="center" wrapText="1" indent="1"/>
    </xf>
    <xf numFmtId="0" fontId="17" fillId="0" borderId="1" xfId="0" quotePrefix="1" applyNumberFormat="1" applyFont="1" applyFill="1" applyBorder="1" applyAlignment="1">
      <alignment horizontal="center" vertical="center" wrapText="1"/>
    </xf>
    <xf numFmtId="0" fontId="17" fillId="0" borderId="5" xfId="0" applyFont="1" applyBorder="1" applyAlignment="1">
      <alignment horizontal="center"/>
    </xf>
    <xf numFmtId="0" fontId="17" fillId="0" borderId="0" xfId="0" applyFont="1" applyBorder="1" applyAlignment="1">
      <alignment horizontal="center"/>
    </xf>
    <xf numFmtId="0" fontId="17" fillId="0" borderId="1" xfId="0" quotePrefix="1" applyNumberFormat="1" applyFont="1" applyFill="1" applyBorder="1" applyAlignment="1">
      <alignment horizontal="left" vertical="center" wrapText="1"/>
    </xf>
    <xf numFmtId="0" fontId="9" fillId="0" borderId="1" xfId="0" applyNumberFormat="1" applyFont="1" applyBorder="1" applyAlignment="1">
      <alignment horizontal="left" vertical="center"/>
    </xf>
    <xf numFmtId="0" fontId="55" fillId="0" borderId="1" xfId="0" quotePrefix="1" applyNumberFormat="1" applyFont="1" applyBorder="1" applyAlignment="1">
      <alignment horizontal="left" vertical="center" wrapText="1"/>
    </xf>
    <xf numFmtId="0" fontId="55" fillId="0" borderId="1" xfId="0" quotePrefix="1" applyNumberFormat="1" applyFont="1" applyBorder="1" applyAlignment="1">
      <alignment horizontal="center" vertical="center" wrapText="1"/>
    </xf>
    <xf numFmtId="171" fontId="55" fillId="0" borderId="1" xfId="0" quotePrefix="1" applyNumberFormat="1" applyFont="1" applyBorder="1" applyAlignment="1">
      <alignment horizontal="center" vertical="center" wrapText="1"/>
    </xf>
    <xf numFmtId="172" fontId="55" fillId="0" borderId="1" xfId="0" quotePrefix="1" applyNumberFormat="1" applyFont="1" applyBorder="1" applyAlignment="1">
      <alignment horizontal="center" vertical="center" wrapText="1"/>
    </xf>
    <xf numFmtId="167" fontId="55" fillId="0" borderId="1" xfId="0" quotePrefix="1" applyNumberFormat="1" applyFont="1" applyBorder="1" applyAlignment="1">
      <alignment horizontal="center" vertical="center" wrapText="1"/>
    </xf>
    <xf numFmtId="0" fontId="9" fillId="2" borderId="1" xfId="0" applyNumberFormat="1" applyFont="1" applyFill="1" applyBorder="1" applyAlignment="1">
      <alignment vertical="center" wrapText="1"/>
    </xf>
    <xf numFmtId="0" fontId="7" fillId="0" borderId="3" xfId="0" applyFont="1" applyBorder="1" applyAlignment="1">
      <alignment horizontal="center"/>
    </xf>
    <xf numFmtId="3" fontId="16" fillId="3" borderId="2" xfId="0" applyNumberFormat="1" applyFont="1" applyFill="1" applyBorder="1" applyAlignment="1">
      <alignment horizontal="center" vertical="center" wrapText="1"/>
    </xf>
    <xf numFmtId="3" fontId="16" fillId="3" borderId="3" xfId="0" applyNumberFormat="1" applyFont="1" applyFill="1" applyBorder="1" applyAlignment="1">
      <alignment horizontal="center" vertical="center" wrapText="1"/>
    </xf>
    <xf numFmtId="3" fontId="16" fillId="3" borderId="7" xfId="0" applyNumberFormat="1" applyFont="1" applyFill="1" applyBorder="1" applyAlignment="1">
      <alignment horizontal="center" vertical="center" wrapText="1"/>
    </xf>
    <xf numFmtId="170" fontId="55" fillId="0" borderId="1" xfId="2" quotePrefix="1" applyNumberFormat="1" applyFont="1" applyBorder="1" applyAlignment="1">
      <alignment horizontal="center" vertical="center" wrapText="1"/>
    </xf>
    <xf numFmtId="0" fontId="7" fillId="0" borderId="2" xfId="0" applyFont="1" applyBorder="1" applyAlignment="1">
      <alignment horizontal="left" vertical="center" wrapText="1"/>
    </xf>
    <xf numFmtId="0" fontId="7" fillId="0" borderId="7" xfId="0" applyFont="1" applyBorder="1" applyAlignment="1">
      <alignment horizontal="left" vertical="center" wrapText="1"/>
    </xf>
  </cellXfs>
  <cellStyles count="6">
    <cellStyle name="Millares" xfId="2" builtinId="3"/>
    <cellStyle name="Normal" xfId="0" builtinId="0"/>
    <cellStyle name="Normal 2" xfId="1"/>
    <cellStyle name="normal 2 2" xfId="5"/>
    <cellStyle name="Normal 3" xfId="3"/>
    <cellStyle name="Porcentaje" xfId="4" builtinId="5"/>
  </cellStyles>
  <dxfs count="1">
    <dxf>
      <font>
        <color theme="0" tint="-0.499984740745262"/>
      </font>
      <numFmt numFmtId="182" formatCode="\-"/>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1127903</xdr:colOff>
      <xdr:row>538</xdr:row>
      <xdr:rowOff>0</xdr:rowOff>
    </xdr:from>
    <xdr:ext cx="184731" cy="264560"/>
    <xdr:sp macro="" textlink="">
      <xdr:nvSpPr>
        <xdr:cNvPr id="2" name="21 CuadroTexto"/>
        <xdr:cNvSpPr txBox="1"/>
      </xdr:nvSpPr>
      <xdr:spPr>
        <a:xfrm>
          <a:off x="3175778" y="2149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a:p>
      </xdr:txBody>
    </xdr:sp>
    <xdr:clientData/>
  </xdr:oneCellAnchor>
  <xdr:oneCellAnchor>
    <xdr:from>
      <xdr:col>3</xdr:col>
      <xdr:colOff>1127903</xdr:colOff>
      <xdr:row>538</xdr:row>
      <xdr:rowOff>0</xdr:rowOff>
    </xdr:from>
    <xdr:ext cx="184731" cy="264560"/>
    <xdr:sp macro="" textlink="">
      <xdr:nvSpPr>
        <xdr:cNvPr id="3" name="22 CuadroTexto"/>
        <xdr:cNvSpPr txBox="1"/>
      </xdr:nvSpPr>
      <xdr:spPr>
        <a:xfrm>
          <a:off x="3175778" y="2149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OS%20USUARIOS/svelasquez/Downloads/.ptmp567883/P%20&amp;%20M%20&amp;%20E/Drem%20-%20POI%20-%202016/Drem%20-%20POI%202016%20-%2016%20Dic%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20USUARIOS/hgamonal/Desktop/ANA/POI%202016%20ACOPIO%20gorecajA/Desarrollo%20Social/Asuntos%20Poblaciona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I%202016%20ACOPIO%20gorecajA23/Consolidado%20Educ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m 2016 (5)"/>
      <sheetName val="Drem 2016 (4)"/>
      <sheetName val="Drem 2016 (3)"/>
      <sheetName val="Drem 2016 (2)"/>
      <sheetName val="Drem 2016 (1)"/>
      <sheetName val="CAS 2016"/>
      <sheetName val="Actividades"/>
      <sheetName val="Presup"/>
      <sheetName val="Metas Acumuladas"/>
      <sheetName val="Gráficos"/>
      <sheetName val="Ej. Educación"/>
      <sheetName val="Metas Histórico"/>
    </sheetNames>
    <sheetDataSet>
      <sheetData sheetId="0" refreshError="1"/>
      <sheetData sheetId="1" refreshError="1"/>
      <sheetData sheetId="2" refreshError="1"/>
      <sheetData sheetId="3" refreshError="1"/>
      <sheetData sheetId="4" refreshError="1"/>
      <sheetData sheetId="5" refreshError="1">
        <row r="4">
          <cell r="I4">
            <v>1200</v>
          </cell>
        </row>
        <row r="5">
          <cell r="I5">
            <v>1200</v>
          </cell>
        </row>
        <row r="6">
          <cell r="I6">
            <v>2000</v>
          </cell>
        </row>
        <row r="7">
          <cell r="I7">
            <v>2500</v>
          </cell>
        </row>
        <row r="8">
          <cell r="I8">
            <v>2000</v>
          </cell>
        </row>
        <row r="9">
          <cell r="I9">
            <v>1900</v>
          </cell>
        </row>
        <row r="10">
          <cell r="I10">
            <v>1500</v>
          </cell>
        </row>
        <row r="11">
          <cell r="I11">
            <v>2500</v>
          </cell>
        </row>
        <row r="12">
          <cell r="I12">
            <v>3014</v>
          </cell>
        </row>
        <row r="13">
          <cell r="I13">
            <v>3104</v>
          </cell>
        </row>
        <row r="14">
          <cell r="I14">
            <v>3104</v>
          </cell>
        </row>
        <row r="15">
          <cell r="I15">
            <v>2000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I PLANIFICADO"/>
      <sheetName val="POI AJUSTADO AL MARCO PRESUPUES"/>
      <sheetName val="POI SIN FINANCIAMIENTO"/>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 Cruz"/>
      <sheetName val="Cajabamba"/>
      <sheetName val="Bca"/>
      <sheetName val="Celendín"/>
      <sheetName val="Cutervo"/>
      <sheetName val="S. Pablo"/>
      <sheetName val="Ctza"/>
      <sheetName val="S. Miguel"/>
      <sheetName val="Jaén"/>
      <sheetName val="Chota"/>
      <sheetName val="S. Marcos"/>
      <sheetName val="S. Ignacio"/>
      <sheetName val="Cja"/>
      <sheetName val="DRE"/>
      <sheetName val="Consolidado1"/>
      <sheetName val="Consol. Resumen"/>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58"/>
  <sheetViews>
    <sheetView view="pageBreakPreview" topLeftCell="A828" zoomScale="80" zoomScaleNormal="100" zoomScaleSheetLayoutView="80" workbookViewId="0">
      <selection activeCell="B531" sqref="A531:AA849"/>
    </sheetView>
  </sheetViews>
  <sheetFormatPr baseColWidth="10" defaultRowHeight="15" x14ac:dyDescent="0.25"/>
  <cols>
    <col min="1" max="1" width="2.140625" style="353" customWidth="1"/>
    <col min="2" max="2" width="18.7109375" style="353" customWidth="1"/>
    <col min="3" max="3" width="17.42578125" style="353" customWidth="1"/>
    <col min="4" max="4" width="24.42578125" style="353" customWidth="1"/>
    <col min="5" max="5" width="11.42578125" style="353" customWidth="1"/>
    <col min="6" max="6" width="9.140625" style="353" customWidth="1"/>
    <col min="7" max="7" width="10" style="353" customWidth="1"/>
    <col min="8" max="8" width="14.7109375" style="353" customWidth="1"/>
    <col min="9" max="9" width="15.5703125" style="353" customWidth="1"/>
    <col min="10" max="10" width="11.42578125" style="353"/>
    <col min="11" max="11" width="12" style="353" customWidth="1"/>
    <col min="12" max="12" width="11.42578125" style="353"/>
    <col min="13" max="13" width="11.28515625" style="353" customWidth="1"/>
    <col min="14" max="14" width="11" style="353" customWidth="1"/>
    <col min="15" max="15" width="13.28515625" style="353" customWidth="1"/>
    <col min="16" max="16" width="10.85546875" style="353" customWidth="1"/>
    <col min="17" max="17" width="9.85546875" style="353" customWidth="1"/>
    <col min="18" max="18" width="10.5703125" style="353" customWidth="1"/>
    <col min="19" max="19" width="12.28515625" style="353" customWidth="1"/>
    <col min="20" max="20" width="9.85546875" style="353" customWidth="1"/>
    <col min="21" max="21" width="9.28515625" style="353" customWidth="1"/>
    <col min="22" max="22" width="8.7109375" style="353" customWidth="1"/>
    <col min="23" max="23" width="8.5703125" style="353" customWidth="1"/>
    <col min="24" max="24" width="8.140625" style="353" customWidth="1"/>
    <col min="25" max="25" width="7.85546875" style="353" customWidth="1"/>
    <col min="26" max="26" width="9.7109375" style="353" customWidth="1"/>
    <col min="27" max="28" width="12.5703125" style="353" customWidth="1"/>
    <col min="29" max="16384" width="11.42578125" style="353"/>
  </cols>
  <sheetData>
    <row r="1" spans="1:29" x14ac:dyDescent="0.25">
      <c r="A1" s="2837" t="s">
        <v>1169</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9"/>
    </row>
    <row r="2" spans="1:29" ht="27" customHeight="1" x14ac:dyDescent="0.25">
      <c r="A2" s="2806"/>
      <c r="B2" s="2059" t="s">
        <v>1</v>
      </c>
      <c r="C2" s="2060" t="s">
        <v>2923</v>
      </c>
      <c r="D2" s="779"/>
      <c r="E2" s="779"/>
      <c r="F2" s="779"/>
      <c r="G2" s="779"/>
      <c r="H2" s="779"/>
      <c r="I2" s="779"/>
      <c r="J2" s="779"/>
      <c r="K2" s="779"/>
      <c r="L2" s="779"/>
      <c r="M2" s="779"/>
      <c r="N2" s="779"/>
      <c r="O2" s="779"/>
      <c r="P2" s="779"/>
      <c r="Q2" s="779"/>
      <c r="R2" s="779"/>
      <c r="S2" s="779"/>
      <c r="T2" s="779"/>
      <c r="U2" s="779"/>
      <c r="V2" s="780"/>
      <c r="W2" s="780"/>
      <c r="X2" s="780"/>
      <c r="Y2" s="780"/>
      <c r="Z2" s="780"/>
      <c r="AA2" s="781"/>
    </row>
    <row r="3" spans="1:29" ht="25.5" x14ac:dyDescent="0.25">
      <c r="A3" s="2806"/>
      <c r="B3" s="926" t="s">
        <v>2</v>
      </c>
      <c r="C3" s="2681" t="s">
        <v>3</v>
      </c>
      <c r="D3" s="2682"/>
      <c r="E3" s="2682"/>
      <c r="F3" s="2682"/>
      <c r="G3" s="2682"/>
      <c r="H3" s="2682"/>
      <c r="I3" s="2682"/>
      <c r="J3" s="2682"/>
      <c r="K3" s="2682"/>
      <c r="L3" s="2682"/>
      <c r="M3" s="2682"/>
      <c r="N3" s="2682"/>
      <c r="O3" s="2682"/>
      <c r="P3" s="2682"/>
      <c r="Q3" s="2682"/>
      <c r="R3" s="2682"/>
      <c r="S3" s="2682"/>
      <c r="T3" s="2682"/>
      <c r="U3" s="2682"/>
      <c r="V3" s="2682"/>
      <c r="W3" s="2682"/>
      <c r="X3" s="2682"/>
      <c r="Y3" s="2682"/>
      <c r="Z3" s="2682"/>
      <c r="AA3" s="2689"/>
    </row>
    <row r="4" spans="1:29" x14ac:dyDescent="0.25">
      <c r="A4" s="2806"/>
      <c r="B4" s="926" t="s">
        <v>4</v>
      </c>
      <c r="C4" s="2681" t="s">
        <v>5</v>
      </c>
      <c r="D4" s="2682"/>
      <c r="E4" s="2682"/>
      <c r="F4" s="2682"/>
      <c r="G4" s="2682"/>
      <c r="H4" s="2682"/>
      <c r="I4" s="2682"/>
      <c r="J4" s="2682"/>
      <c r="K4" s="2682"/>
      <c r="L4" s="2682"/>
      <c r="M4" s="2682"/>
      <c r="N4" s="2682"/>
      <c r="O4" s="2682"/>
      <c r="P4" s="2682"/>
      <c r="Q4" s="2682"/>
      <c r="R4" s="2682"/>
      <c r="S4" s="2682"/>
      <c r="T4" s="2682"/>
      <c r="U4" s="2682"/>
      <c r="V4" s="2682"/>
      <c r="W4" s="2682"/>
      <c r="X4" s="2682"/>
      <c r="Y4" s="2682"/>
      <c r="Z4" s="2682"/>
      <c r="AA4" s="2689"/>
    </row>
    <row r="5" spans="1:29" ht="40.5" customHeight="1" x14ac:dyDescent="0.25">
      <c r="A5" s="2806"/>
      <c r="B5" s="926" t="s">
        <v>6</v>
      </c>
      <c r="C5" s="2681" t="s">
        <v>7</v>
      </c>
      <c r="D5" s="2682"/>
      <c r="E5" s="2682"/>
      <c r="F5" s="2682"/>
      <c r="G5" s="2682"/>
      <c r="H5" s="2682"/>
      <c r="I5" s="2682"/>
      <c r="J5" s="2682"/>
      <c r="K5" s="2682"/>
      <c r="L5" s="2682"/>
      <c r="M5" s="2682"/>
      <c r="N5" s="2682"/>
      <c r="O5" s="2682"/>
      <c r="P5" s="2682"/>
      <c r="Q5" s="2682"/>
      <c r="R5" s="2682"/>
      <c r="S5" s="2682"/>
      <c r="T5" s="2682"/>
      <c r="U5" s="2682"/>
      <c r="V5" s="2682"/>
      <c r="W5" s="2682"/>
      <c r="X5" s="2682"/>
      <c r="Y5" s="2682"/>
      <c r="Z5" s="2682"/>
      <c r="AA5" s="2689"/>
    </row>
    <row r="6" spans="1:29" ht="24" customHeight="1" x14ac:dyDescent="0.25">
      <c r="A6" s="2806"/>
      <c r="B6" s="940" t="s">
        <v>8</v>
      </c>
      <c r="C6" s="2597" t="s">
        <v>9</v>
      </c>
      <c r="D6" s="2598"/>
      <c r="E6" s="782"/>
      <c r="F6" s="782"/>
      <c r="G6" s="782"/>
      <c r="H6" s="782"/>
      <c r="I6" s="782"/>
      <c r="J6" s="782"/>
      <c r="K6" s="782"/>
      <c r="L6" s="782"/>
      <c r="M6" s="782"/>
      <c r="N6" s="782"/>
      <c r="O6" s="782"/>
      <c r="P6" s="782"/>
      <c r="Q6" s="782"/>
      <c r="R6" s="782"/>
      <c r="S6" s="782"/>
      <c r="T6" s="782"/>
      <c r="U6" s="782"/>
      <c r="V6" s="782"/>
      <c r="W6" s="782"/>
      <c r="X6" s="782"/>
      <c r="Y6" s="782"/>
      <c r="Z6" s="782"/>
      <c r="AA6" s="783"/>
    </row>
    <row r="7" spans="1:29" ht="29.25" customHeight="1" x14ac:dyDescent="0.25">
      <c r="A7" s="2816" t="s">
        <v>10</v>
      </c>
      <c r="B7" s="924" t="s">
        <v>11</v>
      </c>
      <c r="C7" s="2611" t="s">
        <v>12</v>
      </c>
      <c r="D7" s="2612"/>
      <c r="E7" s="2612"/>
      <c r="F7" s="2612"/>
      <c r="G7" s="2612"/>
      <c r="H7" s="2612"/>
      <c r="I7" s="2612"/>
      <c r="J7" s="2612"/>
      <c r="K7" s="2612"/>
      <c r="L7" s="2612"/>
      <c r="M7" s="2612"/>
      <c r="N7" s="2612"/>
      <c r="O7" s="2612"/>
      <c r="P7" s="2612"/>
      <c r="Q7" s="2612"/>
      <c r="R7" s="2612"/>
      <c r="S7" s="2612"/>
      <c r="T7" s="2612"/>
      <c r="U7" s="2612"/>
      <c r="V7" s="2612"/>
      <c r="W7" s="2612"/>
      <c r="X7" s="2612"/>
      <c r="Y7" s="2612"/>
      <c r="Z7" s="2612"/>
      <c r="AA7" s="2613"/>
    </row>
    <row r="8" spans="1:29" ht="13.5" customHeight="1" x14ac:dyDescent="0.25">
      <c r="A8" s="2817"/>
      <c r="B8" s="2680" t="s">
        <v>13</v>
      </c>
      <c r="C8" s="2836">
        <v>9002</v>
      </c>
      <c r="D8" s="2841" t="s">
        <v>14</v>
      </c>
      <c r="E8" s="2842"/>
      <c r="F8" s="2842"/>
      <c r="G8" s="2842"/>
      <c r="H8" s="2842"/>
      <c r="I8" s="2842"/>
      <c r="J8" s="2842"/>
      <c r="K8" s="2842"/>
      <c r="L8" s="2842"/>
      <c r="M8" s="2842"/>
      <c r="N8" s="2842"/>
      <c r="O8" s="2842"/>
      <c r="P8" s="2842"/>
      <c r="Q8" s="2842"/>
      <c r="R8" s="2842"/>
      <c r="S8" s="2842"/>
      <c r="T8" s="2842"/>
      <c r="U8" s="2843"/>
      <c r="V8" s="2685" t="s">
        <v>15</v>
      </c>
      <c r="W8" s="2685"/>
      <c r="X8" s="2685"/>
      <c r="Y8" s="2685"/>
      <c r="Z8" s="2685" t="s">
        <v>16</v>
      </c>
      <c r="AA8" s="2685"/>
    </row>
    <row r="9" spans="1:29" ht="25.5" customHeight="1" x14ac:dyDescent="0.25">
      <c r="A9" s="2817"/>
      <c r="B9" s="2680"/>
      <c r="C9" s="2680"/>
      <c r="D9" s="2844"/>
      <c r="E9" s="2845"/>
      <c r="F9" s="2845"/>
      <c r="G9" s="2845"/>
      <c r="H9" s="2845"/>
      <c r="I9" s="2845"/>
      <c r="J9" s="2845"/>
      <c r="K9" s="2845"/>
      <c r="L9" s="2845"/>
      <c r="M9" s="2845"/>
      <c r="N9" s="2845"/>
      <c r="O9" s="2845"/>
      <c r="P9" s="2845"/>
      <c r="Q9" s="2845"/>
      <c r="R9" s="2845"/>
      <c r="S9" s="2845"/>
      <c r="T9" s="2845"/>
      <c r="U9" s="2846"/>
      <c r="V9" s="2685" t="s">
        <v>2926</v>
      </c>
      <c r="W9" s="2685"/>
      <c r="X9" s="2685"/>
      <c r="Y9" s="2685"/>
      <c r="Z9" s="2685" t="s">
        <v>17</v>
      </c>
      <c r="AA9" s="2685"/>
    </row>
    <row r="10" spans="1:29" x14ac:dyDescent="0.25">
      <c r="A10" s="2817"/>
      <c r="B10" s="2680" t="s">
        <v>18</v>
      </c>
      <c r="C10" s="2680">
        <v>2.185616</v>
      </c>
      <c r="D10" s="2547" t="s">
        <v>2927</v>
      </c>
      <c r="E10" s="2548"/>
      <c r="F10" s="2548"/>
      <c r="G10" s="2548"/>
      <c r="H10" s="2548"/>
      <c r="I10" s="2548"/>
      <c r="J10" s="2548"/>
      <c r="K10" s="2548"/>
      <c r="L10" s="2548"/>
      <c r="M10" s="2548"/>
      <c r="N10" s="2548"/>
      <c r="O10" s="2548"/>
      <c r="P10" s="2548"/>
      <c r="Q10" s="2548"/>
      <c r="R10" s="2548"/>
      <c r="S10" s="2548"/>
      <c r="T10" s="2548"/>
      <c r="U10" s="2686"/>
      <c r="V10" s="2685" t="s">
        <v>15</v>
      </c>
      <c r="W10" s="2685"/>
      <c r="X10" s="2685"/>
      <c r="Y10" s="2685"/>
      <c r="Z10" s="2685" t="s">
        <v>16</v>
      </c>
      <c r="AA10" s="2685"/>
    </row>
    <row r="11" spans="1:29" x14ac:dyDescent="0.25">
      <c r="A11" s="2817"/>
      <c r="B11" s="2680"/>
      <c r="C11" s="2680"/>
      <c r="D11" s="2549"/>
      <c r="E11" s="2550"/>
      <c r="F11" s="2550"/>
      <c r="G11" s="2550"/>
      <c r="H11" s="2550"/>
      <c r="I11" s="2550"/>
      <c r="J11" s="2550"/>
      <c r="K11" s="2550"/>
      <c r="L11" s="2550"/>
      <c r="M11" s="2550"/>
      <c r="N11" s="2550"/>
      <c r="O11" s="2550"/>
      <c r="P11" s="2550"/>
      <c r="Q11" s="2550"/>
      <c r="R11" s="2550"/>
      <c r="S11" s="2550"/>
      <c r="T11" s="2550"/>
      <c r="U11" s="2792"/>
      <c r="V11" s="2685" t="s">
        <v>19</v>
      </c>
      <c r="W11" s="2685"/>
      <c r="X11" s="2685"/>
      <c r="Y11" s="2685"/>
      <c r="Z11" s="2685"/>
      <c r="AA11" s="2685"/>
    </row>
    <row r="12" spans="1:29" x14ac:dyDescent="0.25">
      <c r="A12" s="1797"/>
      <c r="B12" s="2651" t="s">
        <v>20</v>
      </c>
      <c r="C12" s="2616" t="s">
        <v>21</v>
      </c>
      <c r="D12" s="2616" t="s">
        <v>22</v>
      </c>
      <c r="E12" s="2616" t="s">
        <v>23</v>
      </c>
      <c r="F12" s="2616" t="s">
        <v>164</v>
      </c>
      <c r="G12" s="2616" t="s">
        <v>25</v>
      </c>
      <c r="H12" s="2616" t="s">
        <v>26</v>
      </c>
      <c r="I12" s="2616" t="s">
        <v>27</v>
      </c>
      <c r="J12" s="2616" t="s">
        <v>28</v>
      </c>
      <c r="K12" s="2616"/>
      <c r="L12" s="2616" t="s">
        <v>29</v>
      </c>
      <c r="M12" s="2847" t="s">
        <v>30</v>
      </c>
      <c r="N12" s="2847"/>
      <c r="O12" s="2617" t="s">
        <v>31</v>
      </c>
      <c r="P12" s="2618"/>
      <c r="Q12" s="2618"/>
      <c r="R12" s="2618"/>
      <c r="S12" s="2618"/>
      <c r="T12" s="2618"/>
      <c r="U12" s="2618"/>
      <c r="V12" s="2618"/>
      <c r="W12" s="2618"/>
      <c r="X12" s="2618"/>
      <c r="Y12" s="2618"/>
      <c r="Z12" s="2619"/>
      <c r="AA12" s="2616" t="s">
        <v>32</v>
      </c>
    </row>
    <row r="13" spans="1:29" ht="15.75" customHeight="1" x14ac:dyDescent="0.25">
      <c r="A13" s="1797"/>
      <c r="B13" s="2651"/>
      <c r="C13" s="2616"/>
      <c r="D13" s="2616"/>
      <c r="E13" s="2616"/>
      <c r="F13" s="2616"/>
      <c r="G13" s="2616"/>
      <c r="H13" s="2616"/>
      <c r="I13" s="2616"/>
      <c r="J13" s="925" t="s">
        <v>33</v>
      </c>
      <c r="K13" s="925" t="s">
        <v>34</v>
      </c>
      <c r="L13" s="2616"/>
      <c r="M13" s="2847"/>
      <c r="N13" s="2847"/>
      <c r="O13" s="925" t="s">
        <v>35</v>
      </c>
      <c r="P13" s="925" t="s">
        <v>36</v>
      </c>
      <c r="Q13" s="925" t="s">
        <v>37</v>
      </c>
      <c r="R13" s="925" t="s">
        <v>38</v>
      </c>
      <c r="S13" s="925" t="s">
        <v>39</v>
      </c>
      <c r="T13" s="925" t="s">
        <v>40</v>
      </c>
      <c r="U13" s="925" t="s">
        <v>41</v>
      </c>
      <c r="V13" s="925" t="s">
        <v>42</v>
      </c>
      <c r="W13" s="925" t="s">
        <v>43</v>
      </c>
      <c r="X13" s="925" t="s">
        <v>44</v>
      </c>
      <c r="Y13" s="925" t="s">
        <v>45</v>
      </c>
      <c r="Z13" s="925" t="s">
        <v>46</v>
      </c>
      <c r="AA13" s="2616"/>
    </row>
    <row r="14" spans="1:29" x14ac:dyDescent="0.25">
      <c r="A14" s="1797"/>
      <c r="B14" s="2777">
        <v>60002</v>
      </c>
      <c r="C14" s="2777" t="s">
        <v>47</v>
      </c>
      <c r="D14" s="2777" t="s">
        <v>2924</v>
      </c>
      <c r="E14" s="2662" t="s">
        <v>48</v>
      </c>
      <c r="F14" s="2662" t="s">
        <v>49</v>
      </c>
      <c r="G14" s="2662" t="s">
        <v>50</v>
      </c>
      <c r="H14" s="2777" t="s">
        <v>2926</v>
      </c>
      <c r="I14" s="2662" t="s">
        <v>17</v>
      </c>
      <c r="J14" s="2662">
        <v>80</v>
      </c>
      <c r="K14" s="2668">
        <v>200000</v>
      </c>
      <c r="L14" s="2662" t="s">
        <v>3028</v>
      </c>
      <c r="M14" s="2840" t="s">
        <v>51</v>
      </c>
      <c r="N14" s="2840"/>
      <c r="O14" s="784"/>
      <c r="P14" s="784">
        <v>20</v>
      </c>
      <c r="Q14" s="784">
        <v>20</v>
      </c>
      <c r="R14" s="784">
        <v>20</v>
      </c>
      <c r="S14" s="784">
        <v>20</v>
      </c>
      <c r="T14" s="784"/>
      <c r="U14" s="784"/>
      <c r="V14" s="784"/>
      <c r="W14" s="784"/>
      <c r="X14" s="784"/>
      <c r="Y14" s="784"/>
      <c r="Z14" s="784"/>
      <c r="AA14" s="855">
        <v>80</v>
      </c>
    </row>
    <row r="15" spans="1:29" ht="21" customHeight="1" x14ac:dyDescent="0.25">
      <c r="A15" s="1797"/>
      <c r="B15" s="2778"/>
      <c r="C15" s="2778"/>
      <c r="D15" s="2778"/>
      <c r="E15" s="2663"/>
      <c r="F15" s="2663"/>
      <c r="G15" s="2663"/>
      <c r="H15" s="2778"/>
      <c r="I15" s="2663"/>
      <c r="J15" s="2663"/>
      <c r="K15" s="2669"/>
      <c r="L15" s="2663"/>
      <c r="M15" s="2840" t="s">
        <v>52</v>
      </c>
      <c r="N15" s="2840"/>
      <c r="O15" s="784">
        <v>18000</v>
      </c>
      <c r="P15" s="784">
        <v>20400</v>
      </c>
      <c r="Q15" s="784">
        <v>94500</v>
      </c>
      <c r="R15" s="784">
        <v>22500</v>
      </c>
      <c r="S15" s="784">
        <v>40100</v>
      </c>
      <c r="T15" s="784">
        <v>4500</v>
      </c>
      <c r="U15" s="784"/>
      <c r="V15" s="784"/>
      <c r="W15" s="784"/>
      <c r="X15" s="784"/>
      <c r="Y15" s="784"/>
      <c r="Z15" s="784"/>
      <c r="AA15" s="855">
        <v>200000</v>
      </c>
    </row>
    <row r="16" spans="1:29" ht="22.5" customHeight="1" x14ac:dyDescent="0.25">
      <c r="A16" s="1797"/>
      <c r="B16" s="2778"/>
      <c r="C16" s="2778"/>
      <c r="D16" s="2778"/>
      <c r="E16" s="2663"/>
      <c r="F16" s="2663"/>
      <c r="G16" s="2663"/>
      <c r="H16" s="2778"/>
      <c r="I16" s="2663"/>
      <c r="J16" s="2663"/>
      <c r="K16" s="2669"/>
      <c r="L16" s="2663"/>
      <c r="M16" s="958" t="s">
        <v>3029</v>
      </c>
      <c r="N16" s="958" t="s">
        <v>1381</v>
      </c>
      <c r="O16" s="785">
        <v>8500</v>
      </c>
      <c r="P16" s="785">
        <v>11400</v>
      </c>
      <c r="Q16" s="785">
        <v>85500</v>
      </c>
      <c r="R16" s="785">
        <v>13500</v>
      </c>
      <c r="S16" s="785">
        <v>31100</v>
      </c>
      <c r="T16" s="785"/>
      <c r="U16" s="786"/>
      <c r="V16" s="786"/>
      <c r="W16" s="786"/>
      <c r="X16" s="786"/>
      <c r="Y16" s="786"/>
      <c r="Z16" s="786"/>
      <c r="AA16" s="856">
        <v>150000</v>
      </c>
      <c r="AC16" s="354"/>
    </row>
    <row r="17" spans="1:27" ht="33" customHeight="1" x14ac:dyDescent="0.25">
      <c r="A17" s="1798"/>
      <c r="B17" s="2779"/>
      <c r="C17" s="2779"/>
      <c r="D17" s="2779"/>
      <c r="E17" s="2664"/>
      <c r="F17" s="2664"/>
      <c r="G17" s="2664"/>
      <c r="H17" s="2779"/>
      <c r="I17" s="2664"/>
      <c r="J17" s="2664"/>
      <c r="K17" s="2670"/>
      <c r="L17" s="2664"/>
      <c r="M17" s="958" t="s">
        <v>116</v>
      </c>
      <c r="N17" s="958" t="s">
        <v>3027</v>
      </c>
      <c r="O17" s="785">
        <v>9500</v>
      </c>
      <c r="P17" s="785" t="s">
        <v>3575</v>
      </c>
      <c r="Q17" s="785">
        <v>9000</v>
      </c>
      <c r="R17" s="785">
        <v>9000</v>
      </c>
      <c r="S17" s="785">
        <v>9000</v>
      </c>
      <c r="T17" s="785">
        <v>4500</v>
      </c>
      <c r="U17" s="786"/>
      <c r="V17" s="786"/>
      <c r="W17" s="786"/>
      <c r="X17" s="786"/>
      <c r="Y17" s="786"/>
      <c r="Z17" s="786"/>
      <c r="AA17" s="856">
        <v>50000</v>
      </c>
    </row>
    <row r="18" spans="1:27" ht="14.25" customHeight="1" x14ac:dyDescent="0.25">
      <c r="A18" s="2832" t="s">
        <v>53</v>
      </c>
      <c r="B18" s="2680" t="s">
        <v>13</v>
      </c>
      <c r="C18" s="2836">
        <v>9002</v>
      </c>
      <c r="D18" s="2848" t="s">
        <v>14</v>
      </c>
      <c r="E18" s="2848"/>
      <c r="F18" s="2848"/>
      <c r="G18" s="2848"/>
      <c r="H18" s="2848"/>
      <c r="I18" s="2848"/>
      <c r="J18" s="2848"/>
      <c r="K18" s="2848"/>
      <c r="L18" s="2848"/>
      <c r="M18" s="2848"/>
      <c r="N18" s="2848"/>
      <c r="O18" s="2848"/>
      <c r="P18" s="2848"/>
      <c r="Q18" s="2848"/>
      <c r="R18" s="2848"/>
      <c r="S18" s="2848"/>
      <c r="T18" s="2848"/>
      <c r="U18" s="2848"/>
      <c r="V18" s="2685" t="s">
        <v>15</v>
      </c>
      <c r="W18" s="2685"/>
      <c r="X18" s="2685"/>
      <c r="Y18" s="2685"/>
      <c r="Z18" s="2685" t="s">
        <v>16</v>
      </c>
      <c r="AA18" s="2685"/>
    </row>
    <row r="19" spans="1:27" ht="24" customHeight="1" x14ac:dyDescent="0.25">
      <c r="A19" s="2832"/>
      <c r="B19" s="2680"/>
      <c r="C19" s="2680"/>
      <c r="D19" s="2848"/>
      <c r="E19" s="2848"/>
      <c r="F19" s="2848"/>
      <c r="G19" s="2848"/>
      <c r="H19" s="2848"/>
      <c r="I19" s="2848"/>
      <c r="J19" s="2848"/>
      <c r="K19" s="2848"/>
      <c r="L19" s="2848"/>
      <c r="M19" s="2848"/>
      <c r="N19" s="2848"/>
      <c r="O19" s="2848"/>
      <c r="P19" s="2848"/>
      <c r="Q19" s="2848"/>
      <c r="R19" s="2848"/>
      <c r="S19" s="2848"/>
      <c r="T19" s="2848"/>
      <c r="U19" s="2848"/>
      <c r="V19" s="2685" t="s">
        <v>2926</v>
      </c>
      <c r="W19" s="2685"/>
      <c r="X19" s="2685"/>
      <c r="Y19" s="2685"/>
      <c r="Z19" s="2685" t="s">
        <v>17</v>
      </c>
      <c r="AA19" s="2685"/>
    </row>
    <row r="20" spans="1:27" ht="14.25" customHeight="1" x14ac:dyDescent="0.25">
      <c r="A20" s="2832"/>
      <c r="B20" s="2680" t="s">
        <v>18</v>
      </c>
      <c r="C20" s="2680">
        <v>2.1906810000000001</v>
      </c>
      <c r="D20" s="2680" t="s">
        <v>2931</v>
      </c>
      <c r="E20" s="2680"/>
      <c r="F20" s="2680"/>
      <c r="G20" s="2680"/>
      <c r="H20" s="2680"/>
      <c r="I20" s="2680"/>
      <c r="J20" s="2680"/>
      <c r="K20" s="2680"/>
      <c r="L20" s="2680"/>
      <c r="M20" s="2680"/>
      <c r="N20" s="2680"/>
      <c r="O20" s="2680"/>
      <c r="P20" s="2680"/>
      <c r="Q20" s="2680"/>
      <c r="R20" s="2680"/>
      <c r="S20" s="2680"/>
      <c r="T20" s="2680"/>
      <c r="U20" s="2680"/>
      <c r="V20" s="2685" t="s">
        <v>15</v>
      </c>
      <c r="W20" s="2685"/>
      <c r="X20" s="2685"/>
      <c r="Y20" s="2685"/>
      <c r="Z20" s="2685" t="s">
        <v>16</v>
      </c>
      <c r="AA20" s="2685"/>
    </row>
    <row r="21" spans="1:27" x14ac:dyDescent="0.25">
      <c r="A21" s="2832"/>
      <c r="B21" s="2680"/>
      <c r="C21" s="2680"/>
      <c r="D21" s="2680"/>
      <c r="E21" s="2680"/>
      <c r="F21" s="2680"/>
      <c r="G21" s="2680"/>
      <c r="H21" s="2680"/>
      <c r="I21" s="2680"/>
      <c r="J21" s="2680"/>
      <c r="K21" s="2680"/>
      <c r="L21" s="2680"/>
      <c r="M21" s="2680"/>
      <c r="N21" s="2680"/>
      <c r="O21" s="2680"/>
      <c r="P21" s="2680"/>
      <c r="Q21" s="2680"/>
      <c r="R21" s="2680"/>
      <c r="S21" s="2680"/>
      <c r="T21" s="2680"/>
      <c r="U21" s="2680"/>
      <c r="V21" s="2685" t="s">
        <v>19</v>
      </c>
      <c r="W21" s="2685"/>
      <c r="X21" s="2685"/>
      <c r="Y21" s="2685"/>
      <c r="Z21" s="2685"/>
      <c r="AA21" s="2685"/>
    </row>
    <row r="22" spans="1:27" x14ac:dyDescent="0.25">
      <c r="A22" s="2832"/>
      <c r="B22" s="2849" t="s">
        <v>20</v>
      </c>
      <c r="C22" s="2616" t="s">
        <v>21</v>
      </c>
      <c r="D22" s="2616" t="s">
        <v>22</v>
      </c>
      <c r="E22" s="2616" t="s">
        <v>23</v>
      </c>
      <c r="F22" s="2616" t="s">
        <v>164</v>
      </c>
      <c r="G22" s="2616" t="s">
        <v>25</v>
      </c>
      <c r="H22" s="2616" t="s">
        <v>26</v>
      </c>
      <c r="I22" s="2616" t="s">
        <v>27</v>
      </c>
      <c r="J22" s="2616" t="s">
        <v>28</v>
      </c>
      <c r="K22" s="2616"/>
      <c r="L22" s="2616" t="s">
        <v>29</v>
      </c>
      <c r="M22" s="2616" t="s">
        <v>30</v>
      </c>
      <c r="N22" s="2616"/>
      <c r="O22" s="2617" t="s">
        <v>31</v>
      </c>
      <c r="P22" s="2618"/>
      <c r="Q22" s="2618"/>
      <c r="R22" s="2618"/>
      <c r="S22" s="2618"/>
      <c r="T22" s="2618"/>
      <c r="U22" s="2618"/>
      <c r="V22" s="2618"/>
      <c r="W22" s="2618"/>
      <c r="X22" s="2618"/>
      <c r="Y22" s="2618"/>
      <c r="Z22" s="2619"/>
      <c r="AA22" s="2616" t="s">
        <v>32</v>
      </c>
    </row>
    <row r="23" spans="1:27" ht="23.25" customHeight="1" x14ac:dyDescent="0.25">
      <c r="A23" s="2832"/>
      <c r="B23" s="2850"/>
      <c r="C23" s="2616"/>
      <c r="D23" s="2616"/>
      <c r="E23" s="2616"/>
      <c r="F23" s="2616"/>
      <c r="G23" s="2616"/>
      <c r="H23" s="2616"/>
      <c r="I23" s="2616"/>
      <c r="J23" s="925" t="s">
        <v>33</v>
      </c>
      <c r="K23" s="925" t="s">
        <v>34</v>
      </c>
      <c r="L23" s="2616"/>
      <c r="M23" s="2616"/>
      <c r="N23" s="2616"/>
      <c r="O23" s="925" t="s">
        <v>35</v>
      </c>
      <c r="P23" s="925" t="s">
        <v>36</v>
      </c>
      <c r="Q23" s="925" t="s">
        <v>37</v>
      </c>
      <c r="R23" s="925" t="s">
        <v>38</v>
      </c>
      <c r="S23" s="925" t="s">
        <v>39</v>
      </c>
      <c r="T23" s="925" t="s">
        <v>40</v>
      </c>
      <c r="U23" s="925" t="s">
        <v>41</v>
      </c>
      <c r="V23" s="925" t="s">
        <v>42</v>
      </c>
      <c r="W23" s="925" t="s">
        <v>43</v>
      </c>
      <c r="X23" s="925" t="s">
        <v>44</v>
      </c>
      <c r="Y23" s="925" t="s">
        <v>45</v>
      </c>
      <c r="Z23" s="925" t="s">
        <v>46</v>
      </c>
      <c r="AA23" s="2616"/>
    </row>
    <row r="24" spans="1:27" x14ac:dyDescent="0.25">
      <c r="A24" s="2832"/>
      <c r="B24" s="2786">
        <v>60002</v>
      </c>
      <c r="C24" s="2777" t="s">
        <v>47</v>
      </c>
      <c r="D24" s="2777" t="s">
        <v>2928</v>
      </c>
      <c r="E24" s="2662" t="s">
        <v>54</v>
      </c>
      <c r="F24" s="2662" t="s">
        <v>55</v>
      </c>
      <c r="G24" s="2662" t="s">
        <v>56</v>
      </c>
      <c r="H24" s="2777" t="s">
        <v>2926</v>
      </c>
      <c r="I24" s="2662" t="s">
        <v>17</v>
      </c>
      <c r="J24" s="2662">
        <v>100</v>
      </c>
      <c r="K24" s="2668">
        <v>200000</v>
      </c>
      <c r="L24" s="2662" t="s">
        <v>2925</v>
      </c>
      <c r="M24" s="2680" t="s">
        <v>51</v>
      </c>
      <c r="N24" s="2680"/>
      <c r="O24" s="784"/>
      <c r="P24" s="784">
        <v>25</v>
      </c>
      <c r="Q24" s="784">
        <v>25</v>
      </c>
      <c r="R24" s="784">
        <v>25</v>
      </c>
      <c r="S24" s="784">
        <v>25</v>
      </c>
      <c r="T24" s="784"/>
      <c r="U24" s="784"/>
      <c r="V24" s="784"/>
      <c r="W24" s="784"/>
      <c r="X24" s="784"/>
      <c r="Y24" s="784"/>
      <c r="Z24" s="784"/>
      <c r="AA24" s="855">
        <v>100</v>
      </c>
    </row>
    <row r="25" spans="1:27" ht="27" customHeight="1" x14ac:dyDescent="0.25">
      <c r="A25" s="2832"/>
      <c r="B25" s="2822"/>
      <c r="C25" s="2778"/>
      <c r="D25" s="2778"/>
      <c r="E25" s="2663"/>
      <c r="F25" s="2663"/>
      <c r="G25" s="2663"/>
      <c r="H25" s="2778"/>
      <c r="I25" s="2663"/>
      <c r="J25" s="2663"/>
      <c r="K25" s="2669"/>
      <c r="L25" s="2663"/>
      <c r="M25" s="2680" t="s">
        <v>52</v>
      </c>
      <c r="N25" s="2680"/>
      <c r="O25" s="784">
        <v>76300</v>
      </c>
      <c r="P25" s="784">
        <v>17200</v>
      </c>
      <c r="Q25" s="784">
        <v>64000</v>
      </c>
      <c r="R25" s="784">
        <v>18000</v>
      </c>
      <c r="S25" s="784">
        <v>20000</v>
      </c>
      <c r="T25" s="784">
        <v>4500</v>
      </c>
      <c r="U25" s="784"/>
      <c r="V25" s="784"/>
      <c r="W25" s="784"/>
      <c r="X25" s="784"/>
      <c r="Y25" s="784"/>
      <c r="Z25" s="784"/>
      <c r="AA25" s="855">
        <f>SUM(O25:Z25)</f>
        <v>200000</v>
      </c>
    </row>
    <row r="26" spans="1:27" ht="23.25" customHeight="1" x14ac:dyDescent="0.25">
      <c r="A26" s="2832"/>
      <c r="B26" s="2822"/>
      <c r="C26" s="2778"/>
      <c r="D26" s="2778"/>
      <c r="E26" s="2663"/>
      <c r="F26" s="2663"/>
      <c r="G26" s="2663"/>
      <c r="H26" s="2778"/>
      <c r="I26" s="2663"/>
      <c r="J26" s="2663"/>
      <c r="K26" s="2669"/>
      <c r="L26" s="2663"/>
      <c r="M26" s="958" t="s">
        <v>3029</v>
      </c>
      <c r="N26" s="958" t="s">
        <v>1381</v>
      </c>
      <c r="O26" s="785">
        <v>66800</v>
      </c>
      <c r="P26" s="785">
        <v>8200</v>
      </c>
      <c r="Q26" s="785">
        <v>55000</v>
      </c>
      <c r="R26" s="785">
        <v>9000</v>
      </c>
      <c r="S26" s="785">
        <v>11000</v>
      </c>
      <c r="T26" s="785"/>
      <c r="U26" s="786"/>
      <c r="V26" s="786"/>
      <c r="W26" s="786"/>
      <c r="X26" s="786"/>
      <c r="Y26" s="786"/>
      <c r="Z26" s="786"/>
      <c r="AA26" s="856">
        <f>SUM(O26:Z26)</f>
        <v>150000</v>
      </c>
    </row>
    <row r="27" spans="1:27" ht="37.5" customHeight="1" x14ac:dyDescent="0.25">
      <c r="A27" s="2832"/>
      <c r="B27" s="2823"/>
      <c r="C27" s="2779"/>
      <c r="D27" s="2779"/>
      <c r="E27" s="2664"/>
      <c r="F27" s="2664"/>
      <c r="G27" s="2664"/>
      <c r="H27" s="2779"/>
      <c r="I27" s="2664"/>
      <c r="J27" s="2664"/>
      <c r="K27" s="2670"/>
      <c r="L27" s="2664"/>
      <c r="M27" s="958" t="s">
        <v>3030</v>
      </c>
      <c r="N27" s="958" t="s">
        <v>3027</v>
      </c>
      <c r="O27" s="785">
        <v>9500</v>
      </c>
      <c r="P27" s="785">
        <v>9000</v>
      </c>
      <c r="Q27" s="785">
        <v>9000</v>
      </c>
      <c r="R27" s="785">
        <v>9000</v>
      </c>
      <c r="S27" s="785">
        <v>9000</v>
      </c>
      <c r="T27" s="785">
        <v>4500</v>
      </c>
      <c r="U27" s="786"/>
      <c r="V27" s="786"/>
      <c r="W27" s="786"/>
      <c r="X27" s="786"/>
      <c r="Y27" s="786"/>
      <c r="Z27" s="786"/>
      <c r="AA27" s="856">
        <f>SUM(O27:Z27)</f>
        <v>50000</v>
      </c>
    </row>
    <row r="28" spans="1:27" ht="27" customHeight="1" x14ac:dyDescent="0.25">
      <c r="A28" s="2816" t="s">
        <v>57</v>
      </c>
      <c r="B28" s="946" t="s">
        <v>6</v>
      </c>
      <c r="C28" s="2833" t="s">
        <v>2929</v>
      </c>
      <c r="D28" s="2834"/>
      <c r="E28" s="2834"/>
      <c r="F28" s="2834"/>
      <c r="G28" s="2834"/>
      <c r="H28" s="2834"/>
      <c r="I28" s="2834"/>
      <c r="J28" s="2834"/>
      <c r="K28" s="2834"/>
      <c r="L28" s="2834"/>
      <c r="M28" s="2834"/>
      <c r="N28" s="2834"/>
      <c r="O28" s="2834"/>
      <c r="P28" s="2834"/>
      <c r="Q28" s="2834"/>
      <c r="R28" s="2834"/>
      <c r="S28" s="2834"/>
      <c r="T28" s="2834"/>
      <c r="U28" s="2834"/>
      <c r="V28" s="2834"/>
      <c r="W28" s="2834"/>
      <c r="X28" s="2834"/>
      <c r="Y28" s="2834"/>
      <c r="Z28" s="2834"/>
      <c r="AA28" s="2835"/>
    </row>
    <row r="29" spans="1:27" x14ac:dyDescent="0.25">
      <c r="A29" s="2817"/>
      <c r="B29" s="2680" t="s">
        <v>13</v>
      </c>
      <c r="C29" s="2836" t="s">
        <v>58</v>
      </c>
      <c r="D29" s="2547" t="s">
        <v>2932</v>
      </c>
      <c r="E29" s="2548"/>
      <c r="F29" s="2548"/>
      <c r="G29" s="2548"/>
      <c r="H29" s="2548"/>
      <c r="I29" s="2548"/>
      <c r="J29" s="787"/>
      <c r="K29" s="787"/>
      <c r="L29" s="787"/>
      <c r="M29" s="787"/>
      <c r="N29" s="787"/>
      <c r="O29" s="787"/>
      <c r="P29" s="787"/>
      <c r="Q29" s="787"/>
      <c r="R29" s="787"/>
      <c r="S29" s="787"/>
      <c r="T29" s="787"/>
      <c r="U29" s="788"/>
      <c r="V29" s="2685" t="s">
        <v>15</v>
      </c>
      <c r="W29" s="2685"/>
      <c r="X29" s="2685"/>
      <c r="Y29" s="2685"/>
      <c r="Z29" s="2685" t="s">
        <v>16</v>
      </c>
      <c r="AA29" s="2685"/>
    </row>
    <row r="30" spans="1:27" x14ac:dyDescent="0.25">
      <c r="A30" s="2817"/>
      <c r="B30" s="2680"/>
      <c r="C30" s="2680"/>
      <c r="D30" s="2549"/>
      <c r="E30" s="2550"/>
      <c r="F30" s="2550"/>
      <c r="G30" s="2550"/>
      <c r="H30" s="2550"/>
      <c r="I30" s="2550"/>
      <c r="J30" s="789"/>
      <c r="K30" s="789"/>
      <c r="L30" s="789"/>
      <c r="M30" s="789"/>
      <c r="N30" s="789"/>
      <c r="O30" s="789"/>
      <c r="P30" s="789"/>
      <c r="Q30" s="789"/>
      <c r="R30" s="789"/>
      <c r="S30" s="789"/>
      <c r="T30" s="789"/>
      <c r="U30" s="790"/>
      <c r="V30" s="2599" t="s">
        <v>2934</v>
      </c>
      <c r="W30" s="2600"/>
      <c r="X30" s="2600"/>
      <c r="Y30" s="2601"/>
      <c r="Z30" s="2687" t="s">
        <v>977</v>
      </c>
      <c r="AA30" s="2688"/>
    </row>
    <row r="31" spans="1:27" x14ac:dyDescent="0.25">
      <c r="A31" s="2817"/>
      <c r="B31" s="2680" t="s">
        <v>18</v>
      </c>
      <c r="C31" s="2836">
        <v>2.1540879999999998</v>
      </c>
      <c r="D31" s="2547" t="s">
        <v>2933</v>
      </c>
      <c r="E31" s="2548"/>
      <c r="F31" s="2548"/>
      <c r="G31" s="2548"/>
      <c r="H31" s="2548"/>
      <c r="I31" s="2548"/>
      <c r="J31" s="2548"/>
      <c r="K31" s="2548"/>
      <c r="L31" s="2548"/>
      <c r="M31" s="2548"/>
      <c r="N31" s="2548"/>
      <c r="O31" s="2548"/>
      <c r="P31" s="2548"/>
      <c r="Q31" s="787"/>
      <c r="R31" s="787"/>
      <c r="S31" s="787"/>
      <c r="T31" s="787"/>
      <c r="U31" s="788"/>
      <c r="V31" s="2599" t="s">
        <v>15</v>
      </c>
      <c r="W31" s="2600"/>
      <c r="X31" s="2600"/>
      <c r="Y31" s="2601"/>
      <c r="Z31" s="2685" t="s">
        <v>16</v>
      </c>
      <c r="AA31" s="2685"/>
    </row>
    <row r="32" spans="1:27" x14ac:dyDescent="0.25">
      <c r="A32" s="2817"/>
      <c r="B32" s="2680"/>
      <c r="C32" s="2680"/>
      <c r="D32" s="2549"/>
      <c r="E32" s="2550"/>
      <c r="F32" s="2550"/>
      <c r="G32" s="2550"/>
      <c r="H32" s="2550"/>
      <c r="I32" s="2550"/>
      <c r="J32" s="2550"/>
      <c r="K32" s="2550"/>
      <c r="L32" s="2550"/>
      <c r="M32" s="2550"/>
      <c r="N32" s="2550"/>
      <c r="O32" s="2550"/>
      <c r="P32" s="2550"/>
      <c r="Q32" s="789"/>
      <c r="R32" s="789"/>
      <c r="S32" s="789"/>
      <c r="T32" s="789"/>
      <c r="U32" s="791"/>
      <c r="V32" s="2681"/>
      <c r="W32" s="2682"/>
      <c r="X32" s="2682"/>
      <c r="Y32" s="2689"/>
      <c r="Z32" s="2685" t="s">
        <v>61</v>
      </c>
      <c r="AA32" s="2685"/>
    </row>
    <row r="33" spans="1:27" x14ac:dyDescent="0.25">
      <c r="A33" s="2817"/>
      <c r="B33" s="2614" t="s">
        <v>20</v>
      </c>
      <c r="C33" s="2851" t="s">
        <v>21</v>
      </c>
      <c r="D33" s="2616" t="s">
        <v>22</v>
      </c>
      <c r="E33" s="2616" t="s">
        <v>23</v>
      </c>
      <c r="F33" s="2616" t="s">
        <v>24</v>
      </c>
      <c r="G33" s="2616" t="s">
        <v>25</v>
      </c>
      <c r="H33" s="2616" t="s">
        <v>26</v>
      </c>
      <c r="I33" s="2616" t="s">
        <v>27</v>
      </c>
      <c r="J33" s="2408" t="s">
        <v>28</v>
      </c>
      <c r="K33" s="2409"/>
      <c r="L33" s="2616" t="s">
        <v>29</v>
      </c>
      <c r="M33" s="2408" t="s">
        <v>30</v>
      </c>
      <c r="N33" s="2409"/>
      <c r="O33" s="2820" t="s">
        <v>31</v>
      </c>
      <c r="P33" s="2821"/>
      <c r="Q33" s="2821"/>
      <c r="R33" s="2821"/>
      <c r="S33" s="2821"/>
      <c r="T33" s="2821"/>
      <c r="U33" s="2821"/>
      <c r="V33" s="2821"/>
      <c r="W33" s="2821"/>
      <c r="X33" s="2821"/>
      <c r="Y33" s="2821"/>
      <c r="Z33" s="2764"/>
      <c r="AA33" s="2616" t="s">
        <v>32</v>
      </c>
    </row>
    <row r="34" spans="1:27" ht="24.75" customHeight="1" x14ac:dyDescent="0.25">
      <c r="A34" s="2817"/>
      <c r="B34" s="2615"/>
      <c r="C34" s="2852"/>
      <c r="D34" s="2616"/>
      <c r="E34" s="2616"/>
      <c r="F34" s="2616"/>
      <c r="G34" s="2616"/>
      <c r="H34" s="2616"/>
      <c r="I34" s="2616"/>
      <c r="J34" s="925" t="s">
        <v>33</v>
      </c>
      <c r="K34" s="925" t="s">
        <v>34</v>
      </c>
      <c r="L34" s="2616"/>
      <c r="M34" s="2410"/>
      <c r="N34" s="2411"/>
      <c r="O34" s="925" t="s">
        <v>35</v>
      </c>
      <c r="P34" s="925" t="s">
        <v>36</v>
      </c>
      <c r="Q34" s="925" t="s">
        <v>37</v>
      </c>
      <c r="R34" s="925" t="s">
        <v>38</v>
      </c>
      <c r="S34" s="925" t="s">
        <v>39</v>
      </c>
      <c r="T34" s="925" t="s">
        <v>40</v>
      </c>
      <c r="U34" s="925" t="s">
        <v>41</v>
      </c>
      <c r="V34" s="925" t="s">
        <v>42</v>
      </c>
      <c r="W34" s="925" t="s">
        <v>43</v>
      </c>
      <c r="X34" s="925" t="s">
        <v>44</v>
      </c>
      <c r="Y34" s="925" t="s">
        <v>45</v>
      </c>
      <c r="Z34" s="925" t="s">
        <v>46</v>
      </c>
      <c r="AA34" s="2616"/>
    </row>
    <row r="35" spans="1:27" x14ac:dyDescent="0.25">
      <c r="A35" s="2817"/>
      <c r="B35" s="2786">
        <v>4000079</v>
      </c>
      <c r="C35" s="2690" t="s">
        <v>62</v>
      </c>
      <c r="D35" s="2825" t="s">
        <v>63</v>
      </c>
      <c r="E35" s="2826">
        <v>15</v>
      </c>
      <c r="F35" s="2827" t="s">
        <v>64</v>
      </c>
      <c r="G35" s="2827" t="s">
        <v>65</v>
      </c>
      <c r="H35" s="2690" t="s">
        <v>59</v>
      </c>
      <c r="I35" s="2685" t="s">
        <v>3086</v>
      </c>
      <c r="J35" s="2828">
        <v>5</v>
      </c>
      <c r="K35" s="2829">
        <v>1600000</v>
      </c>
      <c r="L35" s="2685" t="s">
        <v>66</v>
      </c>
      <c r="M35" s="2680" t="s">
        <v>51</v>
      </c>
      <c r="N35" s="2680"/>
      <c r="O35" s="784"/>
      <c r="P35" s="784"/>
      <c r="Q35" s="792">
        <v>0.5</v>
      </c>
      <c r="R35" s="784">
        <v>1</v>
      </c>
      <c r="S35" s="784">
        <v>0.5</v>
      </c>
      <c r="T35" s="784">
        <v>1</v>
      </c>
      <c r="U35" s="784">
        <v>1</v>
      </c>
      <c r="V35" s="792">
        <v>0.5</v>
      </c>
      <c r="W35" s="784"/>
      <c r="X35" s="784"/>
      <c r="Y35" s="784"/>
      <c r="Z35" s="784"/>
      <c r="AA35" s="855">
        <v>4.5</v>
      </c>
    </row>
    <row r="36" spans="1:27" ht="24" customHeight="1" x14ac:dyDescent="0.25">
      <c r="A36" s="2817"/>
      <c r="B36" s="2822"/>
      <c r="C36" s="2824"/>
      <c r="D36" s="2825"/>
      <c r="E36" s="2826"/>
      <c r="F36" s="2827"/>
      <c r="G36" s="2827"/>
      <c r="H36" s="2824"/>
      <c r="I36" s="2685"/>
      <c r="J36" s="2828"/>
      <c r="K36" s="2830"/>
      <c r="L36" s="2685"/>
      <c r="M36" s="2681" t="s">
        <v>52</v>
      </c>
      <c r="N36" s="2689"/>
      <c r="O36" s="784"/>
      <c r="P36" s="784"/>
      <c r="Q36" s="784">
        <v>576000</v>
      </c>
      <c r="R36" s="784">
        <v>53500</v>
      </c>
      <c r="S36" s="784">
        <v>312500</v>
      </c>
      <c r="T36" s="784">
        <v>304500</v>
      </c>
      <c r="U36" s="784">
        <v>53500</v>
      </c>
      <c r="V36" s="784">
        <v>300000</v>
      </c>
      <c r="W36" s="784"/>
      <c r="X36" s="784"/>
      <c r="Y36" s="784"/>
      <c r="Z36" s="784"/>
      <c r="AA36" s="855">
        <v>1600000</v>
      </c>
    </row>
    <row r="37" spans="1:27" ht="45" x14ac:dyDescent="0.25">
      <c r="A37" s="2817"/>
      <c r="B37" s="2822"/>
      <c r="C37" s="2824"/>
      <c r="D37" s="2825"/>
      <c r="E37" s="2826"/>
      <c r="F37" s="2827"/>
      <c r="G37" s="2827"/>
      <c r="H37" s="2824"/>
      <c r="I37" s="2685"/>
      <c r="J37" s="2828"/>
      <c r="K37" s="2830"/>
      <c r="L37" s="2685"/>
      <c r="M37" s="945" t="s">
        <v>67</v>
      </c>
      <c r="N37" s="945" t="s">
        <v>68</v>
      </c>
      <c r="O37" s="785"/>
      <c r="P37" s="785"/>
      <c r="Q37" s="785">
        <v>41000</v>
      </c>
      <c r="R37" s="785">
        <v>53500</v>
      </c>
      <c r="S37" s="785">
        <v>62500</v>
      </c>
      <c r="T37" s="785">
        <v>54500</v>
      </c>
      <c r="U37" s="785">
        <v>53500</v>
      </c>
      <c r="V37" s="785">
        <v>35000</v>
      </c>
      <c r="W37" s="793"/>
      <c r="X37" s="793"/>
      <c r="Y37" s="793"/>
      <c r="Z37" s="793"/>
      <c r="AA37" s="856">
        <v>300000</v>
      </c>
    </row>
    <row r="38" spans="1:27" ht="45" x14ac:dyDescent="0.25">
      <c r="A38" s="2817"/>
      <c r="B38" s="2822"/>
      <c r="C38" s="2824"/>
      <c r="D38" s="2825"/>
      <c r="E38" s="2826"/>
      <c r="F38" s="2827"/>
      <c r="G38" s="2827"/>
      <c r="H38" s="2824"/>
      <c r="I38" s="2685"/>
      <c r="J38" s="2828"/>
      <c r="K38" s="2830"/>
      <c r="L38" s="2685"/>
      <c r="M38" s="945" t="s">
        <v>69</v>
      </c>
      <c r="N38" s="945" t="s">
        <v>70</v>
      </c>
      <c r="O38" s="786"/>
      <c r="P38" s="786"/>
      <c r="Q38" s="785">
        <v>400000</v>
      </c>
      <c r="R38" s="785"/>
      <c r="S38" s="785">
        <v>250000</v>
      </c>
      <c r="T38" s="785"/>
      <c r="U38" s="785"/>
      <c r="V38" s="785">
        <v>150000</v>
      </c>
      <c r="W38" s="786"/>
      <c r="X38" s="786"/>
      <c r="Y38" s="786"/>
      <c r="Z38" s="786"/>
      <c r="AA38" s="856">
        <v>800000</v>
      </c>
    </row>
    <row r="39" spans="1:27" ht="45" x14ac:dyDescent="0.25">
      <c r="A39" s="2818"/>
      <c r="B39" s="2823"/>
      <c r="C39" s="2691"/>
      <c r="D39" s="2825"/>
      <c r="E39" s="2826"/>
      <c r="F39" s="2827"/>
      <c r="G39" s="2827"/>
      <c r="H39" s="2691"/>
      <c r="I39" s="2685"/>
      <c r="J39" s="2828"/>
      <c r="K39" s="2831"/>
      <c r="L39" s="2685"/>
      <c r="M39" s="945" t="s">
        <v>71</v>
      </c>
      <c r="N39" s="945" t="s">
        <v>72</v>
      </c>
      <c r="O39" s="786"/>
      <c r="P39" s="786"/>
      <c r="Q39" s="785">
        <v>135000</v>
      </c>
      <c r="R39" s="785"/>
      <c r="S39" s="785"/>
      <c r="T39" s="785">
        <v>250000</v>
      </c>
      <c r="U39" s="785"/>
      <c r="V39" s="785">
        <v>115000</v>
      </c>
      <c r="W39" s="785"/>
      <c r="X39" s="785"/>
      <c r="Y39" s="785"/>
      <c r="Z39" s="785"/>
      <c r="AA39" s="856">
        <v>500000</v>
      </c>
    </row>
    <row r="40" spans="1:27" ht="25.5" x14ac:dyDescent="0.25">
      <c r="A40" s="2832" t="s">
        <v>73</v>
      </c>
      <c r="B40" s="946" t="s">
        <v>6</v>
      </c>
      <c r="C40" s="2819" t="s">
        <v>74</v>
      </c>
      <c r="D40" s="2819"/>
      <c r="E40" s="2819"/>
      <c r="F40" s="2819"/>
      <c r="G40" s="2819"/>
      <c r="H40" s="2819"/>
      <c r="I40" s="2819"/>
      <c r="J40" s="2819"/>
      <c r="K40" s="2819"/>
      <c r="L40" s="2819"/>
      <c r="M40" s="2819"/>
      <c r="N40" s="2819"/>
      <c r="O40" s="2819"/>
      <c r="P40" s="2819"/>
      <c r="Q40" s="2819"/>
      <c r="R40" s="2819"/>
      <c r="S40" s="2819"/>
      <c r="T40" s="2819"/>
      <c r="U40" s="2819"/>
      <c r="V40" s="2819"/>
      <c r="W40" s="2819"/>
      <c r="X40" s="2819"/>
      <c r="Y40" s="2819"/>
      <c r="Z40" s="2819"/>
      <c r="AA40" s="2819"/>
    </row>
    <row r="41" spans="1:27" x14ac:dyDescent="0.25">
      <c r="A41" s="2832"/>
      <c r="B41" s="2680" t="s">
        <v>13</v>
      </c>
      <c r="C41" s="2807" t="s">
        <v>58</v>
      </c>
      <c r="D41" s="2547" t="s">
        <v>75</v>
      </c>
      <c r="E41" s="2548"/>
      <c r="F41" s="2548"/>
      <c r="G41" s="2548"/>
      <c r="H41" s="2548"/>
      <c r="I41" s="2548"/>
      <c r="J41" s="2548"/>
      <c r="K41" s="2548"/>
      <c r="L41" s="2548"/>
      <c r="M41" s="2548"/>
      <c r="N41" s="2548"/>
      <c r="O41" s="2548"/>
      <c r="P41" s="2548"/>
      <c r="Q41" s="2548"/>
      <c r="R41" s="2548"/>
      <c r="S41" s="2548"/>
      <c r="T41" s="2548"/>
      <c r="U41" s="2686"/>
      <c r="V41" s="2685" t="s">
        <v>15</v>
      </c>
      <c r="W41" s="2685"/>
      <c r="X41" s="2685"/>
      <c r="Y41" s="2685"/>
      <c r="Z41" s="2685" t="s">
        <v>16</v>
      </c>
      <c r="AA41" s="2685"/>
    </row>
    <row r="42" spans="1:27" x14ac:dyDescent="0.25">
      <c r="A42" s="2832"/>
      <c r="B42" s="2680"/>
      <c r="C42" s="2808"/>
      <c r="D42" s="2549"/>
      <c r="E42" s="2550"/>
      <c r="F42" s="2550"/>
      <c r="G42" s="2550"/>
      <c r="H42" s="2550"/>
      <c r="I42" s="2550"/>
      <c r="J42" s="2550"/>
      <c r="K42" s="2550"/>
      <c r="L42" s="2550"/>
      <c r="M42" s="2550"/>
      <c r="N42" s="2550"/>
      <c r="O42" s="2550"/>
      <c r="P42" s="2550"/>
      <c r="Q42" s="2550"/>
      <c r="R42" s="2550"/>
      <c r="S42" s="2550"/>
      <c r="T42" s="2550"/>
      <c r="U42" s="2792"/>
      <c r="V42" s="2599" t="s">
        <v>76</v>
      </c>
      <c r="W42" s="2600"/>
      <c r="X42" s="2600"/>
      <c r="Y42" s="2601"/>
      <c r="Z42" s="2687" t="s">
        <v>77</v>
      </c>
      <c r="AA42" s="2688"/>
    </row>
    <row r="43" spans="1:27" x14ac:dyDescent="0.25">
      <c r="A43" s="2832"/>
      <c r="B43" s="2680" t="s">
        <v>78</v>
      </c>
      <c r="C43" s="2690">
        <v>2.167475</v>
      </c>
      <c r="D43" s="2547" t="s">
        <v>2930</v>
      </c>
      <c r="E43" s="2548"/>
      <c r="F43" s="2548"/>
      <c r="G43" s="2548"/>
      <c r="H43" s="2548"/>
      <c r="I43" s="2548"/>
      <c r="J43" s="2548"/>
      <c r="K43" s="2548"/>
      <c r="L43" s="2548"/>
      <c r="M43" s="2548"/>
      <c r="N43" s="2548"/>
      <c r="O43" s="2548"/>
      <c r="P43" s="2548"/>
      <c r="Q43" s="2548"/>
      <c r="R43" s="2548"/>
      <c r="S43" s="2548"/>
      <c r="T43" s="2548"/>
      <c r="U43" s="2686"/>
      <c r="V43" s="2599" t="s">
        <v>15</v>
      </c>
      <c r="W43" s="2600"/>
      <c r="X43" s="2600"/>
      <c r="Y43" s="2601"/>
      <c r="Z43" s="2685" t="s">
        <v>16</v>
      </c>
      <c r="AA43" s="2685"/>
    </row>
    <row r="44" spans="1:27" x14ac:dyDescent="0.25">
      <c r="A44" s="2832"/>
      <c r="B44" s="2680"/>
      <c r="C44" s="2691"/>
      <c r="D44" s="2549"/>
      <c r="E44" s="2550"/>
      <c r="F44" s="2550"/>
      <c r="G44" s="2550"/>
      <c r="H44" s="2550"/>
      <c r="I44" s="2550"/>
      <c r="J44" s="2550"/>
      <c r="K44" s="2550"/>
      <c r="L44" s="2550"/>
      <c r="M44" s="2550"/>
      <c r="N44" s="2550"/>
      <c r="O44" s="2550"/>
      <c r="P44" s="2550"/>
      <c r="Q44" s="2550"/>
      <c r="R44" s="2550"/>
      <c r="S44" s="2550"/>
      <c r="T44" s="2550"/>
      <c r="U44" s="2792"/>
      <c r="V44" s="2681"/>
      <c r="W44" s="2682"/>
      <c r="X44" s="2682"/>
      <c r="Y44" s="2689"/>
      <c r="Z44" s="2685" t="s">
        <v>61</v>
      </c>
      <c r="AA44" s="2685"/>
    </row>
    <row r="45" spans="1:27" x14ac:dyDescent="0.25">
      <c r="A45" s="2832"/>
      <c r="B45" s="2614" t="s">
        <v>20</v>
      </c>
      <c r="C45" s="2616" t="s">
        <v>21</v>
      </c>
      <c r="D45" s="2616" t="s">
        <v>22</v>
      </c>
      <c r="E45" s="2616" t="s">
        <v>23</v>
      </c>
      <c r="F45" s="2616" t="s">
        <v>24</v>
      </c>
      <c r="G45" s="2616" t="s">
        <v>25</v>
      </c>
      <c r="H45" s="2616" t="s">
        <v>26</v>
      </c>
      <c r="I45" s="2616" t="s">
        <v>27</v>
      </c>
      <c r="J45" s="2408" t="s">
        <v>28</v>
      </c>
      <c r="K45" s="2409"/>
      <c r="L45" s="2616" t="s">
        <v>29</v>
      </c>
      <c r="M45" s="2408" t="s">
        <v>30</v>
      </c>
      <c r="N45" s="2409"/>
      <c r="O45" s="2820" t="s">
        <v>31</v>
      </c>
      <c r="P45" s="2821"/>
      <c r="Q45" s="2821"/>
      <c r="R45" s="2821"/>
      <c r="S45" s="2821"/>
      <c r="T45" s="2821"/>
      <c r="U45" s="2821"/>
      <c r="V45" s="2821"/>
      <c r="W45" s="2821"/>
      <c r="X45" s="2821"/>
      <c r="Y45" s="2821"/>
      <c r="Z45" s="2764"/>
      <c r="AA45" s="2616" t="s">
        <v>32</v>
      </c>
    </row>
    <row r="46" spans="1:27" ht="11.25" customHeight="1" x14ac:dyDescent="0.25">
      <c r="A46" s="2832"/>
      <c r="B46" s="2615"/>
      <c r="C46" s="2616"/>
      <c r="D46" s="2616"/>
      <c r="E46" s="2616"/>
      <c r="F46" s="2616"/>
      <c r="G46" s="2616"/>
      <c r="H46" s="2616"/>
      <c r="I46" s="2616"/>
      <c r="J46" s="925" t="s">
        <v>33</v>
      </c>
      <c r="K46" s="925" t="s">
        <v>34</v>
      </c>
      <c r="L46" s="2616"/>
      <c r="M46" s="2410"/>
      <c r="N46" s="2411"/>
      <c r="O46" s="925" t="s">
        <v>35</v>
      </c>
      <c r="P46" s="925" t="s">
        <v>36</v>
      </c>
      <c r="Q46" s="925" t="s">
        <v>37</v>
      </c>
      <c r="R46" s="925" t="s">
        <v>38</v>
      </c>
      <c r="S46" s="925" t="s">
        <v>39</v>
      </c>
      <c r="T46" s="925" t="s">
        <v>40</v>
      </c>
      <c r="U46" s="925" t="s">
        <v>41</v>
      </c>
      <c r="V46" s="925" t="s">
        <v>42</v>
      </c>
      <c r="W46" s="925" t="s">
        <v>43</v>
      </c>
      <c r="X46" s="925" t="s">
        <v>44</v>
      </c>
      <c r="Y46" s="925" t="s">
        <v>45</v>
      </c>
      <c r="Z46" s="925" t="s">
        <v>46</v>
      </c>
      <c r="AA46" s="2616"/>
    </row>
    <row r="47" spans="1:27" ht="24.75" customHeight="1" x14ac:dyDescent="0.25">
      <c r="A47" s="2832"/>
      <c r="B47" s="2777">
        <v>4000079</v>
      </c>
      <c r="C47" s="2659" t="s">
        <v>62</v>
      </c>
      <c r="D47" s="2574" t="s">
        <v>3087</v>
      </c>
      <c r="E47" s="2783">
        <v>15</v>
      </c>
      <c r="F47" s="2802" t="s">
        <v>64</v>
      </c>
      <c r="G47" s="2802" t="s">
        <v>65</v>
      </c>
      <c r="H47" s="2659" t="s">
        <v>79</v>
      </c>
      <c r="I47" s="2576" t="s">
        <v>77</v>
      </c>
      <c r="J47" s="2668">
        <v>1</v>
      </c>
      <c r="K47" s="2668">
        <v>1643466</v>
      </c>
      <c r="L47" s="2576" t="s">
        <v>80</v>
      </c>
      <c r="M47" s="2522" t="s">
        <v>1170</v>
      </c>
      <c r="N47" s="2522"/>
      <c r="O47" s="785"/>
      <c r="P47" s="785"/>
      <c r="Q47" s="785"/>
      <c r="R47" s="785"/>
      <c r="S47" s="785"/>
      <c r="T47" s="785"/>
      <c r="U47" s="785"/>
      <c r="V47" s="785"/>
      <c r="W47" s="785"/>
      <c r="X47" s="785"/>
      <c r="Y47" s="785"/>
      <c r="Z47" s="785"/>
      <c r="AA47" s="856"/>
    </row>
    <row r="48" spans="1:27" ht="13.5" customHeight="1" x14ac:dyDescent="0.25">
      <c r="A48" s="2832"/>
      <c r="B48" s="2778"/>
      <c r="C48" s="2660"/>
      <c r="D48" s="2575"/>
      <c r="E48" s="2784"/>
      <c r="F48" s="2803"/>
      <c r="G48" s="2803"/>
      <c r="H48" s="2660"/>
      <c r="I48" s="2577"/>
      <c r="J48" s="2669"/>
      <c r="K48" s="2669"/>
      <c r="L48" s="2577"/>
      <c r="M48" s="2680" t="s">
        <v>51</v>
      </c>
      <c r="N48" s="2680"/>
      <c r="O48" s="792">
        <v>0.1</v>
      </c>
      <c r="P48" s="792">
        <v>0.1</v>
      </c>
      <c r="Q48" s="792">
        <v>0.1</v>
      </c>
      <c r="R48" s="792">
        <v>0.3</v>
      </c>
      <c r="S48" s="792">
        <v>0.2</v>
      </c>
      <c r="T48" s="792">
        <v>0.2</v>
      </c>
      <c r="U48" s="792"/>
      <c r="V48" s="784"/>
      <c r="W48" s="784"/>
      <c r="X48" s="784"/>
      <c r="Y48" s="784"/>
      <c r="Z48" s="784"/>
      <c r="AA48" s="855">
        <v>1</v>
      </c>
    </row>
    <row r="49" spans="1:27" ht="26.25" customHeight="1" x14ac:dyDescent="0.25">
      <c r="A49" s="2832"/>
      <c r="B49" s="2778"/>
      <c r="C49" s="2660"/>
      <c r="D49" s="2575"/>
      <c r="E49" s="2784"/>
      <c r="F49" s="2803"/>
      <c r="G49" s="2803"/>
      <c r="H49" s="2660"/>
      <c r="I49" s="2577"/>
      <c r="J49" s="2669"/>
      <c r="K49" s="2669"/>
      <c r="L49" s="2577"/>
      <c r="M49" s="2681" t="s">
        <v>52</v>
      </c>
      <c r="N49" s="2689"/>
      <c r="O49" s="784">
        <v>65600</v>
      </c>
      <c r="P49" s="784">
        <v>60500</v>
      </c>
      <c r="Q49" s="784">
        <v>61500</v>
      </c>
      <c r="R49" s="784">
        <v>760000</v>
      </c>
      <c r="S49" s="784">
        <v>525866</v>
      </c>
      <c r="T49" s="784">
        <v>170000</v>
      </c>
      <c r="U49" s="784">
        <v>0</v>
      </c>
      <c r="V49" s="784">
        <v>0</v>
      </c>
      <c r="W49" s="784">
        <v>0</v>
      </c>
      <c r="X49" s="784">
        <v>0</v>
      </c>
      <c r="Y49" s="784">
        <v>0</v>
      </c>
      <c r="Z49" s="784">
        <v>0</v>
      </c>
      <c r="AA49" s="855">
        <v>1643466</v>
      </c>
    </row>
    <row r="50" spans="1:27" ht="36.75" customHeight="1" x14ac:dyDescent="0.25">
      <c r="A50" s="2832"/>
      <c r="B50" s="2778"/>
      <c r="C50" s="2660"/>
      <c r="D50" s="2575"/>
      <c r="E50" s="2784"/>
      <c r="F50" s="2803"/>
      <c r="G50" s="2803"/>
      <c r="H50" s="2660"/>
      <c r="I50" s="2577"/>
      <c r="J50" s="2669"/>
      <c r="K50" s="2669"/>
      <c r="L50" s="2577"/>
      <c r="M50" s="945" t="s">
        <v>67</v>
      </c>
      <c r="N50" s="945" t="s">
        <v>68</v>
      </c>
      <c r="O50" s="785">
        <v>65600</v>
      </c>
      <c r="P50" s="785">
        <v>60500</v>
      </c>
      <c r="Q50" s="785">
        <v>61500</v>
      </c>
      <c r="R50" s="785">
        <v>65000</v>
      </c>
      <c r="S50" s="785">
        <v>77400</v>
      </c>
      <c r="T50" s="785">
        <v>70000</v>
      </c>
      <c r="U50" s="785"/>
      <c r="V50" s="785"/>
      <c r="W50" s="793"/>
      <c r="X50" s="793"/>
      <c r="Y50" s="793"/>
      <c r="Z50" s="793"/>
      <c r="AA50" s="856">
        <v>400000</v>
      </c>
    </row>
    <row r="51" spans="1:27" ht="45" x14ac:dyDescent="0.25">
      <c r="A51" s="2832"/>
      <c r="B51" s="2778"/>
      <c r="C51" s="2660"/>
      <c r="D51" s="2575"/>
      <c r="E51" s="2784"/>
      <c r="F51" s="2803"/>
      <c r="G51" s="2803"/>
      <c r="H51" s="2660"/>
      <c r="I51" s="2577"/>
      <c r="J51" s="2669"/>
      <c r="K51" s="2669"/>
      <c r="L51" s="2577"/>
      <c r="M51" s="945" t="s">
        <v>69</v>
      </c>
      <c r="N51" s="945" t="s">
        <v>70</v>
      </c>
      <c r="O51" s="785"/>
      <c r="P51" s="785"/>
      <c r="Q51" s="785"/>
      <c r="R51" s="785">
        <v>480000</v>
      </c>
      <c r="S51" s="785">
        <v>320000</v>
      </c>
      <c r="T51" s="785">
        <v>100000</v>
      </c>
      <c r="U51" s="785"/>
      <c r="V51" s="785"/>
      <c r="W51" s="785"/>
      <c r="X51" s="785"/>
      <c r="Y51" s="786"/>
      <c r="Z51" s="786"/>
      <c r="AA51" s="856">
        <v>900000</v>
      </c>
    </row>
    <row r="52" spans="1:27" ht="45" x14ac:dyDescent="0.25">
      <c r="A52" s="2832"/>
      <c r="B52" s="2779"/>
      <c r="C52" s="2661"/>
      <c r="D52" s="2815"/>
      <c r="E52" s="2785"/>
      <c r="F52" s="2804"/>
      <c r="G52" s="2804"/>
      <c r="H52" s="2661"/>
      <c r="I52" s="2608"/>
      <c r="J52" s="2670"/>
      <c r="K52" s="2670"/>
      <c r="L52" s="2608"/>
      <c r="M52" s="945" t="s">
        <v>71</v>
      </c>
      <c r="N52" s="945" t="s">
        <v>72</v>
      </c>
      <c r="O52" s="785"/>
      <c r="P52" s="785"/>
      <c r="Q52" s="785"/>
      <c r="R52" s="785">
        <v>215000</v>
      </c>
      <c r="S52" s="785">
        <v>128466</v>
      </c>
      <c r="T52" s="785"/>
      <c r="U52" s="785"/>
      <c r="V52" s="785"/>
      <c r="W52" s="785"/>
      <c r="X52" s="786"/>
      <c r="Y52" s="786"/>
      <c r="Z52" s="786"/>
      <c r="AA52" s="856">
        <v>343466</v>
      </c>
    </row>
    <row r="53" spans="1:27" ht="25.5" x14ac:dyDescent="0.25">
      <c r="A53" s="794"/>
      <c r="B53" s="926" t="s">
        <v>6</v>
      </c>
      <c r="C53" s="2680" t="s">
        <v>2929</v>
      </c>
      <c r="D53" s="2680"/>
      <c r="E53" s="2680"/>
      <c r="F53" s="2680"/>
      <c r="G53" s="2680"/>
      <c r="H53" s="2680"/>
      <c r="I53" s="2680"/>
      <c r="J53" s="2680"/>
      <c r="K53" s="2680"/>
      <c r="L53" s="2680"/>
      <c r="M53" s="2680"/>
      <c r="N53" s="2680"/>
      <c r="O53" s="2680"/>
      <c r="P53" s="2680"/>
      <c r="Q53" s="2680"/>
      <c r="R53" s="2680"/>
      <c r="S53" s="2680"/>
      <c r="T53" s="2680"/>
      <c r="U53" s="2680"/>
      <c r="V53" s="2680"/>
      <c r="W53" s="2680"/>
      <c r="X53" s="2680"/>
      <c r="Y53" s="2680"/>
      <c r="Z53" s="2680"/>
      <c r="AA53" s="2680"/>
    </row>
    <row r="54" spans="1:27" ht="24.75" customHeight="1" x14ac:dyDescent="0.25">
      <c r="A54" s="795"/>
      <c r="B54" s="2196" t="s">
        <v>8</v>
      </c>
      <c r="C54" s="2800" t="s">
        <v>82</v>
      </c>
      <c r="D54" s="2801"/>
      <c r="E54" s="2801"/>
      <c r="F54" s="2801"/>
      <c r="G54" s="2801"/>
      <c r="H54" s="2801"/>
      <c r="I54" s="2801"/>
      <c r="J54" s="2801"/>
      <c r="K54" s="2801"/>
      <c r="L54" s="2801"/>
      <c r="M54" s="2801"/>
      <c r="N54" s="2801"/>
      <c r="O54" s="2801"/>
      <c r="P54" s="2801"/>
      <c r="Q54" s="2801"/>
      <c r="R54" s="2801"/>
      <c r="S54" s="2801"/>
      <c r="T54" s="2801"/>
      <c r="U54" s="2801"/>
      <c r="V54" s="2801"/>
      <c r="W54" s="2801"/>
      <c r="X54" s="2801"/>
      <c r="Y54" s="2801"/>
      <c r="Z54" s="2801"/>
      <c r="AA54" s="2805"/>
    </row>
    <row r="55" spans="1:27" ht="26.25" customHeight="1" x14ac:dyDescent="0.25">
      <c r="A55" s="2806" t="s">
        <v>83</v>
      </c>
      <c r="B55" s="924" t="s">
        <v>11</v>
      </c>
      <c r="C55" s="837" t="s">
        <v>84</v>
      </c>
      <c r="D55" s="816"/>
      <c r="E55" s="816"/>
      <c r="F55" s="816"/>
      <c r="G55" s="816"/>
      <c r="H55" s="816"/>
      <c r="I55" s="816"/>
      <c r="J55" s="816"/>
      <c r="K55" s="816"/>
      <c r="L55" s="816"/>
      <c r="M55" s="816"/>
      <c r="N55" s="816"/>
      <c r="O55" s="816"/>
      <c r="P55" s="816"/>
      <c r="Q55" s="816"/>
      <c r="R55" s="816"/>
      <c r="S55" s="816"/>
      <c r="T55" s="816"/>
      <c r="U55" s="816"/>
      <c r="V55" s="816"/>
      <c r="W55" s="816"/>
      <c r="X55" s="816"/>
      <c r="Y55" s="816"/>
      <c r="Z55" s="816"/>
      <c r="AA55" s="905"/>
    </row>
    <row r="56" spans="1:27" x14ac:dyDescent="0.25">
      <c r="A56" s="2806"/>
      <c r="B56" s="2680" t="s">
        <v>13</v>
      </c>
      <c r="C56" s="2807" t="s">
        <v>85</v>
      </c>
      <c r="D56" s="2547" t="s">
        <v>86</v>
      </c>
      <c r="E56" s="2548"/>
      <c r="F56" s="2548"/>
      <c r="G56" s="2548"/>
      <c r="H56" s="2548"/>
      <c r="I56" s="2548"/>
      <c r="J56" s="787"/>
      <c r="K56" s="787"/>
      <c r="L56" s="787"/>
      <c r="M56" s="787"/>
      <c r="N56" s="787"/>
      <c r="O56" s="787"/>
      <c r="P56" s="787"/>
      <c r="Q56" s="787"/>
      <c r="R56" s="787"/>
      <c r="S56" s="787"/>
      <c r="T56" s="787"/>
      <c r="U56" s="788"/>
      <c r="V56" s="2685" t="s">
        <v>15</v>
      </c>
      <c r="W56" s="2685"/>
      <c r="X56" s="2685"/>
      <c r="Y56" s="2685"/>
      <c r="Z56" s="2685" t="s">
        <v>16</v>
      </c>
      <c r="AA56" s="2685"/>
    </row>
    <row r="57" spans="1:27" x14ac:dyDescent="0.25">
      <c r="A57" s="2806"/>
      <c r="B57" s="2680"/>
      <c r="C57" s="2808"/>
      <c r="D57" s="2549"/>
      <c r="E57" s="2550"/>
      <c r="F57" s="2550"/>
      <c r="G57" s="2550"/>
      <c r="H57" s="2550"/>
      <c r="I57" s="2550"/>
      <c r="J57" s="789"/>
      <c r="K57" s="789"/>
      <c r="L57" s="789"/>
      <c r="M57" s="789"/>
      <c r="N57" s="789"/>
      <c r="O57" s="789"/>
      <c r="P57" s="789"/>
      <c r="Q57" s="789"/>
      <c r="R57" s="789"/>
      <c r="S57" s="789"/>
      <c r="T57" s="789"/>
      <c r="U57" s="790"/>
      <c r="V57" s="2599" t="s">
        <v>59</v>
      </c>
      <c r="W57" s="2600"/>
      <c r="X57" s="2600"/>
      <c r="Y57" s="2601"/>
      <c r="Z57" s="2687" t="s">
        <v>60</v>
      </c>
      <c r="AA57" s="2688"/>
    </row>
    <row r="58" spans="1:27" x14ac:dyDescent="0.25">
      <c r="A58" s="2806"/>
      <c r="B58" s="2680" t="s">
        <v>18</v>
      </c>
      <c r="C58" s="2690">
        <v>220525</v>
      </c>
      <c r="D58" s="2547" t="s">
        <v>87</v>
      </c>
      <c r="E58" s="2548"/>
      <c r="F58" s="2548"/>
      <c r="G58" s="2548"/>
      <c r="H58" s="2548"/>
      <c r="I58" s="2548"/>
      <c r="J58" s="2548"/>
      <c r="K58" s="2548"/>
      <c r="L58" s="2548"/>
      <c r="M58" s="2548"/>
      <c r="N58" s="2548"/>
      <c r="O58" s="2548"/>
      <c r="P58" s="2548"/>
      <c r="Q58" s="787"/>
      <c r="R58" s="787"/>
      <c r="S58" s="787"/>
      <c r="T58" s="787"/>
      <c r="U58" s="788"/>
      <c r="V58" s="2599" t="s">
        <v>15</v>
      </c>
      <c r="W58" s="2600"/>
      <c r="X58" s="2600"/>
      <c r="Y58" s="2601"/>
      <c r="Z58" s="2685" t="s">
        <v>16</v>
      </c>
      <c r="AA58" s="2685"/>
    </row>
    <row r="59" spans="1:27" x14ac:dyDescent="0.25">
      <c r="A59" s="2806"/>
      <c r="B59" s="2680"/>
      <c r="C59" s="2691"/>
      <c r="D59" s="2549"/>
      <c r="E59" s="2550"/>
      <c r="F59" s="2550"/>
      <c r="G59" s="2550"/>
      <c r="H59" s="2550"/>
      <c r="I59" s="2550"/>
      <c r="J59" s="2550"/>
      <c r="K59" s="2550"/>
      <c r="L59" s="2550"/>
      <c r="M59" s="2550"/>
      <c r="N59" s="2550"/>
      <c r="O59" s="2550"/>
      <c r="P59" s="2550"/>
      <c r="Q59" s="789"/>
      <c r="R59" s="789"/>
      <c r="S59" s="789"/>
      <c r="T59" s="789"/>
      <c r="U59" s="791"/>
      <c r="V59" s="2681"/>
      <c r="W59" s="2682"/>
      <c r="X59" s="2682"/>
      <c r="Y59" s="2689"/>
      <c r="Z59" s="2685"/>
      <c r="AA59" s="2685"/>
    </row>
    <row r="60" spans="1:27" x14ac:dyDescent="0.25">
      <c r="A60" s="2806"/>
      <c r="B60" s="2614" t="s">
        <v>20</v>
      </c>
      <c r="C60" s="2616" t="s">
        <v>21</v>
      </c>
      <c r="D60" s="2616" t="s">
        <v>22</v>
      </c>
      <c r="E60" s="2616" t="s">
        <v>23</v>
      </c>
      <c r="F60" s="2616" t="s">
        <v>24</v>
      </c>
      <c r="G60" s="2616" t="s">
        <v>25</v>
      </c>
      <c r="H60" s="2616" t="s">
        <v>26</v>
      </c>
      <c r="I60" s="2616" t="s">
        <v>27</v>
      </c>
      <c r="J60" s="2408" t="s">
        <v>28</v>
      </c>
      <c r="K60" s="2409"/>
      <c r="L60" s="2616" t="s">
        <v>29</v>
      </c>
      <c r="M60" s="2408" t="s">
        <v>30</v>
      </c>
      <c r="N60" s="2409"/>
      <c r="O60" s="2617" t="s">
        <v>31</v>
      </c>
      <c r="P60" s="2618"/>
      <c r="Q60" s="2618"/>
      <c r="R60" s="2618"/>
      <c r="S60" s="2618"/>
      <c r="T60" s="2618"/>
      <c r="U60" s="2618"/>
      <c r="V60" s="2618"/>
      <c r="W60" s="2618"/>
      <c r="X60" s="2618"/>
      <c r="Y60" s="2618"/>
      <c r="Z60" s="2619"/>
      <c r="AA60" s="2616" t="s">
        <v>32</v>
      </c>
    </row>
    <row r="61" spans="1:27" ht="22.5" customHeight="1" x14ac:dyDescent="0.25">
      <c r="A61" s="2806"/>
      <c r="B61" s="2615"/>
      <c r="C61" s="2616"/>
      <c r="D61" s="2616"/>
      <c r="E61" s="2616"/>
      <c r="F61" s="2616"/>
      <c r="G61" s="2616"/>
      <c r="H61" s="2616"/>
      <c r="I61" s="2616"/>
      <c r="J61" s="925" t="s">
        <v>33</v>
      </c>
      <c r="K61" s="925" t="s">
        <v>34</v>
      </c>
      <c r="L61" s="2616"/>
      <c r="M61" s="2410"/>
      <c r="N61" s="2411"/>
      <c r="O61" s="925" t="s">
        <v>35</v>
      </c>
      <c r="P61" s="925" t="s">
        <v>36</v>
      </c>
      <c r="Q61" s="925" t="s">
        <v>37</v>
      </c>
      <c r="R61" s="925" t="s">
        <v>38</v>
      </c>
      <c r="S61" s="925" t="s">
        <v>39</v>
      </c>
      <c r="T61" s="925" t="s">
        <v>40</v>
      </c>
      <c r="U61" s="925" t="s">
        <v>41</v>
      </c>
      <c r="V61" s="925" t="s">
        <v>42</v>
      </c>
      <c r="W61" s="925" t="s">
        <v>43</v>
      </c>
      <c r="X61" s="925" t="s">
        <v>44</v>
      </c>
      <c r="Y61" s="925" t="s">
        <v>45</v>
      </c>
      <c r="Z61" s="925" t="s">
        <v>46</v>
      </c>
      <c r="AA61" s="2616"/>
    </row>
    <row r="62" spans="1:27" x14ac:dyDescent="0.25">
      <c r="A62" s="2806"/>
      <c r="B62" s="2777">
        <v>400007</v>
      </c>
      <c r="C62" s="2659" t="s">
        <v>96</v>
      </c>
      <c r="D62" s="2584" t="s">
        <v>87</v>
      </c>
      <c r="E62" s="2783">
        <v>15</v>
      </c>
      <c r="F62" s="2802" t="s">
        <v>64</v>
      </c>
      <c r="G62" s="2802" t="s">
        <v>65</v>
      </c>
      <c r="H62" s="2659" t="s">
        <v>97</v>
      </c>
      <c r="I62" s="2576" t="s">
        <v>98</v>
      </c>
      <c r="J62" s="2665">
        <v>2</v>
      </c>
      <c r="K62" s="2668">
        <v>1000000</v>
      </c>
      <c r="L62" s="2576" t="s">
        <v>82</v>
      </c>
      <c r="M62" s="2671" t="s">
        <v>51</v>
      </c>
      <c r="N62" s="2672"/>
      <c r="O62" s="792"/>
      <c r="P62" s="792"/>
      <c r="Q62" s="792"/>
      <c r="R62" s="792"/>
      <c r="S62" s="792">
        <v>0</v>
      </c>
      <c r="T62" s="792">
        <v>0.25</v>
      </c>
      <c r="U62" s="792">
        <v>0.25</v>
      </c>
      <c r="V62" s="792">
        <v>0.25</v>
      </c>
      <c r="W62" s="792">
        <v>0.5</v>
      </c>
      <c r="X62" s="792">
        <v>0.5</v>
      </c>
      <c r="Y62" s="792">
        <v>0.25</v>
      </c>
      <c r="Z62" s="792"/>
      <c r="AA62" s="857">
        <v>2</v>
      </c>
    </row>
    <row r="63" spans="1:27" x14ac:dyDescent="0.25">
      <c r="A63" s="2806"/>
      <c r="B63" s="2778"/>
      <c r="C63" s="2660"/>
      <c r="D63" s="2585"/>
      <c r="E63" s="2784"/>
      <c r="F63" s="2803"/>
      <c r="G63" s="2803"/>
      <c r="H63" s="2660"/>
      <c r="I63" s="2577"/>
      <c r="J63" s="2666"/>
      <c r="K63" s="2669"/>
      <c r="L63" s="2577"/>
      <c r="M63" s="2671" t="s">
        <v>99</v>
      </c>
      <c r="N63" s="2672"/>
      <c r="O63" s="796">
        <v>0</v>
      </c>
      <c r="P63" s="796">
        <v>0</v>
      </c>
      <c r="Q63" s="796">
        <v>0</v>
      </c>
      <c r="R63" s="796">
        <v>0</v>
      </c>
      <c r="S63" s="796">
        <v>100000</v>
      </c>
      <c r="T63" s="796">
        <v>200000</v>
      </c>
      <c r="U63" s="796">
        <v>200000</v>
      </c>
      <c r="V63" s="796">
        <v>200000</v>
      </c>
      <c r="W63" s="796">
        <v>100000</v>
      </c>
      <c r="X63" s="796">
        <v>100000</v>
      </c>
      <c r="Y63" s="796">
        <v>100000</v>
      </c>
      <c r="Z63" s="796">
        <v>0</v>
      </c>
      <c r="AA63" s="855">
        <v>1000000</v>
      </c>
    </row>
    <row r="64" spans="1:27" x14ac:dyDescent="0.25">
      <c r="A64" s="2806"/>
      <c r="B64" s="2778"/>
      <c r="C64" s="2660"/>
      <c r="D64" s="2585"/>
      <c r="E64" s="2784"/>
      <c r="F64" s="2803"/>
      <c r="G64" s="2803"/>
      <c r="H64" s="2660"/>
      <c r="I64" s="2577"/>
      <c r="J64" s="2666"/>
      <c r="K64" s="2669"/>
      <c r="L64" s="2577"/>
      <c r="M64" s="2438">
        <v>2.6</v>
      </c>
      <c r="N64" s="2438" t="s">
        <v>2935</v>
      </c>
      <c r="O64" s="2797">
        <v>0</v>
      </c>
      <c r="P64" s="2809">
        <v>0</v>
      </c>
      <c r="Q64" s="2809">
        <v>0</v>
      </c>
      <c r="R64" s="2809">
        <v>0</v>
      </c>
      <c r="S64" s="2797">
        <v>100000</v>
      </c>
      <c r="T64" s="2797">
        <v>200000</v>
      </c>
      <c r="U64" s="2797">
        <v>200000</v>
      </c>
      <c r="V64" s="2797">
        <v>200000</v>
      </c>
      <c r="W64" s="2797">
        <v>100000</v>
      </c>
      <c r="X64" s="2797">
        <v>100000</v>
      </c>
      <c r="Y64" s="2797">
        <v>100000</v>
      </c>
      <c r="Z64" s="2797">
        <v>0</v>
      </c>
      <c r="AA64" s="2812">
        <v>1000000</v>
      </c>
    </row>
    <row r="65" spans="1:27" x14ac:dyDescent="0.25">
      <c r="A65" s="2806"/>
      <c r="B65" s="2778"/>
      <c r="C65" s="2660"/>
      <c r="D65" s="2585"/>
      <c r="E65" s="2784"/>
      <c r="F65" s="2803"/>
      <c r="G65" s="2803"/>
      <c r="H65" s="2660"/>
      <c r="I65" s="2577"/>
      <c r="J65" s="2666"/>
      <c r="K65" s="2669"/>
      <c r="L65" s="2577"/>
      <c r="M65" s="2456"/>
      <c r="N65" s="2456"/>
      <c r="O65" s="2798"/>
      <c r="P65" s="2810"/>
      <c r="Q65" s="2810"/>
      <c r="R65" s="2810"/>
      <c r="S65" s="2798"/>
      <c r="T65" s="2798"/>
      <c r="U65" s="2798"/>
      <c r="V65" s="2798"/>
      <c r="W65" s="2798"/>
      <c r="X65" s="2798"/>
      <c r="Y65" s="2798"/>
      <c r="Z65" s="2798"/>
      <c r="AA65" s="2813"/>
    </row>
    <row r="66" spans="1:27" ht="18.75" customHeight="1" x14ac:dyDescent="0.25">
      <c r="A66" s="2806"/>
      <c r="B66" s="2779"/>
      <c r="C66" s="2661"/>
      <c r="D66" s="2586"/>
      <c r="E66" s="2785"/>
      <c r="F66" s="2804"/>
      <c r="G66" s="2804"/>
      <c r="H66" s="2661"/>
      <c r="I66" s="2608"/>
      <c r="J66" s="2667"/>
      <c r="K66" s="2670"/>
      <c r="L66" s="2608"/>
      <c r="M66" s="2450"/>
      <c r="N66" s="2450"/>
      <c r="O66" s="2799"/>
      <c r="P66" s="2811"/>
      <c r="Q66" s="2811"/>
      <c r="R66" s="2811"/>
      <c r="S66" s="2799"/>
      <c r="T66" s="2799"/>
      <c r="U66" s="2799"/>
      <c r="V66" s="2799"/>
      <c r="W66" s="2799"/>
      <c r="X66" s="2799"/>
      <c r="Y66" s="2799"/>
      <c r="Z66" s="2799"/>
      <c r="AA66" s="2814"/>
    </row>
    <row r="67" spans="1:27" ht="34.5" customHeight="1" x14ac:dyDescent="0.25">
      <c r="A67" s="797"/>
      <c r="B67" s="926" t="s">
        <v>6</v>
      </c>
      <c r="C67" s="2680" t="s">
        <v>74</v>
      </c>
      <c r="D67" s="2680"/>
      <c r="E67" s="2680"/>
      <c r="F67" s="2680"/>
      <c r="G67" s="2680"/>
      <c r="H67" s="2680"/>
      <c r="I67" s="2680"/>
      <c r="J67" s="2680"/>
      <c r="K67" s="2680"/>
      <c r="L67" s="2680"/>
      <c r="M67" s="2680"/>
      <c r="N67" s="2680"/>
      <c r="O67" s="2680"/>
      <c r="P67" s="2680"/>
      <c r="Q67" s="2680"/>
      <c r="R67" s="2680"/>
      <c r="S67" s="2680"/>
      <c r="T67" s="2680"/>
      <c r="U67" s="2680"/>
      <c r="V67" s="2680"/>
      <c r="W67" s="2680"/>
      <c r="X67" s="2680"/>
      <c r="Y67" s="2680"/>
      <c r="Z67" s="2680"/>
      <c r="AA67" s="2680"/>
    </row>
    <row r="68" spans="1:27" ht="30" customHeight="1" x14ac:dyDescent="0.25">
      <c r="A68" s="797" t="s">
        <v>3698</v>
      </c>
      <c r="B68" s="2061" t="s">
        <v>8</v>
      </c>
      <c r="C68" s="2800" t="s">
        <v>3700</v>
      </c>
      <c r="D68" s="2801"/>
      <c r="E68" s="2801"/>
      <c r="F68" s="2801"/>
      <c r="G68" s="2801"/>
      <c r="H68" s="2801"/>
      <c r="I68" s="782"/>
      <c r="J68" s="782"/>
      <c r="K68" s="782"/>
      <c r="L68" s="782"/>
      <c r="M68" s="782"/>
      <c r="N68" s="782"/>
      <c r="O68" s="782"/>
      <c r="P68" s="782"/>
      <c r="Q68" s="782"/>
      <c r="R68" s="782"/>
      <c r="S68" s="782"/>
      <c r="T68" s="782"/>
      <c r="U68" s="782"/>
      <c r="V68" s="782"/>
      <c r="W68" s="782"/>
      <c r="X68" s="782"/>
      <c r="Y68" s="782"/>
      <c r="Z68" s="782"/>
      <c r="AA68" s="783"/>
    </row>
    <row r="69" spans="1:27" ht="28.5" customHeight="1" x14ac:dyDescent="0.25">
      <c r="A69" s="797"/>
      <c r="B69" s="924" t="s">
        <v>11</v>
      </c>
      <c r="C69" s="837" t="s">
        <v>101</v>
      </c>
      <c r="D69" s="816"/>
      <c r="E69" s="816"/>
      <c r="F69" s="816"/>
      <c r="G69" s="816"/>
      <c r="H69" s="816"/>
      <c r="I69" s="816"/>
      <c r="J69" s="816"/>
      <c r="K69" s="816"/>
      <c r="L69" s="816"/>
      <c r="M69" s="816"/>
      <c r="N69" s="816"/>
      <c r="O69" s="816"/>
      <c r="P69" s="816"/>
      <c r="Q69" s="816"/>
      <c r="R69" s="816"/>
      <c r="S69" s="816"/>
      <c r="T69" s="816"/>
      <c r="U69" s="816"/>
      <c r="V69" s="816"/>
      <c r="W69" s="816"/>
      <c r="X69" s="816"/>
      <c r="Y69" s="816"/>
      <c r="Z69" s="816"/>
      <c r="AA69" s="905"/>
    </row>
    <row r="70" spans="1:27" x14ac:dyDescent="0.25">
      <c r="A70" s="797"/>
      <c r="B70" s="2680" t="s">
        <v>13</v>
      </c>
      <c r="C70" s="2786" t="s">
        <v>102</v>
      </c>
      <c r="D70" s="2547" t="s">
        <v>103</v>
      </c>
      <c r="E70" s="2548"/>
      <c r="F70" s="2548"/>
      <c r="G70" s="2548"/>
      <c r="H70" s="2548"/>
      <c r="I70" s="2548"/>
      <c r="J70" s="787"/>
      <c r="K70" s="787"/>
      <c r="L70" s="787"/>
      <c r="M70" s="787"/>
      <c r="N70" s="787"/>
      <c r="O70" s="787"/>
      <c r="P70" s="787"/>
      <c r="Q70" s="787"/>
      <c r="R70" s="787"/>
      <c r="S70" s="787"/>
      <c r="T70" s="787"/>
      <c r="U70" s="788"/>
      <c r="V70" s="2685" t="s">
        <v>15</v>
      </c>
      <c r="W70" s="2685"/>
      <c r="X70" s="2685"/>
      <c r="Y70" s="2685"/>
      <c r="Z70" s="2685" t="s">
        <v>16</v>
      </c>
      <c r="AA70" s="2685"/>
    </row>
    <row r="71" spans="1:27" x14ac:dyDescent="0.25">
      <c r="A71" s="797"/>
      <c r="B71" s="2680"/>
      <c r="C71" s="2691"/>
      <c r="D71" s="2549"/>
      <c r="E71" s="2550"/>
      <c r="F71" s="2550"/>
      <c r="G71" s="2550"/>
      <c r="H71" s="2550"/>
      <c r="I71" s="2550"/>
      <c r="J71" s="789"/>
      <c r="K71" s="789"/>
      <c r="L71" s="789"/>
      <c r="M71" s="789"/>
      <c r="N71" s="789"/>
      <c r="O71" s="789"/>
      <c r="P71" s="789"/>
      <c r="Q71" s="789"/>
      <c r="R71" s="789"/>
      <c r="S71" s="789"/>
      <c r="T71" s="789"/>
      <c r="U71" s="790"/>
      <c r="V71" s="2787"/>
      <c r="W71" s="2788"/>
      <c r="X71" s="2788"/>
      <c r="Y71" s="2789"/>
      <c r="Z71" s="2790" t="s">
        <v>61</v>
      </c>
      <c r="AA71" s="2791"/>
    </row>
    <row r="72" spans="1:27" x14ac:dyDescent="0.25">
      <c r="A72" s="797"/>
      <c r="B72" s="2680" t="s">
        <v>18</v>
      </c>
      <c r="C72" s="2690">
        <v>2095009</v>
      </c>
      <c r="D72" s="2547" t="s">
        <v>104</v>
      </c>
      <c r="E72" s="2548"/>
      <c r="F72" s="2548"/>
      <c r="G72" s="2548"/>
      <c r="H72" s="2548"/>
      <c r="I72" s="2548"/>
      <c r="J72" s="2548"/>
      <c r="K72" s="2548"/>
      <c r="L72" s="2548"/>
      <c r="M72" s="2548"/>
      <c r="N72" s="2548"/>
      <c r="O72" s="2548"/>
      <c r="P72" s="2548"/>
      <c r="Q72" s="2548"/>
      <c r="R72" s="2548"/>
      <c r="S72" s="2548"/>
      <c r="T72" s="2548"/>
      <c r="U72" s="2686"/>
      <c r="V72" s="2793" t="s">
        <v>15</v>
      </c>
      <c r="W72" s="2794"/>
      <c r="X72" s="2794"/>
      <c r="Y72" s="2795"/>
      <c r="Z72" s="2796" t="s">
        <v>16</v>
      </c>
      <c r="AA72" s="2796"/>
    </row>
    <row r="73" spans="1:27" x14ac:dyDescent="0.25">
      <c r="A73" s="797"/>
      <c r="B73" s="2680"/>
      <c r="C73" s="2691"/>
      <c r="D73" s="2549"/>
      <c r="E73" s="2550"/>
      <c r="F73" s="2550"/>
      <c r="G73" s="2550"/>
      <c r="H73" s="2550"/>
      <c r="I73" s="2550"/>
      <c r="J73" s="2550"/>
      <c r="K73" s="2550"/>
      <c r="L73" s="2550"/>
      <c r="M73" s="2550"/>
      <c r="N73" s="2550"/>
      <c r="O73" s="2550"/>
      <c r="P73" s="2550"/>
      <c r="Q73" s="2550"/>
      <c r="R73" s="2550"/>
      <c r="S73" s="2550"/>
      <c r="T73" s="2550"/>
      <c r="U73" s="2792"/>
      <c r="V73" s="2787"/>
      <c r="W73" s="2788"/>
      <c r="X73" s="2788"/>
      <c r="Y73" s="2789"/>
      <c r="Z73" s="2790" t="s">
        <v>61</v>
      </c>
      <c r="AA73" s="2791"/>
    </row>
    <row r="74" spans="1:27" ht="15" customHeight="1" x14ac:dyDescent="0.25">
      <c r="A74" s="797"/>
      <c r="B74" s="2614" t="s">
        <v>20</v>
      </c>
      <c r="C74" s="2616" t="s">
        <v>21</v>
      </c>
      <c r="D74" s="2616" t="s">
        <v>22</v>
      </c>
      <c r="E74" s="2616" t="s">
        <v>23</v>
      </c>
      <c r="F74" s="2616" t="s">
        <v>24</v>
      </c>
      <c r="G74" s="2616" t="s">
        <v>25</v>
      </c>
      <c r="H74" s="2616" t="s">
        <v>26</v>
      </c>
      <c r="I74" s="2616" t="s">
        <v>27</v>
      </c>
      <c r="J74" s="2408" t="s">
        <v>28</v>
      </c>
      <c r="K74" s="2409"/>
      <c r="L74" s="2616" t="s">
        <v>29</v>
      </c>
      <c r="M74" s="2408" t="s">
        <v>30</v>
      </c>
      <c r="N74" s="2409"/>
      <c r="O74" s="2617" t="s">
        <v>31</v>
      </c>
      <c r="P74" s="2618"/>
      <c r="Q74" s="2618"/>
      <c r="R74" s="2618"/>
      <c r="S74" s="2618"/>
      <c r="T74" s="2618"/>
      <c r="U74" s="2618"/>
      <c r="V74" s="2618"/>
      <c r="W74" s="2618"/>
      <c r="X74" s="2618"/>
      <c r="Y74" s="2618"/>
      <c r="Z74" s="2619"/>
      <c r="AA74" s="2616" t="s">
        <v>32</v>
      </c>
    </row>
    <row r="75" spans="1:27" x14ac:dyDescent="0.25">
      <c r="A75" s="797"/>
      <c r="B75" s="2615"/>
      <c r="C75" s="2616"/>
      <c r="D75" s="2616"/>
      <c r="E75" s="2616"/>
      <c r="F75" s="2616"/>
      <c r="G75" s="2616"/>
      <c r="H75" s="2616"/>
      <c r="I75" s="2616"/>
      <c r="J75" s="925" t="s">
        <v>33</v>
      </c>
      <c r="K75" s="925" t="s">
        <v>34</v>
      </c>
      <c r="L75" s="2616"/>
      <c r="M75" s="2410"/>
      <c r="N75" s="2411"/>
      <c r="O75" s="925" t="s">
        <v>35</v>
      </c>
      <c r="P75" s="925" t="s">
        <v>36</v>
      </c>
      <c r="Q75" s="925" t="s">
        <v>37</v>
      </c>
      <c r="R75" s="925" t="s">
        <v>38</v>
      </c>
      <c r="S75" s="925" t="s">
        <v>39</v>
      </c>
      <c r="T75" s="925" t="s">
        <v>40</v>
      </c>
      <c r="U75" s="925" t="s">
        <v>41</v>
      </c>
      <c r="V75" s="925" t="s">
        <v>42</v>
      </c>
      <c r="W75" s="925" t="s">
        <v>43</v>
      </c>
      <c r="X75" s="925" t="s">
        <v>44</v>
      </c>
      <c r="Y75" s="925" t="s">
        <v>45</v>
      </c>
      <c r="Z75" s="925" t="s">
        <v>46</v>
      </c>
      <c r="AA75" s="2616"/>
    </row>
    <row r="76" spans="1:27" x14ac:dyDescent="0.25">
      <c r="A76" s="797"/>
      <c r="B76" s="2777">
        <v>4000061</v>
      </c>
      <c r="C76" s="2659" t="s">
        <v>3110</v>
      </c>
      <c r="D76" s="2780" t="s">
        <v>106</v>
      </c>
      <c r="E76" s="2783">
        <v>12</v>
      </c>
      <c r="F76" s="2662" t="s">
        <v>107</v>
      </c>
      <c r="G76" s="2662" t="s">
        <v>108</v>
      </c>
      <c r="H76" s="2774" t="s">
        <v>3109</v>
      </c>
      <c r="I76" s="2576" t="s">
        <v>109</v>
      </c>
      <c r="J76" s="2668">
        <v>5</v>
      </c>
      <c r="K76" s="2668">
        <v>1238668</v>
      </c>
      <c r="L76" s="2576" t="s">
        <v>110</v>
      </c>
      <c r="M76" s="2671" t="s">
        <v>51</v>
      </c>
      <c r="N76" s="2672"/>
      <c r="O76" s="792">
        <v>0.5</v>
      </c>
      <c r="P76" s="792">
        <v>0.75</v>
      </c>
      <c r="Q76" s="792">
        <v>0.85</v>
      </c>
      <c r="R76" s="792">
        <v>1.25</v>
      </c>
      <c r="S76" s="792">
        <v>1.1000000000000001</v>
      </c>
      <c r="T76" s="792">
        <v>0.55000000000000004</v>
      </c>
      <c r="U76" s="792"/>
      <c r="V76" s="792"/>
      <c r="W76" s="792"/>
      <c r="X76" s="792"/>
      <c r="Y76" s="792"/>
      <c r="Z76" s="792"/>
      <c r="AA76" s="792">
        <v>5</v>
      </c>
    </row>
    <row r="77" spans="1:27" x14ac:dyDescent="0.25">
      <c r="A77" s="797"/>
      <c r="B77" s="2778"/>
      <c r="C77" s="2660"/>
      <c r="D77" s="2781"/>
      <c r="E77" s="2784"/>
      <c r="F77" s="2663"/>
      <c r="G77" s="2663"/>
      <c r="H77" s="2775"/>
      <c r="I77" s="2577"/>
      <c r="J77" s="2669"/>
      <c r="K77" s="2669"/>
      <c r="L77" s="2577"/>
      <c r="M77" s="2671" t="s">
        <v>111</v>
      </c>
      <c r="N77" s="2672"/>
      <c r="O77" s="796">
        <v>123866.8</v>
      </c>
      <c r="P77" s="796">
        <v>185800.2</v>
      </c>
      <c r="Q77" s="796">
        <v>210573.56</v>
      </c>
      <c r="R77" s="796">
        <v>309667</v>
      </c>
      <c r="S77" s="796">
        <v>272506.96000000002</v>
      </c>
      <c r="T77" s="796">
        <v>136253.48000000001</v>
      </c>
      <c r="U77" s="796">
        <v>0</v>
      </c>
      <c r="V77" s="796">
        <v>0</v>
      </c>
      <c r="W77" s="796">
        <v>0</v>
      </c>
      <c r="X77" s="796">
        <v>0</v>
      </c>
      <c r="Y77" s="796">
        <v>0</v>
      </c>
      <c r="Z77" s="796">
        <v>0</v>
      </c>
      <c r="AA77" s="784">
        <v>1238668</v>
      </c>
    </row>
    <row r="78" spans="1:27" ht="33.75" x14ac:dyDescent="0.25">
      <c r="A78" s="797"/>
      <c r="B78" s="2778"/>
      <c r="C78" s="2660"/>
      <c r="D78" s="2781"/>
      <c r="E78" s="2784"/>
      <c r="F78" s="2663"/>
      <c r="G78" s="2663"/>
      <c r="H78" s="2775"/>
      <c r="I78" s="2577"/>
      <c r="J78" s="2669"/>
      <c r="K78" s="2669"/>
      <c r="L78" s="2577"/>
      <c r="M78" s="945" t="s">
        <v>112</v>
      </c>
      <c r="N78" s="942" t="s">
        <v>113</v>
      </c>
      <c r="O78" s="943">
        <v>60000</v>
      </c>
      <c r="P78" s="785">
        <v>90000</v>
      </c>
      <c r="Q78" s="785">
        <v>102000</v>
      </c>
      <c r="R78" s="785">
        <v>150000</v>
      </c>
      <c r="S78" s="785">
        <v>132000</v>
      </c>
      <c r="T78" s="785">
        <v>66000</v>
      </c>
      <c r="U78" s="943"/>
      <c r="V78" s="793"/>
      <c r="W78" s="793"/>
      <c r="X78" s="793"/>
      <c r="Y78" s="793"/>
      <c r="Z78" s="793"/>
      <c r="AA78" s="784">
        <v>600000</v>
      </c>
    </row>
    <row r="79" spans="1:27" ht="33.75" x14ac:dyDescent="0.25">
      <c r="A79" s="797"/>
      <c r="B79" s="2778"/>
      <c r="C79" s="2660"/>
      <c r="D79" s="2781"/>
      <c r="E79" s="2784"/>
      <c r="F79" s="2663"/>
      <c r="G79" s="2663"/>
      <c r="H79" s="2775"/>
      <c r="I79" s="2577"/>
      <c r="J79" s="2669"/>
      <c r="K79" s="2669"/>
      <c r="L79" s="2577"/>
      <c r="M79" s="945" t="s">
        <v>114</v>
      </c>
      <c r="N79" s="942" t="s">
        <v>115</v>
      </c>
      <c r="O79" s="798">
        <v>56866.8</v>
      </c>
      <c r="P79" s="798">
        <v>85300.2</v>
      </c>
      <c r="Q79" s="798">
        <v>96673.56</v>
      </c>
      <c r="R79" s="798">
        <v>142167</v>
      </c>
      <c r="S79" s="798">
        <v>125106.96</v>
      </c>
      <c r="T79" s="798">
        <v>62553.48</v>
      </c>
      <c r="U79" s="793"/>
      <c r="V79" s="793"/>
      <c r="W79" s="793"/>
      <c r="X79" s="793"/>
      <c r="Y79" s="793"/>
      <c r="Z79" s="793"/>
      <c r="AA79" s="784">
        <v>568668</v>
      </c>
    </row>
    <row r="80" spans="1:27" ht="33.75" x14ac:dyDescent="0.25">
      <c r="A80" s="797"/>
      <c r="B80" s="2779"/>
      <c r="C80" s="2661"/>
      <c r="D80" s="2782"/>
      <c r="E80" s="2785"/>
      <c r="F80" s="2664"/>
      <c r="G80" s="2664"/>
      <c r="H80" s="2776"/>
      <c r="I80" s="2608"/>
      <c r="J80" s="2670"/>
      <c r="K80" s="2670"/>
      <c r="L80" s="2608"/>
      <c r="M80" s="959" t="s">
        <v>116</v>
      </c>
      <c r="N80" s="945" t="s">
        <v>117</v>
      </c>
      <c r="O80" s="785">
        <v>7000</v>
      </c>
      <c r="P80" s="785">
        <v>10500</v>
      </c>
      <c r="Q80" s="785">
        <v>11900</v>
      </c>
      <c r="R80" s="785">
        <v>17500</v>
      </c>
      <c r="S80" s="785">
        <v>15400</v>
      </c>
      <c r="T80" s="785">
        <v>7700</v>
      </c>
      <c r="U80" s="785"/>
      <c r="V80" s="785"/>
      <c r="W80" s="785"/>
      <c r="X80" s="785"/>
      <c r="Y80" s="785"/>
      <c r="Z80" s="785"/>
      <c r="AA80" s="784">
        <v>70000</v>
      </c>
    </row>
    <row r="81" spans="1:28" x14ac:dyDescent="0.25">
      <c r="A81" s="797"/>
      <c r="B81" s="2680" t="s">
        <v>18</v>
      </c>
      <c r="C81" s="2690">
        <v>2234220</v>
      </c>
      <c r="D81" s="2768" t="s">
        <v>118</v>
      </c>
      <c r="E81" s="2769"/>
      <c r="F81" s="2769"/>
      <c r="G81" s="2769"/>
      <c r="H81" s="2769"/>
      <c r="I81" s="2769"/>
      <c r="J81" s="2769"/>
      <c r="K81" s="2769"/>
      <c r="L81" s="2769"/>
      <c r="M81" s="2769"/>
      <c r="N81" s="2769"/>
      <c r="O81" s="2769"/>
      <c r="P81" s="2769"/>
      <c r="Q81" s="2769"/>
      <c r="R81" s="2769"/>
      <c r="S81" s="2769"/>
      <c r="T81" s="2769"/>
      <c r="U81" s="2770"/>
      <c r="V81" s="799"/>
      <c r="W81" s="799"/>
      <c r="X81" s="799"/>
      <c r="Y81" s="799"/>
      <c r="Z81" s="799"/>
      <c r="AA81" s="800"/>
    </row>
    <row r="82" spans="1:28" ht="11.25" customHeight="1" x14ac:dyDescent="0.25">
      <c r="A82" s="797"/>
      <c r="B82" s="2680"/>
      <c r="C82" s="2691"/>
      <c r="D82" s="2771"/>
      <c r="E82" s="2772"/>
      <c r="F82" s="2772"/>
      <c r="G82" s="2772"/>
      <c r="H82" s="2772"/>
      <c r="I82" s="2772"/>
      <c r="J82" s="2772"/>
      <c r="K82" s="2772"/>
      <c r="L82" s="2772"/>
      <c r="M82" s="2772"/>
      <c r="N82" s="2772"/>
      <c r="O82" s="2772"/>
      <c r="P82" s="2772"/>
      <c r="Q82" s="2772"/>
      <c r="R82" s="2772"/>
      <c r="S82" s="2772"/>
      <c r="T82" s="2772"/>
      <c r="U82" s="2773"/>
      <c r="V82" s="799"/>
      <c r="W82" s="799"/>
      <c r="X82" s="799"/>
      <c r="Y82" s="799"/>
      <c r="Z82" s="799"/>
      <c r="AA82" s="800"/>
    </row>
    <row r="83" spans="1:28" x14ac:dyDescent="0.25">
      <c r="A83" s="797"/>
      <c r="B83" s="2614" t="s">
        <v>20</v>
      </c>
      <c r="C83" s="2651" t="s">
        <v>21</v>
      </c>
      <c r="D83" s="2616" t="s">
        <v>22</v>
      </c>
      <c r="E83" s="2616" t="s">
        <v>23</v>
      </c>
      <c r="F83" s="2616" t="s">
        <v>24</v>
      </c>
      <c r="G83" s="2616" t="s">
        <v>25</v>
      </c>
      <c r="H83" s="2616" t="s">
        <v>26</v>
      </c>
      <c r="I83" s="2616" t="s">
        <v>27</v>
      </c>
      <c r="J83" s="2408" t="s">
        <v>28</v>
      </c>
      <c r="K83" s="2409"/>
      <c r="L83" s="2616" t="s">
        <v>29</v>
      </c>
      <c r="M83" s="2408" t="s">
        <v>30</v>
      </c>
      <c r="N83" s="2409"/>
      <c r="O83" s="2617" t="s">
        <v>31</v>
      </c>
      <c r="P83" s="2618"/>
      <c r="Q83" s="2618"/>
      <c r="R83" s="2618"/>
      <c r="S83" s="2618"/>
      <c r="T83" s="2618"/>
      <c r="U83" s="2618"/>
      <c r="V83" s="2618"/>
      <c r="W83" s="2618"/>
      <c r="X83" s="2618"/>
      <c r="Y83" s="2618"/>
      <c r="Z83" s="2619"/>
      <c r="AA83" s="2616" t="s">
        <v>32</v>
      </c>
    </row>
    <row r="84" spans="1:28" x14ac:dyDescent="0.25">
      <c r="A84" s="797"/>
      <c r="B84" s="2615"/>
      <c r="C84" s="2651"/>
      <c r="D84" s="2616"/>
      <c r="E84" s="2616"/>
      <c r="F84" s="2616"/>
      <c r="G84" s="2616"/>
      <c r="H84" s="2616"/>
      <c r="I84" s="2616"/>
      <c r="J84" s="925" t="s">
        <v>33</v>
      </c>
      <c r="K84" s="925" t="s">
        <v>34</v>
      </c>
      <c r="L84" s="2616"/>
      <c r="M84" s="2410"/>
      <c r="N84" s="2411"/>
      <c r="O84" s="925" t="s">
        <v>35</v>
      </c>
      <c r="P84" s="925" t="s">
        <v>36</v>
      </c>
      <c r="Q84" s="925" t="s">
        <v>37</v>
      </c>
      <c r="R84" s="925" t="s">
        <v>38</v>
      </c>
      <c r="S84" s="925" t="s">
        <v>39</v>
      </c>
      <c r="T84" s="925" t="s">
        <v>40</v>
      </c>
      <c r="U84" s="925" t="s">
        <v>41</v>
      </c>
      <c r="V84" s="925" t="s">
        <v>42</v>
      </c>
      <c r="W84" s="925" t="s">
        <v>43</v>
      </c>
      <c r="X84" s="925" t="s">
        <v>44</v>
      </c>
      <c r="Y84" s="925" t="s">
        <v>45</v>
      </c>
      <c r="Z84" s="925" t="s">
        <v>46</v>
      </c>
      <c r="AA84" s="2616"/>
    </row>
    <row r="85" spans="1:28" x14ac:dyDescent="0.25">
      <c r="A85" s="797"/>
      <c r="B85" s="2777">
        <v>4000061</v>
      </c>
      <c r="C85" s="2659" t="s">
        <v>105</v>
      </c>
      <c r="D85" s="2780" t="s">
        <v>119</v>
      </c>
      <c r="E85" s="2783">
        <v>12</v>
      </c>
      <c r="F85" s="2662" t="s">
        <v>107</v>
      </c>
      <c r="G85" s="2662" t="s">
        <v>108</v>
      </c>
      <c r="H85" s="2774" t="s">
        <v>120</v>
      </c>
      <c r="I85" s="2576" t="s">
        <v>121</v>
      </c>
      <c r="J85" s="2668">
        <v>1</v>
      </c>
      <c r="K85" s="2668">
        <v>2010260</v>
      </c>
      <c r="L85" s="2576" t="s">
        <v>110</v>
      </c>
      <c r="M85" s="2671" t="s">
        <v>51</v>
      </c>
      <c r="N85" s="2672"/>
      <c r="O85" s="792">
        <v>0.11</v>
      </c>
      <c r="P85" s="792">
        <v>0.14000000000000001</v>
      </c>
      <c r="Q85" s="792">
        <v>0.19</v>
      </c>
      <c r="R85" s="792">
        <v>0.22</v>
      </c>
      <c r="S85" s="792">
        <v>0.19</v>
      </c>
      <c r="T85" s="792">
        <v>0.15</v>
      </c>
      <c r="U85" s="792"/>
      <c r="V85" s="792"/>
      <c r="W85" s="792"/>
      <c r="X85" s="792"/>
      <c r="Y85" s="792"/>
      <c r="Z85" s="792"/>
      <c r="AA85" s="857">
        <v>1</v>
      </c>
    </row>
    <row r="86" spans="1:28" x14ac:dyDescent="0.25">
      <c r="A86" s="797"/>
      <c r="B86" s="2778"/>
      <c r="C86" s="2660"/>
      <c r="D86" s="2781"/>
      <c r="E86" s="2784"/>
      <c r="F86" s="2663"/>
      <c r="G86" s="2663"/>
      <c r="H86" s="2775"/>
      <c r="I86" s="2577"/>
      <c r="J86" s="2669"/>
      <c r="K86" s="2669"/>
      <c r="L86" s="2577"/>
      <c r="M86" s="2671" t="s">
        <v>111</v>
      </c>
      <c r="N86" s="2672"/>
      <c r="O86" s="796">
        <v>221380.8</v>
      </c>
      <c r="P86" s="796">
        <v>294127.2</v>
      </c>
      <c r="Q86" s="796">
        <v>361226.76</v>
      </c>
      <c r="R86" s="796">
        <v>459621</v>
      </c>
      <c r="S86" s="796">
        <v>403973.16000000003</v>
      </c>
      <c r="T86" s="796">
        <v>269931.08</v>
      </c>
      <c r="U86" s="796">
        <v>0</v>
      </c>
      <c r="V86" s="796">
        <v>0</v>
      </c>
      <c r="W86" s="796">
        <v>0</v>
      </c>
      <c r="X86" s="796">
        <v>0</v>
      </c>
      <c r="Y86" s="796">
        <v>0</v>
      </c>
      <c r="Z86" s="796">
        <v>0</v>
      </c>
      <c r="AA86" s="855">
        <v>2010260</v>
      </c>
    </row>
    <row r="87" spans="1:28" ht="67.5" x14ac:dyDescent="0.25">
      <c r="A87" s="797"/>
      <c r="B87" s="2778"/>
      <c r="C87" s="2660"/>
      <c r="D87" s="2781"/>
      <c r="E87" s="2784"/>
      <c r="F87" s="2663"/>
      <c r="G87" s="2663"/>
      <c r="H87" s="2775"/>
      <c r="I87" s="2577"/>
      <c r="J87" s="2669"/>
      <c r="K87" s="2669"/>
      <c r="L87" s="2577"/>
      <c r="M87" s="945" t="s">
        <v>122</v>
      </c>
      <c r="N87" s="942" t="s">
        <v>123</v>
      </c>
      <c r="O87" s="785">
        <v>25888</v>
      </c>
      <c r="P87" s="785">
        <v>25888</v>
      </c>
      <c r="Q87" s="785">
        <v>25889</v>
      </c>
      <c r="R87" s="785">
        <v>25889</v>
      </c>
      <c r="S87" s="785">
        <v>25889</v>
      </c>
      <c r="T87" s="785">
        <v>25889</v>
      </c>
      <c r="U87" s="793"/>
      <c r="V87" s="793"/>
      <c r="W87" s="793"/>
      <c r="X87" s="793"/>
      <c r="Y87" s="793"/>
      <c r="Z87" s="793"/>
      <c r="AA87" s="856">
        <v>155332</v>
      </c>
    </row>
    <row r="88" spans="1:28" ht="67.5" x14ac:dyDescent="0.25">
      <c r="A88" s="797"/>
      <c r="B88" s="2778"/>
      <c r="C88" s="2660"/>
      <c r="D88" s="2781"/>
      <c r="E88" s="2784"/>
      <c r="F88" s="2663"/>
      <c r="G88" s="2663"/>
      <c r="H88" s="2775"/>
      <c r="I88" s="2577"/>
      <c r="J88" s="2669"/>
      <c r="K88" s="2669"/>
      <c r="L88" s="2577"/>
      <c r="M88" s="945" t="s">
        <v>124</v>
      </c>
      <c r="N88" s="942" t="s">
        <v>125</v>
      </c>
      <c r="O88" s="785">
        <v>85492.800000000003</v>
      </c>
      <c r="P88" s="785">
        <v>128239.2</v>
      </c>
      <c r="Q88" s="785">
        <v>145337.76</v>
      </c>
      <c r="R88" s="785">
        <v>213732</v>
      </c>
      <c r="S88" s="785">
        <v>188084.16</v>
      </c>
      <c r="T88" s="785">
        <v>94042.08</v>
      </c>
      <c r="U88" s="793"/>
      <c r="V88" s="793"/>
      <c r="W88" s="793"/>
      <c r="X88" s="793"/>
      <c r="Y88" s="793"/>
      <c r="Z88" s="793"/>
      <c r="AA88" s="856">
        <v>854928</v>
      </c>
    </row>
    <row r="89" spans="1:28" ht="67.5" x14ac:dyDescent="0.25">
      <c r="A89" s="797"/>
      <c r="B89" s="2779"/>
      <c r="C89" s="2660"/>
      <c r="D89" s="2782"/>
      <c r="E89" s="2784"/>
      <c r="F89" s="2663"/>
      <c r="G89" s="2663"/>
      <c r="H89" s="2776"/>
      <c r="I89" s="2577"/>
      <c r="J89" s="2669"/>
      <c r="K89" s="2669"/>
      <c r="L89" s="2577"/>
      <c r="M89" s="960" t="s">
        <v>126</v>
      </c>
      <c r="N89" s="942" t="s">
        <v>127</v>
      </c>
      <c r="O89" s="943">
        <v>110000</v>
      </c>
      <c r="P89" s="943">
        <v>140000</v>
      </c>
      <c r="Q89" s="943">
        <v>190000</v>
      </c>
      <c r="R89" s="943">
        <v>220000</v>
      </c>
      <c r="S89" s="943">
        <v>190000</v>
      </c>
      <c r="T89" s="943">
        <v>150000</v>
      </c>
      <c r="U89" s="944"/>
      <c r="V89" s="944"/>
      <c r="W89" s="944"/>
      <c r="X89" s="944"/>
      <c r="Y89" s="944"/>
      <c r="Z89" s="944"/>
      <c r="AA89" s="2156">
        <v>1000000</v>
      </c>
    </row>
    <row r="90" spans="1:28" ht="26.25" customHeight="1" x14ac:dyDescent="0.25">
      <c r="A90" s="797"/>
      <c r="B90" s="2061" t="s">
        <v>8</v>
      </c>
      <c r="C90" s="2766" t="s">
        <v>1077</v>
      </c>
      <c r="D90" s="2766"/>
      <c r="E90" s="2766"/>
      <c r="F90" s="2766"/>
      <c r="G90" s="2766"/>
      <c r="H90" s="2766"/>
      <c r="I90" s="2766"/>
      <c r="J90" s="2766"/>
      <c r="K90" s="2766"/>
      <c r="L90" s="2766"/>
      <c r="M90" s="2766"/>
      <c r="N90" s="2766"/>
      <c r="O90" s="2766"/>
      <c r="P90" s="2766"/>
      <c r="Q90" s="2766"/>
      <c r="R90" s="2766"/>
      <c r="S90" s="2766"/>
      <c r="T90" s="2766"/>
      <c r="U90" s="2766"/>
      <c r="V90" s="2766"/>
      <c r="W90" s="2766"/>
      <c r="X90" s="2766"/>
      <c r="Y90" s="2766"/>
      <c r="Z90" s="2766"/>
      <c r="AA90" s="2766"/>
      <c r="AB90" s="71"/>
    </row>
    <row r="91" spans="1:28" ht="45" customHeight="1" x14ac:dyDescent="0.25">
      <c r="A91" s="797"/>
      <c r="B91" s="926" t="s">
        <v>6</v>
      </c>
      <c r="C91" s="2547" t="s">
        <v>962</v>
      </c>
      <c r="D91" s="2548"/>
      <c r="E91" s="2548"/>
      <c r="F91" s="2548"/>
      <c r="G91" s="2548"/>
      <c r="H91" s="2548"/>
      <c r="I91" s="2548"/>
      <c r="J91" s="2548"/>
      <c r="K91" s="2548"/>
      <c r="L91" s="2548"/>
      <c r="M91" s="2548"/>
      <c r="N91" s="2548"/>
      <c r="O91" s="2548"/>
      <c r="P91" s="2548"/>
      <c r="Q91" s="2548"/>
      <c r="R91" s="2548"/>
      <c r="S91" s="2548"/>
      <c r="T91" s="2548"/>
      <c r="U91" s="2548"/>
      <c r="V91" s="2548"/>
      <c r="W91" s="2548"/>
      <c r="X91" s="2548"/>
      <c r="Y91" s="2548"/>
      <c r="Z91" s="2548"/>
      <c r="AA91" s="2686"/>
      <c r="AB91" s="71"/>
    </row>
    <row r="92" spans="1:28" ht="26.25" customHeight="1" x14ac:dyDescent="0.25">
      <c r="A92" s="797"/>
      <c r="B92" s="924" t="s">
        <v>11</v>
      </c>
      <c r="C92" s="2583" t="s">
        <v>84</v>
      </c>
      <c r="D92" s="2583"/>
      <c r="E92" s="2583"/>
      <c r="F92" s="2583"/>
      <c r="G92" s="2583"/>
      <c r="H92" s="2583"/>
      <c r="I92" s="2583"/>
      <c r="J92" s="2583"/>
      <c r="K92" s="2583"/>
      <c r="L92" s="2583"/>
      <c r="M92" s="2583"/>
      <c r="N92" s="2583"/>
      <c r="O92" s="2583"/>
      <c r="P92" s="2583"/>
      <c r="Q92" s="2583"/>
      <c r="R92" s="2583"/>
      <c r="S92" s="2583"/>
      <c r="T92" s="2583"/>
      <c r="U92" s="2583"/>
      <c r="V92" s="2583"/>
      <c r="W92" s="2583"/>
      <c r="X92" s="2583"/>
      <c r="Y92" s="2583"/>
      <c r="Z92" s="2583"/>
      <c r="AA92" s="2583"/>
      <c r="AB92" s="71"/>
    </row>
    <row r="93" spans="1:28" ht="13.5" customHeight="1" x14ac:dyDescent="0.25">
      <c r="A93" s="797"/>
      <c r="B93" s="2583" t="s">
        <v>13</v>
      </c>
      <c r="C93" s="2684">
        <v>138</v>
      </c>
      <c r="D93" s="2642" t="s">
        <v>963</v>
      </c>
      <c r="E93" s="2643"/>
      <c r="F93" s="2643"/>
      <c r="G93" s="2643"/>
      <c r="H93" s="2643"/>
      <c r="I93" s="2643"/>
      <c r="J93" s="2643"/>
      <c r="K93" s="2643"/>
      <c r="L93" s="2643"/>
      <c r="M93" s="2643"/>
      <c r="N93" s="2643"/>
      <c r="O93" s="2643"/>
      <c r="P93" s="2643"/>
      <c r="Q93" s="2643"/>
      <c r="R93" s="2643"/>
      <c r="S93" s="801"/>
      <c r="T93" s="801"/>
      <c r="U93" s="801"/>
      <c r="V93" s="2599" t="s">
        <v>15</v>
      </c>
      <c r="W93" s="2600"/>
      <c r="X93" s="2600"/>
      <c r="Y93" s="2601"/>
      <c r="Z93" s="2767" t="s">
        <v>16</v>
      </c>
      <c r="AA93" s="2767"/>
    </row>
    <row r="94" spans="1:28" ht="12" customHeight="1" x14ac:dyDescent="0.25">
      <c r="A94" s="797"/>
      <c r="B94" s="2583"/>
      <c r="C94" s="2684"/>
      <c r="D94" s="2621"/>
      <c r="E94" s="2622"/>
      <c r="F94" s="2622"/>
      <c r="G94" s="2622"/>
      <c r="H94" s="2622"/>
      <c r="I94" s="2622"/>
      <c r="J94" s="2622"/>
      <c r="K94" s="2622"/>
      <c r="L94" s="2622"/>
      <c r="M94" s="2622"/>
      <c r="N94" s="2622"/>
      <c r="O94" s="2622"/>
      <c r="P94" s="2622"/>
      <c r="Q94" s="2622"/>
      <c r="R94" s="2622"/>
      <c r="S94" s="789"/>
      <c r="T94" s="789"/>
      <c r="U94" s="789"/>
      <c r="V94" s="920"/>
      <c r="W94" s="921"/>
      <c r="X94" s="921"/>
      <c r="Y94" s="934"/>
      <c r="Z94" s="2687"/>
      <c r="AA94" s="2688"/>
    </row>
    <row r="95" spans="1:28" ht="15.75" customHeight="1" x14ac:dyDescent="0.25">
      <c r="A95" s="797"/>
      <c r="B95" s="2680" t="s">
        <v>18</v>
      </c>
      <c r="C95" s="2690">
        <v>2.1616390000000001</v>
      </c>
      <c r="D95" s="2547" t="s">
        <v>3090</v>
      </c>
      <c r="E95" s="2548"/>
      <c r="F95" s="2548"/>
      <c r="G95" s="2548"/>
      <c r="H95" s="2548"/>
      <c r="I95" s="2548"/>
      <c r="J95" s="2548"/>
      <c r="K95" s="2548"/>
      <c r="L95" s="2548"/>
      <c r="M95" s="2548"/>
      <c r="N95" s="2548"/>
      <c r="O95" s="2548"/>
      <c r="P95" s="2548"/>
      <c r="Q95" s="2548"/>
      <c r="R95" s="2548"/>
      <c r="S95" s="787"/>
      <c r="T95" s="787"/>
      <c r="U95" s="787"/>
      <c r="V95" s="2599" t="s">
        <v>15</v>
      </c>
      <c r="W95" s="2600"/>
      <c r="X95" s="2600"/>
      <c r="Y95" s="2601"/>
      <c r="Z95" s="2685" t="s">
        <v>16</v>
      </c>
      <c r="AA95" s="2685"/>
    </row>
    <row r="96" spans="1:28" ht="24.75" customHeight="1" x14ac:dyDescent="0.25">
      <c r="A96" s="797"/>
      <c r="B96" s="2680"/>
      <c r="C96" s="2691"/>
      <c r="D96" s="2549"/>
      <c r="E96" s="2550"/>
      <c r="F96" s="2550"/>
      <c r="G96" s="2550"/>
      <c r="H96" s="2550"/>
      <c r="I96" s="2550"/>
      <c r="J96" s="2550"/>
      <c r="K96" s="2550"/>
      <c r="L96" s="2550"/>
      <c r="M96" s="2550"/>
      <c r="N96" s="2550"/>
      <c r="O96" s="2550"/>
      <c r="P96" s="2550"/>
      <c r="Q96" s="2550"/>
      <c r="R96" s="2550"/>
      <c r="S96" s="789"/>
      <c r="T96" s="789"/>
      <c r="U96" s="789"/>
      <c r="V96" s="2599" t="s">
        <v>3089</v>
      </c>
      <c r="W96" s="2600"/>
      <c r="X96" s="2600"/>
      <c r="Y96" s="2601"/>
      <c r="Z96" s="2685" t="s">
        <v>3088</v>
      </c>
      <c r="AA96" s="2685"/>
    </row>
    <row r="97" spans="1:27" ht="15" customHeight="1" x14ac:dyDescent="0.25">
      <c r="A97" s="802"/>
      <c r="B97" s="2764" t="s">
        <v>20</v>
      </c>
      <c r="C97" s="2616" t="s">
        <v>21</v>
      </c>
      <c r="D97" s="2616" t="s">
        <v>22</v>
      </c>
      <c r="E97" s="2616" t="s">
        <v>23</v>
      </c>
      <c r="F97" s="2616" t="s">
        <v>164</v>
      </c>
      <c r="G97" s="2616" t="s">
        <v>25</v>
      </c>
      <c r="H97" s="2616" t="s">
        <v>26</v>
      </c>
      <c r="I97" s="2616" t="s">
        <v>27</v>
      </c>
      <c r="J97" s="2408" t="s">
        <v>28</v>
      </c>
      <c r="K97" s="2409"/>
      <c r="L97" s="2616" t="s">
        <v>29</v>
      </c>
      <c r="M97" s="2616" t="s">
        <v>30</v>
      </c>
      <c r="N97" s="2616"/>
      <c r="O97" s="2617" t="s">
        <v>31</v>
      </c>
      <c r="P97" s="2618"/>
      <c r="Q97" s="2765"/>
      <c r="R97" s="2765"/>
      <c r="S97" s="2765"/>
      <c r="T97" s="2765"/>
      <c r="U97" s="2765"/>
      <c r="V97" s="2618"/>
      <c r="W97" s="2618"/>
      <c r="X97" s="2618"/>
      <c r="Y97" s="2618"/>
      <c r="Z97" s="2619"/>
      <c r="AA97" s="2616" t="s">
        <v>32</v>
      </c>
    </row>
    <row r="98" spans="1:27" x14ac:dyDescent="0.25">
      <c r="A98" s="802"/>
      <c r="B98" s="2764"/>
      <c r="C98" s="2616"/>
      <c r="D98" s="2616"/>
      <c r="E98" s="2616"/>
      <c r="F98" s="2616"/>
      <c r="G98" s="2616"/>
      <c r="H98" s="2616"/>
      <c r="I98" s="2616"/>
      <c r="J98" s="925" t="s">
        <v>33</v>
      </c>
      <c r="K98" s="925" t="s">
        <v>34</v>
      </c>
      <c r="L98" s="2616"/>
      <c r="M98" s="2616"/>
      <c r="N98" s="2616"/>
      <c r="O98" s="925" t="s">
        <v>35</v>
      </c>
      <c r="P98" s="925" t="s">
        <v>36</v>
      </c>
      <c r="Q98" s="925" t="s">
        <v>37</v>
      </c>
      <c r="R98" s="925" t="s">
        <v>38</v>
      </c>
      <c r="S98" s="925" t="s">
        <v>39</v>
      </c>
      <c r="T98" s="925" t="s">
        <v>40</v>
      </c>
      <c r="U98" s="925" t="s">
        <v>41</v>
      </c>
      <c r="V98" s="925" t="s">
        <v>42</v>
      </c>
      <c r="W98" s="925" t="s">
        <v>43</v>
      </c>
      <c r="X98" s="925" t="s">
        <v>44</v>
      </c>
      <c r="Y98" s="925" t="s">
        <v>45</v>
      </c>
      <c r="Z98" s="925" t="s">
        <v>46</v>
      </c>
      <c r="AA98" s="2616"/>
    </row>
    <row r="99" spans="1:27" ht="15" customHeight="1" x14ac:dyDescent="0.25">
      <c r="A99" s="803"/>
      <c r="B99" s="2759">
        <v>5000276</v>
      </c>
      <c r="C99" s="2759" t="s">
        <v>966</v>
      </c>
      <c r="D99" s="2584" t="s">
        <v>967</v>
      </c>
      <c r="E99" s="2596" t="s">
        <v>968</v>
      </c>
      <c r="F99" s="2596" t="s">
        <v>969</v>
      </c>
      <c r="G99" s="2596" t="s">
        <v>970</v>
      </c>
      <c r="H99" s="2584" t="s">
        <v>3091</v>
      </c>
      <c r="I99" s="2596" t="s">
        <v>235</v>
      </c>
      <c r="J99" s="2596">
        <v>10</v>
      </c>
      <c r="K99" s="2763">
        <f>+AA101+AA102</f>
        <v>5000</v>
      </c>
      <c r="L99" s="2596" t="s">
        <v>971</v>
      </c>
      <c r="M99" s="2647" t="s">
        <v>51</v>
      </c>
      <c r="N99" s="2648"/>
      <c r="O99" s="847">
        <v>0</v>
      </c>
      <c r="P99" s="847">
        <v>1</v>
      </c>
      <c r="Q99" s="847">
        <v>1</v>
      </c>
      <c r="R99" s="847">
        <v>1</v>
      </c>
      <c r="S99" s="847">
        <v>1</v>
      </c>
      <c r="T99" s="847">
        <v>1</v>
      </c>
      <c r="U99" s="847">
        <v>1</v>
      </c>
      <c r="V99" s="847">
        <v>1</v>
      </c>
      <c r="W99" s="847">
        <v>1</v>
      </c>
      <c r="X99" s="847">
        <v>1</v>
      </c>
      <c r="Y99" s="847">
        <v>1</v>
      </c>
      <c r="Z99" s="847">
        <v>0</v>
      </c>
      <c r="AA99" s="860">
        <f>SUM(O99:Z99)</f>
        <v>10</v>
      </c>
    </row>
    <row r="100" spans="1:27" ht="15" customHeight="1" x14ac:dyDescent="0.25">
      <c r="A100" s="803"/>
      <c r="B100" s="2759"/>
      <c r="C100" s="2759"/>
      <c r="D100" s="2585"/>
      <c r="E100" s="2596"/>
      <c r="F100" s="2596"/>
      <c r="G100" s="2596"/>
      <c r="H100" s="2585"/>
      <c r="I100" s="2596"/>
      <c r="J100" s="2596"/>
      <c r="K100" s="2763"/>
      <c r="L100" s="2596"/>
      <c r="M100" s="2647" t="s">
        <v>972</v>
      </c>
      <c r="N100" s="2648"/>
      <c r="O100" s="804">
        <f t="shared" ref="O100:Z100" si="0">SUM(O101:O102)</f>
        <v>0</v>
      </c>
      <c r="P100" s="847">
        <f t="shared" si="0"/>
        <v>500</v>
      </c>
      <c r="Q100" s="847">
        <f t="shared" si="0"/>
        <v>500</v>
      </c>
      <c r="R100" s="847">
        <f t="shared" si="0"/>
        <v>500</v>
      </c>
      <c r="S100" s="847">
        <f t="shared" si="0"/>
        <v>500</v>
      </c>
      <c r="T100" s="847">
        <f t="shared" si="0"/>
        <v>500</v>
      </c>
      <c r="U100" s="847">
        <f t="shared" si="0"/>
        <v>500</v>
      </c>
      <c r="V100" s="847">
        <f t="shared" si="0"/>
        <v>500</v>
      </c>
      <c r="W100" s="847">
        <f t="shared" si="0"/>
        <v>500</v>
      </c>
      <c r="X100" s="847">
        <f t="shared" si="0"/>
        <v>500</v>
      </c>
      <c r="Y100" s="847">
        <f t="shared" si="0"/>
        <v>500</v>
      </c>
      <c r="Z100" s="847">
        <f t="shared" si="0"/>
        <v>0</v>
      </c>
      <c r="AA100" s="860">
        <f>SUM(O100:Z100)</f>
        <v>5000</v>
      </c>
    </row>
    <row r="101" spans="1:27" x14ac:dyDescent="0.25">
      <c r="A101" s="803"/>
      <c r="B101" s="2759"/>
      <c r="C101" s="2759"/>
      <c r="D101" s="2585"/>
      <c r="E101" s="2596"/>
      <c r="F101" s="2596"/>
      <c r="G101" s="2596"/>
      <c r="H101" s="2585"/>
      <c r="I101" s="2596"/>
      <c r="J101" s="2596"/>
      <c r="K101" s="2763"/>
      <c r="L101" s="2596"/>
      <c r="M101" s="917" t="s">
        <v>973</v>
      </c>
      <c r="N101" s="937" t="s">
        <v>191</v>
      </c>
      <c r="O101" s="938">
        <v>0</v>
      </c>
      <c r="P101" s="938">
        <v>200</v>
      </c>
      <c r="Q101" s="938">
        <v>200</v>
      </c>
      <c r="R101" s="938">
        <v>200</v>
      </c>
      <c r="S101" s="938">
        <v>200</v>
      </c>
      <c r="T101" s="938">
        <v>200</v>
      </c>
      <c r="U101" s="938">
        <v>200</v>
      </c>
      <c r="V101" s="938">
        <v>200</v>
      </c>
      <c r="W101" s="938">
        <v>200</v>
      </c>
      <c r="X101" s="938">
        <v>200</v>
      </c>
      <c r="Y101" s="938">
        <v>200</v>
      </c>
      <c r="Z101" s="938">
        <v>0</v>
      </c>
      <c r="AA101" s="859">
        <f>SUM(O101:Z101)</f>
        <v>2000</v>
      </c>
    </row>
    <row r="102" spans="1:27" ht="22.5" x14ac:dyDescent="0.25">
      <c r="A102" s="803"/>
      <c r="B102" s="2759"/>
      <c r="C102" s="2759"/>
      <c r="D102" s="2586"/>
      <c r="E102" s="2596"/>
      <c r="F102" s="2596"/>
      <c r="G102" s="2596"/>
      <c r="H102" s="2586"/>
      <c r="I102" s="2596"/>
      <c r="J102" s="2596"/>
      <c r="K102" s="2763"/>
      <c r="L102" s="2596"/>
      <c r="M102" s="956" t="s">
        <v>974</v>
      </c>
      <c r="N102" s="778" t="s">
        <v>207</v>
      </c>
      <c r="O102" s="938">
        <v>0</v>
      </c>
      <c r="P102" s="938">
        <v>300</v>
      </c>
      <c r="Q102" s="938">
        <v>300</v>
      </c>
      <c r="R102" s="938">
        <v>300</v>
      </c>
      <c r="S102" s="938">
        <v>300</v>
      </c>
      <c r="T102" s="938">
        <v>300</v>
      </c>
      <c r="U102" s="938">
        <v>300</v>
      </c>
      <c r="V102" s="938">
        <v>300</v>
      </c>
      <c r="W102" s="938">
        <v>300</v>
      </c>
      <c r="X102" s="938">
        <v>300</v>
      </c>
      <c r="Y102" s="938">
        <v>300</v>
      </c>
      <c r="Z102" s="938">
        <v>0</v>
      </c>
      <c r="AA102" s="859">
        <f>SUM(O102:Z102)</f>
        <v>3000</v>
      </c>
    </row>
    <row r="103" spans="1:27" ht="15" customHeight="1" x14ac:dyDescent="0.25">
      <c r="A103" s="803"/>
      <c r="B103" s="2583" t="s">
        <v>18</v>
      </c>
      <c r="C103" s="2583">
        <v>3.0001319999999998</v>
      </c>
      <c r="D103" s="2594" t="s">
        <v>975</v>
      </c>
      <c r="E103" s="2620"/>
      <c r="F103" s="2620"/>
      <c r="G103" s="2620"/>
      <c r="H103" s="2620"/>
      <c r="I103" s="2620"/>
      <c r="J103" s="787"/>
      <c r="K103" s="787"/>
      <c r="L103" s="787"/>
      <c r="M103" s="787"/>
      <c r="N103" s="787"/>
      <c r="O103" s="787"/>
      <c r="P103" s="787"/>
      <c r="Q103" s="787"/>
      <c r="R103" s="787"/>
      <c r="S103" s="787"/>
      <c r="T103" s="787"/>
      <c r="U103" s="788"/>
      <c r="V103" s="2602" t="s">
        <v>15</v>
      </c>
      <c r="W103" s="2609"/>
      <c r="X103" s="2609"/>
      <c r="Y103" s="2603"/>
      <c r="Z103" s="2602" t="s">
        <v>16</v>
      </c>
      <c r="AA103" s="2603"/>
    </row>
    <row r="104" spans="1:27" ht="26.25" customHeight="1" x14ac:dyDescent="0.25">
      <c r="A104" s="803"/>
      <c r="B104" s="2583"/>
      <c r="C104" s="2583"/>
      <c r="D104" s="2621"/>
      <c r="E104" s="2622"/>
      <c r="F104" s="2622"/>
      <c r="G104" s="2622"/>
      <c r="H104" s="2622"/>
      <c r="I104" s="2622"/>
      <c r="J104" s="789"/>
      <c r="K104" s="789"/>
      <c r="L104" s="789"/>
      <c r="M104" s="789"/>
      <c r="N104" s="789"/>
      <c r="O104" s="789"/>
      <c r="P104" s="789"/>
      <c r="Q104" s="789"/>
      <c r="R104" s="789"/>
      <c r="S104" s="789"/>
      <c r="T104" s="789"/>
      <c r="U104" s="791"/>
      <c r="V104" s="2611" t="s">
        <v>976</v>
      </c>
      <c r="W104" s="2612"/>
      <c r="X104" s="2612"/>
      <c r="Y104" s="2613"/>
      <c r="Z104" s="2602" t="s">
        <v>977</v>
      </c>
      <c r="AA104" s="2603"/>
    </row>
    <row r="105" spans="1:27" ht="15" customHeight="1" x14ac:dyDescent="0.25">
      <c r="A105" s="803"/>
      <c r="B105" s="2759">
        <v>5001437</v>
      </c>
      <c r="C105" s="2755" t="s">
        <v>978</v>
      </c>
      <c r="D105" s="2761" t="s">
        <v>979</v>
      </c>
      <c r="E105" s="2761" t="s">
        <v>968</v>
      </c>
      <c r="F105" s="2719" t="s">
        <v>969</v>
      </c>
      <c r="G105" s="2719" t="s">
        <v>980</v>
      </c>
      <c r="H105" s="2762" t="s">
        <v>981</v>
      </c>
      <c r="I105" s="2607" t="s">
        <v>982</v>
      </c>
      <c r="J105" s="2753">
        <f>+AA105</f>
        <v>100</v>
      </c>
      <c r="K105" s="2753">
        <f>AA107+AA108+AA109</f>
        <v>24999.911999999997</v>
      </c>
      <c r="L105" s="2607" t="s">
        <v>983</v>
      </c>
      <c r="M105" s="2647" t="s">
        <v>51</v>
      </c>
      <c r="N105" s="2754"/>
      <c r="O105" s="128">
        <v>9</v>
      </c>
      <c r="P105" s="128">
        <v>9</v>
      </c>
      <c r="Q105" s="128">
        <v>9</v>
      </c>
      <c r="R105" s="128">
        <v>8</v>
      </c>
      <c r="S105" s="128">
        <v>8</v>
      </c>
      <c r="T105" s="128">
        <v>8</v>
      </c>
      <c r="U105" s="128">
        <v>8</v>
      </c>
      <c r="V105" s="128">
        <v>8</v>
      </c>
      <c r="W105" s="128">
        <v>8</v>
      </c>
      <c r="X105" s="128">
        <v>8</v>
      </c>
      <c r="Y105" s="128">
        <v>8</v>
      </c>
      <c r="Z105" s="128">
        <v>9</v>
      </c>
      <c r="AA105" s="861">
        <f>SUM(O105:Z105)</f>
        <v>100</v>
      </c>
    </row>
    <row r="106" spans="1:27" ht="15" customHeight="1" x14ac:dyDescent="0.25">
      <c r="A106" s="803"/>
      <c r="B106" s="2759"/>
      <c r="C106" s="2760"/>
      <c r="D106" s="2761"/>
      <c r="E106" s="2761"/>
      <c r="F106" s="2719"/>
      <c r="G106" s="2719"/>
      <c r="H106" s="2762"/>
      <c r="I106" s="2607"/>
      <c r="J106" s="2753"/>
      <c r="K106" s="2753"/>
      <c r="L106" s="2607"/>
      <c r="M106" s="2647" t="s">
        <v>99</v>
      </c>
      <c r="N106" s="2754"/>
      <c r="O106" s="805">
        <f>SUM(O107:O109)</f>
        <v>2083.326</v>
      </c>
      <c r="P106" s="805">
        <f t="shared" ref="P106:Z106" si="1">SUM(P107:P109)</f>
        <v>2083.326</v>
      </c>
      <c r="Q106" s="805">
        <f t="shared" si="1"/>
        <v>2083.326</v>
      </c>
      <c r="R106" s="805">
        <f t="shared" si="1"/>
        <v>2083.326</v>
      </c>
      <c r="S106" s="805">
        <f t="shared" si="1"/>
        <v>2083.326</v>
      </c>
      <c r="T106" s="805">
        <f t="shared" si="1"/>
        <v>2083.326</v>
      </c>
      <c r="U106" s="805">
        <f t="shared" si="1"/>
        <v>2083.326</v>
      </c>
      <c r="V106" s="805">
        <f t="shared" si="1"/>
        <v>2083.326</v>
      </c>
      <c r="W106" s="805">
        <f t="shared" si="1"/>
        <v>2083.326</v>
      </c>
      <c r="X106" s="805">
        <f t="shared" si="1"/>
        <v>2083.326</v>
      </c>
      <c r="Y106" s="805">
        <f t="shared" si="1"/>
        <v>2083.326</v>
      </c>
      <c r="Z106" s="805">
        <f t="shared" si="1"/>
        <v>2083.326</v>
      </c>
      <c r="AA106" s="860">
        <f>SUM(O106:Z106)</f>
        <v>24999.912000000008</v>
      </c>
    </row>
    <row r="107" spans="1:27" ht="22.5" x14ac:dyDescent="0.25">
      <c r="A107" s="803"/>
      <c r="B107" s="2759"/>
      <c r="C107" s="2760"/>
      <c r="D107" s="2761"/>
      <c r="E107" s="2761"/>
      <c r="F107" s="2719"/>
      <c r="G107" s="2719"/>
      <c r="H107" s="2762"/>
      <c r="I107" s="2607"/>
      <c r="J107" s="2753"/>
      <c r="K107" s="2753"/>
      <c r="L107" s="2607"/>
      <c r="M107" s="956" t="s">
        <v>180</v>
      </c>
      <c r="N107" s="777" t="s">
        <v>181</v>
      </c>
      <c r="O107" s="130">
        <v>833.33299999999997</v>
      </c>
      <c r="P107" s="130">
        <v>833.33299999999997</v>
      </c>
      <c r="Q107" s="130">
        <v>833.33299999999997</v>
      </c>
      <c r="R107" s="130">
        <v>833.33299999999997</v>
      </c>
      <c r="S107" s="130">
        <v>833.33299999999997</v>
      </c>
      <c r="T107" s="130">
        <v>833.33299999999997</v>
      </c>
      <c r="U107" s="130">
        <v>833.33299999999997</v>
      </c>
      <c r="V107" s="130">
        <v>833.33299999999997</v>
      </c>
      <c r="W107" s="130">
        <v>833.33299999999997</v>
      </c>
      <c r="X107" s="130">
        <v>833.33299999999997</v>
      </c>
      <c r="Y107" s="130">
        <v>833.33299999999997</v>
      </c>
      <c r="Z107" s="130">
        <v>833.33299999999997</v>
      </c>
      <c r="AA107" s="859">
        <f>SUM(O107:Z107)</f>
        <v>9999.9959999999992</v>
      </c>
    </row>
    <row r="108" spans="1:27" ht="33.75" x14ac:dyDescent="0.25">
      <c r="A108" s="803"/>
      <c r="B108" s="2759"/>
      <c r="C108" s="2760"/>
      <c r="D108" s="2761"/>
      <c r="E108" s="2761"/>
      <c r="F108" s="2719"/>
      <c r="G108" s="2719"/>
      <c r="H108" s="2762"/>
      <c r="I108" s="2607"/>
      <c r="J108" s="2753"/>
      <c r="K108" s="2753"/>
      <c r="L108" s="2607"/>
      <c r="M108" s="956" t="s">
        <v>194</v>
      </c>
      <c r="N108" s="937" t="s">
        <v>984</v>
      </c>
      <c r="O108" s="130">
        <v>416.66</v>
      </c>
      <c r="P108" s="130">
        <v>416.66</v>
      </c>
      <c r="Q108" s="130">
        <v>416.66</v>
      </c>
      <c r="R108" s="130">
        <v>416.66</v>
      </c>
      <c r="S108" s="130">
        <v>416.66</v>
      </c>
      <c r="T108" s="130">
        <v>416.66</v>
      </c>
      <c r="U108" s="130">
        <v>416.66</v>
      </c>
      <c r="V108" s="130">
        <v>416.66</v>
      </c>
      <c r="W108" s="130">
        <v>416.66</v>
      </c>
      <c r="X108" s="130">
        <v>416.66</v>
      </c>
      <c r="Y108" s="130">
        <v>416.66</v>
      </c>
      <c r="Z108" s="130">
        <v>416.66</v>
      </c>
      <c r="AA108" s="859">
        <f>SUM(O108:Z108)</f>
        <v>4999.9199999999992</v>
      </c>
    </row>
    <row r="109" spans="1:27" ht="22.5" x14ac:dyDescent="0.25">
      <c r="A109" s="803"/>
      <c r="B109" s="2759"/>
      <c r="C109" s="2760"/>
      <c r="D109" s="2761"/>
      <c r="E109" s="2761"/>
      <c r="F109" s="2719"/>
      <c r="G109" s="2719"/>
      <c r="H109" s="2762"/>
      <c r="I109" s="2607"/>
      <c r="J109" s="2753"/>
      <c r="K109" s="2753"/>
      <c r="L109" s="2607"/>
      <c r="M109" s="956" t="s">
        <v>985</v>
      </c>
      <c r="N109" s="778" t="s">
        <v>207</v>
      </c>
      <c r="O109" s="130">
        <v>833.33299999999997</v>
      </c>
      <c r="P109" s="130">
        <v>833.33299999999997</v>
      </c>
      <c r="Q109" s="130">
        <v>833.33299999999997</v>
      </c>
      <c r="R109" s="130">
        <v>833.33299999999997</v>
      </c>
      <c r="S109" s="130">
        <v>833.33299999999997</v>
      </c>
      <c r="T109" s="130">
        <v>833.33299999999997</v>
      </c>
      <c r="U109" s="130">
        <v>833.33299999999997</v>
      </c>
      <c r="V109" s="130">
        <v>833.33299999999997</v>
      </c>
      <c r="W109" s="130">
        <v>833.33299999999997</v>
      </c>
      <c r="X109" s="130">
        <v>833.33299999999997</v>
      </c>
      <c r="Y109" s="130">
        <v>833.33299999999997</v>
      </c>
      <c r="Z109" s="130">
        <v>833.33299999999997</v>
      </c>
      <c r="AA109" s="859">
        <f>SUM(O109:Z109)</f>
        <v>9999.9959999999992</v>
      </c>
    </row>
    <row r="110" spans="1:27" ht="15" customHeight="1" x14ac:dyDescent="0.25">
      <c r="A110" s="803"/>
      <c r="B110" s="2584">
        <v>5001448</v>
      </c>
      <c r="C110" s="2755" t="s">
        <v>986</v>
      </c>
      <c r="D110" s="2755" t="s">
        <v>987</v>
      </c>
      <c r="E110" s="2719" t="s">
        <v>968</v>
      </c>
      <c r="F110" s="2719" t="s">
        <v>969</v>
      </c>
      <c r="G110" s="2719" t="s">
        <v>980</v>
      </c>
      <c r="H110" s="2720" t="s">
        <v>988</v>
      </c>
      <c r="I110" s="2659" t="s">
        <v>3086</v>
      </c>
      <c r="J110" s="2756">
        <f>+AA110</f>
        <v>28.1</v>
      </c>
      <c r="K110" s="2753">
        <f>+AA111</f>
        <v>116178</v>
      </c>
      <c r="L110" s="2607" t="s">
        <v>983</v>
      </c>
      <c r="M110" s="2647" t="s">
        <v>51</v>
      </c>
      <c r="N110" s="2648"/>
      <c r="O110" s="792">
        <v>28.1</v>
      </c>
      <c r="P110" s="792">
        <v>28.1</v>
      </c>
      <c r="Q110" s="792">
        <v>28.1</v>
      </c>
      <c r="R110" s="792">
        <v>28.1</v>
      </c>
      <c r="S110" s="792">
        <v>28.1</v>
      </c>
      <c r="T110" s="792">
        <v>28.1</v>
      </c>
      <c r="U110" s="792">
        <v>28.1</v>
      </c>
      <c r="V110" s="792">
        <v>28.1</v>
      </c>
      <c r="W110" s="792">
        <v>28.1</v>
      </c>
      <c r="X110" s="792">
        <v>28.1</v>
      </c>
      <c r="Y110" s="792">
        <v>28.1</v>
      </c>
      <c r="Z110" s="792">
        <v>28.1</v>
      </c>
      <c r="AA110" s="857">
        <v>28.1</v>
      </c>
    </row>
    <row r="111" spans="1:27" ht="15" customHeight="1" x14ac:dyDescent="0.25">
      <c r="A111" s="803"/>
      <c r="B111" s="2585"/>
      <c r="C111" s="2755"/>
      <c r="D111" s="2755"/>
      <c r="E111" s="2719"/>
      <c r="F111" s="2719"/>
      <c r="G111" s="2719"/>
      <c r="H111" s="2720"/>
      <c r="I111" s="2660"/>
      <c r="J111" s="2756"/>
      <c r="K111" s="2753"/>
      <c r="L111" s="2607"/>
      <c r="M111" s="2757" t="s">
        <v>99</v>
      </c>
      <c r="N111" s="2758"/>
      <c r="O111" s="784">
        <f t="shared" ref="O111:Z111" si="2">SUM(O112)</f>
        <v>9681.5</v>
      </c>
      <c r="P111" s="784">
        <f t="shared" si="2"/>
        <v>9681.5</v>
      </c>
      <c r="Q111" s="784">
        <f t="shared" si="2"/>
        <v>9681.5</v>
      </c>
      <c r="R111" s="784">
        <f t="shared" si="2"/>
        <v>9681.5</v>
      </c>
      <c r="S111" s="784">
        <f t="shared" si="2"/>
        <v>9681.5</v>
      </c>
      <c r="T111" s="784">
        <f t="shared" si="2"/>
        <v>9681.5</v>
      </c>
      <c r="U111" s="784">
        <f t="shared" si="2"/>
        <v>9681.5</v>
      </c>
      <c r="V111" s="784">
        <f t="shared" si="2"/>
        <v>9681.5</v>
      </c>
      <c r="W111" s="784">
        <f t="shared" si="2"/>
        <v>9681.5</v>
      </c>
      <c r="X111" s="784">
        <f t="shared" si="2"/>
        <v>9681.5</v>
      </c>
      <c r="Y111" s="784">
        <f t="shared" si="2"/>
        <v>9681.5</v>
      </c>
      <c r="Z111" s="784">
        <f t="shared" si="2"/>
        <v>9681.5</v>
      </c>
      <c r="AA111" s="855">
        <f>SUM(O111:Z111)</f>
        <v>116178</v>
      </c>
    </row>
    <row r="112" spans="1:27" ht="33.75" x14ac:dyDescent="0.25">
      <c r="A112" s="803"/>
      <c r="B112" s="2586"/>
      <c r="C112" s="2755"/>
      <c r="D112" s="2755"/>
      <c r="E112" s="2719"/>
      <c r="F112" s="2719"/>
      <c r="G112" s="2719"/>
      <c r="H112" s="2720"/>
      <c r="I112" s="2661"/>
      <c r="J112" s="2756"/>
      <c r="K112" s="2753"/>
      <c r="L112" s="2607"/>
      <c r="M112" s="918" t="s">
        <v>989</v>
      </c>
      <c r="N112" s="918" t="s">
        <v>990</v>
      </c>
      <c r="O112" s="785">
        <v>9681.5</v>
      </c>
      <c r="P112" s="785">
        <v>9681.5</v>
      </c>
      <c r="Q112" s="785">
        <v>9681.5</v>
      </c>
      <c r="R112" s="785">
        <v>9681.5</v>
      </c>
      <c r="S112" s="785">
        <v>9681.5</v>
      </c>
      <c r="T112" s="785">
        <v>9681.5</v>
      </c>
      <c r="U112" s="785">
        <v>9681.5</v>
      </c>
      <c r="V112" s="785">
        <v>9681.5</v>
      </c>
      <c r="W112" s="785">
        <v>9681.5</v>
      </c>
      <c r="X112" s="785">
        <v>9681.5</v>
      </c>
      <c r="Y112" s="785">
        <v>9681.5</v>
      </c>
      <c r="Z112" s="785">
        <v>9681.5</v>
      </c>
      <c r="AA112" s="859">
        <f>SUM(O112:Z112)</f>
        <v>116178</v>
      </c>
    </row>
    <row r="113" spans="1:27" x14ac:dyDescent="0.25">
      <c r="A113" s="803"/>
      <c r="B113" s="2735">
        <v>5001449</v>
      </c>
      <c r="C113" s="2736" t="s">
        <v>991</v>
      </c>
      <c r="D113" s="2739"/>
      <c r="E113" s="2543" t="s">
        <v>968</v>
      </c>
      <c r="F113" s="2543" t="s">
        <v>969</v>
      </c>
      <c r="G113" s="2543" t="s">
        <v>980</v>
      </c>
      <c r="H113" s="2742" t="s">
        <v>988</v>
      </c>
      <c r="I113" s="2543" t="s">
        <v>3086</v>
      </c>
      <c r="J113" s="2744">
        <v>700</v>
      </c>
      <c r="K113" s="2747">
        <f>SUM(K117:K189)</f>
        <v>1858821.1320000002</v>
      </c>
      <c r="L113" s="2750" t="s">
        <v>983</v>
      </c>
      <c r="M113" s="2647" t="s">
        <v>51</v>
      </c>
      <c r="N113" s="2648"/>
      <c r="O113" s="869">
        <v>700</v>
      </c>
      <c r="P113" s="869">
        <v>700</v>
      </c>
      <c r="Q113" s="869">
        <v>700</v>
      </c>
      <c r="R113" s="869">
        <v>700</v>
      </c>
      <c r="S113" s="869">
        <v>700</v>
      </c>
      <c r="T113" s="869">
        <v>700</v>
      </c>
      <c r="U113" s="869">
        <v>700</v>
      </c>
      <c r="V113" s="869">
        <v>700</v>
      </c>
      <c r="W113" s="869">
        <v>700</v>
      </c>
      <c r="X113" s="869">
        <v>700</v>
      </c>
      <c r="Y113" s="869">
        <v>700</v>
      </c>
      <c r="Z113" s="869">
        <v>700</v>
      </c>
      <c r="AA113" s="867">
        <v>700</v>
      </c>
    </row>
    <row r="114" spans="1:27" x14ac:dyDescent="0.25">
      <c r="A114" s="803"/>
      <c r="B114" s="2735"/>
      <c r="C114" s="2737"/>
      <c r="D114" s="2740"/>
      <c r="E114" s="2641"/>
      <c r="F114" s="2641"/>
      <c r="G114" s="2641"/>
      <c r="H114" s="2743"/>
      <c r="I114" s="2641"/>
      <c r="J114" s="2745"/>
      <c r="K114" s="2748"/>
      <c r="L114" s="2751"/>
      <c r="M114" s="2757" t="s">
        <v>99</v>
      </c>
      <c r="N114" s="2758"/>
      <c r="O114" s="784">
        <f>SUM(O115:O116)</f>
        <v>155601.761</v>
      </c>
      <c r="P114" s="784">
        <f t="shared" ref="P114:Z114" si="3">SUM(P115:P116)</f>
        <v>155601.761</v>
      </c>
      <c r="Q114" s="784">
        <f t="shared" si="3"/>
        <v>155601.761</v>
      </c>
      <c r="R114" s="784">
        <f t="shared" si="3"/>
        <v>155601.761</v>
      </c>
      <c r="S114" s="784">
        <f t="shared" si="3"/>
        <v>155601.761</v>
      </c>
      <c r="T114" s="784">
        <f t="shared" si="3"/>
        <v>155601.761</v>
      </c>
      <c r="U114" s="784">
        <f t="shared" si="3"/>
        <v>155601.761</v>
      </c>
      <c r="V114" s="784">
        <f t="shared" si="3"/>
        <v>155601.761</v>
      </c>
      <c r="W114" s="784">
        <f t="shared" si="3"/>
        <v>155601.761</v>
      </c>
      <c r="X114" s="784">
        <f t="shared" si="3"/>
        <v>155601.761</v>
      </c>
      <c r="Y114" s="784">
        <f t="shared" si="3"/>
        <v>155601.761</v>
      </c>
      <c r="Z114" s="784">
        <f t="shared" si="3"/>
        <v>155601.761</v>
      </c>
      <c r="AA114" s="860">
        <f>SUM(O114:Z114)</f>
        <v>1867221.1319999995</v>
      </c>
    </row>
    <row r="115" spans="1:27" ht="15" customHeight="1" x14ac:dyDescent="0.25">
      <c r="A115" s="803"/>
      <c r="B115" s="2735"/>
      <c r="C115" s="2737"/>
      <c r="D115" s="2740"/>
      <c r="E115" s="2641"/>
      <c r="F115" s="2641"/>
      <c r="G115" s="2641"/>
      <c r="H115" s="2743"/>
      <c r="I115" s="2641"/>
      <c r="J115" s="2745"/>
      <c r="K115" s="2748"/>
      <c r="L115" s="2751"/>
      <c r="M115" s="2732">
        <v>23</v>
      </c>
      <c r="N115" s="2732" t="s">
        <v>237</v>
      </c>
      <c r="O115" s="927">
        <v>700</v>
      </c>
      <c r="P115" s="927">
        <v>700</v>
      </c>
      <c r="Q115" s="927">
        <v>700</v>
      </c>
      <c r="R115" s="927">
        <v>700</v>
      </c>
      <c r="S115" s="927">
        <v>700</v>
      </c>
      <c r="T115" s="927">
        <v>700</v>
      </c>
      <c r="U115" s="927">
        <v>700</v>
      </c>
      <c r="V115" s="927">
        <v>700</v>
      </c>
      <c r="W115" s="927">
        <v>700</v>
      </c>
      <c r="X115" s="927">
        <v>700</v>
      </c>
      <c r="Y115" s="927">
        <v>700</v>
      </c>
      <c r="Z115" s="927">
        <v>700</v>
      </c>
      <c r="AA115" s="859">
        <v>700</v>
      </c>
    </row>
    <row r="116" spans="1:27" ht="18.75" customHeight="1" x14ac:dyDescent="0.25">
      <c r="A116" s="803"/>
      <c r="B116" s="2735"/>
      <c r="C116" s="2738"/>
      <c r="D116" s="2741"/>
      <c r="E116" s="2544"/>
      <c r="F116" s="2544"/>
      <c r="G116" s="2544"/>
      <c r="H116" s="2628"/>
      <c r="I116" s="2544"/>
      <c r="J116" s="2746"/>
      <c r="K116" s="2749"/>
      <c r="L116" s="2752"/>
      <c r="M116" s="2733"/>
      <c r="N116" s="2733"/>
      <c r="O116" s="927">
        <f>+O119+O120+O123+O124+O127+O128+O129+O130+O133+O136+O139+O142+O145+O148+O151+O154+O157+O160+O163+O166+O169+O172+O175+O178+O181+O182+O183+O186+O189</f>
        <v>154901.761</v>
      </c>
      <c r="P116" s="927">
        <f t="shared" ref="P116:Z116" si="4">+P119+P120+P123+P124+P127+P128+P129+P130+P133+P136+P139+P142+P145+P148+P151+P154+P157+P160+P163+P166+P169+P172+P175+P178+P181+P182+P183+P186+P189</f>
        <v>154901.761</v>
      </c>
      <c r="Q116" s="927">
        <f t="shared" si="4"/>
        <v>154901.761</v>
      </c>
      <c r="R116" s="927">
        <f t="shared" si="4"/>
        <v>154901.761</v>
      </c>
      <c r="S116" s="927">
        <f t="shared" si="4"/>
        <v>154901.761</v>
      </c>
      <c r="T116" s="927">
        <f t="shared" si="4"/>
        <v>154901.761</v>
      </c>
      <c r="U116" s="927">
        <f t="shared" si="4"/>
        <v>154901.761</v>
      </c>
      <c r="V116" s="927">
        <f t="shared" si="4"/>
        <v>154901.761</v>
      </c>
      <c r="W116" s="927">
        <f t="shared" si="4"/>
        <v>154901.761</v>
      </c>
      <c r="X116" s="927">
        <f t="shared" si="4"/>
        <v>154901.761</v>
      </c>
      <c r="Y116" s="927">
        <f t="shared" si="4"/>
        <v>154901.761</v>
      </c>
      <c r="Z116" s="927">
        <f t="shared" si="4"/>
        <v>154901.761</v>
      </c>
      <c r="AA116" s="860">
        <f>SUM(O116:Z116)</f>
        <v>1858821.1319999995</v>
      </c>
    </row>
    <row r="117" spans="1:27" ht="15" customHeight="1" x14ac:dyDescent="0.25">
      <c r="A117" s="803"/>
      <c r="B117" s="2734"/>
      <c r="C117" s="2713"/>
      <c r="D117" s="2729" t="s">
        <v>992</v>
      </c>
      <c r="E117" s="2719" t="s">
        <v>968</v>
      </c>
      <c r="F117" s="2719" t="s">
        <v>969</v>
      </c>
      <c r="G117" s="2719" t="s">
        <v>980</v>
      </c>
      <c r="H117" s="2720" t="s">
        <v>988</v>
      </c>
      <c r="I117" s="2721" t="s">
        <v>3086</v>
      </c>
      <c r="J117" s="2722">
        <f>+AA117</f>
        <v>699.99959999999999</v>
      </c>
      <c r="K117" s="2623">
        <f>+AA119+AA120</f>
        <v>14999.915999999997</v>
      </c>
      <c r="L117" s="2563" t="s">
        <v>983</v>
      </c>
      <c r="M117" s="2647" t="s">
        <v>51</v>
      </c>
      <c r="N117" s="2648"/>
      <c r="O117" s="806">
        <v>58.333300000000001</v>
      </c>
      <c r="P117" s="806">
        <v>58.333300000000001</v>
      </c>
      <c r="Q117" s="806">
        <v>58.333300000000001</v>
      </c>
      <c r="R117" s="806">
        <v>58.333300000000001</v>
      </c>
      <c r="S117" s="806">
        <v>58.333300000000001</v>
      </c>
      <c r="T117" s="806">
        <v>58.333300000000001</v>
      </c>
      <c r="U117" s="806">
        <v>58.333300000000001</v>
      </c>
      <c r="V117" s="806">
        <v>58.333300000000001</v>
      </c>
      <c r="W117" s="806">
        <v>58.333300000000001</v>
      </c>
      <c r="X117" s="806">
        <v>58.333300000000001</v>
      </c>
      <c r="Y117" s="806">
        <v>58.333300000000001</v>
      </c>
      <c r="Z117" s="806">
        <v>58.333300000000001</v>
      </c>
      <c r="AA117" s="862">
        <f t="shared" ref="AA117:AA157" si="5">SUM(O117:Z117)</f>
        <v>699.99959999999999</v>
      </c>
    </row>
    <row r="118" spans="1:27" ht="15" customHeight="1" x14ac:dyDescent="0.25">
      <c r="A118" s="803"/>
      <c r="B118" s="2734"/>
      <c r="C118" s="2714"/>
      <c r="D118" s="2730"/>
      <c r="E118" s="2719"/>
      <c r="F118" s="2719"/>
      <c r="G118" s="2719"/>
      <c r="H118" s="2720"/>
      <c r="I118" s="2721"/>
      <c r="J118" s="2723"/>
      <c r="K118" s="2624"/>
      <c r="L118" s="2564"/>
      <c r="M118" s="2647" t="s">
        <v>993</v>
      </c>
      <c r="N118" s="2648"/>
      <c r="O118" s="784">
        <f>SUM(O119:O120)</f>
        <v>1249.9929999999999</v>
      </c>
      <c r="P118" s="784">
        <f t="shared" ref="P118:Z118" si="6">SUM(P119:P120)</f>
        <v>1249.9929999999999</v>
      </c>
      <c r="Q118" s="784">
        <f t="shared" si="6"/>
        <v>1249.9929999999999</v>
      </c>
      <c r="R118" s="784">
        <f t="shared" si="6"/>
        <v>1249.9929999999999</v>
      </c>
      <c r="S118" s="784">
        <f t="shared" si="6"/>
        <v>1249.9929999999999</v>
      </c>
      <c r="T118" s="784">
        <f t="shared" si="6"/>
        <v>1249.9929999999999</v>
      </c>
      <c r="U118" s="784">
        <f t="shared" si="6"/>
        <v>1249.9929999999999</v>
      </c>
      <c r="V118" s="784">
        <f t="shared" si="6"/>
        <v>1249.9929999999999</v>
      </c>
      <c r="W118" s="784">
        <f t="shared" si="6"/>
        <v>1249.9929999999999</v>
      </c>
      <c r="X118" s="784">
        <f t="shared" si="6"/>
        <v>1249.9929999999999</v>
      </c>
      <c r="Y118" s="784">
        <f t="shared" si="6"/>
        <v>1249.9929999999999</v>
      </c>
      <c r="Z118" s="784">
        <f t="shared" si="6"/>
        <v>1249.9929999999999</v>
      </c>
      <c r="AA118" s="862"/>
    </row>
    <row r="119" spans="1:27" ht="28.5" customHeight="1" x14ac:dyDescent="0.25">
      <c r="A119" s="803"/>
      <c r="B119" s="2734"/>
      <c r="C119" s="2714"/>
      <c r="D119" s="2730"/>
      <c r="E119" s="2719"/>
      <c r="F119" s="2719"/>
      <c r="G119" s="2719"/>
      <c r="H119" s="2720"/>
      <c r="I119" s="2721"/>
      <c r="J119" s="2723"/>
      <c r="K119" s="2624"/>
      <c r="L119" s="2564"/>
      <c r="M119" s="956" t="s">
        <v>194</v>
      </c>
      <c r="N119" s="956" t="s">
        <v>984</v>
      </c>
      <c r="O119" s="130">
        <v>416.66</v>
      </c>
      <c r="P119" s="130">
        <v>416.66</v>
      </c>
      <c r="Q119" s="130">
        <v>416.66</v>
      </c>
      <c r="R119" s="130">
        <v>416.66</v>
      </c>
      <c r="S119" s="130">
        <v>416.66</v>
      </c>
      <c r="T119" s="130">
        <v>416.66</v>
      </c>
      <c r="U119" s="130">
        <v>416.66</v>
      </c>
      <c r="V119" s="130">
        <v>416.66</v>
      </c>
      <c r="W119" s="130">
        <v>416.66</v>
      </c>
      <c r="X119" s="130">
        <v>416.66</v>
      </c>
      <c r="Y119" s="130">
        <v>416.66</v>
      </c>
      <c r="Z119" s="130">
        <v>416.66</v>
      </c>
      <c r="AA119" s="859">
        <f t="shared" si="5"/>
        <v>4999.9199999999992</v>
      </c>
    </row>
    <row r="120" spans="1:27" ht="17.25" customHeight="1" x14ac:dyDescent="0.25">
      <c r="A120" s="803"/>
      <c r="B120" s="2734"/>
      <c r="C120" s="2715"/>
      <c r="D120" s="2731"/>
      <c r="E120" s="2719"/>
      <c r="F120" s="2719"/>
      <c r="G120" s="2719"/>
      <c r="H120" s="2720"/>
      <c r="I120" s="2721"/>
      <c r="J120" s="2724"/>
      <c r="K120" s="2625"/>
      <c r="L120" s="2565"/>
      <c r="M120" s="956" t="s">
        <v>974</v>
      </c>
      <c r="N120" s="956" t="s">
        <v>207</v>
      </c>
      <c r="O120" s="130">
        <v>833.33299999999997</v>
      </c>
      <c r="P120" s="130">
        <v>833.33299999999997</v>
      </c>
      <c r="Q120" s="130">
        <v>833.33299999999997</v>
      </c>
      <c r="R120" s="130">
        <v>833.33299999999997</v>
      </c>
      <c r="S120" s="130">
        <v>833.33299999999997</v>
      </c>
      <c r="T120" s="130">
        <v>833.33299999999997</v>
      </c>
      <c r="U120" s="130">
        <v>833.33299999999997</v>
      </c>
      <c r="V120" s="130">
        <v>833.33299999999997</v>
      </c>
      <c r="W120" s="130">
        <v>833.33299999999997</v>
      </c>
      <c r="X120" s="130">
        <v>833.33299999999997</v>
      </c>
      <c r="Y120" s="130">
        <v>833.33299999999997</v>
      </c>
      <c r="Z120" s="130">
        <v>833.33299999999997</v>
      </c>
      <c r="AA120" s="859">
        <f t="shared" si="5"/>
        <v>9999.9959999999992</v>
      </c>
    </row>
    <row r="121" spans="1:27" ht="15" customHeight="1" x14ac:dyDescent="0.25">
      <c r="A121" s="802"/>
      <c r="B121" s="2710"/>
      <c r="C121" s="2713"/>
      <c r="D121" s="2729" t="s">
        <v>994</v>
      </c>
      <c r="E121" s="2719" t="s">
        <v>968</v>
      </c>
      <c r="F121" s="2719" t="s">
        <v>969</v>
      </c>
      <c r="G121" s="2719" t="s">
        <v>980</v>
      </c>
      <c r="H121" s="2720" t="s">
        <v>988</v>
      </c>
      <c r="I121" s="2721" t="s">
        <v>3086</v>
      </c>
      <c r="J121" s="2722">
        <f>+AA121</f>
        <v>19.999919999999999</v>
      </c>
      <c r="K121" s="2623">
        <f>+AA123+AA124</f>
        <v>6999.8399999999992</v>
      </c>
      <c r="L121" s="2563" t="s">
        <v>983</v>
      </c>
      <c r="M121" s="2647" t="s">
        <v>51</v>
      </c>
      <c r="N121" s="2648"/>
      <c r="O121" s="792">
        <v>1.66666</v>
      </c>
      <c r="P121" s="792">
        <v>1.66666</v>
      </c>
      <c r="Q121" s="792">
        <v>1.66666</v>
      </c>
      <c r="R121" s="792">
        <v>1.66666</v>
      </c>
      <c r="S121" s="792">
        <v>1.66666</v>
      </c>
      <c r="T121" s="792">
        <v>1.66666</v>
      </c>
      <c r="U121" s="792">
        <v>1.66666</v>
      </c>
      <c r="V121" s="792">
        <v>1.66666</v>
      </c>
      <c r="W121" s="792">
        <v>1.66666</v>
      </c>
      <c r="X121" s="792">
        <v>1.66666</v>
      </c>
      <c r="Y121" s="792">
        <v>1.66666</v>
      </c>
      <c r="Z121" s="792">
        <v>1.66666</v>
      </c>
      <c r="AA121" s="867">
        <f t="shared" si="5"/>
        <v>19.999919999999999</v>
      </c>
    </row>
    <row r="122" spans="1:27" ht="15" customHeight="1" x14ac:dyDescent="0.25">
      <c r="A122" s="802"/>
      <c r="B122" s="2711"/>
      <c r="C122" s="2714"/>
      <c r="D122" s="2730"/>
      <c r="E122" s="2719"/>
      <c r="F122" s="2719"/>
      <c r="G122" s="2719"/>
      <c r="H122" s="2720"/>
      <c r="I122" s="2721"/>
      <c r="J122" s="2723"/>
      <c r="K122" s="2624"/>
      <c r="L122" s="2564"/>
      <c r="M122" s="2647" t="s">
        <v>993</v>
      </c>
      <c r="N122" s="2648"/>
      <c r="O122" s="784">
        <f>SUM(O123:O124)</f>
        <v>583.32000000000005</v>
      </c>
      <c r="P122" s="784">
        <f t="shared" ref="P122:Z122" si="7">SUM(P123:P124)</f>
        <v>583.32000000000005</v>
      </c>
      <c r="Q122" s="784">
        <f t="shared" si="7"/>
        <v>583.32000000000005</v>
      </c>
      <c r="R122" s="784">
        <f t="shared" si="7"/>
        <v>583.32000000000005</v>
      </c>
      <c r="S122" s="784">
        <f t="shared" si="7"/>
        <v>583.32000000000005</v>
      </c>
      <c r="T122" s="784">
        <f t="shared" si="7"/>
        <v>583.32000000000005</v>
      </c>
      <c r="U122" s="784">
        <f t="shared" si="7"/>
        <v>583.32000000000005</v>
      </c>
      <c r="V122" s="784">
        <f t="shared" si="7"/>
        <v>583.32000000000005</v>
      </c>
      <c r="W122" s="784">
        <f t="shared" si="7"/>
        <v>583.32000000000005</v>
      </c>
      <c r="X122" s="784">
        <f t="shared" si="7"/>
        <v>583.32000000000005</v>
      </c>
      <c r="Y122" s="784">
        <f t="shared" si="7"/>
        <v>583.32000000000005</v>
      </c>
      <c r="Z122" s="784">
        <f t="shared" si="7"/>
        <v>583.32000000000005</v>
      </c>
      <c r="AA122" s="860">
        <f t="shared" si="5"/>
        <v>6999.8399999999992</v>
      </c>
    </row>
    <row r="123" spans="1:27" ht="22.5" x14ac:dyDescent="0.25">
      <c r="A123" s="802"/>
      <c r="B123" s="2711"/>
      <c r="C123" s="2714"/>
      <c r="D123" s="2730"/>
      <c r="E123" s="2719"/>
      <c r="F123" s="2719"/>
      <c r="G123" s="2719"/>
      <c r="H123" s="2720"/>
      <c r="I123" s="2721"/>
      <c r="J123" s="2723"/>
      <c r="K123" s="2624"/>
      <c r="L123" s="2564"/>
      <c r="M123" s="864" t="s">
        <v>182</v>
      </c>
      <c r="N123" s="956" t="s">
        <v>534</v>
      </c>
      <c r="O123" s="785">
        <v>166.66</v>
      </c>
      <c r="P123" s="785">
        <v>166.66</v>
      </c>
      <c r="Q123" s="785">
        <v>166.66</v>
      </c>
      <c r="R123" s="785">
        <v>166.66</v>
      </c>
      <c r="S123" s="785">
        <v>166.66</v>
      </c>
      <c r="T123" s="785">
        <v>166.66</v>
      </c>
      <c r="U123" s="785">
        <v>166.66</v>
      </c>
      <c r="V123" s="785">
        <v>166.66</v>
      </c>
      <c r="W123" s="785">
        <v>166.66</v>
      </c>
      <c r="X123" s="785">
        <v>166.66</v>
      </c>
      <c r="Y123" s="785">
        <v>166.66</v>
      </c>
      <c r="Z123" s="785">
        <v>166.66</v>
      </c>
      <c r="AA123" s="859">
        <f t="shared" si="5"/>
        <v>1999.9200000000003</v>
      </c>
    </row>
    <row r="124" spans="1:27" ht="24" customHeight="1" x14ac:dyDescent="0.25">
      <c r="A124" s="802"/>
      <c r="B124" s="2712"/>
      <c r="C124" s="2715"/>
      <c r="D124" s="2731"/>
      <c r="E124" s="2719"/>
      <c r="F124" s="2719"/>
      <c r="G124" s="2719"/>
      <c r="H124" s="2720"/>
      <c r="I124" s="2721"/>
      <c r="J124" s="2724"/>
      <c r="K124" s="2625"/>
      <c r="L124" s="2565"/>
      <c r="M124" s="865" t="s">
        <v>995</v>
      </c>
      <c r="N124" s="956" t="s">
        <v>207</v>
      </c>
      <c r="O124" s="130">
        <v>416.66</v>
      </c>
      <c r="P124" s="130">
        <v>416.66</v>
      </c>
      <c r="Q124" s="130">
        <v>416.66</v>
      </c>
      <c r="R124" s="130">
        <v>416.66</v>
      </c>
      <c r="S124" s="130">
        <v>416.66</v>
      </c>
      <c r="T124" s="130">
        <v>416.66</v>
      </c>
      <c r="U124" s="130">
        <v>416.66</v>
      </c>
      <c r="V124" s="130">
        <v>416.66</v>
      </c>
      <c r="W124" s="130">
        <v>416.66</v>
      </c>
      <c r="X124" s="130">
        <v>416.66</v>
      </c>
      <c r="Y124" s="130">
        <v>416.66</v>
      </c>
      <c r="Z124" s="130">
        <v>416.66</v>
      </c>
      <c r="AA124" s="859">
        <f t="shared" si="5"/>
        <v>4999.9199999999992</v>
      </c>
    </row>
    <row r="125" spans="1:27" ht="15" customHeight="1" x14ac:dyDescent="0.25">
      <c r="A125" s="802"/>
      <c r="B125" s="2710"/>
      <c r="C125" s="2713"/>
      <c r="D125" s="2729" t="s">
        <v>996</v>
      </c>
      <c r="E125" s="2719" t="s">
        <v>968</v>
      </c>
      <c r="F125" s="2719" t="s">
        <v>969</v>
      </c>
      <c r="G125" s="2719" t="s">
        <v>980</v>
      </c>
      <c r="H125" s="2720" t="s">
        <v>988</v>
      </c>
      <c r="I125" s="2721" t="s">
        <v>3086</v>
      </c>
      <c r="J125" s="2722">
        <f>+AA125</f>
        <v>267.99960000000004</v>
      </c>
      <c r="K125" s="2623">
        <f>SUM(AA127:AA130)</f>
        <v>9999.876000000002</v>
      </c>
      <c r="L125" s="2563" t="s">
        <v>983</v>
      </c>
      <c r="M125" s="2647" t="s">
        <v>51</v>
      </c>
      <c r="N125" s="2648"/>
      <c r="O125" s="792">
        <v>22.333300000000001</v>
      </c>
      <c r="P125" s="792">
        <v>22.333300000000001</v>
      </c>
      <c r="Q125" s="792">
        <v>22.333300000000001</v>
      </c>
      <c r="R125" s="792">
        <v>22.333300000000001</v>
      </c>
      <c r="S125" s="792">
        <v>22.333300000000001</v>
      </c>
      <c r="T125" s="792">
        <v>22.333300000000001</v>
      </c>
      <c r="U125" s="792">
        <v>22.333300000000001</v>
      </c>
      <c r="V125" s="792">
        <v>22.333300000000001</v>
      </c>
      <c r="W125" s="792">
        <v>22.333300000000001</v>
      </c>
      <c r="X125" s="792">
        <v>22.333300000000001</v>
      </c>
      <c r="Y125" s="792">
        <v>22.333300000000001</v>
      </c>
      <c r="Z125" s="792">
        <v>22.333300000000001</v>
      </c>
      <c r="AA125" s="867">
        <f t="shared" si="5"/>
        <v>267.99960000000004</v>
      </c>
    </row>
    <row r="126" spans="1:27" ht="15" customHeight="1" x14ac:dyDescent="0.25">
      <c r="A126" s="802"/>
      <c r="B126" s="2711"/>
      <c r="C126" s="2714"/>
      <c r="D126" s="2730"/>
      <c r="E126" s="2719"/>
      <c r="F126" s="2719"/>
      <c r="G126" s="2719"/>
      <c r="H126" s="2720"/>
      <c r="I126" s="2721"/>
      <c r="J126" s="2723"/>
      <c r="K126" s="2624"/>
      <c r="L126" s="2564"/>
      <c r="M126" s="2647" t="s">
        <v>993</v>
      </c>
      <c r="N126" s="2648"/>
      <c r="O126" s="784">
        <f>SUM(O127:O130)</f>
        <v>833.32300000000009</v>
      </c>
      <c r="P126" s="784">
        <f t="shared" ref="P126:Z126" si="8">SUM(P127:P130)</f>
        <v>833.32300000000009</v>
      </c>
      <c r="Q126" s="784">
        <f t="shared" si="8"/>
        <v>833.32300000000009</v>
      </c>
      <c r="R126" s="784">
        <f t="shared" si="8"/>
        <v>833.32300000000009</v>
      </c>
      <c r="S126" s="784">
        <f t="shared" si="8"/>
        <v>833.32300000000009</v>
      </c>
      <c r="T126" s="784">
        <f t="shared" si="8"/>
        <v>833.32300000000009</v>
      </c>
      <c r="U126" s="784">
        <f t="shared" si="8"/>
        <v>833.32300000000009</v>
      </c>
      <c r="V126" s="784">
        <f t="shared" si="8"/>
        <v>833.32300000000009</v>
      </c>
      <c r="W126" s="784">
        <f t="shared" si="8"/>
        <v>833.32300000000009</v>
      </c>
      <c r="X126" s="784">
        <f t="shared" si="8"/>
        <v>833.32300000000009</v>
      </c>
      <c r="Y126" s="784">
        <f t="shared" si="8"/>
        <v>833.32300000000009</v>
      </c>
      <c r="Z126" s="784">
        <f t="shared" si="8"/>
        <v>833.32300000000009</v>
      </c>
      <c r="AA126" s="860">
        <f>SUM(O126:Z126)</f>
        <v>9999.876000000002</v>
      </c>
    </row>
    <row r="127" spans="1:27" x14ac:dyDescent="0.25">
      <c r="A127" s="802"/>
      <c r="B127" s="2711"/>
      <c r="C127" s="2714"/>
      <c r="D127" s="2730"/>
      <c r="E127" s="2719"/>
      <c r="F127" s="2719"/>
      <c r="G127" s="2719"/>
      <c r="H127" s="2720"/>
      <c r="I127" s="2721"/>
      <c r="J127" s="2723"/>
      <c r="K127" s="2624"/>
      <c r="L127" s="2564"/>
      <c r="M127" s="956" t="s">
        <v>217</v>
      </c>
      <c r="N127" s="956" t="s">
        <v>997</v>
      </c>
      <c r="O127" s="785">
        <v>166.66</v>
      </c>
      <c r="P127" s="785">
        <v>166.66</v>
      </c>
      <c r="Q127" s="785">
        <v>166.66</v>
      </c>
      <c r="R127" s="785">
        <v>166.66</v>
      </c>
      <c r="S127" s="785">
        <v>166.66</v>
      </c>
      <c r="T127" s="785">
        <v>166.66</v>
      </c>
      <c r="U127" s="785">
        <v>166.66</v>
      </c>
      <c r="V127" s="785">
        <v>166.66</v>
      </c>
      <c r="W127" s="785">
        <v>166.66</v>
      </c>
      <c r="X127" s="785">
        <v>166.66</v>
      </c>
      <c r="Y127" s="785">
        <v>166.66</v>
      </c>
      <c r="Z127" s="785">
        <v>166.66</v>
      </c>
      <c r="AA127" s="859">
        <f t="shared" si="5"/>
        <v>1999.9200000000003</v>
      </c>
    </row>
    <row r="128" spans="1:27" x14ac:dyDescent="0.25">
      <c r="A128" s="802"/>
      <c r="B128" s="2711"/>
      <c r="C128" s="2714"/>
      <c r="D128" s="2730"/>
      <c r="E128" s="2719"/>
      <c r="F128" s="2719"/>
      <c r="G128" s="2719"/>
      <c r="H128" s="2720"/>
      <c r="I128" s="2721"/>
      <c r="J128" s="2723"/>
      <c r="K128" s="2624"/>
      <c r="L128" s="2564"/>
      <c r="M128" s="956" t="s">
        <v>973</v>
      </c>
      <c r="N128" s="956" t="s">
        <v>191</v>
      </c>
      <c r="O128" s="785">
        <v>83.33</v>
      </c>
      <c r="P128" s="785">
        <v>83.33</v>
      </c>
      <c r="Q128" s="785">
        <v>83.33</v>
      </c>
      <c r="R128" s="785">
        <v>83.33</v>
      </c>
      <c r="S128" s="785">
        <v>83.33</v>
      </c>
      <c r="T128" s="785">
        <v>83.33</v>
      </c>
      <c r="U128" s="785">
        <v>83.33</v>
      </c>
      <c r="V128" s="785">
        <v>83.33</v>
      </c>
      <c r="W128" s="785">
        <v>83.33</v>
      </c>
      <c r="X128" s="785">
        <v>83.33</v>
      </c>
      <c r="Y128" s="785">
        <v>83.33</v>
      </c>
      <c r="Z128" s="785">
        <v>83.33</v>
      </c>
      <c r="AA128" s="859">
        <f t="shared" si="5"/>
        <v>999.96000000000015</v>
      </c>
    </row>
    <row r="129" spans="1:27" ht="24" customHeight="1" x14ac:dyDescent="0.25">
      <c r="A129" s="802"/>
      <c r="B129" s="2711"/>
      <c r="C129" s="2714"/>
      <c r="D129" s="2730"/>
      <c r="E129" s="2719"/>
      <c r="F129" s="2719"/>
      <c r="G129" s="2719"/>
      <c r="H129" s="2720"/>
      <c r="I129" s="2721"/>
      <c r="J129" s="2723"/>
      <c r="K129" s="2624"/>
      <c r="L129" s="2564"/>
      <c r="M129" s="956" t="s">
        <v>194</v>
      </c>
      <c r="N129" s="956" t="s">
        <v>984</v>
      </c>
      <c r="O129" s="785">
        <v>250</v>
      </c>
      <c r="P129" s="785">
        <v>250</v>
      </c>
      <c r="Q129" s="785">
        <v>250</v>
      </c>
      <c r="R129" s="785">
        <v>250</v>
      </c>
      <c r="S129" s="785">
        <v>250</v>
      </c>
      <c r="T129" s="785">
        <v>250</v>
      </c>
      <c r="U129" s="785">
        <v>250</v>
      </c>
      <c r="V129" s="785">
        <v>250</v>
      </c>
      <c r="W129" s="785">
        <v>250</v>
      </c>
      <c r="X129" s="785">
        <v>250</v>
      </c>
      <c r="Y129" s="785">
        <v>250</v>
      </c>
      <c r="Z129" s="785">
        <v>250</v>
      </c>
      <c r="AA129" s="859">
        <f t="shared" si="5"/>
        <v>3000</v>
      </c>
    </row>
    <row r="130" spans="1:27" ht="22.5" x14ac:dyDescent="0.25">
      <c r="A130" s="802"/>
      <c r="B130" s="2712"/>
      <c r="C130" s="2715"/>
      <c r="D130" s="2731"/>
      <c r="E130" s="2719"/>
      <c r="F130" s="2719"/>
      <c r="G130" s="2719"/>
      <c r="H130" s="2720"/>
      <c r="I130" s="2721"/>
      <c r="J130" s="2724"/>
      <c r="K130" s="2625"/>
      <c r="L130" s="2565"/>
      <c r="M130" s="956" t="s">
        <v>974</v>
      </c>
      <c r="N130" s="956" t="s">
        <v>207</v>
      </c>
      <c r="O130" s="785">
        <v>333.33300000000003</v>
      </c>
      <c r="P130" s="785">
        <v>333.33300000000003</v>
      </c>
      <c r="Q130" s="785">
        <v>333.33300000000003</v>
      </c>
      <c r="R130" s="785">
        <v>333.33300000000003</v>
      </c>
      <c r="S130" s="785">
        <v>333.33300000000003</v>
      </c>
      <c r="T130" s="785">
        <v>333.33300000000003</v>
      </c>
      <c r="U130" s="785">
        <v>333.33300000000003</v>
      </c>
      <c r="V130" s="785">
        <v>333.33300000000003</v>
      </c>
      <c r="W130" s="785">
        <v>333.33300000000003</v>
      </c>
      <c r="X130" s="785">
        <v>333.33300000000003</v>
      </c>
      <c r="Y130" s="785">
        <v>333.33300000000003</v>
      </c>
      <c r="Z130" s="785">
        <v>333.33300000000003</v>
      </c>
      <c r="AA130" s="859">
        <f t="shared" si="5"/>
        <v>3999.9960000000005</v>
      </c>
    </row>
    <row r="131" spans="1:27" ht="15" customHeight="1" x14ac:dyDescent="0.25">
      <c r="A131" s="802"/>
      <c r="B131" s="2710"/>
      <c r="C131" s="2713"/>
      <c r="D131" s="2729" t="s">
        <v>998</v>
      </c>
      <c r="E131" s="2719" t="s">
        <v>968</v>
      </c>
      <c r="F131" s="2719" t="s">
        <v>969</v>
      </c>
      <c r="G131" s="2719" t="s">
        <v>980</v>
      </c>
      <c r="H131" s="2720" t="s">
        <v>988</v>
      </c>
      <c r="I131" s="2721" t="s">
        <v>3086</v>
      </c>
      <c r="J131" s="2722">
        <f>+AA131</f>
        <v>33.020000000000003</v>
      </c>
      <c r="K131" s="2623">
        <f>+AA133</f>
        <v>58596</v>
      </c>
      <c r="L131" s="2563" t="s">
        <v>983</v>
      </c>
      <c r="M131" s="2647" t="s">
        <v>51</v>
      </c>
      <c r="N131" s="2648"/>
      <c r="O131" s="792">
        <v>33.020000000000003</v>
      </c>
      <c r="P131" s="792">
        <v>33.020000000000003</v>
      </c>
      <c r="Q131" s="792">
        <v>33.020000000000003</v>
      </c>
      <c r="R131" s="792">
        <v>33.020000000000003</v>
      </c>
      <c r="S131" s="792">
        <v>33.020000000000003</v>
      </c>
      <c r="T131" s="792">
        <v>33.020000000000003</v>
      </c>
      <c r="U131" s="792">
        <v>33.020000000000003</v>
      </c>
      <c r="V131" s="792">
        <v>33.020000000000003</v>
      </c>
      <c r="W131" s="792">
        <v>33.020000000000003</v>
      </c>
      <c r="X131" s="792">
        <v>33.020000000000003</v>
      </c>
      <c r="Y131" s="792">
        <v>33.020000000000003</v>
      </c>
      <c r="Z131" s="792">
        <v>33.020000000000003</v>
      </c>
      <c r="AA131" s="867">
        <v>33.020000000000003</v>
      </c>
    </row>
    <row r="132" spans="1:27" ht="15" customHeight="1" x14ac:dyDescent="0.25">
      <c r="A132" s="802"/>
      <c r="B132" s="2711"/>
      <c r="C132" s="2714"/>
      <c r="D132" s="2730"/>
      <c r="E132" s="2719"/>
      <c r="F132" s="2719"/>
      <c r="G132" s="2719"/>
      <c r="H132" s="2720"/>
      <c r="I132" s="2721"/>
      <c r="J132" s="2723"/>
      <c r="K132" s="2624"/>
      <c r="L132" s="2564"/>
      <c r="M132" s="2647" t="s">
        <v>993</v>
      </c>
      <c r="N132" s="2648"/>
      <c r="O132" s="784">
        <f>+O133</f>
        <v>4883</v>
      </c>
      <c r="P132" s="784">
        <f t="shared" ref="P132" si="9">+P133</f>
        <v>4883</v>
      </c>
      <c r="Q132" s="784">
        <f t="shared" ref="Q132" si="10">+Q133</f>
        <v>4883</v>
      </c>
      <c r="R132" s="784">
        <f t="shared" ref="R132" si="11">+R133</f>
        <v>4883</v>
      </c>
      <c r="S132" s="784">
        <f t="shared" ref="S132" si="12">+S133</f>
        <v>4883</v>
      </c>
      <c r="T132" s="784">
        <f t="shared" ref="T132" si="13">+T133</f>
        <v>4883</v>
      </c>
      <c r="U132" s="784">
        <f t="shared" ref="U132" si="14">+U133</f>
        <v>4883</v>
      </c>
      <c r="V132" s="784">
        <f t="shared" ref="V132" si="15">+V133</f>
        <v>4883</v>
      </c>
      <c r="W132" s="784">
        <f t="shared" ref="W132" si="16">+W133</f>
        <v>4883</v>
      </c>
      <c r="X132" s="784">
        <f t="shared" ref="X132" si="17">+X133</f>
        <v>4883</v>
      </c>
      <c r="Y132" s="784">
        <f t="shared" ref="Y132" si="18">+Y133</f>
        <v>4883</v>
      </c>
      <c r="Z132" s="784">
        <f t="shared" ref="Z132" si="19">+Z133</f>
        <v>4883</v>
      </c>
      <c r="AA132" s="860">
        <f>SUM(O132:Z132)</f>
        <v>58596</v>
      </c>
    </row>
    <row r="133" spans="1:27" ht="48" customHeight="1" x14ac:dyDescent="0.25">
      <c r="A133" s="802"/>
      <c r="B133" s="2712"/>
      <c r="C133" s="2715"/>
      <c r="D133" s="2731"/>
      <c r="E133" s="2719"/>
      <c r="F133" s="2719"/>
      <c r="G133" s="2719"/>
      <c r="H133" s="2720"/>
      <c r="I133" s="2721"/>
      <c r="J133" s="2724"/>
      <c r="K133" s="2625"/>
      <c r="L133" s="2565"/>
      <c r="M133" s="918" t="s">
        <v>989</v>
      </c>
      <c r="N133" s="918" t="s">
        <v>990</v>
      </c>
      <c r="O133" s="785">
        <v>4883</v>
      </c>
      <c r="P133" s="785">
        <v>4883</v>
      </c>
      <c r="Q133" s="785">
        <v>4883</v>
      </c>
      <c r="R133" s="785">
        <v>4883</v>
      </c>
      <c r="S133" s="785">
        <v>4883</v>
      </c>
      <c r="T133" s="785">
        <v>4883</v>
      </c>
      <c r="U133" s="785">
        <v>4883</v>
      </c>
      <c r="V133" s="785">
        <v>4883</v>
      </c>
      <c r="W133" s="785">
        <v>4883</v>
      </c>
      <c r="X133" s="785">
        <v>4883</v>
      </c>
      <c r="Y133" s="785">
        <v>4883</v>
      </c>
      <c r="Z133" s="785">
        <v>4883</v>
      </c>
      <c r="AA133" s="859">
        <f t="shared" si="5"/>
        <v>58596</v>
      </c>
    </row>
    <row r="134" spans="1:27" ht="15" customHeight="1" x14ac:dyDescent="0.25">
      <c r="A134" s="802"/>
      <c r="B134" s="2710"/>
      <c r="C134" s="2713"/>
      <c r="D134" s="2729" t="s">
        <v>999</v>
      </c>
      <c r="E134" s="2719" t="s">
        <v>968</v>
      </c>
      <c r="F134" s="2719" t="s">
        <v>969</v>
      </c>
      <c r="G134" s="2719" t="s">
        <v>980</v>
      </c>
      <c r="H134" s="2720" t="s">
        <v>988</v>
      </c>
      <c r="I134" s="2721" t="s">
        <v>3086</v>
      </c>
      <c r="J134" s="2722">
        <f>+AA134</f>
        <v>14.6</v>
      </c>
      <c r="K134" s="2623">
        <f>+AA136</f>
        <v>58429.920000000013</v>
      </c>
      <c r="L134" s="2563" t="s">
        <v>983</v>
      </c>
      <c r="M134" s="2647" t="s">
        <v>51</v>
      </c>
      <c r="N134" s="2648"/>
      <c r="O134" s="792">
        <v>14.6</v>
      </c>
      <c r="P134" s="792">
        <v>14.6</v>
      </c>
      <c r="Q134" s="792">
        <v>14.6</v>
      </c>
      <c r="R134" s="792">
        <v>14.6</v>
      </c>
      <c r="S134" s="792">
        <v>14.6</v>
      </c>
      <c r="T134" s="792">
        <v>14.6</v>
      </c>
      <c r="U134" s="792">
        <v>14.6</v>
      </c>
      <c r="V134" s="792">
        <v>14.6</v>
      </c>
      <c r="W134" s="792">
        <v>14.6</v>
      </c>
      <c r="X134" s="792">
        <v>14.6</v>
      </c>
      <c r="Y134" s="792">
        <v>14.6</v>
      </c>
      <c r="Z134" s="792">
        <v>14.6</v>
      </c>
      <c r="AA134" s="867">
        <v>14.6</v>
      </c>
    </row>
    <row r="135" spans="1:27" ht="15" customHeight="1" x14ac:dyDescent="0.25">
      <c r="A135" s="802"/>
      <c r="B135" s="2711"/>
      <c r="C135" s="2714"/>
      <c r="D135" s="2730"/>
      <c r="E135" s="2719"/>
      <c r="F135" s="2719"/>
      <c r="G135" s="2719"/>
      <c r="H135" s="2720"/>
      <c r="I135" s="2721"/>
      <c r="J135" s="2723"/>
      <c r="K135" s="2624"/>
      <c r="L135" s="2564"/>
      <c r="M135" s="2647" t="s">
        <v>993</v>
      </c>
      <c r="N135" s="2648"/>
      <c r="O135" s="784">
        <f>+O136</f>
        <v>4869.16</v>
      </c>
      <c r="P135" s="784">
        <f t="shared" ref="P135" si="20">+P136</f>
        <v>4869.16</v>
      </c>
      <c r="Q135" s="784">
        <f t="shared" ref="Q135" si="21">+Q136</f>
        <v>4869.16</v>
      </c>
      <c r="R135" s="784">
        <f t="shared" ref="R135" si="22">+R136</f>
        <v>4869.16</v>
      </c>
      <c r="S135" s="784">
        <f t="shared" ref="S135" si="23">+S136</f>
        <v>4869.16</v>
      </c>
      <c r="T135" s="784">
        <f t="shared" ref="T135" si="24">+T136</f>
        <v>4869.16</v>
      </c>
      <c r="U135" s="784">
        <f t="shared" ref="U135" si="25">+U136</f>
        <v>4869.16</v>
      </c>
      <c r="V135" s="784">
        <f t="shared" ref="V135" si="26">+V136</f>
        <v>4869.16</v>
      </c>
      <c r="W135" s="784">
        <f t="shared" ref="W135" si="27">+W136</f>
        <v>4869.16</v>
      </c>
      <c r="X135" s="784">
        <f t="shared" ref="X135" si="28">+X136</f>
        <v>4869.16</v>
      </c>
      <c r="Y135" s="784">
        <f t="shared" ref="Y135" si="29">+Y136</f>
        <v>4869.16</v>
      </c>
      <c r="Z135" s="784">
        <f t="shared" ref="Z135" si="30">+Z136</f>
        <v>4869.16</v>
      </c>
      <c r="AA135" s="860">
        <f>SUM(O135:Z135)</f>
        <v>58429.920000000013</v>
      </c>
    </row>
    <row r="136" spans="1:27" ht="42" customHeight="1" x14ac:dyDescent="0.25">
      <c r="A136" s="802"/>
      <c r="B136" s="2712"/>
      <c r="C136" s="2715"/>
      <c r="D136" s="2731"/>
      <c r="E136" s="2719"/>
      <c r="F136" s="2719"/>
      <c r="G136" s="2719"/>
      <c r="H136" s="2720"/>
      <c r="I136" s="2721"/>
      <c r="J136" s="2724"/>
      <c r="K136" s="2625"/>
      <c r="L136" s="2565"/>
      <c r="M136" s="918" t="s">
        <v>989</v>
      </c>
      <c r="N136" s="918" t="s">
        <v>990</v>
      </c>
      <c r="O136" s="785">
        <v>4869.16</v>
      </c>
      <c r="P136" s="785">
        <v>4869.16</v>
      </c>
      <c r="Q136" s="785">
        <v>4869.16</v>
      </c>
      <c r="R136" s="785">
        <v>4869.16</v>
      </c>
      <c r="S136" s="785">
        <v>4869.16</v>
      </c>
      <c r="T136" s="785">
        <v>4869.16</v>
      </c>
      <c r="U136" s="785">
        <v>4869.16</v>
      </c>
      <c r="V136" s="785">
        <v>4869.16</v>
      </c>
      <c r="W136" s="785">
        <v>4869.16</v>
      </c>
      <c r="X136" s="785">
        <v>4869.16</v>
      </c>
      <c r="Y136" s="785">
        <v>4869.16</v>
      </c>
      <c r="Z136" s="785">
        <v>4869.16</v>
      </c>
      <c r="AA136" s="859">
        <f t="shared" si="5"/>
        <v>58429.920000000013</v>
      </c>
    </row>
    <row r="137" spans="1:27" ht="12.75" customHeight="1" x14ac:dyDescent="0.25">
      <c r="A137" s="802"/>
      <c r="B137" s="2710"/>
      <c r="C137" s="2713"/>
      <c r="D137" s="2725" t="s">
        <v>1000</v>
      </c>
      <c r="E137" s="2719" t="s">
        <v>968</v>
      </c>
      <c r="F137" s="2719" t="s">
        <v>969</v>
      </c>
      <c r="G137" s="2719" t="s">
        <v>980</v>
      </c>
      <c r="H137" s="2720" t="s">
        <v>988</v>
      </c>
      <c r="I137" s="2721" t="s">
        <v>3086</v>
      </c>
      <c r="J137" s="2722">
        <f>+AA137</f>
        <v>8.06</v>
      </c>
      <c r="K137" s="2623">
        <f>+AA139</f>
        <v>39999.960000000014</v>
      </c>
      <c r="L137" s="2563" t="s">
        <v>983</v>
      </c>
      <c r="M137" s="2647" t="s">
        <v>51</v>
      </c>
      <c r="N137" s="2648"/>
      <c r="O137" s="792">
        <v>8.06</v>
      </c>
      <c r="P137" s="792">
        <v>8.06</v>
      </c>
      <c r="Q137" s="792">
        <v>8.06</v>
      </c>
      <c r="R137" s="792">
        <v>8.06</v>
      </c>
      <c r="S137" s="792">
        <v>8.06</v>
      </c>
      <c r="T137" s="792">
        <v>8.06</v>
      </c>
      <c r="U137" s="792">
        <v>8.06</v>
      </c>
      <c r="V137" s="792">
        <v>8.06</v>
      </c>
      <c r="W137" s="792">
        <v>8.06</v>
      </c>
      <c r="X137" s="792">
        <v>8.06</v>
      </c>
      <c r="Y137" s="792">
        <v>8.06</v>
      </c>
      <c r="Z137" s="792">
        <v>8.06</v>
      </c>
      <c r="AA137" s="867">
        <v>8.06</v>
      </c>
    </row>
    <row r="138" spans="1:27" ht="15" customHeight="1" x14ac:dyDescent="0.25">
      <c r="A138" s="802"/>
      <c r="B138" s="2711"/>
      <c r="C138" s="2714"/>
      <c r="D138" s="2726"/>
      <c r="E138" s="2719"/>
      <c r="F138" s="2719"/>
      <c r="G138" s="2719"/>
      <c r="H138" s="2720"/>
      <c r="I138" s="2721"/>
      <c r="J138" s="2723"/>
      <c r="K138" s="2624"/>
      <c r="L138" s="2564"/>
      <c r="M138" s="2647" t="s">
        <v>993</v>
      </c>
      <c r="N138" s="2648"/>
      <c r="O138" s="784">
        <f>+O139</f>
        <v>3333.33</v>
      </c>
      <c r="P138" s="784">
        <f t="shared" ref="P138" si="31">+P139</f>
        <v>3333.33</v>
      </c>
      <c r="Q138" s="784">
        <f t="shared" ref="Q138" si="32">+Q139</f>
        <v>3333.33</v>
      </c>
      <c r="R138" s="784">
        <f t="shared" ref="R138" si="33">+R139</f>
        <v>3333.33</v>
      </c>
      <c r="S138" s="784">
        <f t="shared" ref="S138" si="34">+S139</f>
        <v>3333.33</v>
      </c>
      <c r="T138" s="784">
        <f t="shared" ref="T138" si="35">+T139</f>
        <v>3333.33</v>
      </c>
      <c r="U138" s="784">
        <f t="shared" ref="U138" si="36">+U139</f>
        <v>3333.33</v>
      </c>
      <c r="V138" s="784">
        <f t="shared" ref="V138" si="37">+V139</f>
        <v>3333.33</v>
      </c>
      <c r="W138" s="784">
        <f t="shared" ref="W138" si="38">+W139</f>
        <v>3333.33</v>
      </c>
      <c r="X138" s="784">
        <f t="shared" ref="X138" si="39">+X139</f>
        <v>3333.33</v>
      </c>
      <c r="Y138" s="784">
        <f t="shared" ref="Y138" si="40">+Y139</f>
        <v>3333.33</v>
      </c>
      <c r="Z138" s="784">
        <f t="shared" ref="Z138" si="41">+Z139</f>
        <v>3333.33</v>
      </c>
      <c r="AA138" s="860">
        <f>SUM(O138:Z138)</f>
        <v>39999.960000000014</v>
      </c>
    </row>
    <row r="139" spans="1:27" ht="47.25" customHeight="1" x14ac:dyDescent="0.25">
      <c r="A139" s="802"/>
      <c r="B139" s="2712"/>
      <c r="C139" s="2715"/>
      <c r="D139" s="2728"/>
      <c r="E139" s="2719"/>
      <c r="F139" s="2719"/>
      <c r="G139" s="2719"/>
      <c r="H139" s="2720"/>
      <c r="I139" s="2721"/>
      <c r="J139" s="2724"/>
      <c r="K139" s="2625"/>
      <c r="L139" s="2565"/>
      <c r="M139" s="918" t="s">
        <v>1001</v>
      </c>
      <c r="N139" s="918" t="s">
        <v>990</v>
      </c>
      <c r="O139" s="785">
        <v>3333.33</v>
      </c>
      <c r="P139" s="785">
        <v>3333.33</v>
      </c>
      <c r="Q139" s="785">
        <v>3333.33</v>
      </c>
      <c r="R139" s="785">
        <v>3333.33</v>
      </c>
      <c r="S139" s="785">
        <v>3333.33</v>
      </c>
      <c r="T139" s="785">
        <v>3333.33</v>
      </c>
      <c r="U139" s="785">
        <v>3333.33</v>
      </c>
      <c r="V139" s="785">
        <v>3333.33</v>
      </c>
      <c r="W139" s="785">
        <v>3333.33</v>
      </c>
      <c r="X139" s="785">
        <v>3333.33</v>
      </c>
      <c r="Y139" s="785">
        <v>3333.33</v>
      </c>
      <c r="Z139" s="785">
        <v>3333.33</v>
      </c>
      <c r="AA139" s="859">
        <f t="shared" si="5"/>
        <v>39999.960000000014</v>
      </c>
    </row>
    <row r="140" spans="1:27" ht="15" customHeight="1" x14ac:dyDescent="0.25">
      <c r="A140" s="802"/>
      <c r="B140" s="2710"/>
      <c r="C140" s="2713"/>
      <c r="D140" s="2725" t="s">
        <v>1002</v>
      </c>
      <c r="E140" s="2719" t="s">
        <v>968</v>
      </c>
      <c r="F140" s="2719" t="s">
        <v>969</v>
      </c>
      <c r="G140" s="2719" t="s">
        <v>980</v>
      </c>
      <c r="H140" s="2720" t="s">
        <v>988</v>
      </c>
      <c r="I140" s="2721" t="s">
        <v>3086</v>
      </c>
      <c r="J140" s="2722">
        <f>+AA140</f>
        <v>25.45</v>
      </c>
      <c r="K140" s="2623">
        <f>AA142</f>
        <v>72151.920000000013</v>
      </c>
      <c r="L140" s="2563" t="s">
        <v>983</v>
      </c>
      <c r="M140" s="2647" t="s">
        <v>51</v>
      </c>
      <c r="N140" s="2648"/>
      <c r="O140" s="806">
        <v>25.45</v>
      </c>
      <c r="P140" s="806">
        <v>25.45</v>
      </c>
      <c r="Q140" s="806">
        <v>25.45</v>
      </c>
      <c r="R140" s="806">
        <v>25.45</v>
      </c>
      <c r="S140" s="806">
        <v>25.45</v>
      </c>
      <c r="T140" s="806">
        <v>25.45</v>
      </c>
      <c r="U140" s="806">
        <v>25.45</v>
      </c>
      <c r="V140" s="806">
        <v>25.45</v>
      </c>
      <c r="W140" s="806">
        <v>25.45</v>
      </c>
      <c r="X140" s="806">
        <v>25.45</v>
      </c>
      <c r="Y140" s="806">
        <v>25.45</v>
      </c>
      <c r="Z140" s="806">
        <v>25.45</v>
      </c>
      <c r="AA140" s="862">
        <v>25.45</v>
      </c>
    </row>
    <row r="141" spans="1:27" ht="15" customHeight="1" x14ac:dyDescent="0.25">
      <c r="A141" s="802"/>
      <c r="B141" s="2711"/>
      <c r="C141" s="2714"/>
      <c r="D141" s="2726"/>
      <c r="E141" s="2719"/>
      <c r="F141" s="2719"/>
      <c r="G141" s="2719"/>
      <c r="H141" s="2720"/>
      <c r="I141" s="2721"/>
      <c r="J141" s="2723"/>
      <c r="K141" s="2624"/>
      <c r="L141" s="2564"/>
      <c r="M141" s="2647" t="s">
        <v>993</v>
      </c>
      <c r="N141" s="2648"/>
      <c r="O141" s="784">
        <f>+O142</f>
        <v>6012.66</v>
      </c>
      <c r="P141" s="784">
        <f t="shared" ref="P141" si="42">+P142</f>
        <v>6012.66</v>
      </c>
      <c r="Q141" s="784">
        <f t="shared" ref="Q141" si="43">+Q142</f>
        <v>6012.66</v>
      </c>
      <c r="R141" s="784">
        <f t="shared" ref="R141" si="44">+R142</f>
        <v>6012.66</v>
      </c>
      <c r="S141" s="784">
        <f t="shared" ref="S141" si="45">+S142</f>
        <v>6012.66</v>
      </c>
      <c r="T141" s="784">
        <f t="shared" ref="T141" si="46">+T142</f>
        <v>6012.66</v>
      </c>
      <c r="U141" s="784">
        <f t="shared" ref="U141" si="47">+U142</f>
        <v>6012.66</v>
      </c>
      <c r="V141" s="784">
        <f t="shared" ref="V141" si="48">+V142</f>
        <v>6012.66</v>
      </c>
      <c r="W141" s="784">
        <f t="shared" ref="W141" si="49">+W142</f>
        <v>6012.66</v>
      </c>
      <c r="X141" s="784">
        <f t="shared" ref="X141" si="50">+X142</f>
        <v>6012.66</v>
      </c>
      <c r="Y141" s="784">
        <f t="shared" ref="Y141" si="51">+Y142</f>
        <v>6012.66</v>
      </c>
      <c r="Z141" s="784">
        <f t="shared" ref="Z141" si="52">+Z142</f>
        <v>6012.66</v>
      </c>
      <c r="AA141" s="860">
        <f>SUM(O141:Z141)</f>
        <v>72151.920000000013</v>
      </c>
    </row>
    <row r="142" spans="1:27" ht="34.5" customHeight="1" x14ac:dyDescent="0.25">
      <c r="A142" s="802"/>
      <c r="B142" s="2712"/>
      <c r="C142" s="2715"/>
      <c r="D142" s="2728"/>
      <c r="E142" s="2719"/>
      <c r="F142" s="2719"/>
      <c r="G142" s="2719"/>
      <c r="H142" s="2720"/>
      <c r="I142" s="2721"/>
      <c r="J142" s="2724"/>
      <c r="K142" s="2625"/>
      <c r="L142" s="2565"/>
      <c r="M142" s="918" t="s">
        <v>1003</v>
      </c>
      <c r="N142" s="918" t="s">
        <v>990</v>
      </c>
      <c r="O142" s="785">
        <v>6012.66</v>
      </c>
      <c r="P142" s="785">
        <v>6012.66</v>
      </c>
      <c r="Q142" s="785">
        <v>6012.66</v>
      </c>
      <c r="R142" s="785">
        <v>6012.66</v>
      </c>
      <c r="S142" s="785">
        <v>6012.66</v>
      </c>
      <c r="T142" s="785">
        <v>6012.66</v>
      </c>
      <c r="U142" s="785">
        <v>6012.66</v>
      </c>
      <c r="V142" s="785">
        <v>6012.66</v>
      </c>
      <c r="W142" s="785">
        <v>6012.66</v>
      </c>
      <c r="X142" s="785">
        <v>6012.66</v>
      </c>
      <c r="Y142" s="785">
        <v>6012.66</v>
      </c>
      <c r="Z142" s="785">
        <v>6012.66</v>
      </c>
      <c r="AA142" s="859">
        <f t="shared" si="5"/>
        <v>72151.920000000013</v>
      </c>
    </row>
    <row r="143" spans="1:27" ht="15" customHeight="1" x14ac:dyDescent="0.25">
      <c r="A143" s="802"/>
      <c r="B143" s="2710"/>
      <c r="C143" s="2713"/>
      <c r="D143" s="2725" t="s">
        <v>1004</v>
      </c>
      <c r="E143" s="2719" t="s">
        <v>968</v>
      </c>
      <c r="F143" s="2719" t="s">
        <v>969</v>
      </c>
      <c r="G143" s="2719" t="s">
        <v>980</v>
      </c>
      <c r="H143" s="2720" t="s">
        <v>988</v>
      </c>
      <c r="I143" s="2721" t="s">
        <v>3086</v>
      </c>
      <c r="J143" s="2722">
        <f>+AA143</f>
        <v>25.85</v>
      </c>
      <c r="K143" s="2623">
        <f>AA145</f>
        <v>39999.960000000014</v>
      </c>
      <c r="L143" s="2563" t="s">
        <v>983</v>
      </c>
      <c r="M143" s="2647" t="s">
        <v>51</v>
      </c>
      <c r="N143" s="2648"/>
      <c r="O143" s="792">
        <v>25.85</v>
      </c>
      <c r="P143" s="792">
        <v>25.85</v>
      </c>
      <c r="Q143" s="792">
        <v>25.85</v>
      </c>
      <c r="R143" s="792">
        <v>25.85</v>
      </c>
      <c r="S143" s="792">
        <v>25.85</v>
      </c>
      <c r="T143" s="792">
        <v>25.85</v>
      </c>
      <c r="U143" s="792">
        <v>25.85</v>
      </c>
      <c r="V143" s="792">
        <v>25.85</v>
      </c>
      <c r="W143" s="792">
        <v>25.85</v>
      </c>
      <c r="X143" s="792">
        <v>25.85</v>
      </c>
      <c r="Y143" s="792">
        <v>25.85</v>
      </c>
      <c r="Z143" s="792">
        <v>25.85</v>
      </c>
      <c r="AA143" s="867">
        <v>25.85</v>
      </c>
    </row>
    <row r="144" spans="1:27" ht="15" customHeight="1" x14ac:dyDescent="0.25">
      <c r="A144" s="802"/>
      <c r="B144" s="2711"/>
      <c r="C144" s="2714"/>
      <c r="D144" s="2726"/>
      <c r="E144" s="2719"/>
      <c r="F144" s="2719"/>
      <c r="G144" s="2719"/>
      <c r="H144" s="2720"/>
      <c r="I144" s="2721"/>
      <c r="J144" s="2723"/>
      <c r="K144" s="2624"/>
      <c r="L144" s="2564"/>
      <c r="M144" s="2647" t="s">
        <v>993</v>
      </c>
      <c r="N144" s="2648"/>
      <c r="O144" s="784">
        <f>+O145</f>
        <v>3333.33</v>
      </c>
      <c r="P144" s="784">
        <f t="shared" ref="P144" si="53">+P145</f>
        <v>3333.33</v>
      </c>
      <c r="Q144" s="784">
        <f t="shared" ref="Q144" si="54">+Q145</f>
        <v>3333.33</v>
      </c>
      <c r="R144" s="784">
        <f t="shared" ref="R144" si="55">+R145</f>
        <v>3333.33</v>
      </c>
      <c r="S144" s="784">
        <f t="shared" ref="S144" si="56">+S145</f>
        <v>3333.33</v>
      </c>
      <c r="T144" s="784">
        <f t="shared" ref="T144" si="57">+T145</f>
        <v>3333.33</v>
      </c>
      <c r="U144" s="784">
        <f t="shared" ref="U144" si="58">+U145</f>
        <v>3333.33</v>
      </c>
      <c r="V144" s="784">
        <f t="shared" ref="V144" si="59">+V145</f>
        <v>3333.33</v>
      </c>
      <c r="W144" s="784">
        <f t="shared" ref="W144" si="60">+W145</f>
        <v>3333.33</v>
      </c>
      <c r="X144" s="784">
        <f t="shared" ref="X144" si="61">+X145</f>
        <v>3333.33</v>
      </c>
      <c r="Y144" s="784">
        <f t="shared" ref="Y144" si="62">+Y145</f>
        <v>3333.33</v>
      </c>
      <c r="Z144" s="784">
        <f t="shared" ref="Z144" si="63">+Z145</f>
        <v>3333.33</v>
      </c>
      <c r="AA144" s="860">
        <f>SUM(O144:Z144)</f>
        <v>39999.960000000014</v>
      </c>
    </row>
    <row r="145" spans="1:27" ht="33.75" customHeight="1" x14ac:dyDescent="0.25">
      <c r="A145" s="802"/>
      <c r="B145" s="2712"/>
      <c r="C145" s="2715"/>
      <c r="D145" s="2728"/>
      <c r="E145" s="2719"/>
      <c r="F145" s="2719"/>
      <c r="G145" s="2719"/>
      <c r="H145" s="2720"/>
      <c r="I145" s="2721"/>
      <c r="J145" s="2724"/>
      <c r="K145" s="2625"/>
      <c r="L145" s="2565"/>
      <c r="M145" s="918" t="s">
        <v>228</v>
      </c>
      <c r="N145" s="918" t="s">
        <v>990</v>
      </c>
      <c r="O145" s="785">
        <v>3333.33</v>
      </c>
      <c r="P145" s="785">
        <v>3333.33</v>
      </c>
      <c r="Q145" s="785">
        <v>3333.33</v>
      </c>
      <c r="R145" s="785">
        <v>3333.33</v>
      </c>
      <c r="S145" s="785">
        <v>3333.33</v>
      </c>
      <c r="T145" s="785">
        <v>3333.33</v>
      </c>
      <c r="U145" s="785">
        <v>3333.33</v>
      </c>
      <c r="V145" s="785">
        <v>3333.33</v>
      </c>
      <c r="W145" s="785">
        <v>3333.33</v>
      </c>
      <c r="X145" s="785">
        <v>3333.33</v>
      </c>
      <c r="Y145" s="785">
        <v>3333.33</v>
      </c>
      <c r="Z145" s="785">
        <v>3333.33</v>
      </c>
      <c r="AA145" s="859">
        <f>SUM(O145:Z145)</f>
        <v>39999.960000000014</v>
      </c>
    </row>
    <row r="146" spans="1:27" ht="15" customHeight="1" x14ac:dyDescent="0.25">
      <c r="A146" s="802"/>
      <c r="B146" s="2710"/>
      <c r="C146" s="2713"/>
      <c r="D146" s="2725" t="s">
        <v>1005</v>
      </c>
      <c r="E146" s="2719" t="s">
        <v>968</v>
      </c>
      <c r="F146" s="2719" t="s">
        <v>969</v>
      </c>
      <c r="G146" s="2719" t="s">
        <v>980</v>
      </c>
      <c r="H146" s="2720" t="s">
        <v>988</v>
      </c>
      <c r="I146" s="2721" t="s">
        <v>3086</v>
      </c>
      <c r="J146" s="2722">
        <f>+AA146</f>
        <v>15</v>
      </c>
      <c r="K146" s="2623">
        <f>AA148</f>
        <v>39999.960000000014</v>
      </c>
      <c r="L146" s="2563" t="s">
        <v>983</v>
      </c>
      <c r="M146" s="2647" t="s">
        <v>51</v>
      </c>
      <c r="N146" s="2648"/>
      <c r="O146" s="792">
        <v>15</v>
      </c>
      <c r="P146" s="792">
        <v>15</v>
      </c>
      <c r="Q146" s="792">
        <v>15</v>
      </c>
      <c r="R146" s="792">
        <v>15</v>
      </c>
      <c r="S146" s="792">
        <v>15</v>
      </c>
      <c r="T146" s="792">
        <v>15</v>
      </c>
      <c r="U146" s="792">
        <v>15</v>
      </c>
      <c r="V146" s="792">
        <v>15</v>
      </c>
      <c r="W146" s="792">
        <v>15</v>
      </c>
      <c r="X146" s="792">
        <v>15</v>
      </c>
      <c r="Y146" s="792">
        <v>15</v>
      </c>
      <c r="Z146" s="792">
        <v>15</v>
      </c>
      <c r="AA146" s="867">
        <v>15</v>
      </c>
    </row>
    <row r="147" spans="1:27" ht="15" customHeight="1" x14ac:dyDescent="0.25">
      <c r="A147" s="802"/>
      <c r="B147" s="2711"/>
      <c r="C147" s="2714"/>
      <c r="D147" s="2726"/>
      <c r="E147" s="2719"/>
      <c r="F147" s="2719"/>
      <c r="G147" s="2719"/>
      <c r="H147" s="2720"/>
      <c r="I147" s="2721"/>
      <c r="J147" s="2723"/>
      <c r="K147" s="2624"/>
      <c r="L147" s="2564"/>
      <c r="M147" s="2647" t="s">
        <v>993</v>
      </c>
      <c r="N147" s="2648"/>
      <c r="O147" s="784">
        <f>+O148</f>
        <v>3333.33</v>
      </c>
      <c r="P147" s="784">
        <f t="shared" ref="P147" si="64">+P148</f>
        <v>3333.33</v>
      </c>
      <c r="Q147" s="784">
        <f t="shared" ref="Q147" si="65">+Q148</f>
        <v>3333.33</v>
      </c>
      <c r="R147" s="784">
        <f t="shared" ref="R147" si="66">+R148</f>
        <v>3333.33</v>
      </c>
      <c r="S147" s="784">
        <f t="shared" ref="S147" si="67">+S148</f>
        <v>3333.33</v>
      </c>
      <c r="T147" s="784">
        <f t="shared" ref="T147" si="68">+T148</f>
        <v>3333.33</v>
      </c>
      <c r="U147" s="784">
        <f t="shared" ref="U147" si="69">+U148</f>
        <v>3333.33</v>
      </c>
      <c r="V147" s="784">
        <f t="shared" ref="V147" si="70">+V148</f>
        <v>3333.33</v>
      </c>
      <c r="W147" s="784">
        <f t="shared" ref="W147" si="71">+W148</f>
        <v>3333.33</v>
      </c>
      <c r="X147" s="784">
        <f t="shared" ref="X147" si="72">+X148</f>
        <v>3333.33</v>
      </c>
      <c r="Y147" s="784">
        <f t="shared" ref="Y147" si="73">+Y148</f>
        <v>3333.33</v>
      </c>
      <c r="Z147" s="784">
        <f t="shared" ref="Z147" si="74">+Z148</f>
        <v>3333.33</v>
      </c>
      <c r="AA147" s="860">
        <f>SUM(O147:Z147)</f>
        <v>39999.960000000014</v>
      </c>
    </row>
    <row r="148" spans="1:27" ht="33.75" customHeight="1" x14ac:dyDescent="0.25">
      <c r="A148" s="802"/>
      <c r="B148" s="2712"/>
      <c r="C148" s="2715"/>
      <c r="D148" s="2728"/>
      <c r="E148" s="2719"/>
      <c r="F148" s="2719"/>
      <c r="G148" s="2719"/>
      <c r="H148" s="2720"/>
      <c r="I148" s="2721"/>
      <c r="J148" s="2724"/>
      <c r="K148" s="2625"/>
      <c r="L148" s="2565"/>
      <c r="M148" s="918" t="s">
        <v>1006</v>
      </c>
      <c r="N148" s="918" t="s">
        <v>990</v>
      </c>
      <c r="O148" s="785">
        <v>3333.33</v>
      </c>
      <c r="P148" s="785">
        <v>3333.33</v>
      </c>
      <c r="Q148" s="785">
        <v>3333.33</v>
      </c>
      <c r="R148" s="785">
        <v>3333.33</v>
      </c>
      <c r="S148" s="785">
        <v>3333.33</v>
      </c>
      <c r="T148" s="785">
        <v>3333.33</v>
      </c>
      <c r="U148" s="785">
        <v>3333.33</v>
      </c>
      <c r="V148" s="785">
        <v>3333.33</v>
      </c>
      <c r="W148" s="785">
        <v>3333.33</v>
      </c>
      <c r="X148" s="785">
        <v>3333.33</v>
      </c>
      <c r="Y148" s="785">
        <v>3333.33</v>
      </c>
      <c r="Z148" s="785">
        <v>3333.33</v>
      </c>
      <c r="AA148" s="859">
        <f t="shared" si="5"/>
        <v>39999.960000000014</v>
      </c>
    </row>
    <row r="149" spans="1:27" ht="15" customHeight="1" x14ac:dyDescent="0.25">
      <c r="A149" s="802"/>
      <c r="B149" s="2710"/>
      <c r="C149" s="2713"/>
      <c r="D149" s="2725" t="s">
        <v>1007</v>
      </c>
      <c r="E149" s="2719" t="s">
        <v>968</v>
      </c>
      <c r="F149" s="2719" t="s">
        <v>969</v>
      </c>
      <c r="G149" s="2719" t="s">
        <v>980</v>
      </c>
      <c r="H149" s="2720" t="s">
        <v>988</v>
      </c>
      <c r="I149" s="2721" t="s">
        <v>3086</v>
      </c>
      <c r="J149" s="2722">
        <f>+AA149</f>
        <v>22.92</v>
      </c>
      <c r="K149" s="2623">
        <f t="shared" ref="K149" si="75">AA151</f>
        <v>39999.960000000014</v>
      </c>
      <c r="L149" s="2563" t="s">
        <v>983</v>
      </c>
      <c r="M149" s="2647" t="s">
        <v>51</v>
      </c>
      <c r="N149" s="2648"/>
      <c r="O149" s="792">
        <v>22.92</v>
      </c>
      <c r="P149" s="792">
        <v>22.92</v>
      </c>
      <c r="Q149" s="792">
        <v>22.92</v>
      </c>
      <c r="R149" s="792">
        <v>22.92</v>
      </c>
      <c r="S149" s="792">
        <v>22.92</v>
      </c>
      <c r="T149" s="792">
        <v>22.92</v>
      </c>
      <c r="U149" s="792">
        <v>22.92</v>
      </c>
      <c r="V149" s="792">
        <v>22.92</v>
      </c>
      <c r="W149" s="792">
        <v>22.92</v>
      </c>
      <c r="X149" s="792">
        <v>22.92</v>
      </c>
      <c r="Y149" s="792">
        <v>22.92</v>
      </c>
      <c r="Z149" s="792">
        <v>22.92</v>
      </c>
      <c r="AA149" s="867">
        <v>22.92</v>
      </c>
    </row>
    <row r="150" spans="1:27" ht="15" customHeight="1" x14ac:dyDescent="0.25">
      <c r="A150" s="802"/>
      <c r="B150" s="2711"/>
      <c r="C150" s="2714"/>
      <c r="D150" s="2726"/>
      <c r="E150" s="2719"/>
      <c r="F150" s="2719"/>
      <c r="G150" s="2719"/>
      <c r="H150" s="2720"/>
      <c r="I150" s="2721"/>
      <c r="J150" s="2723"/>
      <c r="K150" s="2624"/>
      <c r="L150" s="2564"/>
      <c r="M150" s="2647" t="s">
        <v>993</v>
      </c>
      <c r="N150" s="2648"/>
      <c r="O150" s="784">
        <f>+O151</f>
        <v>3333.33</v>
      </c>
      <c r="P150" s="784">
        <f t="shared" ref="P150" si="76">+P151</f>
        <v>3333.33</v>
      </c>
      <c r="Q150" s="784">
        <f t="shared" ref="Q150" si="77">+Q151</f>
        <v>3333.33</v>
      </c>
      <c r="R150" s="784">
        <f t="shared" ref="R150" si="78">+R151</f>
        <v>3333.33</v>
      </c>
      <c r="S150" s="784">
        <f t="shared" ref="S150" si="79">+S151</f>
        <v>3333.33</v>
      </c>
      <c r="T150" s="784">
        <f t="shared" ref="T150" si="80">+T151</f>
        <v>3333.33</v>
      </c>
      <c r="U150" s="784">
        <f t="shared" ref="U150" si="81">+U151</f>
        <v>3333.33</v>
      </c>
      <c r="V150" s="784">
        <f t="shared" ref="V150" si="82">+V151</f>
        <v>3333.33</v>
      </c>
      <c r="W150" s="784">
        <f t="shared" ref="W150" si="83">+W151</f>
        <v>3333.33</v>
      </c>
      <c r="X150" s="784">
        <f t="shared" ref="X150" si="84">+X151</f>
        <v>3333.33</v>
      </c>
      <c r="Y150" s="784">
        <f t="shared" ref="Y150" si="85">+Y151</f>
        <v>3333.33</v>
      </c>
      <c r="Z150" s="784">
        <f t="shared" ref="Z150" si="86">+Z151</f>
        <v>3333.33</v>
      </c>
      <c r="AA150" s="860">
        <f>SUM(O150:Z150)</f>
        <v>39999.960000000014</v>
      </c>
    </row>
    <row r="151" spans="1:27" ht="33" customHeight="1" x14ac:dyDescent="0.25">
      <c r="A151" s="802"/>
      <c r="B151" s="2712"/>
      <c r="C151" s="2715"/>
      <c r="D151" s="2728"/>
      <c r="E151" s="2719"/>
      <c r="F151" s="2719"/>
      <c r="G151" s="2719"/>
      <c r="H151" s="2720"/>
      <c r="I151" s="2721"/>
      <c r="J151" s="2724"/>
      <c r="K151" s="2625"/>
      <c r="L151" s="2565"/>
      <c r="M151" s="918" t="s">
        <v>1008</v>
      </c>
      <c r="N151" s="918" t="s">
        <v>990</v>
      </c>
      <c r="O151" s="785">
        <v>3333.33</v>
      </c>
      <c r="P151" s="785">
        <v>3333.33</v>
      </c>
      <c r="Q151" s="785">
        <v>3333.33</v>
      </c>
      <c r="R151" s="785">
        <v>3333.33</v>
      </c>
      <c r="S151" s="785">
        <v>3333.33</v>
      </c>
      <c r="T151" s="785">
        <v>3333.33</v>
      </c>
      <c r="U151" s="785">
        <v>3333.33</v>
      </c>
      <c r="V151" s="785">
        <v>3333.33</v>
      </c>
      <c r="W151" s="785">
        <v>3333.33</v>
      </c>
      <c r="X151" s="785">
        <v>3333.33</v>
      </c>
      <c r="Y151" s="785">
        <v>3333.33</v>
      </c>
      <c r="Z151" s="785">
        <v>3333.33</v>
      </c>
      <c r="AA151" s="859">
        <f t="shared" si="5"/>
        <v>39999.960000000014</v>
      </c>
    </row>
    <row r="152" spans="1:27" ht="15" customHeight="1" x14ac:dyDescent="0.25">
      <c r="A152" s="802"/>
      <c r="B152" s="2710"/>
      <c r="C152" s="2713"/>
      <c r="D152" s="2725" t="s">
        <v>1009</v>
      </c>
      <c r="E152" s="2719" t="s">
        <v>968</v>
      </c>
      <c r="F152" s="2719" t="s">
        <v>969</v>
      </c>
      <c r="G152" s="2719" t="s">
        <v>980</v>
      </c>
      <c r="H152" s="2720" t="s">
        <v>988</v>
      </c>
      <c r="I152" s="2721" t="s">
        <v>3086</v>
      </c>
      <c r="J152" s="2722">
        <f>+AA152</f>
        <v>13.5</v>
      </c>
      <c r="K152" s="2623">
        <f t="shared" ref="K152" si="87">AA154</f>
        <v>39999.960000000014</v>
      </c>
      <c r="L152" s="2563" t="s">
        <v>983</v>
      </c>
      <c r="M152" s="2647" t="s">
        <v>51</v>
      </c>
      <c r="N152" s="2648"/>
      <c r="O152" s="806">
        <v>13.5</v>
      </c>
      <c r="P152" s="806">
        <v>13.5</v>
      </c>
      <c r="Q152" s="806">
        <v>13.5</v>
      </c>
      <c r="R152" s="806">
        <v>13.5</v>
      </c>
      <c r="S152" s="806">
        <v>13.5</v>
      </c>
      <c r="T152" s="806">
        <v>13.5</v>
      </c>
      <c r="U152" s="806">
        <v>13.5</v>
      </c>
      <c r="V152" s="806">
        <v>13.5</v>
      </c>
      <c r="W152" s="806">
        <v>13.5</v>
      </c>
      <c r="X152" s="806">
        <v>13.5</v>
      </c>
      <c r="Y152" s="806">
        <v>13.5</v>
      </c>
      <c r="Z152" s="806">
        <v>13.5</v>
      </c>
      <c r="AA152" s="862">
        <v>13.5</v>
      </c>
    </row>
    <row r="153" spans="1:27" ht="15" customHeight="1" x14ac:dyDescent="0.25">
      <c r="A153" s="802"/>
      <c r="B153" s="2711"/>
      <c r="C153" s="2714"/>
      <c r="D153" s="2726"/>
      <c r="E153" s="2719"/>
      <c r="F153" s="2719"/>
      <c r="G153" s="2719"/>
      <c r="H153" s="2720"/>
      <c r="I153" s="2721"/>
      <c r="J153" s="2723"/>
      <c r="K153" s="2624"/>
      <c r="L153" s="2564"/>
      <c r="M153" s="2647" t="s">
        <v>993</v>
      </c>
      <c r="N153" s="2648"/>
      <c r="O153" s="784">
        <f>+O154</f>
        <v>3333.33</v>
      </c>
      <c r="P153" s="784">
        <f t="shared" ref="P153" si="88">+P154</f>
        <v>3333.33</v>
      </c>
      <c r="Q153" s="784">
        <f t="shared" ref="Q153" si="89">+Q154</f>
        <v>3333.33</v>
      </c>
      <c r="R153" s="784">
        <f t="shared" ref="R153" si="90">+R154</f>
        <v>3333.33</v>
      </c>
      <c r="S153" s="784">
        <f t="shared" ref="S153" si="91">+S154</f>
        <v>3333.33</v>
      </c>
      <c r="T153" s="784">
        <f t="shared" ref="T153" si="92">+T154</f>
        <v>3333.33</v>
      </c>
      <c r="U153" s="784">
        <f t="shared" ref="U153" si="93">+U154</f>
        <v>3333.33</v>
      </c>
      <c r="V153" s="784">
        <f t="shared" ref="V153" si="94">+V154</f>
        <v>3333.33</v>
      </c>
      <c r="W153" s="784">
        <f t="shared" ref="W153" si="95">+W154</f>
        <v>3333.33</v>
      </c>
      <c r="X153" s="784">
        <f t="shared" ref="X153" si="96">+X154</f>
        <v>3333.33</v>
      </c>
      <c r="Y153" s="784">
        <f t="shared" ref="Y153" si="97">+Y154</f>
        <v>3333.33</v>
      </c>
      <c r="Z153" s="784">
        <f t="shared" ref="Z153" si="98">+Z154</f>
        <v>3333.33</v>
      </c>
      <c r="AA153" s="860">
        <f>SUM(O153:Z153)</f>
        <v>39999.960000000014</v>
      </c>
    </row>
    <row r="154" spans="1:27" ht="32.25" customHeight="1" x14ac:dyDescent="0.25">
      <c r="A154" s="802"/>
      <c r="B154" s="2712"/>
      <c r="C154" s="2715"/>
      <c r="D154" s="2727"/>
      <c r="E154" s="2719"/>
      <c r="F154" s="2719"/>
      <c r="G154" s="2719"/>
      <c r="H154" s="2720"/>
      <c r="I154" s="2721"/>
      <c r="J154" s="2724"/>
      <c r="K154" s="2625"/>
      <c r="L154" s="2565"/>
      <c r="M154" s="918" t="s">
        <v>1010</v>
      </c>
      <c r="N154" s="918" t="s">
        <v>990</v>
      </c>
      <c r="O154" s="785">
        <v>3333.33</v>
      </c>
      <c r="P154" s="785">
        <v>3333.33</v>
      </c>
      <c r="Q154" s="785">
        <v>3333.33</v>
      </c>
      <c r="R154" s="785">
        <v>3333.33</v>
      </c>
      <c r="S154" s="785">
        <v>3333.33</v>
      </c>
      <c r="T154" s="785">
        <v>3333.33</v>
      </c>
      <c r="U154" s="785">
        <v>3333.33</v>
      </c>
      <c r="V154" s="785">
        <v>3333.33</v>
      </c>
      <c r="W154" s="785">
        <v>3333.33</v>
      </c>
      <c r="X154" s="785">
        <v>3333.33</v>
      </c>
      <c r="Y154" s="785">
        <v>3333.33</v>
      </c>
      <c r="Z154" s="785">
        <v>3333.33</v>
      </c>
      <c r="AA154" s="859">
        <f t="shared" si="5"/>
        <v>39999.960000000014</v>
      </c>
    </row>
    <row r="155" spans="1:27" ht="15" customHeight="1" x14ac:dyDescent="0.25">
      <c r="A155" s="802"/>
      <c r="B155" s="2710"/>
      <c r="C155" s="2713"/>
      <c r="D155" s="2725" t="s">
        <v>1011</v>
      </c>
      <c r="E155" s="2719" t="s">
        <v>968</v>
      </c>
      <c r="F155" s="2719" t="s">
        <v>969</v>
      </c>
      <c r="G155" s="2719" t="s">
        <v>980</v>
      </c>
      <c r="H155" s="2720" t="s">
        <v>988</v>
      </c>
      <c r="I155" s="2721" t="s">
        <v>3086</v>
      </c>
      <c r="J155" s="2722">
        <f t="shared" ref="J155" si="99">+AA155</f>
        <v>15</v>
      </c>
      <c r="K155" s="2623">
        <f>AA157</f>
        <v>7387.9199999999992</v>
      </c>
      <c r="L155" s="2563" t="s">
        <v>983</v>
      </c>
      <c r="M155" s="2647" t="s">
        <v>51</v>
      </c>
      <c r="N155" s="2648"/>
      <c r="O155" s="798">
        <v>15</v>
      </c>
      <c r="P155" s="798">
        <v>15</v>
      </c>
      <c r="Q155" s="798">
        <v>15</v>
      </c>
      <c r="R155" s="798">
        <v>15</v>
      </c>
      <c r="S155" s="798">
        <v>15</v>
      </c>
      <c r="T155" s="798">
        <v>15</v>
      </c>
      <c r="U155" s="798">
        <v>15</v>
      </c>
      <c r="V155" s="798">
        <v>15</v>
      </c>
      <c r="W155" s="798">
        <v>15</v>
      </c>
      <c r="X155" s="798">
        <v>15</v>
      </c>
      <c r="Y155" s="798">
        <v>15</v>
      </c>
      <c r="Z155" s="798">
        <v>15</v>
      </c>
      <c r="AA155" s="866">
        <v>15</v>
      </c>
    </row>
    <row r="156" spans="1:27" x14ac:dyDescent="0.25">
      <c r="A156" s="802"/>
      <c r="B156" s="2711"/>
      <c r="C156" s="2714"/>
      <c r="D156" s="2726"/>
      <c r="E156" s="2719"/>
      <c r="F156" s="2719"/>
      <c r="G156" s="2719"/>
      <c r="H156" s="2720"/>
      <c r="I156" s="2721"/>
      <c r="J156" s="2723"/>
      <c r="K156" s="2624"/>
      <c r="L156" s="2564"/>
      <c r="M156" s="2647" t="s">
        <v>993</v>
      </c>
      <c r="N156" s="2648"/>
      <c r="O156" s="784">
        <f>+O157</f>
        <v>615.66</v>
      </c>
      <c r="P156" s="784">
        <f t="shared" ref="P156" si="100">+P157</f>
        <v>615.66</v>
      </c>
      <c r="Q156" s="784">
        <f t="shared" ref="Q156" si="101">+Q157</f>
        <v>615.66</v>
      </c>
      <c r="R156" s="784">
        <f t="shared" ref="R156" si="102">+R157</f>
        <v>615.66</v>
      </c>
      <c r="S156" s="784">
        <f t="shared" ref="S156" si="103">+S157</f>
        <v>615.66</v>
      </c>
      <c r="T156" s="784">
        <f t="shared" ref="T156" si="104">+T157</f>
        <v>615.66</v>
      </c>
      <c r="U156" s="784">
        <f t="shared" ref="U156" si="105">+U157</f>
        <v>615.66</v>
      </c>
      <c r="V156" s="784">
        <f t="shared" ref="V156" si="106">+V157</f>
        <v>615.66</v>
      </c>
      <c r="W156" s="784">
        <f t="shared" ref="W156" si="107">+W157</f>
        <v>615.66</v>
      </c>
      <c r="X156" s="784">
        <f t="shared" ref="X156" si="108">+X157</f>
        <v>615.66</v>
      </c>
      <c r="Y156" s="784">
        <f t="shared" ref="Y156" si="109">+Y157</f>
        <v>615.66</v>
      </c>
      <c r="Z156" s="784">
        <f t="shared" ref="Z156" si="110">+Z157</f>
        <v>615.66</v>
      </c>
      <c r="AA156" s="860">
        <f>SUM(O156:Z156)</f>
        <v>7387.9199999999992</v>
      </c>
    </row>
    <row r="157" spans="1:27" ht="36" customHeight="1" x14ac:dyDescent="0.25">
      <c r="A157" s="802"/>
      <c r="B157" s="2712"/>
      <c r="C157" s="2715"/>
      <c r="D157" s="2728"/>
      <c r="E157" s="2719"/>
      <c r="F157" s="2719"/>
      <c r="G157" s="2719"/>
      <c r="H157" s="2720"/>
      <c r="I157" s="2721"/>
      <c r="J157" s="2724"/>
      <c r="K157" s="2625"/>
      <c r="L157" s="2565"/>
      <c r="M157" s="918" t="s">
        <v>1012</v>
      </c>
      <c r="N157" s="918" t="s">
        <v>990</v>
      </c>
      <c r="O157" s="785">
        <v>615.66</v>
      </c>
      <c r="P157" s="785">
        <v>615.66</v>
      </c>
      <c r="Q157" s="785">
        <v>615.66</v>
      </c>
      <c r="R157" s="785">
        <v>615.66</v>
      </c>
      <c r="S157" s="785">
        <v>615.66</v>
      </c>
      <c r="T157" s="785">
        <v>615.66</v>
      </c>
      <c r="U157" s="785">
        <v>615.66</v>
      </c>
      <c r="V157" s="785">
        <v>615.66</v>
      </c>
      <c r="W157" s="785">
        <v>615.66</v>
      </c>
      <c r="X157" s="785">
        <v>615.66</v>
      </c>
      <c r="Y157" s="785">
        <v>615.66</v>
      </c>
      <c r="Z157" s="785">
        <v>615.66</v>
      </c>
      <c r="AA157" s="859">
        <f t="shared" si="5"/>
        <v>7387.9199999999992</v>
      </c>
    </row>
    <row r="158" spans="1:27" ht="15" customHeight="1" x14ac:dyDescent="0.25">
      <c r="A158" s="802"/>
      <c r="B158" s="2710"/>
      <c r="C158" s="2713"/>
      <c r="D158" s="2725" t="s">
        <v>1013</v>
      </c>
      <c r="E158" s="2719" t="s">
        <v>968</v>
      </c>
      <c r="F158" s="2719" t="s">
        <v>969</v>
      </c>
      <c r="G158" s="2719" t="s">
        <v>980</v>
      </c>
      <c r="H158" s="2720" t="s">
        <v>988</v>
      </c>
      <c r="I158" s="2721" t="s">
        <v>3086</v>
      </c>
      <c r="J158" s="2722">
        <f t="shared" ref="J158" si="111">+AA158</f>
        <v>48</v>
      </c>
      <c r="K158" s="2623">
        <f>AA160</f>
        <v>204343.08</v>
      </c>
      <c r="L158" s="2563" t="s">
        <v>983</v>
      </c>
      <c r="M158" s="2647" t="s">
        <v>51</v>
      </c>
      <c r="N158" s="2648"/>
      <c r="O158" s="806">
        <v>48</v>
      </c>
      <c r="P158" s="806">
        <v>48</v>
      </c>
      <c r="Q158" s="806">
        <v>48</v>
      </c>
      <c r="R158" s="806">
        <v>48</v>
      </c>
      <c r="S158" s="806">
        <v>48</v>
      </c>
      <c r="T158" s="806">
        <v>48</v>
      </c>
      <c r="U158" s="806">
        <v>48</v>
      </c>
      <c r="V158" s="806">
        <v>48</v>
      </c>
      <c r="W158" s="806">
        <v>48</v>
      </c>
      <c r="X158" s="806">
        <v>48</v>
      </c>
      <c r="Y158" s="806">
        <v>48</v>
      </c>
      <c r="Z158" s="806">
        <v>48</v>
      </c>
      <c r="AA158" s="862">
        <v>48</v>
      </c>
    </row>
    <row r="159" spans="1:27" ht="15" customHeight="1" x14ac:dyDescent="0.25">
      <c r="A159" s="802"/>
      <c r="B159" s="2711"/>
      <c r="C159" s="2714"/>
      <c r="D159" s="2726"/>
      <c r="E159" s="2719"/>
      <c r="F159" s="2719"/>
      <c r="G159" s="2719"/>
      <c r="H159" s="2720"/>
      <c r="I159" s="2721"/>
      <c r="J159" s="2723"/>
      <c r="K159" s="2624"/>
      <c r="L159" s="2564"/>
      <c r="M159" s="2647" t="s">
        <v>993</v>
      </c>
      <c r="N159" s="2648"/>
      <c r="O159" s="784">
        <f>+O160</f>
        <v>17028.59</v>
      </c>
      <c r="P159" s="784">
        <f t="shared" ref="P159" si="112">+P160</f>
        <v>17028.59</v>
      </c>
      <c r="Q159" s="784">
        <f t="shared" ref="Q159" si="113">+Q160</f>
        <v>17028.59</v>
      </c>
      <c r="R159" s="784">
        <f t="shared" ref="R159" si="114">+R160</f>
        <v>17028.59</v>
      </c>
      <c r="S159" s="784">
        <f t="shared" ref="S159" si="115">+S160</f>
        <v>17028.59</v>
      </c>
      <c r="T159" s="784">
        <f t="shared" ref="T159" si="116">+T160</f>
        <v>17028.59</v>
      </c>
      <c r="U159" s="784">
        <f t="shared" ref="U159" si="117">+U160</f>
        <v>17028.59</v>
      </c>
      <c r="V159" s="784">
        <f t="shared" ref="V159" si="118">+V160</f>
        <v>17028.59</v>
      </c>
      <c r="W159" s="784">
        <f t="shared" ref="W159" si="119">+W160</f>
        <v>17028.59</v>
      </c>
      <c r="X159" s="784">
        <f t="shared" ref="X159" si="120">+X160</f>
        <v>17028.59</v>
      </c>
      <c r="Y159" s="784">
        <f t="shared" ref="Y159" si="121">+Y160</f>
        <v>17028.59</v>
      </c>
      <c r="Z159" s="784">
        <f t="shared" ref="Z159" si="122">+Z160</f>
        <v>17028.59</v>
      </c>
      <c r="AA159" s="860">
        <f>SUM(O159:Z159)</f>
        <v>204343.08</v>
      </c>
    </row>
    <row r="160" spans="1:27" ht="33.75" x14ac:dyDescent="0.25">
      <c r="A160" s="802" t="s">
        <v>256</v>
      </c>
      <c r="B160" s="2712"/>
      <c r="C160" s="2715"/>
      <c r="D160" s="2728"/>
      <c r="E160" s="2719"/>
      <c r="F160" s="2719"/>
      <c r="G160" s="2719"/>
      <c r="H160" s="2720"/>
      <c r="I160" s="2721"/>
      <c r="J160" s="2724"/>
      <c r="K160" s="2625"/>
      <c r="L160" s="2565"/>
      <c r="M160" s="918" t="s">
        <v>1014</v>
      </c>
      <c r="N160" s="918" t="s">
        <v>990</v>
      </c>
      <c r="O160" s="785">
        <v>17028.59</v>
      </c>
      <c r="P160" s="785">
        <v>17028.59</v>
      </c>
      <c r="Q160" s="785">
        <v>17028.59</v>
      </c>
      <c r="R160" s="785">
        <v>17028.59</v>
      </c>
      <c r="S160" s="785">
        <v>17028.59</v>
      </c>
      <c r="T160" s="785">
        <v>17028.59</v>
      </c>
      <c r="U160" s="785">
        <v>17028.59</v>
      </c>
      <c r="V160" s="785">
        <v>17028.59</v>
      </c>
      <c r="W160" s="785">
        <v>17028.59</v>
      </c>
      <c r="X160" s="785">
        <v>17028.59</v>
      </c>
      <c r="Y160" s="785">
        <v>17028.59</v>
      </c>
      <c r="Z160" s="785">
        <v>17028.59</v>
      </c>
      <c r="AA160" s="859">
        <f>SUM(O160:Z160)</f>
        <v>204343.08</v>
      </c>
    </row>
    <row r="161" spans="1:27" ht="15" customHeight="1" x14ac:dyDescent="0.25">
      <c r="A161" s="802"/>
      <c r="B161" s="2710"/>
      <c r="C161" s="2713"/>
      <c r="D161" s="2725" t="s">
        <v>1015</v>
      </c>
      <c r="E161" s="2719" t="s">
        <v>968</v>
      </c>
      <c r="F161" s="2719" t="s">
        <v>969</v>
      </c>
      <c r="G161" s="2719" t="s">
        <v>980</v>
      </c>
      <c r="H161" s="2720" t="s">
        <v>988</v>
      </c>
      <c r="I161" s="2721" t="s">
        <v>3086</v>
      </c>
      <c r="J161" s="2722">
        <f t="shared" ref="J161" si="123">+AA161</f>
        <v>30</v>
      </c>
      <c r="K161" s="2623">
        <f>AA163</f>
        <v>66000</v>
      </c>
      <c r="L161" s="2563" t="s">
        <v>983</v>
      </c>
      <c r="M161" s="2647" t="s">
        <v>51</v>
      </c>
      <c r="N161" s="2648"/>
      <c r="O161" s="792">
        <v>30</v>
      </c>
      <c r="P161" s="792">
        <v>30</v>
      </c>
      <c r="Q161" s="792">
        <v>30</v>
      </c>
      <c r="R161" s="792">
        <v>30</v>
      </c>
      <c r="S161" s="792">
        <v>30</v>
      </c>
      <c r="T161" s="792">
        <v>30</v>
      </c>
      <c r="U161" s="792">
        <v>30</v>
      </c>
      <c r="V161" s="792">
        <v>30</v>
      </c>
      <c r="W161" s="792">
        <v>30</v>
      </c>
      <c r="X161" s="792">
        <v>30</v>
      </c>
      <c r="Y161" s="792">
        <v>30</v>
      </c>
      <c r="Z161" s="792">
        <v>30</v>
      </c>
      <c r="AA161" s="867">
        <v>30</v>
      </c>
    </row>
    <row r="162" spans="1:27" ht="15" customHeight="1" x14ac:dyDescent="0.25">
      <c r="A162" s="802"/>
      <c r="B162" s="2711"/>
      <c r="C162" s="2714"/>
      <c r="D162" s="2726"/>
      <c r="E162" s="2719"/>
      <c r="F162" s="2719"/>
      <c r="G162" s="2719"/>
      <c r="H162" s="2720"/>
      <c r="I162" s="2721"/>
      <c r="J162" s="2723"/>
      <c r="K162" s="2624"/>
      <c r="L162" s="2564"/>
      <c r="M162" s="2647" t="s">
        <v>993</v>
      </c>
      <c r="N162" s="2648"/>
      <c r="O162" s="784">
        <f>+O163</f>
        <v>5500</v>
      </c>
      <c r="P162" s="784">
        <f t="shared" ref="P162" si="124">+P163</f>
        <v>5500</v>
      </c>
      <c r="Q162" s="784">
        <f t="shared" ref="Q162" si="125">+Q163</f>
        <v>5500</v>
      </c>
      <c r="R162" s="784">
        <f t="shared" ref="R162" si="126">+R163</f>
        <v>5500</v>
      </c>
      <c r="S162" s="784">
        <f t="shared" ref="S162" si="127">+S163</f>
        <v>5500</v>
      </c>
      <c r="T162" s="784">
        <f t="shared" ref="T162" si="128">+T163</f>
        <v>5500</v>
      </c>
      <c r="U162" s="784">
        <f t="shared" ref="U162" si="129">+U163</f>
        <v>5500</v>
      </c>
      <c r="V162" s="784">
        <f t="shared" ref="V162" si="130">+V163</f>
        <v>5500</v>
      </c>
      <c r="W162" s="784">
        <f t="shared" ref="W162" si="131">+W163</f>
        <v>5500</v>
      </c>
      <c r="X162" s="784">
        <f t="shared" ref="X162" si="132">+X163</f>
        <v>5500</v>
      </c>
      <c r="Y162" s="784">
        <f t="shared" ref="Y162" si="133">+Y163</f>
        <v>5500</v>
      </c>
      <c r="Z162" s="784">
        <f t="shared" ref="Z162" si="134">+Z163</f>
        <v>5500</v>
      </c>
      <c r="AA162" s="860">
        <f>SUM(O162:Z162)</f>
        <v>66000</v>
      </c>
    </row>
    <row r="163" spans="1:27" ht="33.75" x14ac:dyDescent="0.25">
      <c r="A163" s="802"/>
      <c r="B163" s="2712"/>
      <c r="C163" s="2715"/>
      <c r="D163" s="2728"/>
      <c r="E163" s="2719"/>
      <c r="F163" s="2719"/>
      <c r="G163" s="2719"/>
      <c r="H163" s="2720"/>
      <c r="I163" s="2721"/>
      <c r="J163" s="2724"/>
      <c r="K163" s="2625"/>
      <c r="L163" s="2565"/>
      <c r="M163" s="918" t="s">
        <v>1016</v>
      </c>
      <c r="N163" s="918" t="s">
        <v>990</v>
      </c>
      <c r="O163" s="785">
        <v>5500</v>
      </c>
      <c r="P163" s="785">
        <v>5500</v>
      </c>
      <c r="Q163" s="785">
        <v>5500</v>
      </c>
      <c r="R163" s="785">
        <v>5500</v>
      </c>
      <c r="S163" s="785">
        <v>5500</v>
      </c>
      <c r="T163" s="785">
        <v>5500</v>
      </c>
      <c r="U163" s="785">
        <v>5500</v>
      </c>
      <c r="V163" s="785">
        <v>5500</v>
      </c>
      <c r="W163" s="785">
        <v>5500</v>
      </c>
      <c r="X163" s="785">
        <v>5500</v>
      </c>
      <c r="Y163" s="785">
        <v>5500</v>
      </c>
      <c r="Z163" s="785">
        <v>5500</v>
      </c>
      <c r="AA163" s="859">
        <f t="shared" ref="AA163" si="135">SUM(O163:Z163)</f>
        <v>66000</v>
      </c>
    </row>
    <row r="164" spans="1:27" ht="15" customHeight="1" x14ac:dyDescent="0.25">
      <c r="A164" s="802"/>
      <c r="B164" s="2710"/>
      <c r="C164" s="2713"/>
      <c r="D164" s="2725" t="s">
        <v>1017</v>
      </c>
      <c r="E164" s="2719" t="s">
        <v>968</v>
      </c>
      <c r="F164" s="2719" t="s">
        <v>969</v>
      </c>
      <c r="G164" s="2719" t="s">
        <v>3699</v>
      </c>
      <c r="H164" s="2720" t="s">
        <v>988</v>
      </c>
      <c r="I164" s="2721" t="s">
        <v>3086</v>
      </c>
      <c r="J164" s="2722">
        <f t="shared" ref="J164" si="136">+AA164</f>
        <v>36</v>
      </c>
      <c r="K164" s="2623">
        <f>AA166</f>
        <v>143361</v>
      </c>
      <c r="L164" s="2563" t="s">
        <v>983</v>
      </c>
      <c r="M164" s="2647" t="s">
        <v>51</v>
      </c>
      <c r="N164" s="2648"/>
      <c r="O164" s="792">
        <v>36</v>
      </c>
      <c r="P164" s="792">
        <v>36</v>
      </c>
      <c r="Q164" s="792">
        <v>36</v>
      </c>
      <c r="R164" s="792">
        <v>36</v>
      </c>
      <c r="S164" s="792">
        <v>36</v>
      </c>
      <c r="T164" s="792">
        <v>36</v>
      </c>
      <c r="U164" s="792">
        <v>36</v>
      </c>
      <c r="V164" s="792">
        <v>36</v>
      </c>
      <c r="W164" s="792">
        <v>36</v>
      </c>
      <c r="X164" s="792">
        <v>36</v>
      </c>
      <c r="Y164" s="792">
        <v>36</v>
      </c>
      <c r="Z164" s="792">
        <v>36</v>
      </c>
      <c r="AA164" s="867">
        <v>36</v>
      </c>
    </row>
    <row r="165" spans="1:27" ht="15" customHeight="1" x14ac:dyDescent="0.25">
      <c r="A165" s="802"/>
      <c r="B165" s="2711"/>
      <c r="C165" s="2714"/>
      <c r="D165" s="2726"/>
      <c r="E165" s="2719"/>
      <c r="F165" s="2719"/>
      <c r="G165" s="2719"/>
      <c r="H165" s="2720"/>
      <c r="I165" s="2721"/>
      <c r="J165" s="2723"/>
      <c r="K165" s="2624"/>
      <c r="L165" s="2564"/>
      <c r="M165" s="2647" t="s">
        <v>993</v>
      </c>
      <c r="N165" s="2648"/>
      <c r="O165" s="784">
        <f>+O166</f>
        <v>11946.75</v>
      </c>
      <c r="P165" s="784">
        <f t="shared" ref="P165" si="137">+P166</f>
        <v>11946.75</v>
      </c>
      <c r="Q165" s="784">
        <f t="shared" ref="Q165" si="138">+Q166</f>
        <v>11946.75</v>
      </c>
      <c r="R165" s="784">
        <f t="shared" ref="R165" si="139">+R166</f>
        <v>11946.75</v>
      </c>
      <c r="S165" s="784">
        <f t="shared" ref="S165" si="140">+S166</f>
        <v>11946.75</v>
      </c>
      <c r="T165" s="784">
        <f t="shared" ref="T165" si="141">+T166</f>
        <v>11946.75</v>
      </c>
      <c r="U165" s="784">
        <f t="shared" ref="U165" si="142">+U166</f>
        <v>11946.75</v>
      </c>
      <c r="V165" s="784">
        <f t="shared" ref="V165" si="143">+V166</f>
        <v>11946.75</v>
      </c>
      <c r="W165" s="784">
        <f t="shared" ref="W165" si="144">+W166</f>
        <v>11946.75</v>
      </c>
      <c r="X165" s="784">
        <f t="shared" ref="X165" si="145">+X166</f>
        <v>11946.75</v>
      </c>
      <c r="Y165" s="784">
        <f t="shared" ref="Y165" si="146">+Y166</f>
        <v>11946.75</v>
      </c>
      <c r="Z165" s="784">
        <f t="shared" ref="Z165" si="147">+Z166</f>
        <v>11946.75</v>
      </c>
      <c r="AA165" s="860">
        <f>SUM(O165:Z165)</f>
        <v>143361</v>
      </c>
    </row>
    <row r="166" spans="1:27" ht="51.75" customHeight="1" x14ac:dyDescent="0.25">
      <c r="A166" s="802"/>
      <c r="B166" s="2712"/>
      <c r="C166" s="2715"/>
      <c r="D166" s="2728"/>
      <c r="E166" s="2719"/>
      <c r="F166" s="2719"/>
      <c r="G166" s="2719"/>
      <c r="H166" s="2720"/>
      <c r="I166" s="2721"/>
      <c r="J166" s="2724"/>
      <c r="K166" s="2625"/>
      <c r="L166" s="2565"/>
      <c r="M166" s="918" t="s">
        <v>1018</v>
      </c>
      <c r="N166" s="918" t="s">
        <v>990</v>
      </c>
      <c r="O166" s="785">
        <v>11946.75</v>
      </c>
      <c r="P166" s="785">
        <v>11946.75</v>
      </c>
      <c r="Q166" s="785">
        <v>11946.75</v>
      </c>
      <c r="R166" s="785">
        <v>11946.75</v>
      </c>
      <c r="S166" s="785">
        <v>11946.75</v>
      </c>
      <c r="T166" s="785">
        <v>11946.75</v>
      </c>
      <c r="U166" s="785">
        <v>11946.75</v>
      </c>
      <c r="V166" s="785">
        <v>11946.75</v>
      </c>
      <c r="W166" s="785">
        <v>11946.75</v>
      </c>
      <c r="X166" s="785">
        <v>11946.75</v>
      </c>
      <c r="Y166" s="785">
        <v>11946.75</v>
      </c>
      <c r="Z166" s="785">
        <v>11946.75</v>
      </c>
      <c r="AA166" s="859">
        <f t="shared" ref="AA166" si="148">SUM(O166:Z166)</f>
        <v>143361</v>
      </c>
    </row>
    <row r="167" spans="1:27" ht="15" customHeight="1" x14ac:dyDescent="0.25">
      <c r="A167" s="802"/>
      <c r="B167" s="2710"/>
      <c r="C167" s="2713"/>
      <c r="D167" s="2725" t="s">
        <v>1019</v>
      </c>
      <c r="E167" s="2719" t="s">
        <v>968</v>
      </c>
      <c r="F167" s="2719" t="s">
        <v>969</v>
      </c>
      <c r="G167" s="2719" t="s">
        <v>980</v>
      </c>
      <c r="H167" s="2720" t="s">
        <v>988</v>
      </c>
      <c r="I167" s="2721" t="s">
        <v>3086</v>
      </c>
      <c r="J167" s="2722">
        <f t="shared" ref="J167" si="149">+AA167</f>
        <v>45</v>
      </c>
      <c r="K167" s="2623">
        <f>AA169</f>
        <v>60000</v>
      </c>
      <c r="L167" s="2563" t="s">
        <v>983</v>
      </c>
      <c r="M167" s="2647" t="s">
        <v>51</v>
      </c>
      <c r="N167" s="2648"/>
      <c r="O167" s="792">
        <v>45</v>
      </c>
      <c r="P167" s="792">
        <v>45</v>
      </c>
      <c r="Q167" s="792">
        <v>45</v>
      </c>
      <c r="R167" s="792">
        <v>45</v>
      </c>
      <c r="S167" s="792">
        <v>45</v>
      </c>
      <c r="T167" s="792">
        <v>45</v>
      </c>
      <c r="U167" s="792">
        <v>45</v>
      </c>
      <c r="V167" s="792">
        <v>45</v>
      </c>
      <c r="W167" s="792">
        <v>45</v>
      </c>
      <c r="X167" s="792">
        <v>45</v>
      </c>
      <c r="Y167" s="792">
        <v>45</v>
      </c>
      <c r="Z167" s="792">
        <v>45</v>
      </c>
      <c r="AA167" s="867">
        <v>45</v>
      </c>
    </row>
    <row r="168" spans="1:27" ht="15" customHeight="1" x14ac:dyDescent="0.25">
      <c r="A168" s="802"/>
      <c r="B168" s="2711"/>
      <c r="C168" s="2714"/>
      <c r="D168" s="2726"/>
      <c r="E168" s="2719"/>
      <c r="F168" s="2719"/>
      <c r="G168" s="2719"/>
      <c r="H168" s="2720"/>
      <c r="I168" s="2721"/>
      <c r="J168" s="2723"/>
      <c r="K168" s="2624"/>
      <c r="L168" s="2564"/>
      <c r="M168" s="2647" t="s">
        <v>993</v>
      </c>
      <c r="N168" s="2648"/>
      <c r="O168" s="784">
        <f>+O169</f>
        <v>5000</v>
      </c>
      <c r="P168" s="784">
        <f t="shared" ref="P168" si="150">+P169</f>
        <v>5000</v>
      </c>
      <c r="Q168" s="784">
        <f t="shared" ref="Q168" si="151">+Q169</f>
        <v>5000</v>
      </c>
      <c r="R168" s="784">
        <f t="shared" ref="R168" si="152">+R169</f>
        <v>5000</v>
      </c>
      <c r="S168" s="784">
        <f t="shared" ref="S168" si="153">+S169</f>
        <v>5000</v>
      </c>
      <c r="T168" s="784">
        <f t="shared" ref="T168" si="154">+T169</f>
        <v>5000</v>
      </c>
      <c r="U168" s="784">
        <f t="shared" ref="U168" si="155">+U169</f>
        <v>5000</v>
      </c>
      <c r="V168" s="784">
        <f t="shared" ref="V168" si="156">+V169</f>
        <v>5000</v>
      </c>
      <c r="W168" s="784">
        <f t="shared" ref="W168" si="157">+W169</f>
        <v>5000</v>
      </c>
      <c r="X168" s="784">
        <f t="shared" ref="X168" si="158">+X169</f>
        <v>5000</v>
      </c>
      <c r="Y168" s="784">
        <f t="shared" ref="Y168" si="159">+Y169</f>
        <v>5000</v>
      </c>
      <c r="Z168" s="784">
        <f t="shared" ref="Z168" si="160">+Z169</f>
        <v>5000</v>
      </c>
      <c r="AA168" s="860">
        <f>SUM(O168:Z168)</f>
        <v>60000</v>
      </c>
    </row>
    <row r="169" spans="1:27" ht="49.5" customHeight="1" x14ac:dyDescent="0.25">
      <c r="A169" s="802"/>
      <c r="B169" s="2712"/>
      <c r="C169" s="2715"/>
      <c r="D169" s="2728"/>
      <c r="E169" s="2719"/>
      <c r="F169" s="2719"/>
      <c r="G169" s="2719"/>
      <c r="H169" s="2720"/>
      <c r="I169" s="2721"/>
      <c r="J169" s="2724"/>
      <c r="K169" s="2625"/>
      <c r="L169" s="2565"/>
      <c r="M169" s="918" t="s">
        <v>1020</v>
      </c>
      <c r="N169" s="918" t="s">
        <v>990</v>
      </c>
      <c r="O169" s="785">
        <v>5000</v>
      </c>
      <c r="P169" s="785">
        <v>5000</v>
      </c>
      <c r="Q169" s="785">
        <v>5000</v>
      </c>
      <c r="R169" s="785">
        <v>5000</v>
      </c>
      <c r="S169" s="785">
        <v>5000</v>
      </c>
      <c r="T169" s="785">
        <v>5000</v>
      </c>
      <c r="U169" s="785">
        <v>5000</v>
      </c>
      <c r="V169" s="785">
        <v>5000</v>
      </c>
      <c r="W169" s="785">
        <v>5000</v>
      </c>
      <c r="X169" s="785">
        <v>5000</v>
      </c>
      <c r="Y169" s="785">
        <v>5000</v>
      </c>
      <c r="Z169" s="785">
        <v>5000</v>
      </c>
      <c r="AA169" s="859">
        <f t="shared" ref="AA169:AA189" si="161">SUM(O169:Z169)</f>
        <v>60000</v>
      </c>
    </row>
    <row r="170" spans="1:27" ht="15" customHeight="1" x14ac:dyDescent="0.25">
      <c r="A170" s="802"/>
      <c r="B170" s="2710"/>
      <c r="C170" s="2713"/>
      <c r="D170" s="2725" t="s">
        <v>2936</v>
      </c>
      <c r="E170" s="2719" t="s">
        <v>968</v>
      </c>
      <c r="F170" s="2719" t="s">
        <v>969</v>
      </c>
      <c r="G170" s="2719" t="s">
        <v>980</v>
      </c>
      <c r="H170" s="2720" t="s">
        <v>988</v>
      </c>
      <c r="I170" s="2721" t="s">
        <v>3086</v>
      </c>
      <c r="J170" s="2722">
        <f t="shared" ref="J170" si="162">+AA170</f>
        <v>68</v>
      </c>
      <c r="K170" s="2623">
        <f>AA172</f>
        <v>294706.99200000003</v>
      </c>
      <c r="L170" s="2563" t="s">
        <v>983</v>
      </c>
      <c r="M170" s="2647" t="s">
        <v>51</v>
      </c>
      <c r="N170" s="2648"/>
      <c r="O170" s="792">
        <v>68</v>
      </c>
      <c r="P170" s="792">
        <v>68</v>
      </c>
      <c r="Q170" s="792">
        <v>68</v>
      </c>
      <c r="R170" s="792">
        <v>68</v>
      </c>
      <c r="S170" s="792">
        <v>68</v>
      </c>
      <c r="T170" s="792">
        <v>68</v>
      </c>
      <c r="U170" s="792">
        <v>68</v>
      </c>
      <c r="V170" s="792">
        <v>68</v>
      </c>
      <c r="W170" s="792">
        <v>68</v>
      </c>
      <c r="X170" s="792">
        <v>68</v>
      </c>
      <c r="Y170" s="792">
        <v>68</v>
      </c>
      <c r="Z170" s="792">
        <v>68</v>
      </c>
      <c r="AA170" s="867">
        <v>68</v>
      </c>
    </row>
    <row r="171" spans="1:27" ht="15" customHeight="1" x14ac:dyDescent="0.25">
      <c r="A171" s="802"/>
      <c r="B171" s="2711"/>
      <c r="C171" s="2714"/>
      <c r="D171" s="2726"/>
      <c r="E171" s="2719"/>
      <c r="F171" s="2719"/>
      <c r="G171" s="2719"/>
      <c r="H171" s="2720"/>
      <c r="I171" s="2721"/>
      <c r="J171" s="2723"/>
      <c r="K171" s="2624"/>
      <c r="L171" s="2564"/>
      <c r="M171" s="2647" t="s">
        <v>993</v>
      </c>
      <c r="N171" s="2648"/>
      <c r="O171" s="784">
        <f>+O172</f>
        <v>24558.916000000001</v>
      </c>
      <c r="P171" s="784">
        <f t="shared" ref="P171:Z171" si="163">+P172</f>
        <v>24558.916000000001</v>
      </c>
      <c r="Q171" s="784">
        <f t="shared" si="163"/>
        <v>24558.916000000001</v>
      </c>
      <c r="R171" s="784">
        <f t="shared" si="163"/>
        <v>24558.916000000001</v>
      </c>
      <c r="S171" s="784">
        <f t="shared" si="163"/>
        <v>24558.916000000001</v>
      </c>
      <c r="T171" s="784">
        <f t="shared" si="163"/>
        <v>24558.916000000001</v>
      </c>
      <c r="U171" s="784">
        <f t="shared" si="163"/>
        <v>24558.916000000001</v>
      </c>
      <c r="V171" s="784">
        <f t="shared" si="163"/>
        <v>24558.916000000001</v>
      </c>
      <c r="W171" s="784">
        <f t="shared" si="163"/>
        <v>24558.916000000001</v>
      </c>
      <c r="X171" s="784">
        <f t="shared" si="163"/>
        <v>24558.916000000001</v>
      </c>
      <c r="Y171" s="784">
        <f t="shared" si="163"/>
        <v>24558.916000000001</v>
      </c>
      <c r="Z171" s="784">
        <f t="shared" si="163"/>
        <v>24558.916000000001</v>
      </c>
      <c r="AA171" s="860">
        <f>SUM(O171:Z171)</f>
        <v>294706.99200000003</v>
      </c>
    </row>
    <row r="172" spans="1:27" ht="33.75" x14ac:dyDescent="0.25">
      <c r="A172" s="802"/>
      <c r="B172" s="2712"/>
      <c r="C172" s="2715"/>
      <c r="D172" s="2727"/>
      <c r="E172" s="2719"/>
      <c r="F172" s="2719"/>
      <c r="G172" s="2719"/>
      <c r="H172" s="2720"/>
      <c r="I172" s="2721"/>
      <c r="J172" s="2724"/>
      <c r="K172" s="2625"/>
      <c r="L172" s="2565"/>
      <c r="M172" s="918" t="s">
        <v>1021</v>
      </c>
      <c r="N172" s="918" t="s">
        <v>990</v>
      </c>
      <c r="O172" s="785">
        <v>24558.916000000001</v>
      </c>
      <c r="P172" s="785">
        <v>24558.916000000001</v>
      </c>
      <c r="Q172" s="785">
        <v>24558.916000000001</v>
      </c>
      <c r="R172" s="785">
        <v>24558.916000000001</v>
      </c>
      <c r="S172" s="785">
        <v>24558.916000000001</v>
      </c>
      <c r="T172" s="785">
        <v>24558.916000000001</v>
      </c>
      <c r="U172" s="785">
        <v>24558.916000000001</v>
      </c>
      <c r="V172" s="785">
        <v>24558.916000000001</v>
      </c>
      <c r="W172" s="785">
        <v>24558.916000000001</v>
      </c>
      <c r="X172" s="785">
        <v>24558.916000000001</v>
      </c>
      <c r="Y172" s="785">
        <v>24558.916000000001</v>
      </c>
      <c r="Z172" s="785">
        <v>24558.916000000001</v>
      </c>
      <c r="AA172" s="859">
        <f t="shared" si="161"/>
        <v>294706.99200000003</v>
      </c>
    </row>
    <row r="173" spans="1:27" ht="15" customHeight="1" x14ac:dyDescent="0.25">
      <c r="A173" s="802"/>
      <c r="B173" s="2710"/>
      <c r="C173" s="2713"/>
      <c r="D173" s="2716" t="s">
        <v>1022</v>
      </c>
      <c r="E173" s="2719" t="s">
        <v>968</v>
      </c>
      <c r="F173" s="2719" t="s">
        <v>969</v>
      </c>
      <c r="G173" s="2719" t="s">
        <v>980</v>
      </c>
      <c r="H173" s="2720" t="s">
        <v>988</v>
      </c>
      <c r="I173" s="2721" t="s">
        <v>3086</v>
      </c>
      <c r="J173" s="2722">
        <f>+AA173</f>
        <v>69</v>
      </c>
      <c r="K173" s="2623">
        <f>AA175</f>
        <v>59344.991999999991</v>
      </c>
      <c r="L173" s="2563" t="s">
        <v>983</v>
      </c>
      <c r="M173" s="2647" t="s">
        <v>51</v>
      </c>
      <c r="N173" s="2648"/>
      <c r="O173" s="792">
        <v>18.2</v>
      </c>
      <c r="P173" s="792">
        <v>18.2</v>
      </c>
      <c r="Q173" s="792">
        <v>18.2</v>
      </c>
      <c r="R173" s="792">
        <v>18.2</v>
      </c>
      <c r="S173" s="792">
        <v>18.2</v>
      </c>
      <c r="T173" s="792">
        <v>18.2</v>
      </c>
      <c r="U173" s="792">
        <v>18.2</v>
      </c>
      <c r="V173" s="792">
        <v>18.2</v>
      </c>
      <c r="W173" s="792">
        <v>18.2</v>
      </c>
      <c r="X173" s="792">
        <v>18.2</v>
      </c>
      <c r="Y173" s="792">
        <v>18.2</v>
      </c>
      <c r="Z173" s="792">
        <v>18.2</v>
      </c>
      <c r="AA173" s="867">
        <v>69</v>
      </c>
    </row>
    <row r="174" spans="1:27" ht="15" customHeight="1" x14ac:dyDescent="0.25">
      <c r="A174" s="802"/>
      <c r="B174" s="2711"/>
      <c r="C174" s="2714"/>
      <c r="D174" s="2717"/>
      <c r="E174" s="2719"/>
      <c r="F174" s="2719"/>
      <c r="G174" s="2719"/>
      <c r="H174" s="2720"/>
      <c r="I174" s="2721"/>
      <c r="J174" s="2723"/>
      <c r="K174" s="2624"/>
      <c r="L174" s="2564"/>
      <c r="M174" s="2647" t="s">
        <v>993</v>
      </c>
      <c r="N174" s="2648"/>
      <c r="O174" s="784">
        <f>+O175</f>
        <v>4945.4160000000002</v>
      </c>
      <c r="P174" s="784">
        <f t="shared" ref="P174:Z174" si="164">+P175</f>
        <v>4945.4160000000002</v>
      </c>
      <c r="Q174" s="784">
        <f t="shared" si="164"/>
        <v>4945.4160000000002</v>
      </c>
      <c r="R174" s="784">
        <f t="shared" si="164"/>
        <v>4945.4160000000002</v>
      </c>
      <c r="S174" s="784">
        <f t="shared" si="164"/>
        <v>4945.4160000000002</v>
      </c>
      <c r="T174" s="784">
        <f t="shared" si="164"/>
        <v>4945.4160000000002</v>
      </c>
      <c r="U174" s="784">
        <f t="shared" si="164"/>
        <v>4945.4160000000002</v>
      </c>
      <c r="V174" s="784">
        <f t="shared" si="164"/>
        <v>4945.4160000000002</v>
      </c>
      <c r="W174" s="784">
        <f t="shared" si="164"/>
        <v>4945.4160000000002</v>
      </c>
      <c r="X174" s="784">
        <f t="shared" si="164"/>
        <v>4945.4160000000002</v>
      </c>
      <c r="Y174" s="784">
        <f t="shared" si="164"/>
        <v>4945.4160000000002</v>
      </c>
      <c r="Z174" s="784">
        <f t="shared" si="164"/>
        <v>4945.4160000000002</v>
      </c>
      <c r="AA174" s="860">
        <f t="shared" si="161"/>
        <v>59344.991999999991</v>
      </c>
    </row>
    <row r="175" spans="1:27" ht="28.5" customHeight="1" x14ac:dyDescent="0.25">
      <c r="A175" s="802"/>
      <c r="B175" s="2712"/>
      <c r="C175" s="2715"/>
      <c r="D175" s="2718"/>
      <c r="E175" s="2719"/>
      <c r="F175" s="2719"/>
      <c r="G175" s="2719"/>
      <c r="H175" s="2720"/>
      <c r="I175" s="2721"/>
      <c r="J175" s="2724"/>
      <c r="K175" s="2625"/>
      <c r="L175" s="2565"/>
      <c r="M175" s="918" t="s">
        <v>1023</v>
      </c>
      <c r="N175" s="918" t="s">
        <v>990</v>
      </c>
      <c r="O175" s="785">
        <v>4945.4160000000002</v>
      </c>
      <c r="P175" s="785">
        <v>4945.4160000000002</v>
      </c>
      <c r="Q175" s="785">
        <v>4945.4160000000002</v>
      </c>
      <c r="R175" s="785">
        <v>4945.4160000000002</v>
      </c>
      <c r="S175" s="785">
        <v>4945.4160000000002</v>
      </c>
      <c r="T175" s="785">
        <v>4945.4160000000002</v>
      </c>
      <c r="U175" s="785">
        <v>4945.4160000000002</v>
      </c>
      <c r="V175" s="785">
        <v>4945.4160000000002</v>
      </c>
      <c r="W175" s="785">
        <v>4945.4160000000002</v>
      </c>
      <c r="X175" s="785">
        <v>4945.4160000000002</v>
      </c>
      <c r="Y175" s="785">
        <v>4945.4160000000002</v>
      </c>
      <c r="Z175" s="785">
        <v>4945.4160000000002</v>
      </c>
      <c r="AA175" s="859">
        <f t="shared" si="161"/>
        <v>59344.991999999991</v>
      </c>
    </row>
    <row r="176" spans="1:27" ht="15" customHeight="1" x14ac:dyDescent="0.25">
      <c r="A176" s="802"/>
      <c r="B176" s="2710"/>
      <c r="C176" s="2713"/>
      <c r="D176" s="2716" t="s">
        <v>1024</v>
      </c>
      <c r="E176" s="2719" t="s">
        <v>968</v>
      </c>
      <c r="F176" s="2719" t="s">
        <v>969</v>
      </c>
      <c r="G176" s="2719" t="s">
        <v>980</v>
      </c>
      <c r="H176" s="2720" t="s">
        <v>988</v>
      </c>
      <c r="I176" s="2721" t="s">
        <v>3086</v>
      </c>
      <c r="J176" s="2722">
        <f t="shared" ref="J176" si="165">+AA176</f>
        <v>62</v>
      </c>
      <c r="K176" s="2623">
        <f>AA178</f>
        <v>269340.99599999993</v>
      </c>
      <c r="L176" s="2563" t="s">
        <v>983</v>
      </c>
      <c r="M176" s="2647" t="s">
        <v>51</v>
      </c>
      <c r="N176" s="2648"/>
      <c r="O176" s="792">
        <v>62</v>
      </c>
      <c r="P176" s="792">
        <v>62</v>
      </c>
      <c r="Q176" s="792">
        <v>62</v>
      </c>
      <c r="R176" s="792">
        <v>62</v>
      </c>
      <c r="S176" s="792">
        <v>62</v>
      </c>
      <c r="T176" s="792">
        <v>62</v>
      </c>
      <c r="U176" s="792">
        <v>62</v>
      </c>
      <c r="V176" s="792">
        <v>62</v>
      </c>
      <c r="W176" s="792">
        <v>62</v>
      </c>
      <c r="X176" s="792">
        <v>62</v>
      </c>
      <c r="Y176" s="792">
        <v>62</v>
      </c>
      <c r="Z176" s="792">
        <v>62</v>
      </c>
      <c r="AA176" s="867">
        <v>62</v>
      </c>
    </row>
    <row r="177" spans="1:27" ht="15" customHeight="1" x14ac:dyDescent="0.25">
      <c r="A177" s="802"/>
      <c r="B177" s="2711"/>
      <c r="C177" s="2714"/>
      <c r="D177" s="2717"/>
      <c r="E177" s="2719"/>
      <c r="F177" s="2719"/>
      <c r="G177" s="2719"/>
      <c r="H177" s="2720"/>
      <c r="I177" s="2721"/>
      <c r="J177" s="2723"/>
      <c r="K177" s="2624"/>
      <c r="L177" s="2564"/>
      <c r="M177" s="2647" t="s">
        <v>993</v>
      </c>
      <c r="N177" s="2648"/>
      <c r="O177" s="784">
        <f>+O178</f>
        <v>22445.082999999999</v>
      </c>
      <c r="P177" s="784">
        <f t="shared" ref="P177:Z177" si="166">+P178</f>
        <v>22445.082999999999</v>
      </c>
      <c r="Q177" s="784">
        <f t="shared" si="166"/>
        <v>22445.082999999999</v>
      </c>
      <c r="R177" s="784">
        <f t="shared" si="166"/>
        <v>22445.082999999999</v>
      </c>
      <c r="S177" s="784">
        <f t="shared" si="166"/>
        <v>22445.082999999999</v>
      </c>
      <c r="T177" s="784">
        <f t="shared" si="166"/>
        <v>22445.082999999999</v>
      </c>
      <c r="U177" s="784">
        <f t="shared" si="166"/>
        <v>22445.082999999999</v>
      </c>
      <c r="V177" s="784">
        <f t="shared" si="166"/>
        <v>22445.082999999999</v>
      </c>
      <c r="W177" s="784">
        <f t="shared" si="166"/>
        <v>22445.082999999999</v>
      </c>
      <c r="X177" s="784">
        <f t="shared" si="166"/>
        <v>22445.082999999999</v>
      </c>
      <c r="Y177" s="784">
        <f t="shared" si="166"/>
        <v>22445.082999999999</v>
      </c>
      <c r="Z177" s="784">
        <f t="shared" si="166"/>
        <v>22445.082999999999</v>
      </c>
      <c r="AA177" s="860">
        <f>SUM(O177:Z177)</f>
        <v>269340.99599999993</v>
      </c>
    </row>
    <row r="178" spans="1:27" ht="30" customHeight="1" x14ac:dyDescent="0.25">
      <c r="A178" s="802"/>
      <c r="B178" s="2712"/>
      <c r="C178" s="2715"/>
      <c r="D178" s="2718"/>
      <c r="E178" s="2719"/>
      <c r="F178" s="2719"/>
      <c r="G178" s="2719"/>
      <c r="H178" s="2720"/>
      <c r="I178" s="2721"/>
      <c r="J178" s="2724"/>
      <c r="K178" s="2625"/>
      <c r="L178" s="2565"/>
      <c r="M178" s="918" t="s">
        <v>1025</v>
      </c>
      <c r="N178" s="918" t="s">
        <v>990</v>
      </c>
      <c r="O178" s="785">
        <v>22445.082999999999</v>
      </c>
      <c r="P178" s="785">
        <v>22445.082999999999</v>
      </c>
      <c r="Q178" s="785">
        <v>22445.082999999999</v>
      </c>
      <c r="R178" s="785">
        <v>22445.082999999999</v>
      </c>
      <c r="S178" s="785">
        <v>22445.082999999999</v>
      </c>
      <c r="T178" s="785">
        <v>22445.082999999999</v>
      </c>
      <c r="U178" s="785">
        <v>22445.082999999999</v>
      </c>
      <c r="V178" s="785">
        <v>22445.082999999999</v>
      </c>
      <c r="W178" s="785">
        <v>22445.082999999999</v>
      </c>
      <c r="X178" s="785">
        <v>22445.082999999999</v>
      </c>
      <c r="Y178" s="785">
        <v>22445.082999999999</v>
      </c>
      <c r="Z178" s="785">
        <v>22445.082999999999</v>
      </c>
      <c r="AA178" s="859">
        <f>SUM(O178:Z178)</f>
        <v>269340.99599999993</v>
      </c>
    </row>
    <row r="179" spans="1:27" ht="15" customHeight="1" x14ac:dyDescent="0.25">
      <c r="A179" s="802"/>
      <c r="B179" s="2710"/>
      <c r="C179" s="2713"/>
      <c r="D179" s="2716" t="s">
        <v>1026</v>
      </c>
      <c r="E179" s="2719" t="s">
        <v>968</v>
      </c>
      <c r="F179" s="2719" t="s">
        <v>969</v>
      </c>
      <c r="G179" s="2719" t="s">
        <v>980</v>
      </c>
      <c r="H179" s="2720" t="s">
        <v>988</v>
      </c>
      <c r="I179" s="2721" t="s">
        <v>3086</v>
      </c>
      <c r="J179" s="2707">
        <f>+AA179</f>
        <v>699.99959999999999</v>
      </c>
      <c r="K179" s="2700">
        <f>AA181+AA182+AA183</f>
        <v>7999.92</v>
      </c>
      <c r="L179" s="2563" t="s">
        <v>983</v>
      </c>
      <c r="M179" s="2647" t="s">
        <v>51</v>
      </c>
      <c r="N179" s="2648"/>
      <c r="O179" s="792">
        <v>58.333300000000001</v>
      </c>
      <c r="P179" s="792">
        <v>58.333300000000001</v>
      </c>
      <c r="Q179" s="792">
        <v>58.333300000000001</v>
      </c>
      <c r="R179" s="792">
        <v>58.333300000000001</v>
      </c>
      <c r="S179" s="792">
        <v>58.333300000000001</v>
      </c>
      <c r="T179" s="792">
        <v>58.333300000000001</v>
      </c>
      <c r="U179" s="792">
        <v>58.333300000000001</v>
      </c>
      <c r="V179" s="792">
        <v>58.333300000000001</v>
      </c>
      <c r="W179" s="792">
        <v>58.333300000000001</v>
      </c>
      <c r="X179" s="792">
        <v>58.333300000000001</v>
      </c>
      <c r="Y179" s="792">
        <v>58.333300000000001</v>
      </c>
      <c r="Z179" s="792">
        <v>58.333300000000001</v>
      </c>
      <c r="AA179" s="860">
        <f>SUM(O179:Z179)</f>
        <v>699.99959999999999</v>
      </c>
    </row>
    <row r="180" spans="1:27" ht="15" customHeight="1" x14ac:dyDescent="0.25">
      <c r="A180" s="802"/>
      <c r="B180" s="2711"/>
      <c r="C180" s="2714"/>
      <c r="D180" s="2717"/>
      <c r="E180" s="2719"/>
      <c r="F180" s="2719"/>
      <c r="G180" s="2719"/>
      <c r="H180" s="2720"/>
      <c r="I180" s="2721"/>
      <c r="J180" s="2708"/>
      <c r="K180" s="2701"/>
      <c r="L180" s="2564"/>
      <c r="M180" s="2647" t="s">
        <v>993</v>
      </c>
      <c r="N180" s="2648"/>
      <c r="O180" s="784">
        <f>SUM(O181:O183)</f>
        <v>666.66</v>
      </c>
      <c r="P180" s="784">
        <f t="shared" ref="P180:Z180" si="167">SUM(P181:P183)</f>
        <v>666.66</v>
      </c>
      <c r="Q180" s="784">
        <f t="shared" si="167"/>
        <v>666.66</v>
      </c>
      <c r="R180" s="784">
        <f t="shared" si="167"/>
        <v>666.66</v>
      </c>
      <c r="S180" s="784">
        <f t="shared" si="167"/>
        <v>666.66</v>
      </c>
      <c r="T180" s="784">
        <f t="shared" si="167"/>
        <v>666.66</v>
      </c>
      <c r="U180" s="784">
        <f t="shared" si="167"/>
        <v>666.66</v>
      </c>
      <c r="V180" s="784">
        <f t="shared" si="167"/>
        <v>666.66</v>
      </c>
      <c r="W180" s="784">
        <f t="shared" si="167"/>
        <v>666.66</v>
      </c>
      <c r="X180" s="784">
        <f t="shared" si="167"/>
        <v>666.66</v>
      </c>
      <c r="Y180" s="784">
        <f t="shared" si="167"/>
        <v>666.66</v>
      </c>
      <c r="Z180" s="784">
        <f t="shared" si="167"/>
        <v>666.66</v>
      </c>
      <c r="AA180" s="860">
        <f>SUM(O180:Z180)</f>
        <v>7999.9199999999992</v>
      </c>
    </row>
    <row r="181" spans="1:27" ht="22.5" x14ac:dyDescent="0.25">
      <c r="A181" s="802"/>
      <c r="B181" s="2711"/>
      <c r="C181" s="2714"/>
      <c r="D181" s="2717"/>
      <c r="E181" s="2719"/>
      <c r="F181" s="2719"/>
      <c r="G181" s="2719"/>
      <c r="H181" s="2720"/>
      <c r="I181" s="2721"/>
      <c r="J181" s="2708"/>
      <c r="K181" s="2701"/>
      <c r="L181" s="2564"/>
      <c r="M181" s="956" t="s">
        <v>180</v>
      </c>
      <c r="N181" s="956" t="s">
        <v>181</v>
      </c>
      <c r="O181" s="785">
        <v>250</v>
      </c>
      <c r="P181" s="785">
        <v>250</v>
      </c>
      <c r="Q181" s="785">
        <v>250</v>
      </c>
      <c r="R181" s="785">
        <v>250</v>
      </c>
      <c r="S181" s="785">
        <v>250</v>
      </c>
      <c r="T181" s="785">
        <v>250</v>
      </c>
      <c r="U181" s="785">
        <v>250</v>
      </c>
      <c r="V181" s="785">
        <v>250</v>
      </c>
      <c r="W181" s="785">
        <v>250</v>
      </c>
      <c r="X181" s="785">
        <v>250</v>
      </c>
      <c r="Y181" s="785">
        <v>250</v>
      </c>
      <c r="Z181" s="785">
        <v>250</v>
      </c>
      <c r="AA181" s="859">
        <f>SUM(O181:Z181)</f>
        <v>3000</v>
      </c>
    </row>
    <row r="182" spans="1:27" ht="34.5" customHeight="1" x14ac:dyDescent="0.25">
      <c r="A182" s="802"/>
      <c r="B182" s="2711"/>
      <c r="C182" s="2714"/>
      <c r="D182" s="2717"/>
      <c r="E182" s="2719"/>
      <c r="F182" s="2719"/>
      <c r="G182" s="2719"/>
      <c r="H182" s="2720"/>
      <c r="I182" s="2721"/>
      <c r="J182" s="2708"/>
      <c r="K182" s="2701"/>
      <c r="L182" s="2564"/>
      <c r="M182" s="956" t="s">
        <v>194</v>
      </c>
      <c r="N182" s="956" t="s">
        <v>984</v>
      </c>
      <c r="O182" s="785">
        <v>166.66</v>
      </c>
      <c r="P182" s="785">
        <v>166.66</v>
      </c>
      <c r="Q182" s="785">
        <v>166.66</v>
      </c>
      <c r="R182" s="785">
        <v>166.66</v>
      </c>
      <c r="S182" s="785">
        <v>166.66</v>
      </c>
      <c r="T182" s="785">
        <v>166.66</v>
      </c>
      <c r="U182" s="785">
        <v>166.66</v>
      </c>
      <c r="V182" s="785">
        <v>166.66</v>
      </c>
      <c r="W182" s="785">
        <v>166.66</v>
      </c>
      <c r="X182" s="785">
        <v>166.66</v>
      </c>
      <c r="Y182" s="785">
        <v>166.66</v>
      </c>
      <c r="Z182" s="785">
        <v>166.66</v>
      </c>
      <c r="AA182" s="859">
        <f t="shared" si="161"/>
        <v>1999.9200000000003</v>
      </c>
    </row>
    <row r="183" spans="1:27" ht="19.5" customHeight="1" x14ac:dyDescent="0.25">
      <c r="A183" s="802"/>
      <c r="B183" s="2712"/>
      <c r="C183" s="2715"/>
      <c r="D183" s="2718"/>
      <c r="E183" s="2719"/>
      <c r="F183" s="2719"/>
      <c r="G183" s="2719"/>
      <c r="H183" s="2720"/>
      <c r="I183" s="2721"/>
      <c r="J183" s="2709"/>
      <c r="K183" s="2702"/>
      <c r="L183" s="2565"/>
      <c r="M183" s="956" t="s">
        <v>974</v>
      </c>
      <c r="N183" s="956" t="s">
        <v>207</v>
      </c>
      <c r="O183" s="785">
        <v>250</v>
      </c>
      <c r="P183" s="785">
        <v>250</v>
      </c>
      <c r="Q183" s="785">
        <v>250</v>
      </c>
      <c r="R183" s="785">
        <v>250</v>
      </c>
      <c r="S183" s="785">
        <v>250</v>
      </c>
      <c r="T183" s="785">
        <v>250</v>
      </c>
      <c r="U183" s="785">
        <v>250</v>
      </c>
      <c r="V183" s="785">
        <v>250</v>
      </c>
      <c r="W183" s="785">
        <v>250</v>
      </c>
      <c r="X183" s="785">
        <v>250</v>
      </c>
      <c r="Y183" s="785">
        <v>250</v>
      </c>
      <c r="Z183" s="785">
        <v>250</v>
      </c>
      <c r="AA183" s="859">
        <f t="shared" si="161"/>
        <v>3000</v>
      </c>
    </row>
    <row r="184" spans="1:27" ht="15" customHeight="1" x14ac:dyDescent="0.25">
      <c r="A184" s="802"/>
      <c r="B184" s="2710"/>
      <c r="C184" s="2713"/>
      <c r="D184" s="2716" t="s">
        <v>3092</v>
      </c>
      <c r="E184" s="2719" t="s">
        <v>968</v>
      </c>
      <c r="F184" s="2719" t="s">
        <v>969</v>
      </c>
      <c r="G184" s="2719" t="s">
        <v>980</v>
      </c>
      <c r="H184" s="2720" t="s">
        <v>988</v>
      </c>
      <c r="I184" s="2721" t="s">
        <v>3086</v>
      </c>
      <c r="J184" s="2722">
        <f t="shared" ref="J184" si="168">+AA184</f>
        <v>111.06</v>
      </c>
      <c r="K184" s="2623">
        <f>+AA186</f>
        <v>313221</v>
      </c>
      <c r="L184" s="2563" t="s">
        <v>983</v>
      </c>
      <c r="M184" s="2647" t="s">
        <v>51</v>
      </c>
      <c r="N184" s="2648"/>
      <c r="O184" s="792">
        <v>111.06</v>
      </c>
      <c r="P184" s="792">
        <v>111.06</v>
      </c>
      <c r="Q184" s="792">
        <v>111.06</v>
      </c>
      <c r="R184" s="792">
        <v>111.06</v>
      </c>
      <c r="S184" s="792">
        <v>111.06</v>
      </c>
      <c r="T184" s="792">
        <v>111.06</v>
      </c>
      <c r="U184" s="792">
        <v>111.06</v>
      </c>
      <c r="V184" s="792">
        <v>111.06</v>
      </c>
      <c r="W184" s="792">
        <v>111.06</v>
      </c>
      <c r="X184" s="792">
        <v>111.06</v>
      </c>
      <c r="Y184" s="792">
        <v>111.06</v>
      </c>
      <c r="Z184" s="792">
        <v>111.06</v>
      </c>
      <c r="AA184" s="867">
        <v>111.06</v>
      </c>
    </row>
    <row r="185" spans="1:27" ht="15" customHeight="1" x14ac:dyDescent="0.25">
      <c r="A185" s="802"/>
      <c r="B185" s="2711"/>
      <c r="C185" s="2714"/>
      <c r="D185" s="2717"/>
      <c r="E185" s="2719"/>
      <c r="F185" s="2719"/>
      <c r="G185" s="2719"/>
      <c r="H185" s="2720"/>
      <c r="I185" s="2721"/>
      <c r="J185" s="2723"/>
      <c r="K185" s="2624"/>
      <c r="L185" s="2564"/>
      <c r="M185" s="2647" t="s">
        <v>993</v>
      </c>
      <c r="N185" s="2648"/>
      <c r="O185" s="784">
        <f>+O186</f>
        <v>26101.75</v>
      </c>
      <c r="P185" s="784">
        <f t="shared" ref="P185:Z185" si="169">+P186</f>
        <v>26101.75</v>
      </c>
      <c r="Q185" s="784">
        <f t="shared" si="169"/>
        <v>26101.75</v>
      </c>
      <c r="R185" s="784">
        <f t="shared" si="169"/>
        <v>26101.75</v>
      </c>
      <c r="S185" s="784">
        <f t="shared" si="169"/>
        <v>26101.75</v>
      </c>
      <c r="T185" s="784">
        <f t="shared" si="169"/>
        <v>26101.75</v>
      </c>
      <c r="U185" s="784">
        <f t="shared" si="169"/>
        <v>26101.75</v>
      </c>
      <c r="V185" s="784">
        <f t="shared" si="169"/>
        <v>26101.75</v>
      </c>
      <c r="W185" s="784">
        <f t="shared" si="169"/>
        <v>26101.75</v>
      </c>
      <c r="X185" s="784">
        <f t="shared" si="169"/>
        <v>26101.75</v>
      </c>
      <c r="Y185" s="784">
        <f t="shared" si="169"/>
        <v>26101.75</v>
      </c>
      <c r="Z185" s="784">
        <f t="shared" si="169"/>
        <v>26101.75</v>
      </c>
      <c r="AA185" s="860">
        <f t="shared" si="161"/>
        <v>313221</v>
      </c>
    </row>
    <row r="186" spans="1:27" ht="49.5" customHeight="1" x14ac:dyDescent="0.25">
      <c r="A186" s="802"/>
      <c r="B186" s="2712"/>
      <c r="C186" s="2715"/>
      <c r="D186" s="2718"/>
      <c r="E186" s="2719"/>
      <c r="F186" s="2719"/>
      <c r="G186" s="2719"/>
      <c r="H186" s="2720"/>
      <c r="I186" s="2721"/>
      <c r="J186" s="2724"/>
      <c r="K186" s="2625"/>
      <c r="L186" s="2565"/>
      <c r="M186" s="918" t="s">
        <v>1025</v>
      </c>
      <c r="N186" s="918" t="s">
        <v>990</v>
      </c>
      <c r="O186" s="785">
        <v>26101.75</v>
      </c>
      <c r="P186" s="785">
        <v>26101.75</v>
      </c>
      <c r="Q186" s="785">
        <v>26101.75</v>
      </c>
      <c r="R186" s="785">
        <v>26101.75</v>
      </c>
      <c r="S186" s="785">
        <v>26101.75</v>
      </c>
      <c r="T186" s="785">
        <v>26101.75</v>
      </c>
      <c r="U186" s="785">
        <v>26101.75</v>
      </c>
      <c r="V186" s="785">
        <v>26101.75</v>
      </c>
      <c r="W186" s="785">
        <v>26101.75</v>
      </c>
      <c r="X186" s="785">
        <v>26101.75</v>
      </c>
      <c r="Y186" s="785">
        <v>26101.75</v>
      </c>
      <c r="Z186" s="785">
        <v>26101.75</v>
      </c>
      <c r="AA186" s="859">
        <f t="shared" si="161"/>
        <v>313221</v>
      </c>
    </row>
    <row r="187" spans="1:27" ht="15" customHeight="1" x14ac:dyDescent="0.25">
      <c r="A187" s="802"/>
      <c r="B187" s="2710"/>
      <c r="C187" s="2713"/>
      <c r="D187" s="2716" t="s">
        <v>1027</v>
      </c>
      <c r="E187" s="2719" t="s">
        <v>968</v>
      </c>
      <c r="F187" s="2719" t="s">
        <v>969</v>
      </c>
      <c r="G187" s="2719" t="s">
        <v>980</v>
      </c>
      <c r="H187" s="2720" t="s">
        <v>988</v>
      </c>
      <c r="I187" s="2721" t="s">
        <v>3086</v>
      </c>
      <c r="J187" s="2722">
        <f>+AA187</f>
        <v>26</v>
      </c>
      <c r="K187" s="2623">
        <f>+AA189</f>
        <v>11937.960000000001</v>
      </c>
      <c r="L187" s="2563" t="s">
        <v>983</v>
      </c>
      <c r="M187" s="2647" t="s">
        <v>51</v>
      </c>
      <c r="N187" s="2648"/>
      <c r="O187" s="784">
        <v>26</v>
      </c>
      <c r="P187" s="784">
        <v>26</v>
      </c>
      <c r="Q187" s="784">
        <v>26</v>
      </c>
      <c r="R187" s="784">
        <v>26</v>
      </c>
      <c r="S187" s="784">
        <v>26</v>
      </c>
      <c r="T187" s="784">
        <v>26</v>
      </c>
      <c r="U187" s="784">
        <v>26</v>
      </c>
      <c r="V187" s="784">
        <v>26</v>
      </c>
      <c r="W187" s="784">
        <v>26</v>
      </c>
      <c r="X187" s="784">
        <v>26</v>
      </c>
      <c r="Y187" s="784">
        <v>26</v>
      </c>
      <c r="Z187" s="784">
        <v>26</v>
      </c>
      <c r="AA187" s="863">
        <v>26</v>
      </c>
    </row>
    <row r="188" spans="1:27" ht="15" customHeight="1" x14ac:dyDescent="0.25">
      <c r="A188" s="802"/>
      <c r="B188" s="2711"/>
      <c r="C188" s="2714"/>
      <c r="D188" s="2717"/>
      <c r="E188" s="2719"/>
      <c r="F188" s="2719"/>
      <c r="G188" s="2719"/>
      <c r="H188" s="2720"/>
      <c r="I188" s="2721"/>
      <c r="J188" s="2723"/>
      <c r="K188" s="2624"/>
      <c r="L188" s="2564"/>
      <c r="M188" s="2647" t="s">
        <v>993</v>
      </c>
      <c r="N188" s="2648"/>
      <c r="O188" s="784">
        <f>+O189</f>
        <v>994.83</v>
      </c>
      <c r="P188" s="784">
        <f t="shared" ref="P188:Z188" si="170">+P189</f>
        <v>994.83</v>
      </c>
      <c r="Q188" s="784">
        <f t="shared" si="170"/>
        <v>994.83</v>
      </c>
      <c r="R188" s="784">
        <f t="shared" si="170"/>
        <v>994.83</v>
      </c>
      <c r="S188" s="784">
        <f t="shared" si="170"/>
        <v>994.83</v>
      </c>
      <c r="T188" s="784">
        <f t="shared" si="170"/>
        <v>994.83</v>
      </c>
      <c r="U188" s="784">
        <f t="shared" si="170"/>
        <v>994.83</v>
      </c>
      <c r="V188" s="784">
        <f t="shared" si="170"/>
        <v>994.83</v>
      </c>
      <c r="W188" s="784">
        <f t="shared" si="170"/>
        <v>994.83</v>
      </c>
      <c r="X188" s="784">
        <f t="shared" si="170"/>
        <v>994.83</v>
      </c>
      <c r="Y188" s="784">
        <f t="shared" si="170"/>
        <v>994.83</v>
      </c>
      <c r="Z188" s="784">
        <f t="shared" si="170"/>
        <v>994.83</v>
      </c>
      <c r="AA188" s="871">
        <f t="shared" si="161"/>
        <v>11937.960000000001</v>
      </c>
    </row>
    <row r="189" spans="1:27" ht="48" customHeight="1" x14ac:dyDescent="0.25">
      <c r="A189" s="802"/>
      <c r="B189" s="2712"/>
      <c r="C189" s="2715"/>
      <c r="D189" s="2718"/>
      <c r="E189" s="2719"/>
      <c r="F189" s="2719"/>
      <c r="G189" s="2719"/>
      <c r="H189" s="2720"/>
      <c r="I189" s="2721"/>
      <c r="J189" s="2724"/>
      <c r="K189" s="2625"/>
      <c r="L189" s="2565"/>
      <c r="M189" s="918" t="s">
        <v>1025</v>
      </c>
      <c r="N189" s="778" t="s">
        <v>990</v>
      </c>
      <c r="O189" s="785">
        <v>994.83</v>
      </c>
      <c r="P189" s="785">
        <v>994.83</v>
      </c>
      <c r="Q189" s="785">
        <v>994.83</v>
      </c>
      <c r="R189" s="785">
        <v>994.83</v>
      </c>
      <c r="S189" s="785">
        <v>994.83</v>
      </c>
      <c r="T189" s="785">
        <v>994.83</v>
      </c>
      <c r="U189" s="785">
        <v>994.83</v>
      </c>
      <c r="V189" s="785">
        <v>994.83</v>
      </c>
      <c r="W189" s="785">
        <v>994.83</v>
      </c>
      <c r="X189" s="785">
        <v>994.83</v>
      </c>
      <c r="Y189" s="785">
        <v>994.83</v>
      </c>
      <c r="Z189" s="785">
        <v>994.83</v>
      </c>
      <c r="AA189" s="870">
        <f t="shared" si="161"/>
        <v>11937.960000000001</v>
      </c>
    </row>
    <row r="190" spans="1:27" ht="15" customHeight="1" x14ac:dyDescent="0.25">
      <c r="A190" s="802"/>
      <c r="B190" s="2613" t="s">
        <v>18</v>
      </c>
      <c r="C190" s="2543">
        <v>3000143</v>
      </c>
      <c r="D190" s="2594" t="s">
        <v>1028</v>
      </c>
      <c r="E190" s="2620"/>
      <c r="F190" s="2620"/>
      <c r="G190" s="2620"/>
      <c r="H190" s="787"/>
      <c r="I190" s="787"/>
      <c r="J190" s="787"/>
      <c r="K190" s="787"/>
      <c r="L190" s="787"/>
      <c r="M190" s="787"/>
      <c r="N190" s="787"/>
      <c r="O190" s="787"/>
      <c r="P190" s="787"/>
      <c r="Q190" s="787"/>
      <c r="R190" s="787"/>
      <c r="S190" s="787"/>
      <c r="T190" s="787"/>
      <c r="U190" s="788"/>
      <c r="V190" s="2602" t="s">
        <v>15</v>
      </c>
      <c r="W190" s="2609"/>
      <c r="X190" s="2609"/>
      <c r="Y190" s="2603"/>
      <c r="Z190" s="2602" t="s">
        <v>16</v>
      </c>
      <c r="AA190" s="2603"/>
    </row>
    <row r="191" spans="1:27" ht="15" customHeight="1" x14ac:dyDescent="0.25">
      <c r="A191" s="802"/>
      <c r="B191" s="2613"/>
      <c r="C191" s="2544"/>
      <c r="D191" s="2621"/>
      <c r="E191" s="2622"/>
      <c r="F191" s="2622"/>
      <c r="G191" s="2622"/>
      <c r="H191" s="789"/>
      <c r="I191" s="789"/>
      <c r="J191" s="789"/>
      <c r="K191" s="789"/>
      <c r="L191" s="789"/>
      <c r="M191" s="789"/>
      <c r="N191" s="789"/>
      <c r="O191" s="789"/>
      <c r="P191" s="789"/>
      <c r="Q191" s="789"/>
      <c r="R191" s="789"/>
      <c r="S191" s="789"/>
      <c r="T191" s="789"/>
      <c r="U191" s="791"/>
      <c r="V191" s="2602" t="s">
        <v>1029</v>
      </c>
      <c r="W191" s="2609"/>
      <c r="X191" s="2609"/>
      <c r="Y191" s="2603"/>
      <c r="Z191" s="2602" t="s">
        <v>1030</v>
      </c>
      <c r="AA191" s="2603"/>
    </row>
    <row r="192" spans="1:27" ht="15" customHeight="1" x14ac:dyDescent="0.25">
      <c r="A192" s="802"/>
      <c r="B192" s="2697">
        <v>5001487</v>
      </c>
      <c r="C192" s="2584" t="s">
        <v>1031</v>
      </c>
      <c r="D192" s="2604" t="s">
        <v>1032</v>
      </c>
      <c r="E192" s="2607" t="s">
        <v>1033</v>
      </c>
      <c r="F192" s="2607" t="s">
        <v>969</v>
      </c>
      <c r="G192" s="2607" t="s">
        <v>1034</v>
      </c>
      <c r="H192" s="2659" t="s">
        <v>1035</v>
      </c>
      <c r="I192" s="2604" t="s">
        <v>1036</v>
      </c>
      <c r="J192" s="2707">
        <f>+AA192</f>
        <v>600</v>
      </c>
      <c r="K192" s="2700">
        <f>AA194+AA195+AA196</f>
        <v>3999.8400000000006</v>
      </c>
      <c r="L192" s="2563" t="s">
        <v>971</v>
      </c>
      <c r="M192" s="2647" t="s">
        <v>51</v>
      </c>
      <c r="N192" s="2648"/>
      <c r="O192" s="784">
        <v>50</v>
      </c>
      <c r="P192" s="784">
        <v>50</v>
      </c>
      <c r="Q192" s="784">
        <v>50</v>
      </c>
      <c r="R192" s="784">
        <v>50</v>
      </c>
      <c r="S192" s="784">
        <v>50</v>
      </c>
      <c r="T192" s="784">
        <v>50</v>
      </c>
      <c r="U192" s="784">
        <v>50</v>
      </c>
      <c r="V192" s="784">
        <v>50</v>
      </c>
      <c r="W192" s="784">
        <v>50</v>
      </c>
      <c r="X192" s="784">
        <v>50</v>
      </c>
      <c r="Y192" s="784">
        <v>50</v>
      </c>
      <c r="Z192" s="784">
        <v>50</v>
      </c>
      <c r="AA192" s="860">
        <f>SUM(O192:Z192)</f>
        <v>600</v>
      </c>
    </row>
    <row r="193" spans="1:27" ht="15" customHeight="1" x14ac:dyDescent="0.25">
      <c r="A193" s="802"/>
      <c r="B193" s="2698"/>
      <c r="C193" s="2585"/>
      <c r="D193" s="2605"/>
      <c r="E193" s="2607"/>
      <c r="F193" s="2607"/>
      <c r="G193" s="2607"/>
      <c r="H193" s="2660"/>
      <c r="I193" s="2605"/>
      <c r="J193" s="2708"/>
      <c r="K193" s="2701"/>
      <c r="L193" s="2564"/>
      <c r="M193" s="2647" t="s">
        <v>1037</v>
      </c>
      <c r="N193" s="2648"/>
      <c r="O193" s="784">
        <f>SUM(O194:O196)</f>
        <v>333.32</v>
      </c>
      <c r="P193" s="784">
        <f t="shared" ref="P193:Z193" si="171">SUM(P194:P196)</f>
        <v>333.32</v>
      </c>
      <c r="Q193" s="784">
        <f t="shared" si="171"/>
        <v>333.32</v>
      </c>
      <c r="R193" s="784">
        <f t="shared" si="171"/>
        <v>333.32</v>
      </c>
      <c r="S193" s="784">
        <f t="shared" si="171"/>
        <v>333.32</v>
      </c>
      <c r="T193" s="784">
        <f t="shared" si="171"/>
        <v>333.32</v>
      </c>
      <c r="U193" s="784">
        <f t="shared" si="171"/>
        <v>333.32</v>
      </c>
      <c r="V193" s="784">
        <f t="shared" si="171"/>
        <v>333.32</v>
      </c>
      <c r="W193" s="784">
        <f t="shared" si="171"/>
        <v>333.32</v>
      </c>
      <c r="X193" s="784">
        <f t="shared" si="171"/>
        <v>333.32</v>
      </c>
      <c r="Y193" s="784">
        <f t="shared" si="171"/>
        <v>333.32</v>
      </c>
      <c r="Z193" s="784">
        <f t="shared" si="171"/>
        <v>333.32</v>
      </c>
      <c r="AA193" s="860">
        <f>SUM(O193:Z193)</f>
        <v>3999.8400000000006</v>
      </c>
    </row>
    <row r="194" spans="1:27" ht="22.5" x14ac:dyDescent="0.25">
      <c r="A194" s="802"/>
      <c r="B194" s="2698"/>
      <c r="C194" s="2585"/>
      <c r="D194" s="2605"/>
      <c r="E194" s="2607"/>
      <c r="F194" s="2607"/>
      <c r="G194" s="2607"/>
      <c r="H194" s="2660"/>
      <c r="I194" s="2605"/>
      <c r="J194" s="2708"/>
      <c r="K194" s="2701"/>
      <c r="L194" s="2564"/>
      <c r="M194" s="956" t="s">
        <v>184</v>
      </c>
      <c r="N194" s="937" t="s">
        <v>1038</v>
      </c>
      <c r="O194" s="785">
        <v>83.33</v>
      </c>
      <c r="P194" s="785">
        <v>83.33</v>
      </c>
      <c r="Q194" s="785">
        <v>83.33</v>
      </c>
      <c r="R194" s="785">
        <v>83.33</v>
      </c>
      <c r="S194" s="785">
        <v>83.33</v>
      </c>
      <c r="T194" s="785">
        <v>83.33</v>
      </c>
      <c r="U194" s="785">
        <v>83.33</v>
      </c>
      <c r="V194" s="785">
        <v>83.33</v>
      </c>
      <c r="W194" s="785">
        <v>83.33</v>
      </c>
      <c r="X194" s="785">
        <v>83.33</v>
      </c>
      <c r="Y194" s="785">
        <v>83.33</v>
      </c>
      <c r="Z194" s="785">
        <v>83.33</v>
      </c>
      <c r="AA194" s="860">
        <f t="shared" ref="AA194:AA195" si="172">SUM(O194:Z194)</f>
        <v>999.96000000000015</v>
      </c>
    </row>
    <row r="195" spans="1:27" ht="26.25" customHeight="1" x14ac:dyDescent="0.25">
      <c r="A195" s="802"/>
      <c r="B195" s="2698"/>
      <c r="C195" s="2585"/>
      <c r="D195" s="2605"/>
      <c r="E195" s="2607"/>
      <c r="F195" s="2607"/>
      <c r="G195" s="2607"/>
      <c r="H195" s="2660"/>
      <c r="I195" s="2605"/>
      <c r="J195" s="2708"/>
      <c r="K195" s="2701"/>
      <c r="L195" s="2564"/>
      <c r="M195" s="956" t="s">
        <v>973</v>
      </c>
      <c r="N195" s="937" t="s">
        <v>191</v>
      </c>
      <c r="O195" s="785">
        <v>83.33</v>
      </c>
      <c r="P195" s="785">
        <v>83.33</v>
      </c>
      <c r="Q195" s="785">
        <v>83.33</v>
      </c>
      <c r="R195" s="785">
        <v>83.33</v>
      </c>
      <c r="S195" s="785">
        <v>83.33</v>
      </c>
      <c r="T195" s="785">
        <v>83.33</v>
      </c>
      <c r="U195" s="785">
        <v>83.33</v>
      </c>
      <c r="V195" s="785">
        <v>83.33</v>
      </c>
      <c r="W195" s="785">
        <v>83.33</v>
      </c>
      <c r="X195" s="785">
        <v>83.33</v>
      </c>
      <c r="Y195" s="785">
        <v>83.33</v>
      </c>
      <c r="Z195" s="785">
        <v>83.33</v>
      </c>
      <c r="AA195" s="860">
        <f t="shared" si="172"/>
        <v>999.96000000000015</v>
      </c>
    </row>
    <row r="196" spans="1:27" ht="30.75" customHeight="1" x14ac:dyDescent="0.25">
      <c r="A196" s="802"/>
      <c r="B196" s="2699"/>
      <c r="C196" s="2586"/>
      <c r="D196" s="2606"/>
      <c r="E196" s="2607"/>
      <c r="F196" s="2607"/>
      <c r="G196" s="2607"/>
      <c r="H196" s="2661"/>
      <c r="I196" s="2606"/>
      <c r="J196" s="2709"/>
      <c r="K196" s="2702"/>
      <c r="L196" s="2565"/>
      <c r="M196" s="956" t="s">
        <v>974</v>
      </c>
      <c r="N196" s="937" t="s">
        <v>207</v>
      </c>
      <c r="O196" s="785">
        <v>166.66</v>
      </c>
      <c r="P196" s="785">
        <v>166.66</v>
      </c>
      <c r="Q196" s="785">
        <v>166.66</v>
      </c>
      <c r="R196" s="785">
        <v>166.66</v>
      </c>
      <c r="S196" s="785">
        <v>166.66</v>
      </c>
      <c r="T196" s="785">
        <v>166.66</v>
      </c>
      <c r="U196" s="785">
        <v>166.66</v>
      </c>
      <c r="V196" s="785">
        <v>166.66</v>
      </c>
      <c r="W196" s="785">
        <v>166.66</v>
      </c>
      <c r="X196" s="785">
        <v>166.66</v>
      </c>
      <c r="Y196" s="785">
        <v>166.66</v>
      </c>
      <c r="Z196" s="785">
        <v>166.66</v>
      </c>
      <c r="AA196" s="860">
        <f>SUM(O196:Z196)</f>
        <v>1999.9200000000003</v>
      </c>
    </row>
    <row r="197" spans="1:27" ht="15" customHeight="1" x14ac:dyDescent="0.25">
      <c r="A197" s="802"/>
      <c r="B197" s="2697">
        <v>5001488</v>
      </c>
      <c r="C197" s="2584" t="s">
        <v>1039</v>
      </c>
      <c r="D197" s="2604" t="s">
        <v>1040</v>
      </c>
      <c r="E197" s="2607" t="s">
        <v>1033</v>
      </c>
      <c r="F197" s="2607" t="s">
        <v>969</v>
      </c>
      <c r="G197" s="2607" t="s">
        <v>1034</v>
      </c>
      <c r="H197" s="2659" t="s">
        <v>1041</v>
      </c>
      <c r="I197" s="2706" t="s">
        <v>1042</v>
      </c>
      <c r="J197" s="2632">
        <f>+AA197</f>
        <v>2</v>
      </c>
      <c r="K197" s="2623">
        <f>+AA199</f>
        <v>15000</v>
      </c>
      <c r="L197" s="2563" t="s">
        <v>971</v>
      </c>
      <c r="M197" s="2627" t="s">
        <v>51</v>
      </c>
      <c r="N197" s="2627"/>
      <c r="O197" s="807">
        <v>0</v>
      </c>
      <c r="P197" s="807">
        <v>0</v>
      </c>
      <c r="Q197" s="807">
        <v>0.5</v>
      </c>
      <c r="R197" s="807">
        <v>0</v>
      </c>
      <c r="S197" s="807">
        <v>0</v>
      </c>
      <c r="T197" s="807">
        <v>0.5</v>
      </c>
      <c r="U197" s="807">
        <v>0</v>
      </c>
      <c r="V197" s="807">
        <v>0</v>
      </c>
      <c r="W197" s="807">
        <v>0.5</v>
      </c>
      <c r="X197" s="807">
        <v>0</v>
      </c>
      <c r="Y197" s="807">
        <v>0</v>
      </c>
      <c r="Z197" s="807">
        <v>0.5</v>
      </c>
      <c r="AA197" s="860">
        <f t="shared" ref="AA197:AA212" si="173">SUM(O197:Z197)</f>
        <v>2</v>
      </c>
    </row>
    <row r="198" spans="1:27" ht="15" customHeight="1" x14ac:dyDescent="0.25">
      <c r="A198" s="802"/>
      <c r="B198" s="2698"/>
      <c r="C198" s="2585"/>
      <c r="D198" s="2605"/>
      <c r="E198" s="2607"/>
      <c r="F198" s="2607"/>
      <c r="G198" s="2607"/>
      <c r="H198" s="2660"/>
      <c r="I198" s="2706"/>
      <c r="J198" s="2633"/>
      <c r="K198" s="2624"/>
      <c r="L198" s="2564"/>
      <c r="M198" s="2627" t="s">
        <v>1037</v>
      </c>
      <c r="N198" s="2627"/>
      <c r="O198" s="784">
        <f>SUM(O199)</f>
        <v>0</v>
      </c>
      <c r="P198" s="784">
        <f t="shared" ref="P198:Z198" si="174">SUM(P199)</f>
        <v>0</v>
      </c>
      <c r="Q198" s="784">
        <f t="shared" si="174"/>
        <v>3750</v>
      </c>
      <c r="R198" s="784">
        <f t="shared" si="174"/>
        <v>0</v>
      </c>
      <c r="S198" s="784">
        <f t="shared" si="174"/>
        <v>0</v>
      </c>
      <c r="T198" s="784">
        <f t="shared" si="174"/>
        <v>3750</v>
      </c>
      <c r="U198" s="784">
        <f t="shared" si="174"/>
        <v>0</v>
      </c>
      <c r="V198" s="784">
        <f t="shared" si="174"/>
        <v>0</v>
      </c>
      <c r="W198" s="784">
        <f t="shared" si="174"/>
        <v>3750</v>
      </c>
      <c r="X198" s="784">
        <f t="shared" si="174"/>
        <v>0</v>
      </c>
      <c r="Y198" s="784">
        <f t="shared" si="174"/>
        <v>0</v>
      </c>
      <c r="Z198" s="784">
        <f t="shared" si="174"/>
        <v>3750</v>
      </c>
      <c r="AA198" s="860">
        <f>SUM(O198:Z198)</f>
        <v>15000</v>
      </c>
    </row>
    <row r="199" spans="1:27" ht="37.5" customHeight="1" x14ac:dyDescent="0.25">
      <c r="A199" s="802"/>
      <c r="B199" s="2699"/>
      <c r="C199" s="2586"/>
      <c r="D199" s="2606"/>
      <c r="E199" s="2607"/>
      <c r="F199" s="2607"/>
      <c r="G199" s="2607"/>
      <c r="H199" s="2661"/>
      <c r="I199" s="2706"/>
      <c r="J199" s="2639"/>
      <c r="K199" s="2625"/>
      <c r="L199" s="2565"/>
      <c r="M199" s="918" t="s">
        <v>220</v>
      </c>
      <c r="N199" s="778" t="s">
        <v>1043</v>
      </c>
      <c r="O199" s="785">
        <v>0</v>
      </c>
      <c r="P199" s="785">
        <v>0</v>
      </c>
      <c r="Q199" s="785">
        <v>3750</v>
      </c>
      <c r="R199" s="785"/>
      <c r="S199" s="785"/>
      <c r="T199" s="785">
        <v>3750</v>
      </c>
      <c r="U199" s="785"/>
      <c r="V199" s="785"/>
      <c r="W199" s="785">
        <v>3750</v>
      </c>
      <c r="X199" s="785"/>
      <c r="Y199" s="785"/>
      <c r="Z199" s="785">
        <v>3750</v>
      </c>
      <c r="AA199" s="859">
        <f t="shared" si="173"/>
        <v>15000</v>
      </c>
    </row>
    <row r="200" spans="1:27" ht="15" customHeight="1" x14ac:dyDescent="0.25">
      <c r="A200" s="802"/>
      <c r="B200" s="2697">
        <v>5001489</v>
      </c>
      <c r="C200" s="2584" t="s">
        <v>1044</v>
      </c>
      <c r="D200" s="2584" t="s">
        <v>1045</v>
      </c>
      <c r="E200" s="2607" t="s">
        <v>1033</v>
      </c>
      <c r="F200" s="2607" t="s">
        <v>969</v>
      </c>
      <c r="G200" s="2607" t="s">
        <v>1034</v>
      </c>
      <c r="H200" s="2659" t="s">
        <v>3093</v>
      </c>
      <c r="I200" s="2706" t="s">
        <v>1046</v>
      </c>
      <c r="J200" s="2623">
        <f>+AA200</f>
        <v>2000</v>
      </c>
      <c r="K200" s="2700">
        <f>+AA202+AA203+AA204</f>
        <v>9999.84</v>
      </c>
      <c r="L200" s="2563" t="s">
        <v>971</v>
      </c>
      <c r="M200" s="2627" t="s">
        <v>51</v>
      </c>
      <c r="N200" s="2627"/>
      <c r="O200" s="784">
        <v>166</v>
      </c>
      <c r="P200" s="784">
        <v>167</v>
      </c>
      <c r="Q200" s="784">
        <v>166</v>
      </c>
      <c r="R200" s="784">
        <v>167</v>
      </c>
      <c r="S200" s="784">
        <v>166</v>
      </c>
      <c r="T200" s="784">
        <v>166</v>
      </c>
      <c r="U200" s="784">
        <v>169</v>
      </c>
      <c r="V200" s="784">
        <v>167</v>
      </c>
      <c r="W200" s="784">
        <v>166</v>
      </c>
      <c r="X200" s="784">
        <v>168</v>
      </c>
      <c r="Y200" s="784">
        <v>166</v>
      </c>
      <c r="Z200" s="784">
        <v>166</v>
      </c>
      <c r="AA200" s="860">
        <f t="shared" si="173"/>
        <v>2000</v>
      </c>
    </row>
    <row r="201" spans="1:27" ht="15" customHeight="1" x14ac:dyDescent="0.25">
      <c r="A201" s="802"/>
      <c r="B201" s="2698"/>
      <c r="C201" s="2585"/>
      <c r="D201" s="2585"/>
      <c r="E201" s="2607"/>
      <c r="F201" s="2607"/>
      <c r="G201" s="2607"/>
      <c r="H201" s="2660"/>
      <c r="I201" s="2706"/>
      <c r="J201" s="2624"/>
      <c r="K201" s="2701"/>
      <c r="L201" s="2564"/>
      <c r="M201" s="2627" t="s">
        <v>1037</v>
      </c>
      <c r="N201" s="2627"/>
      <c r="O201" s="784">
        <f>SUM(O202:O204)</f>
        <v>833.31999999999994</v>
      </c>
      <c r="P201" s="784">
        <f t="shared" ref="P201:Z201" si="175">SUM(P202:P204)</f>
        <v>833.31999999999994</v>
      </c>
      <c r="Q201" s="784">
        <f t="shared" si="175"/>
        <v>833.31999999999994</v>
      </c>
      <c r="R201" s="784">
        <f t="shared" si="175"/>
        <v>833.31999999999994</v>
      </c>
      <c r="S201" s="784">
        <f t="shared" si="175"/>
        <v>833.31999999999994</v>
      </c>
      <c r="T201" s="784">
        <f t="shared" si="175"/>
        <v>833.31999999999994</v>
      </c>
      <c r="U201" s="784">
        <f t="shared" si="175"/>
        <v>833.31999999999994</v>
      </c>
      <c r="V201" s="784">
        <f t="shared" si="175"/>
        <v>833.31999999999994</v>
      </c>
      <c r="W201" s="784">
        <f t="shared" si="175"/>
        <v>833.31999999999994</v>
      </c>
      <c r="X201" s="784">
        <f t="shared" si="175"/>
        <v>833.31999999999994</v>
      </c>
      <c r="Y201" s="784">
        <f t="shared" si="175"/>
        <v>833.31999999999994</v>
      </c>
      <c r="Z201" s="784">
        <f t="shared" si="175"/>
        <v>833.31999999999994</v>
      </c>
      <c r="AA201" s="860">
        <f>SUM(O201:Z201)</f>
        <v>9999.8399999999983</v>
      </c>
    </row>
    <row r="202" spans="1:27" ht="22.5" x14ac:dyDescent="0.25">
      <c r="A202" s="802"/>
      <c r="B202" s="2698"/>
      <c r="C202" s="2585"/>
      <c r="D202" s="2585"/>
      <c r="E202" s="2607"/>
      <c r="F202" s="2607"/>
      <c r="G202" s="2607"/>
      <c r="H202" s="2660"/>
      <c r="I202" s="2706"/>
      <c r="J202" s="2624"/>
      <c r="K202" s="2701"/>
      <c r="L202" s="2564"/>
      <c r="M202" s="956" t="s">
        <v>184</v>
      </c>
      <c r="N202" s="937" t="s">
        <v>1038</v>
      </c>
      <c r="O202" s="785">
        <v>166.66</v>
      </c>
      <c r="P202" s="785">
        <v>166.66</v>
      </c>
      <c r="Q202" s="785">
        <v>166.66</v>
      </c>
      <c r="R202" s="785">
        <v>166.66</v>
      </c>
      <c r="S202" s="785">
        <v>166.66</v>
      </c>
      <c r="T202" s="785">
        <v>166.66</v>
      </c>
      <c r="U202" s="785">
        <v>166.66</v>
      </c>
      <c r="V202" s="785">
        <v>166.66</v>
      </c>
      <c r="W202" s="785">
        <v>166.66</v>
      </c>
      <c r="X202" s="785">
        <v>166.66</v>
      </c>
      <c r="Y202" s="785">
        <v>166.66</v>
      </c>
      <c r="Z202" s="785">
        <v>166.66</v>
      </c>
      <c r="AA202" s="859">
        <f t="shared" si="173"/>
        <v>1999.9200000000003</v>
      </c>
    </row>
    <row r="203" spans="1:27" x14ac:dyDescent="0.25">
      <c r="A203" s="802"/>
      <c r="B203" s="2698"/>
      <c r="C203" s="2585"/>
      <c r="D203" s="2585"/>
      <c r="E203" s="2607"/>
      <c r="F203" s="2607"/>
      <c r="G203" s="2607"/>
      <c r="H203" s="2660"/>
      <c r="I203" s="2706"/>
      <c r="J203" s="2624"/>
      <c r="K203" s="2701"/>
      <c r="L203" s="2564"/>
      <c r="M203" s="956" t="s">
        <v>973</v>
      </c>
      <c r="N203" s="937" t="s">
        <v>191</v>
      </c>
      <c r="O203" s="785">
        <v>500</v>
      </c>
      <c r="P203" s="785">
        <v>500</v>
      </c>
      <c r="Q203" s="785">
        <v>500</v>
      </c>
      <c r="R203" s="785">
        <v>500</v>
      </c>
      <c r="S203" s="785">
        <v>500</v>
      </c>
      <c r="T203" s="785">
        <v>500</v>
      </c>
      <c r="U203" s="785">
        <v>500</v>
      </c>
      <c r="V203" s="785">
        <v>500</v>
      </c>
      <c r="W203" s="785">
        <v>500</v>
      </c>
      <c r="X203" s="785">
        <v>500</v>
      </c>
      <c r="Y203" s="785">
        <v>500</v>
      </c>
      <c r="Z203" s="785">
        <v>500</v>
      </c>
      <c r="AA203" s="859">
        <f t="shared" si="173"/>
        <v>6000</v>
      </c>
    </row>
    <row r="204" spans="1:27" ht="22.5" x14ac:dyDescent="0.25">
      <c r="A204" s="802"/>
      <c r="B204" s="2699"/>
      <c r="C204" s="2586"/>
      <c r="D204" s="2586"/>
      <c r="E204" s="2607"/>
      <c r="F204" s="2607"/>
      <c r="G204" s="2607"/>
      <c r="H204" s="2661"/>
      <c r="I204" s="2706"/>
      <c r="J204" s="2625"/>
      <c r="K204" s="2702"/>
      <c r="L204" s="2565"/>
      <c r="M204" s="956" t="s">
        <v>974</v>
      </c>
      <c r="N204" s="937" t="s">
        <v>207</v>
      </c>
      <c r="O204" s="785">
        <v>166.66</v>
      </c>
      <c r="P204" s="785">
        <v>166.66</v>
      </c>
      <c r="Q204" s="785">
        <v>166.66</v>
      </c>
      <c r="R204" s="785">
        <v>166.66</v>
      </c>
      <c r="S204" s="785">
        <v>166.66</v>
      </c>
      <c r="T204" s="785">
        <v>166.66</v>
      </c>
      <c r="U204" s="785">
        <v>166.66</v>
      </c>
      <c r="V204" s="785">
        <v>166.66</v>
      </c>
      <c r="W204" s="785">
        <v>166.66</v>
      </c>
      <c r="X204" s="785">
        <v>166.66</v>
      </c>
      <c r="Y204" s="785">
        <v>166.66</v>
      </c>
      <c r="Z204" s="785">
        <v>166.66</v>
      </c>
      <c r="AA204" s="859">
        <f t="shared" si="173"/>
        <v>1999.9200000000003</v>
      </c>
    </row>
    <row r="205" spans="1:27" ht="12" customHeight="1" x14ac:dyDescent="0.25">
      <c r="A205" s="802"/>
      <c r="B205" s="2613" t="s">
        <v>18</v>
      </c>
      <c r="C205" s="2543">
        <v>3000477</v>
      </c>
      <c r="D205" s="2594" t="s">
        <v>1047</v>
      </c>
      <c r="E205" s="2620"/>
      <c r="F205" s="2620"/>
      <c r="G205" s="2620"/>
      <c r="H205" s="2620"/>
      <c r="I205" s="2620"/>
      <c r="J205" s="787"/>
      <c r="K205" s="787"/>
      <c r="L205" s="787"/>
      <c r="M205" s="787"/>
      <c r="N205" s="787"/>
      <c r="O205" s="787"/>
      <c r="P205" s="787"/>
      <c r="Q205" s="787"/>
      <c r="R205" s="787"/>
      <c r="S205" s="787"/>
      <c r="T205" s="787"/>
      <c r="U205" s="788"/>
      <c r="V205" s="2602" t="s">
        <v>15</v>
      </c>
      <c r="W205" s="2609"/>
      <c r="X205" s="2609"/>
      <c r="Y205" s="2603"/>
      <c r="Z205" s="2602" t="s">
        <v>16</v>
      </c>
      <c r="AA205" s="2603"/>
    </row>
    <row r="206" spans="1:27" ht="23.25" customHeight="1" x14ac:dyDescent="0.25">
      <c r="A206" s="802"/>
      <c r="B206" s="2613"/>
      <c r="C206" s="2544"/>
      <c r="D206" s="2621"/>
      <c r="E206" s="2622"/>
      <c r="F206" s="2622"/>
      <c r="G206" s="2622"/>
      <c r="H206" s="2622"/>
      <c r="I206" s="2622"/>
      <c r="J206" s="789"/>
      <c r="K206" s="789"/>
      <c r="L206" s="789"/>
      <c r="M206" s="789"/>
      <c r="N206" s="789"/>
      <c r="O206" s="789"/>
      <c r="P206" s="789"/>
      <c r="Q206" s="789"/>
      <c r="R206" s="789"/>
      <c r="S206" s="789"/>
      <c r="T206" s="789"/>
      <c r="U206" s="791"/>
      <c r="V206" s="2703" t="s">
        <v>3095</v>
      </c>
      <c r="W206" s="2704"/>
      <c r="X206" s="2704"/>
      <c r="Y206" s="2705"/>
      <c r="Z206" s="2602" t="s">
        <v>1048</v>
      </c>
      <c r="AA206" s="2603"/>
    </row>
    <row r="207" spans="1:27" ht="13.5" customHeight="1" x14ac:dyDescent="0.25">
      <c r="A207" s="802"/>
      <c r="B207" s="2697">
        <v>5003412</v>
      </c>
      <c r="C207" s="2584" t="s">
        <v>1049</v>
      </c>
      <c r="D207" s="2584" t="s">
        <v>1050</v>
      </c>
      <c r="E207" s="2607" t="s">
        <v>1033</v>
      </c>
      <c r="F207" s="2607" t="s">
        <v>969</v>
      </c>
      <c r="G207" s="2607" t="s">
        <v>1034</v>
      </c>
      <c r="H207" s="2659" t="s">
        <v>1051</v>
      </c>
      <c r="I207" s="2591" t="s">
        <v>1048</v>
      </c>
      <c r="J207" s="2700">
        <f>+AA207</f>
        <v>4700</v>
      </c>
      <c r="K207" s="2700">
        <f>+AA209+AA210+AA211+AA212</f>
        <v>19999.679999999997</v>
      </c>
      <c r="L207" s="2563" t="s">
        <v>971</v>
      </c>
      <c r="M207" s="2627" t="s">
        <v>51</v>
      </c>
      <c r="N207" s="2627"/>
      <c r="O207" s="784">
        <v>391</v>
      </c>
      <c r="P207" s="784">
        <v>392</v>
      </c>
      <c r="Q207" s="784">
        <v>392</v>
      </c>
      <c r="R207" s="784">
        <v>391</v>
      </c>
      <c r="S207" s="784">
        <v>392</v>
      </c>
      <c r="T207" s="784">
        <v>392</v>
      </c>
      <c r="U207" s="784">
        <v>391</v>
      </c>
      <c r="V207" s="784">
        <v>392</v>
      </c>
      <c r="W207" s="784">
        <v>392</v>
      </c>
      <c r="X207" s="784">
        <v>391</v>
      </c>
      <c r="Y207" s="784">
        <v>392</v>
      </c>
      <c r="Z207" s="784">
        <v>392</v>
      </c>
      <c r="AA207" s="860">
        <f>SUM(O207:Z207)</f>
        <v>4700</v>
      </c>
    </row>
    <row r="208" spans="1:27" ht="15" customHeight="1" x14ac:dyDescent="0.25">
      <c r="A208" s="802"/>
      <c r="B208" s="2698"/>
      <c r="C208" s="2585"/>
      <c r="D208" s="2585"/>
      <c r="E208" s="2607"/>
      <c r="F208" s="2607"/>
      <c r="G208" s="2607"/>
      <c r="H208" s="2660"/>
      <c r="I208" s="2592"/>
      <c r="J208" s="2701"/>
      <c r="K208" s="2701"/>
      <c r="L208" s="2564"/>
      <c r="M208" s="2627" t="s">
        <v>1037</v>
      </c>
      <c r="N208" s="2627"/>
      <c r="O208" s="784">
        <f>SUM(O209:O212)</f>
        <v>1666.64</v>
      </c>
      <c r="P208" s="784">
        <f t="shared" ref="P208:Z208" si="176">SUM(P209:P212)</f>
        <v>1666.64</v>
      </c>
      <c r="Q208" s="784">
        <f t="shared" si="176"/>
        <v>1666.64</v>
      </c>
      <c r="R208" s="784">
        <f t="shared" si="176"/>
        <v>1666.64</v>
      </c>
      <c r="S208" s="784">
        <f t="shared" si="176"/>
        <v>1666.64</v>
      </c>
      <c r="T208" s="784">
        <f t="shared" si="176"/>
        <v>1666.64</v>
      </c>
      <c r="U208" s="784">
        <f t="shared" si="176"/>
        <v>1666.64</v>
      </c>
      <c r="V208" s="784">
        <f t="shared" si="176"/>
        <v>1666.64</v>
      </c>
      <c r="W208" s="784">
        <f t="shared" si="176"/>
        <v>1666.64</v>
      </c>
      <c r="X208" s="784">
        <f t="shared" si="176"/>
        <v>1666.64</v>
      </c>
      <c r="Y208" s="784">
        <f t="shared" si="176"/>
        <v>1666.64</v>
      </c>
      <c r="Z208" s="784">
        <f t="shared" si="176"/>
        <v>1666.64</v>
      </c>
      <c r="AA208" s="860">
        <f>SUM(O208:Z208)</f>
        <v>19999.679999999997</v>
      </c>
    </row>
    <row r="209" spans="1:27" ht="22.5" x14ac:dyDescent="0.25">
      <c r="A209" s="802"/>
      <c r="B209" s="2698"/>
      <c r="C209" s="2585"/>
      <c r="D209" s="2585"/>
      <c r="E209" s="2607"/>
      <c r="F209" s="2607"/>
      <c r="G209" s="2607"/>
      <c r="H209" s="2660"/>
      <c r="I209" s="2592"/>
      <c r="J209" s="2701"/>
      <c r="K209" s="2701"/>
      <c r="L209" s="2564"/>
      <c r="M209" s="956" t="s">
        <v>184</v>
      </c>
      <c r="N209" s="956" t="s">
        <v>1038</v>
      </c>
      <c r="O209" s="785">
        <v>541.66</v>
      </c>
      <c r="P209" s="785">
        <v>541.66</v>
      </c>
      <c r="Q209" s="785">
        <v>541.66</v>
      </c>
      <c r="R209" s="785">
        <v>541.66</v>
      </c>
      <c r="S209" s="785">
        <v>541.66</v>
      </c>
      <c r="T209" s="785">
        <v>541.66</v>
      </c>
      <c r="U209" s="785">
        <v>541.66</v>
      </c>
      <c r="V209" s="785">
        <v>541.66</v>
      </c>
      <c r="W209" s="785">
        <v>541.66</v>
      </c>
      <c r="X209" s="785">
        <v>541.66</v>
      </c>
      <c r="Y209" s="785">
        <v>541.66</v>
      </c>
      <c r="Z209" s="785">
        <v>541.66</v>
      </c>
      <c r="AA209" s="859">
        <f t="shared" si="173"/>
        <v>6499.9199999999992</v>
      </c>
    </row>
    <row r="210" spans="1:27" ht="33.75" x14ac:dyDescent="0.25">
      <c r="A210" s="802"/>
      <c r="B210" s="2698"/>
      <c r="C210" s="2585"/>
      <c r="D210" s="2585"/>
      <c r="E210" s="2607"/>
      <c r="F210" s="2607"/>
      <c r="G210" s="2607"/>
      <c r="H210" s="2660"/>
      <c r="I210" s="2592"/>
      <c r="J210" s="2701"/>
      <c r="K210" s="2701"/>
      <c r="L210" s="2564"/>
      <c r="M210" s="956" t="s">
        <v>1052</v>
      </c>
      <c r="N210" s="956" t="s">
        <v>1053</v>
      </c>
      <c r="O210" s="785">
        <v>291.66000000000003</v>
      </c>
      <c r="P210" s="785">
        <v>291.66000000000003</v>
      </c>
      <c r="Q210" s="785">
        <v>291.66000000000003</v>
      </c>
      <c r="R210" s="785">
        <v>291.66000000000003</v>
      </c>
      <c r="S210" s="785">
        <v>291.66000000000003</v>
      </c>
      <c r="T210" s="785">
        <v>291.66000000000003</v>
      </c>
      <c r="U210" s="785">
        <v>291.66000000000003</v>
      </c>
      <c r="V210" s="785">
        <v>291.66000000000003</v>
      </c>
      <c r="W210" s="785">
        <v>291.66000000000003</v>
      </c>
      <c r="X210" s="785">
        <v>291.66000000000003</v>
      </c>
      <c r="Y210" s="785">
        <v>291.66000000000003</v>
      </c>
      <c r="Z210" s="785">
        <v>291.66000000000003</v>
      </c>
      <c r="AA210" s="859">
        <f t="shared" si="173"/>
        <v>3499.9199999999996</v>
      </c>
    </row>
    <row r="211" spans="1:27" ht="28.5" customHeight="1" x14ac:dyDescent="0.25">
      <c r="A211" s="802"/>
      <c r="B211" s="2698"/>
      <c r="C211" s="2585"/>
      <c r="D211" s="2585"/>
      <c r="E211" s="2607"/>
      <c r="F211" s="2607"/>
      <c r="G211" s="2607"/>
      <c r="H211" s="2660"/>
      <c r="I211" s="2592"/>
      <c r="J211" s="2701"/>
      <c r="K211" s="2701"/>
      <c r="L211" s="2564"/>
      <c r="M211" s="956" t="s">
        <v>1054</v>
      </c>
      <c r="N211" s="956" t="s">
        <v>191</v>
      </c>
      <c r="O211" s="785">
        <v>416.66</v>
      </c>
      <c r="P211" s="785">
        <v>416.66</v>
      </c>
      <c r="Q211" s="785">
        <v>416.66</v>
      </c>
      <c r="R211" s="785">
        <v>416.66</v>
      </c>
      <c r="S211" s="785">
        <v>416.66</v>
      </c>
      <c r="T211" s="785">
        <v>416.66</v>
      </c>
      <c r="U211" s="785">
        <v>416.66</v>
      </c>
      <c r="V211" s="785">
        <v>416.66</v>
      </c>
      <c r="W211" s="785">
        <v>416.66</v>
      </c>
      <c r="X211" s="785">
        <v>416.66</v>
      </c>
      <c r="Y211" s="785">
        <v>416.66</v>
      </c>
      <c r="Z211" s="785">
        <v>416.66</v>
      </c>
      <c r="AA211" s="859">
        <f t="shared" si="173"/>
        <v>4999.9199999999992</v>
      </c>
    </row>
    <row r="212" spans="1:27" ht="33.75" x14ac:dyDescent="0.25">
      <c r="A212" s="802"/>
      <c r="B212" s="2699"/>
      <c r="C212" s="2586"/>
      <c r="D212" s="2586"/>
      <c r="E212" s="2607"/>
      <c r="F212" s="2607"/>
      <c r="G212" s="2607"/>
      <c r="H212" s="2661"/>
      <c r="I212" s="2593"/>
      <c r="J212" s="2702"/>
      <c r="K212" s="2702"/>
      <c r="L212" s="2565"/>
      <c r="M212" s="956" t="s">
        <v>194</v>
      </c>
      <c r="N212" s="956" t="s">
        <v>984</v>
      </c>
      <c r="O212" s="785">
        <v>416.66</v>
      </c>
      <c r="P212" s="785">
        <v>416.66</v>
      </c>
      <c r="Q212" s="785">
        <v>416.66</v>
      </c>
      <c r="R212" s="785">
        <v>416.66</v>
      </c>
      <c r="S212" s="785">
        <v>416.66</v>
      </c>
      <c r="T212" s="785">
        <v>416.66</v>
      </c>
      <c r="U212" s="785">
        <v>416.66</v>
      </c>
      <c r="V212" s="785">
        <v>416.66</v>
      </c>
      <c r="W212" s="785">
        <v>416.66</v>
      </c>
      <c r="X212" s="785">
        <v>416.66</v>
      </c>
      <c r="Y212" s="785">
        <v>416.66</v>
      </c>
      <c r="Z212" s="785">
        <v>416.66</v>
      </c>
      <c r="AA212" s="859">
        <f t="shared" si="173"/>
        <v>4999.9199999999992</v>
      </c>
    </row>
    <row r="213" spans="1:27" ht="15" customHeight="1" x14ac:dyDescent="0.25">
      <c r="A213" s="802"/>
      <c r="B213" s="2595" t="s">
        <v>18</v>
      </c>
      <c r="C213" s="2543">
        <v>3000478</v>
      </c>
      <c r="D213" s="2594" t="s">
        <v>1055</v>
      </c>
      <c r="E213" s="2620"/>
      <c r="F213" s="2620"/>
      <c r="G213" s="2595"/>
      <c r="H213" s="787"/>
      <c r="I213" s="787"/>
      <c r="J213" s="787"/>
      <c r="K213" s="787"/>
      <c r="L213" s="787"/>
      <c r="M213" s="787"/>
      <c r="N213" s="787"/>
      <c r="O213" s="787"/>
      <c r="P213" s="787"/>
      <c r="Q213" s="787"/>
      <c r="R213" s="787"/>
      <c r="S213" s="787"/>
      <c r="T213" s="787"/>
      <c r="U213" s="788"/>
      <c r="V213" s="2602" t="s">
        <v>15</v>
      </c>
      <c r="W213" s="2609"/>
      <c r="X213" s="2609"/>
      <c r="Y213" s="2603"/>
      <c r="Z213" s="2602" t="s">
        <v>16</v>
      </c>
      <c r="AA213" s="2603"/>
    </row>
    <row r="214" spans="1:27" ht="38.25" customHeight="1" x14ac:dyDescent="0.25">
      <c r="A214" s="802"/>
      <c r="B214" s="2650"/>
      <c r="C214" s="2544"/>
      <c r="D214" s="2621"/>
      <c r="E214" s="2622"/>
      <c r="F214" s="2622"/>
      <c r="G214" s="2650"/>
      <c r="H214" s="789"/>
      <c r="I214" s="789"/>
      <c r="J214" s="789"/>
      <c r="K214" s="789"/>
      <c r="L214" s="789"/>
      <c r="M214" s="789"/>
      <c r="N214" s="789"/>
      <c r="O214" s="789"/>
      <c r="P214" s="789"/>
      <c r="Q214" s="789"/>
      <c r="R214" s="789"/>
      <c r="S214" s="789"/>
      <c r="T214" s="789"/>
      <c r="U214" s="791"/>
      <c r="V214" s="2602" t="s">
        <v>1056</v>
      </c>
      <c r="W214" s="2609"/>
      <c r="X214" s="2609"/>
      <c r="Y214" s="2603"/>
      <c r="Z214" s="2602" t="s">
        <v>982</v>
      </c>
      <c r="AA214" s="2603"/>
    </row>
    <row r="215" spans="1:27" ht="15" customHeight="1" x14ac:dyDescent="0.25">
      <c r="A215" s="802"/>
      <c r="B215" s="2697">
        <v>5003418</v>
      </c>
      <c r="C215" s="2584" t="s">
        <v>1057</v>
      </c>
      <c r="D215" s="2584" t="s">
        <v>1058</v>
      </c>
      <c r="E215" s="2607" t="s">
        <v>1033</v>
      </c>
      <c r="F215" s="2607" t="s">
        <v>969</v>
      </c>
      <c r="G215" s="2607" t="s">
        <v>1034</v>
      </c>
      <c r="H215" s="2659" t="s">
        <v>1059</v>
      </c>
      <c r="I215" s="2591" t="s">
        <v>982</v>
      </c>
      <c r="J215" s="2623">
        <f>+AA215</f>
        <v>2400</v>
      </c>
      <c r="K215" s="2700">
        <f>+AA217+AA218+AA219</f>
        <v>77889.960000000006</v>
      </c>
      <c r="L215" s="2563" t="s">
        <v>971</v>
      </c>
      <c r="M215" s="2627" t="s">
        <v>51</v>
      </c>
      <c r="N215" s="2627"/>
      <c r="O215" s="784">
        <v>200</v>
      </c>
      <c r="P215" s="784">
        <v>200</v>
      </c>
      <c r="Q215" s="784">
        <v>200</v>
      </c>
      <c r="R215" s="784">
        <v>200</v>
      </c>
      <c r="S215" s="784">
        <v>200</v>
      </c>
      <c r="T215" s="784">
        <v>200</v>
      </c>
      <c r="U215" s="784">
        <v>200</v>
      </c>
      <c r="V215" s="784">
        <v>200</v>
      </c>
      <c r="W215" s="784">
        <v>200</v>
      </c>
      <c r="X215" s="784">
        <v>200</v>
      </c>
      <c r="Y215" s="784">
        <v>200</v>
      </c>
      <c r="Z215" s="784">
        <v>200</v>
      </c>
      <c r="AA215" s="860">
        <f t="shared" ref="AA215:AA219" si="177">SUM(O215:Z215)</f>
        <v>2400</v>
      </c>
    </row>
    <row r="216" spans="1:27" ht="15" customHeight="1" x14ac:dyDescent="0.25">
      <c r="A216" s="802"/>
      <c r="B216" s="2698"/>
      <c r="C216" s="2585"/>
      <c r="D216" s="2585"/>
      <c r="E216" s="2607"/>
      <c r="F216" s="2607"/>
      <c r="G216" s="2607"/>
      <c r="H216" s="2660"/>
      <c r="I216" s="2592"/>
      <c r="J216" s="2624"/>
      <c r="K216" s="2701"/>
      <c r="L216" s="2564"/>
      <c r="M216" s="2627" t="s">
        <v>1037</v>
      </c>
      <c r="N216" s="2627"/>
      <c r="O216" s="784">
        <f>SUM(O217:O219)</f>
        <v>6490.83</v>
      </c>
      <c r="P216" s="784">
        <f t="shared" ref="P216:Z216" si="178">SUM(P217:P219)</f>
        <v>6490.83</v>
      </c>
      <c r="Q216" s="784">
        <f t="shared" si="178"/>
        <v>6490.83</v>
      </c>
      <c r="R216" s="784">
        <f t="shared" si="178"/>
        <v>6490.83</v>
      </c>
      <c r="S216" s="784">
        <f t="shared" si="178"/>
        <v>6490.83</v>
      </c>
      <c r="T216" s="784">
        <f t="shared" si="178"/>
        <v>6490.83</v>
      </c>
      <c r="U216" s="784">
        <f t="shared" si="178"/>
        <v>6490.83</v>
      </c>
      <c r="V216" s="784">
        <f t="shared" si="178"/>
        <v>6490.83</v>
      </c>
      <c r="W216" s="784">
        <f t="shared" si="178"/>
        <v>6490.83</v>
      </c>
      <c r="X216" s="784">
        <f t="shared" si="178"/>
        <v>6490.83</v>
      </c>
      <c r="Y216" s="784">
        <f t="shared" si="178"/>
        <v>6490.83</v>
      </c>
      <c r="Z216" s="784">
        <f t="shared" si="178"/>
        <v>6490.83</v>
      </c>
      <c r="AA216" s="860">
        <f>SUM(O216:Z216)</f>
        <v>77889.960000000006</v>
      </c>
    </row>
    <row r="217" spans="1:27" ht="33.75" x14ac:dyDescent="0.25">
      <c r="A217" s="802"/>
      <c r="B217" s="2698"/>
      <c r="C217" s="2585"/>
      <c r="D217" s="2585"/>
      <c r="E217" s="2607"/>
      <c r="F217" s="2607"/>
      <c r="G217" s="2607"/>
      <c r="H217" s="2660"/>
      <c r="I217" s="2592"/>
      <c r="J217" s="2624"/>
      <c r="K217" s="2701"/>
      <c r="L217" s="2564"/>
      <c r="M217" s="956" t="s">
        <v>213</v>
      </c>
      <c r="N217" s="956" t="s">
        <v>1060</v>
      </c>
      <c r="O217" s="785">
        <v>80</v>
      </c>
      <c r="P217" s="785">
        <v>80</v>
      </c>
      <c r="Q217" s="785">
        <v>80</v>
      </c>
      <c r="R217" s="785">
        <v>80</v>
      </c>
      <c r="S217" s="785">
        <v>80</v>
      </c>
      <c r="T217" s="785">
        <v>80</v>
      </c>
      <c r="U217" s="785">
        <v>80</v>
      </c>
      <c r="V217" s="785">
        <v>80</v>
      </c>
      <c r="W217" s="785">
        <v>80</v>
      </c>
      <c r="X217" s="785">
        <v>80</v>
      </c>
      <c r="Y217" s="785">
        <v>80</v>
      </c>
      <c r="Z217" s="785">
        <v>80</v>
      </c>
      <c r="AA217" s="859">
        <f t="shared" si="177"/>
        <v>960</v>
      </c>
    </row>
    <row r="218" spans="1:27" ht="21.75" customHeight="1" x14ac:dyDescent="0.25">
      <c r="A218" s="802"/>
      <c r="B218" s="2698"/>
      <c r="C218" s="2585"/>
      <c r="D218" s="2585"/>
      <c r="E218" s="2607"/>
      <c r="F218" s="2607"/>
      <c r="G218" s="2607"/>
      <c r="H218" s="2660"/>
      <c r="I218" s="2592"/>
      <c r="J218" s="2624"/>
      <c r="K218" s="2701"/>
      <c r="L218" s="2564"/>
      <c r="M218" s="956" t="s">
        <v>1061</v>
      </c>
      <c r="N218" s="956" t="s">
        <v>1062</v>
      </c>
      <c r="O218" s="785">
        <v>160.83000000000001</v>
      </c>
      <c r="P218" s="785">
        <v>160.83000000000001</v>
      </c>
      <c r="Q218" s="785">
        <v>160.83000000000001</v>
      </c>
      <c r="R218" s="785">
        <v>160.83000000000001</v>
      </c>
      <c r="S218" s="785">
        <v>160.83000000000001</v>
      </c>
      <c r="T218" s="785">
        <v>160.83000000000001</v>
      </c>
      <c r="U218" s="785">
        <v>160.83000000000001</v>
      </c>
      <c r="V218" s="785">
        <v>160.83000000000001</v>
      </c>
      <c r="W218" s="785">
        <v>160.83000000000001</v>
      </c>
      <c r="X218" s="785">
        <v>160.83000000000001</v>
      </c>
      <c r="Y218" s="785">
        <v>160.83000000000001</v>
      </c>
      <c r="Z218" s="785">
        <v>160.83000000000001</v>
      </c>
      <c r="AA218" s="859">
        <f t="shared" si="177"/>
        <v>1929.9599999999998</v>
      </c>
    </row>
    <row r="219" spans="1:27" ht="33.75" x14ac:dyDescent="0.25">
      <c r="A219" s="802"/>
      <c r="B219" s="2699"/>
      <c r="C219" s="2586"/>
      <c r="D219" s="2586"/>
      <c r="E219" s="2607"/>
      <c r="F219" s="2607"/>
      <c r="G219" s="2607"/>
      <c r="H219" s="2661"/>
      <c r="I219" s="2593"/>
      <c r="J219" s="2625"/>
      <c r="K219" s="2702"/>
      <c r="L219" s="2565"/>
      <c r="M219" s="956" t="s">
        <v>194</v>
      </c>
      <c r="N219" s="956" t="s">
        <v>984</v>
      </c>
      <c r="O219" s="785">
        <v>6250</v>
      </c>
      <c r="P219" s="785">
        <v>6250</v>
      </c>
      <c r="Q219" s="785">
        <v>6250</v>
      </c>
      <c r="R219" s="785">
        <v>6250</v>
      </c>
      <c r="S219" s="785">
        <v>6250</v>
      </c>
      <c r="T219" s="785">
        <v>6250</v>
      </c>
      <c r="U219" s="785">
        <v>6250</v>
      </c>
      <c r="V219" s="785">
        <v>6250</v>
      </c>
      <c r="W219" s="785">
        <v>6250</v>
      </c>
      <c r="X219" s="785">
        <v>6250</v>
      </c>
      <c r="Y219" s="785">
        <v>6250</v>
      </c>
      <c r="Z219" s="785">
        <v>6250</v>
      </c>
      <c r="AA219" s="859">
        <f t="shared" si="177"/>
        <v>75000</v>
      </c>
    </row>
    <row r="220" spans="1:27" ht="15" customHeight="1" x14ac:dyDescent="0.25">
      <c r="A220" s="802"/>
      <c r="B220" s="2595" t="s">
        <v>18</v>
      </c>
      <c r="C220" s="2543">
        <v>3000479</v>
      </c>
      <c r="D220" s="2594" t="s">
        <v>1063</v>
      </c>
      <c r="E220" s="2620"/>
      <c r="F220" s="2620"/>
      <c r="G220" s="787"/>
      <c r="H220" s="787"/>
      <c r="I220" s="787"/>
      <c r="J220" s="787"/>
      <c r="K220" s="787"/>
      <c r="L220" s="787"/>
      <c r="M220" s="787"/>
      <c r="N220" s="787"/>
      <c r="O220" s="787"/>
      <c r="P220" s="787"/>
      <c r="Q220" s="787"/>
      <c r="R220" s="787"/>
      <c r="S220" s="787"/>
      <c r="T220" s="787"/>
      <c r="U220" s="788"/>
      <c r="V220" s="2602" t="s">
        <v>15</v>
      </c>
      <c r="W220" s="2609"/>
      <c r="X220" s="2609"/>
      <c r="Y220" s="2603"/>
      <c r="Z220" s="2602" t="s">
        <v>16</v>
      </c>
      <c r="AA220" s="2603"/>
    </row>
    <row r="221" spans="1:27" ht="38.25" customHeight="1" x14ac:dyDescent="0.25">
      <c r="A221" s="802"/>
      <c r="B221" s="2650"/>
      <c r="C221" s="2544"/>
      <c r="D221" s="2621"/>
      <c r="E221" s="2622"/>
      <c r="F221" s="2622"/>
      <c r="G221" s="789"/>
      <c r="H221" s="789"/>
      <c r="I221" s="789"/>
      <c r="J221" s="789"/>
      <c r="K221" s="789"/>
      <c r="L221" s="789"/>
      <c r="M221" s="789"/>
      <c r="N221" s="789"/>
      <c r="O221" s="789"/>
      <c r="P221" s="789"/>
      <c r="Q221" s="789"/>
      <c r="R221" s="789"/>
      <c r="S221" s="789"/>
      <c r="T221" s="789"/>
      <c r="U221" s="791"/>
      <c r="V221" s="2703" t="s">
        <v>1064</v>
      </c>
      <c r="W221" s="2704"/>
      <c r="X221" s="2704"/>
      <c r="Y221" s="2705"/>
      <c r="Z221" s="2602" t="s">
        <v>1065</v>
      </c>
      <c r="AA221" s="2603"/>
    </row>
    <row r="222" spans="1:27" ht="15" customHeight="1" x14ac:dyDescent="0.25">
      <c r="A222" s="802"/>
      <c r="B222" s="2697">
        <v>5003427</v>
      </c>
      <c r="C222" s="2584" t="s">
        <v>1066</v>
      </c>
      <c r="D222" s="2584" t="s">
        <v>1067</v>
      </c>
      <c r="E222" s="2607" t="s">
        <v>1033</v>
      </c>
      <c r="F222" s="2607" t="s">
        <v>969</v>
      </c>
      <c r="G222" s="2607" t="s">
        <v>1034</v>
      </c>
      <c r="H222" s="2659" t="s">
        <v>1068</v>
      </c>
      <c r="I222" s="2591" t="s">
        <v>1065</v>
      </c>
      <c r="J222" s="2623">
        <f>+AA222</f>
        <v>23200</v>
      </c>
      <c r="K222" s="2623">
        <f>+AA224</f>
        <v>210000</v>
      </c>
      <c r="L222" s="2563" t="s">
        <v>971</v>
      </c>
      <c r="M222" s="2627" t="s">
        <v>51</v>
      </c>
      <c r="N222" s="2627"/>
      <c r="O222" s="784">
        <v>1933</v>
      </c>
      <c r="P222" s="784">
        <v>1934</v>
      </c>
      <c r="Q222" s="784">
        <v>1933</v>
      </c>
      <c r="R222" s="784">
        <v>1933</v>
      </c>
      <c r="S222" s="784">
        <v>1933</v>
      </c>
      <c r="T222" s="784">
        <v>1934</v>
      </c>
      <c r="U222" s="784">
        <v>1933</v>
      </c>
      <c r="V222" s="784">
        <v>1933</v>
      </c>
      <c r="W222" s="784">
        <v>1934</v>
      </c>
      <c r="X222" s="784">
        <v>1933</v>
      </c>
      <c r="Y222" s="784">
        <v>1934</v>
      </c>
      <c r="Z222" s="784">
        <v>1933</v>
      </c>
      <c r="AA222" s="860">
        <f t="shared" ref="AA222" si="179">SUM(O222:Z222)</f>
        <v>23200</v>
      </c>
    </row>
    <row r="223" spans="1:27" ht="15" customHeight="1" x14ac:dyDescent="0.25">
      <c r="A223" s="802"/>
      <c r="B223" s="2698"/>
      <c r="C223" s="2585"/>
      <c r="D223" s="2585"/>
      <c r="E223" s="2607"/>
      <c r="F223" s="2607"/>
      <c r="G223" s="2607"/>
      <c r="H223" s="2660"/>
      <c r="I223" s="2592"/>
      <c r="J223" s="2624"/>
      <c r="K223" s="2624"/>
      <c r="L223" s="2564"/>
      <c r="M223" s="2627" t="s">
        <v>1037</v>
      </c>
      <c r="N223" s="2627"/>
      <c r="O223" s="784">
        <f>SUM(O224)</f>
        <v>17500</v>
      </c>
      <c r="P223" s="784">
        <f t="shared" ref="P223:Z223" si="180">SUM(P224)</f>
        <v>17500</v>
      </c>
      <c r="Q223" s="784">
        <f t="shared" si="180"/>
        <v>17500</v>
      </c>
      <c r="R223" s="784">
        <f t="shared" si="180"/>
        <v>17500</v>
      </c>
      <c r="S223" s="784">
        <f t="shared" si="180"/>
        <v>17500</v>
      </c>
      <c r="T223" s="784">
        <f t="shared" si="180"/>
        <v>17500</v>
      </c>
      <c r="U223" s="784">
        <f t="shared" si="180"/>
        <v>17500</v>
      </c>
      <c r="V223" s="784">
        <f t="shared" si="180"/>
        <v>17500</v>
      </c>
      <c r="W223" s="784">
        <f t="shared" si="180"/>
        <v>17500</v>
      </c>
      <c r="X223" s="784">
        <f t="shared" si="180"/>
        <v>17500</v>
      </c>
      <c r="Y223" s="784">
        <f t="shared" si="180"/>
        <v>17500</v>
      </c>
      <c r="Z223" s="784">
        <f t="shared" si="180"/>
        <v>17500</v>
      </c>
      <c r="AA223" s="860">
        <f>SUM(O223:Z223)</f>
        <v>210000</v>
      </c>
    </row>
    <row r="224" spans="1:27" ht="36.75" customHeight="1" x14ac:dyDescent="0.25">
      <c r="A224" s="802"/>
      <c r="B224" s="2699"/>
      <c r="C224" s="2586"/>
      <c r="D224" s="2586"/>
      <c r="E224" s="2607"/>
      <c r="F224" s="2607"/>
      <c r="G224" s="2607"/>
      <c r="H224" s="2661"/>
      <c r="I224" s="2593"/>
      <c r="J224" s="2625"/>
      <c r="K224" s="2625"/>
      <c r="L224" s="2565"/>
      <c r="M224" s="918" t="s">
        <v>220</v>
      </c>
      <c r="N224" s="778" t="s">
        <v>1043</v>
      </c>
      <c r="O224" s="785">
        <v>17500</v>
      </c>
      <c r="P224" s="785">
        <v>17500</v>
      </c>
      <c r="Q224" s="785">
        <v>17500</v>
      </c>
      <c r="R224" s="785">
        <v>17500</v>
      </c>
      <c r="S224" s="785">
        <v>17500</v>
      </c>
      <c r="T224" s="785">
        <v>17500</v>
      </c>
      <c r="U224" s="785">
        <v>17500</v>
      </c>
      <c r="V224" s="785">
        <v>17500</v>
      </c>
      <c r="W224" s="785">
        <v>17500</v>
      </c>
      <c r="X224" s="785">
        <v>17500</v>
      </c>
      <c r="Y224" s="785">
        <v>17500</v>
      </c>
      <c r="Z224" s="785">
        <v>17500</v>
      </c>
      <c r="AA224" s="859">
        <f>SUM(O224:Z224)</f>
        <v>210000</v>
      </c>
    </row>
    <row r="225" spans="1:28" ht="12.75" customHeight="1" x14ac:dyDescent="0.25">
      <c r="A225" s="802"/>
      <c r="B225" s="2595" t="s">
        <v>18</v>
      </c>
      <c r="C225" s="2543">
        <v>300048</v>
      </c>
      <c r="D225" s="2594" t="s">
        <v>1069</v>
      </c>
      <c r="E225" s="2620"/>
      <c r="F225" s="787"/>
      <c r="G225" s="787"/>
      <c r="H225" s="787"/>
      <c r="I225" s="787"/>
      <c r="J225" s="787"/>
      <c r="K225" s="787"/>
      <c r="L225" s="787"/>
      <c r="M225" s="787"/>
      <c r="N225" s="787"/>
      <c r="O225" s="787"/>
      <c r="P225" s="787"/>
      <c r="Q225" s="787"/>
      <c r="R225" s="787"/>
      <c r="S225" s="787"/>
      <c r="T225" s="787"/>
      <c r="U225" s="788"/>
      <c r="V225" s="2602" t="s">
        <v>15</v>
      </c>
      <c r="W225" s="2609"/>
      <c r="X225" s="2609"/>
      <c r="Y225" s="2603"/>
      <c r="Z225" s="2602" t="s">
        <v>16</v>
      </c>
      <c r="AA225" s="2603"/>
    </row>
    <row r="226" spans="1:28" ht="37.5" customHeight="1" x14ac:dyDescent="0.25">
      <c r="A226" s="802"/>
      <c r="B226" s="2650"/>
      <c r="C226" s="2544"/>
      <c r="D226" s="2621"/>
      <c r="E226" s="2622"/>
      <c r="F226" s="789"/>
      <c r="G226" s="789"/>
      <c r="H226" s="789"/>
      <c r="I226" s="789"/>
      <c r="J226" s="789"/>
      <c r="K226" s="789"/>
      <c r="L226" s="789"/>
      <c r="M226" s="789"/>
      <c r="N226" s="789"/>
      <c r="O226" s="789"/>
      <c r="P226" s="789"/>
      <c r="Q226" s="789"/>
      <c r="R226" s="789"/>
      <c r="S226" s="789"/>
      <c r="T226" s="789"/>
      <c r="U226" s="791"/>
      <c r="V226" s="2694" t="s">
        <v>3094</v>
      </c>
      <c r="W226" s="2695"/>
      <c r="X226" s="2695"/>
      <c r="Y226" s="2696"/>
      <c r="Z226" s="2602" t="s">
        <v>146</v>
      </c>
      <c r="AA226" s="2603"/>
    </row>
    <row r="227" spans="1:28" ht="15" customHeight="1" x14ac:dyDescent="0.25">
      <c r="A227" s="802"/>
      <c r="B227" s="2697">
        <v>5001486</v>
      </c>
      <c r="C227" s="2584" t="s">
        <v>1070</v>
      </c>
      <c r="D227" s="2584" t="s">
        <v>1071</v>
      </c>
      <c r="E227" s="2607" t="s">
        <v>1033</v>
      </c>
      <c r="F227" s="2607" t="s">
        <v>969</v>
      </c>
      <c r="G227" s="2607" t="s">
        <v>1034</v>
      </c>
      <c r="H227" s="2659" t="s">
        <v>1072</v>
      </c>
      <c r="I227" s="2591" t="s">
        <v>1073</v>
      </c>
      <c r="J227" s="2700">
        <f>+AA227</f>
        <v>2</v>
      </c>
      <c r="K227" s="2700">
        <f>+AA229+AA230</f>
        <v>2800</v>
      </c>
      <c r="L227" s="2563" t="s">
        <v>971</v>
      </c>
      <c r="M227" s="2627" t="s">
        <v>51</v>
      </c>
      <c r="N227" s="2627"/>
      <c r="O227" s="784">
        <v>0</v>
      </c>
      <c r="P227" s="784">
        <v>0</v>
      </c>
      <c r="Q227" s="784">
        <v>1</v>
      </c>
      <c r="R227" s="784">
        <v>0</v>
      </c>
      <c r="S227" s="784">
        <v>0</v>
      </c>
      <c r="T227" s="784">
        <v>0</v>
      </c>
      <c r="U227" s="784">
        <v>0</v>
      </c>
      <c r="V227" s="784">
        <v>0</v>
      </c>
      <c r="W227" s="784">
        <v>0</v>
      </c>
      <c r="X227" s="784">
        <v>1</v>
      </c>
      <c r="Y227" s="784">
        <v>0</v>
      </c>
      <c r="Z227" s="784">
        <v>0</v>
      </c>
      <c r="AA227" s="860">
        <f t="shared" ref="AA227:AA230" si="181">SUM(O227:Z227)</f>
        <v>2</v>
      </c>
    </row>
    <row r="228" spans="1:28" ht="15" customHeight="1" x14ac:dyDescent="0.25">
      <c r="A228" s="802"/>
      <c r="B228" s="2698"/>
      <c r="C228" s="2585"/>
      <c r="D228" s="2585"/>
      <c r="E228" s="2607"/>
      <c r="F228" s="2607"/>
      <c r="G228" s="2607"/>
      <c r="H228" s="2660"/>
      <c r="I228" s="2592"/>
      <c r="J228" s="2701"/>
      <c r="K228" s="2701"/>
      <c r="L228" s="2564"/>
      <c r="M228" s="2627" t="s">
        <v>1037</v>
      </c>
      <c r="N228" s="2627"/>
      <c r="O228" s="784">
        <f>SUM(O229:O230)</f>
        <v>0</v>
      </c>
      <c r="P228" s="784">
        <f t="shared" ref="P228:Z228" si="182">SUM(P229:P230)</f>
        <v>0</v>
      </c>
      <c r="Q228" s="784">
        <f t="shared" si="182"/>
        <v>1400</v>
      </c>
      <c r="R228" s="784">
        <f t="shared" si="182"/>
        <v>0</v>
      </c>
      <c r="S228" s="784">
        <f t="shared" si="182"/>
        <v>0</v>
      </c>
      <c r="T228" s="784">
        <f t="shared" si="182"/>
        <v>0</v>
      </c>
      <c r="U228" s="784">
        <f t="shared" si="182"/>
        <v>0</v>
      </c>
      <c r="V228" s="784">
        <f t="shared" si="182"/>
        <v>0</v>
      </c>
      <c r="W228" s="784">
        <f t="shared" si="182"/>
        <v>0</v>
      </c>
      <c r="X228" s="784">
        <f t="shared" si="182"/>
        <v>1400</v>
      </c>
      <c r="Y228" s="784">
        <f t="shared" si="182"/>
        <v>0</v>
      </c>
      <c r="Z228" s="784">
        <f t="shared" si="182"/>
        <v>0</v>
      </c>
      <c r="AA228" s="860">
        <f>SUM(O228:Z228)</f>
        <v>2800</v>
      </c>
      <c r="AB228" s="354"/>
    </row>
    <row r="229" spans="1:28" ht="37.5" customHeight="1" x14ac:dyDescent="0.25">
      <c r="A229" s="802"/>
      <c r="B229" s="2698"/>
      <c r="C229" s="2585"/>
      <c r="D229" s="2585"/>
      <c r="E229" s="2607"/>
      <c r="F229" s="2607"/>
      <c r="G229" s="2607"/>
      <c r="H229" s="2660"/>
      <c r="I229" s="2592"/>
      <c r="J229" s="2701"/>
      <c r="K229" s="2701"/>
      <c r="L229" s="2564"/>
      <c r="M229" s="956" t="s">
        <v>180</v>
      </c>
      <c r="N229" s="956" t="s">
        <v>181</v>
      </c>
      <c r="O229" s="785">
        <v>0</v>
      </c>
      <c r="P229" s="785">
        <v>0</v>
      </c>
      <c r="Q229" s="785">
        <v>500</v>
      </c>
      <c r="R229" s="785">
        <v>0</v>
      </c>
      <c r="S229" s="785">
        <v>0</v>
      </c>
      <c r="T229" s="785">
        <v>0</v>
      </c>
      <c r="U229" s="785">
        <v>0</v>
      </c>
      <c r="V229" s="785">
        <v>0</v>
      </c>
      <c r="W229" s="785">
        <v>0</v>
      </c>
      <c r="X229" s="785">
        <v>500</v>
      </c>
      <c r="Y229" s="785">
        <v>0</v>
      </c>
      <c r="Z229" s="785">
        <v>0</v>
      </c>
      <c r="AA229" s="859">
        <f t="shared" si="181"/>
        <v>1000</v>
      </c>
    </row>
    <row r="230" spans="1:28" ht="37.5" customHeight="1" thickBot="1" x14ac:dyDescent="0.3">
      <c r="A230" s="808"/>
      <c r="B230" s="2699"/>
      <c r="C230" s="2586"/>
      <c r="D230" s="2586"/>
      <c r="E230" s="2607"/>
      <c r="F230" s="2607"/>
      <c r="G230" s="2607"/>
      <c r="H230" s="2661"/>
      <c r="I230" s="2593"/>
      <c r="J230" s="2702"/>
      <c r="K230" s="2702"/>
      <c r="L230" s="2565"/>
      <c r="M230" s="956" t="s">
        <v>194</v>
      </c>
      <c r="N230" s="956" t="s">
        <v>3096</v>
      </c>
      <c r="O230" s="785">
        <v>0</v>
      </c>
      <c r="P230" s="785">
        <v>0</v>
      </c>
      <c r="Q230" s="785">
        <v>900</v>
      </c>
      <c r="R230" s="785">
        <v>0</v>
      </c>
      <c r="S230" s="785">
        <v>0</v>
      </c>
      <c r="T230" s="785">
        <v>0</v>
      </c>
      <c r="U230" s="785">
        <v>0</v>
      </c>
      <c r="V230" s="785">
        <v>0</v>
      </c>
      <c r="W230" s="785">
        <v>0</v>
      </c>
      <c r="X230" s="785">
        <v>900</v>
      </c>
      <c r="Y230" s="785">
        <v>0</v>
      </c>
      <c r="Z230" s="785">
        <v>0</v>
      </c>
      <c r="AA230" s="859">
        <f t="shared" si="181"/>
        <v>1800</v>
      </c>
    </row>
    <row r="231" spans="1:28" ht="15.75" thickBot="1" x14ac:dyDescent="0.3">
      <c r="A231" s="2673" t="s">
        <v>1169</v>
      </c>
      <c r="B231" s="2674"/>
      <c r="C231" s="2674"/>
      <c r="D231" s="2674"/>
      <c r="E231" s="2674"/>
      <c r="F231" s="2674"/>
      <c r="G231" s="2674"/>
      <c r="H231" s="2674"/>
      <c r="I231" s="2674"/>
      <c r="J231" s="2674"/>
      <c r="K231" s="2674"/>
      <c r="L231" s="2674"/>
      <c r="M231" s="2674"/>
      <c r="N231" s="2674"/>
      <c r="O231" s="2674"/>
      <c r="P231" s="2674"/>
      <c r="Q231" s="2674"/>
      <c r="R231" s="2674"/>
      <c r="S231" s="2674"/>
      <c r="T231" s="2674"/>
      <c r="U231" s="2674"/>
      <c r="V231" s="2674"/>
      <c r="W231" s="2674"/>
      <c r="X231" s="2674"/>
      <c r="Y231" s="2674"/>
      <c r="Z231" s="2674"/>
      <c r="AA231" s="2675"/>
    </row>
    <row r="232" spans="1:28" ht="17.25" customHeight="1" x14ac:dyDescent="0.25">
      <c r="A232" s="2676" t="s">
        <v>251</v>
      </c>
      <c r="B232" s="810" t="s">
        <v>1</v>
      </c>
      <c r="C232" s="2679" t="s">
        <v>1074</v>
      </c>
      <c r="D232" s="2679"/>
      <c r="E232" s="2679"/>
      <c r="F232" s="2679"/>
      <c r="G232" s="811"/>
      <c r="H232" s="811"/>
      <c r="I232" s="811"/>
      <c r="J232" s="811"/>
      <c r="K232" s="811"/>
      <c r="L232" s="811"/>
      <c r="M232" s="811"/>
      <c r="N232" s="811"/>
      <c r="O232" s="811"/>
      <c r="P232" s="811"/>
      <c r="Q232" s="811"/>
      <c r="R232" s="811"/>
      <c r="S232" s="811"/>
      <c r="T232" s="811"/>
      <c r="U232" s="811"/>
      <c r="V232" s="811"/>
      <c r="W232" s="811"/>
      <c r="X232" s="811"/>
      <c r="Y232" s="811"/>
      <c r="Z232" s="811"/>
      <c r="AA232" s="812"/>
    </row>
    <row r="233" spans="1:28" ht="26.25" customHeight="1" x14ac:dyDescent="0.25">
      <c r="A233" s="2677"/>
      <c r="B233" s="935" t="s">
        <v>2</v>
      </c>
      <c r="C233" s="2680" t="s">
        <v>1075</v>
      </c>
      <c r="D233" s="2680"/>
      <c r="E233" s="2680"/>
      <c r="F233" s="2680"/>
      <c r="G233" s="2680"/>
      <c r="H233" s="2680"/>
      <c r="I233" s="2680"/>
      <c r="J233" s="2680"/>
      <c r="K233" s="2680"/>
      <c r="L233" s="2680"/>
      <c r="M233" s="2680"/>
      <c r="N233" s="2680"/>
      <c r="O233" s="2680"/>
      <c r="P233" s="2680"/>
      <c r="Q233" s="2680"/>
      <c r="R233" s="2680"/>
      <c r="S233" s="2680"/>
      <c r="T233" s="2680"/>
      <c r="U233" s="2680"/>
      <c r="V233" s="2680"/>
      <c r="W233" s="2680"/>
      <c r="X233" s="2680"/>
      <c r="Y233" s="2680"/>
      <c r="Z233" s="2680"/>
      <c r="AA233" s="2680"/>
    </row>
    <row r="234" spans="1:28" ht="18" customHeight="1" x14ac:dyDescent="0.25">
      <c r="A234" s="2677"/>
      <c r="B234" s="935" t="s">
        <v>4</v>
      </c>
      <c r="C234" s="2681" t="s">
        <v>1076</v>
      </c>
      <c r="D234" s="2682"/>
      <c r="E234" s="2682"/>
      <c r="F234" s="2682"/>
      <c r="G234" s="2682"/>
      <c r="H234" s="2682"/>
      <c r="I234" s="2682"/>
      <c r="J234" s="2682"/>
      <c r="K234" s="2682"/>
      <c r="L234" s="2682"/>
      <c r="M234" s="2682"/>
      <c r="N234" s="2682"/>
      <c r="O234" s="919"/>
      <c r="P234" s="919"/>
      <c r="Q234" s="919"/>
      <c r="R234" s="919"/>
      <c r="S234" s="919"/>
      <c r="T234" s="919"/>
      <c r="U234" s="919"/>
      <c r="V234" s="919"/>
      <c r="W234" s="919"/>
      <c r="X234" s="919"/>
      <c r="Y234" s="919"/>
      <c r="Z234" s="919"/>
      <c r="AA234" s="813"/>
    </row>
    <row r="235" spans="1:28" ht="31.5" customHeight="1" x14ac:dyDescent="0.25">
      <c r="A235" s="2677"/>
      <c r="B235" s="935" t="s">
        <v>6</v>
      </c>
      <c r="C235" s="2680" t="s">
        <v>962</v>
      </c>
      <c r="D235" s="2680"/>
      <c r="E235" s="2680"/>
      <c r="F235" s="2680"/>
      <c r="G235" s="2680"/>
      <c r="H235" s="2680"/>
      <c r="I235" s="2680"/>
      <c r="J235" s="2680"/>
      <c r="K235" s="2680"/>
      <c r="L235" s="2680"/>
      <c r="M235" s="2680"/>
      <c r="N235" s="2680"/>
      <c r="O235" s="2680"/>
      <c r="P235" s="2680"/>
      <c r="Q235" s="2680"/>
      <c r="R235" s="2680"/>
      <c r="S235" s="2680"/>
      <c r="T235" s="2680"/>
      <c r="U235" s="2680"/>
      <c r="V235" s="2680"/>
      <c r="W235" s="2680"/>
      <c r="X235" s="2680"/>
      <c r="Y235" s="2680"/>
      <c r="Z235" s="2680"/>
      <c r="AA235" s="2680"/>
    </row>
    <row r="236" spans="1:28" ht="23.25" customHeight="1" thickBot="1" x14ac:dyDescent="0.3">
      <c r="A236" s="2678"/>
      <c r="B236" s="939" t="s">
        <v>8</v>
      </c>
      <c r="C236" s="2597" t="s">
        <v>1077</v>
      </c>
      <c r="D236" s="2598"/>
      <c r="E236" s="2598"/>
      <c r="F236" s="2598"/>
      <c r="G236" s="2598"/>
      <c r="H236" s="2598"/>
      <c r="I236" s="782"/>
      <c r="J236" s="782"/>
      <c r="K236" s="782"/>
      <c r="L236" s="782"/>
      <c r="M236" s="782"/>
      <c r="N236" s="782"/>
      <c r="O236" s="782"/>
      <c r="P236" s="782"/>
      <c r="Q236" s="782"/>
      <c r="R236" s="782"/>
      <c r="S236" s="782"/>
      <c r="T236" s="782"/>
      <c r="U236" s="782"/>
      <c r="V236" s="782"/>
      <c r="W236" s="782"/>
      <c r="X236" s="782"/>
      <c r="Y236" s="782"/>
      <c r="Z236" s="782"/>
      <c r="AA236" s="814"/>
    </row>
    <row r="237" spans="1:28" ht="32.25" customHeight="1" x14ac:dyDescent="0.25">
      <c r="A237" s="2676" t="s">
        <v>256</v>
      </c>
      <c r="B237" s="935" t="s">
        <v>11</v>
      </c>
      <c r="C237" s="947" t="s">
        <v>84</v>
      </c>
      <c r="D237" s="815"/>
      <c r="E237" s="816"/>
      <c r="F237" s="816"/>
      <c r="G237" s="816"/>
      <c r="H237" s="815"/>
      <c r="I237" s="816"/>
      <c r="J237" s="816"/>
      <c r="K237" s="816"/>
      <c r="L237" s="816"/>
      <c r="M237" s="816"/>
      <c r="N237" s="816"/>
      <c r="O237" s="816"/>
      <c r="P237" s="816"/>
      <c r="Q237" s="816"/>
      <c r="R237" s="816"/>
      <c r="S237" s="816"/>
      <c r="T237" s="816"/>
      <c r="U237" s="815"/>
      <c r="V237" s="815"/>
      <c r="W237" s="815"/>
      <c r="X237" s="815"/>
      <c r="Y237" s="815"/>
      <c r="Z237" s="815"/>
      <c r="AA237" s="817"/>
    </row>
    <row r="238" spans="1:28" ht="12" customHeight="1" x14ac:dyDescent="0.25">
      <c r="A238" s="2677"/>
      <c r="B238" s="2613" t="s">
        <v>13</v>
      </c>
      <c r="C238" s="2683">
        <v>138</v>
      </c>
      <c r="D238" s="2594" t="s">
        <v>963</v>
      </c>
      <c r="E238" s="2620"/>
      <c r="F238" s="2620"/>
      <c r="G238" s="2620"/>
      <c r="H238" s="2620"/>
      <c r="I238" s="2620"/>
      <c r="J238" s="2620"/>
      <c r="K238" s="2620"/>
      <c r="L238" s="2620"/>
      <c r="M238" s="2620"/>
      <c r="N238" s="2620"/>
      <c r="O238" s="2620"/>
      <c r="P238" s="2620"/>
      <c r="Q238" s="787"/>
      <c r="R238" s="787"/>
      <c r="S238" s="787"/>
      <c r="T238" s="787"/>
      <c r="U238" s="788"/>
      <c r="V238" s="2685" t="s">
        <v>15</v>
      </c>
      <c r="W238" s="2685"/>
      <c r="X238" s="2685"/>
      <c r="Y238" s="2685"/>
      <c r="Z238" s="2685" t="s">
        <v>16</v>
      </c>
      <c r="AA238" s="2685"/>
    </row>
    <row r="239" spans="1:28" ht="12" customHeight="1" x14ac:dyDescent="0.25">
      <c r="A239" s="2677"/>
      <c r="B239" s="2613"/>
      <c r="C239" s="2684"/>
      <c r="D239" s="2621"/>
      <c r="E239" s="2622"/>
      <c r="F239" s="2622"/>
      <c r="G239" s="2622"/>
      <c r="H239" s="2622"/>
      <c r="I239" s="2622"/>
      <c r="J239" s="2622"/>
      <c r="K239" s="2622"/>
      <c r="L239" s="2622"/>
      <c r="M239" s="2622"/>
      <c r="N239" s="2622"/>
      <c r="O239" s="2622"/>
      <c r="P239" s="2622"/>
      <c r="Q239" s="789"/>
      <c r="R239" s="789"/>
      <c r="S239" s="789"/>
      <c r="T239" s="789"/>
      <c r="U239" s="790"/>
      <c r="V239" s="2547"/>
      <c r="W239" s="2548"/>
      <c r="X239" s="2548"/>
      <c r="Y239" s="2686"/>
      <c r="Z239" s="2687"/>
      <c r="AA239" s="2688"/>
    </row>
    <row r="240" spans="1:28" ht="15" customHeight="1" x14ac:dyDescent="0.25">
      <c r="A240" s="2677"/>
      <c r="B240" s="2689" t="s">
        <v>18</v>
      </c>
      <c r="C240" s="2690">
        <v>2.1616390000000001</v>
      </c>
      <c r="D240" s="2547" t="s">
        <v>3178</v>
      </c>
      <c r="E240" s="2548"/>
      <c r="F240" s="2548"/>
      <c r="G240" s="2548"/>
      <c r="H240" s="2548"/>
      <c r="I240" s="2548"/>
      <c r="J240" s="2548"/>
      <c r="K240" s="2548"/>
      <c r="L240" s="2548"/>
      <c r="M240" s="2548"/>
      <c r="N240" s="2548"/>
      <c r="O240" s="2548"/>
      <c r="P240" s="2548"/>
      <c r="Q240" s="2548"/>
      <c r="R240" s="2548"/>
      <c r="S240" s="2548"/>
      <c r="T240" s="2548"/>
      <c r="U240" s="2686"/>
      <c r="V240" s="2599" t="s">
        <v>15</v>
      </c>
      <c r="W240" s="2600"/>
      <c r="X240" s="2600"/>
      <c r="Y240" s="2601"/>
      <c r="Z240" s="2685" t="s">
        <v>16</v>
      </c>
      <c r="AA240" s="2685"/>
    </row>
    <row r="241" spans="1:27" ht="25.5" customHeight="1" x14ac:dyDescent="0.25">
      <c r="A241" s="2677"/>
      <c r="B241" s="2689"/>
      <c r="C241" s="2691"/>
      <c r="D241" s="2549"/>
      <c r="E241" s="2550"/>
      <c r="F241" s="2550"/>
      <c r="G241" s="2550"/>
      <c r="H241" s="2550"/>
      <c r="I241" s="2550"/>
      <c r="J241" s="2550"/>
      <c r="K241" s="2550"/>
      <c r="L241" s="2550"/>
      <c r="M241" s="2550"/>
      <c r="N241" s="2550"/>
      <c r="O241" s="2550"/>
      <c r="P241" s="2550"/>
      <c r="Q241" s="2550"/>
      <c r="R241" s="2550"/>
      <c r="S241" s="2550"/>
      <c r="T241" s="2550"/>
      <c r="U241" s="2792"/>
      <c r="V241" s="2681" t="s">
        <v>964</v>
      </c>
      <c r="W241" s="2682"/>
      <c r="X241" s="2682"/>
      <c r="Y241" s="2689"/>
      <c r="Z241" s="2685" t="s">
        <v>965</v>
      </c>
      <c r="AA241" s="2685"/>
    </row>
    <row r="242" spans="1:27" ht="15" customHeight="1" x14ac:dyDescent="0.25">
      <c r="A242" s="2677"/>
      <c r="B242" s="2692" t="s">
        <v>20</v>
      </c>
      <c r="C242" s="2651" t="s">
        <v>21</v>
      </c>
      <c r="D242" s="2616" t="s">
        <v>22</v>
      </c>
      <c r="E242" s="2616" t="s">
        <v>23</v>
      </c>
      <c r="F242" s="2616" t="s">
        <v>24</v>
      </c>
      <c r="G242" s="2616" t="s">
        <v>25</v>
      </c>
      <c r="H242" s="2616" t="s">
        <v>26</v>
      </c>
      <c r="I242" s="2616" t="s">
        <v>27</v>
      </c>
      <c r="J242" s="2408" t="s">
        <v>28</v>
      </c>
      <c r="K242" s="2409"/>
      <c r="L242" s="2616" t="s">
        <v>29</v>
      </c>
      <c r="M242" s="2616" t="s">
        <v>30</v>
      </c>
      <c r="N242" s="2616"/>
      <c r="O242" s="2617" t="s">
        <v>31</v>
      </c>
      <c r="P242" s="2618"/>
      <c r="Q242" s="2618"/>
      <c r="R242" s="2618"/>
      <c r="S242" s="2618"/>
      <c r="T242" s="2618"/>
      <c r="U242" s="2618"/>
      <c r="V242" s="2618"/>
      <c r="W242" s="2618"/>
      <c r="X242" s="2618"/>
      <c r="Y242" s="2618"/>
      <c r="Z242" s="2619"/>
      <c r="AA242" s="2652" t="s">
        <v>32</v>
      </c>
    </row>
    <row r="243" spans="1:27" x14ac:dyDescent="0.25">
      <c r="A243" s="2677"/>
      <c r="B243" s="2693"/>
      <c r="C243" s="2651"/>
      <c r="D243" s="2616"/>
      <c r="E243" s="2616"/>
      <c r="F243" s="2616"/>
      <c r="G243" s="2616"/>
      <c r="H243" s="2616"/>
      <c r="I243" s="2616"/>
      <c r="J243" s="925" t="s">
        <v>33</v>
      </c>
      <c r="K243" s="925" t="s">
        <v>34</v>
      </c>
      <c r="L243" s="2616"/>
      <c r="M243" s="2616"/>
      <c r="N243" s="2616"/>
      <c r="O243" s="925" t="s">
        <v>35</v>
      </c>
      <c r="P243" s="925" t="s">
        <v>36</v>
      </c>
      <c r="Q243" s="925" t="s">
        <v>37</v>
      </c>
      <c r="R243" s="925" t="s">
        <v>1078</v>
      </c>
      <c r="S243" s="925" t="s">
        <v>39</v>
      </c>
      <c r="T243" s="925" t="s">
        <v>40</v>
      </c>
      <c r="U243" s="925" t="s">
        <v>41</v>
      </c>
      <c r="V243" s="925" t="s">
        <v>42</v>
      </c>
      <c r="W243" s="925" t="s">
        <v>43</v>
      </c>
      <c r="X243" s="925" t="s">
        <v>44</v>
      </c>
      <c r="Y243" s="925" t="s">
        <v>45</v>
      </c>
      <c r="Z243" s="925" t="s">
        <v>46</v>
      </c>
      <c r="AA243" s="2652"/>
    </row>
    <row r="244" spans="1:27" ht="15" customHeight="1" x14ac:dyDescent="0.25">
      <c r="A244" s="2677"/>
      <c r="B244" s="2656">
        <v>4000079</v>
      </c>
      <c r="C244" s="2576" t="s">
        <v>3032</v>
      </c>
      <c r="D244" s="2659" t="s">
        <v>3031</v>
      </c>
      <c r="E244" s="2563" t="s">
        <v>968</v>
      </c>
      <c r="F244" s="2563" t="s">
        <v>969</v>
      </c>
      <c r="G244" s="2662" t="s">
        <v>1079</v>
      </c>
      <c r="H244" s="2659" t="s">
        <v>964</v>
      </c>
      <c r="I244" s="2576" t="s">
        <v>961</v>
      </c>
      <c r="J244" s="2665">
        <f>+AA244</f>
        <v>2.9999999999999996</v>
      </c>
      <c r="K244" s="2668">
        <f>+AA246+AA247+AA248+AA249</f>
        <v>3000002</v>
      </c>
      <c r="L244" s="2576" t="s">
        <v>983</v>
      </c>
      <c r="M244" s="2671" t="s">
        <v>51</v>
      </c>
      <c r="N244" s="2672"/>
      <c r="O244" s="806" t="s">
        <v>1080</v>
      </c>
      <c r="P244" s="806"/>
      <c r="Q244" s="806"/>
      <c r="R244" s="806">
        <v>0.3</v>
      </c>
      <c r="S244" s="806">
        <v>0.5</v>
      </c>
      <c r="T244" s="806">
        <v>0.5</v>
      </c>
      <c r="U244" s="806">
        <v>0.5</v>
      </c>
      <c r="V244" s="806">
        <v>0.5</v>
      </c>
      <c r="W244" s="806">
        <v>0.4</v>
      </c>
      <c r="X244" s="806">
        <v>0.3</v>
      </c>
      <c r="Y244" s="806"/>
      <c r="Z244" s="806"/>
      <c r="AA244" s="857">
        <f>SUM(O244:Z244)</f>
        <v>2.9999999999999996</v>
      </c>
    </row>
    <row r="245" spans="1:27" ht="15" customHeight="1" x14ac:dyDescent="0.25">
      <c r="A245" s="2677"/>
      <c r="B245" s="2657"/>
      <c r="C245" s="2577"/>
      <c r="D245" s="2660"/>
      <c r="E245" s="2564"/>
      <c r="F245" s="2564"/>
      <c r="G245" s="2663"/>
      <c r="H245" s="2660"/>
      <c r="I245" s="2577"/>
      <c r="J245" s="2666"/>
      <c r="K245" s="2669"/>
      <c r="L245" s="2577"/>
      <c r="M245" s="2671" t="s">
        <v>972</v>
      </c>
      <c r="N245" s="2672"/>
      <c r="O245" s="806"/>
      <c r="P245" s="806"/>
      <c r="Q245" s="806"/>
      <c r="R245" s="784">
        <f>SUM(R246:R249)</f>
        <v>280000</v>
      </c>
      <c r="S245" s="784">
        <f t="shared" ref="S245:Z245" si="183">SUM(S246:S249)</f>
        <v>493000</v>
      </c>
      <c r="T245" s="784">
        <f t="shared" si="183"/>
        <v>600000</v>
      </c>
      <c r="U245" s="784">
        <f t="shared" si="183"/>
        <v>585000</v>
      </c>
      <c r="V245" s="784">
        <f t="shared" si="183"/>
        <v>433002</v>
      </c>
      <c r="W245" s="784">
        <f t="shared" si="183"/>
        <v>419000</v>
      </c>
      <c r="X245" s="784">
        <f t="shared" si="183"/>
        <v>190000</v>
      </c>
      <c r="Y245" s="784">
        <f t="shared" si="183"/>
        <v>0</v>
      </c>
      <c r="Z245" s="784">
        <f t="shared" si="183"/>
        <v>0</v>
      </c>
      <c r="AA245" s="858">
        <f>SUM(R245:Z245)</f>
        <v>3000002</v>
      </c>
    </row>
    <row r="246" spans="1:27" ht="67.5" x14ac:dyDescent="0.25">
      <c r="A246" s="2677"/>
      <c r="B246" s="2657"/>
      <c r="C246" s="2577"/>
      <c r="D246" s="2660"/>
      <c r="E246" s="2564"/>
      <c r="F246" s="2564"/>
      <c r="G246" s="2663"/>
      <c r="H246" s="2660"/>
      <c r="I246" s="2577"/>
      <c r="J246" s="2666"/>
      <c r="K246" s="2669"/>
      <c r="L246" s="2577"/>
      <c r="M246" s="1925" t="s">
        <v>1081</v>
      </c>
      <c r="N246" s="1948" t="s">
        <v>3097</v>
      </c>
      <c r="O246" s="793"/>
      <c r="P246" s="793"/>
      <c r="Q246" s="793"/>
      <c r="R246" s="785">
        <v>50000</v>
      </c>
      <c r="S246" s="785">
        <v>100000</v>
      </c>
      <c r="T246" s="785">
        <v>100000</v>
      </c>
      <c r="U246" s="785">
        <v>100000</v>
      </c>
      <c r="V246" s="785">
        <v>100000</v>
      </c>
      <c r="W246" s="785">
        <v>100000</v>
      </c>
      <c r="X246" s="785">
        <v>50000</v>
      </c>
      <c r="Y246" s="785"/>
      <c r="Z246" s="785"/>
      <c r="AA246" s="872">
        <f>SUM(O246:Z246)</f>
        <v>600000</v>
      </c>
    </row>
    <row r="247" spans="1:27" ht="67.5" x14ac:dyDescent="0.25">
      <c r="A247" s="2677"/>
      <c r="B247" s="2657"/>
      <c r="C247" s="2577"/>
      <c r="D247" s="2660"/>
      <c r="E247" s="2564"/>
      <c r="F247" s="2564"/>
      <c r="G247" s="2663"/>
      <c r="H247" s="2660"/>
      <c r="I247" s="2577"/>
      <c r="J247" s="2666"/>
      <c r="K247" s="2669"/>
      <c r="L247" s="2577"/>
      <c r="M247" s="1925" t="s">
        <v>1082</v>
      </c>
      <c r="N247" s="1948" t="s">
        <v>1166</v>
      </c>
      <c r="O247" s="793"/>
      <c r="P247" s="793"/>
      <c r="Q247" s="793"/>
      <c r="R247" s="785">
        <v>185000</v>
      </c>
      <c r="S247" s="785">
        <v>350000</v>
      </c>
      <c r="T247" s="785">
        <v>445000</v>
      </c>
      <c r="U247" s="785">
        <v>445000</v>
      </c>
      <c r="V247" s="785">
        <v>300000</v>
      </c>
      <c r="W247" s="785">
        <v>300000</v>
      </c>
      <c r="X247" s="785">
        <v>125000</v>
      </c>
      <c r="Y247" s="785"/>
      <c r="Z247" s="785"/>
      <c r="AA247" s="872">
        <f>SUM(O247:Z247)</f>
        <v>2150000</v>
      </c>
    </row>
    <row r="248" spans="1:27" ht="67.5" x14ac:dyDescent="0.25">
      <c r="A248" s="2677"/>
      <c r="B248" s="2657"/>
      <c r="C248" s="2577"/>
      <c r="D248" s="2660"/>
      <c r="E248" s="2564"/>
      <c r="F248" s="2564"/>
      <c r="G248" s="2663"/>
      <c r="H248" s="2660"/>
      <c r="I248" s="2577"/>
      <c r="J248" s="2666"/>
      <c r="K248" s="2669"/>
      <c r="L248" s="2577"/>
      <c r="M248" s="1925" t="s">
        <v>1083</v>
      </c>
      <c r="N248" s="1948" t="s">
        <v>1167</v>
      </c>
      <c r="O248" s="793"/>
      <c r="P248" s="793"/>
      <c r="Q248" s="793"/>
      <c r="R248" s="785">
        <v>35000</v>
      </c>
      <c r="S248" s="785">
        <v>35000</v>
      </c>
      <c r="T248" s="785">
        <v>50000</v>
      </c>
      <c r="U248" s="785">
        <v>35000</v>
      </c>
      <c r="V248" s="785">
        <v>25000</v>
      </c>
      <c r="W248" s="785">
        <v>10000</v>
      </c>
      <c r="X248" s="785">
        <v>10000</v>
      </c>
      <c r="Y248" s="785"/>
      <c r="Z248" s="785"/>
      <c r="AA248" s="872">
        <f>SUM(O248:Z248)</f>
        <v>200000</v>
      </c>
    </row>
    <row r="249" spans="1:27" ht="68.25" thickBot="1" x14ac:dyDescent="0.3">
      <c r="A249" s="2678"/>
      <c r="B249" s="2658"/>
      <c r="C249" s="2608"/>
      <c r="D249" s="2661"/>
      <c r="E249" s="2565"/>
      <c r="F249" s="2565"/>
      <c r="G249" s="2664"/>
      <c r="H249" s="2661"/>
      <c r="I249" s="2608"/>
      <c r="J249" s="2667"/>
      <c r="K249" s="2670"/>
      <c r="L249" s="2608"/>
      <c r="M249" s="1925" t="s">
        <v>1084</v>
      </c>
      <c r="N249" s="1948" t="s">
        <v>1168</v>
      </c>
      <c r="O249" s="793"/>
      <c r="P249" s="793"/>
      <c r="Q249" s="793"/>
      <c r="R249" s="785">
        <v>10000</v>
      </c>
      <c r="S249" s="785">
        <v>8000</v>
      </c>
      <c r="T249" s="785">
        <v>5000</v>
      </c>
      <c r="U249" s="785">
        <v>5000</v>
      </c>
      <c r="V249" s="785">
        <v>8002</v>
      </c>
      <c r="W249" s="785">
        <v>9000</v>
      </c>
      <c r="X249" s="785">
        <v>5000</v>
      </c>
      <c r="Y249" s="785"/>
      <c r="Z249" s="785"/>
      <c r="AA249" s="856">
        <f>SUM(O249:Z249)</f>
        <v>50002</v>
      </c>
    </row>
    <row r="250" spans="1:27" x14ac:dyDescent="0.25">
      <c r="A250" s="818"/>
      <c r="B250" s="819"/>
      <c r="C250" s="820"/>
      <c r="D250" s="941"/>
      <c r="E250" s="933"/>
      <c r="F250" s="933"/>
      <c r="G250" s="821"/>
      <c r="H250" s="949"/>
      <c r="I250" s="949"/>
      <c r="J250" s="822"/>
      <c r="K250" s="823">
        <f>SUM(K244,K227,K222,K215,K207,K200,K197,K192,K187,K184,K179,K176,K173,K170,K167,K164,K161,K158,K155,K152,K149,K146,K143,K140,K137,K134,K131,K125,K121,K117,K113,K110,K105,K99)</f>
        <v>7203511.4959999993</v>
      </c>
      <c r="L250" s="949"/>
      <c r="M250" s="948"/>
      <c r="N250" s="824"/>
      <c r="O250" s="825"/>
      <c r="P250" s="825"/>
      <c r="Q250" s="825"/>
      <c r="R250" s="825"/>
      <c r="S250" s="825"/>
      <c r="T250" s="825"/>
      <c r="U250" s="825"/>
      <c r="V250" s="825"/>
      <c r="W250" s="825"/>
      <c r="X250" s="825"/>
      <c r="Y250" s="825"/>
      <c r="Z250" s="825"/>
      <c r="AA250" s="826"/>
    </row>
    <row r="251" spans="1:27" ht="40.5" customHeight="1" x14ac:dyDescent="0.25">
      <c r="A251" s="797"/>
      <c r="B251" s="924" t="s">
        <v>6</v>
      </c>
      <c r="C251" s="2611" t="s">
        <v>962</v>
      </c>
      <c r="D251" s="2612"/>
      <c r="E251" s="2612"/>
      <c r="F251" s="2612"/>
      <c r="G251" s="2612"/>
      <c r="H251" s="2612"/>
      <c r="I251" s="2612"/>
      <c r="J251" s="2612"/>
      <c r="K251" s="2612"/>
      <c r="L251" s="2612"/>
      <c r="M251" s="2612"/>
      <c r="N251" s="2612"/>
      <c r="O251" s="2612"/>
      <c r="P251" s="2612"/>
      <c r="Q251" s="2612"/>
      <c r="R251" s="2612"/>
      <c r="S251" s="2612"/>
      <c r="T251" s="2612"/>
      <c r="U251" s="2612"/>
      <c r="V251" s="2612"/>
      <c r="W251" s="816"/>
      <c r="X251" s="816"/>
      <c r="Y251" s="816"/>
      <c r="Z251" s="816"/>
      <c r="AA251" s="827"/>
    </row>
    <row r="252" spans="1:27" ht="18.75" customHeight="1" x14ac:dyDescent="0.25">
      <c r="A252" s="797"/>
      <c r="B252" s="940" t="s">
        <v>8</v>
      </c>
      <c r="C252" s="2597" t="s">
        <v>1077</v>
      </c>
      <c r="D252" s="2598"/>
      <c r="E252" s="2598"/>
      <c r="F252" s="2598"/>
      <c r="G252" s="2598"/>
      <c r="H252" s="2598"/>
      <c r="I252" s="2598"/>
      <c r="J252" s="2598"/>
      <c r="K252" s="2598"/>
      <c r="L252" s="2598"/>
      <c r="M252" s="2598"/>
      <c r="N252" s="2598"/>
      <c r="O252" s="2598"/>
      <c r="P252" s="2598"/>
      <c r="Q252" s="2598"/>
      <c r="R252" s="2598"/>
      <c r="S252" s="2598"/>
      <c r="T252" s="2598"/>
      <c r="U252" s="2598"/>
      <c r="V252" s="2598"/>
      <c r="W252" s="2598"/>
      <c r="X252" s="2598"/>
      <c r="Y252" s="2598"/>
      <c r="Z252" s="2598"/>
      <c r="AA252" s="2853"/>
    </row>
    <row r="253" spans="1:27" ht="25.5" x14ac:dyDescent="0.25">
      <c r="A253" s="809"/>
      <c r="B253" s="924" t="s">
        <v>272</v>
      </c>
      <c r="C253" s="2611" t="s">
        <v>230</v>
      </c>
      <c r="D253" s="2612"/>
      <c r="E253" s="2612"/>
      <c r="F253" s="2612"/>
      <c r="G253" s="2612"/>
      <c r="H253" s="2612"/>
      <c r="I253" s="2612"/>
      <c r="J253" s="2612"/>
      <c r="K253" s="2612"/>
      <c r="L253" s="2612"/>
      <c r="M253" s="2612"/>
      <c r="N253" s="2612"/>
      <c r="O253" s="2612"/>
      <c r="P253" s="2612"/>
      <c r="Q253" s="2620"/>
      <c r="R253" s="2620"/>
      <c r="S253" s="2620"/>
      <c r="T253" s="2620"/>
      <c r="U253" s="2620"/>
      <c r="V253" s="2612"/>
      <c r="W253" s="816"/>
      <c r="X253" s="816"/>
      <c r="Y253" s="816"/>
      <c r="Z253" s="816"/>
      <c r="AA253" s="827"/>
    </row>
    <row r="254" spans="1:27" ht="15" customHeight="1" x14ac:dyDescent="0.25">
      <c r="A254" s="809"/>
      <c r="B254" s="2583" t="s">
        <v>13</v>
      </c>
      <c r="C254" s="2543">
        <v>9001</v>
      </c>
      <c r="D254" s="2594" t="s">
        <v>160</v>
      </c>
      <c r="E254" s="2620"/>
      <c r="F254" s="2620"/>
      <c r="G254" s="2620"/>
      <c r="H254" s="2620"/>
      <c r="I254" s="2620"/>
      <c r="J254" s="2620"/>
      <c r="K254" s="2620"/>
      <c r="L254" s="2620"/>
      <c r="M254" s="2620"/>
      <c r="N254" s="2620"/>
      <c r="O254" s="2620"/>
      <c r="P254" s="2620"/>
      <c r="Q254" s="2620"/>
      <c r="R254" s="2620"/>
      <c r="S254" s="2620"/>
      <c r="T254" s="2620"/>
      <c r="U254" s="2595"/>
      <c r="V254" s="2610" t="s">
        <v>15</v>
      </c>
      <c r="W254" s="2610"/>
      <c r="X254" s="2610"/>
      <c r="Y254" s="2610"/>
      <c r="Z254" s="2602" t="s">
        <v>16</v>
      </c>
      <c r="AA254" s="2603"/>
    </row>
    <row r="255" spans="1:27" x14ac:dyDescent="0.25">
      <c r="A255" s="809"/>
      <c r="B255" s="2583"/>
      <c r="C255" s="2544"/>
      <c r="D255" s="2621"/>
      <c r="E255" s="2622"/>
      <c r="F255" s="2622"/>
      <c r="G255" s="2622"/>
      <c r="H255" s="2622"/>
      <c r="I255" s="2622"/>
      <c r="J255" s="2622"/>
      <c r="K255" s="2622"/>
      <c r="L255" s="2622"/>
      <c r="M255" s="2622"/>
      <c r="N255" s="2622"/>
      <c r="O255" s="2622"/>
      <c r="P255" s="2622"/>
      <c r="Q255" s="2622"/>
      <c r="R255" s="2622"/>
      <c r="S255" s="2622"/>
      <c r="T255" s="2622"/>
      <c r="U255" s="2650"/>
      <c r="V255" s="2653"/>
      <c r="W255" s="2654"/>
      <c r="X255" s="2654"/>
      <c r="Y255" s="2655"/>
      <c r="Z255" s="2653"/>
      <c r="AA255" s="2655"/>
    </row>
    <row r="256" spans="1:27" ht="15" customHeight="1" x14ac:dyDescent="0.25">
      <c r="A256" s="809"/>
      <c r="B256" s="2583" t="s">
        <v>18</v>
      </c>
      <c r="C256" s="2543">
        <v>3.9999989999999999</v>
      </c>
      <c r="D256" s="2594" t="s">
        <v>163</v>
      </c>
      <c r="E256" s="2620"/>
      <c r="F256" s="2620"/>
      <c r="G256" s="2620"/>
      <c r="H256" s="2620"/>
      <c r="I256" s="2620"/>
      <c r="J256" s="2620"/>
      <c r="K256" s="2620"/>
      <c r="L256" s="2620"/>
      <c r="M256" s="2620"/>
      <c r="N256" s="2620"/>
      <c r="O256" s="2620"/>
      <c r="P256" s="2620"/>
      <c r="Q256" s="2620"/>
      <c r="R256" s="2620"/>
      <c r="S256" s="2620"/>
      <c r="T256" s="2620"/>
      <c r="U256" s="2595"/>
      <c r="V256" s="2583" t="s">
        <v>15</v>
      </c>
      <c r="W256" s="2583"/>
      <c r="X256" s="2583"/>
      <c r="Y256" s="2583"/>
      <c r="Z256" s="2610" t="s">
        <v>16</v>
      </c>
      <c r="AA256" s="2610"/>
    </row>
    <row r="257" spans="1:27" x14ac:dyDescent="0.25">
      <c r="A257" s="809"/>
      <c r="B257" s="2583"/>
      <c r="C257" s="2544"/>
      <c r="D257" s="2621"/>
      <c r="E257" s="2622"/>
      <c r="F257" s="2622"/>
      <c r="G257" s="2622"/>
      <c r="H257" s="2622"/>
      <c r="I257" s="2622"/>
      <c r="J257" s="2622"/>
      <c r="K257" s="2622"/>
      <c r="L257" s="2622"/>
      <c r="M257" s="2622"/>
      <c r="N257" s="2622"/>
      <c r="O257" s="2622"/>
      <c r="P257" s="2622"/>
      <c r="Q257" s="2622"/>
      <c r="R257" s="2622"/>
      <c r="S257" s="2622"/>
      <c r="T257" s="2622"/>
      <c r="U257" s="2650"/>
      <c r="V257" s="2611"/>
      <c r="W257" s="2612"/>
      <c r="X257" s="2612"/>
      <c r="Y257" s="2613"/>
      <c r="Z257" s="2610"/>
      <c r="AA257" s="2610"/>
    </row>
    <row r="258" spans="1:27" ht="15" customHeight="1" x14ac:dyDescent="0.25">
      <c r="A258" s="809"/>
      <c r="B258" s="2651" t="s">
        <v>20</v>
      </c>
      <c r="C258" s="2616" t="s">
        <v>21</v>
      </c>
      <c r="D258" s="2616" t="s">
        <v>22</v>
      </c>
      <c r="E258" s="2616" t="s">
        <v>23</v>
      </c>
      <c r="F258" s="2616" t="s">
        <v>164</v>
      </c>
      <c r="G258" s="2616" t="s">
        <v>25</v>
      </c>
      <c r="H258" s="2616" t="s">
        <v>26</v>
      </c>
      <c r="I258" s="2616" t="s">
        <v>27</v>
      </c>
      <c r="J258" s="2408" t="s">
        <v>28</v>
      </c>
      <c r="K258" s="2409"/>
      <c r="L258" s="2616" t="s">
        <v>29</v>
      </c>
      <c r="M258" s="2616" t="s">
        <v>30</v>
      </c>
      <c r="N258" s="2616"/>
      <c r="O258" s="2617" t="s">
        <v>31</v>
      </c>
      <c r="P258" s="2618"/>
      <c r="Q258" s="2618"/>
      <c r="R258" s="2618"/>
      <c r="S258" s="2618"/>
      <c r="T258" s="2618"/>
      <c r="U258" s="2618"/>
      <c r="V258" s="2618"/>
      <c r="W258" s="2618"/>
      <c r="X258" s="2618"/>
      <c r="Y258" s="2618"/>
      <c r="Z258" s="2619"/>
      <c r="AA258" s="2652" t="s">
        <v>32</v>
      </c>
    </row>
    <row r="259" spans="1:27" ht="15.75" thickBot="1" x14ac:dyDescent="0.3">
      <c r="A259" s="809"/>
      <c r="B259" s="2651"/>
      <c r="C259" s="2616"/>
      <c r="D259" s="2616"/>
      <c r="E259" s="2616"/>
      <c r="F259" s="2616"/>
      <c r="G259" s="2616"/>
      <c r="H259" s="2616"/>
      <c r="I259" s="2616"/>
      <c r="J259" s="925" t="s">
        <v>33</v>
      </c>
      <c r="K259" s="925" t="s">
        <v>34</v>
      </c>
      <c r="L259" s="2616"/>
      <c r="M259" s="2616"/>
      <c r="N259" s="2616"/>
      <c r="O259" s="925" t="s">
        <v>35</v>
      </c>
      <c r="P259" s="925" t="s">
        <v>36</v>
      </c>
      <c r="Q259" s="925" t="s">
        <v>37</v>
      </c>
      <c r="R259" s="925" t="s">
        <v>38</v>
      </c>
      <c r="S259" s="925" t="s">
        <v>39</v>
      </c>
      <c r="T259" s="925" t="s">
        <v>40</v>
      </c>
      <c r="U259" s="925" t="s">
        <v>41</v>
      </c>
      <c r="V259" s="925" t="s">
        <v>42</v>
      </c>
      <c r="W259" s="925" t="s">
        <v>43</v>
      </c>
      <c r="X259" s="925" t="s">
        <v>44</v>
      </c>
      <c r="Y259" s="925" t="s">
        <v>45</v>
      </c>
      <c r="Z259" s="925" t="s">
        <v>46</v>
      </c>
      <c r="AA259" s="2652"/>
    </row>
    <row r="260" spans="1:27" ht="15" customHeight="1" x14ac:dyDescent="0.25">
      <c r="A260" s="809"/>
      <c r="B260" s="2584">
        <v>5000003</v>
      </c>
      <c r="C260" s="2584" t="s">
        <v>1085</v>
      </c>
      <c r="D260" s="2604" t="s">
        <v>1086</v>
      </c>
      <c r="E260" s="2607" t="s">
        <v>968</v>
      </c>
      <c r="F260" s="2607" t="s">
        <v>1087</v>
      </c>
      <c r="G260" s="2604" t="s">
        <v>1088</v>
      </c>
      <c r="H260" s="2607"/>
      <c r="I260" s="2607" t="s">
        <v>235</v>
      </c>
      <c r="J260" s="2644">
        <f>+J262+J308+J338</f>
        <v>1200</v>
      </c>
      <c r="K260" s="2644">
        <f>+K262+K308+K338</f>
        <v>5470534.6519999988</v>
      </c>
      <c r="L260" s="2563" t="s">
        <v>3184</v>
      </c>
      <c r="M260" s="2645" t="s">
        <v>51</v>
      </c>
      <c r="N260" s="2646"/>
      <c r="O260" s="828">
        <f>+O262+O308+O338</f>
        <v>100</v>
      </c>
      <c r="P260" s="805">
        <f>+P262+P308+P338</f>
        <v>100</v>
      </c>
      <c r="Q260" s="805">
        <f t="shared" ref="Q260:Z260" si="184">+Q262+Q308+Q338</f>
        <v>100</v>
      </c>
      <c r="R260" s="805">
        <f t="shared" si="184"/>
        <v>100</v>
      </c>
      <c r="S260" s="805">
        <f t="shared" si="184"/>
        <v>100</v>
      </c>
      <c r="T260" s="805">
        <f t="shared" si="184"/>
        <v>100</v>
      </c>
      <c r="U260" s="805">
        <f t="shared" si="184"/>
        <v>100</v>
      </c>
      <c r="V260" s="805">
        <f t="shared" si="184"/>
        <v>100</v>
      </c>
      <c r="W260" s="805">
        <f t="shared" si="184"/>
        <v>100</v>
      </c>
      <c r="X260" s="805">
        <f t="shared" si="184"/>
        <v>100</v>
      </c>
      <c r="Y260" s="805">
        <f t="shared" si="184"/>
        <v>100</v>
      </c>
      <c r="Z260" s="805">
        <f t="shared" si="184"/>
        <v>100</v>
      </c>
      <c r="AA260" s="860">
        <f t="shared" ref="AA260:AA265" si="185">SUM(O260:Z260)</f>
        <v>1200</v>
      </c>
    </row>
    <row r="261" spans="1:27" ht="39" customHeight="1" x14ac:dyDescent="0.25">
      <c r="A261" s="809"/>
      <c r="B261" s="2586"/>
      <c r="C261" s="2586"/>
      <c r="D261" s="2605"/>
      <c r="E261" s="2563"/>
      <c r="F261" s="2563"/>
      <c r="G261" s="2606"/>
      <c r="H261" s="2563"/>
      <c r="I261" s="2563"/>
      <c r="J261" s="2566"/>
      <c r="K261" s="2566"/>
      <c r="L261" s="2564"/>
      <c r="M261" s="2647" t="s">
        <v>1090</v>
      </c>
      <c r="N261" s="2648"/>
      <c r="O261" s="829">
        <f>SUM(O264:O307)+SUM(O310:O337)+SUM(O340:O369)</f>
        <v>446482.72100000025</v>
      </c>
      <c r="P261" s="829">
        <f t="shared" ref="P261:Z261" si="186">SUM(P264:P307)+SUM(P310:P337)+SUM(P340:P369)</f>
        <v>484918.72100000031</v>
      </c>
      <c r="Q261" s="829">
        <f t="shared" si="186"/>
        <v>446482.72100000025</v>
      </c>
      <c r="R261" s="829">
        <f t="shared" si="186"/>
        <v>446482.72100000025</v>
      </c>
      <c r="S261" s="829">
        <f t="shared" si="186"/>
        <v>446482.72100000025</v>
      </c>
      <c r="T261" s="829">
        <f t="shared" si="186"/>
        <v>446482.72100000025</v>
      </c>
      <c r="U261" s="829">
        <f t="shared" si="186"/>
        <v>483635.72100000031</v>
      </c>
      <c r="V261" s="829">
        <f t="shared" si="186"/>
        <v>446482.72100000025</v>
      </c>
      <c r="W261" s="829">
        <f t="shared" si="186"/>
        <v>446482.72100000025</v>
      </c>
      <c r="X261" s="829">
        <f t="shared" si="186"/>
        <v>446482.72100000025</v>
      </c>
      <c r="Y261" s="829">
        <f t="shared" si="186"/>
        <v>446482.72100000025</v>
      </c>
      <c r="Z261" s="829">
        <f t="shared" si="186"/>
        <v>483635.72100000031</v>
      </c>
      <c r="AA261" s="873">
        <f t="shared" si="185"/>
        <v>5470534.6520000026</v>
      </c>
    </row>
    <row r="262" spans="1:27" ht="15" customHeight="1" x14ac:dyDescent="0.25">
      <c r="A262" s="809"/>
      <c r="B262" s="2649"/>
      <c r="C262" s="2563"/>
      <c r="D262" s="2604" t="s">
        <v>1091</v>
      </c>
      <c r="E262" s="2563" t="s">
        <v>968</v>
      </c>
      <c r="F262" s="2563" t="s">
        <v>1087</v>
      </c>
      <c r="G262" s="2563" t="s">
        <v>1088</v>
      </c>
      <c r="H262" s="2576" t="s">
        <v>1092</v>
      </c>
      <c r="I262" s="2576" t="s">
        <v>235</v>
      </c>
      <c r="J262" s="2632">
        <f>+AA262</f>
        <v>600</v>
      </c>
      <c r="K262" s="2623">
        <f>SUM(AA264:AA307)</f>
        <v>4425615.6679999987</v>
      </c>
      <c r="L262" s="2563" t="s">
        <v>1089</v>
      </c>
      <c r="M262" s="2627" t="s">
        <v>51</v>
      </c>
      <c r="N262" s="2627"/>
      <c r="O262" s="830">
        <v>50</v>
      </c>
      <c r="P262" s="927">
        <v>50</v>
      </c>
      <c r="Q262" s="927">
        <v>50</v>
      </c>
      <c r="R262" s="927">
        <v>50</v>
      </c>
      <c r="S262" s="927">
        <v>50</v>
      </c>
      <c r="T262" s="927">
        <v>50</v>
      </c>
      <c r="U262" s="927">
        <v>50</v>
      </c>
      <c r="V262" s="927">
        <v>50</v>
      </c>
      <c r="W262" s="927">
        <v>50</v>
      </c>
      <c r="X262" s="927">
        <v>50</v>
      </c>
      <c r="Y262" s="927">
        <v>50</v>
      </c>
      <c r="Z262" s="831">
        <v>50</v>
      </c>
      <c r="AA262" s="874">
        <f t="shared" si="185"/>
        <v>600</v>
      </c>
    </row>
    <row r="263" spans="1:27" ht="15" customHeight="1" x14ac:dyDescent="0.25">
      <c r="A263" s="809"/>
      <c r="B263" s="2649"/>
      <c r="C263" s="2564"/>
      <c r="D263" s="2605"/>
      <c r="E263" s="2564"/>
      <c r="F263" s="2564"/>
      <c r="G263" s="2564"/>
      <c r="H263" s="2577"/>
      <c r="I263" s="2577"/>
      <c r="J263" s="2633"/>
      <c r="K263" s="2624"/>
      <c r="L263" s="2564"/>
      <c r="M263" s="2627" t="s">
        <v>1090</v>
      </c>
      <c r="N263" s="2627"/>
      <c r="O263" s="830">
        <f>SUM(O264:O307)</f>
        <v>362662.63900000026</v>
      </c>
      <c r="P263" s="927">
        <f t="shared" ref="P263:Z263" si="187">SUM(P264:P307)</f>
        <v>387898.63900000032</v>
      </c>
      <c r="Q263" s="927">
        <f t="shared" si="187"/>
        <v>362662.63900000026</v>
      </c>
      <c r="R263" s="927">
        <f t="shared" si="187"/>
        <v>362662.63900000026</v>
      </c>
      <c r="S263" s="927">
        <f t="shared" si="187"/>
        <v>362662.63900000026</v>
      </c>
      <c r="T263" s="927">
        <f t="shared" si="187"/>
        <v>362662.63900000026</v>
      </c>
      <c r="U263" s="927">
        <f t="shared" si="187"/>
        <v>386876.63900000032</v>
      </c>
      <c r="V263" s="927">
        <f t="shared" si="187"/>
        <v>362662.63900000026</v>
      </c>
      <c r="W263" s="927">
        <f t="shared" si="187"/>
        <v>362662.63900000026</v>
      </c>
      <c r="X263" s="927">
        <f t="shared" si="187"/>
        <v>362662.63900000026</v>
      </c>
      <c r="Y263" s="927">
        <f t="shared" si="187"/>
        <v>362662.63900000026</v>
      </c>
      <c r="Z263" s="832">
        <f t="shared" si="187"/>
        <v>386876.63900000032</v>
      </c>
      <c r="AA263" s="859">
        <f t="shared" si="185"/>
        <v>4425615.6680000043</v>
      </c>
    </row>
    <row r="264" spans="1:27" ht="33.75" x14ac:dyDescent="0.25">
      <c r="A264" s="809"/>
      <c r="B264" s="2649"/>
      <c r="C264" s="2564"/>
      <c r="D264" s="2605"/>
      <c r="E264" s="2564"/>
      <c r="F264" s="2564"/>
      <c r="G264" s="2564"/>
      <c r="H264" s="2577"/>
      <c r="I264" s="2577"/>
      <c r="J264" s="2633"/>
      <c r="K264" s="2624"/>
      <c r="L264" s="2564"/>
      <c r="M264" s="956" t="s">
        <v>169</v>
      </c>
      <c r="N264" s="956" t="s">
        <v>1093</v>
      </c>
      <c r="O264" s="833">
        <v>35116.082999999999</v>
      </c>
      <c r="P264" s="785">
        <v>35116.082999999999</v>
      </c>
      <c r="Q264" s="785">
        <v>35116.082999999999</v>
      </c>
      <c r="R264" s="785">
        <v>35116.082999999999</v>
      </c>
      <c r="S264" s="785">
        <v>35116.082999999999</v>
      </c>
      <c r="T264" s="785">
        <v>35116.082999999999</v>
      </c>
      <c r="U264" s="785">
        <v>35116.082999999999</v>
      </c>
      <c r="V264" s="785">
        <v>35116.082999999999</v>
      </c>
      <c r="W264" s="785">
        <v>35116.082999999999</v>
      </c>
      <c r="X264" s="785">
        <v>35116.082999999999</v>
      </c>
      <c r="Y264" s="785">
        <v>35116.082999999999</v>
      </c>
      <c r="Z264" s="834">
        <v>35116.082999999999</v>
      </c>
      <c r="AA264" s="859">
        <f t="shared" si="185"/>
        <v>421392.99599999987</v>
      </c>
    </row>
    <row r="265" spans="1:27" ht="33.75" x14ac:dyDescent="0.25">
      <c r="A265" s="809"/>
      <c r="B265" s="2649"/>
      <c r="C265" s="2564"/>
      <c r="D265" s="2605"/>
      <c r="E265" s="2564"/>
      <c r="F265" s="2564"/>
      <c r="G265" s="2564"/>
      <c r="H265" s="2577"/>
      <c r="I265" s="2577"/>
      <c r="J265" s="2633"/>
      <c r="K265" s="2624"/>
      <c r="L265" s="2564"/>
      <c r="M265" s="956" t="s">
        <v>1094</v>
      </c>
      <c r="N265" s="956" t="s">
        <v>1095</v>
      </c>
      <c r="O265" s="785">
        <v>2424.0830000000001</v>
      </c>
      <c r="P265" s="785">
        <v>2424.0830000000001</v>
      </c>
      <c r="Q265" s="785">
        <v>2424.0830000000001</v>
      </c>
      <c r="R265" s="785">
        <v>2424.0830000000001</v>
      </c>
      <c r="S265" s="785">
        <v>2424.0830000000001</v>
      </c>
      <c r="T265" s="785">
        <v>2424.0830000000001</v>
      </c>
      <c r="U265" s="785">
        <v>2424.0830000000001</v>
      </c>
      <c r="V265" s="785">
        <v>2424.0830000000001</v>
      </c>
      <c r="W265" s="785">
        <v>2424.0830000000001</v>
      </c>
      <c r="X265" s="785">
        <v>2424.0830000000001</v>
      </c>
      <c r="Y265" s="785">
        <v>2424.0830000000001</v>
      </c>
      <c r="Z265" s="785">
        <v>2424.0830000000001</v>
      </c>
      <c r="AA265" s="859">
        <f t="shared" si="185"/>
        <v>29088.995999999996</v>
      </c>
    </row>
    <row r="266" spans="1:27" ht="33.75" x14ac:dyDescent="0.25">
      <c r="A266" s="809"/>
      <c r="B266" s="2649"/>
      <c r="C266" s="2564"/>
      <c r="D266" s="2605"/>
      <c r="E266" s="2564"/>
      <c r="F266" s="2564"/>
      <c r="G266" s="2564"/>
      <c r="H266" s="2577"/>
      <c r="I266" s="2577"/>
      <c r="J266" s="2633"/>
      <c r="K266" s="2624"/>
      <c r="L266" s="2564"/>
      <c r="M266" s="956" t="s">
        <v>171</v>
      </c>
      <c r="N266" s="956" t="s">
        <v>1096</v>
      </c>
      <c r="O266" s="785">
        <v>146217.416</v>
      </c>
      <c r="P266" s="785">
        <v>146217.416</v>
      </c>
      <c r="Q266" s="785">
        <v>146217.416</v>
      </c>
      <c r="R266" s="785">
        <v>146217.416</v>
      </c>
      <c r="S266" s="785">
        <v>146217.416</v>
      </c>
      <c r="T266" s="785">
        <v>146217.416</v>
      </c>
      <c r="U266" s="785">
        <v>146217.416</v>
      </c>
      <c r="V266" s="785">
        <v>146217.416</v>
      </c>
      <c r="W266" s="785">
        <v>146217.416</v>
      </c>
      <c r="X266" s="785">
        <v>146217.416</v>
      </c>
      <c r="Y266" s="785">
        <v>146217.416</v>
      </c>
      <c r="Z266" s="785">
        <v>146217.416</v>
      </c>
      <c r="AA266" s="859">
        <f t="shared" ref="AA266:AA307" si="188">SUM(O266:Z266)</f>
        <v>1754608.9919999999</v>
      </c>
    </row>
    <row r="267" spans="1:27" ht="22.5" x14ac:dyDescent="0.25">
      <c r="A267" s="809"/>
      <c r="B267" s="2649"/>
      <c r="C267" s="2564"/>
      <c r="D267" s="2605"/>
      <c r="E267" s="2564"/>
      <c r="F267" s="2564"/>
      <c r="G267" s="2564"/>
      <c r="H267" s="2577"/>
      <c r="I267" s="2577"/>
      <c r="J267" s="2633"/>
      <c r="K267" s="2624"/>
      <c r="L267" s="2564"/>
      <c r="M267" s="956" t="s">
        <v>1097</v>
      </c>
      <c r="N267" s="956" t="s">
        <v>1098</v>
      </c>
      <c r="O267" s="785">
        <v>8343.0830000000005</v>
      </c>
      <c r="P267" s="785">
        <v>8343.0830000000005</v>
      </c>
      <c r="Q267" s="785">
        <v>8343.0830000000005</v>
      </c>
      <c r="R267" s="785">
        <v>8343.0830000000005</v>
      </c>
      <c r="S267" s="785">
        <v>8343.0830000000005</v>
      </c>
      <c r="T267" s="785">
        <v>8343.0830000000005</v>
      </c>
      <c r="U267" s="785">
        <v>8343.0830000000005</v>
      </c>
      <c r="V267" s="785">
        <v>8343.0830000000005</v>
      </c>
      <c r="W267" s="785">
        <v>8343.0830000000005</v>
      </c>
      <c r="X267" s="785">
        <v>8343.0830000000005</v>
      </c>
      <c r="Y267" s="785">
        <v>8343.0830000000005</v>
      </c>
      <c r="Z267" s="785">
        <v>8343.0830000000005</v>
      </c>
      <c r="AA267" s="859">
        <f t="shared" si="188"/>
        <v>100116.996</v>
      </c>
    </row>
    <row r="268" spans="1:27" x14ac:dyDescent="0.25">
      <c r="A268" s="809"/>
      <c r="B268" s="2649"/>
      <c r="C268" s="2564"/>
      <c r="D268" s="2605"/>
      <c r="E268" s="2564"/>
      <c r="F268" s="2564"/>
      <c r="G268" s="2564"/>
      <c r="H268" s="2577"/>
      <c r="I268" s="2577"/>
      <c r="J268" s="2633"/>
      <c r="K268" s="2624"/>
      <c r="L268" s="2564"/>
      <c r="M268" s="956" t="s">
        <v>172</v>
      </c>
      <c r="N268" s="956" t="s">
        <v>173</v>
      </c>
      <c r="O268" s="785">
        <v>0</v>
      </c>
      <c r="P268" s="785">
        <v>0</v>
      </c>
      <c r="Q268" s="785">
        <v>0</v>
      </c>
      <c r="R268" s="785">
        <v>0</v>
      </c>
      <c r="S268" s="785">
        <v>0</v>
      </c>
      <c r="T268" s="785">
        <v>0</v>
      </c>
      <c r="U268" s="785">
        <v>24214</v>
      </c>
      <c r="V268" s="785">
        <v>0</v>
      </c>
      <c r="W268" s="785">
        <v>0</v>
      </c>
      <c r="X268" s="785">
        <v>0</v>
      </c>
      <c r="Y268" s="785">
        <v>0</v>
      </c>
      <c r="Z268" s="785">
        <v>24214</v>
      </c>
      <c r="AA268" s="859">
        <f t="shared" si="188"/>
        <v>48428</v>
      </c>
    </row>
    <row r="269" spans="1:27" ht="33.75" x14ac:dyDescent="0.25">
      <c r="A269" s="809"/>
      <c r="B269" s="2649"/>
      <c r="C269" s="2564"/>
      <c r="D269" s="2605"/>
      <c r="E269" s="2564"/>
      <c r="F269" s="2564"/>
      <c r="G269" s="2564"/>
      <c r="H269" s="2577"/>
      <c r="I269" s="2577"/>
      <c r="J269" s="2633"/>
      <c r="K269" s="2624"/>
      <c r="L269" s="2564"/>
      <c r="M269" s="956" t="s">
        <v>174</v>
      </c>
      <c r="N269" s="956" t="s">
        <v>1099</v>
      </c>
      <c r="O269" s="785">
        <v>0</v>
      </c>
      <c r="P269" s="785">
        <v>25236</v>
      </c>
      <c r="Q269" s="785">
        <v>0</v>
      </c>
      <c r="R269" s="785">
        <v>0</v>
      </c>
      <c r="S269" s="785">
        <v>0</v>
      </c>
      <c r="T269" s="785">
        <v>0</v>
      </c>
      <c r="U269" s="785">
        <v>0</v>
      </c>
      <c r="V269" s="785">
        <v>0</v>
      </c>
      <c r="W269" s="785">
        <v>0</v>
      </c>
      <c r="X269" s="785">
        <v>0</v>
      </c>
      <c r="Y269" s="785">
        <v>0</v>
      </c>
      <c r="Z269" s="785">
        <v>0</v>
      </c>
      <c r="AA269" s="859">
        <f t="shared" si="188"/>
        <v>25236</v>
      </c>
    </row>
    <row r="270" spans="1:27" ht="22.5" x14ac:dyDescent="0.25">
      <c r="A270" s="809"/>
      <c r="B270" s="2649"/>
      <c r="C270" s="2564"/>
      <c r="D270" s="2605"/>
      <c r="E270" s="2564"/>
      <c r="F270" s="2564"/>
      <c r="G270" s="2564"/>
      <c r="H270" s="2577"/>
      <c r="I270" s="2577"/>
      <c r="J270" s="2633"/>
      <c r="K270" s="2624"/>
      <c r="L270" s="2564"/>
      <c r="M270" s="956" t="s">
        <v>176</v>
      </c>
      <c r="N270" s="956" t="s">
        <v>1100</v>
      </c>
      <c r="O270" s="785">
        <v>4265.0829999999996</v>
      </c>
      <c r="P270" s="785">
        <v>4265.0829999999996</v>
      </c>
      <c r="Q270" s="785">
        <v>4265.0829999999996</v>
      </c>
      <c r="R270" s="785">
        <v>4265.0829999999996</v>
      </c>
      <c r="S270" s="785">
        <v>4265.0829999999996</v>
      </c>
      <c r="T270" s="785">
        <v>4265.0829999999996</v>
      </c>
      <c r="U270" s="785">
        <v>4265.0829999999996</v>
      </c>
      <c r="V270" s="785">
        <v>4265.0829999999996</v>
      </c>
      <c r="W270" s="785">
        <v>4265.0829999999996</v>
      </c>
      <c r="X270" s="785">
        <v>4265.0829999999996</v>
      </c>
      <c r="Y270" s="785">
        <v>4265.0829999999996</v>
      </c>
      <c r="Z270" s="785">
        <v>4265.0829999999996</v>
      </c>
      <c r="AA270" s="859">
        <f t="shared" si="188"/>
        <v>51180.995999999992</v>
      </c>
    </row>
    <row r="271" spans="1:27" ht="45" x14ac:dyDescent="0.25">
      <c r="A271" s="809"/>
      <c r="B271" s="2649"/>
      <c r="C271" s="2564"/>
      <c r="D271" s="2605"/>
      <c r="E271" s="2564"/>
      <c r="F271" s="2564"/>
      <c r="G271" s="2564"/>
      <c r="H271" s="2577"/>
      <c r="I271" s="2577"/>
      <c r="J271" s="2633"/>
      <c r="K271" s="2624"/>
      <c r="L271" s="2564"/>
      <c r="M271" s="956" t="s">
        <v>178</v>
      </c>
      <c r="N271" s="956" t="s">
        <v>1101</v>
      </c>
      <c r="O271" s="785">
        <v>10383.333000000001</v>
      </c>
      <c r="P271" s="785">
        <v>10383.333000000001</v>
      </c>
      <c r="Q271" s="785">
        <v>10383.333000000001</v>
      </c>
      <c r="R271" s="785">
        <v>10383.333000000001</v>
      </c>
      <c r="S271" s="785">
        <v>10383.333000000001</v>
      </c>
      <c r="T271" s="785">
        <v>10383.333000000001</v>
      </c>
      <c r="U271" s="785">
        <v>10383.333000000001</v>
      </c>
      <c r="V271" s="785">
        <v>10383.333000000001</v>
      </c>
      <c r="W271" s="785">
        <v>10383.333000000001</v>
      </c>
      <c r="X271" s="785">
        <v>10383.333000000001</v>
      </c>
      <c r="Y271" s="785">
        <v>10383.333000000001</v>
      </c>
      <c r="Z271" s="785">
        <v>10383.333000000001</v>
      </c>
      <c r="AA271" s="859">
        <f t="shared" si="188"/>
        <v>124599.996</v>
      </c>
    </row>
    <row r="272" spans="1:27" ht="45" x14ac:dyDescent="0.25">
      <c r="A272" s="809"/>
      <c r="B272" s="2649"/>
      <c r="C272" s="2564"/>
      <c r="D272" s="2605"/>
      <c r="E272" s="2564"/>
      <c r="F272" s="2564"/>
      <c r="G272" s="2564"/>
      <c r="H272" s="2577"/>
      <c r="I272" s="2577"/>
      <c r="J272" s="2633"/>
      <c r="K272" s="2624"/>
      <c r="L272" s="2564"/>
      <c r="M272" s="956" t="s">
        <v>213</v>
      </c>
      <c r="N272" s="956" t="s">
        <v>1102</v>
      </c>
      <c r="O272" s="785">
        <v>4483.3329999999996</v>
      </c>
      <c r="P272" s="785">
        <v>4483.3329999999996</v>
      </c>
      <c r="Q272" s="785">
        <v>4483.3329999999996</v>
      </c>
      <c r="R272" s="785">
        <v>4483.3329999999996</v>
      </c>
      <c r="S272" s="785">
        <v>4483.3329999999996</v>
      </c>
      <c r="T272" s="785">
        <v>4483.3329999999996</v>
      </c>
      <c r="U272" s="785">
        <v>4483.3329999999996</v>
      </c>
      <c r="V272" s="785">
        <v>4483.3329999999996</v>
      </c>
      <c r="W272" s="785">
        <v>4483.3329999999996</v>
      </c>
      <c r="X272" s="785">
        <v>4483.3329999999996</v>
      </c>
      <c r="Y272" s="785">
        <v>4483.3329999999996</v>
      </c>
      <c r="Z272" s="785">
        <v>4483.3329999999996</v>
      </c>
      <c r="AA272" s="859">
        <f t="shared" si="188"/>
        <v>53799.995999999992</v>
      </c>
    </row>
    <row r="273" spans="1:27" x14ac:dyDescent="0.25">
      <c r="A273" s="809"/>
      <c r="B273" s="2649"/>
      <c r="C273" s="2564"/>
      <c r="D273" s="2605"/>
      <c r="E273" s="2564"/>
      <c r="F273" s="2564"/>
      <c r="G273" s="2564"/>
      <c r="H273" s="2577"/>
      <c r="I273" s="2577"/>
      <c r="J273" s="2633"/>
      <c r="K273" s="2624"/>
      <c r="L273" s="2564"/>
      <c r="M273" s="956" t="s">
        <v>1103</v>
      </c>
      <c r="N273" s="956" t="s">
        <v>1104</v>
      </c>
      <c r="O273" s="785">
        <v>3700</v>
      </c>
      <c r="P273" s="785">
        <v>3700</v>
      </c>
      <c r="Q273" s="785">
        <v>3700</v>
      </c>
      <c r="R273" s="785">
        <v>3700</v>
      </c>
      <c r="S273" s="785">
        <v>3700</v>
      </c>
      <c r="T273" s="785">
        <v>3700</v>
      </c>
      <c r="U273" s="785">
        <v>3700</v>
      </c>
      <c r="V273" s="785">
        <v>3700</v>
      </c>
      <c r="W273" s="785">
        <v>3700</v>
      </c>
      <c r="X273" s="785">
        <v>3700</v>
      </c>
      <c r="Y273" s="785">
        <v>3700</v>
      </c>
      <c r="Z273" s="785">
        <v>3700</v>
      </c>
      <c r="AA273" s="859">
        <f t="shared" si="188"/>
        <v>44400</v>
      </c>
    </row>
    <row r="274" spans="1:27" ht="22.5" x14ac:dyDescent="0.25">
      <c r="A274" s="809"/>
      <c r="B274" s="2649"/>
      <c r="C274" s="2564"/>
      <c r="D274" s="2605"/>
      <c r="E274" s="2564"/>
      <c r="F274" s="2564"/>
      <c r="G274" s="2564"/>
      <c r="H274" s="2577"/>
      <c r="I274" s="2577"/>
      <c r="J274" s="2633"/>
      <c r="K274" s="2624"/>
      <c r="L274" s="2564"/>
      <c r="M274" s="956" t="s">
        <v>180</v>
      </c>
      <c r="N274" s="956" t="s">
        <v>181</v>
      </c>
      <c r="O274" s="785">
        <v>6666.6660000000002</v>
      </c>
      <c r="P274" s="785">
        <v>6666.6660000000002</v>
      </c>
      <c r="Q274" s="785">
        <v>6666.6660000000002</v>
      </c>
      <c r="R274" s="785">
        <v>6666.6660000000002</v>
      </c>
      <c r="S274" s="785">
        <v>6666.6660000000002</v>
      </c>
      <c r="T274" s="785">
        <v>6666.6660000000002</v>
      </c>
      <c r="U274" s="785">
        <v>6666.6660000000002</v>
      </c>
      <c r="V274" s="785">
        <v>6666.6660000000002</v>
      </c>
      <c r="W274" s="785">
        <v>6666.6660000000002</v>
      </c>
      <c r="X274" s="785">
        <v>6666.6660000000002</v>
      </c>
      <c r="Y274" s="785">
        <v>6666.6660000000002</v>
      </c>
      <c r="Z274" s="785">
        <v>6666.6660000000002</v>
      </c>
      <c r="AA274" s="859">
        <f t="shared" si="188"/>
        <v>79999.991999999984</v>
      </c>
    </row>
    <row r="275" spans="1:27" ht="33.75" x14ac:dyDescent="0.25">
      <c r="A275" s="809"/>
      <c r="B275" s="2649"/>
      <c r="C275" s="2564"/>
      <c r="D275" s="2605"/>
      <c r="E275" s="2564"/>
      <c r="F275" s="2564"/>
      <c r="G275" s="2564"/>
      <c r="H275" s="2577"/>
      <c r="I275" s="2577"/>
      <c r="J275" s="2633"/>
      <c r="K275" s="2624"/>
      <c r="L275" s="2564"/>
      <c r="M275" s="956" t="s">
        <v>215</v>
      </c>
      <c r="N275" s="956" t="s">
        <v>1105</v>
      </c>
      <c r="O275" s="785">
        <v>1108.3330000000001</v>
      </c>
      <c r="P275" s="785">
        <v>1108.3330000000001</v>
      </c>
      <c r="Q275" s="785">
        <v>1108.3330000000001</v>
      </c>
      <c r="R275" s="785">
        <v>1108.3330000000001</v>
      </c>
      <c r="S275" s="785">
        <v>1108.3330000000001</v>
      </c>
      <c r="T275" s="785">
        <v>1108.3330000000001</v>
      </c>
      <c r="U275" s="785">
        <v>1108.3330000000001</v>
      </c>
      <c r="V275" s="785">
        <v>1108.3330000000001</v>
      </c>
      <c r="W275" s="785">
        <v>1108.3330000000001</v>
      </c>
      <c r="X275" s="785">
        <v>1108.3330000000001</v>
      </c>
      <c r="Y275" s="785">
        <v>1108.3330000000001</v>
      </c>
      <c r="Z275" s="785">
        <v>1108.3330000000001</v>
      </c>
      <c r="AA275" s="859">
        <f t="shared" si="188"/>
        <v>13299.996000000005</v>
      </c>
    </row>
    <row r="276" spans="1:27" ht="22.5" x14ac:dyDescent="0.25">
      <c r="A276" s="809"/>
      <c r="B276" s="2649"/>
      <c r="C276" s="2564"/>
      <c r="D276" s="2605"/>
      <c r="E276" s="2564"/>
      <c r="F276" s="2564"/>
      <c r="G276" s="2564"/>
      <c r="H276" s="2577"/>
      <c r="I276" s="2577"/>
      <c r="J276" s="2633"/>
      <c r="K276" s="2624"/>
      <c r="L276" s="2564"/>
      <c r="M276" s="956" t="s">
        <v>182</v>
      </c>
      <c r="N276" s="956" t="s">
        <v>534</v>
      </c>
      <c r="O276" s="785">
        <v>7333.3329999999996</v>
      </c>
      <c r="P276" s="785">
        <v>7333.3329999999996</v>
      </c>
      <c r="Q276" s="785">
        <v>7333.3329999999996</v>
      </c>
      <c r="R276" s="785">
        <v>7333.3329999999996</v>
      </c>
      <c r="S276" s="785">
        <v>7333.3329999999996</v>
      </c>
      <c r="T276" s="785">
        <v>7333.3329999999996</v>
      </c>
      <c r="U276" s="785">
        <v>7333.3329999999996</v>
      </c>
      <c r="V276" s="785">
        <v>7333.3329999999996</v>
      </c>
      <c r="W276" s="785">
        <v>7333.3329999999996</v>
      </c>
      <c r="X276" s="785">
        <v>7333.3329999999996</v>
      </c>
      <c r="Y276" s="785">
        <v>7333.3329999999996</v>
      </c>
      <c r="Z276" s="785">
        <v>7333.3329999999996</v>
      </c>
      <c r="AA276" s="859">
        <f t="shared" si="188"/>
        <v>87999.995999999999</v>
      </c>
    </row>
    <row r="277" spans="1:27" ht="56.25" x14ac:dyDescent="0.25">
      <c r="A277" s="809"/>
      <c r="B277" s="2649"/>
      <c r="C277" s="2564"/>
      <c r="D277" s="2605"/>
      <c r="E277" s="2564"/>
      <c r="F277" s="2564"/>
      <c r="G277" s="2564"/>
      <c r="H277" s="2577"/>
      <c r="I277" s="2577"/>
      <c r="J277" s="2633"/>
      <c r="K277" s="2624"/>
      <c r="L277" s="2564"/>
      <c r="M277" s="956" t="s">
        <v>184</v>
      </c>
      <c r="N277" s="956" t="s">
        <v>1106</v>
      </c>
      <c r="O277" s="785">
        <v>4333.3329999999996</v>
      </c>
      <c r="P277" s="785">
        <v>4333.3329999999996</v>
      </c>
      <c r="Q277" s="785">
        <v>4333.3329999999996</v>
      </c>
      <c r="R277" s="785">
        <v>4333.3329999999996</v>
      </c>
      <c r="S277" s="785">
        <v>4333.3329999999996</v>
      </c>
      <c r="T277" s="785">
        <v>4333.3329999999996</v>
      </c>
      <c r="U277" s="785">
        <v>4333.3329999999996</v>
      </c>
      <c r="V277" s="785">
        <v>4333.3329999999996</v>
      </c>
      <c r="W277" s="785">
        <v>4333.3329999999996</v>
      </c>
      <c r="X277" s="785">
        <v>4333.3329999999996</v>
      </c>
      <c r="Y277" s="785">
        <v>4333.3329999999996</v>
      </c>
      <c r="Z277" s="785">
        <v>4333.3329999999996</v>
      </c>
      <c r="AA277" s="859">
        <f t="shared" si="188"/>
        <v>51999.995999999992</v>
      </c>
    </row>
    <row r="278" spans="1:27" ht="22.5" x14ac:dyDescent="0.25">
      <c r="A278" s="809"/>
      <c r="B278" s="2649"/>
      <c r="C278" s="2564"/>
      <c r="D278" s="2605"/>
      <c r="E278" s="2564"/>
      <c r="F278" s="2564"/>
      <c r="G278" s="2564"/>
      <c r="H278" s="2577"/>
      <c r="I278" s="2577"/>
      <c r="J278" s="2633"/>
      <c r="K278" s="2624"/>
      <c r="L278" s="2564"/>
      <c r="M278" s="956" t="s">
        <v>186</v>
      </c>
      <c r="N278" s="956" t="s">
        <v>536</v>
      </c>
      <c r="O278" s="785">
        <v>666.66600000000005</v>
      </c>
      <c r="P278" s="785">
        <v>666.66600000000005</v>
      </c>
      <c r="Q278" s="785">
        <v>666.66600000000005</v>
      </c>
      <c r="R278" s="785">
        <v>666.66600000000005</v>
      </c>
      <c r="S278" s="785">
        <v>666.66600000000005</v>
      </c>
      <c r="T278" s="785">
        <v>666.66600000000005</v>
      </c>
      <c r="U278" s="785">
        <v>666.66600000000005</v>
      </c>
      <c r="V278" s="785">
        <v>666.66600000000005</v>
      </c>
      <c r="W278" s="785">
        <v>666.66600000000005</v>
      </c>
      <c r="X278" s="785">
        <v>666.66600000000005</v>
      </c>
      <c r="Y278" s="785">
        <v>666.66600000000005</v>
      </c>
      <c r="Z278" s="785">
        <v>666.66600000000005</v>
      </c>
      <c r="AA278" s="859">
        <f t="shared" si="188"/>
        <v>7999.9920000000011</v>
      </c>
    </row>
    <row r="279" spans="1:27" x14ac:dyDescent="0.25">
      <c r="A279" s="809"/>
      <c r="B279" s="2649"/>
      <c r="C279" s="2564"/>
      <c r="D279" s="2605"/>
      <c r="E279" s="2564"/>
      <c r="F279" s="2564"/>
      <c r="G279" s="2564"/>
      <c r="H279" s="2577"/>
      <c r="I279" s="2577"/>
      <c r="J279" s="2633"/>
      <c r="K279" s="2624"/>
      <c r="L279" s="2564"/>
      <c r="M279" s="956" t="s">
        <v>217</v>
      </c>
      <c r="N279" s="956" t="s">
        <v>997</v>
      </c>
      <c r="O279" s="785">
        <v>4670.1660000000002</v>
      </c>
      <c r="P279" s="785">
        <v>4670.1660000000002</v>
      </c>
      <c r="Q279" s="785">
        <v>4670.1660000000002</v>
      </c>
      <c r="R279" s="785">
        <v>4670.1660000000002</v>
      </c>
      <c r="S279" s="785">
        <v>4670.1660000000002</v>
      </c>
      <c r="T279" s="785">
        <v>4670.1660000000002</v>
      </c>
      <c r="U279" s="785">
        <v>4670.1660000000002</v>
      </c>
      <c r="V279" s="785">
        <v>4670.1660000000002</v>
      </c>
      <c r="W279" s="785">
        <v>4670.1660000000002</v>
      </c>
      <c r="X279" s="785">
        <v>4670.1660000000002</v>
      </c>
      <c r="Y279" s="785">
        <v>4670.1660000000002</v>
      </c>
      <c r="Z279" s="785">
        <v>4670.1660000000002</v>
      </c>
      <c r="AA279" s="859">
        <f t="shared" si="188"/>
        <v>56041.991999999991</v>
      </c>
    </row>
    <row r="280" spans="1:27" ht="22.5" x14ac:dyDescent="0.25">
      <c r="A280" s="809"/>
      <c r="B280" s="2649"/>
      <c r="C280" s="2564"/>
      <c r="D280" s="2605"/>
      <c r="E280" s="2564"/>
      <c r="F280" s="2564"/>
      <c r="G280" s="2564"/>
      <c r="H280" s="2577"/>
      <c r="I280" s="2577"/>
      <c r="J280" s="2633"/>
      <c r="K280" s="2624"/>
      <c r="L280" s="2564"/>
      <c r="M280" s="956" t="s">
        <v>1107</v>
      </c>
      <c r="N280" s="956" t="s">
        <v>1108</v>
      </c>
      <c r="O280" s="785">
        <v>3740.3330000000001</v>
      </c>
      <c r="P280" s="785">
        <v>3740.3330000000001</v>
      </c>
      <c r="Q280" s="785">
        <v>3740.3330000000001</v>
      </c>
      <c r="R280" s="785">
        <v>3740.3330000000001</v>
      </c>
      <c r="S280" s="785">
        <v>3740.3330000000001</v>
      </c>
      <c r="T280" s="785">
        <v>3740.3330000000001</v>
      </c>
      <c r="U280" s="785">
        <v>3740.3330000000001</v>
      </c>
      <c r="V280" s="785">
        <v>3740.3330000000001</v>
      </c>
      <c r="W280" s="785">
        <v>3740.3330000000001</v>
      </c>
      <c r="X280" s="785">
        <v>3740.3330000000001</v>
      </c>
      <c r="Y280" s="785">
        <v>3740.3330000000001</v>
      </c>
      <c r="Z280" s="785">
        <v>3740.3330000000001</v>
      </c>
      <c r="AA280" s="859">
        <f t="shared" si="188"/>
        <v>44883.995999999992</v>
      </c>
    </row>
    <row r="281" spans="1:27" x14ac:dyDescent="0.25">
      <c r="A281" s="809"/>
      <c r="B281" s="2649"/>
      <c r="C281" s="2564"/>
      <c r="D281" s="2605"/>
      <c r="E281" s="2564"/>
      <c r="F281" s="2564"/>
      <c r="G281" s="2564"/>
      <c r="H281" s="2577"/>
      <c r="I281" s="2577"/>
      <c r="J281" s="2633"/>
      <c r="K281" s="2624"/>
      <c r="L281" s="2564"/>
      <c r="M281" s="956" t="s">
        <v>1109</v>
      </c>
      <c r="N281" s="956" t="s">
        <v>1110</v>
      </c>
      <c r="O281" s="785">
        <v>310</v>
      </c>
      <c r="P281" s="785">
        <v>310</v>
      </c>
      <c r="Q281" s="785">
        <v>310</v>
      </c>
      <c r="R281" s="785">
        <v>310</v>
      </c>
      <c r="S281" s="785">
        <v>310</v>
      </c>
      <c r="T281" s="785">
        <v>310</v>
      </c>
      <c r="U281" s="785">
        <v>310</v>
      </c>
      <c r="V281" s="785">
        <v>310</v>
      </c>
      <c r="W281" s="785">
        <v>310</v>
      </c>
      <c r="X281" s="785">
        <v>310</v>
      </c>
      <c r="Y281" s="785">
        <v>310</v>
      </c>
      <c r="Z281" s="785">
        <v>310</v>
      </c>
      <c r="AA281" s="859">
        <f t="shared" si="188"/>
        <v>3720</v>
      </c>
    </row>
    <row r="282" spans="1:27" ht="33.75" customHeight="1" x14ac:dyDescent="0.25">
      <c r="A282" s="809"/>
      <c r="B282" s="2649"/>
      <c r="C282" s="2564"/>
      <c r="D282" s="2605"/>
      <c r="E282" s="2564"/>
      <c r="F282" s="2564"/>
      <c r="G282" s="2564"/>
      <c r="H282" s="2577"/>
      <c r="I282" s="2577"/>
      <c r="J282" s="2633"/>
      <c r="K282" s="2624"/>
      <c r="L282" s="2564"/>
      <c r="M282" s="956" t="s">
        <v>1111</v>
      </c>
      <c r="N282" s="956" t="s">
        <v>1112</v>
      </c>
      <c r="O282" s="785">
        <v>416.666</v>
      </c>
      <c r="P282" s="785">
        <v>416.666</v>
      </c>
      <c r="Q282" s="785">
        <v>416.666</v>
      </c>
      <c r="R282" s="785">
        <v>416.666</v>
      </c>
      <c r="S282" s="785">
        <v>416.666</v>
      </c>
      <c r="T282" s="785">
        <v>416.666</v>
      </c>
      <c r="U282" s="785">
        <v>416.666</v>
      </c>
      <c r="V282" s="785">
        <v>416.666</v>
      </c>
      <c r="W282" s="785">
        <v>416.666</v>
      </c>
      <c r="X282" s="785">
        <v>416.666</v>
      </c>
      <c r="Y282" s="785">
        <v>416.666</v>
      </c>
      <c r="Z282" s="785">
        <v>416.666</v>
      </c>
      <c r="AA282" s="859">
        <f t="shared" si="188"/>
        <v>4999.9920000000011</v>
      </c>
    </row>
    <row r="283" spans="1:27" ht="22.5" customHeight="1" x14ac:dyDescent="0.25">
      <c r="A283" s="809"/>
      <c r="B283" s="2649"/>
      <c r="C283" s="2564"/>
      <c r="D283" s="2605"/>
      <c r="E283" s="2564"/>
      <c r="F283" s="2564"/>
      <c r="G283" s="2564"/>
      <c r="H283" s="2577"/>
      <c r="I283" s="2577"/>
      <c r="J283" s="2633"/>
      <c r="K283" s="2624"/>
      <c r="L283" s="2564"/>
      <c r="M283" s="956" t="s">
        <v>973</v>
      </c>
      <c r="N283" s="956" t="s">
        <v>191</v>
      </c>
      <c r="O283" s="785">
        <v>7083.33</v>
      </c>
      <c r="P283" s="785">
        <v>7083.33</v>
      </c>
      <c r="Q283" s="785">
        <v>7083.33</v>
      </c>
      <c r="R283" s="785">
        <v>7083.33</v>
      </c>
      <c r="S283" s="785">
        <v>7083.33</v>
      </c>
      <c r="T283" s="785">
        <v>7083.33</v>
      </c>
      <c r="U283" s="785">
        <v>7083.33</v>
      </c>
      <c r="V283" s="785">
        <v>7083.33</v>
      </c>
      <c r="W283" s="785">
        <v>7083.33</v>
      </c>
      <c r="X283" s="785">
        <v>7083.33</v>
      </c>
      <c r="Y283" s="785">
        <v>7083.33</v>
      </c>
      <c r="Z283" s="785">
        <v>7083.33</v>
      </c>
      <c r="AA283" s="859">
        <f t="shared" si="188"/>
        <v>84999.96</v>
      </c>
    </row>
    <row r="284" spans="1:27" ht="22.5" customHeight="1" x14ac:dyDescent="0.25">
      <c r="A284" s="809"/>
      <c r="B284" s="2649"/>
      <c r="C284" s="2564"/>
      <c r="D284" s="2605"/>
      <c r="E284" s="2564"/>
      <c r="F284" s="2564"/>
      <c r="G284" s="2564"/>
      <c r="H284" s="2577"/>
      <c r="I284" s="2577"/>
      <c r="J284" s="2633"/>
      <c r="K284" s="2624"/>
      <c r="L284" s="2564"/>
      <c r="M284" s="956" t="s">
        <v>541</v>
      </c>
      <c r="N284" s="956" t="s">
        <v>1113</v>
      </c>
      <c r="O284" s="785">
        <v>2900</v>
      </c>
      <c r="P284" s="785">
        <v>2900</v>
      </c>
      <c r="Q284" s="785">
        <v>2900</v>
      </c>
      <c r="R284" s="785">
        <v>2900</v>
      </c>
      <c r="S284" s="785">
        <v>2900</v>
      </c>
      <c r="T284" s="785">
        <v>2900</v>
      </c>
      <c r="U284" s="785">
        <v>2900</v>
      </c>
      <c r="V284" s="785">
        <v>2900</v>
      </c>
      <c r="W284" s="785">
        <v>2900</v>
      </c>
      <c r="X284" s="785">
        <v>2900</v>
      </c>
      <c r="Y284" s="785">
        <v>2900</v>
      </c>
      <c r="Z284" s="785">
        <v>2900</v>
      </c>
      <c r="AA284" s="859">
        <f t="shared" si="188"/>
        <v>34800</v>
      </c>
    </row>
    <row r="285" spans="1:27" ht="45" x14ac:dyDescent="0.25">
      <c r="A285" s="809"/>
      <c r="B285" s="2649"/>
      <c r="C285" s="2564"/>
      <c r="D285" s="2605"/>
      <c r="E285" s="2564"/>
      <c r="F285" s="2564"/>
      <c r="G285" s="2564"/>
      <c r="H285" s="2577"/>
      <c r="I285" s="2577"/>
      <c r="J285" s="2633"/>
      <c r="K285" s="2624"/>
      <c r="L285" s="2564"/>
      <c r="M285" s="956" t="s">
        <v>194</v>
      </c>
      <c r="N285" s="956" t="s">
        <v>1114</v>
      </c>
      <c r="O285" s="785">
        <v>7183.33</v>
      </c>
      <c r="P285" s="785">
        <v>7183.33</v>
      </c>
      <c r="Q285" s="785">
        <v>7183.33</v>
      </c>
      <c r="R285" s="785">
        <v>7183.33</v>
      </c>
      <c r="S285" s="785">
        <v>7183.33</v>
      </c>
      <c r="T285" s="785">
        <v>7183.33</v>
      </c>
      <c r="U285" s="785">
        <v>7183.33</v>
      </c>
      <c r="V285" s="785">
        <v>7183.33</v>
      </c>
      <c r="W285" s="785">
        <v>7183.33</v>
      </c>
      <c r="X285" s="785">
        <v>7183.33</v>
      </c>
      <c r="Y285" s="785">
        <v>7183.33</v>
      </c>
      <c r="Z285" s="785">
        <v>7183.33</v>
      </c>
      <c r="AA285" s="859">
        <f t="shared" si="188"/>
        <v>86199.96</v>
      </c>
    </row>
    <row r="286" spans="1:27" ht="33.75" customHeight="1" x14ac:dyDescent="0.25">
      <c r="A286" s="809"/>
      <c r="B286" s="2649"/>
      <c r="C286" s="2564"/>
      <c r="D286" s="2605"/>
      <c r="E286" s="2564"/>
      <c r="F286" s="2564"/>
      <c r="G286" s="2564"/>
      <c r="H286" s="2577"/>
      <c r="I286" s="2577"/>
      <c r="J286" s="2633"/>
      <c r="K286" s="2624"/>
      <c r="L286" s="2564"/>
      <c r="M286" s="956" t="s">
        <v>195</v>
      </c>
      <c r="N286" s="956" t="s">
        <v>1115</v>
      </c>
      <c r="O286" s="785">
        <v>916.66700000000003</v>
      </c>
      <c r="P286" s="785">
        <v>916.66700000000003</v>
      </c>
      <c r="Q286" s="785">
        <v>916.66700000000003</v>
      </c>
      <c r="R286" s="785">
        <v>916.66700000000003</v>
      </c>
      <c r="S286" s="785">
        <v>916.66700000000003</v>
      </c>
      <c r="T286" s="785">
        <v>916.66700000000003</v>
      </c>
      <c r="U286" s="785">
        <v>916.66700000000003</v>
      </c>
      <c r="V286" s="785">
        <v>916.66700000000003</v>
      </c>
      <c r="W286" s="785">
        <v>916.66700000000003</v>
      </c>
      <c r="X286" s="785">
        <v>916.66700000000003</v>
      </c>
      <c r="Y286" s="785">
        <v>916.66700000000003</v>
      </c>
      <c r="Z286" s="785">
        <v>916.66700000000003</v>
      </c>
      <c r="AA286" s="859">
        <f t="shared" si="188"/>
        <v>11000.003999999999</v>
      </c>
    </row>
    <row r="287" spans="1:27" ht="33.75" x14ac:dyDescent="0.25">
      <c r="A287" s="809"/>
      <c r="B287" s="2649"/>
      <c r="C287" s="2564"/>
      <c r="D287" s="2605"/>
      <c r="E287" s="2564"/>
      <c r="F287" s="2564"/>
      <c r="G287" s="2564"/>
      <c r="H287" s="2577"/>
      <c r="I287" s="2577"/>
      <c r="J287" s="2633"/>
      <c r="K287" s="2624"/>
      <c r="L287" s="2564"/>
      <c r="M287" s="956" t="s">
        <v>196</v>
      </c>
      <c r="N287" s="956" t="s">
        <v>1116</v>
      </c>
      <c r="O287" s="785">
        <v>703.33</v>
      </c>
      <c r="P287" s="785">
        <v>703.33</v>
      </c>
      <c r="Q287" s="785">
        <v>703.33</v>
      </c>
      <c r="R287" s="785">
        <v>703.33</v>
      </c>
      <c r="S287" s="785">
        <v>703.33</v>
      </c>
      <c r="T287" s="785">
        <v>703.33</v>
      </c>
      <c r="U287" s="785">
        <v>703.33</v>
      </c>
      <c r="V287" s="785">
        <v>703.33</v>
      </c>
      <c r="W287" s="785">
        <v>703.33</v>
      </c>
      <c r="X287" s="785">
        <v>703.33</v>
      </c>
      <c r="Y287" s="785">
        <v>703.33</v>
      </c>
      <c r="Z287" s="785">
        <v>703.33</v>
      </c>
      <c r="AA287" s="859">
        <f t="shared" si="188"/>
        <v>8439.9600000000009</v>
      </c>
    </row>
    <row r="288" spans="1:27" ht="33.75" x14ac:dyDescent="0.25">
      <c r="A288" s="809"/>
      <c r="B288" s="2649"/>
      <c r="C288" s="2564"/>
      <c r="D288" s="2605"/>
      <c r="E288" s="2564"/>
      <c r="F288" s="2564"/>
      <c r="G288" s="2564"/>
      <c r="H288" s="2577"/>
      <c r="I288" s="2577"/>
      <c r="J288" s="2633"/>
      <c r="K288" s="2624"/>
      <c r="L288" s="2564"/>
      <c r="M288" s="956" t="s">
        <v>198</v>
      </c>
      <c r="N288" s="956" t="s">
        <v>1117</v>
      </c>
      <c r="O288" s="785">
        <v>1416.6669999999999</v>
      </c>
      <c r="P288" s="785">
        <v>1416.6669999999999</v>
      </c>
      <c r="Q288" s="785">
        <v>1416.6669999999999</v>
      </c>
      <c r="R288" s="785">
        <v>1416.6669999999999</v>
      </c>
      <c r="S288" s="785">
        <v>1416.6669999999999</v>
      </c>
      <c r="T288" s="785">
        <v>1416.6669999999999</v>
      </c>
      <c r="U288" s="785">
        <v>1416.6669999999999</v>
      </c>
      <c r="V288" s="785">
        <v>1416.6669999999999</v>
      </c>
      <c r="W288" s="785">
        <v>1416.6669999999999</v>
      </c>
      <c r="X288" s="785">
        <v>1416.6669999999999</v>
      </c>
      <c r="Y288" s="785">
        <v>1416.6669999999999</v>
      </c>
      <c r="Z288" s="785">
        <v>1416.6669999999999</v>
      </c>
      <c r="AA288" s="859">
        <f t="shared" si="188"/>
        <v>17000.003999999997</v>
      </c>
    </row>
    <row r="289" spans="1:27" ht="22.5" x14ac:dyDescent="0.25">
      <c r="A289" s="809"/>
      <c r="B289" s="2649"/>
      <c r="C289" s="2564"/>
      <c r="D289" s="2605"/>
      <c r="E289" s="2564"/>
      <c r="F289" s="2564"/>
      <c r="G289" s="2564"/>
      <c r="H289" s="2577"/>
      <c r="I289" s="2577"/>
      <c r="J289" s="2633"/>
      <c r="K289" s="2624"/>
      <c r="L289" s="2564"/>
      <c r="M289" s="956" t="s">
        <v>199</v>
      </c>
      <c r="N289" s="956" t="s">
        <v>1118</v>
      </c>
      <c r="O289" s="785">
        <v>321.66699999999997</v>
      </c>
      <c r="P289" s="785">
        <v>321.66699999999997</v>
      </c>
      <c r="Q289" s="785">
        <v>321.66699999999997</v>
      </c>
      <c r="R289" s="785">
        <v>321.66699999999997</v>
      </c>
      <c r="S289" s="785">
        <v>321.66699999999997</v>
      </c>
      <c r="T289" s="785">
        <v>321.66699999999997</v>
      </c>
      <c r="U289" s="785">
        <v>321.66699999999997</v>
      </c>
      <c r="V289" s="785">
        <v>321.66699999999997</v>
      </c>
      <c r="W289" s="785">
        <v>321.66699999999997</v>
      </c>
      <c r="X289" s="785">
        <v>321.66699999999997</v>
      </c>
      <c r="Y289" s="785">
        <v>321.66699999999997</v>
      </c>
      <c r="Z289" s="785">
        <v>321.66699999999997</v>
      </c>
      <c r="AA289" s="859">
        <f t="shared" si="188"/>
        <v>3860.0039999999995</v>
      </c>
    </row>
    <row r="290" spans="1:27" ht="33.75" x14ac:dyDescent="0.25">
      <c r="A290" s="809"/>
      <c r="B290" s="2649"/>
      <c r="C290" s="2564"/>
      <c r="D290" s="2605"/>
      <c r="E290" s="2564"/>
      <c r="F290" s="2564"/>
      <c r="G290" s="2564"/>
      <c r="H290" s="2577"/>
      <c r="I290" s="2577"/>
      <c r="J290" s="2633"/>
      <c r="K290" s="2624"/>
      <c r="L290" s="2564"/>
      <c r="M290" s="956" t="s">
        <v>544</v>
      </c>
      <c r="N290" s="956" t="s">
        <v>1119</v>
      </c>
      <c r="O290" s="785">
        <v>1000</v>
      </c>
      <c r="P290" s="785">
        <v>1000</v>
      </c>
      <c r="Q290" s="785">
        <v>1000</v>
      </c>
      <c r="R290" s="785">
        <v>1000</v>
      </c>
      <c r="S290" s="785">
        <v>1000</v>
      </c>
      <c r="T290" s="785">
        <v>1000</v>
      </c>
      <c r="U290" s="785">
        <v>1000</v>
      </c>
      <c r="V290" s="785">
        <v>1000</v>
      </c>
      <c r="W290" s="785">
        <v>1000</v>
      </c>
      <c r="X290" s="785">
        <v>1000</v>
      </c>
      <c r="Y290" s="785">
        <v>1000</v>
      </c>
      <c r="Z290" s="785">
        <v>1000</v>
      </c>
      <c r="AA290" s="859">
        <f t="shared" si="188"/>
        <v>12000</v>
      </c>
    </row>
    <row r="291" spans="1:27" ht="45" x14ac:dyDescent="0.25">
      <c r="A291" s="809"/>
      <c r="B291" s="2649"/>
      <c r="C291" s="2564"/>
      <c r="D291" s="2605"/>
      <c r="E291" s="2564"/>
      <c r="F291" s="2564"/>
      <c r="G291" s="2564"/>
      <c r="H291" s="2577"/>
      <c r="I291" s="2577"/>
      <c r="J291" s="2633"/>
      <c r="K291" s="2624"/>
      <c r="L291" s="2564"/>
      <c r="M291" s="956" t="s">
        <v>200</v>
      </c>
      <c r="N291" s="956" t="s">
        <v>1120</v>
      </c>
      <c r="O291" s="785">
        <v>500</v>
      </c>
      <c r="P291" s="785">
        <v>500</v>
      </c>
      <c r="Q291" s="785">
        <v>500</v>
      </c>
      <c r="R291" s="785">
        <v>500</v>
      </c>
      <c r="S291" s="785">
        <v>500</v>
      </c>
      <c r="T291" s="785">
        <v>500</v>
      </c>
      <c r="U291" s="785">
        <v>500</v>
      </c>
      <c r="V291" s="785">
        <v>500</v>
      </c>
      <c r="W291" s="785">
        <v>500</v>
      </c>
      <c r="X291" s="785">
        <v>500</v>
      </c>
      <c r="Y291" s="785">
        <v>500</v>
      </c>
      <c r="Z291" s="785">
        <v>500</v>
      </c>
      <c r="AA291" s="859">
        <f t="shared" si="188"/>
        <v>6000</v>
      </c>
    </row>
    <row r="292" spans="1:27" ht="33.75" x14ac:dyDescent="0.25">
      <c r="A292" s="809"/>
      <c r="B292" s="2649"/>
      <c r="C292" s="2564"/>
      <c r="D292" s="2605"/>
      <c r="E292" s="2564"/>
      <c r="F292" s="2564"/>
      <c r="G292" s="2564"/>
      <c r="H292" s="2577"/>
      <c r="I292" s="2577"/>
      <c r="J292" s="2633"/>
      <c r="K292" s="2624"/>
      <c r="L292" s="2564"/>
      <c r="M292" s="956" t="s">
        <v>224</v>
      </c>
      <c r="N292" s="956" t="s">
        <v>1121</v>
      </c>
      <c r="O292" s="785">
        <v>6666.6670000000004</v>
      </c>
      <c r="P292" s="785">
        <v>6666.6670000000004</v>
      </c>
      <c r="Q292" s="785">
        <v>6666.6670000000004</v>
      </c>
      <c r="R292" s="785">
        <v>6666.6670000000004</v>
      </c>
      <c r="S292" s="785">
        <v>6666.6670000000004</v>
      </c>
      <c r="T292" s="785">
        <v>6666.6670000000004</v>
      </c>
      <c r="U292" s="785">
        <v>6666.6670000000004</v>
      </c>
      <c r="V292" s="785">
        <v>6666.6670000000004</v>
      </c>
      <c r="W292" s="785">
        <v>6666.6670000000004</v>
      </c>
      <c r="X292" s="785">
        <v>6666.6670000000004</v>
      </c>
      <c r="Y292" s="785">
        <v>6666.6670000000004</v>
      </c>
      <c r="Z292" s="785">
        <v>6666.6670000000004</v>
      </c>
      <c r="AA292" s="859">
        <f t="shared" si="188"/>
        <v>80000.004000000001</v>
      </c>
    </row>
    <row r="293" spans="1:27" ht="33.75" customHeight="1" x14ac:dyDescent="0.25">
      <c r="A293" s="809"/>
      <c r="B293" s="2649"/>
      <c r="C293" s="2564"/>
      <c r="D293" s="2605"/>
      <c r="E293" s="2564"/>
      <c r="F293" s="2564"/>
      <c r="G293" s="2564"/>
      <c r="H293" s="2577"/>
      <c r="I293" s="2577"/>
      <c r="J293" s="2633"/>
      <c r="K293" s="2624"/>
      <c r="L293" s="2564"/>
      <c r="M293" s="956" t="s">
        <v>226</v>
      </c>
      <c r="N293" s="956" t="s">
        <v>1122</v>
      </c>
      <c r="O293" s="785">
        <v>2625</v>
      </c>
      <c r="P293" s="785">
        <v>2625</v>
      </c>
      <c r="Q293" s="785">
        <v>2625</v>
      </c>
      <c r="R293" s="785">
        <v>2625</v>
      </c>
      <c r="S293" s="785">
        <v>2625</v>
      </c>
      <c r="T293" s="785">
        <v>2625</v>
      </c>
      <c r="U293" s="785">
        <v>2625</v>
      </c>
      <c r="V293" s="785">
        <v>2625</v>
      </c>
      <c r="W293" s="785">
        <v>2625</v>
      </c>
      <c r="X293" s="785">
        <v>2625</v>
      </c>
      <c r="Y293" s="785">
        <v>2625</v>
      </c>
      <c r="Z293" s="785">
        <v>2625</v>
      </c>
      <c r="AA293" s="859">
        <f t="shared" si="188"/>
        <v>31500</v>
      </c>
    </row>
    <row r="294" spans="1:27" x14ac:dyDescent="0.25">
      <c r="A294" s="809"/>
      <c r="B294" s="2649"/>
      <c r="C294" s="2564"/>
      <c r="D294" s="2605"/>
      <c r="E294" s="2564"/>
      <c r="F294" s="2564"/>
      <c r="G294" s="2564"/>
      <c r="H294" s="2577"/>
      <c r="I294" s="2577"/>
      <c r="J294" s="2633"/>
      <c r="K294" s="2624"/>
      <c r="L294" s="2564"/>
      <c r="M294" s="956" t="s">
        <v>1001</v>
      </c>
      <c r="N294" s="956" t="s">
        <v>997</v>
      </c>
      <c r="O294" s="785">
        <v>1750</v>
      </c>
      <c r="P294" s="785">
        <v>1750</v>
      </c>
      <c r="Q294" s="785">
        <v>1750</v>
      </c>
      <c r="R294" s="785">
        <v>1750</v>
      </c>
      <c r="S294" s="785">
        <v>1750</v>
      </c>
      <c r="T294" s="785">
        <v>1750</v>
      </c>
      <c r="U294" s="785">
        <v>1750</v>
      </c>
      <c r="V294" s="785">
        <v>1750</v>
      </c>
      <c r="W294" s="785">
        <v>1750</v>
      </c>
      <c r="X294" s="785">
        <v>1750</v>
      </c>
      <c r="Y294" s="785">
        <v>1750</v>
      </c>
      <c r="Z294" s="785">
        <v>1750</v>
      </c>
      <c r="AA294" s="859">
        <f t="shared" si="188"/>
        <v>21000</v>
      </c>
    </row>
    <row r="295" spans="1:27" ht="22.5" x14ac:dyDescent="0.25">
      <c r="A295" s="809"/>
      <c r="B295" s="2649"/>
      <c r="C295" s="2564"/>
      <c r="D295" s="2605"/>
      <c r="E295" s="2564"/>
      <c r="F295" s="2564"/>
      <c r="G295" s="2564"/>
      <c r="H295" s="2577"/>
      <c r="I295" s="2577"/>
      <c r="J295" s="2633"/>
      <c r="K295" s="2624"/>
      <c r="L295" s="2564"/>
      <c r="M295" s="956" t="s">
        <v>228</v>
      </c>
      <c r="N295" s="956" t="s">
        <v>1123</v>
      </c>
      <c r="O295" s="785">
        <v>4458.33</v>
      </c>
      <c r="P295" s="785">
        <v>4458.33</v>
      </c>
      <c r="Q295" s="785">
        <v>4458.33</v>
      </c>
      <c r="R295" s="785">
        <v>4458.33</v>
      </c>
      <c r="S295" s="785">
        <v>4458.33</v>
      </c>
      <c r="T295" s="785">
        <v>4458.33</v>
      </c>
      <c r="U295" s="785">
        <v>4458.33</v>
      </c>
      <c r="V295" s="785">
        <v>4458.33</v>
      </c>
      <c r="W295" s="785">
        <v>4458.33</v>
      </c>
      <c r="X295" s="785">
        <v>4458.33</v>
      </c>
      <c r="Y295" s="785">
        <v>4458.33</v>
      </c>
      <c r="Z295" s="785">
        <v>4458.33</v>
      </c>
      <c r="AA295" s="859">
        <f>SUM(O295:Z295)</f>
        <v>53499.960000000014</v>
      </c>
    </row>
    <row r="296" spans="1:27" ht="22.5" x14ac:dyDescent="0.25">
      <c r="A296" s="809"/>
      <c r="B296" s="2649"/>
      <c r="C296" s="2564"/>
      <c r="D296" s="2605"/>
      <c r="E296" s="2564"/>
      <c r="F296" s="2564"/>
      <c r="G296" s="2564"/>
      <c r="H296" s="2577"/>
      <c r="I296" s="2577"/>
      <c r="J296" s="2633"/>
      <c r="K296" s="2624"/>
      <c r="L296" s="2564"/>
      <c r="M296" s="956" t="s">
        <v>1124</v>
      </c>
      <c r="N296" s="956" t="s">
        <v>1125</v>
      </c>
      <c r="O296" s="785">
        <v>250</v>
      </c>
      <c r="P296" s="785">
        <v>250</v>
      </c>
      <c r="Q296" s="785">
        <v>250</v>
      </c>
      <c r="R296" s="785">
        <v>250</v>
      </c>
      <c r="S296" s="785">
        <v>250</v>
      </c>
      <c r="T296" s="785">
        <v>250</v>
      </c>
      <c r="U296" s="785">
        <v>250</v>
      </c>
      <c r="V296" s="785">
        <v>250</v>
      </c>
      <c r="W296" s="785">
        <v>250</v>
      </c>
      <c r="X296" s="785">
        <v>250</v>
      </c>
      <c r="Y296" s="785">
        <v>250</v>
      </c>
      <c r="Z296" s="785">
        <v>250</v>
      </c>
      <c r="AA296" s="859">
        <f t="shared" si="188"/>
        <v>3000</v>
      </c>
    </row>
    <row r="297" spans="1:27" ht="45" x14ac:dyDescent="0.25">
      <c r="A297" s="809"/>
      <c r="B297" s="2649"/>
      <c r="C297" s="2564"/>
      <c r="D297" s="2605"/>
      <c r="E297" s="2564"/>
      <c r="F297" s="2564"/>
      <c r="G297" s="2564"/>
      <c r="H297" s="2577"/>
      <c r="I297" s="2577"/>
      <c r="J297" s="2633"/>
      <c r="K297" s="2624"/>
      <c r="L297" s="2564"/>
      <c r="M297" s="956" t="s">
        <v>1126</v>
      </c>
      <c r="N297" s="956" t="s">
        <v>1127</v>
      </c>
      <c r="O297" s="785">
        <v>208.33</v>
      </c>
      <c r="P297" s="785">
        <v>208.33</v>
      </c>
      <c r="Q297" s="785">
        <v>208.33</v>
      </c>
      <c r="R297" s="785">
        <v>208.33</v>
      </c>
      <c r="S297" s="785">
        <v>208.33</v>
      </c>
      <c r="T297" s="785">
        <v>208.33</v>
      </c>
      <c r="U297" s="785">
        <v>208.33</v>
      </c>
      <c r="V297" s="785">
        <v>208.33</v>
      </c>
      <c r="W297" s="785">
        <v>208.33</v>
      </c>
      <c r="X297" s="785">
        <v>208.33</v>
      </c>
      <c r="Y297" s="785">
        <v>208.33</v>
      </c>
      <c r="Z297" s="785">
        <v>208.33</v>
      </c>
      <c r="AA297" s="859">
        <f t="shared" si="188"/>
        <v>2499.9599999999996</v>
      </c>
    </row>
    <row r="298" spans="1:27" x14ac:dyDescent="0.25">
      <c r="A298" s="809"/>
      <c r="B298" s="2649"/>
      <c r="C298" s="2564"/>
      <c r="D298" s="2605"/>
      <c r="E298" s="2564"/>
      <c r="F298" s="2564"/>
      <c r="G298" s="2564"/>
      <c r="H298" s="2577"/>
      <c r="I298" s="2577"/>
      <c r="J298" s="2633"/>
      <c r="K298" s="2624"/>
      <c r="L298" s="2564"/>
      <c r="M298" s="956" t="s">
        <v>551</v>
      </c>
      <c r="N298" s="956" t="s">
        <v>1128</v>
      </c>
      <c r="O298" s="785">
        <v>3333.33</v>
      </c>
      <c r="P298" s="785">
        <v>3333.33</v>
      </c>
      <c r="Q298" s="785">
        <v>3333.33</v>
      </c>
      <c r="R298" s="785">
        <v>3333.33</v>
      </c>
      <c r="S298" s="785">
        <v>3333.33</v>
      </c>
      <c r="T298" s="785">
        <v>3333.33</v>
      </c>
      <c r="U298" s="785">
        <v>3333.33</v>
      </c>
      <c r="V298" s="785">
        <v>3333.33</v>
      </c>
      <c r="W298" s="785">
        <v>3333.33</v>
      </c>
      <c r="X298" s="785">
        <v>3333.33</v>
      </c>
      <c r="Y298" s="785">
        <v>3333.33</v>
      </c>
      <c r="Z298" s="785">
        <v>3333.33</v>
      </c>
      <c r="AA298" s="859">
        <f t="shared" si="188"/>
        <v>39999.960000000014</v>
      </c>
    </row>
    <row r="299" spans="1:27" ht="22.5" x14ac:dyDescent="0.25">
      <c r="A299" s="809"/>
      <c r="B299" s="2649"/>
      <c r="C299" s="2564"/>
      <c r="D299" s="2605"/>
      <c r="E299" s="2564"/>
      <c r="F299" s="2564"/>
      <c r="G299" s="2564"/>
      <c r="H299" s="2577"/>
      <c r="I299" s="2577"/>
      <c r="J299" s="2633"/>
      <c r="K299" s="2624"/>
      <c r="L299" s="2564"/>
      <c r="M299" s="956" t="s">
        <v>203</v>
      </c>
      <c r="N299" s="956" t="s">
        <v>1129</v>
      </c>
      <c r="O299" s="785">
        <v>1083.33</v>
      </c>
      <c r="P299" s="785">
        <v>1083.33</v>
      </c>
      <c r="Q299" s="785">
        <v>1083.33</v>
      </c>
      <c r="R299" s="785">
        <v>1083.33</v>
      </c>
      <c r="S299" s="785">
        <v>1083.33</v>
      </c>
      <c r="T299" s="785">
        <v>1083.33</v>
      </c>
      <c r="U299" s="785">
        <v>1083.33</v>
      </c>
      <c r="V299" s="785">
        <v>1083.33</v>
      </c>
      <c r="W299" s="785">
        <v>1083.33</v>
      </c>
      <c r="X299" s="785">
        <v>1083.33</v>
      </c>
      <c r="Y299" s="785">
        <v>1083.33</v>
      </c>
      <c r="Z299" s="785">
        <v>1083.33</v>
      </c>
      <c r="AA299" s="859">
        <f t="shared" si="188"/>
        <v>12999.96</v>
      </c>
    </row>
    <row r="300" spans="1:27" ht="45" x14ac:dyDescent="0.25">
      <c r="A300" s="809"/>
      <c r="B300" s="2649"/>
      <c r="C300" s="2564"/>
      <c r="D300" s="2605"/>
      <c r="E300" s="2564"/>
      <c r="F300" s="2564"/>
      <c r="G300" s="2564"/>
      <c r="H300" s="2577"/>
      <c r="I300" s="2577"/>
      <c r="J300" s="2633"/>
      <c r="K300" s="2624"/>
      <c r="L300" s="2564"/>
      <c r="M300" s="956" t="s">
        <v>1130</v>
      </c>
      <c r="N300" s="956" t="s">
        <v>1131</v>
      </c>
      <c r="O300" s="785">
        <v>1125</v>
      </c>
      <c r="P300" s="785">
        <v>1125</v>
      </c>
      <c r="Q300" s="785">
        <v>1125</v>
      </c>
      <c r="R300" s="785">
        <v>1125</v>
      </c>
      <c r="S300" s="785">
        <v>1125</v>
      </c>
      <c r="T300" s="785">
        <v>1125</v>
      </c>
      <c r="U300" s="785">
        <v>1125</v>
      </c>
      <c r="V300" s="785">
        <v>1125</v>
      </c>
      <c r="W300" s="785">
        <v>1125</v>
      </c>
      <c r="X300" s="785">
        <v>1125</v>
      </c>
      <c r="Y300" s="785">
        <v>1125</v>
      </c>
      <c r="Z300" s="785">
        <v>1125</v>
      </c>
      <c r="AA300" s="859">
        <f t="shared" si="188"/>
        <v>13500</v>
      </c>
    </row>
    <row r="301" spans="1:27" ht="22.5" x14ac:dyDescent="0.25">
      <c r="A301" s="809"/>
      <c r="B301" s="2649"/>
      <c r="C301" s="2564"/>
      <c r="D301" s="2605"/>
      <c r="E301" s="2564"/>
      <c r="F301" s="2564"/>
      <c r="G301" s="2564"/>
      <c r="H301" s="2577"/>
      <c r="I301" s="2577"/>
      <c r="J301" s="2633"/>
      <c r="K301" s="2624"/>
      <c r="L301" s="2564"/>
      <c r="M301" s="956" t="s">
        <v>974</v>
      </c>
      <c r="N301" s="956" t="s">
        <v>207</v>
      </c>
      <c r="O301" s="785">
        <v>11529.75</v>
      </c>
      <c r="P301" s="785">
        <v>11529.75</v>
      </c>
      <c r="Q301" s="785">
        <v>11529.75</v>
      </c>
      <c r="R301" s="785">
        <v>11529.75</v>
      </c>
      <c r="S301" s="785">
        <v>11529.75</v>
      </c>
      <c r="T301" s="785">
        <v>11529.75</v>
      </c>
      <c r="U301" s="785">
        <v>11529.75</v>
      </c>
      <c r="V301" s="785">
        <v>11529.75</v>
      </c>
      <c r="W301" s="785">
        <v>11529.75</v>
      </c>
      <c r="X301" s="785">
        <v>11529.75</v>
      </c>
      <c r="Y301" s="785">
        <v>11529.75</v>
      </c>
      <c r="Z301" s="785">
        <v>11529.75</v>
      </c>
      <c r="AA301" s="859">
        <f t="shared" si="188"/>
        <v>138357</v>
      </c>
    </row>
    <row r="302" spans="1:27" ht="33.75" x14ac:dyDescent="0.25">
      <c r="A302" s="809"/>
      <c r="B302" s="2649"/>
      <c r="C302" s="2564"/>
      <c r="D302" s="2605"/>
      <c r="E302" s="2564"/>
      <c r="F302" s="2564"/>
      <c r="G302" s="2564"/>
      <c r="H302" s="2577"/>
      <c r="I302" s="2577"/>
      <c r="J302" s="2633"/>
      <c r="K302" s="2624"/>
      <c r="L302" s="2564"/>
      <c r="M302" s="956" t="s">
        <v>208</v>
      </c>
      <c r="N302" s="956" t="s">
        <v>1132</v>
      </c>
      <c r="O302" s="785">
        <v>44950</v>
      </c>
      <c r="P302" s="785">
        <v>44950</v>
      </c>
      <c r="Q302" s="785">
        <v>44950</v>
      </c>
      <c r="R302" s="785">
        <v>44950</v>
      </c>
      <c r="S302" s="785">
        <v>44950</v>
      </c>
      <c r="T302" s="785">
        <v>44950</v>
      </c>
      <c r="U302" s="785">
        <v>44950</v>
      </c>
      <c r="V302" s="785">
        <v>44950</v>
      </c>
      <c r="W302" s="785">
        <v>44950</v>
      </c>
      <c r="X302" s="785">
        <v>44950</v>
      </c>
      <c r="Y302" s="785">
        <v>44950</v>
      </c>
      <c r="Z302" s="785">
        <v>44950</v>
      </c>
      <c r="AA302" s="859">
        <f t="shared" si="188"/>
        <v>539400</v>
      </c>
    </row>
    <row r="303" spans="1:27" ht="22.5" x14ac:dyDescent="0.25">
      <c r="A303" s="809"/>
      <c r="B303" s="2649"/>
      <c r="C303" s="2564"/>
      <c r="D303" s="2605"/>
      <c r="E303" s="2564"/>
      <c r="F303" s="2564"/>
      <c r="G303" s="2564"/>
      <c r="H303" s="2577"/>
      <c r="I303" s="2577"/>
      <c r="J303" s="2633"/>
      <c r="K303" s="2624"/>
      <c r="L303" s="2564"/>
      <c r="M303" s="956" t="s">
        <v>210</v>
      </c>
      <c r="N303" s="956" t="s">
        <v>1100</v>
      </c>
      <c r="O303" s="785">
        <v>1980</v>
      </c>
      <c r="P303" s="785">
        <v>1980</v>
      </c>
      <c r="Q303" s="785">
        <v>1980</v>
      </c>
      <c r="R303" s="785">
        <v>1980</v>
      </c>
      <c r="S303" s="785">
        <v>1980</v>
      </c>
      <c r="T303" s="785">
        <v>1980</v>
      </c>
      <c r="U303" s="785">
        <v>1980</v>
      </c>
      <c r="V303" s="785">
        <v>1980</v>
      </c>
      <c r="W303" s="785">
        <v>1980</v>
      </c>
      <c r="X303" s="785">
        <v>1980</v>
      </c>
      <c r="Y303" s="785">
        <v>1980</v>
      </c>
      <c r="Z303" s="785">
        <v>1980</v>
      </c>
      <c r="AA303" s="859">
        <f t="shared" si="188"/>
        <v>23760</v>
      </c>
    </row>
    <row r="304" spans="1:27" x14ac:dyDescent="0.25">
      <c r="A304" s="809"/>
      <c r="B304" s="2649"/>
      <c r="C304" s="2564"/>
      <c r="D304" s="2605"/>
      <c r="E304" s="2564"/>
      <c r="F304" s="2564"/>
      <c r="G304" s="2564"/>
      <c r="H304" s="2577"/>
      <c r="I304" s="2577"/>
      <c r="J304" s="2633"/>
      <c r="K304" s="2624"/>
      <c r="L304" s="2564"/>
      <c r="M304" s="956" t="s">
        <v>1133</v>
      </c>
      <c r="N304" s="956" t="s">
        <v>1134</v>
      </c>
      <c r="O304" s="785">
        <v>666.66700000000003</v>
      </c>
      <c r="P304" s="785">
        <v>666.66700000000003</v>
      </c>
      <c r="Q304" s="785">
        <v>666.66700000000003</v>
      </c>
      <c r="R304" s="785">
        <v>666.66700000000003</v>
      </c>
      <c r="S304" s="785">
        <v>666.66700000000003</v>
      </c>
      <c r="T304" s="785">
        <v>666.66700000000003</v>
      </c>
      <c r="U304" s="785">
        <v>666.66700000000003</v>
      </c>
      <c r="V304" s="785">
        <v>666.66700000000003</v>
      </c>
      <c r="W304" s="785">
        <v>666.66700000000003</v>
      </c>
      <c r="X304" s="785">
        <v>666.66700000000003</v>
      </c>
      <c r="Y304" s="785">
        <v>666.66700000000003</v>
      </c>
      <c r="Z304" s="785">
        <v>666.66700000000003</v>
      </c>
      <c r="AA304" s="859">
        <f t="shared" si="188"/>
        <v>8000.0040000000017</v>
      </c>
    </row>
    <row r="305" spans="1:27" ht="22.5" x14ac:dyDescent="0.25">
      <c r="A305" s="809"/>
      <c r="B305" s="2649"/>
      <c r="C305" s="2564"/>
      <c r="D305" s="2605"/>
      <c r="E305" s="2564"/>
      <c r="F305" s="2564"/>
      <c r="G305" s="2564"/>
      <c r="H305" s="2577"/>
      <c r="I305" s="2577"/>
      <c r="J305" s="2633"/>
      <c r="K305" s="2624"/>
      <c r="L305" s="2564"/>
      <c r="M305" s="956" t="s">
        <v>1135</v>
      </c>
      <c r="N305" s="956" t="s">
        <v>1136</v>
      </c>
      <c r="O305" s="785">
        <v>4166.6670000000004</v>
      </c>
      <c r="P305" s="785">
        <v>4166.6670000000004</v>
      </c>
      <c r="Q305" s="785">
        <v>4166.6670000000004</v>
      </c>
      <c r="R305" s="785">
        <v>4166.6670000000004</v>
      </c>
      <c r="S305" s="785">
        <v>4166.6670000000004</v>
      </c>
      <c r="T305" s="785">
        <v>4166.6670000000004</v>
      </c>
      <c r="U305" s="785">
        <v>4166.6670000000004</v>
      </c>
      <c r="V305" s="785">
        <v>4166.6670000000004</v>
      </c>
      <c r="W305" s="785">
        <v>4166.6670000000004</v>
      </c>
      <c r="X305" s="785">
        <v>4166.6670000000004</v>
      </c>
      <c r="Y305" s="785">
        <v>4166.6670000000004</v>
      </c>
      <c r="Z305" s="785">
        <v>4166.6670000000004</v>
      </c>
      <c r="AA305" s="859">
        <f t="shared" si="188"/>
        <v>50000.004000000008</v>
      </c>
    </row>
    <row r="306" spans="1:27" ht="22.5" x14ac:dyDescent="0.25">
      <c r="A306" s="809"/>
      <c r="B306" s="2649"/>
      <c r="C306" s="2564"/>
      <c r="D306" s="2605"/>
      <c r="E306" s="2564"/>
      <c r="F306" s="2564"/>
      <c r="G306" s="2564"/>
      <c r="H306" s="2577"/>
      <c r="I306" s="2577"/>
      <c r="J306" s="2633"/>
      <c r="K306" s="2624"/>
      <c r="L306" s="2564"/>
      <c r="M306" s="956" t="s">
        <v>1137</v>
      </c>
      <c r="N306" s="956" t="s">
        <v>1138</v>
      </c>
      <c r="O306" s="785">
        <v>9166.6669999999995</v>
      </c>
      <c r="P306" s="785">
        <v>9166.6669999999995</v>
      </c>
      <c r="Q306" s="785">
        <v>9166.6669999999995</v>
      </c>
      <c r="R306" s="785">
        <v>9166.6669999999995</v>
      </c>
      <c r="S306" s="785">
        <v>9166.6669999999995</v>
      </c>
      <c r="T306" s="785">
        <v>9166.6669999999995</v>
      </c>
      <c r="U306" s="785">
        <v>9166.6669999999995</v>
      </c>
      <c r="V306" s="785">
        <v>9166.6669999999995</v>
      </c>
      <c r="W306" s="785">
        <v>9166.6669999999995</v>
      </c>
      <c r="X306" s="785">
        <v>9166.6669999999995</v>
      </c>
      <c r="Y306" s="785">
        <v>9166.6669999999995</v>
      </c>
      <c r="Z306" s="785">
        <v>9166.6669999999995</v>
      </c>
      <c r="AA306" s="859">
        <f t="shared" si="188"/>
        <v>110000.004</v>
      </c>
    </row>
    <row r="307" spans="1:27" x14ac:dyDescent="0.25">
      <c r="A307" s="809"/>
      <c r="B307" s="2649"/>
      <c r="C307" s="2565"/>
      <c r="D307" s="2606"/>
      <c r="E307" s="2565"/>
      <c r="F307" s="2565"/>
      <c r="G307" s="2565"/>
      <c r="H307" s="2608"/>
      <c r="I307" s="2608"/>
      <c r="J307" s="2639"/>
      <c r="K307" s="2625"/>
      <c r="L307" s="2565"/>
      <c r="M307" s="956" t="s">
        <v>555</v>
      </c>
      <c r="N307" s="956" t="s">
        <v>556</v>
      </c>
      <c r="O307" s="785">
        <v>2500</v>
      </c>
      <c r="P307" s="785">
        <v>2500</v>
      </c>
      <c r="Q307" s="785">
        <v>2500</v>
      </c>
      <c r="R307" s="785">
        <v>2500</v>
      </c>
      <c r="S307" s="785">
        <v>2500</v>
      </c>
      <c r="T307" s="785">
        <v>2500</v>
      </c>
      <c r="U307" s="785">
        <v>2500</v>
      </c>
      <c r="V307" s="785">
        <v>2500</v>
      </c>
      <c r="W307" s="785">
        <v>2500</v>
      </c>
      <c r="X307" s="785">
        <v>2500</v>
      </c>
      <c r="Y307" s="785">
        <v>2500</v>
      </c>
      <c r="Z307" s="785">
        <v>2500</v>
      </c>
      <c r="AA307" s="859">
        <f t="shared" si="188"/>
        <v>30000</v>
      </c>
    </row>
    <row r="308" spans="1:27" ht="15" customHeight="1" x14ac:dyDescent="0.25">
      <c r="A308" s="809"/>
      <c r="B308" s="2634"/>
      <c r="C308" s="2635"/>
      <c r="D308" s="2604" t="s">
        <v>1139</v>
      </c>
      <c r="E308" s="2607" t="s">
        <v>968</v>
      </c>
      <c r="F308" s="2607" t="s">
        <v>1087</v>
      </c>
      <c r="G308" s="2607" t="s">
        <v>1088</v>
      </c>
      <c r="H308" s="2576" t="s">
        <v>1140</v>
      </c>
      <c r="I308" s="2638" t="s">
        <v>235</v>
      </c>
      <c r="J308" s="2632">
        <f>+AA308</f>
        <v>300</v>
      </c>
      <c r="K308" s="2623">
        <f>SUM(AA310:AA337)</f>
        <v>450257.98799999995</v>
      </c>
      <c r="L308" s="2626" t="s">
        <v>1089</v>
      </c>
      <c r="M308" s="2627" t="s">
        <v>51</v>
      </c>
      <c r="N308" s="2627"/>
      <c r="O308" s="835">
        <v>25</v>
      </c>
      <c r="P308" s="784">
        <v>25</v>
      </c>
      <c r="Q308" s="784">
        <v>25</v>
      </c>
      <c r="R308" s="784">
        <v>25</v>
      </c>
      <c r="S308" s="784">
        <v>25</v>
      </c>
      <c r="T308" s="784">
        <v>25</v>
      </c>
      <c r="U308" s="784">
        <v>25</v>
      </c>
      <c r="V308" s="784">
        <v>25</v>
      </c>
      <c r="W308" s="784">
        <v>25</v>
      </c>
      <c r="X308" s="784">
        <v>25</v>
      </c>
      <c r="Y308" s="784">
        <v>25</v>
      </c>
      <c r="Z308" s="784">
        <v>25</v>
      </c>
      <c r="AA308" s="868">
        <f>SUM(O308:Z308)</f>
        <v>300</v>
      </c>
    </row>
    <row r="309" spans="1:27" x14ac:dyDescent="0.25">
      <c r="A309" s="809"/>
      <c r="B309" s="2634"/>
      <c r="C309" s="2636"/>
      <c r="D309" s="2605"/>
      <c r="E309" s="2565"/>
      <c r="F309" s="2565"/>
      <c r="G309" s="2565"/>
      <c r="H309" s="2577"/>
      <c r="I309" s="2608"/>
      <c r="J309" s="2633"/>
      <c r="K309" s="2624"/>
      <c r="L309" s="2564"/>
      <c r="M309" s="2628" t="s">
        <v>1090</v>
      </c>
      <c r="N309" s="2628"/>
      <c r="O309" s="836">
        <f>SUM(O310:O337)</f>
        <v>35771.498999999996</v>
      </c>
      <c r="P309" s="836">
        <f t="shared" ref="P309:Z309" si="189">SUM(P310:P337)</f>
        <v>44171.498999999996</v>
      </c>
      <c r="Q309" s="836">
        <f t="shared" si="189"/>
        <v>35771.498999999996</v>
      </c>
      <c r="R309" s="836">
        <f t="shared" si="189"/>
        <v>35771.498999999996</v>
      </c>
      <c r="S309" s="836">
        <f t="shared" si="189"/>
        <v>35771.498999999996</v>
      </c>
      <c r="T309" s="836">
        <f t="shared" si="189"/>
        <v>35771.498999999996</v>
      </c>
      <c r="U309" s="836">
        <f t="shared" si="189"/>
        <v>42071.498999999996</v>
      </c>
      <c r="V309" s="836">
        <f t="shared" si="189"/>
        <v>35771.498999999996</v>
      </c>
      <c r="W309" s="836">
        <f t="shared" si="189"/>
        <v>35771.498999999996</v>
      </c>
      <c r="X309" s="836">
        <f t="shared" si="189"/>
        <v>35771.498999999996</v>
      </c>
      <c r="Y309" s="836">
        <f t="shared" si="189"/>
        <v>35771.498999999996</v>
      </c>
      <c r="Z309" s="836">
        <f t="shared" si="189"/>
        <v>42071.498999999996</v>
      </c>
      <c r="AA309" s="860">
        <f>SUM(O309:Z309)</f>
        <v>450257.98800000007</v>
      </c>
    </row>
    <row r="310" spans="1:27" ht="33.75" x14ac:dyDescent="0.25">
      <c r="A310" s="809"/>
      <c r="B310" s="2634"/>
      <c r="C310" s="2636"/>
      <c r="D310" s="2605"/>
      <c r="E310" s="2607"/>
      <c r="F310" s="2607"/>
      <c r="G310" s="2607"/>
      <c r="H310" s="2577"/>
      <c r="I310" s="2638"/>
      <c r="J310" s="2633"/>
      <c r="K310" s="2624"/>
      <c r="L310" s="2564"/>
      <c r="M310" s="956" t="s">
        <v>169</v>
      </c>
      <c r="N310" s="956" t="s">
        <v>1093</v>
      </c>
      <c r="O310" s="785">
        <v>3883.0830000000001</v>
      </c>
      <c r="P310" s="785">
        <v>3883.0830000000001</v>
      </c>
      <c r="Q310" s="785">
        <v>3883.0830000000001</v>
      </c>
      <c r="R310" s="785">
        <v>3883.0830000000001</v>
      </c>
      <c r="S310" s="785">
        <v>3883.0830000000001</v>
      </c>
      <c r="T310" s="785">
        <v>3883.0830000000001</v>
      </c>
      <c r="U310" s="785">
        <v>3883.0830000000001</v>
      </c>
      <c r="V310" s="785">
        <v>3883.0830000000001</v>
      </c>
      <c r="W310" s="785">
        <v>3883.0830000000001</v>
      </c>
      <c r="X310" s="785">
        <v>3883.0830000000001</v>
      </c>
      <c r="Y310" s="785">
        <v>3883.0830000000001</v>
      </c>
      <c r="Z310" s="785">
        <v>3883.0830000000001</v>
      </c>
      <c r="AA310" s="859">
        <f t="shared" ref="AA310:AA341" si="190">SUM(O310:Z310)</f>
        <v>46596.995999999992</v>
      </c>
    </row>
    <row r="311" spans="1:27" ht="33.75" x14ac:dyDescent="0.25">
      <c r="A311" s="809"/>
      <c r="B311" s="2634"/>
      <c r="C311" s="2636"/>
      <c r="D311" s="2605"/>
      <c r="E311" s="2607"/>
      <c r="F311" s="2607"/>
      <c r="G311" s="2607"/>
      <c r="H311" s="2577"/>
      <c r="I311" s="2638"/>
      <c r="J311" s="2633"/>
      <c r="K311" s="2624"/>
      <c r="L311" s="2564"/>
      <c r="M311" s="956" t="s">
        <v>171</v>
      </c>
      <c r="N311" s="956" t="s">
        <v>1096</v>
      </c>
      <c r="O311" s="785">
        <v>13546.75</v>
      </c>
      <c r="P311" s="785">
        <v>13546.75</v>
      </c>
      <c r="Q311" s="785">
        <v>13546.75</v>
      </c>
      <c r="R311" s="785">
        <v>13546.75</v>
      </c>
      <c r="S311" s="785">
        <v>13546.75</v>
      </c>
      <c r="T311" s="785">
        <v>13546.75</v>
      </c>
      <c r="U311" s="785">
        <v>13546.75</v>
      </c>
      <c r="V311" s="785">
        <v>13546.75</v>
      </c>
      <c r="W311" s="785">
        <v>13546.75</v>
      </c>
      <c r="X311" s="785">
        <v>13546.75</v>
      </c>
      <c r="Y311" s="785">
        <v>13546.75</v>
      </c>
      <c r="Z311" s="785">
        <v>13546.75</v>
      </c>
      <c r="AA311" s="859">
        <f t="shared" si="190"/>
        <v>162561</v>
      </c>
    </row>
    <row r="312" spans="1:27" ht="22.5" x14ac:dyDescent="0.25">
      <c r="A312" s="809"/>
      <c r="B312" s="2634"/>
      <c r="C312" s="2636"/>
      <c r="D312" s="2605"/>
      <c r="E312" s="2607"/>
      <c r="F312" s="2607"/>
      <c r="G312" s="2607"/>
      <c r="H312" s="2577"/>
      <c r="I312" s="2638"/>
      <c r="J312" s="2633"/>
      <c r="K312" s="2624"/>
      <c r="L312" s="2564"/>
      <c r="M312" s="956" t="s">
        <v>1097</v>
      </c>
      <c r="N312" s="956" t="s">
        <v>1098</v>
      </c>
      <c r="O312" s="785">
        <v>9173.5830000000005</v>
      </c>
      <c r="P312" s="785">
        <v>9173.5830000000005</v>
      </c>
      <c r="Q312" s="785">
        <v>9173.5830000000005</v>
      </c>
      <c r="R312" s="785">
        <v>9173.5830000000005</v>
      </c>
      <c r="S312" s="785">
        <v>9173.5830000000005</v>
      </c>
      <c r="T312" s="785">
        <v>9173.5830000000005</v>
      </c>
      <c r="U312" s="785">
        <v>9173.5830000000005</v>
      </c>
      <c r="V312" s="785">
        <v>9173.5830000000005</v>
      </c>
      <c r="W312" s="785">
        <v>9173.5830000000005</v>
      </c>
      <c r="X312" s="785">
        <v>9173.5830000000005</v>
      </c>
      <c r="Y312" s="785">
        <v>9173.5830000000005</v>
      </c>
      <c r="Z312" s="785">
        <v>9173.5830000000005</v>
      </c>
      <c r="AA312" s="859">
        <f t="shared" si="190"/>
        <v>110082.996</v>
      </c>
    </row>
    <row r="313" spans="1:27" x14ac:dyDescent="0.25">
      <c r="A313" s="809"/>
      <c r="B313" s="2634"/>
      <c r="C313" s="2636"/>
      <c r="D313" s="2605"/>
      <c r="E313" s="2607"/>
      <c r="F313" s="2607"/>
      <c r="G313" s="2607"/>
      <c r="H313" s="2577"/>
      <c r="I313" s="2638"/>
      <c r="J313" s="2633"/>
      <c r="K313" s="2624"/>
      <c r="L313" s="2564"/>
      <c r="M313" s="956" t="s">
        <v>172</v>
      </c>
      <c r="N313" s="956" t="s">
        <v>173</v>
      </c>
      <c r="O313" s="785">
        <v>0</v>
      </c>
      <c r="P313" s="785">
        <v>0</v>
      </c>
      <c r="Q313" s="785">
        <v>0</v>
      </c>
      <c r="R313" s="785">
        <v>0</v>
      </c>
      <c r="S313" s="785">
        <v>0</v>
      </c>
      <c r="T313" s="785">
        <v>0</v>
      </c>
      <c r="U313" s="785">
        <v>6300</v>
      </c>
      <c r="V313" s="785">
        <v>0</v>
      </c>
      <c r="W313" s="785">
        <v>0</v>
      </c>
      <c r="X313" s="785">
        <v>0</v>
      </c>
      <c r="Y313" s="785">
        <v>0</v>
      </c>
      <c r="Z313" s="785">
        <v>6300</v>
      </c>
      <c r="AA313" s="859">
        <f t="shared" si="190"/>
        <v>12600</v>
      </c>
    </row>
    <row r="314" spans="1:27" ht="33.75" x14ac:dyDescent="0.25">
      <c r="A314" s="809"/>
      <c r="B314" s="2634"/>
      <c r="C314" s="2636"/>
      <c r="D314" s="2605"/>
      <c r="E314" s="2607"/>
      <c r="F314" s="2607"/>
      <c r="G314" s="2607"/>
      <c r="H314" s="2577"/>
      <c r="I314" s="2638"/>
      <c r="J314" s="2633"/>
      <c r="K314" s="2624"/>
      <c r="L314" s="2564"/>
      <c r="M314" s="956" t="s">
        <v>174</v>
      </c>
      <c r="N314" s="956" t="s">
        <v>1099</v>
      </c>
      <c r="O314" s="785">
        <v>0</v>
      </c>
      <c r="P314" s="785">
        <v>8400</v>
      </c>
      <c r="Q314" s="785">
        <v>0</v>
      </c>
      <c r="R314" s="785">
        <v>0</v>
      </c>
      <c r="S314" s="785">
        <v>0</v>
      </c>
      <c r="T314" s="785">
        <v>0</v>
      </c>
      <c r="U314" s="785">
        <v>0</v>
      </c>
      <c r="V314" s="785">
        <v>0</v>
      </c>
      <c r="W314" s="785">
        <v>0</v>
      </c>
      <c r="X314" s="785">
        <v>0</v>
      </c>
      <c r="Y314" s="785">
        <v>0</v>
      </c>
      <c r="Z314" s="785">
        <v>0</v>
      </c>
      <c r="AA314" s="859">
        <f t="shared" si="190"/>
        <v>8400</v>
      </c>
    </row>
    <row r="315" spans="1:27" ht="22.5" x14ac:dyDescent="0.25">
      <c r="A315" s="809"/>
      <c r="B315" s="2634"/>
      <c r="C315" s="2636"/>
      <c r="D315" s="2605"/>
      <c r="E315" s="2607"/>
      <c r="F315" s="2607"/>
      <c r="G315" s="2607"/>
      <c r="H315" s="2577"/>
      <c r="I315" s="2638"/>
      <c r="J315" s="2633"/>
      <c r="K315" s="2624"/>
      <c r="L315" s="2564"/>
      <c r="M315" s="956" t="s">
        <v>176</v>
      </c>
      <c r="N315" s="956" t="s">
        <v>1100</v>
      </c>
      <c r="O315" s="785">
        <v>1376.4169999999999</v>
      </c>
      <c r="P315" s="785">
        <v>1376.4169999999999</v>
      </c>
      <c r="Q315" s="785">
        <v>1376.4169999999999</v>
      </c>
      <c r="R315" s="785">
        <v>1376.4169999999999</v>
      </c>
      <c r="S315" s="785">
        <v>1376.4169999999999</v>
      </c>
      <c r="T315" s="785">
        <v>1376.4169999999999</v>
      </c>
      <c r="U315" s="785">
        <v>1376.4169999999999</v>
      </c>
      <c r="V315" s="785">
        <v>1376.4169999999999</v>
      </c>
      <c r="W315" s="785">
        <v>1376.4169999999999</v>
      </c>
      <c r="X315" s="785">
        <v>1376.4169999999999</v>
      </c>
      <c r="Y315" s="785">
        <v>1376.4169999999999</v>
      </c>
      <c r="Z315" s="785">
        <v>1376.4169999999999</v>
      </c>
      <c r="AA315" s="859">
        <f t="shared" si="190"/>
        <v>16517.003999999997</v>
      </c>
    </row>
    <row r="316" spans="1:27" ht="45" x14ac:dyDescent="0.25">
      <c r="A316" s="809"/>
      <c r="B316" s="2634"/>
      <c r="C316" s="2636"/>
      <c r="D316" s="2605"/>
      <c r="E316" s="2607"/>
      <c r="F316" s="2607"/>
      <c r="G316" s="2607"/>
      <c r="H316" s="2577"/>
      <c r="I316" s="2638"/>
      <c r="J316" s="2633"/>
      <c r="K316" s="2624"/>
      <c r="L316" s="2564"/>
      <c r="M316" s="956" t="s">
        <v>178</v>
      </c>
      <c r="N316" s="956" t="s">
        <v>1101</v>
      </c>
      <c r="O316" s="785">
        <v>229.167</v>
      </c>
      <c r="P316" s="785">
        <v>229.167</v>
      </c>
      <c r="Q316" s="785">
        <v>229.167</v>
      </c>
      <c r="R316" s="785">
        <v>229.167</v>
      </c>
      <c r="S316" s="785">
        <v>229.167</v>
      </c>
      <c r="T316" s="785">
        <v>229.167</v>
      </c>
      <c r="U316" s="785">
        <v>229.167</v>
      </c>
      <c r="V316" s="785">
        <v>229.167</v>
      </c>
      <c r="W316" s="785">
        <v>229.167</v>
      </c>
      <c r="X316" s="785">
        <v>229.167</v>
      </c>
      <c r="Y316" s="785">
        <v>229.167</v>
      </c>
      <c r="Z316" s="785">
        <v>229.167</v>
      </c>
      <c r="AA316" s="859">
        <f t="shared" si="190"/>
        <v>2750.0039999999995</v>
      </c>
    </row>
    <row r="317" spans="1:27" ht="45" x14ac:dyDescent="0.25">
      <c r="A317" s="809"/>
      <c r="B317" s="2634"/>
      <c r="C317" s="2636"/>
      <c r="D317" s="2605"/>
      <c r="E317" s="2607"/>
      <c r="F317" s="2607"/>
      <c r="G317" s="2607"/>
      <c r="H317" s="2577"/>
      <c r="I317" s="2638"/>
      <c r="J317" s="2633"/>
      <c r="K317" s="2624"/>
      <c r="L317" s="2564"/>
      <c r="M317" s="956" t="s">
        <v>213</v>
      </c>
      <c r="N317" s="956" t="s">
        <v>1102</v>
      </c>
      <c r="O317" s="785">
        <v>125</v>
      </c>
      <c r="P317" s="785">
        <v>125</v>
      </c>
      <c r="Q317" s="785">
        <v>125</v>
      </c>
      <c r="R317" s="785">
        <v>125</v>
      </c>
      <c r="S317" s="785">
        <v>125</v>
      </c>
      <c r="T317" s="785">
        <v>125</v>
      </c>
      <c r="U317" s="785">
        <v>125</v>
      </c>
      <c r="V317" s="785">
        <v>125</v>
      </c>
      <c r="W317" s="785">
        <v>125</v>
      </c>
      <c r="X317" s="785">
        <v>125</v>
      </c>
      <c r="Y317" s="785">
        <v>125</v>
      </c>
      <c r="Z317" s="785">
        <v>125</v>
      </c>
      <c r="AA317" s="859">
        <f t="shared" si="190"/>
        <v>1500</v>
      </c>
    </row>
    <row r="318" spans="1:27" ht="22.5" x14ac:dyDescent="0.25">
      <c r="A318" s="809"/>
      <c r="B318" s="2634"/>
      <c r="C318" s="2636"/>
      <c r="D318" s="2605"/>
      <c r="E318" s="2607"/>
      <c r="F318" s="2607"/>
      <c r="G318" s="2607"/>
      <c r="H318" s="2577"/>
      <c r="I318" s="2638"/>
      <c r="J318" s="2633"/>
      <c r="K318" s="2624"/>
      <c r="L318" s="2564"/>
      <c r="M318" s="956" t="s">
        <v>180</v>
      </c>
      <c r="N318" s="956" t="s">
        <v>181</v>
      </c>
      <c r="O318" s="785">
        <v>916.66700000000003</v>
      </c>
      <c r="P318" s="785">
        <v>916.66700000000003</v>
      </c>
      <c r="Q318" s="785">
        <v>916.66700000000003</v>
      </c>
      <c r="R318" s="785">
        <v>916.66700000000003</v>
      </c>
      <c r="S318" s="785">
        <v>916.66700000000003</v>
      </c>
      <c r="T318" s="785">
        <v>916.66700000000003</v>
      </c>
      <c r="U318" s="785">
        <v>916.66700000000003</v>
      </c>
      <c r="V318" s="785">
        <v>916.66700000000003</v>
      </c>
      <c r="W318" s="785">
        <v>916.66700000000003</v>
      </c>
      <c r="X318" s="785">
        <v>916.66700000000003</v>
      </c>
      <c r="Y318" s="785">
        <v>916.66700000000003</v>
      </c>
      <c r="Z318" s="785">
        <v>916.66700000000003</v>
      </c>
      <c r="AA318" s="859">
        <f t="shared" si="190"/>
        <v>11000.003999999999</v>
      </c>
    </row>
    <row r="319" spans="1:27" ht="22.5" x14ac:dyDescent="0.25">
      <c r="A319" s="809"/>
      <c r="B319" s="2634"/>
      <c r="C319" s="2636"/>
      <c r="D319" s="2605"/>
      <c r="E319" s="2607"/>
      <c r="F319" s="2607"/>
      <c r="G319" s="2607"/>
      <c r="H319" s="2577"/>
      <c r="I319" s="2638"/>
      <c r="J319" s="2633"/>
      <c r="K319" s="2624"/>
      <c r="L319" s="2564"/>
      <c r="M319" s="956" t="s">
        <v>182</v>
      </c>
      <c r="N319" s="956" t="s">
        <v>534</v>
      </c>
      <c r="O319" s="785">
        <v>250</v>
      </c>
      <c r="P319" s="785">
        <v>250</v>
      </c>
      <c r="Q319" s="785">
        <v>250</v>
      </c>
      <c r="R319" s="785">
        <v>250</v>
      </c>
      <c r="S319" s="785">
        <v>250</v>
      </c>
      <c r="T319" s="785">
        <v>250</v>
      </c>
      <c r="U319" s="785">
        <v>250</v>
      </c>
      <c r="V319" s="785">
        <v>250</v>
      </c>
      <c r="W319" s="785">
        <v>250</v>
      </c>
      <c r="X319" s="785">
        <v>250</v>
      </c>
      <c r="Y319" s="785">
        <v>250</v>
      </c>
      <c r="Z319" s="785">
        <v>250</v>
      </c>
      <c r="AA319" s="859">
        <f t="shared" si="190"/>
        <v>3000</v>
      </c>
    </row>
    <row r="320" spans="1:27" ht="56.25" x14ac:dyDescent="0.25">
      <c r="A320" s="809"/>
      <c r="B320" s="2634"/>
      <c r="C320" s="2636"/>
      <c r="D320" s="2605"/>
      <c r="E320" s="2607"/>
      <c r="F320" s="2607"/>
      <c r="G320" s="2607"/>
      <c r="H320" s="2577"/>
      <c r="I320" s="2638"/>
      <c r="J320" s="2633"/>
      <c r="K320" s="2624"/>
      <c r="L320" s="2564"/>
      <c r="M320" s="956" t="s">
        <v>184</v>
      </c>
      <c r="N320" s="956" t="s">
        <v>1106</v>
      </c>
      <c r="O320" s="785">
        <v>500</v>
      </c>
      <c r="P320" s="785">
        <v>500</v>
      </c>
      <c r="Q320" s="785">
        <v>500</v>
      </c>
      <c r="R320" s="785">
        <v>500</v>
      </c>
      <c r="S320" s="785">
        <v>500</v>
      </c>
      <c r="T320" s="785">
        <v>500</v>
      </c>
      <c r="U320" s="785">
        <v>500</v>
      </c>
      <c r="V320" s="785">
        <v>500</v>
      </c>
      <c r="W320" s="785">
        <v>500</v>
      </c>
      <c r="X320" s="785">
        <v>500</v>
      </c>
      <c r="Y320" s="785">
        <v>500</v>
      </c>
      <c r="Z320" s="785">
        <v>500</v>
      </c>
      <c r="AA320" s="859">
        <f t="shared" si="190"/>
        <v>6000</v>
      </c>
    </row>
    <row r="321" spans="1:27" ht="22.5" x14ac:dyDescent="0.25">
      <c r="A321" s="809"/>
      <c r="B321" s="2634"/>
      <c r="C321" s="2636"/>
      <c r="D321" s="2605"/>
      <c r="E321" s="2607"/>
      <c r="F321" s="2607"/>
      <c r="G321" s="2607"/>
      <c r="H321" s="2577"/>
      <c r="I321" s="2638"/>
      <c r="J321" s="2633"/>
      <c r="K321" s="2624"/>
      <c r="L321" s="2564"/>
      <c r="M321" s="956" t="s">
        <v>186</v>
      </c>
      <c r="N321" s="956" t="s">
        <v>536</v>
      </c>
      <c r="O321" s="785">
        <v>83.332999999999998</v>
      </c>
      <c r="P321" s="785">
        <v>83.332999999999998</v>
      </c>
      <c r="Q321" s="785">
        <v>83.332999999999998</v>
      </c>
      <c r="R321" s="785">
        <v>83.332999999999998</v>
      </c>
      <c r="S321" s="785">
        <v>83.332999999999998</v>
      </c>
      <c r="T321" s="785">
        <v>83.332999999999998</v>
      </c>
      <c r="U321" s="785">
        <v>83.332999999999998</v>
      </c>
      <c r="V321" s="785">
        <v>83.332999999999998</v>
      </c>
      <c r="W321" s="785">
        <v>83.332999999999998</v>
      </c>
      <c r="X321" s="785">
        <v>83.332999999999998</v>
      </c>
      <c r="Y321" s="785">
        <v>83.332999999999998</v>
      </c>
      <c r="Z321" s="785">
        <v>83.332999999999998</v>
      </c>
      <c r="AA321" s="859">
        <f t="shared" si="190"/>
        <v>999.99599999999975</v>
      </c>
    </row>
    <row r="322" spans="1:27" x14ac:dyDescent="0.25">
      <c r="A322" s="809"/>
      <c r="B322" s="2634"/>
      <c r="C322" s="2636"/>
      <c r="D322" s="2605"/>
      <c r="E322" s="2607"/>
      <c r="F322" s="2607"/>
      <c r="G322" s="2607"/>
      <c r="H322" s="2577"/>
      <c r="I322" s="2638"/>
      <c r="J322" s="2633"/>
      <c r="K322" s="2624"/>
      <c r="L322" s="2564"/>
      <c r="M322" s="956" t="s">
        <v>217</v>
      </c>
      <c r="N322" s="956" t="s">
        <v>997</v>
      </c>
      <c r="O322" s="785">
        <v>125</v>
      </c>
      <c r="P322" s="785">
        <v>125</v>
      </c>
      <c r="Q322" s="785">
        <v>125</v>
      </c>
      <c r="R322" s="785">
        <v>125</v>
      </c>
      <c r="S322" s="785">
        <v>125</v>
      </c>
      <c r="T322" s="785">
        <v>125</v>
      </c>
      <c r="U322" s="785">
        <v>125</v>
      </c>
      <c r="V322" s="785">
        <v>125</v>
      </c>
      <c r="W322" s="785">
        <v>125</v>
      </c>
      <c r="X322" s="785">
        <v>125</v>
      </c>
      <c r="Y322" s="785">
        <v>125</v>
      </c>
      <c r="Z322" s="785">
        <v>125</v>
      </c>
      <c r="AA322" s="859">
        <f t="shared" si="190"/>
        <v>1500</v>
      </c>
    </row>
    <row r="323" spans="1:27" ht="22.5" customHeight="1" x14ac:dyDescent="0.25">
      <c r="A323" s="809"/>
      <c r="B323" s="2634"/>
      <c r="C323" s="2636"/>
      <c r="D323" s="2605"/>
      <c r="E323" s="2607"/>
      <c r="F323" s="2607"/>
      <c r="G323" s="2607"/>
      <c r="H323" s="2577"/>
      <c r="I323" s="2638"/>
      <c r="J323" s="2633"/>
      <c r="K323" s="2624"/>
      <c r="L323" s="2564"/>
      <c r="M323" s="956" t="s">
        <v>973</v>
      </c>
      <c r="N323" s="956" t="s">
        <v>191</v>
      </c>
      <c r="O323" s="785">
        <v>166.667</v>
      </c>
      <c r="P323" s="785">
        <v>166.667</v>
      </c>
      <c r="Q323" s="785">
        <v>166.667</v>
      </c>
      <c r="R323" s="785">
        <v>166.667</v>
      </c>
      <c r="S323" s="785">
        <v>166.667</v>
      </c>
      <c r="T323" s="785">
        <v>166.667</v>
      </c>
      <c r="U323" s="785">
        <v>166.667</v>
      </c>
      <c r="V323" s="785">
        <v>166.667</v>
      </c>
      <c r="W323" s="785">
        <v>166.667</v>
      </c>
      <c r="X323" s="785">
        <v>166.667</v>
      </c>
      <c r="Y323" s="785">
        <v>166.667</v>
      </c>
      <c r="Z323" s="785">
        <v>166.667</v>
      </c>
      <c r="AA323" s="859">
        <f t="shared" si="190"/>
        <v>2000.0039999999997</v>
      </c>
    </row>
    <row r="324" spans="1:27" ht="22.5" customHeight="1" x14ac:dyDescent="0.25">
      <c r="A324" s="809"/>
      <c r="B324" s="2634"/>
      <c r="C324" s="2636"/>
      <c r="D324" s="2605"/>
      <c r="E324" s="2607"/>
      <c r="F324" s="2607"/>
      <c r="G324" s="2607"/>
      <c r="H324" s="2577"/>
      <c r="I324" s="2638"/>
      <c r="J324" s="2633"/>
      <c r="K324" s="2624"/>
      <c r="L324" s="2564"/>
      <c r="M324" s="956" t="s">
        <v>541</v>
      </c>
      <c r="N324" s="956" t="s">
        <v>1113</v>
      </c>
      <c r="O324" s="785">
        <v>250</v>
      </c>
      <c r="P324" s="785">
        <v>250</v>
      </c>
      <c r="Q324" s="785">
        <v>250</v>
      </c>
      <c r="R324" s="785">
        <v>250</v>
      </c>
      <c r="S324" s="785">
        <v>250</v>
      </c>
      <c r="T324" s="785">
        <v>250</v>
      </c>
      <c r="U324" s="785">
        <v>250</v>
      </c>
      <c r="V324" s="785">
        <v>250</v>
      </c>
      <c r="W324" s="785">
        <v>250</v>
      </c>
      <c r="X324" s="785">
        <v>250</v>
      </c>
      <c r="Y324" s="785">
        <v>250</v>
      </c>
      <c r="Z324" s="785">
        <v>250</v>
      </c>
      <c r="AA324" s="859">
        <f t="shared" si="190"/>
        <v>3000</v>
      </c>
    </row>
    <row r="325" spans="1:27" ht="45" x14ac:dyDescent="0.25">
      <c r="A325" s="809"/>
      <c r="B325" s="2634"/>
      <c r="C325" s="2636"/>
      <c r="D325" s="2605"/>
      <c r="E325" s="2607"/>
      <c r="F325" s="2607"/>
      <c r="G325" s="2607"/>
      <c r="H325" s="2577"/>
      <c r="I325" s="2638"/>
      <c r="J325" s="2633"/>
      <c r="K325" s="2624"/>
      <c r="L325" s="2564"/>
      <c r="M325" s="956" t="s">
        <v>194</v>
      </c>
      <c r="N325" s="956" t="s">
        <v>1114</v>
      </c>
      <c r="O325" s="785">
        <v>1291.6669999999999</v>
      </c>
      <c r="P325" s="785">
        <v>1291.6669999999999</v>
      </c>
      <c r="Q325" s="785">
        <v>1291.6669999999999</v>
      </c>
      <c r="R325" s="785">
        <v>1291.6669999999999</v>
      </c>
      <c r="S325" s="785">
        <v>1291.6669999999999</v>
      </c>
      <c r="T325" s="785">
        <v>1291.6669999999999</v>
      </c>
      <c r="U325" s="785">
        <v>1291.6669999999999</v>
      </c>
      <c r="V325" s="785">
        <v>1291.6669999999999</v>
      </c>
      <c r="W325" s="785">
        <v>1291.6669999999999</v>
      </c>
      <c r="X325" s="785">
        <v>1291.6669999999999</v>
      </c>
      <c r="Y325" s="785">
        <v>1291.6669999999999</v>
      </c>
      <c r="Z325" s="785">
        <v>1291.6669999999999</v>
      </c>
      <c r="AA325" s="859">
        <f t="shared" si="190"/>
        <v>15500.003999999995</v>
      </c>
    </row>
    <row r="326" spans="1:27" ht="33.75" customHeight="1" x14ac:dyDescent="0.25">
      <c r="A326" s="809"/>
      <c r="B326" s="2634"/>
      <c r="C326" s="2636"/>
      <c r="D326" s="2605"/>
      <c r="E326" s="2607"/>
      <c r="F326" s="2607"/>
      <c r="G326" s="2607"/>
      <c r="H326" s="2577"/>
      <c r="I326" s="2638"/>
      <c r="J326" s="2633"/>
      <c r="K326" s="2624"/>
      <c r="L326" s="2564"/>
      <c r="M326" s="956" t="s">
        <v>195</v>
      </c>
      <c r="N326" s="956" t="s">
        <v>1115</v>
      </c>
      <c r="O326" s="785">
        <v>83.332999999999998</v>
      </c>
      <c r="P326" s="785">
        <v>83.332999999999998</v>
      </c>
      <c r="Q326" s="785">
        <v>83.332999999999998</v>
      </c>
      <c r="R326" s="785">
        <v>83.332999999999998</v>
      </c>
      <c r="S326" s="785">
        <v>83.332999999999998</v>
      </c>
      <c r="T326" s="785">
        <v>83.332999999999998</v>
      </c>
      <c r="U326" s="785">
        <v>83.332999999999998</v>
      </c>
      <c r="V326" s="785">
        <v>83.332999999999998</v>
      </c>
      <c r="W326" s="785">
        <v>83.332999999999998</v>
      </c>
      <c r="X326" s="785">
        <v>83.332999999999998</v>
      </c>
      <c r="Y326" s="785">
        <v>83.332999999999998</v>
      </c>
      <c r="Z326" s="785">
        <v>83.332999999999998</v>
      </c>
      <c r="AA326" s="859">
        <f t="shared" si="190"/>
        <v>999.99599999999975</v>
      </c>
    </row>
    <row r="327" spans="1:27" ht="33.75" x14ac:dyDescent="0.25">
      <c r="A327" s="809"/>
      <c r="B327" s="2634"/>
      <c r="C327" s="2636"/>
      <c r="D327" s="2605"/>
      <c r="E327" s="2607"/>
      <c r="F327" s="2607"/>
      <c r="G327" s="2607"/>
      <c r="H327" s="2577"/>
      <c r="I327" s="2638"/>
      <c r="J327" s="2633"/>
      <c r="K327" s="2624"/>
      <c r="L327" s="2564"/>
      <c r="M327" s="956" t="s">
        <v>196</v>
      </c>
      <c r="N327" s="956" t="s">
        <v>1116</v>
      </c>
      <c r="O327" s="785">
        <v>10</v>
      </c>
      <c r="P327" s="785">
        <v>10</v>
      </c>
      <c r="Q327" s="785">
        <v>10</v>
      </c>
      <c r="R327" s="785">
        <v>10</v>
      </c>
      <c r="S327" s="785">
        <v>10</v>
      </c>
      <c r="T327" s="785">
        <v>10</v>
      </c>
      <c r="U327" s="785">
        <v>10</v>
      </c>
      <c r="V327" s="785">
        <v>10</v>
      </c>
      <c r="W327" s="785">
        <v>10</v>
      </c>
      <c r="X327" s="785">
        <v>10</v>
      </c>
      <c r="Y327" s="785">
        <v>10</v>
      </c>
      <c r="Z327" s="785">
        <v>10</v>
      </c>
      <c r="AA327" s="859">
        <f t="shared" si="190"/>
        <v>120</v>
      </c>
    </row>
    <row r="328" spans="1:27" ht="33.75" x14ac:dyDescent="0.25">
      <c r="A328" s="809"/>
      <c r="B328" s="2634"/>
      <c r="C328" s="2636"/>
      <c r="D328" s="2605"/>
      <c r="E328" s="2607"/>
      <c r="F328" s="2607"/>
      <c r="G328" s="2607"/>
      <c r="H328" s="2577"/>
      <c r="I328" s="2638"/>
      <c r="J328" s="2633"/>
      <c r="K328" s="2624"/>
      <c r="L328" s="2564"/>
      <c r="M328" s="956" t="s">
        <v>198</v>
      </c>
      <c r="N328" s="956" t="s">
        <v>1117</v>
      </c>
      <c r="O328" s="785">
        <v>533.33299999999997</v>
      </c>
      <c r="P328" s="785">
        <v>533.33299999999997</v>
      </c>
      <c r="Q328" s="785">
        <v>533.33299999999997</v>
      </c>
      <c r="R328" s="785">
        <v>533.33299999999997</v>
      </c>
      <c r="S328" s="785">
        <v>533.33299999999997</v>
      </c>
      <c r="T328" s="785">
        <v>533.33299999999997</v>
      </c>
      <c r="U328" s="785">
        <v>533.33299999999997</v>
      </c>
      <c r="V328" s="785">
        <v>533.33299999999997</v>
      </c>
      <c r="W328" s="785">
        <v>533.33299999999997</v>
      </c>
      <c r="X328" s="785">
        <v>533.33299999999997</v>
      </c>
      <c r="Y328" s="785">
        <v>533.33299999999997</v>
      </c>
      <c r="Z328" s="785">
        <v>533.33299999999997</v>
      </c>
      <c r="AA328" s="859">
        <f t="shared" si="190"/>
        <v>6399.9959999999983</v>
      </c>
    </row>
    <row r="329" spans="1:27" ht="22.5" x14ac:dyDescent="0.25">
      <c r="A329" s="809"/>
      <c r="B329" s="2634"/>
      <c r="C329" s="2636"/>
      <c r="D329" s="2605"/>
      <c r="E329" s="2607"/>
      <c r="F329" s="2607"/>
      <c r="G329" s="2607"/>
      <c r="H329" s="2577"/>
      <c r="I329" s="2638"/>
      <c r="J329" s="2633"/>
      <c r="K329" s="2624"/>
      <c r="L329" s="2564"/>
      <c r="M329" s="956" t="s">
        <v>199</v>
      </c>
      <c r="N329" s="956" t="s">
        <v>1118</v>
      </c>
      <c r="O329" s="785">
        <v>70</v>
      </c>
      <c r="P329" s="785">
        <v>70</v>
      </c>
      <c r="Q329" s="785">
        <v>70</v>
      </c>
      <c r="R329" s="785">
        <v>70</v>
      </c>
      <c r="S329" s="785">
        <v>70</v>
      </c>
      <c r="T329" s="785">
        <v>70</v>
      </c>
      <c r="U329" s="785">
        <v>70</v>
      </c>
      <c r="V329" s="785">
        <v>70</v>
      </c>
      <c r="W329" s="785">
        <v>70</v>
      </c>
      <c r="X329" s="785">
        <v>70</v>
      </c>
      <c r="Y329" s="785">
        <v>70</v>
      </c>
      <c r="Z329" s="785">
        <v>70</v>
      </c>
      <c r="AA329" s="859">
        <f t="shared" si="190"/>
        <v>840</v>
      </c>
    </row>
    <row r="330" spans="1:27" ht="33.75" x14ac:dyDescent="0.25">
      <c r="A330" s="809"/>
      <c r="B330" s="2634"/>
      <c r="C330" s="2636"/>
      <c r="D330" s="2605"/>
      <c r="E330" s="2607"/>
      <c r="F330" s="2607"/>
      <c r="G330" s="2607"/>
      <c r="H330" s="2577"/>
      <c r="I330" s="2638"/>
      <c r="J330" s="2633"/>
      <c r="K330" s="2624"/>
      <c r="L330" s="2564"/>
      <c r="M330" s="956" t="s">
        <v>544</v>
      </c>
      <c r="N330" s="956" t="s">
        <v>1119</v>
      </c>
      <c r="O330" s="785">
        <v>150</v>
      </c>
      <c r="P330" s="785">
        <v>150</v>
      </c>
      <c r="Q330" s="785">
        <v>150</v>
      </c>
      <c r="R330" s="785">
        <v>150</v>
      </c>
      <c r="S330" s="785">
        <v>150</v>
      </c>
      <c r="T330" s="785">
        <v>150</v>
      </c>
      <c r="U330" s="785">
        <v>150</v>
      </c>
      <c r="V330" s="785">
        <v>150</v>
      </c>
      <c r="W330" s="785">
        <v>150</v>
      </c>
      <c r="X330" s="785">
        <v>150</v>
      </c>
      <c r="Y330" s="785">
        <v>150</v>
      </c>
      <c r="Z330" s="785">
        <v>150</v>
      </c>
      <c r="AA330" s="859">
        <f t="shared" si="190"/>
        <v>1800</v>
      </c>
    </row>
    <row r="331" spans="1:27" ht="45" x14ac:dyDescent="0.25">
      <c r="A331" s="809"/>
      <c r="B331" s="2634"/>
      <c r="C331" s="2636"/>
      <c r="D331" s="2605"/>
      <c r="E331" s="2607"/>
      <c r="F331" s="2607"/>
      <c r="G331" s="2607"/>
      <c r="H331" s="2577"/>
      <c r="I331" s="2638"/>
      <c r="J331" s="2633"/>
      <c r="K331" s="2624"/>
      <c r="L331" s="2564"/>
      <c r="M331" s="956" t="s">
        <v>200</v>
      </c>
      <c r="N331" s="956" t="s">
        <v>1120</v>
      </c>
      <c r="O331" s="785">
        <v>140.833</v>
      </c>
      <c r="P331" s="785">
        <v>140.833</v>
      </c>
      <c r="Q331" s="785">
        <v>140.833</v>
      </c>
      <c r="R331" s="785">
        <v>140.833</v>
      </c>
      <c r="S331" s="785">
        <v>140.833</v>
      </c>
      <c r="T331" s="785">
        <v>140.833</v>
      </c>
      <c r="U331" s="785">
        <v>140.833</v>
      </c>
      <c r="V331" s="785">
        <v>140.833</v>
      </c>
      <c r="W331" s="785">
        <v>140.833</v>
      </c>
      <c r="X331" s="785">
        <v>140.833</v>
      </c>
      <c r="Y331" s="785">
        <v>140.833</v>
      </c>
      <c r="Z331" s="785">
        <v>140.833</v>
      </c>
      <c r="AA331" s="859">
        <f t="shared" si="190"/>
        <v>1689.9960000000003</v>
      </c>
    </row>
    <row r="332" spans="1:27" ht="33.75" customHeight="1" x14ac:dyDescent="0.25">
      <c r="A332" s="809"/>
      <c r="B332" s="2634"/>
      <c r="C332" s="2636"/>
      <c r="D332" s="2605"/>
      <c r="E332" s="2607"/>
      <c r="F332" s="2607"/>
      <c r="G332" s="2607"/>
      <c r="H332" s="2577"/>
      <c r="I332" s="2638"/>
      <c r="J332" s="2633"/>
      <c r="K332" s="2624"/>
      <c r="L332" s="2564"/>
      <c r="M332" s="956" t="s">
        <v>226</v>
      </c>
      <c r="N332" s="956" t="s">
        <v>1122</v>
      </c>
      <c r="O332" s="785">
        <v>150</v>
      </c>
      <c r="P332" s="785">
        <v>150</v>
      </c>
      <c r="Q332" s="785">
        <v>150</v>
      </c>
      <c r="R332" s="785">
        <v>150</v>
      </c>
      <c r="S332" s="785">
        <v>150</v>
      </c>
      <c r="T332" s="785">
        <v>150</v>
      </c>
      <c r="U332" s="785">
        <v>150</v>
      </c>
      <c r="V332" s="785">
        <v>150</v>
      </c>
      <c r="W332" s="785">
        <v>150</v>
      </c>
      <c r="X332" s="785">
        <v>150</v>
      </c>
      <c r="Y332" s="785">
        <v>150</v>
      </c>
      <c r="Z332" s="785">
        <v>150</v>
      </c>
      <c r="AA332" s="859">
        <f t="shared" si="190"/>
        <v>1800</v>
      </c>
    </row>
    <row r="333" spans="1:27" x14ac:dyDescent="0.25">
      <c r="A333" s="809"/>
      <c r="B333" s="2634"/>
      <c r="C333" s="2636"/>
      <c r="D333" s="2605"/>
      <c r="E333" s="2607"/>
      <c r="F333" s="2607"/>
      <c r="G333" s="2607"/>
      <c r="H333" s="2577"/>
      <c r="I333" s="2638"/>
      <c r="J333" s="2633"/>
      <c r="K333" s="2624"/>
      <c r="L333" s="2564"/>
      <c r="M333" s="956" t="s">
        <v>1001</v>
      </c>
      <c r="N333" s="956" t="s">
        <v>997</v>
      </c>
      <c r="O333" s="785">
        <v>50</v>
      </c>
      <c r="P333" s="785">
        <v>50</v>
      </c>
      <c r="Q333" s="785">
        <v>50</v>
      </c>
      <c r="R333" s="785">
        <v>50</v>
      </c>
      <c r="S333" s="785">
        <v>50</v>
      </c>
      <c r="T333" s="785">
        <v>50</v>
      </c>
      <c r="U333" s="785">
        <v>50</v>
      </c>
      <c r="V333" s="785">
        <v>50</v>
      </c>
      <c r="W333" s="785">
        <v>50</v>
      </c>
      <c r="X333" s="785">
        <v>50</v>
      </c>
      <c r="Y333" s="785">
        <v>50</v>
      </c>
      <c r="Z333" s="785">
        <v>50</v>
      </c>
      <c r="AA333" s="859">
        <f t="shared" si="190"/>
        <v>600</v>
      </c>
    </row>
    <row r="334" spans="1:27" ht="22.5" x14ac:dyDescent="0.25">
      <c r="A334" s="809"/>
      <c r="B334" s="2634"/>
      <c r="C334" s="2636"/>
      <c r="D334" s="2605"/>
      <c r="E334" s="2607"/>
      <c r="F334" s="2607"/>
      <c r="G334" s="2607"/>
      <c r="H334" s="2577"/>
      <c r="I334" s="2638"/>
      <c r="J334" s="2633"/>
      <c r="K334" s="2624"/>
      <c r="L334" s="2564"/>
      <c r="M334" s="956" t="s">
        <v>1003</v>
      </c>
      <c r="N334" s="956" t="s">
        <v>1141</v>
      </c>
      <c r="O334" s="785">
        <v>33.332999999999998</v>
      </c>
      <c r="P334" s="785">
        <v>33.332999999999998</v>
      </c>
      <c r="Q334" s="785">
        <v>33.332999999999998</v>
      </c>
      <c r="R334" s="785">
        <v>33.332999999999998</v>
      </c>
      <c r="S334" s="785">
        <v>33.332999999999998</v>
      </c>
      <c r="T334" s="785">
        <v>33.332999999999998</v>
      </c>
      <c r="U334" s="785">
        <v>33.332999999999998</v>
      </c>
      <c r="V334" s="785">
        <v>33.332999999999998</v>
      </c>
      <c r="W334" s="785">
        <v>33.332999999999998</v>
      </c>
      <c r="X334" s="785">
        <v>33.332999999999998</v>
      </c>
      <c r="Y334" s="785">
        <v>33.332999999999998</v>
      </c>
      <c r="Z334" s="785">
        <v>33.332999999999998</v>
      </c>
      <c r="AA334" s="859">
        <f t="shared" si="190"/>
        <v>399.99599999999987</v>
      </c>
    </row>
    <row r="335" spans="1:27" ht="22.5" x14ac:dyDescent="0.25">
      <c r="A335" s="809"/>
      <c r="B335" s="2634"/>
      <c r="C335" s="2636"/>
      <c r="D335" s="2605"/>
      <c r="E335" s="2607"/>
      <c r="F335" s="2607"/>
      <c r="G335" s="2607"/>
      <c r="H335" s="2577"/>
      <c r="I335" s="2638"/>
      <c r="J335" s="2633"/>
      <c r="K335" s="2624"/>
      <c r="L335" s="2564"/>
      <c r="M335" s="956" t="s">
        <v>1142</v>
      </c>
      <c r="N335" s="956" t="s">
        <v>1143</v>
      </c>
      <c r="O335" s="785">
        <v>500</v>
      </c>
      <c r="P335" s="785">
        <v>500</v>
      </c>
      <c r="Q335" s="785">
        <v>500</v>
      </c>
      <c r="R335" s="785">
        <v>500</v>
      </c>
      <c r="S335" s="785">
        <v>500</v>
      </c>
      <c r="T335" s="785">
        <v>500</v>
      </c>
      <c r="U335" s="785">
        <v>500</v>
      </c>
      <c r="V335" s="785">
        <v>500</v>
      </c>
      <c r="W335" s="785">
        <v>500</v>
      </c>
      <c r="X335" s="785">
        <v>500</v>
      </c>
      <c r="Y335" s="785">
        <v>500</v>
      </c>
      <c r="Z335" s="785">
        <v>500</v>
      </c>
      <c r="AA335" s="859">
        <f t="shared" si="190"/>
        <v>6000</v>
      </c>
    </row>
    <row r="336" spans="1:27" ht="22.5" x14ac:dyDescent="0.25">
      <c r="A336" s="809"/>
      <c r="B336" s="2634"/>
      <c r="C336" s="2636"/>
      <c r="D336" s="2605"/>
      <c r="E336" s="2607"/>
      <c r="F336" s="2607"/>
      <c r="G336" s="2607"/>
      <c r="H336" s="2577"/>
      <c r="I336" s="2638"/>
      <c r="J336" s="2633"/>
      <c r="K336" s="2624"/>
      <c r="L336" s="2564"/>
      <c r="M336" s="956" t="s">
        <v>1124</v>
      </c>
      <c r="N336" s="956" t="s">
        <v>1125</v>
      </c>
      <c r="O336" s="785">
        <v>83.332999999999998</v>
      </c>
      <c r="P336" s="785">
        <v>83.332999999999998</v>
      </c>
      <c r="Q336" s="785">
        <v>83.332999999999998</v>
      </c>
      <c r="R336" s="785">
        <v>83.332999999999998</v>
      </c>
      <c r="S336" s="785">
        <v>83.332999999999998</v>
      </c>
      <c r="T336" s="785">
        <v>83.332999999999998</v>
      </c>
      <c r="U336" s="785">
        <v>83.332999999999998</v>
      </c>
      <c r="V336" s="785">
        <v>83.332999999999998</v>
      </c>
      <c r="W336" s="785">
        <v>83.332999999999998</v>
      </c>
      <c r="X336" s="785">
        <v>83.332999999999998</v>
      </c>
      <c r="Y336" s="785">
        <v>83.332999999999998</v>
      </c>
      <c r="Z336" s="785">
        <v>83.332999999999998</v>
      </c>
      <c r="AA336" s="859">
        <f t="shared" si="190"/>
        <v>999.99599999999975</v>
      </c>
    </row>
    <row r="337" spans="1:27" ht="22.5" x14ac:dyDescent="0.25">
      <c r="A337" s="809"/>
      <c r="B337" s="2635"/>
      <c r="C337" s="2637"/>
      <c r="D337" s="2606"/>
      <c r="E337" s="2607"/>
      <c r="F337" s="2607"/>
      <c r="G337" s="2607"/>
      <c r="H337" s="2608"/>
      <c r="I337" s="2638"/>
      <c r="J337" s="2639"/>
      <c r="K337" s="2625"/>
      <c r="L337" s="2565"/>
      <c r="M337" s="956" t="s">
        <v>974</v>
      </c>
      <c r="N337" s="956" t="s">
        <v>207</v>
      </c>
      <c r="O337" s="785">
        <v>2050</v>
      </c>
      <c r="P337" s="785">
        <v>2050</v>
      </c>
      <c r="Q337" s="785">
        <v>2050</v>
      </c>
      <c r="R337" s="785">
        <v>2050</v>
      </c>
      <c r="S337" s="785">
        <v>2050</v>
      </c>
      <c r="T337" s="785">
        <v>2050</v>
      </c>
      <c r="U337" s="785">
        <v>2050</v>
      </c>
      <c r="V337" s="785">
        <v>2050</v>
      </c>
      <c r="W337" s="785">
        <v>2050</v>
      </c>
      <c r="X337" s="785">
        <v>2050</v>
      </c>
      <c r="Y337" s="785">
        <v>2050</v>
      </c>
      <c r="Z337" s="785">
        <v>2050</v>
      </c>
      <c r="AA337" s="859">
        <f t="shared" si="190"/>
        <v>24600</v>
      </c>
    </row>
    <row r="338" spans="1:27" ht="15" customHeight="1" x14ac:dyDescent="0.25">
      <c r="A338" s="809"/>
      <c r="B338" s="2629"/>
      <c r="C338" s="2630"/>
      <c r="D338" s="2604" t="s">
        <v>1144</v>
      </c>
      <c r="E338" s="2563" t="s">
        <v>968</v>
      </c>
      <c r="F338" s="2563" t="s">
        <v>1087</v>
      </c>
      <c r="G338" s="2563" t="s">
        <v>1088</v>
      </c>
      <c r="H338" s="2576" t="s">
        <v>1145</v>
      </c>
      <c r="I338" s="2576" t="s">
        <v>235</v>
      </c>
      <c r="J338" s="2632">
        <f>+AA338</f>
        <v>300</v>
      </c>
      <c r="K338" s="2623">
        <f>SUM(AA340:AA369)</f>
        <v>594660.99599999993</v>
      </c>
      <c r="L338" s="2563" t="s">
        <v>1089</v>
      </c>
      <c r="M338" s="2627" t="s">
        <v>51</v>
      </c>
      <c r="N338" s="2627"/>
      <c r="O338" s="784">
        <v>25</v>
      </c>
      <c r="P338" s="784">
        <v>25</v>
      </c>
      <c r="Q338" s="784">
        <v>25</v>
      </c>
      <c r="R338" s="784">
        <v>25</v>
      </c>
      <c r="S338" s="784">
        <v>25</v>
      </c>
      <c r="T338" s="784">
        <v>25</v>
      </c>
      <c r="U338" s="784">
        <v>25</v>
      </c>
      <c r="V338" s="784">
        <v>25</v>
      </c>
      <c r="W338" s="784">
        <v>25</v>
      </c>
      <c r="X338" s="784">
        <v>25</v>
      </c>
      <c r="Y338" s="784">
        <v>25</v>
      </c>
      <c r="Z338" s="784">
        <v>25</v>
      </c>
      <c r="AA338" s="868">
        <f t="shared" si="190"/>
        <v>300</v>
      </c>
    </row>
    <row r="339" spans="1:27" x14ac:dyDescent="0.25">
      <c r="A339" s="809"/>
      <c r="B339" s="2629"/>
      <c r="C339" s="2631"/>
      <c r="D339" s="2605"/>
      <c r="E339" s="2564"/>
      <c r="F339" s="2564"/>
      <c r="G339" s="2564"/>
      <c r="H339" s="2577"/>
      <c r="I339" s="2577"/>
      <c r="J339" s="2633"/>
      <c r="K339" s="2624"/>
      <c r="L339" s="2564"/>
      <c r="M339" s="2627" t="s">
        <v>1090</v>
      </c>
      <c r="N339" s="2627"/>
      <c r="O339" s="836">
        <f>SUM(O340:O369)</f>
        <v>48048.582999999999</v>
      </c>
      <c r="P339" s="836">
        <f t="shared" ref="P339:Z339" si="191">SUM(P340:P369)</f>
        <v>52848.582999999999</v>
      </c>
      <c r="Q339" s="836">
        <f t="shared" si="191"/>
        <v>48048.582999999999</v>
      </c>
      <c r="R339" s="836">
        <f t="shared" si="191"/>
        <v>48048.582999999999</v>
      </c>
      <c r="S339" s="836">
        <f t="shared" si="191"/>
        <v>48048.582999999999</v>
      </c>
      <c r="T339" s="836">
        <f t="shared" si="191"/>
        <v>48048.582999999999</v>
      </c>
      <c r="U339" s="836">
        <f t="shared" si="191"/>
        <v>54687.582999999999</v>
      </c>
      <c r="V339" s="836">
        <f t="shared" si="191"/>
        <v>48048.582999999999</v>
      </c>
      <c r="W339" s="836">
        <f t="shared" si="191"/>
        <v>48048.582999999999</v>
      </c>
      <c r="X339" s="836">
        <f t="shared" si="191"/>
        <v>48048.582999999999</v>
      </c>
      <c r="Y339" s="836">
        <f t="shared" si="191"/>
        <v>48048.582999999999</v>
      </c>
      <c r="Z339" s="836">
        <f t="shared" si="191"/>
        <v>54687.582999999999</v>
      </c>
      <c r="AA339" s="860">
        <f>SUM(O339:Z339)</f>
        <v>594660.99599999993</v>
      </c>
    </row>
    <row r="340" spans="1:27" ht="33.75" x14ac:dyDescent="0.25">
      <c r="A340" s="809"/>
      <c r="B340" s="2629"/>
      <c r="C340" s="2631"/>
      <c r="D340" s="2605"/>
      <c r="E340" s="2564"/>
      <c r="F340" s="2564"/>
      <c r="G340" s="2564"/>
      <c r="H340" s="2577"/>
      <c r="I340" s="2577"/>
      <c r="J340" s="2633"/>
      <c r="K340" s="2624"/>
      <c r="L340" s="2564"/>
      <c r="M340" s="956" t="s">
        <v>169</v>
      </c>
      <c r="N340" s="956" t="s">
        <v>1093</v>
      </c>
      <c r="O340" s="785">
        <v>6761.4160000000002</v>
      </c>
      <c r="P340" s="785">
        <v>6761.4160000000002</v>
      </c>
      <c r="Q340" s="785">
        <v>6761.4160000000002</v>
      </c>
      <c r="R340" s="785">
        <v>6761.4160000000002</v>
      </c>
      <c r="S340" s="785">
        <v>6761.4160000000002</v>
      </c>
      <c r="T340" s="785">
        <v>6761.4160000000002</v>
      </c>
      <c r="U340" s="785">
        <v>6761.4160000000002</v>
      </c>
      <c r="V340" s="785">
        <v>6761.4160000000002</v>
      </c>
      <c r="W340" s="785">
        <v>6761.4160000000002</v>
      </c>
      <c r="X340" s="785">
        <v>6761.4160000000002</v>
      </c>
      <c r="Y340" s="785">
        <v>6761.4160000000002</v>
      </c>
      <c r="Z340" s="785">
        <v>6761.4160000000002</v>
      </c>
      <c r="AA340" s="859">
        <f>SUM(O340:Z340)</f>
        <v>81136.991999999984</v>
      </c>
    </row>
    <row r="341" spans="1:27" ht="33.75" x14ac:dyDescent="0.25">
      <c r="A341" s="809"/>
      <c r="B341" s="2629"/>
      <c r="C341" s="2631"/>
      <c r="D341" s="2605"/>
      <c r="E341" s="2564"/>
      <c r="F341" s="2564"/>
      <c r="G341" s="2564"/>
      <c r="H341" s="2577"/>
      <c r="I341" s="2577"/>
      <c r="J341" s="2633"/>
      <c r="K341" s="2624"/>
      <c r="L341" s="2564"/>
      <c r="M341" s="956" t="s">
        <v>1094</v>
      </c>
      <c r="N341" s="956" t="s">
        <v>1095</v>
      </c>
      <c r="O341" s="785">
        <v>580.58299999999997</v>
      </c>
      <c r="P341" s="785">
        <v>580.58299999999997</v>
      </c>
      <c r="Q341" s="785">
        <v>580.58299999999997</v>
      </c>
      <c r="R341" s="785">
        <v>580.58299999999997</v>
      </c>
      <c r="S341" s="785">
        <v>580.58299999999997</v>
      </c>
      <c r="T341" s="785">
        <v>580.58299999999997</v>
      </c>
      <c r="U341" s="785">
        <v>580.58299999999997</v>
      </c>
      <c r="V341" s="785">
        <v>580.58299999999997</v>
      </c>
      <c r="W341" s="785">
        <v>580.58299999999997</v>
      </c>
      <c r="X341" s="785">
        <v>580.58299999999997</v>
      </c>
      <c r="Y341" s="785">
        <v>580.58299999999997</v>
      </c>
      <c r="Z341" s="785">
        <v>580.58299999999997</v>
      </c>
      <c r="AA341" s="859">
        <f t="shared" si="190"/>
        <v>6966.9959999999983</v>
      </c>
    </row>
    <row r="342" spans="1:27" ht="33.75" x14ac:dyDescent="0.25">
      <c r="A342" s="809"/>
      <c r="B342" s="2629"/>
      <c r="C342" s="2631"/>
      <c r="D342" s="2605"/>
      <c r="E342" s="2564"/>
      <c r="F342" s="2564"/>
      <c r="G342" s="2564"/>
      <c r="H342" s="2577"/>
      <c r="I342" s="2577"/>
      <c r="J342" s="2633"/>
      <c r="K342" s="2624"/>
      <c r="L342" s="2564"/>
      <c r="M342" s="956" t="s">
        <v>171</v>
      </c>
      <c r="N342" s="956" t="s">
        <v>1096</v>
      </c>
      <c r="O342" s="785">
        <v>16551.5</v>
      </c>
      <c r="P342" s="785">
        <v>16551.5</v>
      </c>
      <c r="Q342" s="785">
        <v>16551.5</v>
      </c>
      <c r="R342" s="785">
        <v>16551.5</v>
      </c>
      <c r="S342" s="785">
        <v>16551.5</v>
      </c>
      <c r="T342" s="785">
        <v>16551.5</v>
      </c>
      <c r="U342" s="785">
        <v>16551.5</v>
      </c>
      <c r="V342" s="785">
        <v>16551.5</v>
      </c>
      <c r="W342" s="785">
        <v>16551.5</v>
      </c>
      <c r="X342" s="785">
        <v>16551.5</v>
      </c>
      <c r="Y342" s="785">
        <v>16551.5</v>
      </c>
      <c r="Z342" s="785">
        <v>16551.5</v>
      </c>
      <c r="AA342" s="859">
        <f>SUM(O342:Z342)</f>
        <v>198618</v>
      </c>
    </row>
    <row r="343" spans="1:27" x14ac:dyDescent="0.25">
      <c r="A343" s="809"/>
      <c r="B343" s="2629"/>
      <c r="C343" s="2631"/>
      <c r="D343" s="2605"/>
      <c r="E343" s="2564"/>
      <c r="F343" s="2564"/>
      <c r="G343" s="2564"/>
      <c r="H343" s="2577"/>
      <c r="I343" s="2577"/>
      <c r="J343" s="2633"/>
      <c r="K343" s="2624"/>
      <c r="L343" s="2564"/>
      <c r="M343" s="956" t="s">
        <v>172</v>
      </c>
      <c r="N343" s="956" t="s">
        <v>173</v>
      </c>
      <c r="O343" s="785">
        <v>0</v>
      </c>
      <c r="P343" s="785">
        <v>0</v>
      </c>
      <c r="Q343" s="785">
        <v>0</v>
      </c>
      <c r="R343" s="785">
        <v>0</v>
      </c>
      <c r="S343" s="785">
        <v>0</v>
      </c>
      <c r="T343" s="785">
        <v>0</v>
      </c>
      <c r="U343" s="785">
        <v>6639</v>
      </c>
      <c r="V343" s="785">
        <v>0</v>
      </c>
      <c r="W343" s="785">
        <v>0</v>
      </c>
      <c r="X343" s="785">
        <v>0</v>
      </c>
      <c r="Y343" s="785">
        <v>0</v>
      </c>
      <c r="Z343" s="785">
        <v>6639</v>
      </c>
      <c r="AA343" s="859">
        <f t="shared" ref="AA343:AA369" si="192">SUM(O343:Z343)</f>
        <v>13278</v>
      </c>
    </row>
    <row r="344" spans="1:27" ht="33.75" x14ac:dyDescent="0.25">
      <c r="A344" s="809"/>
      <c r="B344" s="2629"/>
      <c r="C344" s="2631"/>
      <c r="D344" s="2605"/>
      <c r="E344" s="2564"/>
      <c r="F344" s="2564"/>
      <c r="G344" s="2564"/>
      <c r="H344" s="2577"/>
      <c r="I344" s="2577"/>
      <c r="J344" s="2633"/>
      <c r="K344" s="2624"/>
      <c r="L344" s="2564"/>
      <c r="M344" s="956" t="s">
        <v>174</v>
      </c>
      <c r="N344" s="956" t="s">
        <v>1099</v>
      </c>
      <c r="O344" s="785">
        <v>0</v>
      </c>
      <c r="P344" s="785">
        <v>4800</v>
      </c>
      <c r="Q344" s="785">
        <v>0</v>
      </c>
      <c r="R344" s="785">
        <v>0</v>
      </c>
      <c r="S344" s="785">
        <v>0</v>
      </c>
      <c r="T344" s="785">
        <v>0</v>
      </c>
      <c r="U344" s="785">
        <v>0</v>
      </c>
      <c r="V344" s="785">
        <v>0</v>
      </c>
      <c r="W344" s="785">
        <v>0</v>
      </c>
      <c r="X344" s="785">
        <v>0</v>
      </c>
      <c r="Y344" s="785">
        <v>0</v>
      </c>
      <c r="Z344" s="785">
        <v>0</v>
      </c>
      <c r="AA344" s="859">
        <f t="shared" si="192"/>
        <v>4800</v>
      </c>
    </row>
    <row r="345" spans="1:27" ht="22.5" x14ac:dyDescent="0.25">
      <c r="A345" s="809"/>
      <c r="B345" s="2629"/>
      <c r="C345" s="2631"/>
      <c r="D345" s="2605"/>
      <c r="E345" s="2564"/>
      <c r="F345" s="2564"/>
      <c r="G345" s="2564"/>
      <c r="H345" s="2577"/>
      <c r="I345" s="2577"/>
      <c r="J345" s="2633"/>
      <c r="K345" s="2624"/>
      <c r="L345" s="2564"/>
      <c r="M345" s="956" t="s">
        <v>176</v>
      </c>
      <c r="N345" s="956" t="s">
        <v>1100</v>
      </c>
      <c r="O345" s="785">
        <v>817.83299999999997</v>
      </c>
      <c r="P345" s="785">
        <v>817.83299999999997</v>
      </c>
      <c r="Q345" s="785">
        <v>817.83299999999997</v>
      </c>
      <c r="R345" s="785">
        <v>817.83299999999997</v>
      </c>
      <c r="S345" s="785">
        <v>817.83299999999997</v>
      </c>
      <c r="T345" s="785">
        <v>817.83299999999997</v>
      </c>
      <c r="U345" s="785">
        <v>817.83299999999997</v>
      </c>
      <c r="V345" s="785">
        <v>817.83299999999997</v>
      </c>
      <c r="W345" s="785">
        <v>817.83299999999997</v>
      </c>
      <c r="X345" s="785">
        <v>817.83299999999997</v>
      </c>
      <c r="Y345" s="785">
        <v>817.83299999999997</v>
      </c>
      <c r="Z345" s="785">
        <v>817.83299999999997</v>
      </c>
      <c r="AA345" s="859">
        <f t="shared" si="192"/>
        <v>9813.9959999999992</v>
      </c>
    </row>
    <row r="346" spans="1:27" ht="45" x14ac:dyDescent="0.25">
      <c r="A346" s="809"/>
      <c r="B346" s="2629"/>
      <c r="C346" s="2631"/>
      <c r="D346" s="2605"/>
      <c r="E346" s="2564"/>
      <c r="F346" s="2564"/>
      <c r="G346" s="2564"/>
      <c r="H346" s="2577"/>
      <c r="I346" s="2577"/>
      <c r="J346" s="2633"/>
      <c r="K346" s="2624"/>
      <c r="L346" s="2564"/>
      <c r="M346" s="956" t="s">
        <v>178</v>
      </c>
      <c r="N346" s="956" t="s">
        <v>1101</v>
      </c>
      <c r="O346" s="785">
        <v>833.33299999999997</v>
      </c>
      <c r="P346" s="785">
        <v>833.33299999999997</v>
      </c>
      <c r="Q346" s="785">
        <v>833.33299999999997</v>
      </c>
      <c r="R346" s="785">
        <v>833.33299999999997</v>
      </c>
      <c r="S346" s="785">
        <v>833.33299999999997</v>
      </c>
      <c r="T346" s="785">
        <v>833.33299999999997</v>
      </c>
      <c r="U346" s="785">
        <v>833.33299999999997</v>
      </c>
      <c r="V346" s="785">
        <v>833.33299999999997</v>
      </c>
      <c r="W346" s="785">
        <v>833.33299999999997</v>
      </c>
      <c r="X346" s="785">
        <v>833.33299999999997</v>
      </c>
      <c r="Y346" s="785">
        <v>833.33299999999997</v>
      </c>
      <c r="Z346" s="785">
        <v>833.33299999999997</v>
      </c>
      <c r="AA346" s="859">
        <f t="shared" si="192"/>
        <v>9999.9959999999992</v>
      </c>
    </row>
    <row r="347" spans="1:27" ht="45" x14ac:dyDescent="0.25">
      <c r="A347" s="809"/>
      <c r="B347" s="2629"/>
      <c r="C347" s="2631"/>
      <c r="D347" s="2605"/>
      <c r="E347" s="2564"/>
      <c r="F347" s="2564"/>
      <c r="G347" s="2564"/>
      <c r="H347" s="2577"/>
      <c r="I347" s="2577"/>
      <c r="J347" s="2633"/>
      <c r="K347" s="2624"/>
      <c r="L347" s="2564"/>
      <c r="M347" s="956" t="s">
        <v>213</v>
      </c>
      <c r="N347" s="956" t="s">
        <v>1102</v>
      </c>
      <c r="O347" s="785">
        <v>958.25</v>
      </c>
      <c r="P347" s="785">
        <v>958.25</v>
      </c>
      <c r="Q347" s="785">
        <v>958.25</v>
      </c>
      <c r="R347" s="785">
        <v>958.25</v>
      </c>
      <c r="S347" s="785">
        <v>958.25</v>
      </c>
      <c r="T347" s="785">
        <v>958.25</v>
      </c>
      <c r="U347" s="785">
        <v>958.25</v>
      </c>
      <c r="V347" s="785">
        <v>958.25</v>
      </c>
      <c r="W347" s="785">
        <v>958.25</v>
      </c>
      <c r="X347" s="785">
        <v>958.25</v>
      </c>
      <c r="Y347" s="785">
        <v>958.25</v>
      </c>
      <c r="Z347" s="785">
        <v>958.25</v>
      </c>
      <c r="AA347" s="859">
        <f t="shared" si="192"/>
        <v>11499</v>
      </c>
    </row>
    <row r="348" spans="1:27" ht="22.5" x14ac:dyDescent="0.25">
      <c r="A348" s="809"/>
      <c r="B348" s="2629"/>
      <c r="C348" s="2631"/>
      <c r="D348" s="2605"/>
      <c r="E348" s="2564"/>
      <c r="F348" s="2564"/>
      <c r="G348" s="2564"/>
      <c r="H348" s="2577"/>
      <c r="I348" s="2577"/>
      <c r="J348" s="2633"/>
      <c r="K348" s="2624"/>
      <c r="L348" s="2564"/>
      <c r="M348" s="956" t="s">
        <v>180</v>
      </c>
      <c r="N348" s="956" t="s">
        <v>181</v>
      </c>
      <c r="O348" s="785">
        <v>720</v>
      </c>
      <c r="P348" s="785">
        <v>720</v>
      </c>
      <c r="Q348" s="785">
        <v>720</v>
      </c>
      <c r="R348" s="785">
        <v>720</v>
      </c>
      <c r="S348" s="785">
        <v>720</v>
      </c>
      <c r="T348" s="785">
        <v>720</v>
      </c>
      <c r="U348" s="785">
        <v>720</v>
      </c>
      <c r="V348" s="785">
        <v>720</v>
      </c>
      <c r="W348" s="785">
        <v>720</v>
      </c>
      <c r="X348" s="785">
        <v>720</v>
      </c>
      <c r="Y348" s="785">
        <v>720</v>
      </c>
      <c r="Z348" s="785">
        <v>720</v>
      </c>
      <c r="AA348" s="859">
        <f t="shared" si="192"/>
        <v>8640</v>
      </c>
    </row>
    <row r="349" spans="1:27" ht="33.75" x14ac:dyDescent="0.25">
      <c r="A349" s="809"/>
      <c r="B349" s="2629"/>
      <c r="C349" s="2631"/>
      <c r="D349" s="2605"/>
      <c r="E349" s="2564"/>
      <c r="F349" s="2564"/>
      <c r="G349" s="2564"/>
      <c r="H349" s="2577"/>
      <c r="I349" s="2577"/>
      <c r="J349" s="2633"/>
      <c r="K349" s="2624"/>
      <c r="L349" s="2564"/>
      <c r="M349" s="956" t="s">
        <v>215</v>
      </c>
      <c r="N349" s="956" t="s">
        <v>1105</v>
      </c>
      <c r="O349" s="785">
        <v>36</v>
      </c>
      <c r="P349" s="785">
        <v>36</v>
      </c>
      <c r="Q349" s="785">
        <v>36</v>
      </c>
      <c r="R349" s="785">
        <v>36</v>
      </c>
      <c r="S349" s="785">
        <v>36</v>
      </c>
      <c r="T349" s="785">
        <v>36</v>
      </c>
      <c r="U349" s="785">
        <v>36</v>
      </c>
      <c r="V349" s="785">
        <v>36</v>
      </c>
      <c r="W349" s="785">
        <v>36</v>
      </c>
      <c r="X349" s="785">
        <v>36</v>
      </c>
      <c r="Y349" s="785">
        <v>36</v>
      </c>
      <c r="Z349" s="785">
        <v>36</v>
      </c>
      <c r="AA349" s="859">
        <f t="shared" si="192"/>
        <v>432</v>
      </c>
    </row>
    <row r="350" spans="1:27" ht="22.5" x14ac:dyDescent="0.25">
      <c r="A350" s="809"/>
      <c r="B350" s="2629"/>
      <c r="C350" s="2631"/>
      <c r="D350" s="2605"/>
      <c r="E350" s="2564"/>
      <c r="F350" s="2564"/>
      <c r="G350" s="2564"/>
      <c r="H350" s="2577"/>
      <c r="I350" s="2577"/>
      <c r="J350" s="2633"/>
      <c r="K350" s="2624"/>
      <c r="L350" s="2564"/>
      <c r="M350" s="956" t="s">
        <v>182</v>
      </c>
      <c r="N350" s="956" t="s">
        <v>534</v>
      </c>
      <c r="O350" s="785">
        <v>864</v>
      </c>
      <c r="P350" s="785">
        <v>864</v>
      </c>
      <c r="Q350" s="785">
        <v>864</v>
      </c>
      <c r="R350" s="785">
        <v>864</v>
      </c>
      <c r="S350" s="785">
        <v>864</v>
      </c>
      <c r="T350" s="785">
        <v>864</v>
      </c>
      <c r="U350" s="785">
        <v>864</v>
      </c>
      <c r="V350" s="785">
        <v>864</v>
      </c>
      <c r="W350" s="785">
        <v>864</v>
      </c>
      <c r="X350" s="785">
        <v>864</v>
      </c>
      <c r="Y350" s="785">
        <v>864</v>
      </c>
      <c r="Z350" s="785">
        <v>864</v>
      </c>
      <c r="AA350" s="859">
        <f t="shared" si="192"/>
        <v>10368</v>
      </c>
    </row>
    <row r="351" spans="1:27" ht="56.25" x14ac:dyDescent="0.25">
      <c r="A351" s="809"/>
      <c r="B351" s="2629"/>
      <c r="C351" s="2631"/>
      <c r="D351" s="2605"/>
      <c r="E351" s="2564"/>
      <c r="F351" s="2564"/>
      <c r="G351" s="2564"/>
      <c r="H351" s="2577"/>
      <c r="I351" s="2577"/>
      <c r="J351" s="2633"/>
      <c r="K351" s="2624"/>
      <c r="L351" s="2564"/>
      <c r="M351" s="956" t="s">
        <v>184</v>
      </c>
      <c r="N351" s="956" t="s">
        <v>1106</v>
      </c>
      <c r="O351" s="785">
        <v>1000</v>
      </c>
      <c r="P351" s="785">
        <v>1000</v>
      </c>
      <c r="Q351" s="785">
        <v>1000</v>
      </c>
      <c r="R351" s="785">
        <v>1000</v>
      </c>
      <c r="S351" s="785">
        <v>1000</v>
      </c>
      <c r="T351" s="785">
        <v>1000</v>
      </c>
      <c r="U351" s="785">
        <v>1000</v>
      </c>
      <c r="V351" s="785">
        <v>1000</v>
      </c>
      <c r="W351" s="785">
        <v>1000</v>
      </c>
      <c r="X351" s="785">
        <v>1000</v>
      </c>
      <c r="Y351" s="785">
        <v>1000</v>
      </c>
      <c r="Z351" s="785">
        <v>1000</v>
      </c>
      <c r="AA351" s="859">
        <f t="shared" si="192"/>
        <v>12000</v>
      </c>
    </row>
    <row r="352" spans="1:27" x14ac:dyDescent="0.25">
      <c r="A352" s="809"/>
      <c r="B352" s="2629"/>
      <c r="C352" s="2631"/>
      <c r="D352" s="2605"/>
      <c r="E352" s="2564"/>
      <c r="F352" s="2564"/>
      <c r="G352" s="2564"/>
      <c r="H352" s="2577"/>
      <c r="I352" s="2577"/>
      <c r="J352" s="2633"/>
      <c r="K352" s="2624"/>
      <c r="L352" s="2564"/>
      <c r="M352" s="956" t="s">
        <v>217</v>
      </c>
      <c r="N352" s="956" t="s">
        <v>997</v>
      </c>
      <c r="O352" s="785">
        <v>181</v>
      </c>
      <c r="P352" s="785">
        <v>181</v>
      </c>
      <c r="Q352" s="785">
        <v>181</v>
      </c>
      <c r="R352" s="785">
        <v>181</v>
      </c>
      <c r="S352" s="785">
        <v>181</v>
      </c>
      <c r="T352" s="785">
        <v>181</v>
      </c>
      <c r="U352" s="785">
        <v>181</v>
      </c>
      <c r="V352" s="785">
        <v>181</v>
      </c>
      <c r="W352" s="785">
        <v>181</v>
      </c>
      <c r="X352" s="785">
        <v>181</v>
      </c>
      <c r="Y352" s="785">
        <v>181</v>
      </c>
      <c r="Z352" s="785">
        <v>181</v>
      </c>
      <c r="AA352" s="859">
        <f t="shared" si="192"/>
        <v>2172</v>
      </c>
    </row>
    <row r="353" spans="1:27" x14ac:dyDescent="0.25">
      <c r="A353" s="809"/>
      <c r="B353" s="2629"/>
      <c r="C353" s="2631"/>
      <c r="D353" s="2605"/>
      <c r="E353" s="2564"/>
      <c r="F353" s="2564"/>
      <c r="G353" s="2564"/>
      <c r="H353" s="2577"/>
      <c r="I353" s="2577"/>
      <c r="J353" s="2633"/>
      <c r="K353" s="2624"/>
      <c r="L353" s="2564"/>
      <c r="M353" s="956" t="s">
        <v>1109</v>
      </c>
      <c r="N353" s="956" t="s">
        <v>1110</v>
      </c>
      <c r="O353" s="785">
        <v>706.66700000000003</v>
      </c>
      <c r="P353" s="785">
        <v>706.66700000000003</v>
      </c>
      <c r="Q353" s="785">
        <v>706.66700000000003</v>
      </c>
      <c r="R353" s="785">
        <v>706.66700000000003</v>
      </c>
      <c r="S353" s="785">
        <v>706.66700000000003</v>
      </c>
      <c r="T353" s="785">
        <v>706.66700000000003</v>
      </c>
      <c r="U353" s="785">
        <v>706.66700000000003</v>
      </c>
      <c r="V353" s="785">
        <v>706.66700000000003</v>
      </c>
      <c r="W353" s="785">
        <v>706.66700000000003</v>
      </c>
      <c r="X353" s="785">
        <v>706.66700000000003</v>
      </c>
      <c r="Y353" s="785">
        <v>706.66700000000003</v>
      </c>
      <c r="Z353" s="785">
        <v>706.66700000000003</v>
      </c>
      <c r="AA353" s="859">
        <f t="shared" si="192"/>
        <v>8480.0040000000026</v>
      </c>
    </row>
    <row r="354" spans="1:27" ht="45" x14ac:dyDescent="0.25">
      <c r="A354" s="809"/>
      <c r="B354" s="2629"/>
      <c r="C354" s="2631"/>
      <c r="D354" s="2605"/>
      <c r="E354" s="2564"/>
      <c r="F354" s="2564"/>
      <c r="G354" s="2564"/>
      <c r="H354" s="2577"/>
      <c r="I354" s="2577"/>
      <c r="J354" s="2633"/>
      <c r="K354" s="2624"/>
      <c r="L354" s="2564"/>
      <c r="M354" s="956" t="s">
        <v>194</v>
      </c>
      <c r="N354" s="956" t="s">
        <v>1114</v>
      </c>
      <c r="O354" s="785">
        <v>2516.6669999999999</v>
      </c>
      <c r="P354" s="785">
        <v>2516.6669999999999</v>
      </c>
      <c r="Q354" s="785">
        <v>2516.6669999999999</v>
      </c>
      <c r="R354" s="785">
        <v>2516.6669999999999</v>
      </c>
      <c r="S354" s="785">
        <v>2516.6669999999999</v>
      </c>
      <c r="T354" s="785">
        <v>2516.6669999999999</v>
      </c>
      <c r="U354" s="785">
        <v>2516.6669999999999</v>
      </c>
      <c r="V354" s="785">
        <v>2516.6669999999999</v>
      </c>
      <c r="W354" s="785">
        <v>2516.6669999999999</v>
      </c>
      <c r="X354" s="785">
        <v>2516.6669999999999</v>
      </c>
      <c r="Y354" s="785">
        <v>2516.6669999999999</v>
      </c>
      <c r="Z354" s="785">
        <v>2516.6669999999999</v>
      </c>
      <c r="AA354" s="859">
        <f t="shared" si="192"/>
        <v>30200.004000000004</v>
      </c>
    </row>
    <row r="355" spans="1:27" ht="33.75" customHeight="1" x14ac:dyDescent="0.25">
      <c r="A355" s="809"/>
      <c r="B355" s="2629"/>
      <c r="C355" s="2631"/>
      <c r="D355" s="2605"/>
      <c r="E355" s="2564"/>
      <c r="F355" s="2564"/>
      <c r="G355" s="2564"/>
      <c r="H355" s="2577"/>
      <c r="I355" s="2577"/>
      <c r="J355" s="2633"/>
      <c r="K355" s="2624"/>
      <c r="L355" s="2564"/>
      <c r="M355" s="956" t="s">
        <v>195</v>
      </c>
      <c r="N355" s="956" t="s">
        <v>1115</v>
      </c>
      <c r="O355" s="785">
        <v>300</v>
      </c>
      <c r="P355" s="785">
        <v>300</v>
      </c>
      <c r="Q355" s="785">
        <v>300</v>
      </c>
      <c r="R355" s="785">
        <v>300</v>
      </c>
      <c r="S355" s="785">
        <v>300</v>
      </c>
      <c r="T355" s="785">
        <v>300</v>
      </c>
      <c r="U355" s="785">
        <v>300</v>
      </c>
      <c r="V355" s="785">
        <v>300</v>
      </c>
      <c r="W355" s="785">
        <v>300</v>
      </c>
      <c r="X355" s="785">
        <v>300</v>
      </c>
      <c r="Y355" s="785">
        <v>300</v>
      </c>
      <c r="Z355" s="785">
        <v>300</v>
      </c>
      <c r="AA355" s="859">
        <f t="shared" si="192"/>
        <v>3600</v>
      </c>
    </row>
    <row r="356" spans="1:27" ht="33.75" x14ac:dyDescent="0.25">
      <c r="A356" s="809"/>
      <c r="B356" s="2629"/>
      <c r="C356" s="2631"/>
      <c r="D356" s="2605"/>
      <c r="E356" s="2564"/>
      <c r="F356" s="2564"/>
      <c r="G356" s="2564"/>
      <c r="H356" s="2577"/>
      <c r="I356" s="2577"/>
      <c r="J356" s="2633"/>
      <c r="K356" s="2624"/>
      <c r="L356" s="2564"/>
      <c r="M356" s="956" t="s">
        <v>196</v>
      </c>
      <c r="N356" s="956" t="s">
        <v>1116</v>
      </c>
      <c r="O356" s="785">
        <v>150</v>
      </c>
      <c r="P356" s="785">
        <v>150</v>
      </c>
      <c r="Q356" s="785">
        <v>150</v>
      </c>
      <c r="R356" s="785">
        <v>150</v>
      </c>
      <c r="S356" s="785">
        <v>150</v>
      </c>
      <c r="T356" s="785">
        <v>150</v>
      </c>
      <c r="U356" s="785">
        <v>150</v>
      </c>
      <c r="V356" s="785">
        <v>150</v>
      </c>
      <c r="W356" s="785">
        <v>150</v>
      </c>
      <c r="X356" s="785">
        <v>150</v>
      </c>
      <c r="Y356" s="785">
        <v>150</v>
      </c>
      <c r="Z356" s="785">
        <v>150</v>
      </c>
      <c r="AA356" s="859">
        <f t="shared" si="192"/>
        <v>1800</v>
      </c>
    </row>
    <row r="357" spans="1:27" ht="22.5" x14ac:dyDescent="0.25">
      <c r="A357" s="809"/>
      <c r="B357" s="2629"/>
      <c r="C357" s="2631"/>
      <c r="D357" s="2605"/>
      <c r="E357" s="2564"/>
      <c r="F357" s="2564"/>
      <c r="G357" s="2564"/>
      <c r="H357" s="2577"/>
      <c r="I357" s="2577"/>
      <c r="J357" s="2633"/>
      <c r="K357" s="2624"/>
      <c r="L357" s="2564"/>
      <c r="M357" s="956" t="s">
        <v>199</v>
      </c>
      <c r="N357" s="956" t="s">
        <v>1118</v>
      </c>
      <c r="O357" s="785">
        <v>500</v>
      </c>
      <c r="P357" s="785">
        <v>500</v>
      </c>
      <c r="Q357" s="785">
        <v>500</v>
      </c>
      <c r="R357" s="785">
        <v>500</v>
      </c>
      <c r="S357" s="785">
        <v>500</v>
      </c>
      <c r="T357" s="785">
        <v>500</v>
      </c>
      <c r="U357" s="785">
        <v>500</v>
      </c>
      <c r="V357" s="785">
        <v>500</v>
      </c>
      <c r="W357" s="785">
        <v>500</v>
      </c>
      <c r="X357" s="785">
        <v>500</v>
      </c>
      <c r="Y357" s="785">
        <v>500</v>
      </c>
      <c r="Z357" s="785">
        <v>500</v>
      </c>
      <c r="AA357" s="859">
        <f t="shared" si="192"/>
        <v>6000</v>
      </c>
    </row>
    <row r="358" spans="1:27" ht="33.75" x14ac:dyDescent="0.25">
      <c r="A358" s="809"/>
      <c r="B358" s="2629"/>
      <c r="C358" s="2631"/>
      <c r="D358" s="2605"/>
      <c r="E358" s="2564"/>
      <c r="F358" s="2564"/>
      <c r="G358" s="2564"/>
      <c r="H358" s="2577"/>
      <c r="I358" s="2577"/>
      <c r="J358" s="2633"/>
      <c r="K358" s="2624"/>
      <c r="L358" s="2564"/>
      <c r="M358" s="956" t="s">
        <v>544</v>
      </c>
      <c r="N358" s="956" t="s">
        <v>1119</v>
      </c>
      <c r="O358" s="785">
        <v>500</v>
      </c>
      <c r="P358" s="785">
        <v>500</v>
      </c>
      <c r="Q358" s="785">
        <v>500</v>
      </c>
      <c r="R358" s="785">
        <v>500</v>
      </c>
      <c r="S358" s="785">
        <v>500</v>
      </c>
      <c r="T358" s="785">
        <v>500</v>
      </c>
      <c r="U358" s="785">
        <v>500</v>
      </c>
      <c r="V358" s="785">
        <v>500</v>
      </c>
      <c r="W358" s="785">
        <v>500</v>
      </c>
      <c r="X358" s="785">
        <v>500</v>
      </c>
      <c r="Y358" s="785">
        <v>500</v>
      </c>
      <c r="Z358" s="785">
        <v>500</v>
      </c>
      <c r="AA358" s="859">
        <f t="shared" si="192"/>
        <v>6000</v>
      </c>
    </row>
    <row r="359" spans="1:27" ht="45" x14ac:dyDescent="0.25">
      <c r="A359" s="809"/>
      <c r="B359" s="2629"/>
      <c r="C359" s="2631"/>
      <c r="D359" s="2605"/>
      <c r="E359" s="2564"/>
      <c r="F359" s="2564"/>
      <c r="G359" s="2564"/>
      <c r="H359" s="2577"/>
      <c r="I359" s="2577"/>
      <c r="J359" s="2633"/>
      <c r="K359" s="2624"/>
      <c r="L359" s="2564"/>
      <c r="M359" s="956" t="s">
        <v>200</v>
      </c>
      <c r="N359" s="956" t="s">
        <v>1120</v>
      </c>
      <c r="O359" s="785">
        <v>500</v>
      </c>
      <c r="P359" s="785">
        <v>500</v>
      </c>
      <c r="Q359" s="785">
        <v>500</v>
      </c>
      <c r="R359" s="785">
        <v>500</v>
      </c>
      <c r="S359" s="785">
        <v>500</v>
      </c>
      <c r="T359" s="785">
        <v>500</v>
      </c>
      <c r="U359" s="785">
        <v>500</v>
      </c>
      <c r="V359" s="785">
        <v>500</v>
      </c>
      <c r="W359" s="785">
        <v>500</v>
      </c>
      <c r="X359" s="785">
        <v>500</v>
      </c>
      <c r="Y359" s="785">
        <v>500</v>
      </c>
      <c r="Z359" s="785">
        <v>500</v>
      </c>
      <c r="AA359" s="859">
        <f t="shared" si="192"/>
        <v>6000</v>
      </c>
    </row>
    <row r="360" spans="1:27" ht="33.75" customHeight="1" x14ac:dyDescent="0.25">
      <c r="A360" s="809"/>
      <c r="B360" s="2629"/>
      <c r="C360" s="2631"/>
      <c r="D360" s="2605"/>
      <c r="E360" s="2564"/>
      <c r="F360" s="2564"/>
      <c r="G360" s="2564"/>
      <c r="H360" s="2577"/>
      <c r="I360" s="2577"/>
      <c r="J360" s="2633"/>
      <c r="K360" s="2624"/>
      <c r="L360" s="2564"/>
      <c r="M360" s="956" t="s">
        <v>226</v>
      </c>
      <c r="N360" s="956" t="s">
        <v>1122</v>
      </c>
      <c r="O360" s="785">
        <v>166.667</v>
      </c>
      <c r="P360" s="785">
        <v>166.667</v>
      </c>
      <c r="Q360" s="785">
        <v>166.667</v>
      </c>
      <c r="R360" s="785">
        <v>166.667</v>
      </c>
      <c r="S360" s="785">
        <v>166.667</v>
      </c>
      <c r="T360" s="785">
        <v>166.667</v>
      </c>
      <c r="U360" s="785">
        <v>166.667</v>
      </c>
      <c r="V360" s="785">
        <v>166.667</v>
      </c>
      <c r="W360" s="785">
        <v>166.667</v>
      </c>
      <c r="X360" s="785">
        <v>166.667</v>
      </c>
      <c r="Y360" s="785">
        <v>166.667</v>
      </c>
      <c r="Z360" s="785">
        <v>166.667</v>
      </c>
      <c r="AA360" s="859">
        <f t="shared" si="192"/>
        <v>2000.0039999999997</v>
      </c>
    </row>
    <row r="361" spans="1:27" x14ac:dyDescent="0.25">
      <c r="A361" s="809"/>
      <c r="B361" s="2629"/>
      <c r="C361" s="2631"/>
      <c r="D361" s="2605"/>
      <c r="E361" s="2564"/>
      <c r="F361" s="2564"/>
      <c r="G361" s="2564"/>
      <c r="H361" s="2577"/>
      <c r="I361" s="2577"/>
      <c r="J361" s="2633"/>
      <c r="K361" s="2624"/>
      <c r="L361" s="2564"/>
      <c r="M361" s="956" t="s">
        <v>1001</v>
      </c>
      <c r="N361" s="956" t="s">
        <v>997</v>
      </c>
      <c r="O361" s="785">
        <v>500</v>
      </c>
      <c r="P361" s="785">
        <v>500</v>
      </c>
      <c r="Q361" s="785">
        <v>500</v>
      </c>
      <c r="R361" s="785">
        <v>500</v>
      </c>
      <c r="S361" s="785">
        <v>500</v>
      </c>
      <c r="T361" s="785">
        <v>500</v>
      </c>
      <c r="U361" s="785">
        <v>500</v>
      </c>
      <c r="V361" s="785">
        <v>500</v>
      </c>
      <c r="W361" s="785">
        <v>500</v>
      </c>
      <c r="X361" s="785">
        <v>500</v>
      </c>
      <c r="Y361" s="785">
        <v>500</v>
      </c>
      <c r="Z361" s="785">
        <v>500</v>
      </c>
      <c r="AA361" s="859">
        <f t="shared" si="192"/>
        <v>6000</v>
      </c>
    </row>
    <row r="362" spans="1:27" ht="22.5" x14ac:dyDescent="0.25">
      <c r="A362" s="809"/>
      <c r="B362" s="2629"/>
      <c r="C362" s="2631"/>
      <c r="D362" s="2605"/>
      <c r="E362" s="2564"/>
      <c r="F362" s="2564"/>
      <c r="G362" s="2564"/>
      <c r="H362" s="2577"/>
      <c r="I362" s="2577"/>
      <c r="J362" s="2633"/>
      <c r="K362" s="2624"/>
      <c r="L362" s="2564"/>
      <c r="M362" s="956" t="s">
        <v>1142</v>
      </c>
      <c r="N362" s="956" t="s">
        <v>1143</v>
      </c>
      <c r="O362" s="785">
        <v>4483.3329999999996</v>
      </c>
      <c r="P362" s="785">
        <v>4483.3329999999996</v>
      </c>
      <c r="Q362" s="785">
        <v>4483.3329999999996</v>
      </c>
      <c r="R362" s="785">
        <v>4483.3329999999996</v>
      </c>
      <c r="S362" s="785">
        <v>4483.3329999999996</v>
      </c>
      <c r="T362" s="785">
        <v>4483.3329999999996</v>
      </c>
      <c r="U362" s="785">
        <v>4483.3329999999996</v>
      </c>
      <c r="V362" s="785">
        <v>4483.3329999999996</v>
      </c>
      <c r="W362" s="785">
        <v>4483.3329999999996</v>
      </c>
      <c r="X362" s="785">
        <v>4483.3329999999996</v>
      </c>
      <c r="Y362" s="785">
        <v>4483.3329999999996</v>
      </c>
      <c r="Z362" s="785">
        <v>4483.3329999999996</v>
      </c>
      <c r="AA362" s="859">
        <f t="shared" si="192"/>
        <v>53799.995999999992</v>
      </c>
    </row>
    <row r="363" spans="1:27" ht="22.5" x14ac:dyDescent="0.25">
      <c r="A363" s="809"/>
      <c r="B363" s="2629"/>
      <c r="C363" s="2631"/>
      <c r="D363" s="2605"/>
      <c r="E363" s="2564"/>
      <c r="F363" s="2564"/>
      <c r="G363" s="2564"/>
      <c r="H363" s="2577"/>
      <c r="I363" s="2577"/>
      <c r="J363" s="2633"/>
      <c r="K363" s="2624"/>
      <c r="L363" s="2564"/>
      <c r="M363" s="956" t="s">
        <v>1124</v>
      </c>
      <c r="N363" s="956" t="s">
        <v>1125</v>
      </c>
      <c r="O363" s="785">
        <v>166.667</v>
      </c>
      <c r="P363" s="785">
        <v>166.667</v>
      </c>
      <c r="Q363" s="785">
        <v>166.667</v>
      </c>
      <c r="R363" s="785">
        <v>166.667</v>
      </c>
      <c r="S363" s="785">
        <v>166.667</v>
      </c>
      <c r="T363" s="785">
        <v>166.667</v>
      </c>
      <c r="U363" s="785">
        <v>166.667</v>
      </c>
      <c r="V363" s="785">
        <v>166.667</v>
      </c>
      <c r="W363" s="785">
        <v>166.667</v>
      </c>
      <c r="X363" s="785">
        <v>166.667</v>
      </c>
      <c r="Y363" s="785">
        <v>166.667</v>
      </c>
      <c r="Z363" s="785">
        <v>166.667</v>
      </c>
      <c r="AA363" s="859">
        <f t="shared" si="192"/>
        <v>2000.0039999999997</v>
      </c>
    </row>
    <row r="364" spans="1:27" ht="45" x14ac:dyDescent="0.25">
      <c r="A364" s="809"/>
      <c r="B364" s="2629"/>
      <c r="C364" s="2631"/>
      <c r="D364" s="2605"/>
      <c r="E364" s="2564"/>
      <c r="F364" s="2564"/>
      <c r="G364" s="2564"/>
      <c r="H364" s="2577"/>
      <c r="I364" s="2577"/>
      <c r="J364" s="2633"/>
      <c r="K364" s="2624"/>
      <c r="L364" s="2564"/>
      <c r="M364" s="956" t="s">
        <v>1146</v>
      </c>
      <c r="N364" s="956" t="s">
        <v>1127</v>
      </c>
      <c r="O364" s="785">
        <v>83.332999999999998</v>
      </c>
      <c r="P364" s="785">
        <v>83.332999999999998</v>
      </c>
      <c r="Q364" s="785">
        <v>83.332999999999998</v>
      </c>
      <c r="R364" s="785">
        <v>83.332999999999998</v>
      </c>
      <c r="S364" s="785">
        <v>83.332999999999998</v>
      </c>
      <c r="T364" s="785">
        <v>83.332999999999998</v>
      </c>
      <c r="U364" s="785">
        <v>83.332999999999998</v>
      </c>
      <c r="V364" s="785">
        <v>83.332999999999998</v>
      </c>
      <c r="W364" s="785">
        <v>83.332999999999998</v>
      </c>
      <c r="X364" s="785">
        <v>83.332999999999998</v>
      </c>
      <c r="Y364" s="785">
        <v>83.332999999999998</v>
      </c>
      <c r="Z364" s="785">
        <v>83.332999999999998</v>
      </c>
      <c r="AA364" s="859">
        <f t="shared" si="192"/>
        <v>999.99599999999975</v>
      </c>
    </row>
    <row r="365" spans="1:27" ht="22.5" x14ac:dyDescent="0.25">
      <c r="A365" s="809"/>
      <c r="B365" s="2629"/>
      <c r="C365" s="2631"/>
      <c r="D365" s="2605"/>
      <c r="E365" s="2564"/>
      <c r="F365" s="2564"/>
      <c r="G365" s="2564"/>
      <c r="H365" s="2577"/>
      <c r="I365" s="2577"/>
      <c r="J365" s="2633"/>
      <c r="K365" s="2624"/>
      <c r="L365" s="2564"/>
      <c r="M365" s="956" t="s">
        <v>974</v>
      </c>
      <c r="N365" s="956" t="s">
        <v>207</v>
      </c>
      <c r="O365" s="785">
        <v>2125</v>
      </c>
      <c r="P365" s="785">
        <v>2125</v>
      </c>
      <c r="Q365" s="785">
        <v>2125</v>
      </c>
      <c r="R365" s="785">
        <v>2125</v>
      </c>
      <c r="S365" s="785">
        <v>2125</v>
      </c>
      <c r="T365" s="785">
        <v>2125</v>
      </c>
      <c r="U365" s="785">
        <v>2125</v>
      </c>
      <c r="V365" s="785">
        <v>2125</v>
      </c>
      <c r="W365" s="785">
        <v>2125</v>
      </c>
      <c r="X365" s="785">
        <v>2125</v>
      </c>
      <c r="Y365" s="785">
        <v>2125</v>
      </c>
      <c r="Z365" s="785">
        <v>2125</v>
      </c>
      <c r="AA365" s="859">
        <f t="shared" si="192"/>
        <v>25500</v>
      </c>
    </row>
    <row r="366" spans="1:27" ht="33.75" x14ac:dyDescent="0.25">
      <c r="A366" s="809"/>
      <c r="B366" s="2629"/>
      <c r="C366" s="2631"/>
      <c r="D366" s="2605"/>
      <c r="E366" s="2564"/>
      <c r="F366" s="2564"/>
      <c r="G366" s="2564"/>
      <c r="H366" s="2577"/>
      <c r="I366" s="2577"/>
      <c r="J366" s="2633"/>
      <c r="K366" s="2624"/>
      <c r="L366" s="2564"/>
      <c r="M366" s="956" t="s">
        <v>208</v>
      </c>
      <c r="N366" s="956" t="s">
        <v>1132</v>
      </c>
      <c r="O366" s="785">
        <v>4700</v>
      </c>
      <c r="P366" s="785">
        <v>4700</v>
      </c>
      <c r="Q366" s="785">
        <v>4700</v>
      </c>
      <c r="R366" s="785">
        <v>4700</v>
      </c>
      <c r="S366" s="785">
        <v>4700</v>
      </c>
      <c r="T366" s="785">
        <v>4700</v>
      </c>
      <c r="U366" s="785">
        <v>4700</v>
      </c>
      <c r="V366" s="785">
        <v>4700</v>
      </c>
      <c r="W366" s="785">
        <v>4700</v>
      </c>
      <c r="X366" s="785">
        <v>4700</v>
      </c>
      <c r="Y366" s="785">
        <v>4700</v>
      </c>
      <c r="Z366" s="785">
        <v>4700</v>
      </c>
      <c r="AA366" s="859">
        <f t="shared" si="192"/>
        <v>56400</v>
      </c>
    </row>
    <row r="367" spans="1:27" ht="22.5" x14ac:dyDescent="0.25">
      <c r="A367" s="809"/>
      <c r="B367" s="2629"/>
      <c r="C367" s="2631"/>
      <c r="D367" s="2605"/>
      <c r="E367" s="2564"/>
      <c r="F367" s="2564"/>
      <c r="G367" s="2564"/>
      <c r="H367" s="2577"/>
      <c r="I367" s="2577"/>
      <c r="J367" s="2633"/>
      <c r="K367" s="2624"/>
      <c r="L367" s="2564"/>
      <c r="M367" s="956" t="s">
        <v>210</v>
      </c>
      <c r="N367" s="956" t="s">
        <v>1100</v>
      </c>
      <c r="O367" s="785">
        <v>513</v>
      </c>
      <c r="P367" s="785">
        <v>513</v>
      </c>
      <c r="Q367" s="785">
        <v>513</v>
      </c>
      <c r="R367" s="785">
        <v>513</v>
      </c>
      <c r="S367" s="785">
        <v>513</v>
      </c>
      <c r="T367" s="785">
        <v>513</v>
      </c>
      <c r="U367" s="785">
        <v>513</v>
      </c>
      <c r="V367" s="785">
        <v>513</v>
      </c>
      <c r="W367" s="785">
        <v>513</v>
      </c>
      <c r="X367" s="785">
        <v>513</v>
      </c>
      <c r="Y367" s="785">
        <v>513</v>
      </c>
      <c r="Z367" s="785">
        <v>513</v>
      </c>
      <c r="AA367" s="859">
        <f t="shared" si="192"/>
        <v>6156</v>
      </c>
    </row>
    <row r="368" spans="1:27" ht="22.5" x14ac:dyDescent="0.25">
      <c r="A368" s="809"/>
      <c r="B368" s="2629"/>
      <c r="C368" s="2631"/>
      <c r="D368" s="2605"/>
      <c r="E368" s="2564"/>
      <c r="F368" s="2564"/>
      <c r="G368" s="2564"/>
      <c r="H368" s="2577"/>
      <c r="I368" s="2577"/>
      <c r="J368" s="2633"/>
      <c r="K368" s="2624"/>
      <c r="L368" s="2564"/>
      <c r="M368" s="956" t="s">
        <v>1137</v>
      </c>
      <c r="N368" s="956" t="s">
        <v>1138</v>
      </c>
      <c r="O368" s="785">
        <v>416.66699999999997</v>
      </c>
      <c r="P368" s="785">
        <v>416.66699999999997</v>
      </c>
      <c r="Q368" s="785">
        <v>416.66699999999997</v>
      </c>
      <c r="R368" s="785">
        <v>416.66699999999997</v>
      </c>
      <c r="S368" s="785">
        <v>416.66699999999997</v>
      </c>
      <c r="T368" s="785">
        <v>416.66699999999997</v>
      </c>
      <c r="U368" s="785">
        <v>416.66699999999997</v>
      </c>
      <c r="V368" s="785">
        <v>416.66699999999997</v>
      </c>
      <c r="W368" s="785">
        <v>416.66699999999997</v>
      </c>
      <c r="X368" s="785">
        <v>416.66699999999997</v>
      </c>
      <c r="Y368" s="785">
        <v>416.66699999999997</v>
      </c>
      <c r="Z368" s="785">
        <v>416.66699999999997</v>
      </c>
      <c r="AA368" s="859">
        <f t="shared" si="192"/>
        <v>5000.0040000000008</v>
      </c>
    </row>
    <row r="369" spans="1:27" x14ac:dyDescent="0.25">
      <c r="A369" s="809"/>
      <c r="B369" s="2629"/>
      <c r="C369" s="2631"/>
      <c r="D369" s="2605"/>
      <c r="E369" s="2564"/>
      <c r="F369" s="2564"/>
      <c r="G369" s="2564"/>
      <c r="H369" s="2608"/>
      <c r="I369" s="2577"/>
      <c r="J369" s="2633"/>
      <c r="K369" s="2624"/>
      <c r="L369" s="2564"/>
      <c r="M369" s="956" t="s">
        <v>555</v>
      </c>
      <c r="N369" s="956" t="s">
        <v>556</v>
      </c>
      <c r="O369" s="943">
        <v>416.66699999999997</v>
      </c>
      <c r="P369" s="943">
        <v>416.66699999999997</v>
      </c>
      <c r="Q369" s="943">
        <v>416.66699999999997</v>
      </c>
      <c r="R369" s="943">
        <v>416.66699999999997</v>
      </c>
      <c r="S369" s="943">
        <v>416.66699999999997</v>
      </c>
      <c r="T369" s="943">
        <v>416.66699999999997</v>
      </c>
      <c r="U369" s="943">
        <v>416.66699999999997</v>
      </c>
      <c r="V369" s="943">
        <v>416.66699999999997</v>
      </c>
      <c r="W369" s="943">
        <v>416.66699999999997</v>
      </c>
      <c r="X369" s="943">
        <v>416.66699999999997</v>
      </c>
      <c r="Y369" s="943">
        <v>416.66699999999997</v>
      </c>
      <c r="Z369" s="943">
        <v>416.66699999999997</v>
      </c>
      <c r="AA369" s="875">
        <f t="shared" si="192"/>
        <v>5000.0040000000008</v>
      </c>
    </row>
    <row r="370" spans="1:27" ht="36" customHeight="1" x14ac:dyDescent="0.25">
      <c r="A370" s="809"/>
      <c r="B370" s="1022" t="s">
        <v>6</v>
      </c>
      <c r="C370" s="2611" t="s">
        <v>962</v>
      </c>
      <c r="D370" s="2612"/>
      <c r="E370" s="2612"/>
      <c r="F370" s="2612"/>
      <c r="G370" s="2612"/>
      <c r="H370" s="2612"/>
      <c r="I370" s="2612"/>
      <c r="J370" s="816"/>
      <c r="K370" s="816"/>
      <c r="L370" s="816"/>
      <c r="M370" s="816"/>
      <c r="N370" s="816"/>
      <c r="O370" s="816"/>
      <c r="P370" s="816"/>
      <c r="Q370" s="816"/>
      <c r="R370" s="816"/>
      <c r="S370" s="816"/>
      <c r="T370" s="816"/>
      <c r="U370" s="816"/>
      <c r="V370" s="816"/>
      <c r="W370" s="816"/>
      <c r="X370" s="816"/>
      <c r="Y370" s="816"/>
      <c r="Z370" s="816"/>
      <c r="AA370" s="827"/>
    </row>
    <row r="371" spans="1:27" ht="26.25" customHeight="1" x14ac:dyDescent="0.25">
      <c r="A371" s="809"/>
      <c r="B371" s="940" t="s">
        <v>8</v>
      </c>
      <c r="C371" s="2597" t="s">
        <v>1077</v>
      </c>
      <c r="D371" s="2598"/>
      <c r="E371" s="2598"/>
      <c r="F371" s="2598"/>
      <c r="G371" s="2598"/>
      <c r="H371" s="2598"/>
      <c r="I371" s="2598"/>
      <c r="J371" s="2598"/>
      <c r="K371" s="2598"/>
      <c r="L371" s="2598"/>
      <c r="M371" s="2598"/>
      <c r="N371" s="2598"/>
      <c r="O371" s="2598"/>
      <c r="P371" s="2598"/>
      <c r="Q371" s="2598"/>
      <c r="R371" s="2598"/>
      <c r="S371" s="2598"/>
      <c r="T371" s="2598"/>
      <c r="U371" s="2598"/>
      <c r="V371" s="2598"/>
      <c r="W371" s="2598"/>
      <c r="X371" s="2598"/>
      <c r="Y371" s="2598"/>
      <c r="Z371" s="2598"/>
      <c r="AA371" s="2853"/>
    </row>
    <row r="372" spans="1:27" ht="30.75" customHeight="1" x14ac:dyDescent="0.25">
      <c r="A372" s="809"/>
      <c r="B372" s="924" t="s">
        <v>272</v>
      </c>
      <c r="C372" s="2611" t="s">
        <v>12</v>
      </c>
      <c r="D372" s="2612"/>
      <c r="E372" s="2612"/>
      <c r="F372" s="2612"/>
      <c r="G372" s="2612"/>
      <c r="H372" s="2612"/>
      <c r="I372" s="2612"/>
      <c r="J372" s="816"/>
      <c r="K372" s="816"/>
      <c r="L372" s="816"/>
      <c r="M372" s="816"/>
      <c r="N372" s="816"/>
      <c r="O372" s="816"/>
      <c r="P372" s="816"/>
      <c r="Q372" s="816"/>
      <c r="R372" s="816"/>
      <c r="S372" s="816"/>
      <c r="T372" s="816"/>
      <c r="U372" s="816"/>
      <c r="V372" s="816"/>
      <c r="W372" s="816"/>
      <c r="X372" s="816"/>
      <c r="Y372" s="816"/>
      <c r="Z372" s="816"/>
      <c r="AA372" s="827"/>
    </row>
    <row r="373" spans="1:27" x14ac:dyDescent="0.25">
      <c r="A373" s="809"/>
      <c r="B373" s="2583" t="s">
        <v>13</v>
      </c>
      <c r="C373" s="2640">
        <v>9002</v>
      </c>
      <c r="D373" s="2594" t="s">
        <v>14</v>
      </c>
      <c r="E373" s="2620"/>
      <c r="F373" s="2620"/>
      <c r="G373" s="2620"/>
      <c r="H373" s="2620"/>
      <c r="I373" s="2620"/>
      <c r="J373" s="2620"/>
      <c r="K373" s="2620"/>
      <c r="L373" s="2620"/>
      <c r="M373" s="2620"/>
      <c r="N373" s="2620"/>
      <c r="O373" s="2620"/>
      <c r="P373" s="2620"/>
      <c r="Q373" s="838"/>
      <c r="R373" s="838"/>
      <c r="S373" s="838"/>
      <c r="T373" s="838"/>
      <c r="U373" s="839"/>
      <c r="V373" s="2602" t="s">
        <v>15</v>
      </c>
      <c r="W373" s="2609"/>
      <c r="X373" s="2609"/>
      <c r="Y373" s="2603"/>
      <c r="Z373" s="2602" t="s">
        <v>16</v>
      </c>
      <c r="AA373" s="2603"/>
    </row>
    <row r="374" spans="1:27" x14ac:dyDescent="0.25">
      <c r="A374" s="809"/>
      <c r="B374" s="2583"/>
      <c r="C374" s="2641"/>
      <c r="D374" s="2642"/>
      <c r="E374" s="2643"/>
      <c r="F374" s="2643"/>
      <c r="G374" s="2643"/>
      <c r="H374" s="2643"/>
      <c r="I374" s="2643"/>
      <c r="J374" s="2643"/>
      <c r="K374" s="2643"/>
      <c r="L374" s="2643"/>
      <c r="M374" s="2643"/>
      <c r="N374" s="2643"/>
      <c r="O374" s="2643"/>
      <c r="P374" s="2643"/>
      <c r="Q374" s="840"/>
      <c r="R374" s="840"/>
      <c r="S374" s="840"/>
      <c r="T374" s="840"/>
      <c r="U374" s="841"/>
      <c r="V374" s="922"/>
      <c r="W374" s="923"/>
      <c r="X374" s="923"/>
      <c r="Y374" s="931"/>
      <c r="Z374" s="930"/>
      <c r="AA374" s="928"/>
    </row>
    <row r="375" spans="1:27" x14ac:dyDescent="0.25">
      <c r="A375" s="809"/>
      <c r="B375" s="2583" t="s">
        <v>18</v>
      </c>
      <c r="C375" s="2543">
        <v>3.9999989999999999</v>
      </c>
      <c r="D375" s="2594" t="s">
        <v>163</v>
      </c>
      <c r="E375" s="2620"/>
      <c r="F375" s="2620"/>
      <c r="G375" s="2620"/>
      <c r="H375" s="2620"/>
      <c r="I375" s="2620"/>
      <c r="J375" s="2620"/>
      <c r="K375" s="2620"/>
      <c r="L375" s="2620"/>
      <c r="M375" s="2620"/>
      <c r="N375" s="2620"/>
      <c r="O375" s="2620"/>
      <c r="P375" s="2620"/>
      <c r="Q375" s="787"/>
      <c r="R375" s="787"/>
      <c r="S375" s="787"/>
      <c r="T375" s="787"/>
      <c r="U375" s="788"/>
      <c r="V375" s="2602" t="s">
        <v>15</v>
      </c>
      <c r="W375" s="2609"/>
      <c r="X375" s="2609"/>
      <c r="Y375" s="2603"/>
      <c r="Z375" s="2610" t="s">
        <v>16</v>
      </c>
      <c r="AA375" s="2610"/>
    </row>
    <row r="376" spans="1:27" x14ac:dyDescent="0.25">
      <c r="A376" s="809"/>
      <c r="B376" s="2583"/>
      <c r="C376" s="2544"/>
      <c r="D376" s="2621"/>
      <c r="E376" s="2622"/>
      <c r="F376" s="2622"/>
      <c r="G376" s="2622"/>
      <c r="H376" s="2622"/>
      <c r="I376" s="2622"/>
      <c r="J376" s="2622"/>
      <c r="K376" s="2622"/>
      <c r="L376" s="2622"/>
      <c r="M376" s="2622"/>
      <c r="N376" s="2622"/>
      <c r="O376" s="2622"/>
      <c r="P376" s="2622"/>
      <c r="Q376" s="789"/>
      <c r="R376" s="789"/>
      <c r="S376" s="789"/>
      <c r="T376" s="789"/>
      <c r="U376" s="791"/>
      <c r="V376" s="2611"/>
      <c r="W376" s="2612"/>
      <c r="X376" s="2612"/>
      <c r="Y376" s="2613"/>
      <c r="Z376" s="2610"/>
      <c r="AA376" s="2610"/>
    </row>
    <row r="377" spans="1:27" x14ac:dyDescent="0.25">
      <c r="A377" s="809"/>
      <c r="B377" s="2614" t="s">
        <v>20</v>
      </c>
      <c r="C377" s="2616" t="s">
        <v>21</v>
      </c>
      <c r="D377" s="2616" t="s">
        <v>22</v>
      </c>
      <c r="E377" s="2616" t="s">
        <v>23</v>
      </c>
      <c r="F377" s="2616" t="s">
        <v>164</v>
      </c>
      <c r="G377" s="2616" t="s">
        <v>25</v>
      </c>
      <c r="H377" s="2616" t="s">
        <v>26</v>
      </c>
      <c r="I377" s="2616" t="s">
        <v>27</v>
      </c>
      <c r="J377" s="2408" t="s">
        <v>28</v>
      </c>
      <c r="K377" s="2409"/>
      <c r="L377" s="2616" t="s">
        <v>29</v>
      </c>
      <c r="M377" s="2616" t="s">
        <v>30</v>
      </c>
      <c r="N377" s="2616"/>
      <c r="O377" s="2617" t="s">
        <v>31</v>
      </c>
      <c r="P377" s="2618"/>
      <c r="Q377" s="2618"/>
      <c r="R377" s="2618"/>
      <c r="S377" s="2618"/>
      <c r="T377" s="2618"/>
      <c r="U377" s="2618"/>
      <c r="V377" s="2618"/>
      <c r="W377" s="2618"/>
      <c r="X377" s="2618"/>
      <c r="Y377" s="2618"/>
      <c r="Z377" s="2619"/>
      <c r="AA377" s="2616" t="s">
        <v>32</v>
      </c>
    </row>
    <row r="378" spans="1:27" x14ac:dyDescent="0.25">
      <c r="A378" s="809"/>
      <c r="B378" s="2615"/>
      <c r="C378" s="2616"/>
      <c r="D378" s="2616"/>
      <c r="E378" s="2616"/>
      <c r="F378" s="2616"/>
      <c r="G378" s="2616"/>
      <c r="H378" s="2616"/>
      <c r="I378" s="2616"/>
      <c r="J378" s="925" t="s">
        <v>33</v>
      </c>
      <c r="K378" s="925" t="s">
        <v>34</v>
      </c>
      <c r="L378" s="2616"/>
      <c r="M378" s="2616"/>
      <c r="N378" s="2616"/>
      <c r="O378" s="925" t="s">
        <v>35</v>
      </c>
      <c r="P378" s="925" t="s">
        <v>36</v>
      </c>
      <c r="Q378" s="925" t="s">
        <v>37</v>
      </c>
      <c r="R378" s="925" t="s">
        <v>38</v>
      </c>
      <c r="S378" s="925" t="s">
        <v>39</v>
      </c>
      <c r="T378" s="925" t="s">
        <v>40</v>
      </c>
      <c r="U378" s="925" t="s">
        <v>41</v>
      </c>
      <c r="V378" s="925" t="s">
        <v>42</v>
      </c>
      <c r="W378" s="925" t="s">
        <v>43</v>
      </c>
      <c r="X378" s="925" t="s">
        <v>44</v>
      </c>
      <c r="Y378" s="925" t="s">
        <v>45</v>
      </c>
      <c r="Z378" s="925" t="s">
        <v>46</v>
      </c>
      <c r="AA378" s="2616"/>
    </row>
    <row r="379" spans="1:27" x14ac:dyDescent="0.25">
      <c r="A379" s="809"/>
      <c r="B379" s="2584">
        <v>5.0009420000000002</v>
      </c>
      <c r="C379" s="2584" t="s">
        <v>1147</v>
      </c>
      <c r="D379" s="2584" t="s">
        <v>1148</v>
      </c>
      <c r="E379" s="2596" t="s">
        <v>1149</v>
      </c>
      <c r="F379" s="2596" t="s">
        <v>1150</v>
      </c>
      <c r="G379" s="2596" t="s">
        <v>1151</v>
      </c>
      <c r="H379" s="2596" t="s">
        <v>1152</v>
      </c>
      <c r="I379" s="2596" t="s">
        <v>264</v>
      </c>
      <c r="J379" s="2590">
        <f>+AA379</f>
        <v>260</v>
      </c>
      <c r="K379" s="2590">
        <f>SUM(AA381:AA385)</f>
        <v>66300</v>
      </c>
      <c r="L379" s="2591" t="s">
        <v>1153</v>
      </c>
      <c r="M379" s="2594" t="s">
        <v>51</v>
      </c>
      <c r="N379" s="2595"/>
      <c r="O379" s="805">
        <v>21</v>
      </c>
      <c r="P379" s="805">
        <v>22</v>
      </c>
      <c r="Q379" s="805">
        <v>21</v>
      </c>
      <c r="R379" s="805">
        <v>22</v>
      </c>
      <c r="S379" s="805">
        <v>22</v>
      </c>
      <c r="T379" s="805">
        <v>21</v>
      </c>
      <c r="U379" s="805">
        <v>22</v>
      </c>
      <c r="V379" s="805">
        <v>22</v>
      </c>
      <c r="W379" s="805">
        <v>22</v>
      </c>
      <c r="X379" s="805">
        <v>22</v>
      </c>
      <c r="Y379" s="805">
        <v>22</v>
      </c>
      <c r="Z379" s="805">
        <v>21</v>
      </c>
      <c r="AA379" s="860">
        <f t="shared" ref="AA379:AA398" si="193">SUM(O379:Z379)</f>
        <v>260</v>
      </c>
    </row>
    <row r="380" spans="1:27" x14ac:dyDescent="0.25">
      <c r="A380" s="809"/>
      <c r="B380" s="2585"/>
      <c r="C380" s="2585"/>
      <c r="D380" s="2585"/>
      <c r="E380" s="2596"/>
      <c r="F380" s="2596"/>
      <c r="G380" s="2596"/>
      <c r="H380" s="2596"/>
      <c r="I380" s="2596"/>
      <c r="J380" s="2590"/>
      <c r="K380" s="2590"/>
      <c r="L380" s="2592"/>
      <c r="M380" s="2583" t="s">
        <v>972</v>
      </c>
      <c r="N380" s="2583"/>
      <c r="O380" s="805">
        <f>SUM(O381:O385)</f>
        <v>5524.9999999999991</v>
      </c>
      <c r="P380" s="805">
        <f t="shared" ref="P380:Z380" si="194">SUM(P381:P385)</f>
        <v>5524.9999999999991</v>
      </c>
      <c r="Q380" s="805">
        <f t="shared" si="194"/>
        <v>5524.9999999999991</v>
      </c>
      <c r="R380" s="805">
        <f t="shared" si="194"/>
        <v>5524.9999999999991</v>
      </c>
      <c r="S380" s="805">
        <f t="shared" si="194"/>
        <v>5524.9999999999991</v>
      </c>
      <c r="T380" s="805">
        <f t="shared" si="194"/>
        <v>5524.9999999999991</v>
      </c>
      <c r="U380" s="805">
        <f t="shared" si="194"/>
        <v>5524.9999999999991</v>
      </c>
      <c r="V380" s="805">
        <f t="shared" si="194"/>
        <v>5524.9999999999991</v>
      </c>
      <c r="W380" s="805">
        <f t="shared" si="194"/>
        <v>5524.9999999999991</v>
      </c>
      <c r="X380" s="805">
        <f t="shared" si="194"/>
        <v>5524.9999999999991</v>
      </c>
      <c r="Y380" s="805">
        <f t="shared" si="194"/>
        <v>5524.9999999999991</v>
      </c>
      <c r="Z380" s="805">
        <f t="shared" si="194"/>
        <v>5524.9999999999991</v>
      </c>
      <c r="AA380" s="860">
        <f>SUM(O380:Z380)</f>
        <v>66299.999999999985</v>
      </c>
    </row>
    <row r="381" spans="1:27" ht="45" x14ac:dyDescent="0.25">
      <c r="A381" s="809"/>
      <c r="B381" s="2585"/>
      <c r="C381" s="2585"/>
      <c r="D381" s="2585"/>
      <c r="E381" s="2596"/>
      <c r="F381" s="2596"/>
      <c r="G381" s="2596"/>
      <c r="H381" s="2596"/>
      <c r="I381" s="2596"/>
      <c r="J381" s="2590"/>
      <c r="K381" s="2590"/>
      <c r="L381" s="2592"/>
      <c r="M381" s="956" t="s">
        <v>194</v>
      </c>
      <c r="N381" s="956" t="s">
        <v>1114</v>
      </c>
      <c r="O381" s="927">
        <v>1666.6669999999999</v>
      </c>
      <c r="P381" s="927">
        <v>1666.6669999999999</v>
      </c>
      <c r="Q381" s="927">
        <v>1666.6669999999999</v>
      </c>
      <c r="R381" s="927">
        <v>1666.6669999999999</v>
      </c>
      <c r="S381" s="927">
        <v>1666.6669999999999</v>
      </c>
      <c r="T381" s="927">
        <v>1666.6669999999999</v>
      </c>
      <c r="U381" s="927">
        <v>1666.6669999999999</v>
      </c>
      <c r="V381" s="927">
        <v>1666.6669999999999</v>
      </c>
      <c r="W381" s="927">
        <v>1666.6669999999999</v>
      </c>
      <c r="X381" s="927">
        <v>1666.6669999999999</v>
      </c>
      <c r="Y381" s="927">
        <v>1666.6669999999999</v>
      </c>
      <c r="Z381" s="927">
        <v>1666.6669999999999</v>
      </c>
      <c r="AA381" s="859">
        <f t="shared" si="193"/>
        <v>20000.004000000001</v>
      </c>
    </row>
    <row r="382" spans="1:27" ht="33.75" x14ac:dyDescent="0.25">
      <c r="A382" s="809"/>
      <c r="B382" s="2585"/>
      <c r="C382" s="2585"/>
      <c r="D382" s="2585"/>
      <c r="E382" s="2596"/>
      <c r="F382" s="2596"/>
      <c r="G382" s="2596"/>
      <c r="H382" s="2596"/>
      <c r="I382" s="2596"/>
      <c r="J382" s="2590"/>
      <c r="K382" s="2590"/>
      <c r="L382" s="2592"/>
      <c r="M382" s="956" t="s">
        <v>198</v>
      </c>
      <c r="N382" s="956" t="s">
        <v>1117</v>
      </c>
      <c r="O382" s="927">
        <v>25</v>
      </c>
      <c r="P382" s="927">
        <v>25</v>
      </c>
      <c r="Q382" s="927">
        <v>25</v>
      </c>
      <c r="R382" s="927">
        <v>25</v>
      </c>
      <c r="S382" s="927">
        <v>25</v>
      </c>
      <c r="T382" s="927">
        <v>25</v>
      </c>
      <c r="U382" s="927">
        <v>25</v>
      </c>
      <c r="V382" s="927">
        <v>25</v>
      </c>
      <c r="W382" s="927">
        <v>25</v>
      </c>
      <c r="X382" s="927">
        <v>25</v>
      </c>
      <c r="Y382" s="927">
        <v>25</v>
      </c>
      <c r="Z382" s="927">
        <v>25</v>
      </c>
      <c r="AA382" s="859">
        <f t="shared" si="193"/>
        <v>300</v>
      </c>
    </row>
    <row r="383" spans="1:27" ht="22.5" x14ac:dyDescent="0.25">
      <c r="A383" s="809"/>
      <c r="B383" s="2585"/>
      <c r="C383" s="2585"/>
      <c r="D383" s="2585"/>
      <c r="E383" s="2596"/>
      <c r="F383" s="2596"/>
      <c r="G383" s="2596"/>
      <c r="H383" s="2596"/>
      <c r="I383" s="2596"/>
      <c r="J383" s="2590"/>
      <c r="K383" s="2590"/>
      <c r="L383" s="2592"/>
      <c r="M383" s="956" t="s">
        <v>974</v>
      </c>
      <c r="N383" s="956" t="s">
        <v>207</v>
      </c>
      <c r="O383" s="927">
        <v>1500</v>
      </c>
      <c r="P383" s="927">
        <v>1500</v>
      </c>
      <c r="Q383" s="927">
        <v>1500</v>
      </c>
      <c r="R383" s="927">
        <v>1500</v>
      </c>
      <c r="S383" s="927">
        <v>1500</v>
      </c>
      <c r="T383" s="927">
        <v>1500</v>
      </c>
      <c r="U383" s="927">
        <v>1500</v>
      </c>
      <c r="V383" s="927">
        <v>1500</v>
      </c>
      <c r="W383" s="927">
        <v>1500</v>
      </c>
      <c r="X383" s="927">
        <v>1500</v>
      </c>
      <c r="Y383" s="927">
        <v>1500</v>
      </c>
      <c r="Z383" s="927">
        <v>1500</v>
      </c>
      <c r="AA383" s="859">
        <f t="shared" si="193"/>
        <v>18000</v>
      </c>
    </row>
    <row r="384" spans="1:27" ht="33.75" x14ac:dyDescent="0.25">
      <c r="A384" s="809"/>
      <c r="B384" s="2585"/>
      <c r="C384" s="2585"/>
      <c r="D384" s="2585"/>
      <c r="E384" s="2596"/>
      <c r="F384" s="2596"/>
      <c r="G384" s="2596"/>
      <c r="H384" s="2596"/>
      <c r="I384" s="2596"/>
      <c r="J384" s="2590"/>
      <c r="K384" s="2590"/>
      <c r="L384" s="2592"/>
      <c r="M384" s="956" t="s">
        <v>208</v>
      </c>
      <c r="N384" s="956" t="s">
        <v>1132</v>
      </c>
      <c r="O384" s="927">
        <v>2250</v>
      </c>
      <c r="P384" s="927">
        <v>2250</v>
      </c>
      <c r="Q384" s="927">
        <v>2250</v>
      </c>
      <c r="R384" s="927">
        <v>2250</v>
      </c>
      <c r="S384" s="927">
        <v>2250</v>
      </c>
      <c r="T384" s="927">
        <v>2250</v>
      </c>
      <c r="U384" s="927">
        <v>2250</v>
      </c>
      <c r="V384" s="927">
        <v>2250</v>
      </c>
      <c r="W384" s="927">
        <v>2250</v>
      </c>
      <c r="X384" s="927">
        <v>2250</v>
      </c>
      <c r="Y384" s="927">
        <v>2250</v>
      </c>
      <c r="Z384" s="927">
        <v>2250</v>
      </c>
      <c r="AA384" s="859">
        <f t="shared" si="193"/>
        <v>27000</v>
      </c>
    </row>
    <row r="385" spans="1:28" ht="33.75" x14ac:dyDescent="0.25">
      <c r="A385" s="809"/>
      <c r="B385" s="2586"/>
      <c r="C385" s="2586"/>
      <c r="D385" s="2586"/>
      <c r="E385" s="2596"/>
      <c r="F385" s="2596"/>
      <c r="G385" s="2596"/>
      <c r="H385" s="2596"/>
      <c r="I385" s="2596"/>
      <c r="J385" s="2590"/>
      <c r="K385" s="2590"/>
      <c r="L385" s="2593"/>
      <c r="M385" s="956" t="s">
        <v>210</v>
      </c>
      <c r="N385" s="956" t="s">
        <v>1154</v>
      </c>
      <c r="O385" s="927">
        <v>83.332999999999998</v>
      </c>
      <c r="P385" s="927">
        <v>83.332999999999998</v>
      </c>
      <c r="Q385" s="927">
        <v>83.332999999999998</v>
      </c>
      <c r="R385" s="927">
        <v>83.332999999999998</v>
      </c>
      <c r="S385" s="927">
        <v>83.332999999999998</v>
      </c>
      <c r="T385" s="927">
        <v>83.332999999999998</v>
      </c>
      <c r="U385" s="927">
        <v>83.332999999999998</v>
      </c>
      <c r="V385" s="927">
        <v>83.332999999999998</v>
      </c>
      <c r="W385" s="927">
        <v>83.332999999999998</v>
      </c>
      <c r="X385" s="927">
        <v>83.332999999999998</v>
      </c>
      <c r="Y385" s="927">
        <v>83.332999999999998</v>
      </c>
      <c r="Z385" s="927">
        <v>83.332999999999998</v>
      </c>
      <c r="AA385" s="859">
        <f t="shared" si="193"/>
        <v>999.99599999999975</v>
      </c>
    </row>
    <row r="386" spans="1:28" x14ac:dyDescent="0.25">
      <c r="A386" s="809"/>
      <c r="B386" s="2584">
        <v>5000991</v>
      </c>
      <c r="C386" s="2584" t="s">
        <v>134</v>
      </c>
      <c r="D386" s="2584" t="s">
        <v>1155</v>
      </c>
      <c r="E386" s="2596" t="s">
        <v>1156</v>
      </c>
      <c r="F386" s="2596" t="s">
        <v>1157</v>
      </c>
      <c r="G386" s="2596" t="s">
        <v>1158</v>
      </c>
      <c r="H386" s="2596" t="s">
        <v>1159</v>
      </c>
      <c r="I386" s="2591" t="s">
        <v>133</v>
      </c>
      <c r="J386" s="2587">
        <f>+AA386</f>
        <v>12</v>
      </c>
      <c r="K386" s="2587">
        <f>SUM(AA388:AA390)</f>
        <v>770441.99999999988</v>
      </c>
      <c r="L386" s="2591" t="s">
        <v>1089</v>
      </c>
      <c r="M386" s="2583" t="s">
        <v>51</v>
      </c>
      <c r="N386" s="2583"/>
      <c r="O386" s="805">
        <v>1</v>
      </c>
      <c r="P386" s="805">
        <v>1</v>
      </c>
      <c r="Q386" s="805">
        <v>1</v>
      </c>
      <c r="R386" s="805">
        <v>1</v>
      </c>
      <c r="S386" s="805">
        <v>1</v>
      </c>
      <c r="T386" s="805">
        <v>1</v>
      </c>
      <c r="U386" s="805">
        <v>1</v>
      </c>
      <c r="V386" s="805">
        <v>1</v>
      </c>
      <c r="W386" s="805">
        <v>1</v>
      </c>
      <c r="X386" s="805">
        <v>1</v>
      </c>
      <c r="Y386" s="805">
        <v>1</v>
      </c>
      <c r="Z386" s="805">
        <v>1</v>
      </c>
      <c r="AA386" s="860">
        <f t="shared" si="193"/>
        <v>12</v>
      </c>
    </row>
    <row r="387" spans="1:28" x14ac:dyDescent="0.25">
      <c r="A387" s="809"/>
      <c r="B387" s="2585"/>
      <c r="C387" s="2585"/>
      <c r="D387" s="2585"/>
      <c r="E387" s="2596"/>
      <c r="F387" s="2596"/>
      <c r="G387" s="2596"/>
      <c r="H387" s="2596"/>
      <c r="I387" s="2592"/>
      <c r="J387" s="2588"/>
      <c r="K387" s="2588"/>
      <c r="L387" s="2592"/>
      <c r="M387" s="2583" t="s">
        <v>1090</v>
      </c>
      <c r="N387" s="2583"/>
      <c r="O387" s="805">
        <f>SUM(O388:O390)</f>
        <v>56703.5</v>
      </c>
      <c r="P387" s="805">
        <f t="shared" ref="P387:Z387" si="195">SUM(P388:P390)</f>
        <v>86703.5</v>
      </c>
      <c r="Q387" s="805">
        <f t="shared" si="195"/>
        <v>56703.5</v>
      </c>
      <c r="R387" s="805">
        <f t="shared" si="195"/>
        <v>56703.5</v>
      </c>
      <c r="S387" s="805">
        <f t="shared" si="195"/>
        <v>56703.5</v>
      </c>
      <c r="T387" s="805">
        <f t="shared" si="195"/>
        <v>56703.5</v>
      </c>
      <c r="U387" s="805">
        <f t="shared" si="195"/>
        <v>86703.5</v>
      </c>
      <c r="V387" s="805">
        <f t="shared" si="195"/>
        <v>56703.5</v>
      </c>
      <c r="W387" s="805">
        <f t="shared" si="195"/>
        <v>56703.5</v>
      </c>
      <c r="X387" s="805">
        <f t="shared" si="195"/>
        <v>56703.5</v>
      </c>
      <c r="Y387" s="805">
        <f t="shared" si="195"/>
        <v>56703.5</v>
      </c>
      <c r="Z387" s="805">
        <f t="shared" si="195"/>
        <v>86703.5</v>
      </c>
      <c r="AA387" s="860">
        <f>SUM(O387:Z387)</f>
        <v>770442</v>
      </c>
    </row>
    <row r="388" spans="1:28" ht="33.75" x14ac:dyDescent="0.25">
      <c r="A388" s="809"/>
      <c r="B388" s="2585"/>
      <c r="C388" s="2585"/>
      <c r="D388" s="2585"/>
      <c r="E388" s="2596"/>
      <c r="F388" s="2596"/>
      <c r="G388" s="2596"/>
      <c r="H388" s="2596"/>
      <c r="I388" s="2592"/>
      <c r="J388" s="2588"/>
      <c r="K388" s="2588"/>
      <c r="L388" s="2592"/>
      <c r="M388" s="956" t="s">
        <v>141</v>
      </c>
      <c r="N388" s="956" t="s">
        <v>1160</v>
      </c>
      <c r="O388" s="927">
        <v>55036.832999999999</v>
      </c>
      <c r="P388" s="927">
        <v>55036.832999999999</v>
      </c>
      <c r="Q388" s="927">
        <v>55036.832999999999</v>
      </c>
      <c r="R388" s="927">
        <v>55036.832999999999</v>
      </c>
      <c r="S388" s="927">
        <v>55036.832999999999</v>
      </c>
      <c r="T388" s="927">
        <v>55036.832999999999</v>
      </c>
      <c r="U388" s="927">
        <v>55036.832999999999</v>
      </c>
      <c r="V388" s="927">
        <v>55036.832999999999</v>
      </c>
      <c r="W388" s="927">
        <v>55036.832999999999</v>
      </c>
      <c r="X388" s="927">
        <v>55036.832999999999</v>
      </c>
      <c r="Y388" s="927">
        <v>55036.832999999999</v>
      </c>
      <c r="Z388" s="927">
        <v>55036.832999999999</v>
      </c>
      <c r="AA388" s="859">
        <f t="shared" si="193"/>
        <v>660441.99599999993</v>
      </c>
    </row>
    <row r="389" spans="1:28" ht="45" x14ac:dyDescent="0.25">
      <c r="A389" s="809"/>
      <c r="B389" s="2585"/>
      <c r="C389" s="2585"/>
      <c r="D389" s="2585"/>
      <c r="E389" s="2596"/>
      <c r="F389" s="2596"/>
      <c r="G389" s="2596"/>
      <c r="H389" s="2596"/>
      <c r="I389" s="2592"/>
      <c r="J389" s="2588"/>
      <c r="K389" s="2588"/>
      <c r="L389" s="2592"/>
      <c r="M389" s="956" t="s">
        <v>142</v>
      </c>
      <c r="N389" s="956" t="s">
        <v>143</v>
      </c>
      <c r="O389" s="927">
        <v>0</v>
      </c>
      <c r="P389" s="927">
        <v>30000</v>
      </c>
      <c r="Q389" s="927">
        <v>0</v>
      </c>
      <c r="R389" s="927">
        <v>0</v>
      </c>
      <c r="S389" s="927">
        <v>0</v>
      </c>
      <c r="T389" s="927">
        <v>0</v>
      </c>
      <c r="U389" s="927">
        <v>30000</v>
      </c>
      <c r="V389" s="927">
        <v>0</v>
      </c>
      <c r="W389" s="927">
        <v>0</v>
      </c>
      <c r="X389" s="927">
        <v>0</v>
      </c>
      <c r="Y389" s="927">
        <v>0</v>
      </c>
      <c r="Z389" s="927">
        <v>30000</v>
      </c>
      <c r="AA389" s="859">
        <f t="shared" si="193"/>
        <v>90000</v>
      </c>
    </row>
    <row r="390" spans="1:28" ht="45" x14ac:dyDescent="0.25">
      <c r="A390" s="809"/>
      <c r="B390" s="2586"/>
      <c r="C390" s="2586"/>
      <c r="D390" s="2586"/>
      <c r="E390" s="2596"/>
      <c r="F390" s="2596"/>
      <c r="G390" s="2596"/>
      <c r="H390" s="2596"/>
      <c r="I390" s="2593"/>
      <c r="J390" s="2589"/>
      <c r="K390" s="2589"/>
      <c r="L390" s="2593"/>
      <c r="M390" s="956" t="s">
        <v>1161</v>
      </c>
      <c r="N390" s="956" t="s">
        <v>1162</v>
      </c>
      <c r="O390" s="927">
        <v>1666.6669999999999</v>
      </c>
      <c r="P390" s="927">
        <v>1666.6669999999999</v>
      </c>
      <c r="Q390" s="927">
        <v>1666.6669999999999</v>
      </c>
      <c r="R390" s="927">
        <v>1666.6669999999999</v>
      </c>
      <c r="S390" s="927">
        <v>1666.6669999999999</v>
      </c>
      <c r="T390" s="927">
        <v>1666.6669999999999</v>
      </c>
      <c r="U390" s="927">
        <v>1666.6669999999999</v>
      </c>
      <c r="V390" s="927">
        <v>1666.6669999999999</v>
      </c>
      <c r="W390" s="927">
        <v>1666.6669999999999</v>
      </c>
      <c r="X390" s="927">
        <v>1666.6669999999999</v>
      </c>
      <c r="Y390" s="927">
        <v>1666.6669999999999</v>
      </c>
      <c r="Z390" s="927">
        <v>1666.6669999999999</v>
      </c>
      <c r="AA390" s="859">
        <f t="shared" si="193"/>
        <v>20000.004000000001</v>
      </c>
    </row>
    <row r="391" spans="1:28" x14ac:dyDescent="0.25">
      <c r="A391" s="809"/>
      <c r="B391" s="2584">
        <v>500111</v>
      </c>
      <c r="C391" s="2584" t="s">
        <v>1163</v>
      </c>
      <c r="D391" s="2584" t="s">
        <v>1164</v>
      </c>
      <c r="E391" s="2596" t="s">
        <v>1149</v>
      </c>
      <c r="F391" s="2596" t="s">
        <v>1150</v>
      </c>
      <c r="G391" s="2596" t="s">
        <v>1151</v>
      </c>
      <c r="H391" s="2596" t="s">
        <v>1165</v>
      </c>
      <c r="I391" s="2596" t="s">
        <v>235</v>
      </c>
      <c r="J391" s="2587">
        <f>+AA391</f>
        <v>30</v>
      </c>
      <c r="K391" s="2587">
        <f>SUM(AA393:AA398)</f>
        <v>46299.995999999999</v>
      </c>
      <c r="L391" s="2591" t="s">
        <v>1153</v>
      </c>
      <c r="M391" s="2583" t="s">
        <v>51</v>
      </c>
      <c r="N391" s="2583"/>
      <c r="O391" s="805">
        <v>2</v>
      </c>
      <c r="P391" s="805">
        <v>3</v>
      </c>
      <c r="Q391" s="805">
        <v>2</v>
      </c>
      <c r="R391" s="805">
        <v>3</v>
      </c>
      <c r="S391" s="805">
        <v>2</v>
      </c>
      <c r="T391" s="805">
        <v>3</v>
      </c>
      <c r="U391" s="805">
        <v>3</v>
      </c>
      <c r="V391" s="805">
        <v>2</v>
      </c>
      <c r="W391" s="805">
        <v>2</v>
      </c>
      <c r="X391" s="805">
        <v>3</v>
      </c>
      <c r="Y391" s="805">
        <v>3</v>
      </c>
      <c r="Z391" s="805">
        <v>2</v>
      </c>
      <c r="AA391" s="860">
        <f t="shared" si="193"/>
        <v>30</v>
      </c>
    </row>
    <row r="392" spans="1:28" x14ac:dyDescent="0.25">
      <c r="A392" s="809"/>
      <c r="B392" s="2585"/>
      <c r="C392" s="2585"/>
      <c r="D392" s="2585"/>
      <c r="E392" s="2596"/>
      <c r="F392" s="2596"/>
      <c r="G392" s="2596"/>
      <c r="H392" s="2596"/>
      <c r="I392" s="2596"/>
      <c r="J392" s="2588"/>
      <c r="K392" s="2588"/>
      <c r="L392" s="2592"/>
      <c r="M392" s="2583" t="s">
        <v>972</v>
      </c>
      <c r="N392" s="2583"/>
      <c r="O392" s="805">
        <f>SUM(O393:O398)</f>
        <v>3858.3330000000001</v>
      </c>
      <c r="P392" s="805">
        <f t="shared" ref="P392:Z392" si="196">SUM(P393:P398)</f>
        <v>3858.3330000000001</v>
      </c>
      <c r="Q392" s="805">
        <f t="shared" si="196"/>
        <v>3858.3330000000001</v>
      </c>
      <c r="R392" s="805">
        <f t="shared" si="196"/>
        <v>3858.3330000000001</v>
      </c>
      <c r="S392" s="805">
        <f t="shared" si="196"/>
        <v>3858.3330000000001</v>
      </c>
      <c r="T392" s="805">
        <f t="shared" si="196"/>
        <v>3858.3330000000001</v>
      </c>
      <c r="U392" s="805">
        <f t="shared" si="196"/>
        <v>3858.3330000000001</v>
      </c>
      <c r="V392" s="805">
        <f t="shared" si="196"/>
        <v>3858.3330000000001</v>
      </c>
      <c r="W392" s="805">
        <f t="shared" si="196"/>
        <v>3858.3330000000001</v>
      </c>
      <c r="X392" s="805">
        <f t="shared" si="196"/>
        <v>3858.3330000000001</v>
      </c>
      <c r="Y392" s="805">
        <f t="shared" si="196"/>
        <v>3858.3330000000001</v>
      </c>
      <c r="Z392" s="805">
        <f t="shared" si="196"/>
        <v>3858.3330000000001</v>
      </c>
      <c r="AA392" s="860">
        <f>SUM(O392:Z392)</f>
        <v>46299.995999999992</v>
      </c>
    </row>
    <row r="393" spans="1:28" ht="33.75" x14ac:dyDescent="0.25">
      <c r="A393" s="809"/>
      <c r="B393" s="2585"/>
      <c r="C393" s="2585"/>
      <c r="D393" s="2585"/>
      <c r="E393" s="2596"/>
      <c r="F393" s="2596"/>
      <c r="G393" s="2596"/>
      <c r="H393" s="2596"/>
      <c r="I393" s="2596"/>
      <c r="J393" s="2588"/>
      <c r="K393" s="2588"/>
      <c r="L393" s="2592"/>
      <c r="M393" s="932" t="s">
        <v>541</v>
      </c>
      <c r="N393" s="917" t="s">
        <v>1113</v>
      </c>
      <c r="O393" s="927">
        <v>250</v>
      </c>
      <c r="P393" s="927">
        <v>250</v>
      </c>
      <c r="Q393" s="927">
        <v>250</v>
      </c>
      <c r="R393" s="927">
        <v>250</v>
      </c>
      <c r="S393" s="927">
        <v>250</v>
      </c>
      <c r="T393" s="927">
        <v>250</v>
      </c>
      <c r="U393" s="927">
        <v>250</v>
      </c>
      <c r="V393" s="927">
        <v>250</v>
      </c>
      <c r="W393" s="927">
        <v>250</v>
      </c>
      <c r="X393" s="927">
        <v>250</v>
      </c>
      <c r="Y393" s="927">
        <v>250</v>
      </c>
      <c r="Z393" s="927">
        <v>250</v>
      </c>
      <c r="AA393" s="859">
        <f t="shared" si="193"/>
        <v>3000</v>
      </c>
    </row>
    <row r="394" spans="1:28" ht="45" x14ac:dyDescent="0.25">
      <c r="A394" s="809"/>
      <c r="B394" s="2585"/>
      <c r="C394" s="2585"/>
      <c r="D394" s="2585"/>
      <c r="E394" s="2596"/>
      <c r="F394" s="2596"/>
      <c r="G394" s="2596"/>
      <c r="H394" s="2596"/>
      <c r="I394" s="2596"/>
      <c r="J394" s="2588"/>
      <c r="K394" s="2588"/>
      <c r="L394" s="2592"/>
      <c r="M394" s="932" t="s">
        <v>194</v>
      </c>
      <c r="N394" s="956" t="s">
        <v>1114</v>
      </c>
      <c r="O394" s="927">
        <v>500</v>
      </c>
      <c r="P394" s="927">
        <v>500</v>
      </c>
      <c r="Q394" s="927">
        <v>500</v>
      </c>
      <c r="R394" s="927">
        <v>500</v>
      </c>
      <c r="S394" s="927">
        <v>500</v>
      </c>
      <c r="T394" s="927">
        <v>500</v>
      </c>
      <c r="U394" s="927">
        <v>500</v>
      </c>
      <c r="V394" s="927">
        <v>500</v>
      </c>
      <c r="W394" s="927">
        <v>500</v>
      </c>
      <c r="X394" s="927">
        <v>500</v>
      </c>
      <c r="Y394" s="927">
        <v>500</v>
      </c>
      <c r="Z394" s="927">
        <v>500</v>
      </c>
      <c r="AA394" s="859">
        <f t="shared" si="193"/>
        <v>6000</v>
      </c>
    </row>
    <row r="395" spans="1:28" ht="33.75" x14ac:dyDescent="0.25">
      <c r="A395" s="809"/>
      <c r="B395" s="2585"/>
      <c r="C395" s="2585"/>
      <c r="D395" s="2585"/>
      <c r="E395" s="2596"/>
      <c r="F395" s="2596"/>
      <c r="G395" s="2596"/>
      <c r="H395" s="2596"/>
      <c r="I395" s="2596"/>
      <c r="J395" s="2588"/>
      <c r="K395" s="2588"/>
      <c r="L395" s="2592"/>
      <c r="M395" s="932" t="s">
        <v>198</v>
      </c>
      <c r="N395" s="956" t="s">
        <v>1117</v>
      </c>
      <c r="O395" s="927">
        <v>25</v>
      </c>
      <c r="P395" s="927">
        <v>25</v>
      </c>
      <c r="Q395" s="927">
        <v>25</v>
      </c>
      <c r="R395" s="927">
        <v>25</v>
      </c>
      <c r="S395" s="927">
        <v>25</v>
      </c>
      <c r="T395" s="927">
        <v>25</v>
      </c>
      <c r="U395" s="927">
        <v>25</v>
      </c>
      <c r="V395" s="927">
        <v>25</v>
      </c>
      <c r="W395" s="927">
        <v>25</v>
      </c>
      <c r="X395" s="927">
        <v>25</v>
      </c>
      <c r="Y395" s="927">
        <v>25</v>
      </c>
      <c r="Z395" s="927">
        <v>25</v>
      </c>
      <c r="AA395" s="859">
        <f t="shared" si="193"/>
        <v>300</v>
      </c>
    </row>
    <row r="396" spans="1:28" ht="22.5" x14ac:dyDescent="0.25">
      <c r="A396" s="809"/>
      <c r="B396" s="2585"/>
      <c r="C396" s="2585"/>
      <c r="D396" s="2585"/>
      <c r="E396" s="2596"/>
      <c r="F396" s="2596"/>
      <c r="G396" s="2596"/>
      <c r="H396" s="2596"/>
      <c r="I396" s="2596"/>
      <c r="J396" s="2588"/>
      <c r="K396" s="2588"/>
      <c r="L396" s="2592"/>
      <c r="M396" s="932" t="s">
        <v>974</v>
      </c>
      <c r="N396" s="956" t="s">
        <v>207</v>
      </c>
      <c r="O396" s="927">
        <v>1750</v>
      </c>
      <c r="P396" s="927">
        <v>1750</v>
      </c>
      <c r="Q396" s="927">
        <v>1750</v>
      </c>
      <c r="R396" s="927">
        <v>1750</v>
      </c>
      <c r="S396" s="927">
        <v>1750</v>
      </c>
      <c r="T396" s="927">
        <v>1750</v>
      </c>
      <c r="U396" s="927">
        <v>1750</v>
      </c>
      <c r="V396" s="927">
        <v>1750</v>
      </c>
      <c r="W396" s="927">
        <v>1750</v>
      </c>
      <c r="X396" s="927">
        <v>1750</v>
      </c>
      <c r="Y396" s="927">
        <v>1750</v>
      </c>
      <c r="Z396" s="927">
        <v>1750</v>
      </c>
      <c r="AA396" s="859">
        <f t="shared" si="193"/>
        <v>21000</v>
      </c>
    </row>
    <row r="397" spans="1:28" ht="33.75" x14ac:dyDescent="0.25">
      <c r="A397" s="809"/>
      <c r="B397" s="2585"/>
      <c r="C397" s="2585"/>
      <c r="D397" s="2585"/>
      <c r="E397" s="2596"/>
      <c r="F397" s="2596"/>
      <c r="G397" s="2596"/>
      <c r="H397" s="2596"/>
      <c r="I397" s="2596"/>
      <c r="J397" s="2588"/>
      <c r="K397" s="2588"/>
      <c r="L397" s="2592"/>
      <c r="M397" s="932" t="s">
        <v>208</v>
      </c>
      <c r="N397" s="936" t="s">
        <v>1132</v>
      </c>
      <c r="O397" s="927">
        <v>1250</v>
      </c>
      <c r="P397" s="927">
        <v>1250</v>
      </c>
      <c r="Q397" s="927">
        <v>1250</v>
      </c>
      <c r="R397" s="927">
        <v>1250</v>
      </c>
      <c r="S397" s="927">
        <v>1250</v>
      </c>
      <c r="T397" s="927">
        <v>1250</v>
      </c>
      <c r="U397" s="927">
        <v>1250</v>
      </c>
      <c r="V397" s="927">
        <v>1250</v>
      </c>
      <c r="W397" s="927">
        <v>1250</v>
      </c>
      <c r="X397" s="927">
        <v>1250</v>
      </c>
      <c r="Y397" s="927">
        <v>1250</v>
      </c>
      <c r="Z397" s="927">
        <v>1250</v>
      </c>
      <c r="AA397" s="859">
        <f t="shared" si="193"/>
        <v>15000</v>
      </c>
    </row>
    <row r="398" spans="1:28" ht="33.75" x14ac:dyDescent="0.25">
      <c r="A398" s="809"/>
      <c r="B398" s="2586"/>
      <c r="C398" s="2586"/>
      <c r="D398" s="2586"/>
      <c r="E398" s="2596"/>
      <c r="F398" s="2596"/>
      <c r="G398" s="2596"/>
      <c r="H398" s="2596"/>
      <c r="I398" s="2596"/>
      <c r="J398" s="2589"/>
      <c r="K398" s="2589"/>
      <c r="L398" s="2593"/>
      <c r="M398" s="932" t="s">
        <v>210</v>
      </c>
      <c r="N398" s="956" t="s">
        <v>1154</v>
      </c>
      <c r="O398" s="927">
        <v>83.332999999999998</v>
      </c>
      <c r="P398" s="927">
        <v>83.332999999999998</v>
      </c>
      <c r="Q398" s="927">
        <v>83.332999999999998</v>
      </c>
      <c r="R398" s="927">
        <v>83.332999999999998</v>
      </c>
      <c r="S398" s="927">
        <v>83.332999999999998</v>
      </c>
      <c r="T398" s="927">
        <v>83.332999999999998</v>
      </c>
      <c r="U398" s="927">
        <v>83.332999999999998</v>
      </c>
      <c r="V398" s="927">
        <v>83.332999999999998</v>
      </c>
      <c r="W398" s="927">
        <v>83.332999999999998</v>
      </c>
      <c r="X398" s="927">
        <v>83.332999999999998</v>
      </c>
      <c r="Y398" s="927">
        <v>83.332999999999998</v>
      </c>
      <c r="Z398" s="927">
        <v>83.332999999999998</v>
      </c>
      <c r="AA398" s="859">
        <f t="shared" si="193"/>
        <v>999.99599999999975</v>
      </c>
    </row>
    <row r="399" spans="1:28" ht="29.25" customHeight="1" x14ac:dyDescent="0.25">
      <c r="A399" s="797"/>
      <c r="B399" s="842" t="s">
        <v>2149</v>
      </c>
      <c r="C399" s="2681" t="s">
        <v>2150</v>
      </c>
      <c r="D399" s="2682"/>
      <c r="E399" s="2682"/>
      <c r="F399" s="2682"/>
      <c r="G399" s="2682"/>
      <c r="H399" s="2682"/>
      <c r="I399" s="2682"/>
      <c r="J399" s="2682"/>
      <c r="K399" s="2682"/>
      <c r="L399" s="2682"/>
      <c r="M399" s="2682"/>
      <c r="N399" s="2682"/>
      <c r="O399" s="2682"/>
      <c r="P399" s="2682"/>
      <c r="Q399" s="2682"/>
      <c r="R399" s="2682"/>
      <c r="S399" s="2682"/>
      <c r="T399" s="2682"/>
      <c r="U399" s="2682"/>
      <c r="V399" s="2682"/>
      <c r="W399" s="2682"/>
      <c r="X399" s="2682"/>
      <c r="Y399" s="2682"/>
      <c r="Z399" s="2682"/>
      <c r="AA399" s="2682"/>
      <c r="AB399" s="2689"/>
    </row>
    <row r="400" spans="1:28" x14ac:dyDescent="0.25">
      <c r="A400" s="797"/>
      <c r="B400" s="2690" t="s">
        <v>4</v>
      </c>
      <c r="C400" s="2547" t="s">
        <v>2151</v>
      </c>
      <c r="D400" s="2548"/>
      <c r="E400" s="2548"/>
      <c r="F400" s="2548"/>
      <c r="G400" s="2548"/>
      <c r="H400" s="2548"/>
      <c r="I400" s="2548"/>
      <c r="J400" s="2548"/>
      <c r="K400" s="2548"/>
      <c r="L400" s="2548"/>
      <c r="M400" s="2548"/>
      <c r="N400" s="2548"/>
      <c r="O400" s="2548"/>
      <c r="P400" s="2548"/>
      <c r="Q400" s="2548"/>
      <c r="R400" s="2548"/>
      <c r="S400" s="2686"/>
      <c r="T400" s="2687" t="s">
        <v>2152</v>
      </c>
      <c r="U400" s="2688"/>
      <c r="V400" s="2685" t="s">
        <v>2153</v>
      </c>
      <c r="W400" s="2685"/>
      <c r="X400" s="2685"/>
      <c r="Y400" s="2685"/>
      <c r="Z400" s="836">
        <v>181388</v>
      </c>
      <c r="AA400" s="2905">
        <f>Z400*1.2</f>
        <v>217665.6</v>
      </c>
      <c r="AB400" s="2905"/>
    </row>
    <row r="401" spans="1:28" ht="25.5" customHeight="1" x14ac:dyDescent="0.25">
      <c r="A401" s="797"/>
      <c r="B401" s="2691"/>
      <c r="C401" s="2549"/>
      <c r="D401" s="2550"/>
      <c r="E401" s="2550"/>
      <c r="F401" s="2550"/>
      <c r="G401" s="2550"/>
      <c r="H401" s="2550"/>
      <c r="I401" s="2550"/>
      <c r="J401" s="2550"/>
      <c r="K401" s="2550"/>
      <c r="L401" s="2550"/>
      <c r="M401" s="2550"/>
      <c r="N401" s="2550"/>
      <c r="O401" s="2550"/>
      <c r="P401" s="2550"/>
      <c r="Q401" s="2550"/>
      <c r="R401" s="2550"/>
      <c r="S401" s="2792"/>
      <c r="T401" s="2862"/>
      <c r="U401" s="2863"/>
      <c r="V401" s="2685" t="s">
        <v>2154</v>
      </c>
      <c r="W401" s="2685"/>
      <c r="X401" s="2685"/>
      <c r="Y401" s="2685"/>
      <c r="Z401" s="836">
        <v>248069</v>
      </c>
      <c r="AA401" s="2905">
        <f>Z401*1.2</f>
        <v>297682.8</v>
      </c>
      <c r="AB401" s="2905"/>
    </row>
    <row r="402" spans="1:28" ht="37.5" customHeight="1" x14ac:dyDescent="0.25">
      <c r="A402" s="797"/>
      <c r="B402" s="842" t="s">
        <v>2155</v>
      </c>
      <c r="C402" s="2681" t="s">
        <v>3098</v>
      </c>
      <c r="D402" s="2682"/>
      <c r="E402" s="2682"/>
      <c r="F402" s="2682"/>
      <c r="G402" s="2682"/>
      <c r="H402" s="2682"/>
      <c r="I402" s="2682"/>
      <c r="J402" s="2682"/>
      <c r="K402" s="2682"/>
      <c r="L402" s="2682"/>
      <c r="M402" s="2682"/>
      <c r="N402" s="2682"/>
      <c r="O402" s="2682"/>
      <c r="P402" s="2682"/>
      <c r="Q402" s="2682"/>
      <c r="R402" s="2682"/>
      <c r="S402" s="2689"/>
      <c r="T402" s="2685" t="s">
        <v>2156</v>
      </c>
      <c r="U402" s="2685"/>
      <c r="V402" s="2862" t="s">
        <v>2157</v>
      </c>
      <c r="W402" s="2864"/>
      <c r="X402" s="2864"/>
      <c r="Y402" s="2864"/>
      <c r="Z402" s="784">
        <v>10</v>
      </c>
      <c r="AA402" s="2905">
        <f>7+10+10</f>
        <v>27</v>
      </c>
      <c r="AB402" s="2905"/>
    </row>
    <row r="403" spans="1:28" ht="26.25" customHeight="1" x14ac:dyDescent="0.25">
      <c r="A403" s="797"/>
      <c r="B403" s="1376" t="s">
        <v>8</v>
      </c>
      <c r="C403" s="2859" t="s">
        <v>2042</v>
      </c>
      <c r="D403" s="2860"/>
      <c r="E403" s="2860"/>
      <c r="F403" s="2860"/>
      <c r="G403" s="2860"/>
      <c r="H403" s="2860"/>
      <c r="I403" s="2860"/>
      <c r="J403" s="2860"/>
      <c r="K403" s="2860"/>
      <c r="L403" s="2860"/>
      <c r="M403" s="2860"/>
      <c r="N403" s="2860"/>
      <c r="O403" s="2860"/>
      <c r="P403" s="2860"/>
      <c r="Q403" s="2860"/>
      <c r="R403" s="2860"/>
      <c r="S403" s="2860"/>
      <c r="T403" s="2860"/>
      <c r="U403" s="2860"/>
      <c r="V403" s="2860"/>
      <c r="W403" s="2860"/>
      <c r="X403" s="2860"/>
      <c r="Y403" s="2860"/>
      <c r="Z403" s="2860"/>
      <c r="AA403" s="2861"/>
      <c r="AB403" s="2216"/>
    </row>
    <row r="404" spans="1:28" ht="25.5" customHeight="1" x14ac:dyDescent="0.25">
      <c r="A404" s="797"/>
      <c r="B404" s="1163" t="s">
        <v>11</v>
      </c>
      <c r="C404" s="1164">
        <v>9002</v>
      </c>
      <c r="D404" s="2856" t="s">
        <v>3185</v>
      </c>
      <c r="E404" s="2856"/>
      <c r="F404" s="2856"/>
      <c r="G404" s="2856"/>
      <c r="H404" s="2856"/>
      <c r="I404" s="2857"/>
      <c r="J404" s="1165"/>
      <c r="K404" s="1165"/>
      <c r="L404" s="1165"/>
      <c r="M404" s="1165"/>
      <c r="N404" s="1165"/>
      <c r="O404" s="1377"/>
      <c r="P404" s="1377"/>
      <c r="Q404" s="1377"/>
      <c r="R404" s="1377"/>
      <c r="S404" s="82"/>
      <c r="T404" s="82"/>
      <c r="U404" s="1378"/>
      <c r="V404" s="1378"/>
      <c r="W404" s="1378"/>
      <c r="X404" s="1378"/>
      <c r="Y404" s="1378"/>
      <c r="Z404" s="1378"/>
      <c r="AA404" s="1378"/>
      <c r="AB404" s="1191"/>
    </row>
    <row r="405" spans="1:28" ht="15" customHeight="1" x14ac:dyDescent="0.25">
      <c r="A405" s="797"/>
      <c r="B405" s="1163" t="s">
        <v>13</v>
      </c>
      <c r="C405" s="2856" t="s">
        <v>2043</v>
      </c>
      <c r="D405" s="2856"/>
      <c r="E405" s="2856"/>
      <c r="F405" s="2856"/>
      <c r="G405" s="2856"/>
      <c r="H405" s="2856"/>
      <c r="I405" s="2857"/>
      <c r="J405" s="1165"/>
      <c r="K405" s="1165"/>
      <c r="L405" s="1165"/>
      <c r="M405" s="1165"/>
      <c r="N405" s="1165"/>
      <c r="O405" s="1379"/>
      <c r="P405" s="1379"/>
      <c r="Q405" s="1379"/>
      <c r="R405" s="1379"/>
      <c r="S405" s="1379"/>
      <c r="T405" s="1379"/>
      <c r="U405" s="1380"/>
      <c r="V405" s="1380"/>
      <c r="W405" s="1380"/>
      <c r="X405" s="1380"/>
      <c r="Y405" s="1380"/>
      <c r="Z405" s="1380"/>
      <c r="AA405" s="1380"/>
      <c r="AB405" s="1381"/>
    </row>
    <row r="406" spans="1:28" x14ac:dyDescent="0.25">
      <c r="A406" s="797"/>
      <c r="B406" s="1163" t="s">
        <v>18</v>
      </c>
      <c r="C406" s="1164" t="s">
        <v>163</v>
      </c>
      <c r="D406" s="1166"/>
      <c r="E406" s="1167"/>
      <c r="F406" s="1167"/>
      <c r="G406" s="1167"/>
      <c r="H406" s="1167"/>
      <c r="I406" s="1165"/>
      <c r="J406" s="1165"/>
      <c r="K406" s="1165"/>
      <c r="L406" s="1165"/>
      <c r="M406" s="1165"/>
      <c r="N406" s="1165"/>
      <c r="O406" s="1168"/>
      <c r="P406" s="1168"/>
      <c r="Q406" s="1168"/>
      <c r="R406" s="1168"/>
      <c r="S406" s="1168"/>
      <c r="T406" s="1168"/>
      <c r="U406" s="1169"/>
      <c r="V406" s="1169"/>
      <c r="W406" s="1169"/>
      <c r="X406" s="1169"/>
      <c r="Y406" s="1169"/>
      <c r="Z406" s="1169"/>
      <c r="AA406" s="1170"/>
      <c r="AB406" s="1171"/>
    </row>
    <row r="407" spans="1:28" ht="24.75" customHeight="1" x14ac:dyDescent="0.25">
      <c r="A407" s="797"/>
      <c r="B407" s="2858" t="s">
        <v>3186</v>
      </c>
      <c r="C407" s="2858" t="s">
        <v>21</v>
      </c>
      <c r="D407" s="2526" t="s">
        <v>22</v>
      </c>
      <c r="E407" s="2526" t="s">
        <v>23</v>
      </c>
      <c r="F407" s="2526" t="s">
        <v>164</v>
      </c>
      <c r="G407" s="2526" t="s">
        <v>25</v>
      </c>
      <c r="H407" s="2526" t="s">
        <v>26</v>
      </c>
      <c r="I407" s="2526" t="s">
        <v>27</v>
      </c>
      <c r="J407" s="2530" t="s">
        <v>28</v>
      </c>
      <c r="K407" s="2531" t="s">
        <v>28</v>
      </c>
      <c r="L407" s="2526" t="s">
        <v>29</v>
      </c>
      <c r="M407" s="2530" t="s">
        <v>3187</v>
      </c>
      <c r="N407" s="2531"/>
      <c r="O407" s="2526" t="s">
        <v>530</v>
      </c>
      <c r="P407" s="2533" t="s">
        <v>31</v>
      </c>
      <c r="Q407" s="2534"/>
      <c r="R407" s="2534"/>
      <c r="S407" s="2534"/>
      <c r="T407" s="2534"/>
      <c r="U407" s="2534"/>
      <c r="V407" s="2534"/>
      <c r="W407" s="2534"/>
      <c r="X407" s="2534"/>
      <c r="Y407" s="2534"/>
      <c r="Z407" s="2534"/>
      <c r="AA407" s="2535"/>
      <c r="AB407" s="2523" t="s">
        <v>32</v>
      </c>
    </row>
    <row r="408" spans="1:28" ht="16.5" customHeight="1" x14ac:dyDescent="0.25">
      <c r="A408" s="797"/>
      <c r="B408" s="2858"/>
      <c r="C408" s="2858"/>
      <c r="D408" s="2532"/>
      <c r="E408" s="2532"/>
      <c r="F408" s="2532"/>
      <c r="G408" s="2532"/>
      <c r="H408" s="2532"/>
      <c r="I408" s="2532"/>
      <c r="J408" s="2526" t="s">
        <v>287</v>
      </c>
      <c r="K408" s="2528" t="s">
        <v>34</v>
      </c>
      <c r="L408" s="2532"/>
      <c r="M408" s="1172" t="s">
        <v>287</v>
      </c>
      <c r="N408" s="1172"/>
      <c r="O408" s="2532"/>
      <c r="P408" s="2523" t="s">
        <v>35</v>
      </c>
      <c r="Q408" s="2523" t="s">
        <v>36</v>
      </c>
      <c r="R408" s="2523" t="s">
        <v>37</v>
      </c>
      <c r="S408" s="2523" t="s">
        <v>38</v>
      </c>
      <c r="T408" s="2523" t="s">
        <v>39</v>
      </c>
      <c r="U408" s="2523" t="s">
        <v>40</v>
      </c>
      <c r="V408" s="2523" t="s">
        <v>41</v>
      </c>
      <c r="W408" s="2523" t="s">
        <v>42</v>
      </c>
      <c r="X408" s="2523" t="s">
        <v>43</v>
      </c>
      <c r="Y408" s="2523" t="s">
        <v>44</v>
      </c>
      <c r="Z408" s="2523" t="s">
        <v>45</v>
      </c>
      <c r="AA408" s="2523" t="s">
        <v>46</v>
      </c>
      <c r="AB408" s="2524"/>
    </row>
    <row r="409" spans="1:28" ht="15" customHeight="1" x14ac:dyDescent="0.25">
      <c r="A409" s="1802"/>
      <c r="B409" s="2858"/>
      <c r="C409" s="2858"/>
      <c r="D409" s="2527"/>
      <c r="E409" s="2527"/>
      <c r="F409" s="2527"/>
      <c r="G409" s="2527"/>
      <c r="H409" s="2527"/>
      <c r="I409" s="2527"/>
      <c r="J409" s="2527"/>
      <c r="K409" s="2529"/>
      <c r="L409" s="2527"/>
      <c r="M409" s="2893" t="s">
        <v>34</v>
      </c>
      <c r="N409" s="2893"/>
      <c r="O409" s="2527"/>
      <c r="P409" s="2525"/>
      <c r="Q409" s="2525"/>
      <c r="R409" s="2525"/>
      <c r="S409" s="2525"/>
      <c r="T409" s="2525"/>
      <c r="U409" s="2525"/>
      <c r="V409" s="2525"/>
      <c r="W409" s="2525"/>
      <c r="X409" s="2525"/>
      <c r="Y409" s="2525"/>
      <c r="Z409" s="2525"/>
      <c r="AA409" s="2525"/>
      <c r="AB409" s="2525"/>
    </row>
    <row r="410" spans="1:28" ht="30" customHeight="1" x14ac:dyDescent="0.25">
      <c r="A410" s="1803"/>
      <c r="B410" s="1173" t="s">
        <v>1350</v>
      </c>
      <c r="C410" s="1174" t="s">
        <v>1085</v>
      </c>
      <c r="D410" s="1175" t="s">
        <v>3188</v>
      </c>
      <c r="E410" s="1176" t="s">
        <v>3099</v>
      </c>
      <c r="F410" s="1177" t="s">
        <v>165</v>
      </c>
      <c r="G410" s="1177" t="s">
        <v>166</v>
      </c>
      <c r="H410" s="1175"/>
      <c r="I410" s="1178" t="s">
        <v>17</v>
      </c>
      <c r="J410" s="1179"/>
      <c r="K410" s="1180">
        <v>780960</v>
      </c>
      <c r="L410" s="1181" t="s">
        <v>3100</v>
      </c>
      <c r="M410" s="2894"/>
      <c r="N410" s="2894"/>
      <c r="O410" s="1182"/>
      <c r="P410" s="1183"/>
      <c r="Q410" s="1183"/>
      <c r="R410" s="1183"/>
      <c r="S410" s="1183"/>
      <c r="T410" s="1183"/>
      <c r="U410" s="1183"/>
      <c r="V410" s="1183"/>
      <c r="W410" s="1183"/>
      <c r="X410" s="1183"/>
      <c r="Y410" s="1183"/>
      <c r="Z410" s="1183"/>
      <c r="AA410" s="1184"/>
      <c r="AB410" s="1382">
        <f>AB411+AB448+AB484+AB505+AB525+AB527+AB529</f>
        <v>780960</v>
      </c>
    </row>
    <row r="411" spans="1:28" ht="22.5" x14ac:dyDescent="0.25">
      <c r="A411" s="1803"/>
      <c r="B411" s="1185"/>
      <c r="C411" s="1186"/>
      <c r="D411" s="1187" t="s">
        <v>3189</v>
      </c>
      <c r="E411" s="1187"/>
      <c r="F411" s="1187"/>
      <c r="G411" s="1187"/>
      <c r="H411" s="1188"/>
      <c r="I411" s="1188"/>
      <c r="J411" s="1188"/>
      <c r="K411" s="1188"/>
      <c r="L411" s="1188"/>
      <c r="M411" s="1188"/>
      <c r="N411" s="1188"/>
      <c r="O411" s="1188"/>
      <c r="P411" s="1189"/>
      <c r="Q411" s="1189"/>
      <c r="R411" s="1189"/>
      <c r="S411" s="1189"/>
      <c r="T411" s="1189"/>
      <c r="U411" s="1189"/>
      <c r="V411" s="1189"/>
      <c r="W411" s="1189"/>
      <c r="X411" s="1189"/>
      <c r="Y411" s="1189"/>
      <c r="Z411" s="1189"/>
      <c r="AA411" s="1189"/>
      <c r="AB411" s="1383">
        <f>SUM(AB413+AB414+AB416+AB418+AB420+AB422+AB424+AB426+AB428+AB430+AB432+AB433+AB434+AB435+AB436+AB437+AB438+AB439+AB441+AB443+AB445+AB447)</f>
        <v>69300.2</v>
      </c>
    </row>
    <row r="412" spans="1:28" ht="22.5" customHeight="1" x14ac:dyDescent="0.25">
      <c r="A412" s="1804"/>
      <c r="B412" s="1190"/>
      <c r="C412" s="1191"/>
      <c r="D412" s="2866" t="s">
        <v>2045</v>
      </c>
      <c r="E412" s="2869">
        <v>9</v>
      </c>
      <c r="F412" s="2872">
        <v>6</v>
      </c>
      <c r="G412" s="2572">
        <v>8</v>
      </c>
      <c r="H412" s="2574" t="s">
        <v>2046</v>
      </c>
      <c r="I412" s="2576" t="s">
        <v>17</v>
      </c>
      <c r="J412" s="2536">
        <v>24</v>
      </c>
      <c r="K412" s="2539">
        <f>SUM(AB413+AB414)</f>
        <v>2500</v>
      </c>
      <c r="L412" s="2554" t="s">
        <v>2047</v>
      </c>
      <c r="M412" s="1113" t="s">
        <v>51</v>
      </c>
      <c r="N412" s="96"/>
      <c r="O412" s="1401"/>
      <c r="P412" s="1085">
        <v>2</v>
      </c>
      <c r="Q412" s="1085">
        <v>2</v>
      </c>
      <c r="R412" s="1085">
        <v>2</v>
      </c>
      <c r="S412" s="1085">
        <v>2</v>
      </c>
      <c r="T412" s="1085">
        <v>2</v>
      </c>
      <c r="U412" s="1085">
        <v>2</v>
      </c>
      <c r="V412" s="1085">
        <v>2</v>
      </c>
      <c r="W412" s="1085">
        <v>2</v>
      </c>
      <c r="X412" s="1085">
        <v>2</v>
      </c>
      <c r="Y412" s="1085">
        <v>2</v>
      </c>
      <c r="Z412" s="1085">
        <v>2</v>
      </c>
      <c r="AA412" s="1085">
        <v>2</v>
      </c>
      <c r="AB412" s="1385">
        <f>SUM(P412:AA412)</f>
        <v>24</v>
      </c>
    </row>
    <row r="413" spans="1:28" ht="45" x14ac:dyDescent="0.25">
      <c r="A413" s="2854">
        <v>2</v>
      </c>
      <c r="B413" s="2865"/>
      <c r="C413" s="26"/>
      <c r="D413" s="2867"/>
      <c r="E413" s="2870"/>
      <c r="F413" s="2873"/>
      <c r="G413" s="2573"/>
      <c r="H413" s="2575"/>
      <c r="I413" s="2577"/>
      <c r="J413" s="2537"/>
      <c r="K413" s="2540"/>
      <c r="L413" s="2555"/>
      <c r="M413" s="2438" t="s">
        <v>168</v>
      </c>
      <c r="N413" s="913" t="s">
        <v>2048</v>
      </c>
      <c r="O413" s="722" t="s">
        <v>3279</v>
      </c>
      <c r="P413" s="1078"/>
      <c r="Q413" s="1078">
        <v>420</v>
      </c>
      <c r="R413" s="1078"/>
      <c r="S413" s="1078">
        <v>420</v>
      </c>
      <c r="T413" s="1078"/>
      <c r="U413" s="1078">
        <v>420</v>
      </c>
      <c r="V413" s="1078"/>
      <c r="W413" s="1078">
        <v>420</v>
      </c>
      <c r="X413" s="1078"/>
      <c r="Y413" s="1078">
        <v>420</v>
      </c>
      <c r="Z413" s="1078"/>
      <c r="AA413" s="1078"/>
      <c r="AB413" s="1387">
        <f>SUM(P413:AA413)</f>
        <v>2100</v>
      </c>
    </row>
    <row r="414" spans="1:28" ht="8.25" customHeight="1" x14ac:dyDescent="0.25">
      <c r="A414" s="2673"/>
      <c r="B414" s="2865"/>
      <c r="C414" s="26"/>
      <c r="D414" s="2868"/>
      <c r="E414" s="2871"/>
      <c r="F414" s="2874"/>
      <c r="G414" s="2875"/>
      <c r="H414" s="2815"/>
      <c r="I414" s="2608"/>
      <c r="J414" s="2538"/>
      <c r="K414" s="2541"/>
      <c r="L414" s="2556"/>
      <c r="M414" s="2450"/>
      <c r="N414" s="913" t="s">
        <v>2049</v>
      </c>
      <c r="O414" s="722" t="s">
        <v>1113</v>
      </c>
      <c r="P414" s="1078"/>
      <c r="Q414" s="1078">
        <v>80</v>
      </c>
      <c r="R414" s="1078"/>
      <c r="S414" s="1078">
        <v>80</v>
      </c>
      <c r="T414" s="1078"/>
      <c r="U414" s="1078">
        <v>80</v>
      </c>
      <c r="V414" s="1078"/>
      <c r="W414" s="1078">
        <v>80</v>
      </c>
      <c r="X414" s="1078"/>
      <c r="Y414" s="1078">
        <v>80</v>
      </c>
      <c r="Z414" s="1078"/>
      <c r="AA414" s="1078"/>
      <c r="AB414" s="1387">
        <f>SUM(P414:AA414)</f>
        <v>400</v>
      </c>
    </row>
    <row r="415" spans="1:28" x14ac:dyDescent="0.25">
      <c r="A415" s="2673"/>
      <c r="B415" s="2876"/>
      <c r="C415" s="1372"/>
      <c r="D415" s="2569" t="s">
        <v>2050</v>
      </c>
      <c r="E415" s="2570">
        <v>9</v>
      </c>
      <c r="F415" s="2571">
        <v>6</v>
      </c>
      <c r="G415" s="2572">
        <v>8</v>
      </c>
      <c r="H415" s="2574" t="s">
        <v>2046</v>
      </c>
      <c r="I415" s="2576" t="s">
        <v>17</v>
      </c>
      <c r="J415" s="2578">
        <f>12+12+12+12+12+5</f>
        <v>65</v>
      </c>
      <c r="K415" s="2580">
        <f>SUM(AB416+AB418+AB420+AB422+AB424+AB426+AB428+AB430+AB432+AB433+AB434+AB435+AB436+AB437+AB438+AB439+AB441+AB443+AB445+AB447)</f>
        <v>66800.2</v>
      </c>
      <c r="L415" s="2554" t="s">
        <v>2051</v>
      </c>
      <c r="M415" s="1018" t="s">
        <v>51</v>
      </c>
      <c r="N415" s="38"/>
      <c r="O415" s="722"/>
      <c r="P415" s="1078">
        <v>1</v>
      </c>
      <c r="Q415" s="1078">
        <v>1</v>
      </c>
      <c r="R415" s="1078">
        <v>1</v>
      </c>
      <c r="S415" s="1078">
        <v>1</v>
      </c>
      <c r="T415" s="1078">
        <v>1</v>
      </c>
      <c r="U415" s="1078">
        <v>1</v>
      </c>
      <c r="V415" s="1078">
        <v>1</v>
      </c>
      <c r="W415" s="1078">
        <v>1</v>
      </c>
      <c r="X415" s="1078">
        <v>1</v>
      </c>
      <c r="Y415" s="1078">
        <v>1</v>
      </c>
      <c r="Z415" s="1078">
        <v>1</v>
      </c>
      <c r="AA415" s="1078">
        <v>1</v>
      </c>
      <c r="AB415" s="1387">
        <f>SUM(P415:AA415)</f>
        <v>12</v>
      </c>
    </row>
    <row r="416" spans="1:28" ht="33.75" x14ac:dyDescent="0.25">
      <c r="A416" s="2673"/>
      <c r="B416" s="2877"/>
      <c r="C416" s="1372"/>
      <c r="D416" s="2569"/>
      <c r="E416" s="2570"/>
      <c r="F416" s="2571"/>
      <c r="G416" s="2573"/>
      <c r="H416" s="2575"/>
      <c r="I416" s="2577"/>
      <c r="J416" s="2579"/>
      <c r="K416" s="2581"/>
      <c r="L416" s="2555"/>
      <c r="M416" s="1152" t="s">
        <v>168</v>
      </c>
      <c r="N416" s="38" t="s">
        <v>2052</v>
      </c>
      <c r="O416" s="722" t="s">
        <v>3280</v>
      </c>
      <c r="P416" s="1078">
        <v>209</v>
      </c>
      <c r="Q416" s="1078">
        <v>209</v>
      </c>
      <c r="R416" s="1078">
        <v>209</v>
      </c>
      <c r="S416" s="1078">
        <v>209</v>
      </c>
      <c r="T416" s="1078">
        <v>209</v>
      </c>
      <c r="U416" s="1078">
        <v>209</v>
      </c>
      <c r="V416" s="1078">
        <v>209</v>
      </c>
      <c r="W416" s="1078">
        <v>209</v>
      </c>
      <c r="X416" s="1078">
        <v>209</v>
      </c>
      <c r="Y416" s="1078">
        <v>209</v>
      </c>
      <c r="Z416" s="1078">
        <v>209</v>
      </c>
      <c r="AA416" s="1078">
        <v>209</v>
      </c>
      <c r="AB416" s="1387">
        <f>SUM(P416:AA416)</f>
        <v>2508</v>
      </c>
    </row>
    <row r="417" spans="1:28" x14ac:dyDescent="0.25">
      <c r="A417" s="2673"/>
      <c r="B417" s="2877"/>
      <c r="C417" s="1372"/>
      <c r="D417" s="2569"/>
      <c r="E417" s="2570"/>
      <c r="F417" s="2571"/>
      <c r="G417" s="2573"/>
      <c r="H417" s="2575"/>
      <c r="I417" s="2577"/>
      <c r="J417" s="2579"/>
      <c r="K417" s="2581"/>
      <c r="L417" s="2555"/>
      <c r="M417" s="1018" t="s">
        <v>51</v>
      </c>
      <c r="N417" s="38"/>
      <c r="O417" s="722"/>
      <c r="P417" s="1078">
        <v>1</v>
      </c>
      <c r="Q417" s="1078">
        <v>1</v>
      </c>
      <c r="R417" s="1078">
        <v>1</v>
      </c>
      <c r="S417" s="1078">
        <v>1</v>
      </c>
      <c r="T417" s="1078">
        <v>1</v>
      </c>
      <c r="U417" s="1078">
        <v>1</v>
      </c>
      <c r="V417" s="1078">
        <v>1</v>
      </c>
      <c r="W417" s="1078">
        <v>1</v>
      </c>
      <c r="X417" s="1078">
        <v>1</v>
      </c>
      <c r="Y417" s="1078">
        <v>1</v>
      </c>
      <c r="Z417" s="1078">
        <v>1</v>
      </c>
      <c r="AA417" s="1078">
        <v>1</v>
      </c>
      <c r="AB417" s="1387">
        <f t="shared" ref="AB417:AB447" si="197">SUM(P417:AA417)</f>
        <v>12</v>
      </c>
    </row>
    <row r="418" spans="1:28" ht="22.5" x14ac:dyDescent="0.25">
      <c r="A418" s="2673"/>
      <c r="B418" s="2877"/>
      <c r="C418" s="1372"/>
      <c r="D418" s="2569"/>
      <c r="E418" s="2570"/>
      <c r="F418" s="2571"/>
      <c r="G418" s="2573"/>
      <c r="H418" s="2575"/>
      <c r="I418" s="2577"/>
      <c r="J418" s="2579"/>
      <c r="K418" s="2581"/>
      <c r="L418" s="2555"/>
      <c r="M418" s="1152" t="s">
        <v>168</v>
      </c>
      <c r="N418" s="256" t="s">
        <v>2053</v>
      </c>
      <c r="O418" s="307" t="s">
        <v>3000</v>
      </c>
      <c r="P418" s="1402">
        <v>473</v>
      </c>
      <c r="Q418" s="1402">
        <v>473</v>
      </c>
      <c r="R418" s="1402">
        <v>473</v>
      </c>
      <c r="S418" s="1402">
        <v>473</v>
      </c>
      <c r="T418" s="1402">
        <v>473</v>
      </c>
      <c r="U418" s="1402">
        <v>473</v>
      </c>
      <c r="V418" s="1402">
        <v>473</v>
      </c>
      <c r="W418" s="1402">
        <v>473</v>
      </c>
      <c r="X418" s="1402">
        <v>473</v>
      </c>
      <c r="Y418" s="1402">
        <v>473</v>
      </c>
      <c r="Z418" s="1402">
        <v>473</v>
      </c>
      <c r="AA418" s="1402">
        <v>473</v>
      </c>
      <c r="AB418" s="1387">
        <f>SUM(P418:AA418)</f>
        <v>5676</v>
      </c>
    </row>
    <row r="419" spans="1:28" x14ac:dyDescent="0.25">
      <c r="A419" s="2673"/>
      <c r="B419" s="2877"/>
      <c r="C419" s="1372"/>
      <c r="D419" s="2569"/>
      <c r="E419" s="2570"/>
      <c r="F419" s="2571"/>
      <c r="G419" s="2573"/>
      <c r="H419" s="2575"/>
      <c r="I419" s="2577"/>
      <c r="J419" s="2579"/>
      <c r="K419" s="2581"/>
      <c r="L419" s="2555"/>
      <c r="M419" s="1018" t="s">
        <v>51</v>
      </c>
      <c r="N419" s="256"/>
      <c r="O419" s="307"/>
      <c r="P419" s="1078">
        <v>1</v>
      </c>
      <c r="Q419" s="1078">
        <v>1</v>
      </c>
      <c r="R419" s="1078">
        <v>1</v>
      </c>
      <c r="S419" s="1078">
        <v>1</v>
      </c>
      <c r="T419" s="1078">
        <v>1</v>
      </c>
      <c r="U419" s="1078">
        <v>1</v>
      </c>
      <c r="V419" s="1078">
        <v>1</v>
      </c>
      <c r="W419" s="1078">
        <v>1</v>
      </c>
      <c r="X419" s="1078">
        <v>1</v>
      </c>
      <c r="Y419" s="1078">
        <v>1</v>
      </c>
      <c r="Z419" s="1078">
        <v>1</v>
      </c>
      <c r="AA419" s="1078">
        <v>1</v>
      </c>
      <c r="AB419" s="1387">
        <f t="shared" si="197"/>
        <v>12</v>
      </c>
    </row>
    <row r="420" spans="1:28" ht="23.25" x14ac:dyDescent="0.25">
      <c r="A420" s="2673"/>
      <c r="B420" s="2877"/>
      <c r="C420" s="1372"/>
      <c r="D420" s="2569"/>
      <c r="E420" s="2570"/>
      <c r="F420" s="2571"/>
      <c r="G420" s="2573"/>
      <c r="H420" s="2575"/>
      <c r="I420" s="2577"/>
      <c r="J420" s="2579"/>
      <c r="K420" s="2581"/>
      <c r="L420" s="2555"/>
      <c r="M420" s="1152" t="s">
        <v>168</v>
      </c>
      <c r="N420" s="1403" t="s">
        <v>3191</v>
      </c>
      <c r="O420" s="307" t="s">
        <v>2054</v>
      </c>
      <c r="P420" s="1402">
        <v>220</v>
      </c>
      <c r="Q420" s="1402">
        <v>220</v>
      </c>
      <c r="R420" s="1402">
        <v>220</v>
      </c>
      <c r="S420" s="1402">
        <v>220</v>
      </c>
      <c r="T420" s="1402">
        <v>220</v>
      </c>
      <c r="U420" s="1402">
        <v>220</v>
      </c>
      <c r="V420" s="1402">
        <v>220</v>
      </c>
      <c r="W420" s="1402">
        <v>220</v>
      </c>
      <c r="X420" s="1402">
        <v>220</v>
      </c>
      <c r="Y420" s="1402">
        <v>220</v>
      </c>
      <c r="Z420" s="1402">
        <v>220</v>
      </c>
      <c r="AA420" s="1402">
        <v>220</v>
      </c>
      <c r="AB420" s="1387">
        <f t="shared" si="197"/>
        <v>2640</v>
      </c>
    </row>
    <row r="421" spans="1:28" x14ac:dyDescent="0.25">
      <c r="A421" s="2673"/>
      <c r="B421" s="2877"/>
      <c r="C421" s="1372"/>
      <c r="D421" s="2569"/>
      <c r="E421" s="2570"/>
      <c r="F421" s="2571"/>
      <c r="G421" s="2573"/>
      <c r="H421" s="2575"/>
      <c r="I421" s="2577"/>
      <c r="J421" s="2579"/>
      <c r="K421" s="2581"/>
      <c r="L421" s="2555"/>
      <c r="M421" s="1018" t="s">
        <v>51</v>
      </c>
      <c r="N421" s="256"/>
      <c r="O421" s="307"/>
      <c r="P421" s="1078">
        <v>1</v>
      </c>
      <c r="Q421" s="1078">
        <v>1</v>
      </c>
      <c r="R421" s="1078">
        <v>1</v>
      </c>
      <c r="S421" s="1078">
        <v>1</v>
      </c>
      <c r="T421" s="1078">
        <v>1</v>
      </c>
      <c r="U421" s="1078">
        <v>1</v>
      </c>
      <c r="V421" s="1078">
        <v>1</v>
      </c>
      <c r="W421" s="1078">
        <v>1</v>
      </c>
      <c r="X421" s="1078">
        <v>1</v>
      </c>
      <c r="Y421" s="1078">
        <v>1</v>
      </c>
      <c r="Z421" s="1078">
        <v>1</v>
      </c>
      <c r="AA421" s="1078">
        <v>1</v>
      </c>
      <c r="AB421" s="1387">
        <f t="shared" si="197"/>
        <v>12</v>
      </c>
    </row>
    <row r="422" spans="1:28" x14ac:dyDescent="0.25">
      <c r="A422" s="2673"/>
      <c r="B422" s="2877"/>
      <c r="C422" s="1372"/>
      <c r="D422" s="2569"/>
      <c r="E422" s="2570"/>
      <c r="F422" s="2571"/>
      <c r="G422" s="2573"/>
      <c r="H422" s="2575"/>
      <c r="I422" s="2577"/>
      <c r="J422" s="2579"/>
      <c r="K422" s="2581"/>
      <c r="L422" s="2555"/>
      <c r="M422" s="1152" t="s">
        <v>168</v>
      </c>
      <c r="N422" s="256" t="s">
        <v>3192</v>
      </c>
      <c r="O422" s="307"/>
      <c r="P422" s="1402">
        <v>600</v>
      </c>
      <c r="Q422" s="1402">
        <v>600</v>
      </c>
      <c r="R422" s="1402">
        <v>600</v>
      </c>
      <c r="S422" s="1402">
        <v>600</v>
      </c>
      <c r="T422" s="1402">
        <v>600</v>
      </c>
      <c r="U422" s="1402">
        <v>600</v>
      </c>
      <c r="V422" s="1402">
        <v>600</v>
      </c>
      <c r="W422" s="1402">
        <v>600</v>
      </c>
      <c r="X422" s="1402">
        <v>600</v>
      </c>
      <c r="Y422" s="1402">
        <v>600</v>
      </c>
      <c r="Z422" s="1402">
        <v>600</v>
      </c>
      <c r="AA422" s="1402">
        <v>600</v>
      </c>
      <c r="AB422" s="1387">
        <f t="shared" si="197"/>
        <v>7200</v>
      </c>
    </row>
    <row r="423" spans="1:28" x14ac:dyDescent="0.25">
      <c r="A423" s="2673"/>
      <c r="B423" s="2877"/>
      <c r="C423" s="1372"/>
      <c r="D423" s="2569"/>
      <c r="E423" s="2570"/>
      <c r="F423" s="2571"/>
      <c r="G423" s="2573"/>
      <c r="H423" s="2575"/>
      <c r="I423" s="2577"/>
      <c r="J423" s="2579"/>
      <c r="K423" s="2581"/>
      <c r="L423" s="2555"/>
      <c r="M423" s="1018" t="s">
        <v>51</v>
      </c>
      <c r="N423" s="256"/>
      <c r="O423" s="307"/>
      <c r="P423" s="1402"/>
      <c r="Q423" s="1402"/>
      <c r="R423" s="1402"/>
      <c r="S423" s="1402"/>
      <c r="T423" s="1402"/>
      <c r="U423" s="1402"/>
      <c r="V423" s="1402">
        <v>1</v>
      </c>
      <c r="W423" s="1402"/>
      <c r="X423" s="1402"/>
      <c r="Y423" s="1402"/>
      <c r="Z423" s="1402"/>
      <c r="AA423" s="1402"/>
      <c r="AB423" s="1387">
        <f t="shared" si="197"/>
        <v>1</v>
      </c>
    </row>
    <row r="424" spans="1:28" ht="34.5" x14ac:dyDescent="0.25">
      <c r="A424" s="2673"/>
      <c r="B424" s="2877"/>
      <c r="C424" s="1372"/>
      <c r="D424" s="2569"/>
      <c r="E424" s="2570"/>
      <c r="F424" s="2571"/>
      <c r="G424" s="2573"/>
      <c r="H424" s="2575"/>
      <c r="I424" s="2577"/>
      <c r="J424" s="2579"/>
      <c r="K424" s="2581"/>
      <c r="L424" s="2555"/>
      <c r="M424" s="1152" t="s">
        <v>168</v>
      </c>
      <c r="N424" s="1403" t="s">
        <v>3193</v>
      </c>
      <c r="O424" s="307"/>
      <c r="P424" s="1078"/>
      <c r="Q424" s="1078"/>
      <c r="R424" s="1078"/>
      <c r="S424" s="1078"/>
      <c r="T424" s="1078"/>
      <c r="U424" s="1078"/>
      <c r="V424" s="1078">
        <v>3200</v>
      </c>
      <c r="W424" s="1078"/>
      <c r="X424" s="1078"/>
      <c r="Y424" s="1078"/>
      <c r="Z424" s="1078"/>
      <c r="AA424" s="1078"/>
      <c r="AB424" s="1387">
        <f t="shared" si="197"/>
        <v>3200</v>
      </c>
    </row>
    <row r="425" spans="1:28" x14ac:dyDescent="0.25">
      <c r="A425" s="2673"/>
      <c r="B425" s="2877"/>
      <c r="C425" s="1372"/>
      <c r="D425" s="2569"/>
      <c r="E425" s="2570"/>
      <c r="F425" s="2571"/>
      <c r="G425" s="2573"/>
      <c r="H425" s="2575"/>
      <c r="I425" s="2577"/>
      <c r="J425" s="2579"/>
      <c r="K425" s="2581"/>
      <c r="L425" s="2555"/>
      <c r="M425" s="1018" t="s">
        <v>51</v>
      </c>
      <c r="N425" s="256"/>
      <c r="O425" s="307"/>
      <c r="P425" s="1078"/>
      <c r="Q425" s="1078">
        <v>1</v>
      </c>
      <c r="R425" s="1078"/>
      <c r="S425" s="1078"/>
      <c r="T425" s="1078"/>
      <c r="U425" s="1078"/>
      <c r="V425" s="1078"/>
      <c r="W425" s="1078"/>
      <c r="X425" s="1078"/>
      <c r="Y425" s="1078"/>
      <c r="Z425" s="1078"/>
      <c r="AA425" s="1078"/>
      <c r="AB425" s="1387">
        <f t="shared" si="197"/>
        <v>1</v>
      </c>
    </row>
    <row r="426" spans="1:28" ht="34.5" x14ac:dyDescent="0.25">
      <c r="A426" s="2673"/>
      <c r="B426" s="2877"/>
      <c r="C426" s="1372"/>
      <c r="D426" s="2569"/>
      <c r="E426" s="2570"/>
      <c r="F426" s="2571"/>
      <c r="G426" s="2573"/>
      <c r="H426" s="2575"/>
      <c r="I426" s="2577"/>
      <c r="J426" s="2579"/>
      <c r="K426" s="2581"/>
      <c r="L426" s="2555"/>
      <c r="M426" s="1152" t="s">
        <v>168</v>
      </c>
      <c r="N426" s="1403" t="s">
        <v>3194</v>
      </c>
      <c r="O426" s="307"/>
      <c r="P426" s="1078"/>
      <c r="Q426" s="1078">
        <v>1476.2</v>
      </c>
      <c r="R426" s="1078"/>
      <c r="S426" s="1078"/>
      <c r="T426" s="1078"/>
      <c r="U426" s="1078"/>
      <c r="V426" s="1078"/>
      <c r="W426" s="1078"/>
      <c r="X426" s="1078"/>
      <c r="Y426" s="1078"/>
      <c r="Z426" s="1078"/>
      <c r="AA426" s="1078"/>
      <c r="AB426" s="1387">
        <f t="shared" si="197"/>
        <v>1476.2</v>
      </c>
    </row>
    <row r="427" spans="1:28" x14ac:dyDescent="0.25">
      <c r="A427" s="2673"/>
      <c r="B427" s="2877"/>
      <c r="C427" s="1372"/>
      <c r="D427" s="2569"/>
      <c r="E427" s="2570"/>
      <c r="F427" s="2571"/>
      <c r="G427" s="2573"/>
      <c r="H427" s="2575"/>
      <c r="I427" s="2577"/>
      <c r="J427" s="2579"/>
      <c r="K427" s="2581"/>
      <c r="L427" s="2555"/>
      <c r="M427" s="1018" t="s">
        <v>51</v>
      </c>
      <c r="N427" s="256"/>
      <c r="O427" s="307"/>
      <c r="P427" s="1078"/>
      <c r="Q427" s="1078">
        <v>1</v>
      </c>
      <c r="R427" s="1078"/>
      <c r="S427" s="1078"/>
      <c r="T427" s="1078"/>
      <c r="U427" s="1078"/>
      <c r="V427" s="1078"/>
      <c r="W427" s="1078"/>
      <c r="X427" s="1078"/>
      <c r="Y427" s="1078"/>
      <c r="Z427" s="1078"/>
      <c r="AA427" s="1078"/>
      <c r="AB427" s="1387">
        <f t="shared" si="197"/>
        <v>1</v>
      </c>
    </row>
    <row r="428" spans="1:28" ht="33.75" x14ac:dyDescent="0.25">
      <c r="A428" s="2673"/>
      <c r="B428" s="2877"/>
      <c r="C428" s="1372"/>
      <c r="D428" s="2569"/>
      <c r="E428" s="2570"/>
      <c r="F428" s="2571"/>
      <c r="G428" s="2573"/>
      <c r="H428" s="2575"/>
      <c r="I428" s="2577"/>
      <c r="J428" s="2579"/>
      <c r="K428" s="2581"/>
      <c r="L428" s="2555"/>
      <c r="M428" s="1152" t="s">
        <v>168</v>
      </c>
      <c r="N428" s="256" t="s">
        <v>2057</v>
      </c>
      <c r="O428" s="307" t="s">
        <v>2058</v>
      </c>
      <c r="P428" s="1078"/>
      <c r="Q428" s="1078">
        <v>3000</v>
      </c>
      <c r="R428" s="1078"/>
      <c r="S428" s="1078"/>
      <c r="T428" s="1078"/>
      <c r="U428" s="1078"/>
      <c r="V428" s="1078"/>
      <c r="W428" s="1078"/>
      <c r="X428" s="1078"/>
      <c r="Y428" s="1078"/>
      <c r="Z428" s="1078"/>
      <c r="AA428" s="1078"/>
      <c r="AB428" s="1387">
        <f t="shared" si="197"/>
        <v>3000</v>
      </c>
    </row>
    <row r="429" spans="1:28" x14ac:dyDescent="0.25">
      <c r="A429" s="2673"/>
      <c r="B429" s="2877"/>
      <c r="C429" s="1372"/>
      <c r="D429" s="2569"/>
      <c r="E429" s="2570"/>
      <c r="F429" s="2571"/>
      <c r="G429" s="2573"/>
      <c r="H429" s="2575"/>
      <c r="I429" s="2577"/>
      <c r="J429" s="2579"/>
      <c r="K429" s="2581"/>
      <c r="L429" s="2555"/>
      <c r="M429" s="1018" t="s">
        <v>51</v>
      </c>
      <c r="N429" s="256"/>
      <c r="O429" s="307"/>
      <c r="P429" s="1078"/>
      <c r="Q429" s="1078">
        <v>1</v>
      </c>
      <c r="R429" s="1078"/>
      <c r="S429" s="1078"/>
      <c r="T429" s="1078"/>
      <c r="U429" s="1078"/>
      <c r="V429" s="1078"/>
      <c r="W429" s="1078"/>
      <c r="X429" s="1078"/>
      <c r="Y429" s="1078"/>
      <c r="Z429" s="1078"/>
      <c r="AA429" s="1078"/>
      <c r="AB429" s="1387">
        <f t="shared" si="197"/>
        <v>1</v>
      </c>
    </row>
    <row r="430" spans="1:28" ht="22.5" x14ac:dyDescent="0.25">
      <c r="A430" s="2673"/>
      <c r="B430" s="2877"/>
      <c r="C430" s="1372"/>
      <c r="D430" s="2569"/>
      <c r="E430" s="2570"/>
      <c r="F430" s="2571"/>
      <c r="G430" s="2573"/>
      <c r="H430" s="2575"/>
      <c r="I430" s="2577"/>
      <c r="J430" s="2579"/>
      <c r="K430" s="2581"/>
      <c r="L430" s="2555"/>
      <c r="M430" s="1152" t="s">
        <v>168</v>
      </c>
      <c r="N430" s="256" t="s">
        <v>2059</v>
      </c>
      <c r="O430" s="307" t="s">
        <v>1463</v>
      </c>
      <c r="P430" s="1078"/>
      <c r="Q430" s="1078">
        <v>3000</v>
      </c>
      <c r="R430" s="1078"/>
      <c r="S430" s="1078"/>
      <c r="T430" s="1078"/>
      <c r="U430" s="1078"/>
      <c r="V430" s="1078"/>
      <c r="W430" s="1078"/>
      <c r="X430" s="1078"/>
      <c r="Y430" s="1078"/>
      <c r="Z430" s="1078"/>
      <c r="AA430" s="1078"/>
      <c r="AB430" s="1387">
        <f t="shared" si="197"/>
        <v>3000</v>
      </c>
    </row>
    <row r="431" spans="1:28" x14ac:dyDescent="0.25">
      <c r="A431" s="2673"/>
      <c r="B431" s="2877"/>
      <c r="C431" s="1372"/>
      <c r="D431" s="2569"/>
      <c r="E431" s="2570"/>
      <c r="F431" s="2571"/>
      <c r="G431" s="2573"/>
      <c r="H431" s="2575"/>
      <c r="I431" s="2577"/>
      <c r="J431" s="2579"/>
      <c r="K431" s="2581"/>
      <c r="L431" s="2555"/>
      <c r="M431" s="1018" t="s">
        <v>51</v>
      </c>
      <c r="N431" s="256"/>
      <c r="O431" s="307"/>
      <c r="P431" s="1078">
        <v>1</v>
      </c>
      <c r="Q431" s="1078">
        <v>1</v>
      </c>
      <c r="R431" s="1078">
        <v>1</v>
      </c>
      <c r="S431" s="1078">
        <v>1</v>
      </c>
      <c r="T431" s="1078">
        <v>1</v>
      </c>
      <c r="U431" s="1078">
        <v>1</v>
      </c>
      <c r="V431" s="1078">
        <v>1</v>
      </c>
      <c r="W431" s="1078">
        <v>1</v>
      </c>
      <c r="X431" s="1078">
        <v>1</v>
      </c>
      <c r="Y431" s="1078">
        <v>1</v>
      </c>
      <c r="Z431" s="1078">
        <v>1</v>
      </c>
      <c r="AA431" s="1078">
        <v>1</v>
      </c>
      <c r="AB431" s="1387">
        <f t="shared" si="197"/>
        <v>12</v>
      </c>
    </row>
    <row r="432" spans="1:28" ht="22.5" x14ac:dyDescent="0.25">
      <c r="A432" s="2673"/>
      <c r="B432" s="2877"/>
      <c r="C432" s="1372"/>
      <c r="D432" s="2569"/>
      <c r="E432" s="2570"/>
      <c r="F432" s="2571"/>
      <c r="G432" s="2573"/>
      <c r="H432" s="2575"/>
      <c r="I432" s="2577"/>
      <c r="J432" s="2579"/>
      <c r="K432" s="2581"/>
      <c r="L432" s="2555"/>
      <c r="M432" s="2424" t="s">
        <v>168</v>
      </c>
      <c r="N432" s="1386" t="s">
        <v>2060</v>
      </c>
      <c r="O432" s="307" t="s">
        <v>2061</v>
      </c>
      <c r="P432" s="1402">
        <v>183.33333333333334</v>
      </c>
      <c r="Q432" s="1402">
        <v>183.33333333333334</v>
      </c>
      <c r="R432" s="1402">
        <v>183.33333333333334</v>
      </c>
      <c r="S432" s="1402">
        <v>183.33333333333334</v>
      </c>
      <c r="T432" s="1402">
        <v>183.33333333333334</v>
      </c>
      <c r="U432" s="1402">
        <v>183.33333333333334</v>
      </c>
      <c r="V432" s="1402">
        <v>183.33333333333334</v>
      </c>
      <c r="W432" s="1402">
        <v>183.33333333333334</v>
      </c>
      <c r="X432" s="1402">
        <v>183.33333333333334</v>
      </c>
      <c r="Y432" s="1402">
        <v>183.33333333333334</v>
      </c>
      <c r="Z432" s="1402">
        <v>183.33333333333334</v>
      </c>
      <c r="AA432" s="1402">
        <v>183.33333333333334</v>
      </c>
      <c r="AB432" s="1387">
        <f>SUM(P432:AA432)</f>
        <v>2199.9999999999995</v>
      </c>
    </row>
    <row r="433" spans="1:28" x14ac:dyDescent="0.25">
      <c r="A433" s="2673"/>
      <c r="B433" s="2877"/>
      <c r="C433" s="1372"/>
      <c r="D433" s="2569"/>
      <c r="E433" s="2570"/>
      <c r="F433" s="2571"/>
      <c r="G433" s="2573"/>
      <c r="H433" s="2575"/>
      <c r="I433" s="2577"/>
      <c r="J433" s="2579"/>
      <c r="K433" s="2581"/>
      <c r="L433" s="2555"/>
      <c r="M433" s="2433"/>
      <c r="N433" s="256" t="s">
        <v>2062</v>
      </c>
      <c r="O433" s="307" t="s">
        <v>2063</v>
      </c>
      <c r="P433" s="1078">
        <v>158.333333333333</v>
      </c>
      <c r="Q433" s="1078">
        <v>158.33333333333334</v>
      </c>
      <c r="R433" s="1078">
        <v>158.33333333333334</v>
      </c>
      <c r="S433" s="1078">
        <v>158.33333333333334</v>
      </c>
      <c r="T433" s="1078">
        <v>158.33333333333334</v>
      </c>
      <c r="U433" s="1078">
        <v>158.33333333333334</v>
      </c>
      <c r="V433" s="1078">
        <v>158.33333333333334</v>
      </c>
      <c r="W433" s="1078">
        <v>158.33333333333334</v>
      </c>
      <c r="X433" s="1078">
        <v>158.33333333333334</v>
      </c>
      <c r="Y433" s="1078">
        <v>158.33333333333334</v>
      </c>
      <c r="Z433" s="1078">
        <v>158.33333333333334</v>
      </c>
      <c r="AA433" s="1078">
        <v>158.33333333333334</v>
      </c>
      <c r="AB433" s="1387">
        <f>SUM(P433:AA433)</f>
        <v>1899.9999999999993</v>
      </c>
    </row>
    <row r="434" spans="1:28" x14ac:dyDescent="0.25">
      <c r="A434" s="2673"/>
      <c r="B434" s="2877"/>
      <c r="C434" s="1372"/>
      <c r="D434" s="2569"/>
      <c r="E434" s="2570"/>
      <c r="F434" s="2571"/>
      <c r="G434" s="2573"/>
      <c r="H434" s="2575"/>
      <c r="I434" s="2577"/>
      <c r="J434" s="2579"/>
      <c r="K434" s="2581"/>
      <c r="L434" s="2555"/>
      <c r="M434" s="2433"/>
      <c r="N434" s="256" t="s">
        <v>2064</v>
      </c>
      <c r="O434" s="307" t="s">
        <v>2065</v>
      </c>
      <c r="P434" s="1402">
        <v>158.33333333333334</v>
      </c>
      <c r="Q434" s="1402">
        <v>158.33333333333334</v>
      </c>
      <c r="R434" s="1402">
        <v>158.33333333333334</v>
      </c>
      <c r="S434" s="1402">
        <v>158.33333333333334</v>
      </c>
      <c r="T434" s="1402">
        <v>158.33333333333334</v>
      </c>
      <c r="U434" s="1402">
        <v>158.33333333333334</v>
      </c>
      <c r="V434" s="1402">
        <v>158.33333333333334</v>
      </c>
      <c r="W434" s="1402">
        <v>158.33333333333334</v>
      </c>
      <c r="X434" s="1402">
        <v>158.33333333333334</v>
      </c>
      <c r="Y434" s="1402">
        <v>158.33333333333334</v>
      </c>
      <c r="Z434" s="1402">
        <v>158.33333333333334</v>
      </c>
      <c r="AA434" s="1402">
        <v>158.33333333333334</v>
      </c>
      <c r="AB434" s="1387">
        <f t="shared" si="197"/>
        <v>1899.9999999999998</v>
      </c>
    </row>
    <row r="435" spans="1:28" ht="22.5" x14ac:dyDescent="0.25">
      <c r="A435" s="2855"/>
      <c r="B435" s="2877"/>
      <c r="C435" s="1372"/>
      <c r="D435" s="2569"/>
      <c r="E435" s="2570"/>
      <c r="F435" s="2571"/>
      <c r="G435" s="2573"/>
      <c r="H435" s="2575"/>
      <c r="I435" s="2577"/>
      <c r="J435" s="2579"/>
      <c r="K435" s="2581"/>
      <c r="L435" s="2555"/>
      <c r="M435" s="2433"/>
      <c r="N435" s="256" t="s">
        <v>2066</v>
      </c>
      <c r="O435" s="307" t="s">
        <v>2067</v>
      </c>
      <c r="P435" s="1078">
        <v>50</v>
      </c>
      <c r="Q435" s="1078">
        <v>50</v>
      </c>
      <c r="R435" s="1078">
        <v>50</v>
      </c>
      <c r="S435" s="1078">
        <v>50</v>
      </c>
      <c r="T435" s="1078">
        <v>50</v>
      </c>
      <c r="U435" s="1078">
        <v>50</v>
      </c>
      <c r="V435" s="1078">
        <v>50</v>
      </c>
      <c r="W435" s="1078">
        <v>50</v>
      </c>
      <c r="X435" s="1078">
        <v>50</v>
      </c>
      <c r="Y435" s="1078">
        <v>50</v>
      </c>
      <c r="Z435" s="1078">
        <v>50</v>
      </c>
      <c r="AA435" s="1078">
        <v>50</v>
      </c>
      <c r="AB435" s="1387">
        <f t="shared" si="197"/>
        <v>600</v>
      </c>
    </row>
    <row r="436" spans="1:28" ht="24" customHeight="1" x14ac:dyDescent="0.25">
      <c r="A436" s="797"/>
      <c r="B436" s="2877"/>
      <c r="C436" s="1372"/>
      <c r="D436" s="2569"/>
      <c r="E436" s="2570"/>
      <c r="F436" s="2571"/>
      <c r="G436" s="2573"/>
      <c r="H436" s="2575"/>
      <c r="I436" s="2577"/>
      <c r="J436" s="2579"/>
      <c r="K436" s="2581"/>
      <c r="L436" s="2555"/>
      <c r="M436" s="2433"/>
      <c r="N436" s="256" t="s">
        <v>2068</v>
      </c>
      <c r="O436" s="307" t="s">
        <v>2069</v>
      </c>
      <c r="P436" s="1402">
        <v>150</v>
      </c>
      <c r="Q436" s="1402">
        <v>150</v>
      </c>
      <c r="R436" s="1402">
        <v>150</v>
      </c>
      <c r="S436" s="1402">
        <v>150</v>
      </c>
      <c r="T436" s="1402">
        <v>150</v>
      </c>
      <c r="U436" s="1402">
        <v>150</v>
      </c>
      <c r="V436" s="1402">
        <v>150</v>
      </c>
      <c r="W436" s="1402">
        <v>150</v>
      </c>
      <c r="X436" s="1402">
        <v>150</v>
      </c>
      <c r="Y436" s="1402">
        <v>150</v>
      </c>
      <c r="Z436" s="1402">
        <v>150</v>
      </c>
      <c r="AA436" s="1402">
        <v>150</v>
      </c>
      <c r="AB436" s="1387">
        <f t="shared" si="197"/>
        <v>1800</v>
      </c>
    </row>
    <row r="437" spans="1:28" x14ac:dyDescent="0.25">
      <c r="A437" s="797"/>
      <c r="B437" s="2877"/>
      <c r="C437" s="1372"/>
      <c r="D437" s="2569"/>
      <c r="E437" s="2570"/>
      <c r="F437" s="2571"/>
      <c r="G437" s="2573"/>
      <c r="H437" s="2575"/>
      <c r="I437" s="2577"/>
      <c r="J437" s="2579"/>
      <c r="K437" s="2581"/>
      <c r="L437" s="2555"/>
      <c r="M437" s="2433"/>
      <c r="N437" s="416" t="s">
        <v>2070</v>
      </c>
      <c r="O437" s="307" t="s">
        <v>2071</v>
      </c>
      <c r="P437" s="1078">
        <v>700</v>
      </c>
      <c r="Q437" s="1078">
        <v>700</v>
      </c>
      <c r="R437" s="1078">
        <v>700</v>
      </c>
      <c r="S437" s="1078">
        <v>700</v>
      </c>
      <c r="T437" s="1078">
        <v>700</v>
      </c>
      <c r="U437" s="1078">
        <v>700</v>
      </c>
      <c r="V437" s="1078">
        <v>700</v>
      </c>
      <c r="W437" s="1078">
        <v>700</v>
      </c>
      <c r="X437" s="1078">
        <v>700</v>
      </c>
      <c r="Y437" s="1078">
        <v>700</v>
      </c>
      <c r="Z437" s="1078">
        <v>700</v>
      </c>
      <c r="AA437" s="1078">
        <v>700</v>
      </c>
      <c r="AB437" s="1387">
        <f t="shared" si="197"/>
        <v>8400</v>
      </c>
    </row>
    <row r="438" spans="1:28" ht="25.5" customHeight="1" x14ac:dyDescent="0.25">
      <c r="A438" s="797"/>
      <c r="B438" s="2877"/>
      <c r="C438" s="1372"/>
      <c r="D438" s="2569"/>
      <c r="E438" s="2570"/>
      <c r="F438" s="2571"/>
      <c r="G438" s="2573"/>
      <c r="H438" s="2575"/>
      <c r="I438" s="2577"/>
      <c r="J438" s="2579"/>
      <c r="K438" s="2581"/>
      <c r="L438" s="2555"/>
      <c r="M438" s="2433"/>
      <c r="N438" s="416" t="s">
        <v>2072</v>
      </c>
      <c r="O438" s="307" t="s">
        <v>1441</v>
      </c>
      <c r="P438" s="1402">
        <v>100</v>
      </c>
      <c r="Q438" s="1402">
        <v>100</v>
      </c>
      <c r="R438" s="1402">
        <v>100</v>
      </c>
      <c r="S438" s="1402">
        <v>100</v>
      </c>
      <c r="T438" s="1402">
        <v>100</v>
      </c>
      <c r="U438" s="1402">
        <v>100</v>
      </c>
      <c r="V438" s="1402">
        <v>100</v>
      </c>
      <c r="W438" s="1402">
        <v>100</v>
      </c>
      <c r="X438" s="1402">
        <v>100</v>
      </c>
      <c r="Y438" s="1402">
        <v>100</v>
      </c>
      <c r="Z438" s="1402">
        <v>100</v>
      </c>
      <c r="AA438" s="1402">
        <v>100</v>
      </c>
      <c r="AB438" s="1387">
        <f t="shared" si="197"/>
        <v>1200</v>
      </c>
    </row>
    <row r="439" spans="1:28" x14ac:dyDescent="0.25">
      <c r="A439" s="797"/>
      <c r="B439" s="2877"/>
      <c r="C439" s="1372"/>
      <c r="D439" s="2569"/>
      <c r="E439" s="2570"/>
      <c r="F439" s="2571"/>
      <c r="G439" s="2573"/>
      <c r="H439" s="2575"/>
      <c r="I439" s="2577"/>
      <c r="J439" s="2579"/>
      <c r="K439" s="2581"/>
      <c r="L439" s="2555"/>
      <c r="M439" s="2425"/>
      <c r="N439" s="1388" t="s">
        <v>2056</v>
      </c>
      <c r="O439" s="307" t="s">
        <v>1478</v>
      </c>
      <c r="P439" s="1078">
        <v>300</v>
      </c>
      <c r="Q439" s="1078">
        <v>300</v>
      </c>
      <c r="R439" s="1078">
        <v>300</v>
      </c>
      <c r="S439" s="1078">
        <v>300</v>
      </c>
      <c r="T439" s="1078">
        <v>300</v>
      </c>
      <c r="U439" s="1078">
        <v>300</v>
      </c>
      <c r="V439" s="1078">
        <v>300</v>
      </c>
      <c r="W439" s="1078">
        <v>300</v>
      </c>
      <c r="X439" s="1078">
        <v>300</v>
      </c>
      <c r="Y439" s="1078">
        <v>300</v>
      </c>
      <c r="Z439" s="1078">
        <v>300</v>
      </c>
      <c r="AA439" s="1078">
        <v>300</v>
      </c>
      <c r="AB439" s="1387">
        <f t="shared" si="197"/>
        <v>3600</v>
      </c>
    </row>
    <row r="440" spans="1:28" ht="39.75" customHeight="1" x14ac:dyDescent="0.25">
      <c r="A440" s="797"/>
      <c r="B440" s="2877"/>
      <c r="C440" s="1372"/>
      <c r="D440" s="2569"/>
      <c r="E440" s="2570"/>
      <c r="F440" s="2571"/>
      <c r="G440" s="2573"/>
      <c r="H440" s="2575"/>
      <c r="I440" s="2577"/>
      <c r="J440" s="2579"/>
      <c r="K440" s="2581"/>
      <c r="L440" s="2555"/>
      <c r="M440" s="696" t="s">
        <v>51</v>
      </c>
      <c r="N440" s="1388"/>
      <c r="O440" s="307"/>
      <c r="P440" s="1393"/>
      <c r="Q440" s="1393">
        <v>1</v>
      </c>
      <c r="R440" s="1393">
        <v>1</v>
      </c>
      <c r="S440" s="1393">
        <v>1</v>
      </c>
      <c r="T440" s="1393">
        <v>1</v>
      </c>
      <c r="U440" s="1393">
        <v>1</v>
      </c>
      <c r="V440" s="1393">
        <v>1</v>
      </c>
      <c r="W440" s="1393">
        <v>1</v>
      </c>
      <c r="X440" s="1393">
        <v>1</v>
      </c>
      <c r="Y440" s="1393">
        <v>1</v>
      </c>
      <c r="Z440" s="1393">
        <v>1</v>
      </c>
      <c r="AA440" s="1393"/>
      <c r="AB440" s="1387">
        <f t="shared" si="197"/>
        <v>10</v>
      </c>
    </row>
    <row r="441" spans="1:28" ht="30.75" customHeight="1" x14ac:dyDescent="0.25">
      <c r="A441" s="797"/>
      <c r="B441" s="2877"/>
      <c r="C441" s="1372"/>
      <c r="D441" s="2569"/>
      <c r="E441" s="2570"/>
      <c r="F441" s="2571"/>
      <c r="G441" s="2573"/>
      <c r="H441" s="2575"/>
      <c r="I441" s="2577"/>
      <c r="J441" s="2579"/>
      <c r="K441" s="2581"/>
      <c r="L441" s="2555"/>
      <c r="M441" s="1154" t="s">
        <v>168</v>
      </c>
      <c r="N441" s="416" t="s">
        <v>2072</v>
      </c>
      <c r="O441" s="307" t="s">
        <v>1441</v>
      </c>
      <c r="P441" s="1393"/>
      <c r="Q441" s="1393">
        <v>100</v>
      </c>
      <c r="R441" s="1393">
        <v>100</v>
      </c>
      <c r="S441" s="1393">
        <v>5100</v>
      </c>
      <c r="T441" s="1393">
        <v>100</v>
      </c>
      <c r="U441" s="1393">
        <v>100</v>
      </c>
      <c r="V441" s="1393">
        <v>100</v>
      </c>
      <c r="W441" s="1393">
        <v>100</v>
      </c>
      <c r="X441" s="1393">
        <v>100</v>
      </c>
      <c r="Y441" s="1393">
        <v>100</v>
      </c>
      <c r="Z441" s="1393">
        <v>100</v>
      </c>
      <c r="AA441" s="1393"/>
      <c r="AB441" s="1387">
        <f t="shared" si="197"/>
        <v>6000</v>
      </c>
    </row>
    <row r="442" spans="1:28" x14ac:dyDescent="0.25">
      <c r="A442" s="797"/>
      <c r="B442" s="2877"/>
      <c r="C442" s="1372"/>
      <c r="D442" s="2569"/>
      <c r="E442" s="2570"/>
      <c r="F442" s="2571"/>
      <c r="G442" s="2573"/>
      <c r="H442" s="2575"/>
      <c r="I442" s="2577"/>
      <c r="J442" s="2579"/>
      <c r="K442" s="2581"/>
      <c r="L442" s="2555"/>
      <c r="M442" s="696" t="s">
        <v>51</v>
      </c>
      <c r="N442" s="416"/>
      <c r="O442" s="307"/>
      <c r="P442" s="1393"/>
      <c r="Q442" s="1393">
        <v>1</v>
      </c>
      <c r="R442" s="1393"/>
      <c r="S442" s="1393"/>
      <c r="T442" s="1393"/>
      <c r="U442" s="1393"/>
      <c r="V442" s="1393"/>
      <c r="W442" s="1393"/>
      <c r="X442" s="1393"/>
      <c r="Y442" s="1393"/>
      <c r="Z442" s="1393"/>
      <c r="AA442" s="1393"/>
      <c r="AB442" s="1387">
        <f t="shared" si="197"/>
        <v>1</v>
      </c>
    </row>
    <row r="443" spans="1:28" ht="33.75" x14ac:dyDescent="0.25">
      <c r="A443" s="797"/>
      <c r="B443" s="2877"/>
      <c r="C443" s="1372"/>
      <c r="D443" s="2569"/>
      <c r="E443" s="2570"/>
      <c r="F443" s="2571"/>
      <c r="G443" s="2573"/>
      <c r="H443" s="2575"/>
      <c r="I443" s="2577"/>
      <c r="J443" s="2579"/>
      <c r="K443" s="2581"/>
      <c r="L443" s="2555"/>
      <c r="M443" s="1154" t="s">
        <v>168</v>
      </c>
      <c r="N443" s="416" t="s">
        <v>2073</v>
      </c>
      <c r="O443" s="307" t="s">
        <v>2074</v>
      </c>
      <c r="P443" s="1393"/>
      <c r="Q443" s="1393">
        <v>2500</v>
      </c>
      <c r="R443" s="1393"/>
      <c r="S443" s="1393"/>
      <c r="T443" s="1393"/>
      <c r="U443" s="1393"/>
      <c r="V443" s="1393"/>
      <c r="W443" s="1393"/>
      <c r="X443" s="1393"/>
      <c r="Y443" s="1393"/>
      <c r="Z443" s="1393"/>
      <c r="AA443" s="1393"/>
      <c r="AB443" s="1387">
        <f t="shared" si="197"/>
        <v>2500</v>
      </c>
    </row>
    <row r="444" spans="1:28" ht="15" customHeight="1" x14ac:dyDescent="0.25">
      <c r="A444" s="797"/>
      <c r="B444" s="2877"/>
      <c r="C444" s="1372"/>
      <c r="D444" s="2569"/>
      <c r="E444" s="2570"/>
      <c r="F444" s="2571"/>
      <c r="G444" s="2573"/>
      <c r="H444" s="2575"/>
      <c r="I444" s="2577"/>
      <c r="J444" s="2579"/>
      <c r="K444" s="2581"/>
      <c r="L444" s="2555"/>
      <c r="M444" s="696" t="s">
        <v>51</v>
      </c>
      <c r="N444" s="416"/>
      <c r="O444" s="307"/>
      <c r="P444" s="1393"/>
      <c r="Q444" s="1393">
        <v>1</v>
      </c>
      <c r="R444" s="1393">
        <v>1</v>
      </c>
      <c r="S444" s="1393">
        <v>1</v>
      </c>
      <c r="T444" s="1393">
        <v>1</v>
      </c>
      <c r="U444" s="1393">
        <v>1</v>
      </c>
      <c r="V444" s="1393">
        <v>1</v>
      </c>
      <c r="W444" s="1393">
        <v>1</v>
      </c>
      <c r="X444" s="1393">
        <v>1</v>
      </c>
      <c r="Y444" s="1393">
        <v>1</v>
      </c>
      <c r="Z444" s="1393">
        <v>1</v>
      </c>
      <c r="AA444" s="1393"/>
      <c r="AB444" s="1387">
        <f t="shared" si="197"/>
        <v>10</v>
      </c>
    </row>
    <row r="445" spans="1:28" ht="33.75" customHeight="1" x14ac:dyDescent="0.25">
      <c r="A445" s="797"/>
      <c r="B445" s="2877"/>
      <c r="C445" s="1372"/>
      <c r="D445" s="2569"/>
      <c r="E445" s="2570"/>
      <c r="F445" s="2571"/>
      <c r="G445" s="2573"/>
      <c r="H445" s="2575"/>
      <c r="I445" s="2577"/>
      <c r="J445" s="2579"/>
      <c r="K445" s="2581"/>
      <c r="L445" s="2555"/>
      <c r="M445" s="1154" t="s">
        <v>168</v>
      </c>
      <c r="N445" s="416" t="s">
        <v>2068</v>
      </c>
      <c r="O445" s="307" t="s">
        <v>2069</v>
      </c>
      <c r="P445" s="1393"/>
      <c r="Q445" s="1393">
        <v>650</v>
      </c>
      <c r="R445" s="1393">
        <v>650</v>
      </c>
      <c r="S445" s="1393">
        <v>650</v>
      </c>
      <c r="T445" s="1393">
        <v>650</v>
      </c>
      <c r="U445" s="1393">
        <v>650</v>
      </c>
      <c r="V445" s="1393">
        <v>650</v>
      </c>
      <c r="W445" s="1393">
        <v>650</v>
      </c>
      <c r="X445" s="1393">
        <v>650</v>
      </c>
      <c r="Y445" s="1393">
        <v>650</v>
      </c>
      <c r="Z445" s="1393">
        <v>650</v>
      </c>
      <c r="AA445" s="1393"/>
      <c r="AB445" s="1387">
        <f t="shared" si="197"/>
        <v>6500</v>
      </c>
    </row>
    <row r="446" spans="1:28" ht="15" customHeight="1" x14ac:dyDescent="0.25">
      <c r="A446" s="797"/>
      <c r="B446" s="2877"/>
      <c r="C446" s="1372"/>
      <c r="D446" s="2569"/>
      <c r="E446" s="2570"/>
      <c r="F446" s="2571"/>
      <c r="G446" s="2573"/>
      <c r="H446" s="2575"/>
      <c r="I446" s="2577"/>
      <c r="J446" s="2579"/>
      <c r="K446" s="2581"/>
      <c r="L446" s="2555"/>
      <c r="M446" s="696" t="s">
        <v>51</v>
      </c>
      <c r="N446" s="1142"/>
      <c r="O446" s="1390"/>
      <c r="P446" s="1404"/>
      <c r="Q446" s="1404">
        <v>1</v>
      </c>
      <c r="R446" s="1404"/>
      <c r="S446" s="1404"/>
      <c r="T446" s="1404"/>
      <c r="U446" s="1404"/>
      <c r="V446" s="1404"/>
      <c r="W446" s="1404"/>
      <c r="X446" s="1404"/>
      <c r="Y446" s="1404"/>
      <c r="Z446" s="1404"/>
      <c r="AA446" s="1404"/>
      <c r="AB446" s="1387">
        <f t="shared" si="197"/>
        <v>1</v>
      </c>
    </row>
    <row r="447" spans="1:28" ht="24" customHeight="1" x14ac:dyDescent="0.25">
      <c r="A447" s="797"/>
      <c r="B447" s="2877"/>
      <c r="C447" s="1373"/>
      <c r="D447" s="2569"/>
      <c r="E447" s="2570"/>
      <c r="F447" s="2571"/>
      <c r="G447" s="2573"/>
      <c r="H447" s="2575"/>
      <c r="I447" s="2577"/>
      <c r="J447" s="2579"/>
      <c r="K447" s="2581"/>
      <c r="L447" s="2555"/>
      <c r="M447" s="1154" t="s">
        <v>168</v>
      </c>
      <c r="N447" s="1142" t="s">
        <v>2075</v>
      </c>
      <c r="O447" s="1390" t="s">
        <v>2076</v>
      </c>
      <c r="P447" s="1404"/>
      <c r="Q447" s="1404">
        <v>1500</v>
      </c>
      <c r="R447" s="1404"/>
      <c r="S447" s="1404"/>
      <c r="T447" s="1404"/>
      <c r="U447" s="1404"/>
      <c r="V447" s="1404"/>
      <c r="W447" s="1404"/>
      <c r="X447" s="1404"/>
      <c r="Y447" s="1404"/>
      <c r="Z447" s="1404"/>
      <c r="AA447" s="1404"/>
      <c r="AB447" s="1387">
        <f t="shared" si="197"/>
        <v>1500</v>
      </c>
    </row>
    <row r="448" spans="1:28" ht="15" customHeight="1" x14ac:dyDescent="0.25">
      <c r="A448" s="797"/>
      <c r="B448" s="2878"/>
      <c r="C448" s="2879"/>
      <c r="D448" s="2880" t="s">
        <v>2077</v>
      </c>
      <c r="E448" s="2582" t="s">
        <v>23</v>
      </c>
      <c r="F448" s="2582" t="s">
        <v>164</v>
      </c>
      <c r="G448" s="2582" t="s">
        <v>25</v>
      </c>
      <c r="H448" s="2582" t="s">
        <v>26</v>
      </c>
      <c r="I448" s="2582" t="s">
        <v>27</v>
      </c>
      <c r="J448" s="2582" t="s">
        <v>28</v>
      </c>
      <c r="K448" s="2582"/>
      <c r="L448" s="2582" t="s">
        <v>29</v>
      </c>
      <c r="M448" s="2582" t="s">
        <v>3187</v>
      </c>
      <c r="N448" s="2582"/>
      <c r="O448" s="2582" t="s">
        <v>530</v>
      </c>
      <c r="P448" s="2881" t="s">
        <v>31</v>
      </c>
      <c r="Q448" s="2881"/>
      <c r="R448" s="2881"/>
      <c r="S448" s="2881"/>
      <c r="T448" s="2881"/>
      <c r="U448" s="2881"/>
      <c r="V448" s="2881"/>
      <c r="W448" s="2881"/>
      <c r="X448" s="2881"/>
      <c r="Y448" s="2881"/>
      <c r="Z448" s="2881"/>
      <c r="AA448" s="2881"/>
      <c r="AB448" s="2542">
        <f>SUM(AB451+AB452+AB454+AB455+AB457+AB459+AB461+AB463+AB465+AB466+AB468+AB470+AB472+AB473+AB474+AB476+AB478+AB479+AB480+AB481+AB483)</f>
        <v>24954.799999999999</v>
      </c>
    </row>
    <row r="449" spans="1:28" ht="17.25" customHeight="1" x14ac:dyDescent="0.25">
      <c r="A449" s="797"/>
      <c r="B449" s="2878"/>
      <c r="C449" s="2879"/>
      <c r="D449" s="2880"/>
      <c r="E449" s="2582"/>
      <c r="F449" s="2582"/>
      <c r="G449" s="2582"/>
      <c r="H449" s="2582"/>
      <c r="I449" s="2582"/>
      <c r="J449" s="1192" t="s">
        <v>287</v>
      </c>
      <c r="K449" s="1192" t="s">
        <v>34</v>
      </c>
      <c r="L449" s="2582"/>
      <c r="M449" s="2582"/>
      <c r="N449" s="2582"/>
      <c r="O449" s="2582"/>
      <c r="P449" s="1397" t="s">
        <v>35</v>
      </c>
      <c r="Q449" s="1397" t="s">
        <v>36</v>
      </c>
      <c r="R449" s="1397" t="s">
        <v>37</v>
      </c>
      <c r="S449" s="1397" t="s">
        <v>38</v>
      </c>
      <c r="T449" s="1397" t="s">
        <v>39</v>
      </c>
      <c r="U449" s="1397" t="s">
        <v>40</v>
      </c>
      <c r="V449" s="1397" t="s">
        <v>41</v>
      </c>
      <c r="W449" s="1397" t="s">
        <v>42</v>
      </c>
      <c r="X449" s="1397" t="s">
        <v>43</v>
      </c>
      <c r="Y449" s="1397" t="s">
        <v>44</v>
      </c>
      <c r="Z449" s="1397" t="s">
        <v>45</v>
      </c>
      <c r="AA449" s="1397" t="s">
        <v>46</v>
      </c>
      <c r="AB449" s="2542"/>
    </row>
    <row r="450" spans="1:28" ht="14.25" customHeight="1" x14ac:dyDescent="0.25">
      <c r="A450" s="797"/>
      <c r="B450" s="1406"/>
      <c r="C450" s="1800"/>
      <c r="D450" s="2521" t="s">
        <v>2078</v>
      </c>
      <c r="E450" s="2417">
        <v>9</v>
      </c>
      <c r="F450" s="2418">
        <v>6</v>
      </c>
      <c r="G450" s="2419">
        <v>8</v>
      </c>
      <c r="H450" s="2502" t="s">
        <v>2079</v>
      </c>
      <c r="I450" s="2420" t="s">
        <v>2080</v>
      </c>
      <c r="J450" s="2413">
        <v>15</v>
      </c>
      <c r="K450" s="2503">
        <f>AB451+AB452</f>
        <v>1280</v>
      </c>
      <c r="L450" s="2421" t="s">
        <v>2081</v>
      </c>
      <c r="M450" s="1018" t="s">
        <v>51</v>
      </c>
      <c r="N450" s="38"/>
      <c r="O450" s="776"/>
      <c r="P450" s="1078"/>
      <c r="Q450" s="1078"/>
      <c r="R450" s="1078">
        <v>2</v>
      </c>
      <c r="S450" s="1078">
        <v>2</v>
      </c>
      <c r="T450" s="1078">
        <v>2</v>
      </c>
      <c r="U450" s="1078"/>
      <c r="V450" s="1078">
        <v>2</v>
      </c>
      <c r="W450" s="1078">
        <v>2</v>
      </c>
      <c r="X450" s="1078">
        <v>1</v>
      </c>
      <c r="Y450" s="1078">
        <v>2</v>
      </c>
      <c r="Z450" s="1078">
        <v>2</v>
      </c>
      <c r="AA450" s="1078"/>
      <c r="AB450" s="1387">
        <f>SUM(P450:AA450)</f>
        <v>15</v>
      </c>
    </row>
    <row r="451" spans="1:28" ht="63.75" customHeight="1" x14ac:dyDescent="0.25">
      <c r="A451" s="797"/>
      <c r="B451" s="1406"/>
      <c r="C451" s="1800"/>
      <c r="D451" s="2521"/>
      <c r="E451" s="2417"/>
      <c r="F451" s="2418"/>
      <c r="G451" s="2419"/>
      <c r="H451" s="2502"/>
      <c r="I451" s="2420"/>
      <c r="J451" s="2413"/>
      <c r="K451" s="2426"/>
      <c r="L451" s="2421"/>
      <c r="M451" s="2522" t="s">
        <v>168</v>
      </c>
      <c r="N451" s="416" t="s">
        <v>2068</v>
      </c>
      <c r="O451" s="307" t="s">
        <v>2069</v>
      </c>
      <c r="P451" s="1078"/>
      <c r="Q451" s="1078"/>
      <c r="R451" s="1078">
        <v>280</v>
      </c>
      <c r="S451" s="1078"/>
      <c r="T451" s="1078">
        <v>280</v>
      </c>
      <c r="U451" s="1078"/>
      <c r="V451" s="1078"/>
      <c r="W451" s="1078">
        <v>280</v>
      </c>
      <c r="X451" s="1078"/>
      <c r="Y451" s="1078">
        <v>280</v>
      </c>
      <c r="Z451" s="1078"/>
      <c r="AA451" s="1078"/>
      <c r="AB451" s="1387">
        <f t="shared" ref="AB451:AB483" si="198">SUM(P451:AA451)</f>
        <v>1120</v>
      </c>
    </row>
    <row r="452" spans="1:28" ht="22.5" customHeight="1" x14ac:dyDescent="0.25">
      <c r="A452" s="797"/>
      <c r="B452" s="1406"/>
      <c r="C452" s="1800"/>
      <c r="D452" s="2521"/>
      <c r="E452" s="2417"/>
      <c r="F452" s="2418"/>
      <c r="G452" s="2419"/>
      <c r="H452" s="2502"/>
      <c r="I452" s="2420"/>
      <c r="J452" s="2413"/>
      <c r="K452" s="2426"/>
      <c r="L452" s="2421"/>
      <c r="M452" s="2522"/>
      <c r="N452" s="416" t="s">
        <v>2066</v>
      </c>
      <c r="O452" s="307" t="s">
        <v>2067</v>
      </c>
      <c r="P452" s="1078"/>
      <c r="Q452" s="1078"/>
      <c r="R452" s="1078">
        <v>40</v>
      </c>
      <c r="S452" s="1078"/>
      <c r="T452" s="1078">
        <v>40</v>
      </c>
      <c r="U452" s="1078"/>
      <c r="V452" s="1078"/>
      <c r="W452" s="1078">
        <v>40</v>
      </c>
      <c r="X452" s="1078"/>
      <c r="Y452" s="1078">
        <v>40</v>
      </c>
      <c r="Z452" s="1078"/>
      <c r="AA452" s="1078"/>
      <c r="AB452" s="1387">
        <f t="shared" si="198"/>
        <v>160</v>
      </c>
    </row>
    <row r="453" spans="1:28" x14ac:dyDescent="0.25">
      <c r="A453" s="797"/>
      <c r="B453" s="1406"/>
      <c r="C453" s="1800"/>
      <c r="D453" s="2508" t="s">
        <v>2082</v>
      </c>
      <c r="E453" s="2417">
        <v>9</v>
      </c>
      <c r="F453" s="2418">
        <v>6</v>
      </c>
      <c r="G453" s="2419">
        <v>8</v>
      </c>
      <c r="H453" s="2502" t="s">
        <v>2083</v>
      </c>
      <c r="I453" s="2420" t="s">
        <v>2084</v>
      </c>
      <c r="J453" s="2413">
        <v>50</v>
      </c>
      <c r="K453" s="2503">
        <f>AB454+AB455</f>
        <v>2500</v>
      </c>
      <c r="L453" s="2421" t="s">
        <v>2081</v>
      </c>
      <c r="M453" s="1018" t="s">
        <v>51</v>
      </c>
      <c r="N453" s="913"/>
      <c r="O453" s="776"/>
      <c r="P453" s="1078"/>
      <c r="Q453" s="1078"/>
      <c r="R453" s="1078">
        <v>5</v>
      </c>
      <c r="S453" s="1078">
        <v>6</v>
      </c>
      <c r="T453" s="1078">
        <v>6</v>
      </c>
      <c r="U453" s="1078">
        <v>6</v>
      </c>
      <c r="V453" s="1078">
        <v>6</v>
      </c>
      <c r="W453" s="1078">
        <v>5</v>
      </c>
      <c r="X453" s="1078">
        <v>6</v>
      </c>
      <c r="Y453" s="1078">
        <v>5</v>
      </c>
      <c r="Z453" s="1078">
        <v>5</v>
      </c>
      <c r="AA453" s="1078"/>
      <c r="AB453" s="1387">
        <f t="shared" si="198"/>
        <v>50</v>
      </c>
    </row>
    <row r="454" spans="1:28" ht="27" customHeight="1" x14ac:dyDescent="0.25">
      <c r="A454" s="797"/>
      <c r="B454" s="1406"/>
      <c r="C454" s="1800"/>
      <c r="D454" s="2508"/>
      <c r="E454" s="2417"/>
      <c r="F454" s="2418"/>
      <c r="G454" s="2419"/>
      <c r="H454" s="2502"/>
      <c r="I454" s="2420"/>
      <c r="J454" s="2413"/>
      <c r="K454" s="2426"/>
      <c r="L454" s="2421"/>
      <c r="M454" s="1018" t="s">
        <v>168</v>
      </c>
      <c r="N454" s="416" t="s">
        <v>2068</v>
      </c>
      <c r="O454" s="307" t="s">
        <v>1469</v>
      </c>
      <c r="P454" s="1078"/>
      <c r="Q454" s="1078"/>
      <c r="R454" s="1078">
        <f>140*2.5</f>
        <v>350</v>
      </c>
      <c r="S454" s="1078"/>
      <c r="T454" s="1078">
        <f>140*2.5</f>
        <v>350</v>
      </c>
      <c r="U454" s="1078"/>
      <c r="V454" s="1078">
        <f>140*2.5</f>
        <v>350</v>
      </c>
      <c r="W454" s="1078"/>
      <c r="X454" s="1078">
        <f>140*2.5</f>
        <v>350</v>
      </c>
      <c r="Y454" s="1078"/>
      <c r="Z454" s="1078">
        <f>140*2.5</f>
        <v>350</v>
      </c>
      <c r="AA454" s="1078"/>
      <c r="AB454" s="1387">
        <f t="shared" si="198"/>
        <v>1750</v>
      </c>
    </row>
    <row r="455" spans="1:28" ht="27" customHeight="1" x14ac:dyDescent="0.25">
      <c r="A455" s="797"/>
      <c r="B455" s="1406"/>
      <c r="C455" s="1800"/>
      <c r="D455" s="2508"/>
      <c r="E455" s="2417"/>
      <c r="F455" s="2418"/>
      <c r="G455" s="2419"/>
      <c r="H455" s="2502"/>
      <c r="I455" s="2420"/>
      <c r="J455" s="2413"/>
      <c r="K455" s="2426"/>
      <c r="L455" s="2421"/>
      <c r="M455" s="1018"/>
      <c r="N455" s="416" t="s">
        <v>2066</v>
      </c>
      <c r="O455" s="307" t="s">
        <v>2067</v>
      </c>
      <c r="P455" s="1078"/>
      <c r="Q455" s="1078"/>
      <c r="R455" s="1078">
        <v>150</v>
      </c>
      <c r="S455" s="1078"/>
      <c r="T455" s="1078">
        <v>150</v>
      </c>
      <c r="U455" s="1078"/>
      <c r="V455" s="1078">
        <v>150</v>
      </c>
      <c r="W455" s="1078"/>
      <c r="X455" s="1078">
        <v>150</v>
      </c>
      <c r="Y455" s="1078"/>
      <c r="Z455" s="1078">
        <v>150</v>
      </c>
      <c r="AA455" s="1078"/>
      <c r="AB455" s="1387">
        <f t="shared" si="198"/>
        <v>750</v>
      </c>
    </row>
    <row r="456" spans="1:28" ht="27" customHeight="1" x14ac:dyDescent="0.25">
      <c r="A456" s="797"/>
      <c r="B456" s="1406"/>
      <c r="C456" s="1800"/>
      <c r="D456" s="2508" t="s">
        <v>2085</v>
      </c>
      <c r="E456" s="2417">
        <v>9</v>
      </c>
      <c r="F456" s="2418">
        <v>6</v>
      </c>
      <c r="G456" s="2445">
        <v>8</v>
      </c>
      <c r="H456" s="2425" t="s">
        <v>2086</v>
      </c>
      <c r="I456" s="2516" t="s">
        <v>2087</v>
      </c>
      <c r="J456" s="2436">
        <v>8</v>
      </c>
      <c r="K456" s="2882">
        <f>AB457</f>
        <v>1600</v>
      </c>
      <c r="L456" s="2437" t="s">
        <v>2081</v>
      </c>
      <c r="M456" s="1020" t="s">
        <v>51</v>
      </c>
      <c r="N456" s="1405"/>
      <c r="O456" s="119"/>
      <c r="P456" s="1085"/>
      <c r="Q456" s="1085">
        <v>1</v>
      </c>
      <c r="R456" s="1085">
        <v>1</v>
      </c>
      <c r="S456" s="1085"/>
      <c r="T456" s="1085">
        <v>1</v>
      </c>
      <c r="U456" s="1085">
        <v>1</v>
      </c>
      <c r="V456" s="1085">
        <v>1</v>
      </c>
      <c r="W456" s="1085">
        <v>1</v>
      </c>
      <c r="X456" s="1085">
        <v>1</v>
      </c>
      <c r="Y456" s="1085"/>
      <c r="Z456" s="1085">
        <v>1</v>
      </c>
      <c r="AA456" s="1085"/>
      <c r="AB456" s="1387">
        <f t="shared" si="198"/>
        <v>8</v>
      </c>
    </row>
    <row r="457" spans="1:28" ht="44.25" customHeight="1" x14ac:dyDescent="0.25">
      <c r="A457" s="797"/>
      <c r="B457" s="1406"/>
      <c r="C457" s="1800"/>
      <c r="D457" s="2508"/>
      <c r="E457" s="2417"/>
      <c r="F457" s="2418"/>
      <c r="G457" s="2419"/>
      <c r="H457" s="2502"/>
      <c r="I457" s="2420"/>
      <c r="J457" s="2413"/>
      <c r="K457" s="2426"/>
      <c r="L457" s="2421"/>
      <c r="M457" s="1018" t="s">
        <v>168</v>
      </c>
      <c r="N457" s="1388" t="s">
        <v>2088</v>
      </c>
      <c r="O457" s="307" t="s">
        <v>1984</v>
      </c>
      <c r="P457" s="1078"/>
      <c r="Q457" s="1078">
        <v>200</v>
      </c>
      <c r="R457" s="1078">
        <v>200</v>
      </c>
      <c r="S457" s="1078"/>
      <c r="T457" s="1078">
        <v>200</v>
      </c>
      <c r="U457" s="1078">
        <v>200</v>
      </c>
      <c r="V457" s="1078">
        <v>200</v>
      </c>
      <c r="W457" s="1078">
        <v>200</v>
      </c>
      <c r="X457" s="1078">
        <v>200</v>
      </c>
      <c r="Y457" s="1078"/>
      <c r="Z457" s="1078">
        <v>200</v>
      </c>
      <c r="AA457" s="1078"/>
      <c r="AB457" s="1387">
        <f t="shared" si="198"/>
        <v>1600</v>
      </c>
    </row>
    <row r="458" spans="1:28" ht="39.75" customHeight="1" x14ac:dyDescent="0.25">
      <c r="A458" s="797"/>
      <c r="B458" s="1406"/>
      <c r="C458" s="1800"/>
      <c r="D458" s="2508" t="s">
        <v>3183</v>
      </c>
      <c r="E458" s="2417">
        <v>9</v>
      </c>
      <c r="F458" s="2418">
        <v>6</v>
      </c>
      <c r="G458" s="2419">
        <v>8</v>
      </c>
      <c r="H458" s="2502" t="s">
        <v>2089</v>
      </c>
      <c r="I458" s="2420" t="s">
        <v>17</v>
      </c>
      <c r="J458" s="2413">
        <v>8</v>
      </c>
      <c r="K458" s="2503">
        <f>AB459</f>
        <v>2400</v>
      </c>
      <c r="L458" s="2421" t="s">
        <v>2081</v>
      </c>
      <c r="M458" s="1018" t="s">
        <v>51</v>
      </c>
      <c r="N458" s="328"/>
      <c r="O458" s="776"/>
      <c r="P458" s="1078"/>
      <c r="Q458" s="1078">
        <v>1</v>
      </c>
      <c r="R458" s="1078"/>
      <c r="S458" s="1078">
        <v>1</v>
      </c>
      <c r="T458" s="1078"/>
      <c r="U458" s="1078">
        <v>1</v>
      </c>
      <c r="V458" s="1078">
        <v>1</v>
      </c>
      <c r="W458" s="1078">
        <v>1</v>
      </c>
      <c r="X458" s="1078">
        <v>1</v>
      </c>
      <c r="Y458" s="1078">
        <v>1</v>
      </c>
      <c r="Z458" s="1078">
        <v>1</v>
      </c>
      <c r="AA458" s="1078"/>
      <c r="AB458" s="1387">
        <f t="shared" si="198"/>
        <v>8</v>
      </c>
    </row>
    <row r="459" spans="1:28" ht="24" customHeight="1" x14ac:dyDescent="0.25">
      <c r="A459" s="797"/>
      <c r="B459" s="1406"/>
      <c r="C459" s="1800"/>
      <c r="D459" s="2508"/>
      <c r="E459" s="2417"/>
      <c r="F459" s="2418"/>
      <c r="G459" s="2419"/>
      <c r="H459" s="2502"/>
      <c r="I459" s="2420"/>
      <c r="J459" s="2413"/>
      <c r="K459" s="2426"/>
      <c r="L459" s="2421"/>
      <c r="M459" s="1018" t="s">
        <v>168</v>
      </c>
      <c r="N459" s="1388" t="s">
        <v>2088</v>
      </c>
      <c r="O459" s="307" t="s">
        <v>1984</v>
      </c>
      <c r="P459" s="1078"/>
      <c r="Q459" s="1078">
        <v>300</v>
      </c>
      <c r="R459" s="1078"/>
      <c r="S459" s="1078">
        <v>300</v>
      </c>
      <c r="T459" s="1078"/>
      <c r="U459" s="1078">
        <v>300</v>
      </c>
      <c r="V459" s="1078">
        <v>300</v>
      </c>
      <c r="W459" s="1078">
        <v>300</v>
      </c>
      <c r="X459" s="1078">
        <v>300</v>
      </c>
      <c r="Y459" s="1078">
        <v>300</v>
      </c>
      <c r="Z459" s="1078">
        <v>300</v>
      </c>
      <c r="AA459" s="1078"/>
      <c r="AB459" s="1387">
        <f t="shared" si="198"/>
        <v>2400</v>
      </c>
    </row>
    <row r="460" spans="1:28" x14ac:dyDescent="0.25">
      <c r="A460" s="797"/>
      <c r="B460" s="1406"/>
      <c r="C460" s="1800"/>
      <c r="D460" s="2508" t="s">
        <v>2090</v>
      </c>
      <c r="E460" s="2417">
        <v>9</v>
      </c>
      <c r="F460" s="2418">
        <v>6</v>
      </c>
      <c r="G460" s="2419">
        <v>8</v>
      </c>
      <c r="H460" s="2502" t="s">
        <v>3224</v>
      </c>
      <c r="I460" s="2420" t="s">
        <v>1417</v>
      </c>
      <c r="J460" s="2413">
        <v>90</v>
      </c>
      <c r="K460" s="2503">
        <f>AB461</f>
        <v>900</v>
      </c>
      <c r="L460" s="2421" t="s">
        <v>2081</v>
      </c>
      <c r="M460" s="1018" t="s">
        <v>51</v>
      </c>
      <c r="N460" s="328"/>
      <c r="O460" s="776"/>
      <c r="P460" s="1078"/>
      <c r="Q460" s="1078"/>
      <c r="R460" s="1078">
        <v>30</v>
      </c>
      <c r="S460" s="1078"/>
      <c r="T460" s="1078"/>
      <c r="U460" s="1078">
        <v>30</v>
      </c>
      <c r="V460" s="1078"/>
      <c r="W460" s="1078"/>
      <c r="X460" s="1078"/>
      <c r="Y460" s="1078">
        <v>30</v>
      </c>
      <c r="Z460" s="1078"/>
      <c r="AA460" s="1078"/>
      <c r="AB460" s="1387">
        <f t="shared" si="198"/>
        <v>90</v>
      </c>
    </row>
    <row r="461" spans="1:28" ht="54.75" customHeight="1" x14ac:dyDescent="0.25">
      <c r="A461" s="797"/>
      <c r="B461" s="1406"/>
      <c r="C461" s="1800"/>
      <c r="D461" s="2508"/>
      <c r="E461" s="2417"/>
      <c r="F461" s="2418"/>
      <c r="G461" s="2419"/>
      <c r="H461" s="2502"/>
      <c r="I461" s="2420"/>
      <c r="J461" s="2413"/>
      <c r="K461" s="2426"/>
      <c r="L461" s="2421"/>
      <c r="M461" s="1018" t="s">
        <v>168</v>
      </c>
      <c r="N461" s="1388" t="s">
        <v>2088</v>
      </c>
      <c r="O461" s="307" t="s">
        <v>1984</v>
      </c>
      <c r="P461" s="1078"/>
      <c r="Q461" s="1078"/>
      <c r="R461" s="1078">
        <v>300</v>
      </c>
      <c r="S461" s="1078"/>
      <c r="T461" s="1078"/>
      <c r="U461" s="1078">
        <v>300</v>
      </c>
      <c r="V461" s="1078"/>
      <c r="W461" s="1078"/>
      <c r="X461" s="1078"/>
      <c r="Y461" s="1078">
        <v>300</v>
      </c>
      <c r="Z461" s="1078"/>
      <c r="AA461" s="1078"/>
      <c r="AB461" s="1387">
        <f t="shared" si="198"/>
        <v>900</v>
      </c>
    </row>
    <row r="462" spans="1:28" ht="33.75" customHeight="1" x14ac:dyDescent="0.25">
      <c r="A462" s="797"/>
      <c r="B462" s="1406"/>
      <c r="C462" s="1800"/>
      <c r="D462" s="2500" t="s">
        <v>2091</v>
      </c>
      <c r="E462" s="2417">
        <v>9</v>
      </c>
      <c r="F462" s="2418">
        <v>6</v>
      </c>
      <c r="G462" s="2419">
        <v>8</v>
      </c>
      <c r="H462" s="2502" t="s">
        <v>2092</v>
      </c>
      <c r="I462" s="2420" t="s">
        <v>2093</v>
      </c>
      <c r="J462" s="2413">
        <v>2</v>
      </c>
      <c r="K462" s="2503">
        <f>AB463</f>
        <v>100</v>
      </c>
      <c r="L462" s="2421" t="s">
        <v>2081</v>
      </c>
      <c r="M462" s="1018" t="s">
        <v>51</v>
      </c>
      <c r="N462" s="913"/>
      <c r="O462" s="776"/>
      <c r="P462" s="1078"/>
      <c r="Q462" s="1078"/>
      <c r="R462" s="1078"/>
      <c r="S462" s="1078"/>
      <c r="T462" s="1078"/>
      <c r="U462" s="1078"/>
      <c r="V462" s="1078">
        <v>1</v>
      </c>
      <c r="W462" s="1078"/>
      <c r="X462" s="1078">
        <v>1</v>
      </c>
      <c r="Y462" s="1078"/>
      <c r="Z462" s="1078"/>
      <c r="AA462" s="1078"/>
      <c r="AB462" s="1387">
        <f t="shared" si="198"/>
        <v>2</v>
      </c>
    </row>
    <row r="463" spans="1:28" ht="20.25" customHeight="1" x14ac:dyDescent="0.25">
      <c r="A463" s="797"/>
      <c r="B463" s="1406"/>
      <c r="C463" s="1800"/>
      <c r="D463" s="2501"/>
      <c r="E463" s="2417"/>
      <c r="F463" s="2418"/>
      <c r="G463" s="2419"/>
      <c r="H463" s="2502"/>
      <c r="I463" s="2420"/>
      <c r="J463" s="2413"/>
      <c r="K463" s="2426"/>
      <c r="L463" s="2421"/>
      <c r="M463" s="1018" t="s">
        <v>168</v>
      </c>
      <c r="N463" s="416" t="s">
        <v>2070</v>
      </c>
      <c r="O463" s="307" t="s">
        <v>2071</v>
      </c>
      <c r="P463" s="1078"/>
      <c r="Q463" s="1078"/>
      <c r="R463" s="1078"/>
      <c r="S463" s="1078"/>
      <c r="T463" s="1078"/>
      <c r="U463" s="1078"/>
      <c r="V463" s="1078">
        <v>50</v>
      </c>
      <c r="W463" s="1078"/>
      <c r="X463" s="1078">
        <v>50</v>
      </c>
      <c r="Y463" s="1078"/>
      <c r="Z463" s="1078"/>
      <c r="AA463" s="1078"/>
      <c r="AB463" s="1387">
        <f t="shared" si="198"/>
        <v>100</v>
      </c>
    </row>
    <row r="464" spans="1:28" ht="77.25" customHeight="1" x14ac:dyDescent="0.25">
      <c r="A464" s="797"/>
      <c r="B464" s="1406"/>
      <c r="C464" s="1800"/>
      <c r="D464" s="2508" t="s">
        <v>2094</v>
      </c>
      <c r="E464" s="2417">
        <v>9</v>
      </c>
      <c r="F464" s="2418">
        <v>6</v>
      </c>
      <c r="G464" s="2419">
        <v>8</v>
      </c>
      <c r="H464" s="2424" t="s">
        <v>2095</v>
      </c>
      <c r="I464" s="2420" t="s">
        <v>2096</v>
      </c>
      <c r="J464" s="2413">
        <v>2</v>
      </c>
      <c r="K464" s="2503">
        <f>AB465+AB466</f>
        <v>1400</v>
      </c>
      <c r="L464" s="2421" t="s">
        <v>2081</v>
      </c>
      <c r="M464" s="1018" t="s">
        <v>51</v>
      </c>
      <c r="N464" s="913"/>
      <c r="O464" s="776"/>
      <c r="P464" s="1078"/>
      <c r="Q464" s="1078"/>
      <c r="R464" s="1078">
        <v>1</v>
      </c>
      <c r="S464" s="1078">
        <v>1</v>
      </c>
      <c r="T464" s="1078"/>
      <c r="U464" s="1078"/>
      <c r="V464" s="1078"/>
      <c r="W464" s="1078"/>
      <c r="X464" s="1078"/>
      <c r="Y464" s="1078"/>
      <c r="Z464" s="1078"/>
      <c r="AA464" s="1078"/>
      <c r="AB464" s="1387">
        <f t="shared" si="198"/>
        <v>2</v>
      </c>
    </row>
    <row r="465" spans="1:28" ht="25.5" customHeight="1" x14ac:dyDescent="0.25">
      <c r="A465" s="797"/>
      <c r="B465" s="1406"/>
      <c r="C465" s="1800"/>
      <c r="D465" s="2508"/>
      <c r="E465" s="2417"/>
      <c r="F465" s="2418"/>
      <c r="G465" s="2419"/>
      <c r="H465" s="2433"/>
      <c r="I465" s="2420"/>
      <c r="J465" s="2413"/>
      <c r="K465" s="2426"/>
      <c r="L465" s="2421"/>
      <c r="M465" s="2522" t="s">
        <v>168</v>
      </c>
      <c r="N465" s="416" t="s">
        <v>2068</v>
      </c>
      <c r="O465" s="307" t="s">
        <v>2069</v>
      </c>
      <c r="P465" s="1078"/>
      <c r="Q465" s="1078"/>
      <c r="R465" s="1078">
        <f>140*4</f>
        <v>560</v>
      </c>
      <c r="S465" s="1078">
        <f>140*4</f>
        <v>560</v>
      </c>
      <c r="T465" s="1078"/>
      <c r="U465" s="1078"/>
      <c r="V465" s="1078"/>
      <c r="W465" s="1078"/>
      <c r="X465" s="1078"/>
      <c r="Y465" s="1078"/>
      <c r="Z465" s="1078"/>
      <c r="AA465" s="1078"/>
      <c r="AB465" s="1387">
        <f t="shared" si="198"/>
        <v>1120</v>
      </c>
    </row>
    <row r="466" spans="1:28" ht="22.5" x14ac:dyDescent="0.25">
      <c r="A466" s="797"/>
      <c r="B466" s="1406"/>
      <c r="C466" s="1800"/>
      <c r="D466" s="2508"/>
      <c r="E466" s="2417"/>
      <c r="F466" s="2418"/>
      <c r="G466" s="2419"/>
      <c r="H466" s="2425"/>
      <c r="I466" s="2420"/>
      <c r="J466" s="2413"/>
      <c r="K466" s="2426"/>
      <c r="L466" s="2421"/>
      <c r="M466" s="2522"/>
      <c r="N466" s="1143" t="s">
        <v>2066</v>
      </c>
      <c r="O466" s="1398" t="s">
        <v>2067</v>
      </c>
      <c r="P466" s="1078"/>
      <c r="Q466" s="1078"/>
      <c r="R466" s="1078">
        <v>140</v>
      </c>
      <c r="S466" s="1078">
        <v>140</v>
      </c>
      <c r="T466" s="1078"/>
      <c r="U466" s="1078"/>
      <c r="V466" s="1078"/>
      <c r="W466" s="1078"/>
      <c r="X466" s="1078"/>
      <c r="Y466" s="1078"/>
      <c r="Z466" s="1078"/>
      <c r="AA466" s="1078"/>
      <c r="AB466" s="1387">
        <f t="shared" si="198"/>
        <v>280</v>
      </c>
    </row>
    <row r="467" spans="1:28" x14ac:dyDescent="0.25">
      <c r="A467" s="797"/>
      <c r="B467" s="1406"/>
      <c r="C467" s="1800"/>
      <c r="D467" s="2508" t="s">
        <v>3221</v>
      </c>
      <c r="E467" s="2509">
        <v>9</v>
      </c>
      <c r="F467" s="2510">
        <v>6</v>
      </c>
      <c r="G467" s="2885">
        <v>8</v>
      </c>
      <c r="H467" s="2426" t="s">
        <v>3222</v>
      </c>
      <c r="I467" s="2420" t="s">
        <v>2097</v>
      </c>
      <c r="J467" s="2886">
        <v>600</v>
      </c>
      <c r="K467" s="2506">
        <f>AB468</f>
        <v>2400</v>
      </c>
      <c r="L467" s="2485" t="s">
        <v>2081</v>
      </c>
      <c r="M467" s="1018" t="s">
        <v>51</v>
      </c>
      <c r="N467" s="913"/>
      <c r="O467" s="776"/>
      <c r="P467" s="1078">
        <v>50</v>
      </c>
      <c r="Q467" s="1078">
        <v>50</v>
      </c>
      <c r="R467" s="1078">
        <v>50</v>
      </c>
      <c r="S467" s="1078">
        <v>50</v>
      </c>
      <c r="T467" s="1078">
        <v>50</v>
      </c>
      <c r="U467" s="1078">
        <v>50</v>
      </c>
      <c r="V467" s="1078">
        <v>50</v>
      </c>
      <c r="W467" s="1078">
        <v>50</v>
      </c>
      <c r="X467" s="1078">
        <v>50</v>
      </c>
      <c r="Y467" s="1078">
        <v>50</v>
      </c>
      <c r="Z467" s="1078">
        <v>50</v>
      </c>
      <c r="AA467" s="1078">
        <v>50</v>
      </c>
      <c r="AB467" s="1374">
        <f t="shared" si="198"/>
        <v>600</v>
      </c>
    </row>
    <row r="468" spans="1:28" ht="48.75" customHeight="1" x14ac:dyDescent="0.25">
      <c r="A468" s="797"/>
      <c r="B468" s="1406"/>
      <c r="C468" s="1800"/>
      <c r="D468" s="2508"/>
      <c r="E468" s="2509"/>
      <c r="F468" s="2510"/>
      <c r="G468" s="2885"/>
      <c r="H468" s="2426"/>
      <c r="I468" s="2420"/>
      <c r="J468" s="2886"/>
      <c r="K468" s="2507"/>
      <c r="L468" s="2485"/>
      <c r="M468" s="1018" t="s">
        <v>168</v>
      </c>
      <c r="N468" s="416" t="s">
        <v>2070</v>
      </c>
      <c r="O468" s="307" t="s">
        <v>2071</v>
      </c>
      <c r="P468" s="1393">
        <v>200</v>
      </c>
      <c r="Q468" s="1393">
        <v>200</v>
      </c>
      <c r="R468" s="1393">
        <v>200</v>
      </c>
      <c r="S468" s="1393">
        <v>200</v>
      </c>
      <c r="T468" s="1393">
        <v>200</v>
      </c>
      <c r="U468" s="1393">
        <v>200</v>
      </c>
      <c r="V468" s="1393">
        <v>200</v>
      </c>
      <c r="W468" s="1393">
        <v>200</v>
      </c>
      <c r="X468" s="1393">
        <v>200</v>
      </c>
      <c r="Y468" s="1393">
        <v>200</v>
      </c>
      <c r="Z468" s="1393">
        <v>200</v>
      </c>
      <c r="AA468" s="1393">
        <v>200</v>
      </c>
      <c r="AB468" s="1374">
        <f t="shared" si="198"/>
        <v>2400</v>
      </c>
    </row>
    <row r="469" spans="1:28" x14ac:dyDescent="0.25">
      <c r="A469" s="797"/>
      <c r="B469" s="1406"/>
      <c r="C469" s="1800"/>
      <c r="D469" s="2508" t="s">
        <v>2098</v>
      </c>
      <c r="E469" s="2509">
        <v>9</v>
      </c>
      <c r="F469" s="2510">
        <v>6</v>
      </c>
      <c r="G469" s="2885">
        <v>8</v>
      </c>
      <c r="H469" s="2427" t="s">
        <v>3223</v>
      </c>
      <c r="I469" s="2420" t="s">
        <v>1417</v>
      </c>
      <c r="J469" s="2504">
        <v>90</v>
      </c>
      <c r="K469" s="2506">
        <f>AB470</f>
        <v>900</v>
      </c>
      <c r="L469" s="2485" t="s">
        <v>2081</v>
      </c>
      <c r="M469" s="1018" t="s">
        <v>51</v>
      </c>
      <c r="N469" s="328"/>
      <c r="O469" s="776"/>
      <c r="P469" s="1078"/>
      <c r="Q469" s="1078"/>
      <c r="R469" s="1078"/>
      <c r="S469" s="1078">
        <v>30</v>
      </c>
      <c r="T469" s="1078"/>
      <c r="U469" s="1078"/>
      <c r="V469" s="1078">
        <v>30</v>
      </c>
      <c r="W469" s="1078"/>
      <c r="X469" s="1078"/>
      <c r="Y469" s="1078"/>
      <c r="Z469" s="1078">
        <v>30</v>
      </c>
      <c r="AA469" s="1078"/>
      <c r="AB469" s="1374">
        <f t="shared" si="198"/>
        <v>90</v>
      </c>
    </row>
    <row r="470" spans="1:28" ht="30.75" customHeight="1" x14ac:dyDescent="0.25">
      <c r="A470" s="797"/>
      <c r="B470" s="1406"/>
      <c r="C470" s="1800"/>
      <c r="D470" s="2508"/>
      <c r="E470" s="2509"/>
      <c r="F470" s="2510"/>
      <c r="G470" s="2885"/>
      <c r="H470" s="2434"/>
      <c r="I470" s="2420"/>
      <c r="J470" s="2505"/>
      <c r="K470" s="2507"/>
      <c r="L470" s="2485"/>
      <c r="M470" s="1012" t="s">
        <v>168</v>
      </c>
      <c r="N470" s="1388" t="s">
        <v>2088</v>
      </c>
      <c r="O470" s="307" t="s">
        <v>1984</v>
      </c>
      <c r="P470" s="1078"/>
      <c r="Q470" s="1106"/>
      <c r="R470" s="1106"/>
      <c r="S470" s="1106">
        <v>300</v>
      </c>
      <c r="T470" s="1106"/>
      <c r="U470" s="1106"/>
      <c r="V470" s="1106">
        <v>300</v>
      </c>
      <c r="W470" s="1106"/>
      <c r="X470" s="1106"/>
      <c r="Y470" s="1106"/>
      <c r="Z470" s="1106">
        <v>300</v>
      </c>
      <c r="AA470" s="1106"/>
      <c r="AB470" s="1374">
        <f t="shared" si="198"/>
        <v>900</v>
      </c>
    </row>
    <row r="471" spans="1:28" x14ac:dyDescent="0.25">
      <c r="A471" s="797"/>
      <c r="B471" s="1406"/>
      <c r="C471" s="1800"/>
      <c r="D471" s="2508" t="s">
        <v>2099</v>
      </c>
      <c r="E471" s="2509">
        <v>9</v>
      </c>
      <c r="F471" s="2510">
        <v>6</v>
      </c>
      <c r="G471" s="2511">
        <v>8</v>
      </c>
      <c r="H471" s="2427" t="s">
        <v>2100</v>
      </c>
      <c r="I471" s="2514" t="s">
        <v>2093</v>
      </c>
      <c r="J471" s="2504">
        <v>2</v>
      </c>
      <c r="K471" s="2483">
        <f>AB472+AB473+AB474</f>
        <v>1404.8</v>
      </c>
      <c r="L471" s="2486" t="s">
        <v>2081</v>
      </c>
      <c r="M471" s="1012" t="s">
        <v>51</v>
      </c>
      <c r="N471" s="328"/>
      <c r="O471" s="776"/>
      <c r="P471" s="1106"/>
      <c r="Q471" s="1106"/>
      <c r="R471" s="1106"/>
      <c r="S471" s="1106"/>
      <c r="T471" s="1106">
        <v>1</v>
      </c>
      <c r="U471" s="1106">
        <v>1</v>
      </c>
      <c r="V471" s="1106"/>
      <c r="W471" s="1106"/>
      <c r="X471" s="1106"/>
      <c r="Y471" s="1106"/>
      <c r="Z471" s="1106"/>
      <c r="AA471" s="1106"/>
      <c r="AB471" s="1374">
        <f t="shared" si="198"/>
        <v>2</v>
      </c>
    </row>
    <row r="472" spans="1:28" ht="15" customHeight="1" x14ac:dyDescent="0.25">
      <c r="A472" s="797"/>
      <c r="B472" s="1406"/>
      <c r="C472" s="1800"/>
      <c r="D472" s="2508"/>
      <c r="E472" s="2509"/>
      <c r="F472" s="2510"/>
      <c r="G472" s="2512"/>
      <c r="H472" s="2430"/>
      <c r="I472" s="2515"/>
      <c r="J472" s="2517"/>
      <c r="K472" s="2484"/>
      <c r="L472" s="2519"/>
      <c r="M472" s="2522" t="s">
        <v>168</v>
      </c>
      <c r="N472" s="913" t="s">
        <v>2101</v>
      </c>
      <c r="O472" s="776" t="s">
        <v>2102</v>
      </c>
      <c r="P472" s="1106"/>
      <c r="Q472" s="1106"/>
      <c r="R472" s="1106"/>
      <c r="S472" s="1106"/>
      <c r="T472" s="1106">
        <v>600</v>
      </c>
      <c r="U472" s="1106"/>
      <c r="V472" s="1106"/>
      <c r="W472" s="1106"/>
      <c r="X472" s="1106"/>
      <c r="Y472" s="1106"/>
      <c r="Z472" s="1106"/>
      <c r="AA472" s="1106"/>
      <c r="AB472" s="1374">
        <f t="shared" si="198"/>
        <v>600</v>
      </c>
    </row>
    <row r="473" spans="1:28" ht="22.5" x14ac:dyDescent="0.25">
      <c r="A473" s="797"/>
      <c r="B473" s="1406"/>
      <c r="C473" s="1800"/>
      <c r="D473" s="2508"/>
      <c r="E473" s="2509"/>
      <c r="F473" s="2510"/>
      <c r="G473" s="2512"/>
      <c r="H473" s="2430"/>
      <c r="I473" s="2515"/>
      <c r="J473" s="2517"/>
      <c r="K473" s="2484"/>
      <c r="L473" s="2519"/>
      <c r="M473" s="2522"/>
      <c r="N473" s="1388" t="s">
        <v>2088</v>
      </c>
      <c r="O473" s="307" t="s">
        <v>1984</v>
      </c>
      <c r="P473" s="1399"/>
      <c r="Q473" s="1399"/>
      <c r="R473" s="1399"/>
      <c r="S473" s="1399"/>
      <c r="T473" s="1106">
        <v>200</v>
      </c>
      <c r="U473" s="1106">
        <f>250+154.8</f>
        <v>404.8</v>
      </c>
      <c r="V473" s="1399"/>
      <c r="W473" s="1399"/>
      <c r="X473" s="1399"/>
      <c r="Y473" s="1399"/>
      <c r="Z473" s="1399"/>
      <c r="AA473" s="1399"/>
      <c r="AB473" s="1374">
        <f t="shared" si="198"/>
        <v>604.79999999999995</v>
      </c>
    </row>
    <row r="474" spans="1:28" ht="30.75" customHeight="1" x14ac:dyDescent="0.25">
      <c r="A474" s="797"/>
      <c r="B474" s="1406"/>
      <c r="C474" s="1800"/>
      <c r="D474" s="2508"/>
      <c r="E474" s="2509"/>
      <c r="F474" s="2510"/>
      <c r="G474" s="2513"/>
      <c r="H474" s="2434"/>
      <c r="I474" s="2516"/>
      <c r="J474" s="2505"/>
      <c r="K474" s="2518"/>
      <c r="L474" s="2520"/>
      <c r="M474" s="2522"/>
      <c r="N474" s="1388" t="s">
        <v>2103</v>
      </c>
      <c r="O474" s="307" t="s">
        <v>1478</v>
      </c>
      <c r="P474" s="1399"/>
      <c r="Q474" s="1399"/>
      <c r="R474" s="1399"/>
      <c r="S474" s="1399"/>
      <c r="T474" s="1106">
        <v>200</v>
      </c>
      <c r="U474" s="1106"/>
      <c r="V474" s="1399"/>
      <c r="W474" s="1399"/>
      <c r="X474" s="1399"/>
      <c r="Y474" s="1399"/>
      <c r="Z474" s="1399"/>
      <c r="AA474" s="1399"/>
      <c r="AB474" s="1374">
        <f t="shared" si="198"/>
        <v>200</v>
      </c>
    </row>
    <row r="475" spans="1:28" x14ac:dyDescent="0.25">
      <c r="A475" s="797"/>
      <c r="B475" s="1406"/>
      <c r="C475" s="1800"/>
      <c r="D475" s="2887" t="s">
        <v>2104</v>
      </c>
      <c r="E475" s="2888">
        <v>9</v>
      </c>
      <c r="F475" s="2889">
        <v>6</v>
      </c>
      <c r="G475" s="2890">
        <v>8</v>
      </c>
      <c r="H475" s="2459" t="s">
        <v>2046</v>
      </c>
      <c r="I475" s="2473" t="s">
        <v>17</v>
      </c>
      <c r="J475" s="2475">
        <v>4</v>
      </c>
      <c r="K475" s="2477">
        <f>AB476</f>
        <v>2520</v>
      </c>
      <c r="L475" s="2479" t="s">
        <v>2081</v>
      </c>
      <c r="M475" s="1107" t="s">
        <v>51</v>
      </c>
      <c r="N475" s="328"/>
      <c r="O475" s="776"/>
      <c r="P475" s="1106"/>
      <c r="Q475" s="1106"/>
      <c r="R475" s="1106"/>
      <c r="S475" s="1106"/>
      <c r="T475" s="1106"/>
      <c r="U475" s="1106">
        <v>1</v>
      </c>
      <c r="V475" s="1106"/>
      <c r="W475" s="1106"/>
      <c r="X475" s="1106"/>
      <c r="Y475" s="1106">
        <v>1</v>
      </c>
      <c r="Z475" s="1106"/>
      <c r="AA475" s="1106"/>
      <c r="AB475" s="1374">
        <f t="shared" si="198"/>
        <v>2</v>
      </c>
    </row>
    <row r="476" spans="1:28" ht="22.5" x14ac:dyDescent="0.25">
      <c r="A476" s="797"/>
      <c r="B476" s="1406"/>
      <c r="C476" s="1800"/>
      <c r="D476" s="2887"/>
      <c r="E476" s="2888"/>
      <c r="F476" s="2889"/>
      <c r="G476" s="2890"/>
      <c r="H476" s="2467"/>
      <c r="I476" s="2474"/>
      <c r="J476" s="2476"/>
      <c r="K476" s="2478"/>
      <c r="L476" s="2479"/>
      <c r="M476" s="1107" t="s">
        <v>168</v>
      </c>
      <c r="N476" s="1386" t="s">
        <v>2068</v>
      </c>
      <c r="O476" s="307" t="s">
        <v>2069</v>
      </c>
      <c r="P476" s="1106"/>
      <c r="Q476" s="1106"/>
      <c r="R476" s="1106"/>
      <c r="S476" s="1106"/>
      <c r="T476" s="1106"/>
      <c r="U476" s="1106">
        <f>220*4*2+540</f>
        <v>2300</v>
      </c>
      <c r="V476" s="1106"/>
      <c r="W476" s="1106"/>
      <c r="X476" s="1106"/>
      <c r="Y476" s="1106">
        <v>220</v>
      </c>
      <c r="Z476" s="1106"/>
      <c r="AA476" s="1106"/>
      <c r="AB476" s="1374">
        <f t="shared" si="198"/>
        <v>2520</v>
      </c>
    </row>
    <row r="477" spans="1:28" ht="15" customHeight="1" x14ac:dyDescent="0.25">
      <c r="A477" s="797"/>
      <c r="B477" s="1406"/>
      <c r="C477" s="1800"/>
      <c r="D477" s="2891" t="s">
        <v>2105</v>
      </c>
      <c r="E477" s="2888">
        <v>9</v>
      </c>
      <c r="F477" s="2889">
        <v>6</v>
      </c>
      <c r="G477" s="2890">
        <v>8</v>
      </c>
      <c r="H477" s="2459" t="s">
        <v>2106</v>
      </c>
      <c r="I477" s="2473" t="s">
        <v>1417</v>
      </c>
      <c r="J477" s="2475">
        <v>120</v>
      </c>
      <c r="K477" s="2477">
        <f>AB478+AB479+AB480+AB481</f>
        <v>6350</v>
      </c>
      <c r="L477" s="2479" t="s">
        <v>2081</v>
      </c>
      <c r="M477" s="1400" t="s">
        <v>51</v>
      </c>
      <c r="N477" s="389"/>
      <c r="O477" s="776"/>
      <c r="P477" s="1106"/>
      <c r="Q477" s="1106"/>
      <c r="R477" s="1106">
        <v>30</v>
      </c>
      <c r="S477" s="1106"/>
      <c r="T477" s="1106"/>
      <c r="U477" s="1106">
        <v>30</v>
      </c>
      <c r="V477" s="1106"/>
      <c r="W477" s="1106"/>
      <c r="X477" s="1106">
        <v>30</v>
      </c>
      <c r="Y477" s="1106"/>
      <c r="Z477" s="1106">
        <v>30</v>
      </c>
      <c r="AA477" s="1106"/>
      <c r="AB477" s="1374">
        <f t="shared" si="198"/>
        <v>120</v>
      </c>
    </row>
    <row r="478" spans="1:28" ht="22.5" x14ac:dyDescent="0.25">
      <c r="A478" s="797"/>
      <c r="B478" s="1406"/>
      <c r="C478" s="1800"/>
      <c r="D478" s="2891"/>
      <c r="E478" s="2888"/>
      <c r="F478" s="2889"/>
      <c r="G478" s="2890"/>
      <c r="H478" s="2467"/>
      <c r="I478" s="2474"/>
      <c r="J478" s="2476"/>
      <c r="K478" s="2478"/>
      <c r="L478" s="2479"/>
      <c r="M478" s="2480" t="s">
        <v>168</v>
      </c>
      <c r="N478" s="1388" t="s">
        <v>2088</v>
      </c>
      <c r="O478" s="307" t="s">
        <v>1984</v>
      </c>
      <c r="P478" s="1106"/>
      <c r="Q478" s="1106"/>
      <c r="R478" s="1106">
        <v>180</v>
      </c>
      <c r="S478" s="1106"/>
      <c r="T478" s="1106"/>
      <c r="U478" s="1106">
        <v>180</v>
      </c>
      <c r="V478" s="1106"/>
      <c r="W478" s="1106"/>
      <c r="X478" s="1106">
        <v>180</v>
      </c>
      <c r="Y478" s="1106"/>
      <c r="Z478" s="1106">
        <v>180</v>
      </c>
      <c r="AA478" s="1106"/>
      <c r="AB478" s="1374">
        <f t="shared" si="198"/>
        <v>720</v>
      </c>
    </row>
    <row r="479" spans="1:28" ht="22.5" x14ac:dyDescent="0.25">
      <c r="A479" s="797"/>
      <c r="B479" s="1406"/>
      <c r="C479" s="1800"/>
      <c r="D479" s="2891"/>
      <c r="E479" s="2888"/>
      <c r="F479" s="2889"/>
      <c r="G479" s="2890"/>
      <c r="H479" s="2467"/>
      <c r="I479" s="2474"/>
      <c r="J479" s="2476"/>
      <c r="K479" s="2478"/>
      <c r="L479" s="2479"/>
      <c r="M479" s="2481"/>
      <c r="N479" s="1386" t="s">
        <v>2068</v>
      </c>
      <c r="O479" s="307" t="s">
        <v>2069</v>
      </c>
      <c r="P479" s="1106"/>
      <c r="Q479" s="1106"/>
      <c r="R479" s="1106">
        <v>70</v>
      </c>
      <c r="S479" s="1106"/>
      <c r="T479" s="1106"/>
      <c r="U479" s="1106">
        <v>70</v>
      </c>
      <c r="V479" s="1106"/>
      <c r="W479" s="1106"/>
      <c r="X479" s="1106">
        <v>70</v>
      </c>
      <c r="Y479" s="1106"/>
      <c r="Z479" s="1106">
        <v>70</v>
      </c>
      <c r="AA479" s="1106"/>
      <c r="AB479" s="1374">
        <f t="shared" si="198"/>
        <v>280</v>
      </c>
    </row>
    <row r="480" spans="1:28" ht="21.75" customHeight="1" x14ac:dyDescent="0.25">
      <c r="A480" s="797"/>
      <c r="B480" s="1406"/>
      <c r="C480" s="1800"/>
      <c r="D480" s="2891"/>
      <c r="E480" s="2888"/>
      <c r="F480" s="2889"/>
      <c r="G480" s="2890"/>
      <c r="H480" s="2467"/>
      <c r="I480" s="2474"/>
      <c r="J480" s="2476"/>
      <c r="K480" s="2478"/>
      <c r="L480" s="2479"/>
      <c r="M480" s="2481"/>
      <c r="N480" s="1386" t="s">
        <v>2107</v>
      </c>
      <c r="O480" s="307" t="s">
        <v>1478</v>
      </c>
      <c r="P480" s="1106"/>
      <c r="Q480" s="1106"/>
      <c r="R480" s="1106"/>
      <c r="S480" s="1106"/>
      <c r="T480" s="1106"/>
      <c r="U480" s="1106"/>
      <c r="V480" s="1106"/>
      <c r="W480" s="1106"/>
      <c r="X480" s="1106">
        <v>1500</v>
      </c>
      <c r="Y480" s="1106"/>
      <c r="Z480" s="1106">
        <v>1500</v>
      </c>
      <c r="AA480" s="1106"/>
      <c r="AB480" s="1374">
        <f t="shared" si="198"/>
        <v>3000</v>
      </c>
    </row>
    <row r="481" spans="1:28" x14ac:dyDescent="0.25">
      <c r="A481" s="797"/>
      <c r="B481" s="1406"/>
      <c r="C481" s="1800"/>
      <c r="D481" s="2891"/>
      <c r="E481" s="2888"/>
      <c r="F481" s="2889"/>
      <c r="G481" s="2890"/>
      <c r="H481" s="2467"/>
      <c r="I481" s="2474"/>
      <c r="J481" s="2476"/>
      <c r="K481" s="2478"/>
      <c r="L481" s="2479"/>
      <c r="M481" s="2482"/>
      <c r="N481" s="1386" t="s">
        <v>2108</v>
      </c>
      <c r="O481" s="307" t="s">
        <v>2065</v>
      </c>
      <c r="P481" s="1106"/>
      <c r="Q481" s="1106"/>
      <c r="R481" s="1106"/>
      <c r="S481" s="1106"/>
      <c r="T481" s="1106"/>
      <c r="U481" s="1106">
        <v>1500</v>
      </c>
      <c r="V481" s="1106"/>
      <c r="W481" s="1106"/>
      <c r="X481" s="1106">
        <v>850</v>
      </c>
      <c r="Y481" s="1106"/>
      <c r="Z481" s="1106"/>
      <c r="AA481" s="1106"/>
      <c r="AB481" s="1374">
        <f t="shared" si="198"/>
        <v>2350</v>
      </c>
    </row>
    <row r="482" spans="1:28" ht="15" customHeight="1" x14ac:dyDescent="0.25">
      <c r="A482" s="797"/>
      <c r="B482" s="1406"/>
      <c r="C482" s="1800"/>
      <c r="D482" s="2500" t="s">
        <v>2109</v>
      </c>
      <c r="E482" s="2509">
        <v>9</v>
      </c>
      <c r="F482" s="2510">
        <v>6</v>
      </c>
      <c r="G482" s="2885">
        <v>8</v>
      </c>
      <c r="H482" s="2427" t="s">
        <v>2106</v>
      </c>
      <c r="I482" s="2514" t="s">
        <v>1417</v>
      </c>
      <c r="J482" s="2504">
        <v>120</v>
      </c>
      <c r="K482" s="2483">
        <f>AB483</f>
        <v>1200</v>
      </c>
      <c r="L482" s="2485" t="s">
        <v>2081</v>
      </c>
      <c r="M482" s="1012" t="s">
        <v>51</v>
      </c>
      <c r="N482" s="389"/>
      <c r="O482" s="776"/>
      <c r="P482" s="1078"/>
      <c r="Q482" s="1078"/>
      <c r="R482" s="1078">
        <v>30</v>
      </c>
      <c r="S482" s="1078"/>
      <c r="T482" s="1078"/>
      <c r="U482" s="1078">
        <v>30</v>
      </c>
      <c r="V482" s="1078"/>
      <c r="W482" s="1078"/>
      <c r="X482" s="1078">
        <v>30</v>
      </c>
      <c r="Y482" s="1078"/>
      <c r="Z482" s="1078">
        <v>30</v>
      </c>
      <c r="AA482" s="1078"/>
      <c r="AB482" s="1374">
        <f t="shared" si="198"/>
        <v>120</v>
      </c>
    </row>
    <row r="483" spans="1:28" ht="22.5" x14ac:dyDescent="0.25">
      <c r="A483" s="797"/>
      <c r="B483" s="1406"/>
      <c r="C483" s="1800"/>
      <c r="D483" s="2501"/>
      <c r="E483" s="2883"/>
      <c r="F483" s="2884"/>
      <c r="G483" s="2511"/>
      <c r="H483" s="2430"/>
      <c r="I483" s="2515"/>
      <c r="J483" s="2517"/>
      <c r="K483" s="2484"/>
      <c r="L483" s="2486"/>
      <c r="M483" s="1152" t="s">
        <v>168</v>
      </c>
      <c r="N483" s="1389" t="s">
        <v>2088</v>
      </c>
      <c r="O483" s="1390" t="s">
        <v>1984</v>
      </c>
      <c r="P483" s="1084"/>
      <c r="Q483" s="1084"/>
      <c r="R483" s="1084">
        <v>300</v>
      </c>
      <c r="S483" s="1084"/>
      <c r="T483" s="1084"/>
      <c r="U483" s="1084">
        <v>300</v>
      </c>
      <c r="V483" s="1084"/>
      <c r="W483" s="1084"/>
      <c r="X483" s="1084">
        <v>300</v>
      </c>
      <c r="Y483" s="1084"/>
      <c r="Z483" s="1084">
        <v>300</v>
      </c>
      <c r="AA483" s="1084"/>
      <c r="AB483" s="1375">
        <f t="shared" si="198"/>
        <v>1200</v>
      </c>
    </row>
    <row r="484" spans="1:28" ht="15" customHeight="1" thickBot="1" x14ac:dyDescent="0.3">
      <c r="A484" s="797"/>
      <c r="B484" s="2487"/>
      <c r="C484" s="2489"/>
      <c r="D484" s="2491" t="s">
        <v>2110</v>
      </c>
      <c r="E484" s="2493" t="s">
        <v>23</v>
      </c>
      <c r="F484" s="2493" t="s">
        <v>164</v>
      </c>
      <c r="G484" s="2494" t="s">
        <v>25</v>
      </c>
      <c r="H484" s="2494" t="s">
        <v>26</v>
      </c>
      <c r="I484" s="2494" t="s">
        <v>27</v>
      </c>
      <c r="J484" s="2487" t="s">
        <v>28</v>
      </c>
      <c r="K484" s="2489"/>
      <c r="L484" s="2494" t="s">
        <v>279</v>
      </c>
      <c r="M484" s="2496" t="s">
        <v>3187</v>
      </c>
      <c r="N484" s="2497"/>
      <c r="O484" s="2451" t="s">
        <v>530</v>
      </c>
      <c r="P484" s="2453" t="s">
        <v>31</v>
      </c>
      <c r="Q484" s="2454"/>
      <c r="R484" s="2454"/>
      <c r="S484" s="2454"/>
      <c r="T484" s="2454"/>
      <c r="U484" s="2454"/>
      <c r="V484" s="2454"/>
      <c r="W484" s="2454"/>
      <c r="X484" s="2454"/>
      <c r="Y484" s="2454"/>
      <c r="Z484" s="2454"/>
      <c r="AA484" s="2455"/>
      <c r="AB484" s="2470">
        <f>SUM(AB487+AB488+AB490+AB491+AB493+AB495+AB497+AB498+AB499+AB501+AB503+AB504)</f>
        <v>10710</v>
      </c>
    </row>
    <row r="485" spans="1:28" x14ac:dyDescent="0.25">
      <c r="A485" s="797"/>
      <c r="B485" s="2488"/>
      <c r="C485" s="2490"/>
      <c r="D485" s="2492"/>
      <c r="E485" s="2493"/>
      <c r="F485" s="2493"/>
      <c r="G485" s="2495"/>
      <c r="H485" s="2495"/>
      <c r="I485" s="2495"/>
      <c r="J485" s="1193" t="s">
        <v>287</v>
      </c>
      <c r="K485" s="1192" t="s">
        <v>34</v>
      </c>
      <c r="L485" s="2495"/>
      <c r="M485" s="2498"/>
      <c r="N485" s="2499"/>
      <c r="O485" s="2452"/>
      <c r="P485" s="1397" t="s">
        <v>35</v>
      </c>
      <c r="Q485" s="1397" t="s">
        <v>36</v>
      </c>
      <c r="R485" s="1397" t="s">
        <v>37</v>
      </c>
      <c r="S485" s="1397" t="s">
        <v>38</v>
      </c>
      <c r="T485" s="1397" t="s">
        <v>39</v>
      </c>
      <c r="U485" s="1397" t="s">
        <v>40</v>
      </c>
      <c r="V485" s="1397" t="s">
        <v>41</v>
      </c>
      <c r="W485" s="1397" t="s">
        <v>42</v>
      </c>
      <c r="X485" s="1397" t="s">
        <v>43</v>
      </c>
      <c r="Y485" s="1397" t="s">
        <v>44</v>
      </c>
      <c r="Z485" s="1397" t="s">
        <v>45</v>
      </c>
      <c r="AA485" s="1397" t="s">
        <v>46</v>
      </c>
      <c r="AB485" s="2470"/>
    </row>
    <row r="486" spans="1:28" x14ac:dyDescent="0.25">
      <c r="A486" s="797"/>
      <c r="B486" s="1406"/>
      <c r="C486" s="1800"/>
      <c r="D486" s="2449" t="s">
        <v>2111</v>
      </c>
      <c r="E486" s="2443">
        <v>9</v>
      </c>
      <c r="F486" s="2444">
        <v>6</v>
      </c>
      <c r="G486" s="2445">
        <v>8</v>
      </c>
      <c r="H486" s="2430" t="s">
        <v>2112</v>
      </c>
      <c r="I486" s="2430" t="s">
        <v>2113</v>
      </c>
      <c r="J486" s="2435">
        <v>20</v>
      </c>
      <c r="K486" s="2446">
        <f>AB487+AB488</f>
        <v>2250</v>
      </c>
      <c r="L486" s="2432" t="s">
        <v>2114</v>
      </c>
      <c r="M486" s="1153" t="s">
        <v>51</v>
      </c>
      <c r="N486" s="96"/>
      <c r="O486" s="1391"/>
      <c r="P486" s="1085"/>
      <c r="Q486" s="1085"/>
      <c r="R486" s="1085">
        <v>4</v>
      </c>
      <c r="S486" s="1085"/>
      <c r="T486" s="1085"/>
      <c r="U486" s="1085"/>
      <c r="V486" s="1085">
        <v>4</v>
      </c>
      <c r="W486" s="1085"/>
      <c r="X486" s="1085">
        <v>4</v>
      </c>
      <c r="Y486" s="1085"/>
      <c r="Z486" s="1085">
        <v>4</v>
      </c>
      <c r="AA486" s="1085"/>
      <c r="AB486" s="1697">
        <f>SUM(P486:AA486)</f>
        <v>16</v>
      </c>
    </row>
    <row r="487" spans="1:28" ht="22.5" x14ac:dyDescent="0.25">
      <c r="A487" s="797"/>
      <c r="B487" s="1406"/>
      <c r="C487" s="1800"/>
      <c r="D487" s="2422"/>
      <c r="E487" s="2417"/>
      <c r="F487" s="2418"/>
      <c r="G487" s="2419"/>
      <c r="H487" s="2430"/>
      <c r="I487" s="2430"/>
      <c r="J487" s="2435"/>
      <c r="K487" s="2430"/>
      <c r="L487" s="2432"/>
      <c r="M487" s="2438" t="s">
        <v>168</v>
      </c>
      <c r="N487" s="416" t="s">
        <v>2068</v>
      </c>
      <c r="O487" s="307" t="s">
        <v>2069</v>
      </c>
      <c r="P487" s="1078"/>
      <c r="Q487" s="1078"/>
      <c r="R487" s="1078">
        <f>140*2*2</f>
        <v>560</v>
      </c>
      <c r="S487" s="1078"/>
      <c r="T487" s="1078"/>
      <c r="U487" s="1078"/>
      <c r="V487" s="1078">
        <f>140*2*2</f>
        <v>560</v>
      </c>
      <c r="W487" s="1078"/>
      <c r="X487" s="1078">
        <f>140*2*2</f>
        <v>560</v>
      </c>
      <c r="Y487" s="1078"/>
      <c r="Z487" s="1078">
        <f>140*1*2</f>
        <v>280</v>
      </c>
      <c r="AA487" s="1078"/>
      <c r="AB487" s="371">
        <f t="shared" ref="AB487:AB491" si="199">SUM(P487:AA487)</f>
        <v>1960</v>
      </c>
    </row>
    <row r="488" spans="1:28" ht="34.5" customHeight="1" x14ac:dyDescent="0.25">
      <c r="A488" s="797"/>
      <c r="B488" s="1406"/>
      <c r="C488" s="1800"/>
      <c r="D488" s="2422"/>
      <c r="E488" s="2417"/>
      <c r="F488" s="2418"/>
      <c r="G488" s="2419"/>
      <c r="H488" s="2434"/>
      <c r="I488" s="2434"/>
      <c r="J488" s="2436"/>
      <c r="K488" s="2434"/>
      <c r="L488" s="2437"/>
      <c r="M488" s="2450"/>
      <c r="N488" s="1388" t="s">
        <v>2066</v>
      </c>
      <c r="O488" s="1392" t="s">
        <v>2067</v>
      </c>
      <c r="P488" s="1078"/>
      <c r="Q488" s="1078"/>
      <c r="R488" s="1078">
        <v>80</v>
      </c>
      <c r="S488" s="1078"/>
      <c r="T488" s="1078"/>
      <c r="U488" s="1078"/>
      <c r="V488" s="1078">
        <v>80</v>
      </c>
      <c r="W488" s="1078"/>
      <c r="X488" s="1078">
        <v>80</v>
      </c>
      <c r="Y488" s="1078"/>
      <c r="Z488" s="1078">
        <v>50</v>
      </c>
      <c r="AA488" s="1078"/>
      <c r="AB488" s="371">
        <f t="shared" si="199"/>
        <v>290</v>
      </c>
    </row>
    <row r="489" spans="1:28" ht="20.25" customHeight="1" x14ac:dyDescent="0.25">
      <c r="A489" s="797"/>
      <c r="B489" s="1406"/>
      <c r="C489" s="1800"/>
      <c r="D489" s="2422" t="s">
        <v>2115</v>
      </c>
      <c r="E489" s="2417">
        <v>9</v>
      </c>
      <c r="F489" s="2418">
        <v>6</v>
      </c>
      <c r="G489" s="2419">
        <v>8</v>
      </c>
      <c r="H489" s="2427" t="s">
        <v>2116</v>
      </c>
      <c r="I489" s="2427" t="s">
        <v>2117</v>
      </c>
      <c r="J489" s="2428">
        <v>7</v>
      </c>
      <c r="K489" s="2446">
        <f>AB490+AB491</f>
        <v>1600</v>
      </c>
      <c r="L489" s="2431" t="s">
        <v>2114</v>
      </c>
      <c r="M489" s="1012" t="s">
        <v>51</v>
      </c>
      <c r="N489" s="328"/>
      <c r="O489" s="704"/>
      <c r="P489" s="1078"/>
      <c r="Q489" s="1393"/>
      <c r="R489" s="1393">
        <v>1</v>
      </c>
      <c r="S489" s="1393"/>
      <c r="T489" s="1393">
        <v>1</v>
      </c>
      <c r="U489" s="1393">
        <v>1</v>
      </c>
      <c r="V489" s="1393">
        <v>1</v>
      </c>
      <c r="W489" s="1393"/>
      <c r="X489" s="1393">
        <v>1</v>
      </c>
      <c r="Y489" s="1393">
        <v>1</v>
      </c>
      <c r="Z489" s="1393"/>
      <c r="AA489" s="1393"/>
      <c r="AB489" s="371">
        <f>SUM(P489:AA489)</f>
        <v>6</v>
      </c>
    </row>
    <row r="490" spans="1:28" ht="29.25" customHeight="1" x14ac:dyDescent="0.25">
      <c r="A490" s="797"/>
      <c r="B490" s="1406"/>
      <c r="C490" s="1800"/>
      <c r="D490" s="2422"/>
      <c r="E490" s="2417"/>
      <c r="F490" s="2418"/>
      <c r="G490" s="2419"/>
      <c r="H490" s="2430"/>
      <c r="I490" s="2430"/>
      <c r="J490" s="2435"/>
      <c r="K490" s="2430"/>
      <c r="L490" s="2432"/>
      <c r="M490" s="2438" t="s">
        <v>168</v>
      </c>
      <c r="N490" s="1388" t="s">
        <v>2107</v>
      </c>
      <c r="O490" s="1392" t="s">
        <v>1478</v>
      </c>
      <c r="P490" s="1078"/>
      <c r="Q490" s="1393"/>
      <c r="R490" s="1393">
        <f>30*5</f>
        <v>150</v>
      </c>
      <c r="S490" s="1393"/>
      <c r="T490" s="1393">
        <f t="shared" ref="T490:V490" si="200">30*5</f>
        <v>150</v>
      </c>
      <c r="U490" s="1393">
        <f t="shared" si="200"/>
        <v>150</v>
      </c>
      <c r="V490" s="1393">
        <f t="shared" si="200"/>
        <v>150</v>
      </c>
      <c r="W490" s="1393"/>
      <c r="X490" s="1393">
        <f>30*5</f>
        <v>150</v>
      </c>
      <c r="Y490" s="1393">
        <f>30*5</f>
        <v>150</v>
      </c>
      <c r="Z490" s="1393"/>
      <c r="AA490" s="1393"/>
      <c r="AB490" s="371">
        <f t="shared" si="199"/>
        <v>900</v>
      </c>
    </row>
    <row r="491" spans="1:28" ht="22.5" x14ac:dyDescent="0.25">
      <c r="A491" s="797"/>
      <c r="B491" s="1406"/>
      <c r="C491" s="1800"/>
      <c r="D491" s="2422"/>
      <c r="E491" s="2417"/>
      <c r="F491" s="2418"/>
      <c r="G491" s="2419"/>
      <c r="H491" s="2434"/>
      <c r="I491" s="2434"/>
      <c r="J491" s="2436"/>
      <c r="K491" s="2434"/>
      <c r="L491" s="2437"/>
      <c r="M491" s="2450"/>
      <c r="N491" s="1388" t="s">
        <v>2088</v>
      </c>
      <c r="O491" s="1392" t="s">
        <v>1984</v>
      </c>
      <c r="P491" s="1078"/>
      <c r="Q491" s="1393"/>
      <c r="R491" s="1393">
        <v>100</v>
      </c>
      <c r="S491" s="1393"/>
      <c r="T491" s="1393">
        <v>100</v>
      </c>
      <c r="U491" s="1393">
        <v>100</v>
      </c>
      <c r="V491" s="1393">
        <v>150</v>
      </c>
      <c r="W491" s="1394"/>
      <c r="X491" s="1393">
        <v>100</v>
      </c>
      <c r="Y491" s="1393">
        <v>150</v>
      </c>
      <c r="Z491" s="1394"/>
      <c r="AA491" s="1394"/>
      <c r="AB491" s="371">
        <f t="shared" si="199"/>
        <v>700</v>
      </c>
    </row>
    <row r="492" spans="1:28" x14ac:dyDescent="0.25">
      <c r="A492" s="797"/>
      <c r="B492" s="1406"/>
      <c r="C492" s="1800"/>
      <c r="D492" s="2422" t="s">
        <v>2118</v>
      </c>
      <c r="E492" s="2417">
        <v>9</v>
      </c>
      <c r="F492" s="2418">
        <v>6</v>
      </c>
      <c r="G492" s="2419">
        <v>8</v>
      </c>
      <c r="H492" s="2459" t="s">
        <v>2119</v>
      </c>
      <c r="I492" s="2459" t="s">
        <v>2120</v>
      </c>
      <c r="J492" s="2461">
        <v>120</v>
      </c>
      <c r="K492" s="2469">
        <f>AB493</f>
        <v>400</v>
      </c>
      <c r="L492" s="2471" t="s">
        <v>2114</v>
      </c>
      <c r="M492" s="1012" t="s">
        <v>51</v>
      </c>
      <c r="N492" s="328"/>
      <c r="O492" s="704"/>
      <c r="P492" s="1078"/>
      <c r="Q492" s="1393"/>
      <c r="R492" s="1393"/>
      <c r="S492" s="1393">
        <v>10</v>
      </c>
      <c r="T492" s="1393"/>
      <c r="U492" s="1393">
        <v>10</v>
      </c>
      <c r="V492" s="1393"/>
      <c r="W492" s="1393">
        <v>10</v>
      </c>
      <c r="X492" s="1393"/>
      <c r="Y492" s="1393">
        <v>10</v>
      </c>
      <c r="Z492" s="1393"/>
      <c r="AA492" s="1393"/>
      <c r="AB492" s="974">
        <f>SUM(P492:AA492)</f>
        <v>40</v>
      </c>
    </row>
    <row r="493" spans="1:28" ht="28.5" customHeight="1" x14ac:dyDescent="0.25">
      <c r="A493" s="797"/>
      <c r="B493" s="1406"/>
      <c r="C493" s="1800"/>
      <c r="D493" s="2422"/>
      <c r="E493" s="2417"/>
      <c r="F493" s="2418"/>
      <c r="G493" s="2419"/>
      <c r="H493" s="2460"/>
      <c r="I493" s="2460"/>
      <c r="J493" s="2462"/>
      <c r="K493" s="2460"/>
      <c r="L493" s="2472"/>
      <c r="M493" s="1012" t="s">
        <v>168</v>
      </c>
      <c r="N493" s="1388" t="s">
        <v>2068</v>
      </c>
      <c r="O493" s="1392" t="s">
        <v>2069</v>
      </c>
      <c r="P493" s="1078"/>
      <c r="Q493" s="1078"/>
      <c r="R493" s="1078"/>
      <c r="S493" s="1078">
        <v>140</v>
      </c>
      <c r="T493" s="1078"/>
      <c r="U493" s="1078">
        <v>0</v>
      </c>
      <c r="V493" s="1078"/>
      <c r="W493" s="1078">
        <v>140</v>
      </c>
      <c r="X493" s="1078"/>
      <c r="Y493" s="1078">
        <v>120</v>
      </c>
      <c r="Z493" s="1078"/>
      <c r="AA493" s="1078"/>
      <c r="AB493" s="974">
        <f>SUM(P493:AA493)</f>
        <v>400</v>
      </c>
    </row>
    <row r="494" spans="1:28" x14ac:dyDescent="0.25">
      <c r="A494" s="797"/>
      <c r="B494" s="1406"/>
      <c r="C494" s="1800"/>
      <c r="D494" s="2422"/>
      <c r="E494" s="2417">
        <v>9</v>
      </c>
      <c r="F494" s="2418">
        <v>6</v>
      </c>
      <c r="G494" s="2419">
        <v>8</v>
      </c>
      <c r="H494" s="2459" t="s">
        <v>2121</v>
      </c>
      <c r="I494" s="2459" t="s">
        <v>2122</v>
      </c>
      <c r="J494" s="2461">
        <v>2</v>
      </c>
      <c r="K494" s="2469">
        <f>AB495</f>
        <v>1320</v>
      </c>
      <c r="L494" s="2471" t="s">
        <v>2114</v>
      </c>
      <c r="M494" s="1012" t="s">
        <v>51</v>
      </c>
      <c r="N494" s="328"/>
      <c r="O494" s="704"/>
      <c r="P494" s="1078"/>
      <c r="Q494" s="1078"/>
      <c r="R494" s="1078"/>
      <c r="S494" s="1078"/>
      <c r="T494" s="1078">
        <v>1</v>
      </c>
      <c r="U494" s="1078"/>
      <c r="V494" s="1078"/>
      <c r="W494" s="1078">
        <v>1</v>
      </c>
      <c r="X494" s="1078"/>
      <c r="Y494" s="1078"/>
      <c r="Z494" s="1078"/>
      <c r="AA494" s="1078"/>
      <c r="AB494" s="974">
        <f>SUM(P494:AA494)</f>
        <v>2</v>
      </c>
    </row>
    <row r="495" spans="1:28" ht="27" customHeight="1" x14ac:dyDescent="0.25">
      <c r="A495" s="797"/>
      <c r="B495" s="1406"/>
      <c r="C495" s="1800"/>
      <c r="D495" s="2422"/>
      <c r="E495" s="2417"/>
      <c r="F495" s="2418"/>
      <c r="G495" s="2419"/>
      <c r="H495" s="2460"/>
      <c r="I495" s="2460"/>
      <c r="J495" s="2462"/>
      <c r="K495" s="2460"/>
      <c r="L495" s="2472"/>
      <c r="M495" s="1012" t="s">
        <v>168</v>
      </c>
      <c r="N495" s="1388" t="s">
        <v>2088</v>
      </c>
      <c r="O495" s="1392" t="s">
        <v>1984</v>
      </c>
      <c r="P495" s="1078"/>
      <c r="Q495" s="1078"/>
      <c r="R495" s="1078"/>
      <c r="S495" s="1078"/>
      <c r="T495" s="1078">
        <f>140*2*2+50*2</f>
        <v>660</v>
      </c>
      <c r="U495" s="1078"/>
      <c r="V495" s="1078"/>
      <c r="W495" s="1078">
        <f>140*2*2+50*2</f>
        <v>660</v>
      </c>
      <c r="X495" s="1078"/>
      <c r="Y495" s="1078"/>
      <c r="Z495" s="1078"/>
      <c r="AA495" s="1078"/>
      <c r="AB495" s="974">
        <f t="shared" ref="AB495" si="201">SUM(P495:AA495)</f>
        <v>1320</v>
      </c>
    </row>
    <row r="496" spans="1:28" ht="25.5" customHeight="1" x14ac:dyDescent="0.25">
      <c r="A496" s="797"/>
      <c r="B496" s="1406"/>
      <c r="C496" s="1800"/>
      <c r="D496" s="2422" t="s">
        <v>2123</v>
      </c>
      <c r="E496" s="2417">
        <v>9</v>
      </c>
      <c r="F496" s="2418">
        <v>6</v>
      </c>
      <c r="G496" s="2423">
        <v>8</v>
      </c>
      <c r="H496" s="2457" t="s">
        <v>2124</v>
      </c>
      <c r="I496" s="2459" t="s">
        <v>2087</v>
      </c>
      <c r="J496" s="2461">
        <v>2</v>
      </c>
      <c r="K496" s="2469">
        <f>AB497+AB498+AB499</f>
        <v>1580</v>
      </c>
      <c r="L496" s="2471" t="s">
        <v>2114</v>
      </c>
      <c r="M496" s="1012" t="s">
        <v>51</v>
      </c>
      <c r="N496" s="328"/>
      <c r="O496" s="704"/>
      <c r="P496" s="1078"/>
      <c r="Q496" s="1078"/>
      <c r="R496" s="1078"/>
      <c r="S496" s="1078">
        <v>1</v>
      </c>
      <c r="T496" s="1078"/>
      <c r="U496" s="1078"/>
      <c r="V496" s="1078"/>
      <c r="W496" s="1078"/>
      <c r="X496" s="1078">
        <v>1</v>
      </c>
      <c r="Y496" s="1078"/>
      <c r="Z496" s="1078"/>
      <c r="AA496" s="1078"/>
      <c r="AB496" s="371">
        <f>SUM(P496:AA496)</f>
        <v>2</v>
      </c>
    </row>
    <row r="497" spans="1:28" ht="25.5" customHeight="1" x14ac:dyDescent="0.25">
      <c r="A497" s="797"/>
      <c r="B497" s="1406"/>
      <c r="C497" s="1800"/>
      <c r="D497" s="2422"/>
      <c r="E497" s="2417"/>
      <c r="F497" s="2418"/>
      <c r="G497" s="2465"/>
      <c r="H497" s="2466"/>
      <c r="I497" s="2467"/>
      <c r="J497" s="2468"/>
      <c r="K497" s="2467"/>
      <c r="L497" s="2892"/>
      <c r="M497" s="2438" t="s">
        <v>168</v>
      </c>
      <c r="N497" s="1388" t="s">
        <v>2068</v>
      </c>
      <c r="O497" s="1392" t="s">
        <v>2069</v>
      </c>
      <c r="P497" s="1078"/>
      <c r="Q497" s="1078"/>
      <c r="R497" s="1078"/>
      <c r="S497" s="1078">
        <f>140*3*2</f>
        <v>840</v>
      </c>
      <c r="T497" s="1078"/>
      <c r="U497" s="1078"/>
      <c r="V497" s="1078"/>
      <c r="W497" s="1078"/>
      <c r="X497" s="1078"/>
      <c r="Y497" s="1078"/>
      <c r="Z497" s="1078"/>
      <c r="AA497" s="1078"/>
      <c r="AB497" s="371">
        <f t="shared" ref="AB497:AB504" si="202">SUM(P497:AA497)</f>
        <v>840</v>
      </c>
    </row>
    <row r="498" spans="1:28" ht="16.5" customHeight="1" x14ac:dyDescent="0.25">
      <c r="A498" s="797"/>
      <c r="B498" s="1406"/>
      <c r="C498" s="1800"/>
      <c r="D498" s="2422"/>
      <c r="E498" s="2417"/>
      <c r="F498" s="2418"/>
      <c r="G498" s="2465"/>
      <c r="H498" s="2466"/>
      <c r="I498" s="2467"/>
      <c r="J498" s="2468"/>
      <c r="K498" s="2467"/>
      <c r="L498" s="2892"/>
      <c r="M498" s="2456"/>
      <c r="N498" s="1388" t="s">
        <v>2066</v>
      </c>
      <c r="O498" s="1392" t="s">
        <v>3183</v>
      </c>
      <c r="P498" s="1078"/>
      <c r="Q498" s="1078"/>
      <c r="R498" s="1078"/>
      <c r="S498" s="1078">
        <f>120*2</f>
        <v>240</v>
      </c>
      <c r="T498" s="1078"/>
      <c r="U498" s="1078"/>
      <c r="V498" s="1078"/>
      <c r="W498" s="1078"/>
      <c r="X498" s="1078"/>
      <c r="Y498" s="1078"/>
      <c r="Z498" s="1078"/>
      <c r="AA498" s="1078"/>
      <c r="AB498" s="371">
        <f t="shared" si="202"/>
        <v>240</v>
      </c>
    </row>
    <row r="499" spans="1:28" ht="22.5" customHeight="1" x14ac:dyDescent="0.25">
      <c r="A499" s="797"/>
      <c r="B499" s="1406"/>
      <c r="C499" s="1800"/>
      <c r="D499" s="2422"/>
      <c r="E499" s="2417"/>
      <c r="F499" s="2418"/>
      <c r="G499" s="2445"/>
      <c r="H499" s="2439"/>
      <c r="I499" s="2437"/>
      <c r="J499" s="2437"/>
      <c r="K499" s="2437"/>
      <c r="L499" s="2437"/>
      <c r="M499" s="2450"/>
      <c r="N499" s="1388" t="s">
        <v>2088</v>
      </c>
      <c r="O499" s="1392" t="s">
        <v>1984</v>
      </c>
      <c r="P499" s="1078"/>
      <c r="Q499" s="1078"/>
      <c r="R499" s="1078"/>
      <c r="S499" s="1078"/>
      <c r="T499" s="1078"/>
      <c r="U499" s="1078"/>
      <c r="V499" s="1078"/>
      <c r="W499" s="1078">
        <v>500</v>
      </c>
      <c r="X499" s="1078"/>
      <c r="Y499" s="1078"/>
      <c r="Z499" s="1078"/>
      <c r="AA499" s="1078"/>
      <c r="AB499" s="371">
        <f t="shared" si="202"/>
        <v>500</v>
      </c>
    </row>
    <row r="500" spans="1:28" ht="15" customHeight="1" x14ac:dyDescent="0.25">
      <c r="A500" s="797"/>
      <c r="B500" s="1406"/>
      <c r="C500" s="1800"/>
      <c r="D500" s="2422" t="s">
        <v>2125</v>
      </c>
      <c r="E500" s="2417">
        <v>9</v>
      </c>
      <c r="F500" s="2418">
        <v>6</v>
      </c>
      <c r="G500" s="2419">
        <v>8</v>
      </c>
      <c r="H500" s="2457" t="s">
        <v>2126</v>
      </c>
      <c r="I500" s="2459" t="s">
        <v>2127</v>
      </c>
      <c r="J500" s="2461">
        <v>30</v>
      </c>
      <c r="K500" s="2469">
        <f>AB501</f>
        <v>560</v>
      </c>
      <c r="L500" s="2471" t="s">
        <v>2114</v>
      </c>
      <c r="M500" s="1012" t="s">
        <v>51</v>
      </c>
      <c r="N500" s="328"/>
      <c r="O500" s="704"/>
      <c r="P500" s="1078"/>
      <c r="Q500" s="1078"/>
      <c r="R500" s="1078"/>
      <c r="S500" s="1078"/>
      <c r="T500" s="1078"/>
      <c r="U500" s="1078"/>
      <c r="V500" s="1078"/>
      <c r="W500" s="1078">
        <v>15</v>
      </c>
      <c r="X500" s="1078"/>
      <c r="Y500" s="1078">
        <v>15</v>
      </c>
      <c r="Z500" s="1078"/>
      <c r="AA500" s="1078"/>
      <c r="AB500" s="371">
        <f t="shared" si="202"/>
        <v>30</v>
      </c>
    </row>
    <row r="501" spans="1:28" ht="51" customHeight="1" x14ac:dyDescent="0.25">
      <c r="A501" s="797"/>
      <c r="B501" s="1406"/>
      <c r="C501" s="1800"/>
      <c r="D501" s="2422"/>
      <c r="E501" s="2417"/>
      <c r="F501" s="2418"/>
      <c r="G501" s="2419"/>
      <c r="H501" s="2458"/>
      <c r="I501" s="2460"/>
      <c r="J501" s="2462"/>
      <c r="K501" s="2460"/>
      <c r="L501" s="2472"/>
      <c r="M501" s="1012" t="s">
        <v>168</v>
      </c>
      <c r="N501" s="1388" t="s">
        <v>2068</v>
      </c>
      <c r="O501" s="1392" t="s">
        <v>2069</v>
      </c>
      <c r="P501" s="1078"/>
      <c r="Q501" s="1078"/>
      <c r="R501" s="1078"/>
      <c r="S501" s="1078"/>
      <c r="T501" s="1078"/>
      <c r="U501" s="1078"/>
      <c r="V501" s="1078"/>
      <c r="W501" s="1078">
        <f>140*2</f>
        <v>280</v>
      </c>
      <c r="X501" s="1078"/>
      <c r="Y501" s="1078">
        <f>140*2</f>
        <v>280</v>
      </c>
      <c r="Z501" s="1078"/>
      <c r="AA501" s="1078"/>
      <c r="AB501" s="371">
        <f t="shared" si="202"/>
        <v>560</v>
      </c>
    </row>
    <row r="502" spans="1:28" ht="15" customHeight="1" x14ac:dyDescent="0.25">
      <c r="A502" s="797"/>
      <c r="B502" s="1406"/>
      <c r="C502" s="1800"/>
      <c r="D502" s="2422"/>
      <c r="E502" s="2417">
        <v>9</v>
      </c>
      <c r="F502" s="2418">
        <v>6</v>
      </c>
      <c r="G502" s="2419">
        <v>8</v>
      </c>
      <c r="H502" s="2424" t="s">
        <v>2128</v>
      </c>
      <c r="I502" s="2427" t="s">
        <v>2129</v>
      </c>
      <c r="J502" s="2428">
        <v>1</v>
      </c>
      <c r="K502" s="2429">
        <f>AB503+AB504</f>
        <v>3000</v>
      </c>
      <c r="L502" s="2431" t="s">
        <v>2114</v>
      </c>
      <c r="M502" s="1012" t="s">
        <v>51</v>
      </c>
      <c r="N502" s="328"/>
      <c r="O502" s="704"/>
      <c r="P502" s="1078"/>
      <c r="Q502" s="1078"/>
      <c r="R502" s="1078"/>
      <c r="S502" s="1078"/>
      <c r="T502" s="1078"/>
      <c r="U502" s="1078"/>
      <c r="V502" s="1078"/>
      <c r="W502" s="1078"/>
      <c r="X502" s="1078"/>
      <c r="Y502" s="1078"/>
      <c r="Z502" s="1078">
        <v>1</v>
      </c>
      <c r="AA502" s="1078"/>
      <c r="AB502" s="371">
        <f t="shared" si="202"/>
        <v>1</v>
      </c>
    </row>
    <row r="503" spans="1:28" x14ac:dyDescent="0.25">
      <c r="A503" s="797"/>
      <c r="B503" s="1406"/>
      <c r="C503" s="1800"/>
      <c r="D503" s="2422"/>
      <c r="E503" s="2417"/>
      <c r="F503" s="2418"/>
      <c r="G503" s="2419"/>
      <c r="H503" s="2433"/>
      <c r="I503" s="2430"/>
      <c r="J503" s="2435"/>
      <c r="K503" s="2430"/>
      <c r="L503" s="2432"/>
      <c r="M503" s="2438" t="s">
        <v>168</v>
      </c>
      <c r="N503" s="1388" t="s">
        <v>2103</v>
      </c>
      <c r="O503" s="1392" t="s">
        <v>1478</v>
      </c>
      <c r="P503" s="1084"/>
      <c r="Q503" s="1084"/>
      <c r="R503" s="1084"/>
      <c r="S503" s="1084"/>
      <c r="T503" s="1084"/>
      <c r="U503" s="1084"/>
      <c r="V503" s="1084"/>
      <c r="W503" s="1084"/>
      <c r="X503" s="1084"/>
      <c r="Y503" s="1084"/>
      <c r="Z503" s="1084">
        <v>1500</v>
      </c>
      <c r="AA503" s="1084"/>
      <c r="AB503" s="371">
        <f t="shared" si="202"/>
        <v>1500</v>
      </c>
    </row>
    <row r="504" spans="1:28" ht="24.75" customHeight="1" x14ac:dyDescent="0.25">
      <c r="A504" s="797"/>
      <c r="B504" s="1406"/>
      <c r="C504" s="1800"/>
      <c r="D504" s="2447"/>
      <c r="E504" s="2463"/>
      <c r="F504" s="2464"/>
      <c r="G504" s="2423"/>
      <c r="H504" s="2433"/>
      <c r="I504" s="2430"/>
      <c r="J504" s="2435"/>
      <c r="K504" s="2430"/>
      <c r="L504" s="2432"/>
      <c r="M504" s="2456"/>
      <c r="N504" s="1389" t="s">
        <v>2130</v>
      </c>
      <c r="O504" s="1395" t="s">
        <v>1441</v>
      </c>
      <c r="P504" s="1084"/>
      <c r="Q504" s="1084"/>
      <c r="R504" s="1084"/>
      <c r="S504" s="1084"/>
      <c r="T504" s="1084"/>
      <c r="U504" s="1084"/>
      <c r="V504" s="1084"/>
      <c r="W504" s="1084"/>
      <c r="X504" s="1084"/>
      <c r="Y504" s="1084"/>
      <c r="Z504" s="1084">
        <v>1500</v>
      </c>
      <c r="AA504" s="1084"/>
      <c r="AB504" s="370">
        <f t="shared" si="202"/>
        <v>1500</v>
      </c>
    </row>
    <row r="505" spans="1:28" ht="15" customHeight="1" x14ac:dyDescent="0.25">
      <c r="A505" s="797"/>
      <c r="B505" s="1537"/>
      <c r="C505" s="1194"/>
      <c r="D505" s="2582" t="s">
        <v>2131</v>
      </c>
      <c r="E505" s="2582" t="s">
        <v>23</v>
      </c>
      <c r="F505" s="2582" t="s">
        <v>164</v>
      </c>
      <c r="G505" s="2451" t="s">
        <v>25</v>
      </c>
      <c r="H505" s="2900" t="s">
        <v>26</v>
      </c>
      <c r="I505" s="2451" t="s">
        <v>27</v>
      </c>
      <c r="J505" s="2496" t="s">
        <v>28</v>
      </c>
      <c r="K505" s="2497"/>
      <c r="L505" s="2451" t="s">
        <v>29</v>
      </c>
      <c r="M505" s="2451" t="s">
        <v>2044</v>
      </c>
      <c r="N505" s="2451" t="s">
        <v>529</v>
      </c>
      <c r="O505" s="2451" t="s">
        <v>530</v>
      </c>
      <c r="P505" s="2453" t="s">
        <v>31</v>
      </c>
      <c r="Q505" s="2454"/>
      <c r="R505" s="2454"/>
      <c r="S505" s="2454"/>
      <c r="T505" s="2454"/>
      <c r="U505" s="2454"/>
      <c r="V505" s="2454"/>
      <c r="W505" s="2454"/>
      <c r="X505" s="2454"/>
      <c r="Y505" s="2454"/>
      <c r="Z505" s="2454"/>
      <c r="AA505" s="2455"/>
      <c r="AB505" s="2440">
        <f>SUM(AB508+AB510+AB511+AB513+AB515+AB516+AB518+AB519+AB521+AB523)</f>
        <v>9860</v>
      </c>
    </row>
    <row r="506" spans="1:28" ht="21" customHeight="1" x14ac:dyDescent="0.25">
      <c r="A506" s="797"/>
      <c r="B506" s="1538"/>
      <c r="C506" s="1195"/>
      <c r="D506" s="2582"/>
      <c r="E506" s="2582"/>
      <c r="F506" s="2582"/>
      <c r="G506" s="2452"/>
      <c r="H506" s="2901"/>
      <c r="I506" s="2452"/>
      <c r="J506" s="1396" t="s">
        <v>287</v>
      </c>
      <c r="K506" s="1192" t="s">
        <v>34</v>
      </c>
      <c r="L506" s="2452"/>
      <c r="M506" s="2452"/>
      <c r="N506" s="2452"/>
      <c r="O506" s="2452"/>
      <c r="P506" s="1397" t="s">
        <v>35</v>
      </c>
      <c r="Q506" s="1397" t="s">
        <v>36</v>
      </c>
      <c r="R506" s="1397" t="s">
        <v>37</v>
      </c>
      <c r="S506" s="1397" t="s">
        <v>38</v>
      </c>
      <c r="T506" s="1397" t="s">
        <v>39</v>
      </c>
      <c r="U506" s="1397" t="s">
        <v>40</v>
      </c>
      <c r="V506" s="1397" t="s">
        <v>41</v>
      </c>
      <c r="W506" s="1397" t="s">
        <v>42</v>
      </c>
      <c r="X506" s="1397" t="s">
        <v>43</v>
      </c>
      <c r="Y506" s="1397" t="s">
        <v>44</v>
      </c>
      <c r="Z506" s="1397" t="s">
        <v>45</v>
      </c>
      <c r="AA506" s="1397" t="s">
        <v>46</v>
      </c>
      <c r="AB506" s="2440"/>
    </row>
    <row r="507" spans="1:28" x14ac:dyDescent="0.25">
      <c r="A507" s="797"/>
      <c r="B507" s="1406"/>
      <c r="C507" s="1801"/>
      <c r="D507" s="2441" t="s">
        <v>2132</v>
      </c>
      <c r="E507" s="2443">
        <v>9</v>
      </c>
      <c r="F507" s="2444">
        <v>6</v>
      </c>
      <c r="G507" s="2445">
        <v>8</v>
      </c>
      <c r="H507" s="2433" t="s">
        <v>2133</v>
      </c>
      <c r="I507" s="2430" t="s">
        <v>1214</v>
      </c>
      <c r="J507" s="2435">
        <v>10</v>
      </c>
      <c r="K507" s="2446">
        <f>AB508</f>
        <v>2250</v>
      </c>
      <c r="L507" s="2432" t="s">
        <v>2134</v>
      </c>
      <c r="M507" s="1153" t="s">
        <v>51</v>
      </c>
      <c r="N507" s="1384"/>
      <c r="O507" s="119"/>
      <c r="P507" s="1085"/>
      <c r="Q507" s="1085"/>
      <c r="R507" s="1085">
        <v>2</v>
      </c>
      <c r="S507" s="1085">
        <v>2</v>
      </c>
      <c r="T507" s="1085">
        <v>2</v>
      </c>
      <c r="U507" s="1085">
        <v>2</v>
      </c>
      <c r="V507" s="1085">
        <v>2</v>
      </c>
      <c r="W507" s="1085"/>
      <c r="X507" s="1085"/>
      <c r="Y507" s="1085"/>
      <c r="Z507" s="1085"/>
      <c r="AA507" s="1085"/>
      <c r="AB507" s="1697">
        <f t="shared" ref="AB507:AB517" si="203">SUM(P507:AA507)</f>
        <v>10</v>
      </c>
    </row>
    <row r="508" spans="1:28" ht="80.25" customHeight="1" x14ac:dyDescent="0.25">
      <c r="A508" s="797"/>
      <c r="B508" s="1406"/>
      <c r="C508" s="1801"/>
      <c r="D508" s="2442"/>
      <c r="E508" s="2417"/>
      <c r="F508" s="2418"/>
      <c r="G508" s="2419"/>
      <c r="H508" s="2425"/>
      <c r="I508" s="2434"/>
      <c r="J508" s="2436"/>
      <c r="K508" s="2434"/>
      <c r="L508" s="2437"/>
      <c r="M508" s="1012" t="s">
        <v>168</v>
      </c>
      <c r="N508" s="1388" t="s">
        <v>2088</v>
      </c>
      <c r="O508" s="307" t="s">
        <v>1984</v>
      </c>
      <c r="P508" s="1078"/>
      <c r="Q508" s="1078"/>
      <c r="R508" s="1078">
        <v>750</v>
      </c>
      <c r="S508" s="1078"/>
      <c r="T508" s="1078">
        <v>750</v>
      </c>
      <c r="U508" s="1078"/>
      <c r="V508" s="1078">
        <v>750</v>
      </c>
      <c r="W508" s="1078"/>
      <c r="X508" s="1078"/>
      <c r="Y508" s="1078"/>
      <c r="Z508" s="1078"/>
      <c r="AA508" s="1078"/>
      <c r="AB508" s="371">
        <f t="shared" si="203"/>
        <v>2250</v>
      </c>
    </row>
    <row r="509" spans="1:28" x14ac:dyDescent="0.25">
      <c r="A509" s="797"/>
      <c r="B509" s="1406"/>
      <c r="C509" s="1801"/>
      <c r="D509" s="2447" t="s">
        <v>3717</v>
      </c>
      <c r="E509" s="2417">
        <v>9</v>
      </c>
      <c r="F509" s="2418">
        <v>6</v>
      </c>
      <c r="G509" s="2419">
        <v>8</v>
      </c>
      <c r="H509" s="2424" t="s">
        <v>3225</v>
      </c>
      <c r="I509" s="2427" t="s">
        <v>2135</v>
      </c>
      <c r="J509" s="2428">
        <v>6</v>
      </c>
      <c r="K509" s="2429">
        <f>AB510+AB511</f>
        <v>2380</v>
      </c>
      <c r="L509" s="2431" t="s">
        <v>2134</v>
      </c>
      <c r="M509" s="1012" t="s">
        <v>51</v>
      </c>
      <c r="N509" s="389"/>
      <c r="O509" s="776"/>
      <c r="P509" s="1078"/>
      <c r="Q509" s="1106"/>
      <c r="R509" s="1106">
        <v>1</v>
      </c>
      <c r="S509" s="1106">
        <v>1</v>
      </c>
      <c r="T509" s="1106"/>
      <c r="U509" s="1106">
        <v>1</v>
      </c>
      <c r="V509" s="1106"/>
      <c r="W509" s="1106"/>
      <c r="X509" s="1106">
        <v>1</v>
      </c>
      <c r="Y509" s="1106">
        <v>1</v>
      </c>
      <c r="Z509" s="1106">
        <v>1</v>
      </c>
      <c r="AA509" s="1106"/>
      <c r="AB509" s="371">
        <f t="shared" si="203"/>
        <v>6</v>
      </c>
    </row>
    <row r="510" spans="1:28" ht="27.75" customHeight="1" x14ac:dyDescent="0.25">
      <c r="A510" s="797"/>
      <c r="B510" s="1406"/>
      <c r="C510" s="1801"/>
      <c r="D510" s="2448"/>
      <c r="E510" s="2417"/>
      <c r="F510" s="2418"/>
      <c r="G510" s="2419"/>
      <c r="H510" s="2433"/>
      <c r="I510" s="2430"/>
      <c r="J510" s="2435"/>
      <c r="K510" s="2430"/>
      <c r="L510" s="2432"/>
      <c r="M510" s="2438" t="s">
        <v>168</v>
      </c>
      <c r="N510" s="1388" t="s">
        <v>2068</v>
      </c>
      <c r="O510" s="307" t="s">
        <v>2069</v>
      </c>
      <c r="P510" s="1078"/>
      <c r="Q510" s="1106"/>
      <c r="R510" s="1106">
        <v>220</v>
      </c>
      <c r="S510" s="1106"/>
      <c r="T510" s="1106"/>
      <c r="U510" s="1106">
        <v>220</v>
      </c>
      <c r="V510" s="1106"/>
      <c r="W510" s="1106"/>
      <c r="X510" s="1106">
        <v>220</v>
      </c>
      <c r="Y510" s="1106"/>
      <c r="Z510" s="1106">
        <v>220</v>
      </c>
      <c r="AA510" s="1106"/>
      <c r="AB510" s="371">
        <f t="shared" si="203"/>
        <v>880</v>
      </c>
    </row>
    <row r="511" spans="1:28" ht="64.5" customHeight="1" x14ac:dyDescent="0.25">
      <c r="A511" s="797"/>
      <c r="B511" s="1406"/>
      <c r="C511" s="1801"/>
      <c r="D511" s="2449"/>
      <c r="E511" s="2417"/>
      <c r="F511" s="2418"/>
      <c r="G511" s="2419"/>
      <c r="H511" s="2425"/>
      <c r="I511" s="2434"/>
      <c r="J511" s="2436"/>
      <c r="K511" s="2434"/>
      <c r="L511" s="2437"/>
      <c r="M511" s="2450"/>
      <c r="N511" s="1388" t="s">
        <v>2088</v>
      </c>
      <c r="O511" s="307" t="s">
        <v>1984</v>
      </c>
      <c r="P511" s="1078"/>
      <c r="Q511" s="1106"/>
      <c r="R511" s="1106"/>
      <c r="S511" s="1106">
        <v>750</v>
      </c>
      <c r="T511" s="1106"/>
      <c r="U511" s="1106"/>
      <c r="V511" s="1106"/>
      <c r="W511" s="1106"/>
      <c r="X511" s="1106"/>
      <c r="Y511" s="1106">
        <v>750</v>
      </c>
      <c r="Z511" s="1106"/>
      <c r="AA511" s="1106"/>
      <c r="AB511" s="371">
        <f t="shared" si="203"/>
        <v>1500</v>
      </c>
    </row>
    <row r="512" spans="1:28" ht="15" customHeight="1" x14ac:dyDescent="0.25">
      <c r="A512" s="797"/>
      <c r="B512" s="1406"/>
      <c r="C512" s="1801"/>
      <c r="D512" s="2422" t="s">
        <v>2136</v>
      </c>
      <c r="E512" s="2417">
        <v>9</v>
      </c>
      <c r="F512" s="2418">
        <v>6</v>
      </c>
      <c r="G512" s="2419">
        <v>8</v>
      </c>
      <c r="H512" s="2424" t="s">
        <v>2137</v>
      </c>
      <c r="I512" s="2427" t="s">
        <v>1214</v>
      </c>
      <c r="J512" s="2428">
        <v>6</v>
      </c>
      <c r="K512" s="2429">
        <f>AB513</f>
        <v>2280</v>
      </c>
      <c r="L512" s="2431" t="s">
        <v>2134</v>
      </c>
      <c r="M512" s="1012" t="s">
        <v>51</v>
      </c>
      <c r="N512" s="389"/>
      <c r="O512" s="776"/>
      <c r="P512" s="1078"/>
      <c r="Q512" s="1106"/>
      <c r="R512" s="1106"/>
      <c r="S512" s="1106">
        <v>1</v>
      </c>
      <c r="T512" s="1106">
        <v>1</v>
      </c>
      <c r="U512" s="1106">
        <v>1</v>
      </c>
      <c r="V512" s="1106">
        <v>1</v>
      </c>
      <c r="W512" s="1106">
        <v>1</v>
      </c>
      <c r="X512" s="1106">
        <v>1</v>
      </c>
      <c r="Y512" s="1106"/>
      <c r="Z512" s="1106"/>
      <c r="AA512" s="1106"/>
      <c r="AB512" s="371">
        <f t="shared" si="203"/>
        <v>6</v>
      </c>
    </row>
    <row r="513" spans="1:28" ht="38.25" customHeight="1" x14ac:dyDescent="0.25">
      <c r="A513" s="797"/>
      <c r="B513" s="1406"/>
      <c r="C513" s="1801"/>
      <c r="D513" s="2422"/>
      <c r="E513" s="2417"/>
      <c r="F513" s="2418"/>
      <c r="G513" s="2419"/>
      <c r="H513" s="2425"/>
      <c r="I513" s="2434"/>
      <c r="J513" s="2436"/>
      <c r="K513" s="2434"/>
      <c r="L513" s="2437"/>
      <c r="M513" s="1012" t="s">
        <v>168</v>
      </c>
      <c r="N513" s="1388" t="s">
        <v>2088</v>
      </c>
      <c r="O513" s="307" t="s">
        <v>1984</v>
      </c>
      <c r="P513" s="1078"/>
      <c r="Q513" s="1106"/>
      <c r="R513" s="1106"/>
      <c r="S513" s="1106">
        <f>140*2+100</f>
        <v>380</v>
      </c>
      <c r="T513" s="1106">
        <v>380</v>
      </c>
      <c r="U513" s="1106">
        <v>380</v>
      </c>
      <c r="V513" s="1106">
        <v>380</v>
      </c>
      <c r="W513" s="1106">
        <v>380</v>
      </c>
      <c r="X513" s="1106">
        <v>380</v>
      </c>
      <c r="Y513" s="1106"/>
      <c r="Z513" s="1106"/>
      <c r="AA513" s="1106"/>
      <c r="AB513" s="371">
        <f t="shared" si="203"/>
        <v>2280</v>
      </c>
    </row>
    <row r="514" spans="1:28" ht="15" customHeight="1" x14ac:dyDescent="0.25">
      <c r="A514" s="797"/>
      <c r="B514" s="1406"/>
      <c r="C514" s="1801"/>
      <c r="D514" s="2422"/>
      <c r="E514" s="2417">
        <v>9</v>
      </c>
      <c r="F514" s="2418">
        <v>6</v>
      </c>
      <c r="G514" s="2419">
        <v>8</v>
      </c>
      <c r="H514" s="2424" t="s">
        <v>2138</v>
      </c>
      <c r="I514" s="2427" t="s">
        <v>1214</v>
      </c>
      <c r="J514" s="2428">
        <v>2</v>
      </c>
      <c r="K514" s="2429">
        <f>AB515+AB516</f>
        <v>1000</v>
      </c>
      <c r="L514" s="2431" t="s">
        <v>2134</v>
      </c>
      <c r="M514" s="1012" t="s">
        <v>51</v>
      </c>
      <c r="N514" s="389"/>
      <c r="O514" s="776"/>
      <c r="P514" s="1078"/>
      <c r="Q514" s="1106"/>
      <c r="R514" s="1106"/>
      <c r="S514" s="1106">
        <v>1</v>
      </c>
      <c r="T514" s="1106"/>
      <c r="U514" s="1106"/>
      <c r="V514" s="1106"/>
      <c r="W514" s="1106"/>
      <c r="X514" s="1106">
        <v>1</v>
      </c>
      <c r="Y514" s="1106"/>
      <c r="Z514" s="1106"/>
      <c r="AA514" s="1106"/>
      <c r="AB514" s="371">
        <f t="shared" si="203"/>
        <v>2</v>
      </c>
    </row>
    <row r="515" spans="1:28" ht="22.5" x14ac:dyDescent="0.25">
      <c r="A515" s="797"/>
      <c r="B515" s="1406"/>
      <c r="C515" s="1801"/>
      <c r="D515" s="2422"/>
      <c r="E515" s="2417"/>
      <c r="F515" s="2418"/>
      <c r="G515" s="2419"/>
      <c r="H515" s="2433"/>
      <c r="I515" s="2430"/>
      <c r="J515" s="2435"/>
      <c r="K515" s="2430"/>
      <c r="L515" s="2432"/>
      <c r="M515" s="2438" t="s">
        <v>168</v>
      </c>
      <c r="N515" s="1388" t="s">
        <v>2068</v>
      </c>
      <c r="O515" s="307" t="s">
        <v>2069</v>
      </c>
      <c r="P515" s="1078"/>
      <c r="Q515" s="1106"/>
      <c r="R515" s="1106"/>
      <c r="S515" s="1106">
        <v>330</v>
      </c>
      <c r="T515" s="1106"/>
      <c r="U515" s="1106"/>
      <c r="V515" s="1106"/>
      <c r="W515" s="1106"/>
      <c r="X515" s="1106">
        <v>330</v>
      </c>
      <c r="Y515" s="1106"/>
      <c r="Z515" s="1106"/>
      <c r="AA515" s="1106"/>
      <c r="AB515" s="371">
        <f t="shared" si="203"/>
        <v>660</v>
      </c>
    </row>
    <row r="516" spans="1:28" ht="31.5" customHeight="1" x14ac:dyDescent="0.25">
      <c r="A516" s="797"/>
      <c r="B516" s="1406"/>
      <c r="C516" s="1801"/>
      <c r="D516" s="2422"/>
      <c r="E516" s="2417"/>
      <c r="F516" s="2418"/>
      <c r="G516" s="2419"/>
      <c r="H516" s="2425"/>
      <c r="I516" s="2434"/>
      <c r="J516" s="2436"/>
      <c r="K516" s="2434"/>
      <c r="L516" s="2437"/>
      <c r="M516" s="2450"/>
      <c r="N516" s="1388" t="s">
        <v>2066</v>
      </c>
      <c r="O516" s="307" t="s">
        <v>2067</v>
      </c>
      <c r="P516" s="1078"/>
      <c r="Q516" s="1106"/>
      <c r="R516" s="1106"/>
      <c r="S516" s="1106">
        <v>170</v>
      </c>
      <c r="T516" s="1106"/>
      <c r="U516" s="1106"/>
      <c r="V516" s="1106"/>
      <c r="W516" s="1106"/>
      <c r="X516" s="1106">
        <v>170</v>
      </c>
      <c r="Y516" s="1106"/>
      <c r="Z516" s="1106"/>
      <c r="AA516" s="1106"/>
      <c r="AB516" s="371">
        <f t="shared" si="203"/>
        <v>340</v>
      </c>
    </row>
    <row r="517" spans="1:28" x14ac:dyDescent="0.25">
      <c r="A517" s="797"/>
      <c r="B517" s="1406"/>
      <c r="C517" s="1801"/>
      <c r="D517" s="2422" t="s">
        <v>2139</v>
      </c>
      <c r="E517" s="2417">
        <v>9</v>
      </c>
      <c r="F517" s="2418">
        <v>6</v>
      </c>
      <c r="G517" s="2419">
        <v>8</v>
      </c>
      <c r="H517" s="2424" t="s">
        <v>2140</v>
      </c>
      <c r="I517" s="2427" t="s">
        <v>2141</v>
      </c>
      <c r="J517" s="2428">
        <v>1</v>
      </c>
      <c r="K517" s="2429">
        <f>AB518+AB519</f>
        <v>600</v>
      </c>
      <c r="L517" s="2431" t="s">
        <v>2134</v>
      </c>
      <c r="M517" s="1012" t="s">
        <v>51</v>
      </c>
      <c r="N517" s="1386"/>
      <c r="O517" s="307"/>
      <c r="P517" s="1078"/>
      <c r="Q517" s="1106"/>
      <c r="R517" s="1106"/>
      <c r="S517" s="1106"/>
      <c r="T517" s="1106"/>
      <c r="U517" s="1106"/>
      <c r="V517" s="1106"/>
      <c r="W517" s="1106"/>
      <c r="X517" s="1106"/>
      <c r="Y517" s="1106"/>
      <c r="Z517" s="1106">
        <v>1</v>
      </c>
      <c r="AA517" s="1106"/>
      <c r="AB517" s="371">
        <f t="shared" si="203"/>
        <v>1</v>
      </c>
    </row>
    <row r="518" spans="1:28" ht="19.5" customHeight="1" x14ac:dyDescent="0.25">
      <c r="A518" s="797"/>
      <c r="B518" s="1406"/>
      <c r="C518" s="1801"/>
      <c r="D518" s="2422"/>
      <c r="E518" s="2417"/>
      <c r="F518" s="2418"/>
      <c r="G518" s="2419"/>
      <c r="H518" s="2433"/>
      <c r="I518" s="2430"/>
      <c r="J518" s="2435"/>
      <c r="K518" s="2430"/>
      <c r="L518" s="2432"/>
      <c r="M518" s="2438" t="s">
        <v>168</v>
      </c>
      <c r="N518" s="1388" t="s">
        <v>2068</v>
      </c>
      <c r="O518" s="307" t="s">
        <v>2069</v>
      </c>
      <c r="P518" s="1078"/>
      <c r="Q518" s="1106"/>
      <c r="R518" s="1106"/>
      <c r="S518" s="1106"/>
      <c r="T518" s="1106"/>
      <c r="U518" s="1106"/>
      <c r="V518" s="1106"/>
      <c r="W518" s="1106"/>
      <c r="X518" s="1106"/>
      <c r="Y518" s="1106"/>
      <c r="Z518" s="1106">
        <f>140*3</f>
        <v>420</v>
      </c>
      <c r="AA518" s="1106"/>
      <c r="AB518" s="371">
        <f t="shared" ref="AB518:AB524" si="204">SUM(P518:AA518)</f>
        <v>420</v>
      </c>
    </row>
    <row r="519" spans="1:28" ht="27" customHeight="1" x14ac:dyDescent="0.25">
      <c r="A519" s="797"/>
      <c r="B519" s="1406"/>
      <c r="C519" s="1801"/>
      <c r="D519" s="2422"/>
      <c r="E519" s="2417"/>
      <c r="F519" s="2418"/>
      <c r="G519" s="2419"/>
      <c r="H519" s="2425"/>
      <c r="I519" s="2434"/>
      <c r="J519" s="2436"/>
      <c r="K519" s="2434"/>
      <c r="L519" s="2437"/>
      <c r="M519" s="2439"/>
      <c r="N519" s="1388" t="s">
        <v>2066</v>
      </c>
      <c r="O519" s="307" t="s">
        <v>2067</v>
      </c>
      <c r="P519" s="1078"/>
      <c r="Q519" s="1106"/>
      <c r="R519" s="1106"/>
      <c r="S519" s="1106"/>
      <c r="T519" s="1106"/>
      <c r="U519" s="1106"/>
      <c r="V519" s="1106"/>
      <c r="W519" s="1106"/>
      <c r="X519" s="1106"/>
      <c r="Y519" s="1106"/>
      <c r="Z519" s="1106">
        <v>180</v>
      </c>
      <c r="AA519" s="1106"/>
      <c r="AB519" s="371">
        <f t="shared" si="204"/>
        <v>180</v>
      </c>
    </row>
    <row r="520" spans="1:28" ht="19.5" customHeight="1" x14ac:dyDescent="0.25">
      <c r="A520" s="797"/>
      <c r="B520" s="1406"/>
      <c r="C520" s="1801"/>
      <c r="D520" s="2422"/>
      <c r="E520" s="2417">
        <v>9</v>
      </c>
      <c r="F520" s="2418">
        <v>6</v>
      </c>
      <c r="G520" s="2419">
        <v>8</v>
      </c>
      <c r="H520" s="2424" t="s">
        <v>2142</v>
      </c>
      <c r="I520" s="2427" t="s">
        <v>2093</v>
      </c>
      <c r="J520" s="2428">
        <v>1</v>
      </c>
      <c r="K520" s="2429">
        <f>AB521</f>
        <v>350</v>
      </c>
      <c r="L520" s="2431" t="s">
        <v>2134</v>
      </c>
      <c r="M520" s="1012" t="s">
        <v>51</v>
      </c>
      <c r="N520" s="328"/>
      <c r="O520" s="776"/>
      <c r="P520" s="1078"/>
      <c r="Q520" s="1106"/>
      <c r="R520" s="1106">
        <v>1</v>
      </c>
      <c r="S520" s="1106"/>
      <c r="T520" s="1106"/>
      <c r="U520" s="1106"/>
      <c r="V520" s="1106"/>
      <c r="W520" s="1106"/>
      <c r="X520" s="1106"/>
      <c r="Y520" s="1106"/>
      <c r="Z520" s="1106"/>
      <c r="AA520" s="1106"/>
      <c r="AB520" s="371">
        <f t="shared" si="204"/>
        <v>1</v>
      </c>
    </row>
    <row r="521" spans="1:28" ht="38.25" customHeight="1" x14ac:dyDescent="0.25">
      <c r="A521" s="797"/>
      <c r="B521" s="1406"/>
      <c r="C521" s="1409"/>
      <c r="D521" s="2422"/>
      <c r="E521" s="2417"/>
      <c r="F521" s="2418"/>
      <c r="G521" s="2419"/>
      <c r="H521" s="2425"/>
      <c r="I521" s="2434"/>
      <c r="J521" s="2436"/>
      <c r="K521" s="2434"/>
      <c r="L521" s="2437"/>
      <c r="M521" s="1012" t="s">
        <v>168</v>
      </c>
      <c r="N521" s="1388" t="s">
        <v>2088</v>
      </c>
      <c r="O521" s="307" t="s">
        <v>1984</v>
      </c>
      <c r="P521" s="1078"/>
      <c r="Q521" s="1078"/>
      <c r="R521" s="1078">
        <f>60*2.5+200</f>
        <v>350</v>
      </c>
      <c r="S521" s="1078"/>
      <c r="T521" s="1078"/>
      <c r="U521" s="1078"/>
      <c r="V521" s="1078"/>
      <c r="W521" s="1078"/>
      <c r="X521" s="1078"/>
      <c r="Y521" s="1078"/>
      <c r="Z521" s="1078"/>
      <c r="AA521" s="1078"/>
      <c r="AB521" s="371">
        <f t="shared" si="204"/>
        <v>350</v>
      </c>
    </row>
    <row r="522" spans="1:28" ht="15" customHeight="1" x14ac:dyDescent="0.25">
      <c r="A522" s="797"/>
      <c r="B522" s="1406"/>
      <c r="C522" s="1409"/>
      <c r="D522" s="2422" t="s">
        <v>2143</v>
      </c>
      <c r="E522" s="2417">
        <v>9</v>
      </c>
      <c r="F522" s="2418">
        <v>6</v>
      </c>
      <c r="G522" s="2419">
        <v>8</v>
      </c>
      <c r="H522" s="2424" t="s">
        <v>3190</v>
      </c>
      <c r="I522" s="2426" t="s">
        <v>2144</v>
      </c>
      <c r="J522" s="2413">
        <v>1</v>
      </c>
      <c r="K522" s="2429">
        <f>AB523</f>
        <v>1000</v>
      </c>
      <c r="L522" s="2431" t="s">
        <v>2134</v>
      </c>
      <c r="M522" s="1012" t="s">
        <v>51</v>
      </c>
      <c r="N522" s="328"/>
      <c r="O522" s="776"/>
      <c r="P522" s="1078"/>
      <c r="Q522" s="1078"/>
      <c r="R522" s="1078"/>
      <c r="S522" s="1078"/>
      <c r="T522" s="1078">
        <v>1</v>
      </c>
      <c r="U522" s="1078"/>
      <c r="V522" s="1078"/>
      <c r="W522" s="1078"/>
      <c r="X522" s="1078"/>
      <c r="Y522" s="1078"/>
      <c r="Z522" s="1078"/>
      <c r="AA522" s="1078"/>
      <c r="AB522" s="371">
        <f t="shared" si="204"/>
        <v>1</v>
      </c>
    </row>
    <row r="523" spans="1:28" ht="96.75" customHeight="1" x14ac:dyDescent="0.25">
      <c r="A523" s="797"/>
      <c r="B523" s="1406"/>
      <c r="C523" s="1409"/>
      <c r="D523" s="2422"/>
      <c r="E523" s="2417"/>
      <c r="F523" s="2418"/>
      <c r="G523" s="2423"/>
      <c r="H523" s="2425"/>
      <c r="I523" s="2427"/>
      <c r="J523" s="2428"/>
      <c r="K523" s="2430"/>
      <c r="L523" s="2432"/>
      <c r="M523" s="1152" t="s">
        <v>168</v>
      </c>
      <c r="N523" s="1389" t="s">
        <v>2088</v>
      </c>
      <c r="O523" s="1390" t="s">
        <v>1984</v>
      </c>
      <c r="P523" s="1084"/>
      <c r="Q523" s="1084"/>
      <c r="R523" s="1084"/>
      <c r="S523" s="1084"/>
      <c r="T523" s="1084">
        <v>1000</v>
      </c>
      <c r="U523" s="1084"/>
      <c r="V523" s="1084"/>
      <c r="W523" s="1084"/>
      <c r="X523" s="1084"/>
      <c r="Y523" s="1084"/>
      <c r="Z523" s="1084"/>
      <c r="AA523" s="1084"/>
      <c r="AB523" s="370">
        <f t="shared" si="204"/>
        <v>1000</v>
      </c>
    </row>
    <row r="524" spans="1:28" ht="15" customHeight="1" x14ac:dyDescent="0.25">
      <c r="A524" s="797"/>
      <c r="B524" s="1406"/>
      <c r="C524" s="1409"/>
      <c r="D524" s="2416" t="s">
        <v>3718</v>
      </c>
      <c r="E524" s="2417">
        <v>9</v>
      </c>
      <c r="F524" s="2418">
        <v>6</v>
      </c>
      <c r="G524" s="2419">
        <v>8</v>
      </c>
      <c r="H524" s="2417"/>
      <c r="I524" s="2420" t="s">
        <v>753</v>
      </c>
      <c r="J524" s="2413">
        <v>11</v>
      </c>
      <c r="K524" s="2414">
        <f>SUM(P525:AA525)</f>
        <v>554385</v>
      </c>
      <c r="L524" s="2421" t="s">
        <v>2051</v>
      </c>
      <c r="M524" s="1012" t="s">
        <v>51</v>
      </c>
      <c r="N524" s="913"/>
      <c r="O524" s="776"/>
      <c r="P524" s="1100">
        <v>11</v>
      </c>
      <c r="Q524" s="1100">
        <v>11</v>
      </c>
      <c r="R524" s="1100">
        <v>11</v>
      </c>
      <c r="S524" s="1100">
        <v>11</v>
      </c>
      <c r="T524" s="1100">
        <v>11</v>
      </c>
      <c r="U524" s="1100">
        <v>11</v>
      </c>
      <c r="V524" s="1100">
        <v>11</v>
      </c>
      <c r="W524" s="1100">
        <v>11</v>
      </c>
      <c r="X524" s="1100">
        <v>11</v>
      </c>
      <c r="Y524" s="1100">
        <v>11</v>
      </c>
      <c r="Z524" s="1100">
        <v>11</v>
      </c>
      <c r="AA524" s="1100">
        <v>11</v>
      </c>
      <c r="AB524" s="371">
        <f t="shared" si="204"/>
        <v>132</v>
      </c>
    </row>
    <row r="525" spans="1:28" ht="22.5" customHeight="1" x14ac:dyDescent="0.25">
      <c r="A525" s="797"/>
      <c r="B525" s="1406"/>
      <c r="C525" s="1409"/>
      <c r="D525" s="2416"/>
      <c r="E525" s="2417"/>
      <c r="F525" s="2418"/>
      <c r="G525" s="2419"/>
      <c r="H525" s="2417"/>
      <c r="I525" s="2420"/>
      <c r="J525" s="2413"/>
      <c r="K525" s="2415"/>
      <c r="L525" s="2421"/>
      <c r="M525" s="1012" t="s">
        <v>168</v>
      </c>
      <c r="N525" s="913" t="s">
        <v>2145</v>
      </c>
      <c r="O525" s="776" t="s">
        <v>2146</v>
      </c>
      <c r="P525" s="1100">
        <v>46198.75</v>
      </c>
      <c r="Q525" s="1100">
        <v>46198.75</v>
      </c>
      <c r="R525" s="1100">
        <v>46198.75</v>
      </c>
      <c r="S525" s="1100">
        <v>46198.75</v>
      </c>
      <c r="T525" s="1100">
        <v>46198.75</v>
      </c>
      <c r="U525" s="1100">
        <v>46198.75</v>
      </c>
      <c r="V525" s="1100">
        <v>46198.75</v>
      </c>
      <c r="W525" s="1100">
        <v>46198.75</v>
      </c>
      <c r="X525" s="1100">
        <v>46198.75</v>
      </c>
      <c r="Y525" s="1100">
        <v>46198.75</v>
      </c>
      <c r="Z525" s="1100">
        <v>46198.75</v>
      </c>
      <c r="AA525" s="1100">
        <v>46198.75</v>
      </c>
      <c r="AB525" s="371">
        <v>535659</v>
      </c>
    </row>
    <row r="526" spans="1:28" ht="15" customHeight="1" x14ac:dyDescent="0.25">
      <c r="A526" s="797"/>
      <c r="B526" s="1406"/>
      <c r="C526" s="1409"/>
      <c r="D526" s="2416" t="s">
        <v>3719</v>
      </c>
      <c r="E526" s="2417">
        <v>9</v>
      </c>
      <c r="F526" s="2418">
        <v>6</v>
      </c>
      <c r="G526" s="2419">
        <v>8</v>
      </c>
      <c r="H526" s="2417"/>
      <c r="I526" s="2420" t="s">
        <v>753</v>
      </c>
      <c r="J526" s="2413">
        <v>10</v>
      </c>
      <c r="K526" s="2414">
        <f>AB527</f>
        <v>120000</v>
      </c>
      <c r="L526" s="2421" t="s">
        <v>2051</v>
      </c>
      <c r="M526" s="1012" t="s">
        <v>51</v>
      </c>
      <c r="N526" s="913"/>
      <c r="O526" s="776"/>
      <c r="P526" s="1100">
        <v>6</v>
      </c>
      <c r="Q526" s="1100">
        <v>6</v>
      </c>
      <c r="R526" s="1100">
        <v>6</v>
      </c>
      <c r="S526" s="1100">
        <v>6</v>
      </c>
      <c r="T526" s="1100">
        <v>6</v>
      </c>
      <c r="U526" s="1100">
        <v>6</v>
      </c>
      <c r="V526" s="1100">
        <v>6</v>
      </c>
      <c r="W526" s="1100">
        <v>6</v>
      </c>
      <c r="X526" s="1100">
        <v>6</v>
      </c>
      <c r="Y526" s="1100">
        <v>6</v>
      </c>
      <c r="Z526" s="1100">
        <v>6</v>
      </c>
      <c r="AA526" s="1100">
        <v>6</v>
      </c>
      <c r="AB526" s="371">
        <f>SUM(P526:AA526)</f>
        <v>72</v>
      </c>
    </row>
    <row r="527" spans="1:28" ht="33" customHeight="1" x14ac:dyDescent="0.25">
      <c r="A527" s="797"/>
      <c r="B527" s="1406"/>
      <c r="C527" s="1409"/>
      <c r="D527" s="2416"/>
      <c r="E527" s="2417"/>
      <c r="F527" s="2418"/>
      <c r="G527" s="2419"/>
      <c r="H527" s="2417"/>
      <c r="I527" s="2420"/>
      <c r="J527" s="2413"/>
      <c r="K527" s="2415"/>
      <c r="L527" s="2421"/>
      <c r="M527" s="1012" t="s">
        <v>168</v>
      </c>
      <c r="N527" s="913" t="s">
        <v>2147</v>
      </c>
      <c r="O527" s="776" t="s">
        <v>1132</v>
      </c>
      <c r="P527" s="1100">
        <v>9700</v>
      </c>
      <c r="Q527" s="1100">
        <v>9700</v>
      </c>
      <c r="R527" s="1100">
        <v>9700</v>
      </c>
      <c r="S527" s="1100">
        <v>9700</v>
      </c>
      <c r="T527" s="1100">
        <v>9700</v>
      </c>
      <c r="U527" s="1100">
        <v>9700</v>
      </c>
      <c r="V527" s="1100">
        <f>9700+1800</f>
        <v>11500</v>
      </c>
      <c r="W527" s="1100">
        <v>9700</v>
      </c>
      <c r="X527" s="1100">
        <v>9700</v>
      </c>
      <c r="Y527" s="1100">
        <v>9700</v>
      </c>
      <c r="Z527" s="1100">
        <v>9700</v>
      </c>
      <c r="AA527" s="1100">
        <f>9700+1800</f>
        <v>11500</v>
      </c>
      <c r="AB527" s="371">
        <f>SUM(P527:AA527)</f>
        <v>120000</v>
      </c>
    </row>
    <row r="528" spans="1:28" ht="21.75" customHeight="1" x14ac:dyDescent="0.25">
      <c r="A528" s="797"/>
      <c r="B528" s="1406"/>
      <c r="C528" s="1409"/>
      <c r="D528" s="2416" t="s">
        <v>3720</v>
      </c>
      <c r="E528" s="2417">
        <v>9</v>
      </c>
      <c r="F528" s="2418">
        <v>6</v>
      </c>
      <c r="G528" s="2419">
        <v>8</v>
      </c>
      <c r="H528" s="2417"/>
      <c r="I528" s="2420" t="s">
        <v>753</v>
      </c>
      <c r="J528" s="2413">
        <v>10</v>
      </c>
      <c r="K528" s="2414">
        <f>AB529</f>
        <v>10476</v>
      </c>
      <c r="L528" s="2421" t="s">
        <v>2051</v>
      </c>
      <c r="M528" s="1504" t="s">
        <v>51</v>
      </c>
      <c r="N528" s="38"/>
      <c r="O528" s="1518"/>
      <c r="P528" s="1501">
        <v>6</v>
      </c>
      <c r="Q528" s="1501">
        <v>6</v>
      </c>
      <c r="R528" s="1501">
        <v>6</v>
      </c>
      <c r="S528" s="1501">
        <v>6</v>
      </c>
      <c r="T528" s="1501">
        <v>6</v>
      </c>
      <c r="U528" s="1501">
        <v>6</v>
      </c>
      <c r="V528" s="1501">
        <v>6</v>
      </c>
      <c r="W528" s="1501">
        <v>6</v>
      </c>
      <c r="X528" s="1501">
        <v>6</v>
      </c>
      <c r="Y528" s="1501">
        <v>6</v>
      </c>
      <c r="Z528" s="1501">
        <v>6</v>
      </c>
      <c r="AA528" s="1501">
        <v>6</v>
      </c>
      <c r="AB528" s="371">
        <f>SUM(P528:AA528)</f>
        <v>72</v>
      </c>
    </row>
    <row r="529" spans="1:28" ht="30" customHeight="1" x14ac:dyDescent="0.25">
      <c r="A529" s="797"/>
      <c r="B529" s="1407"/>
      <c r="C529" s="1410"/>
      <c r="D529" s="2416"/>
      <c r="E529" s="2417"/>
      <c r="F529" s="2418"/>
      <c r="G529" s="2419"/>
      <c r="H529" s="2417"/>
      <c r="I529" s="2420"/>
      <c r="J529" s="2413"/>
      <c r="K529" s="2415"/>
      <c r="L529" s="2421"/>
      <c r="M529" s="1504" t="s">
        <v>168</v>
      </c>
      <c r="N529" s="913" t="s">
        <v>2148</v>
      </c>
      <c r="O529" s="1518" t="s">
        <v>1100</v>
      </c>
      <c r="P529" s="1501">
        <v>873</v>
      </c>
      <c r="Q529" s="1501">
        <v>873</v>
      </c>
      <c r="R529" s="1501">
        <v>873</v>
      </c>
      <c r="S529" s="1501">
        <v>873</v>
      </c>
      <c r="T529" s="1501">
        <v>873</v>
      </c>
      <c r="U529" s="1501">
        <v>873</v>
      </c>
      <c r="V529" s="1501">
        <v>873</v>
      </c>
      <c r="W529" s="1501">
        <v>873</v>
      </c>
      <c r="X529" s="1501">
        <v>873</v>
      </c>
      <c r="Y529" s="1501">
        <v>873</v>
      </c>
      <c r="Z529" s="1501">
        <v>873</v>
      </c>
      <c r="AA529" s="1501">
        <v>873</v>
      </c>
      <c r="AB529" s="371">
        <f>SUM(P529:AA529)</f>
        <v>10476</v>
      </c>
    </row>
    <row r="530" spans="1:28" ht="11.25" customHeight="1" x14ac:dyDescent="0.25">
      <c r="A530" s="797"/>
      <c r="B530" s="1407"/>
      <c r="C530" s="2046"/>
      <c r="D530" s="2047"/>
      <c r="E530" s="2048"/>
      <c r="F530" s="2049"/>
      <c r="G530" s="2050"/>
      <c r="H530" s="2048"/>
      <c r="I530" s="2051"/>
      <c r="J530" s="2052"/>
      <c r="K530" s="2053"/>
      <c r="L530" s="2054"/>
      <c r="M530" s="2055"/>
      <c r="N530" s="2056"/>
      <c r="O530" s="2057"/>
      <c r="P530" s="2052"/>
      <c r="Q530" s="2052"/>
      <c r="R530" s="2052"/>
      <c r="S530" s="2052"/>
      <c r="T530" s="2052"/>
      <c r="U530" s="2052"/>
      <c r="V530" s="2052"/>
      <c r="W530" s="2052"/>
      <c r="X530" s="2052"/>
      <c r="Y530" s="2052"/>
      <c r="Z530" s="2052"/>
      <c r="AA530" s="2058"/>
      <c r="AB530" s="1799"/>
    </row>
    <row r="531" spans="1:28" ht="26.25" customHeight="1" x14ac:dyDescent="0.25">
      <c r="A531" s="797"/>
      <c r="B531" s="1505" t="s">
        <v>6</v>
      </c>
      <c r="C531" s="2549" t="s">
        <v>3102</v>
      </c>
      <c r="D531" s="2550"/>
      <c r="E531" s="2550"/>
      <c r="F531" s="2550"/>
      <c r="G531" s="2550"/>
      <c r="H531" s="2550"/>
      <c r="I531" s="2550"/>
      <c r="J531" s="2550"/>
      <c r="K531" s="2550"/>
      <c r="L531" s="2550"/>
      <c r="M531" s="2550"/>
      <c r="N531" s="2550"/>
      <c r="O531" s="2550"/>
      <c r="P531" s="2550"/>
      <c r="Q531" s="2550"/>
      <c r="R531" s="2550"/>
      <c r="S531" s="2550"/>
      <c r="T531" s="2550"/>
      <c r="U531" s="2550"/>
      <c r="V531" s="2550"/>
      <c r="W531" s="2550"/>
      <c r="X531" s="2550"/>
      <c r="Y531" s="2550"/>
      <c r="Z531" s="2550"/>
      <c r="AA531" s="2792"/>
      <c r="AB531" s="1698"/>
    </row>
    <row r="532" spans="1:28" ht="26.25" customHeight="1" x14ac:dyDescent="0.25">
      <c r="A532" s="797"/>
      <c r="B532" s="1021" t="s">
        <v>8</v>
      </c>
      <c r="C532" s="952" t="s">
        <v>2331</v>
      </c>
      <c r="D532" s="879"/>
      <c r="E532" s="879"/>
      <c r="F532" s="879"/>
      <c r="G532" s="879"/>
      <c r="H532" s="879"/>
      <c r="I532" s="879"/>
      <c r="J532" s="879"/>
      <c r="K532" s="879"/>
      <c r="L532" s="879"/>
      <c r="M532" s="879"/>
      <c r="N532" s="879"/>
      <c r="O532" s="879"/>
      <c r="P532" s="879"/>
      <c r="Q532" s="879"/>
      <c r="R532" s="879"/>
      <c r="S532" s="879"/>
      <c r="T532" s="879"/>
      <c r="U532" s="879"/>
      <c r="V532" s="879"/>
      <c r="W532" s="880"/>
      <c r="X532" s="880"/>
      <c r="Y532" s="880"/>
      <c r="Z532" s="880"/>
      <c r="AA532" s="881"/>
      <c r="AB532" s="1698"/>
    </row>
    <row r="533" spans="1:28" ht="25.5" x14ac:dyDescent="0.25">
      <c r="A533" s="797"/>
      <c r="B533" s="1022" t="s">
        <v>11</v>
      </c>
      <c r="C533" s="846" t="s">
        <v>12</v>
      </c>
      <c r="D533" s="846"/>
      <c r="E533" s="846"/>
      <c r="F533" s="846"/>
      <c r="G533" s="843"/>
      <c r="H533" s="844"/>
      <c r="I533" s="844"/>
      <c r="J533" s="844"/>
      <c r="K533" s="844"/>
      <c r="L533" s="844"/>
      <c r="M533" s="844"/>
      <c r="N533" s="844"/>
      <c r="O533" s="844"/>
      <c r="P533" s="844"/>
      <c r="Q533" s="900"/>
      <c r="R533" s="900"/>
      <c r="S533" s="900"/>
      <c r="T533" s="900"/>
      <c r="U533" s="900"/>
      <c r="V533" s="900"/>
      <c r="W533" s="900"/>
      <c r="X533" s="900"/>
      <c r="Y533" s="900"/>
      <c r="Z533" s="844"/>
      <c r="AA533" s="845"/>
      <c r="AB533" s="1698"/>
    </row>
    <row r="534" spans="1:28" ht="15" customHeight="1" x14ac:dyDescent="0.25">
      <c r="A534" s="797"/>
      <c r="B534" s="2543" t="s">
        <v>13</v>
      </c>
      <c r="C534" s="2545">
        <v>9001</v>
      </c>
      <c r="D534" s="2547" t="s">
        <v>2332</v>
      </c>
      <c r="E534" s="2548"/>
      <c r="F534" s="2548"/>
      <c r="G534" s="2548"/>
      <c r="H534" s="2548"/>
      <c r="I534" s="2548"/>
      <c r="J534" s="2548"/>
      <c r="K534" s="2548"/>
      <c r="L534" s="2548"/>
      <c r="M534" s="1015"/>
      <c r="N534" s="1015"/>
      <c r="O534" s="1015"/>
      <c r="P534" s="1015"/>
      <c r="Q534" s="901"/>
      <c r="R534" s="901"/>
      <c r="S534" s="901"/>
      <c r="T534" s="901"/>
      <c r="U534" s="902"/>
      <c r="V534" s="2685" t="s">
        <v>15</v>
      </c>
      <c r="W534" s="2685"/>
      <c r="X534" s="2685"/>
      <c r="Y534" s="2685"/>
      <c r="Z534" s="2601" t="s">
        <v>16</v>
      </c>
      <c r="AA534" s="2685"/>
      <c r="AB534" s="1698"/>
    </row>
    <row r="535" spans="1:28" x14ac:dyDescent="0.25">
      <c r="A535" s="797"/>
      <c r="B535" s="2544"/>
      <c r="C535" s="2546"/>
      <c r="D535" s="2549"/>
      <c r="E535" s="2550"/>
      <c r="F535" s="2550"/>
      <c r="G535" s="2550"/>
      <c r="H535" s="2550"/>
      <c r="I535" s="2550"/>
      <c r="J535" s="2550"/>
      <c r="K535" s="2550"/>
      <c r="L535" s="2550"/>
      <c r="M535" s="1016"/>
      <c r="N535" s="1016"/>
      <c r="O535" s="1016"/>
      <c r="P535" s="1016"/>
      <c r="Q535" s="903"/>
      <c r="R535" s="903"/>
      <c r="S535" s="903"/>
      <c r="T535" s="903"/>
      <c r="U535" s="904"/>
      <c r="V535" s="2599"/>
      <c r="W535" s="2600"/>
      <c r="X535" s="2600"/>
      <c r="Y535" s="2601"/>
      <c r="Z535" s="2599"/>
      <c r="AA535" s="2601"/>
      <c r="AB535" s="1698"/>
    </row>
    <row r="536" spans="1:28" ht="11.25" customHeight="1" x14ac:dyDescent="0.25">
      <c r="A536" s="797"/>
      <c r="B536" s="2583" t="s">
        <v>18</v>
      </c>
      <c r="C536" s="2895">
        <v>3999999</v>
      </c>
      <c r="D536" s="2896" t="s">
        <v>163</v>
      </c>
      <c r="E536" s="2897"/>
      <c r="F536" s="2897"/>
      <c r="G536" s="2897"/>
      <c r="H536" s="2897"/>
      <c r="I536" s="2897"/>
      <c r="J536" s="2897"/>
      <c r="K536" s="2897"/>
      <c r="L536" s="2897"/>
      <c r="M536" s="2897"/>
      <c r="N536" s="2897"/>
      <c r="O536" s="2897"/>
      <c r="P536" s="2897"/>
      <c r="Q536" s="801"/>
      <c r="R536" s="801"/>
      <c r="S536" s="801"/>
      <c r="T536" s="801"/>
      <c r="U536" s="801"/>
      <c r="V536" s="2685" t="s">
        <v>15</v>
      </c>
      <c r="W536" s="2685"/>
      <c r="X536" s="2685"/>
      <c r="Y536" s="2685"/>
      <c r="Z536" s="2601" t="s">
        <v>16</v>
      </c>
      <c r="AA536" s="2685"/>
      <c r="AB536" s="1698"/>
    </row>
    <row r="537" spans="1:28" ht="9.75" customHeight="1" x14ac:dyDescent="0.25">
      <c r="A537" s="797"/>
      <c r="B537" s="2583"/>
      <c r="C537" s="2895"/>
      <c r="D537" s="2898"/>
      <c r="E537" s="2899"/>
      <c r="F537" s="2899"/>
      <c r="G537" s="2899"/>
      <c r="H537" s="2899"/>
      <c r="I537" s="2899"/>
      <c r="J537" s="2899"/>
      <c r="K537" s="2899"/>
      <c r="L537" s="2899"/>
      <c r="M537" s="2899"/>
      <c r="N537" s="2899"/>
      <c r="O537" s="2899"/>
      <c r="P537" s="2899"/>
      <c r="Q537" s="789"/>
      <c r="R537" s="789"/>
      <c r="S537" s="789"/>
      <c r="T537" s="789"/>
      <c r="U537" s="791"/>
      <c r="V537" s="2680"/>
      <c r="W537" s="2680"/>
      <c r="X537" s="2680"/>
      <c r="Y537" s="2680"/>
      <c r="Z537" s="2601"/>
      <c r="AA537" s="2685"/>
      <c r="AB537" s="1698"/>
    </row>
    <row r="538" spans="1:28" x14ac:dyDescent="0.25">
      <c r="A538" s="797"/>
      <c r="B538" s="2651" t="s">
        <v>20</v>
      </c>
      <c r="C538" s="2616" t="s">
        <v>21</v>
      </c>
      <c r="D538" s="2616" t="s">
        <v>22</v>
      </c>
      <c r="E538" s="2616" t="s">
        <v>23</v>
      </c>
      <c r="F538" s="2616" t="s">
        <v>164</v>
      </c>
      <c r="G538" s="2616" t="s">
        <v>25</v>
      </c>
      <c r="H538" s="2616" t="s">
        <v>26</v>
      </c>
      <c r="I538" s="2616" t="s">
        <v>27</v>
      </c>
      <c r="J538" s="2616" t="s">
        <v>28</v>
      </c>
      <c r="K538" s="2616"/>
      <c r="L538" s="2616" t="s">
        <v>29</v>
      </c>
      <c r="M538" s="2408" t="s">
        <v>30</v>
      </c>
      <c r="N538" s="2409"/>
      <c r="O538" s="2906" t="s">
        <v>31</v>
      </c>
      <c r="P538" s="2907"/>
      <c r="Q538" s="2908"/>
      <c r="R538" s="2908"/>
      <c r="S538" s="2908"/>
      <c r="T538" s="2908"/>
      <c r="U538" s="2908"/>
      <c r="V538" s="2908"/>
      <c r="W538" s="2908"/>
      <c r="X538" s="2908"/>
      <c r="Y538" s="2908"/>
      <c r="Z538" s="2909"/>
      <c r="AA538" s="2910" t="s">
        <v>32</v>
      </c>
      <c r="AB538" s="1698"/>
    </row>
    <row r="539" spans="1:28" ht="28.5" customHeight="1" x14ac:dyDescent="0.25">
      <c r="A539" s="797"/>
      <c r="B539" s="2651"/>
      <c r="C539" s="2616"/>
      <c r="D539" s="2616"/>
      <c r="E539" s="2616"/>
      <c r="F539" s="2616"/>
      <c r="G539" s="2616"/>
      <c r="H539" s="2616"/>
      <c r="I539" s="2616"/>
      <c r="J539" s="1005" t="s">
        <v>33</v>
      </c>
      <c r="K539" s="1005" t="s">
        <v>34</v>
      </c>
      <c r="L539" s="2616"/>
      <c r="M539" s="2410"/>
      <c r="N539" s="2411"/>
      <c r="O539" s="1006" t="s">
        <v>35</v>
      </c>
      <c r="P539" s="1006" t="s">
        <v>36</v>
      </c>
      <c r="Q539" s="1006" t="s">
        <v>37</v>
      </c>
      <c r="R539" s="1006" t="s">
        <v>38</v>
      </c>
      <c r="S539" s="1006" t="s">
        <v>39</v>
      </c>
      <c r="T539" s="1006" t="s">
        <v>40</v>
      </c>
      <c r="U539" s="1006" t="s">
        <v>41</v>
      </c>
      <c r="V539" s="1006" t="s">
        <v>42</v>
      </c>
      <c r="W539" s="1006" t="s">
        <v>43</v>
      </c>
      <c r="X539" s="1006" t="s">
        <v>44</v>
      </c>
      <c r="Y539" s="1006" t="s">
        <v>45</v>
      </c>
      <c r="Z539" s="1006" t="s">
        <v>46</v>
      </c>
      <c r="AA539" s="2910"/>
      <c r="AB539" s="1698"/>
    </row>
    <row r="540" spans="1:28" ht="90" customHeight="1" x14ac:dyDescent="0.25">
      <c r="A540" s="797"/>
      <c r="B540" s="1408">
        <v>5000003</v>
      </c>
      <c r="C540" s="1024" t="s">
        <v>1085</v>
      </c>
      <c r="D540" s="1161" t="s">
        <v>3182</v>
      </c>
      <c r="E540" s="951">
        <v>11</v>
      </c>
      <c r="F540" s="1162" t="s">
        <v>165</v>
      </c>
      <c r="G540" s="1162" t="s">
        <v>166</v>
      </c>
      <c r="H540" s="951" t="s">
        <v>235</v>
      </c>
      <c r="I540" s="951" t="s">
        <v>235</v>
      </c>
      <c r="J540" s="1024">
        <v>828</v>
      </c>
      <c r="K540" s="793">
        <v>777757</v>
      </c>
      <c r="L540" s="1024" t="s">
        <v>2334</v>
      </c>
      <c r="M540" s="2647" t="s">
        <v>51</v>
      </c>
      <c r="N540" s="2648"/>
      <c r="O540" s="847">
        <v>51</v>
      </c>
      <c r="P540" s="847">
        <v>59</v>
      </c>
      <c r="Q540" s="847">
        <v>67</v>
      </c>
      <c r="R540" s="847">
        <v>73</v>
      </c>
      <c r="S540" s="847">
        <v>70</v>
      </c>
      <c r="T540" s="847">
        <v>75</v>
      </c>
      <c r="U540" s="847">
        <v>75</v>
      </c>
      <c r="V540" s="847">
        <v>82</v>
      </c>
      <c r="W540" s="847">
        <v>76</v>
      </c>
      <c r="X540" s="847">
        <v>73</v>
      </c>
      <c r="Y540" s="847">
        <v>69</v>
      </c>
      <c r="Z540" s="847">
        <v>58</v>
      </c>
      <c r="AA540" s="878">
        <f t="shared" ref="AA540:AA577" si="205">SUM(O540:Z540)</f>
        <v>828</v>
      </c>
      <c r="AB540" s="1698"/>
    </row>
    <row r="541" spans="1:28" ht="27.75" customHeight="1" x14ac:dyDescent="0.25">
      <c r="A541" s="797"/>
      <c r="B541" s="953"/>
      <c r="C541" s="1025"/>
      <c r="D541" s="2551" t="s">
        <v>2333</v>
      </c>
      <c r="E541" s="2554">
        <v>11</v>
      </c>
      <c r="F541" s="2557" t="s">
        <v>165</v>
      </c>
      <c r="G541" s="2560" t="s">
        <v>2980</v>
      </c>
      <c r="H541" s="2563" t="s">
        <v>235</v>
      </c>
      <c r="I541" s="2563" t="s">
        <v>3179</v>
      </c>
      <c r="J541" s="2566">
        <f>AA540</f>
        <v>828</v>
      </c>
      <c r="K541" s="2566">
        <f>AA541</f>
        <v>777757.0512497375</v>
      </c>
      <c r="L541" s="2563" t="s">
        <v>2334</v>
      </c>
      <c r="M541" s="2647" t="s">
        <v>1340</v>
      </c>
      <c r="N541" s="2648"/>
      <c r="O541" s="847">
        <f>SUM(O542:O577)</f>
        <v>55368.565217391297</v>
      </c>
      <c r="P541" s="847">
        <f>SUM(P542:P577)</f>
        <v>55923.349033816427</v>
      </c>
      <c r="Q541" s="847">
        <f t="shared" ref="Q541:Z541" si="206">SUM(Q542:Q577)</f>
        <v>63371.8109115732</v>
      </c>
      <c r="R541" s="847">
        <f t="shared" si="206"/>
        <v>57729.955314009661</v>
      </c>
      <c r="S541" s="847">
        <f t="shared" si="206"/>
        <v>58310.065217391297</v>
      </c>
      <c r="T541" s="847">
        <f t="shared" si="206"/>
        <v>60047.561594202896</v>
      </c>
      <c r="U541" s="847">
        <f t="shared" si="206"/>
        <v>60379.141304347824</v>
      </c>
      <c r="V541" s="847">
        <f t="shared" si="206"/>
        <v>69736.292270531398</v>
      </c>
      <c r="W541" s="847">
        <f t="shared" si="206"/>
        <v>64620.734299516902</v>
      </c>
      <c r="X541" s="847">
        <f t="shared" si="206"/>
        <v>61065.243961352659</v>
      </c>
      <c r="Y541" s="847">
        <f t="shared" si="206"/>
        <v>68901.583333333328</v>
      </c>
      <c r="Z541" s="847">
        <f t="shared" si="206"/>
        <v>102302.74879227052</v>
      </c>
      <c r="AA541" s="17">
        <f>SUM(O541:Z541)</f>
        <v>777757.0512497375</v>
      </c>
      <c r="AB541" s="1698"/>
    </row>
    <row r="542" spans="1:28" ht="45" x14ac:dyDescent="0.25">
      <c r="A542" s="797"/>
      <c r="B542" s="1159"/>
      <c r="C542" s="1026"/>
      <c r="D542" s="2552"/>
      <c r="E542" s="2555"/>
      <c r="F542" s="2558"/>
      <c r="G542" s="2561"/>
      <c r="H542" s="2564"/>
      <c r="I542" s="2564"/>
      <c r="J542" s="2567"/>
      <c r="K542" s="2567"/>
      <c r="L542" s="2564"/>
      <c r="M542" s="1011" t="s">
        <v>178</v>
      </c>
      <c r="N542" s="1011" t="s">
        <v>2335</v>
      </c>
      <c r="O542" s="1023">
        <v>585.14492753623188</v>
      </c>
      <c r="P542" s="1023">
        <v>676.93236714975842</v>
      </c>
      <c r="Q542" s="1023">
        <v>768.71980676328508</v>
      </c>
      <c r="R542" s="1023">
        <v>837.56038647342996</v>
      </c>
      <c r="S542" s="1023">
        <v>803.14009661835746</v>
      </c>
      <c r="T542" s="1023">
        <v>860.50724637681162</v>
      </c>
      <c r="U542" s="1023">
        <v>860.50724637681162</v>
      </c>
      <c r="V542" s="1023">
        <v>940.82125603864733</v>
      </c>
      <c r="W542" s="1023">
        <v>871.98067632850245</v>
      </c>
      <c r="X542" s="1023">
        <v>837.56038647342996</v>
      </c>
      <c r="Y542" s="1023">
        <v>791.66666666666674</v>
      </c>
      <c r="Z542" s="1023">
        <v>665.4589371980677</v>
      </c>
      <c r="AA542" s="885">
        <f t="shared" si="205"/>
        <v>9500</v>
      </c>
      <c r="AB542" s="1698"/>
    </row>
    <row r="543" spans="1:28" ht="33.75" x14ac:dyDescent="0.25">
      <c r="A543" s="797"/>
      <c r="B543" s="1159"/>
      <c r="C543" s="1026"/>
      <c r="D543" s="2552"/>
      <c r="E543" s="2555"/>
      <c r="F543" s="2558"/>
      <c r="G543" s="2561"/>
      <c r="H543" s="2564"/>
      <c r="I543" s="2564"/>
      <c r="J543" s="2567"/>
      <c r="K543" s="2567"/>
      <c r="L543" s="2564"/>
      <c r="M543" s="1011" t="s">
        <v>194</v>
      </c>
      <c r="N543" s="1011" t="s">
        <v>2336</v>
      </c>
      <c r="O543" s="1023">
        <v>3144</v>
      </c>
      <c r="P543" s="1023">
        <v>2262.3792270531399</v>
      </c>
      <c r="Q543" s="1023">
        <v>5968</v>
      </c>
      <c r="R543" s="1023">
        <v>2799.2149758454107</v>
      </c>
      <c r="S543" s="1023">
        <v>2684.1787439613527</v>
      </c>
      <c r="T543" s="1023">
        <v>2875.905797101449</v>
      </c>
      <c r="U543" s="1023">
        <v>2875.905797101449</v>
      </c>
      <c r="V543" s="1023">
        <v>3144.3236714975847</v>
      </c>
      <c r="W543" s="1023">
        <v>2914.2512077294687</v>
      </c>
      <c r="X543" s="1023">
        <v>2799.2149758454107</v>
      </c>
      <c r="Y543" s="1023">
        <v>2645.8333333333335</v>
      </c>
      <c r="Z543" s="1023">
        <v>2224.0338164251207</v>
      </c>
      <c r="AA543" s="885">
        <f t="shared" si="205"/>
        <v>36337.241545893718</v>
      </c>
      <c r="AB543" s="1698"/>
    </row>
    <row r="544" spans="1:28" ht="46.5" customHeight="1" x14ac:dyDescent="0.25">
      <c r="A544" s="797"/>
      <c r="B544" s="1159"/>
      <c r="C544" s="1026"/>
      <c r="D544" s="2552"/>
      <c r="E544" s="2555"/>
      <c r="F544" s="2558"/>
      <c r="G544" s="2561"/>
      <c r="H544" s="2564"/>
      <c r="I544" s="2564"/>
      <c r="J544" s="2567"/>
      <c r="K544" s="2567"/>
      <c r="L544" s="2564"/>
      <c r="M544" s="1099" t="s">
        <v>194</v>
      </c>
      <c r="N544" s="1011" t="s">
        <v>2337</v>
      </c>
      <c r="O544" s="1023">
        <v>7504</v>
      </c>
      <c r="P544" s="1023">
        <v>6606.8599033816427</v>
      </c>
      <c r="Q544" s="1023">
        <v>7502.7053140096614</v>
      </c>
      <c r="R544" s="1023">
        <v>8174.5893719806763</v>
      </c>
      <c r="S544" s="1023">
        <v>7838.6473429951684</v>
      </c>
      <c r="T544" s="1023">
        <v>8398.5507246376801</v>
      </c>
      <c r="U544" s="1023">
        <v>8398.5507246376801</v>
      </c>
      <c r="V544" s="1023">
        <v>9182.4154589371974</v>
      </c>
      <c r="W544" s="1023">
        <v>8510.5314009661834</v>
      </c>
      <c r="X544" s="1023">
        <v>8174.5893719806763</v>
      </c>
      <c r="Y544" s="1023">
        <v>7726.6666666666661</v>
      </c>
      <c r="Z544" s="1023">
        <v>8758</v>
      </c>
      <c r="AA544" s="885">
        <f t="shared" si="205"/>
        <v>96776.106280193242</v>
      </c>
      <c r="AB544" s="1698"/>
    </row>
    <row r="545" spans="1:28" ht="25.5" customHeight="1" x14ac:dyDescent="0.25">
      <c r="A545" s="797"/>
      <c r="B545" s="1159"/>
      <c r="C545" s="1026"/>
      <c r="D545" s="2552"/>
      <c r="E545" s="2555"/>
      <c r="F545" s="2558"/>
      <c r="G545" s="2561"/>
      <c r="H545" s="2564"/>
      <c r="I545" s="2564"/>
      <c r="J545" s="2567"/>
      <c r="K545" s="2567"/>
      <c r="L545" s="2564"/>
      <c r="M545" s="1011" t="s">
        <v>184</v>
      </c>
      <c r="N545" s="882" t="s">
        <v>2338</v>
      </c>
      <c r="O545" s="1023">
        <v>534</v>
      </c>
      <c r="P545" s="1023">
        <v>472.64130434782606</v>
      </c>
      <c r="Q545" s="1023">
        <v>536.72826086956513</v>
      </c>
      <c r="R545" s="1023">
        <v>584.79347826086951</v>
      </c>
      <c r="S545" s="1023">
        <v>560.76086956521738</v>
      </c>
      <c r="T545" s="1023">
        <v>600.81521739130426</v>
      </c>
      <c r="U545" s="1023">
        <v>600.81521739130426</v>
      </c>
      <c r="V545" s="1023">
        <v>656.89130434782601</v>
      </c>
      <c r="W545" s="1023">
        <v>608.82608695652175</v>
      </c>
      <c r="X545" s="1023">
        <v>610</v>
      </c>
      <c r="Y545" s="1023">
        <v>552.75</v>
      </c>
      <c r="Z545" s="1023">
        <v>569</v>
      </c>
      <c r="AA545" s="885">
        <f t="shared" si="205"/>
        <v>6888.0217391304341</v>
      </c>
      <c r="AB545" s="1698"/>
    </row>
    <row r="546" spans="1:28" ht="27.75" customHeight="1" x14ac:dyDescent="0.25">
      <c r="A546" s="797"/>
      <c r="B546" s="1159"/>
      <c r="C546" s="1026"/>
      <c r="D546" s="2552"/>
      <c r="E546" s="2555"/>
      <c r="F546" s="2558"/>
      <c r="G546" s="2561"/>
      <c r="H546" s="2564"/>
      <c r="I546" s="2564"/>
      <c r="J546" s="2567"/>
      <c r="K546" s="2567"/>
      <c r="L546" s="2564"/>
      <c r="M546" s="899" t="s">
        <v>2339</v>
      </c>
      <c r="N546" s="882" t="s">
        <v>183</v>
      </c>
      <c r="O546" s="1023">
        <v>212.50000000000003</v>
      </c>
      <c r="P546" s="1023">
        <v>245.83333333333334</v>
      </c>
      <c r="Q546" s="1023">
        <v>279.16666666666669</v>
      </c>
      <c r="R546" s="1023">
        <v>304.16666666666669</v>
      </c>
      <c r="S546" s="1023">
        <v>291.66666666666669</v>
      </c>
      <c r="T546" s="1023">
        <v>312.5</v>
      </c>
      <c r="U546" s="1023">
        <v>312.5</v>
      </c>
      <c r="V546" s="1023">
        <v>341.66666666666669</v>
      </c>
      <c r="W546" s="1023">
        <v>316.66666666666669</v>
      </c>
      <c r="X546" s="1023">
        <v>304.16666666666669</v>
      </c>
      <c r="Y546" s="1023">
        <v>287.5</v>
      </c>
      <c r="Z546" s="1023">
        <v>241.66666666666669</v>
      </c>
      <c r="AA546" s="885">
        <f t="shared" si="205"/>
        <v>3449.9999999999995</v>
      </c>
      <c r="AB546" s="1698"/>
    </row>
    <row r="547" spans="1:28" ht="25.5" customHeight="1" x14ac:dyDescent="0.25">
      <c r="A547" s="797"/>
      <c r="B547" s="1159"/>
      <c r="C547" s="1026"/>
      <c r="D547" s="2552"/>
      <c r="E547" s="2555"/>
      <c r="F547" s="2558"/>
      <c r="G547" s="2561"/>
      <c r="H547" s="2564"/>
      <c r="I547" s="2564"/>
      <c r="J547" s="2567"/>
      <c r="K547" s="2567"/>
      <c r="L547" s="2564"/>
      <c r="M547" s="1011" t="s">
        <v>2340</v>
      </c>
      <c r="N547" s="882" t="s">
        <v>1463</v>
      </c>
      <c r="O547" s="1023">
        <v>532.78985507246375</v>
      </c>
      <c r="P547" s="1023">
        <v>616.36473429951695</v>
      </c>
      <c r="Q547" s="1023">
        <v>699.93961352657004</v>
      </c>
      <c r="R547" s="1023">
        <v>762.62077294685992</v>
      </c>
      <c r="S547" s="1023">
        <v>731.28019323671504</v>
      </c>
      <c r="T547" s="1023">
        <v>783.51449275362324</v>
      </c>
      <c r="U547" s="1023">
        <v>783.51449275362324</v>
      </c>
      <c r="V547" s="1023">
        <v>856.64251207729478</v>
      </c>
      <c r="W547" s="1023">
        <v>793.96135265700491</v>
      </c>
      <c r="X547" s="1023">
        <v>762.62077294685992</v>
      </c>
      <c r="Y547" s="1023">
        <v>720.83333333333337</v>
      </c>
      <c r="Z547" s="1023">
        <v>605.91787439613529</v>
      </c>
      <c r="AA547" s="885">
        <f t="shared" si="205"/>
        <v>8650</v>
      </c>
      <c r="AB547" s="1698"/>
    </row>
    <row r="548" spans="1:28" ht="22.5" x14ac:dyDescent="0.25">
      <c r="A548" s="797"/>
      <c r="B548" s="1159"/>
      <c r="C548" s="1026"/>
      <c r="D548" s="2552"/>
      <c r="E548" s="2555"/>
      <c r="F548" s="2558"/>
      <c r="G548" s="2561"/>
      <c r="H548" s="2564"/>
      <c r="I548" s="2564"/>
      <c r="J548" s="2567"/>
      <c r="K548" s="2567"/>
      <c r="L548" s="2564"/>
      <c r="M548" s="1011" t="s">
        <v>2341</v>
      </c>
      <c r="N548" s="882" t="s">
        <v>2342</v>
      </c>
      <c r="O548" s="1023">
        <v>152</v>
      </c>
      <c r="P548" s="1023">
        <v>168</v>
      </c>
      <c r="Q548" s="1023">
        <v>123</v>
      </c>
      <c r="R548" s="1023">
        <v>154</v>
      </c>
      <c r="S548" s="1023">
        <v>120</v>
      </c>
      <c r="T548" s="1023">
        <v>135</v>
      </c>
      <c r="U548" s="1023">
        <v>189</v>
      </c>
      <c r="V548" s="1023">
        <v>254</v>
      </c>
      <c r="W548" s="1023">
        <v>896</v>
      </c>
      <c r="X548" s="1023">
        <v>44.082125603864739</v>
      </c>
      <c r="Y548" s="1023">
        <v>41.666666666666671</v>
      </c>
      <c r="Z548" s="1023">
        <v>35.024154589371982</v>
      </c>
      <c r="AA548" s="885">
        <f t="shared" si="205"/>
        <v>2311.7729468599032</v>
      </c>
      <c r="AB548" s="1698"/>
    </row>
    <row r="549" spans="1:28" x14ac:dyDescent="0.25">
      <c r="A549" s="797"/>
      <c r="B549" s="1159"/>
      <c r="C549" s="1026"/>
      <c r="D549" s="2552"/>
      <c r="E549" s="2555"/>
      <c r="F549" s="2558"/>
      <c r="G549" s="2561"/>
      <c r="H549" s="2564"/>
      <c r="I549" s="2564"/>
      <c r="J549" s="2567"/>
      <c r="K549" s="2567"/>
      <c r="L549" s="2564"/>
      <c r="M549" s="1011" t="s">
        <v>190</v>
      </c>
      <c r="N549" s="1011" t="s">
        <v>2065</v>
      </c>
      <c r="O549" s="1023">
        <v>1120</v>
      </c>
      <c r="P549" s="1023">
        <v>1596</v>
      </c>
      <c r="Q549" s="1023">
        <v>1986</v>
      </c>
      <c r="R549" s="1023">
        <v>986</v>
      </c>
      <c r="S549" s="1023">
        <v>895</v>
      </c>
      <c r="T549" s="1023">
        <v>957</v>
      </c>
      <c r="U549" s="1023">
        <v>875</v>
      </c>
      <c r="V549" s="1023">
        <v>1548</v>
      </c>
      <c r="W549" s="1023">
        <v>2120</v>
      </c>
      <c r="X549" s="1023">
        <v>2985</v>
      </c>
      <c r="Y549" s="1023">
        <v>4595</v>
      </c>
      <c r="Z549" s="1023">
        <v>5987</v>
      </c>
      <c r="AA549" s="885">
        <f t="shared" si="205"/>
        <v>25650</v>
      </c>
      <c r="AB549" s="1698"/>
    </row>
    <row r="550" spans="1:28" ht="36.75" customHeight="1" x14ac:dyDescent="0.25">
      <c r="A550" s="797"/>
      <c r="B550" s="1159"/>
      <c r="C550" s="1026"/>
      <c r="D550" s="2552"/>
      <c r="E550" s="2555"/>
      <c r="F550" s="2558"/>
      <c r="G550" s="2561"/>
      <c r="H550" s="2564"/>
      <c r="I550" s="2564"/>
      <c r="J550" s="2567"/>
      <c r="K550" s="2567"/>
      <c r="L550" s="2564"/>
      <c r="M550" s="1099" t="s">
        <v>1747</v>
      </c>
      <c r="N550" s="883" t="s">
        <v>2343</v>
      </c>
      <c r="O550" s="1023">
        <v>2956.521739130435</v>
      </c>
      <c r="P550" s="1023">
        <v>3420.289855072464</v>
      </c>
      <c r="Q550" s="1023">
        <v>3884.057971014493</v>
      </c>
      <c r="R550" s="1023">
        <v>4231.884057971015</v>
      </c>
      <c r="S550" s="1023">
        <v>4057.971014492754</v>
      </c>
      <c r="T550" s="1023">
        <v>4347.826086956522</v>
      </c>
      <c r="U550" s="1023">
        <v>4347.826086956522</v>
      </c>
      <c r="V550" s="1023">
        <v>4753.623188405797</v>
      </c>
      <c r="W550" s="1023">
        <v>4405.7971014492759</v>
      </c>
      <c r="X550" s="1023">
        <v>4231.884057971015</v>
      </c>
      <c r="Y550" s="1023">
        <v>4000</v>
      </c>
      <c r="Z550" s="1023">
        <v>3362.31884057971</v>
      </c>
      <c r="AA550" s="885">
        <f t="shared" si="205"/>
        <v>48000</v>
      </c>
      <c r="AB550" s="699"/>
    </row>
    <row r="551" spans="1:28" ht="22.5" x14ac:dyDescent="0.25">
      <c r="A551" s="797"/>
      <c r="B551" s="1159"/>
      <c r="C551" s="1026"/>
      <c r="D551" s="2552"/>
      <c r="E551" s="2555"/>
      <c r="F551" s="2558"/>
      <c r="G551" s="2561"/>
      <c r="H551" s="2564"/>
      <c r="I551" s="2564"/>
      <c r="J551" s="2567"/>
      <c r="K551" s="2567"/>
      <c r="L551" s="2564"/>
      <c r="M551" s="1099" t="s">
        <v>2344</v>
      </c>
      <c r="N551" s="883" t="s">
        <v>2345</v>
      </c>
      <c r="O551" s="1023">
        <v>822</v>
      </c>
      <c r="P551" s="1023">
        <v>752</v>
      </c>
      <c r="Q551" s="1023">
        <v>825</v>
      </c>
      <c r="R551" s="1023">
        <v>731.76328502415458</v>
      </c>
      <c r="S551" s="1023">
        <v>701.69082125603859</v>
      </c>
      <c r="T551" s="1023">
        <v>751.8115942028985</v>
      </c>
      <c r="U551" s="1023">
        <v>751.8115942028985</v>
      </c>
      <c r="V551" s="1023">
        <v>821.98067632850234</v>
      </c>
      <c r="W551" s="1023">
        <v>761.83574879227046</v>
      </c>
      <c r="X551" s="1023">
        <v>731.76328502415458</v>
      </c>
      <c r="Y551" s="1023">
        <v>691.66666666666663</v>
      </c>
      <c r="Z551" s="1023">
        <v>581.40096618357484</v>
      </c>
      <c r="AA551" s="885">
        <f t="shared" si="205"/>
        <v>8924.7246376811581</v>
      </c>
      <c r="AB551" s="699"/>
    </row>
    <row r="552" spans="1:28" ht="33.75" x14ac:dyDescent="0.25">
      <c r="A552" s="797"/>
      <c r="B552" s="1159"/>
      <c r="C552" s="1026"/>
      <c r="D552" s="2552"/>
      <c r="E552" s="2555"/>
      <c r="F552" s="2558"/>
      <c r="G552" s="2561"/>
      <c r="H552" s="2564"/>
      <c r="I552" s="2564"/>
      <c r="J552" s="2567"/>
      <c r="K552" s="2567"/>
      <c r="L552" s="2564"/>
      <c r="M552" s="1099" t="s">
        <v>1799</v>
      </c>
      <c r="N552" s="1099" t="s">
        <v>3107</v>
      </c>
      <c r="O552" s="1023">
        <v>15.398550724637682</v>
      </c>
      <c r="P552" s="1023">
        <v>17.814009661835748</v>
      </c>
      <c r="Q552" s="1023">
        <v>20.229468599033815</v>
      </c>
      <c r="R552" s="1023">
        <v>22.04106280193237</v>
      </c>
      <c r="S552" s="1023">
        <v>21.135265700483092</v>
      </c>
      <c r="T552" s="1023">
        <v>22.644927536231883</v>
      </c>
      <c r="U552" s="1023">
        <v>22.644927536231883</v>
      </c>
      <c r="V552" s="1023">
        <v>24.758454106280194</v>
      </c>
      <c r="W552" s="1023">
        <v>22.946859903381643</v>
      </c>
      <c r="X552" s="1023">
        <v>22.04106280193237</v>
      </c>
      <c r="Y552" s="1023">
        <v>20.833333333333336</v>
      </c>
      <c r="Z552" s="1023">
        <v>17.512077294685991</v>
      </c>
      <c r="AA552" s="885">
        <f t="shared" si="205"/>
        <v>249.99999999999997</v>
      </c>
      <c r="AB552" s="699"/>
    </row>
    <row r="553" spans="1:28" ht="33.75" x14ac:dyDescent="0.25">
      <c r="A553" s="797"/>
      <c r="B553" s="1159"/>
      <c r="C553" s="1026"/>
      <c r="D553" s="2552"/>
      <c r="E553" s="2555"/>
      <c r="F553" s="2558"/>
      <c r="G553" s="2561"/>
      <c r="H553" s="2564"/>
      <c r="I553" s="2564"/>
      <c r="J553" s="2567"/>
      <c r="K553" s="2567"/>
      <c r="L553" s="2564"/>
      <c r="M553" s="1099" t="s">
        <v>213</v>
      </c>
      <c r="N553" s="1099" t="s">
        <v>2346</v>
      </c>
      <c r="O553" s="1023">
        <v>49.275362318840578</v>
      </c>
      <c r="P553" s="1023">
        <v>57.004830917874393</v>
      </c>
      <c r="Q553" s="1023">
        <v>64.734299516908209</v>
      </c>
      <c r="R553" s="1023">
        <v>70.531400966183568</v>
      </c>
      <c r="S553" s="1023">
        <v>67.632850241545896</v>
      </c>
      <c r="T553" s="1023">
        <v>72.463768115942031</v>
      </c>
      <c r="U553" s="1023">
        <v>72.463768115942031</v>
      </c>
      <c r="V553" s="1023">
        <v>79.227053140096615</v>
      </c>
      <c r="W553" s="1023">
        <v>73.429951690821255</v>
      </c>
      <c r="X553" s="1023">
        <v>70.531400966183568</v>
      </c>
      <c r="Y553" s="1023">
        <v>66.666666666666657</v>
      </c>
      <c r="Z553" s="1023">
        <v>56.038647342995169</v>
      </c>
      <c r="AA553" s="885">
        <f t="shared" si="205"/>
        <v>799.99999999999989</v>
      </c>
      <c r="AB553" s="699"/>
    </row>
    <row r="554" spans="1:28" ht="35.25" customHeight="1" x14ac:dyDescent="0.25">
      <c r="A554" s="797"/>
      <c r="B554" s="1159"/>
      <c r="C554" s="1026"/>
      <c r="D554" s="2552"/>
      <c r="E554" s="2555"/>
      <c r="F554" s="2558"/>
      <c r="G554" s="2561"/>
      <c r="H554" s="2564"/>
      <c r="I554" s="2564"/>
      <c r="J554" s="2567"/>
      <c r="K554" s="2567"/>
      <c r="L554" s="2564"/>
      <c r="M554" s="1011" t="s">
        <v>206</v>
      </c>
      <c r="N554" s="882" t="s">
        <v>2347</v>
      </c>
      <c r="O554" s="1023">
        <v>446.55797101449275</v>
      </c>
      <c r="P554" s="1023">
        <v>516.60628019323678</v>
      </c>
      <c r="Q554" s="1023">
        <v>586.65458937198071</v>
      </c>
      <c r="R554" s="1023">
        <v>639.1908212560387</v>
      </c>
      <c r="S554" s="1023">
        <v>612.9227053140097</v>
      </c>
      <c r="T554" s="1023">
        <v>656.70289855072463</v>
      </c>
      <c r="U554" s="1023">
        <v>656.70289855072463</v>
      </c>
      <c r="V554" s="1023">
        <v>717.99516908212559</v>
      </c>
      <c r="W554" s="1023">
        <v>665.4589371980677</v>
      </c>
      <c r="X554" s="1023">
        <v>639.1908212560387</v>
      </c>
      <c r="Y554" s="1023">
        <v>604.16666666666663</v>
      </c>
      <c r="Z554" s="1023">
        <v>507.85024154589371</v>
      </c>
      <c r="AA554" s="885">
        <f t="shared" si="205"/>
        <v>7249.9999999999991</v>
      </c>
      <c r="AB554" s="699"/>
    </row>
    <row r="555" spans="1:28" ht="46.5" customHeight="1" x14ac:dyDescent="0.25">
      <c r="A555" s="797"/>
      <c r="B555" s="1159"/>
      <c r="C555" s="1026"/>
      <c r="D555" s="2552"/>
      <c r="E555" s="2555"/>
      <c r="F555" s="2558"/>
      <c r="G555" s="2561"/>
      <c r="H555" s="2564"/>
      <c r="I555" s="2564"/>
      <c r="J555" s="2567"/>
      <c r="K555" s="2567"/>
      <c r="L555" s="2564"/>
      <c r="M555" s="1011" t="s">
        <v>200</v>
      </c>
      <c r="N555" s="882" t="s">
        <v>201</v>
      </c>
      <c r="O555" s="1023">
        <v>1012.608695652174</v>
      </c>
      <c r="P555" s="1023">
        <v>1171.449275362319</v>
      </c>
      <c r="Q555" s="1023">
        <v>1330.2898550724638</v>
      </c>
      <c r="R555" s="1023">
        <v>1449.4202898550725</v>
      </c>
      <c r="S555" s="1023">
        <v>1389.8550724637682</v>
      </c>
      <c r="T555" s="1023">
        <v>1489.1304347826087</v>
      </c>
      <c r="U555" s="1023">
        <v>1489.1304347826087</v>
      </c>
      <c r="V555" s="1023">
        <v>1628.1159420289855</v>
      </c>
      <c r="W555" s="1023">
        <v>1508.985507246377</v>
      </c>
      <c r="X555" s="1023">
        <v>1449.4202898550725</v>
      </c>
      <c r="Y555" s="1023">
        <v>1370</v>
      </c>
      <c r="Z555" s="1023">
        <v>1151.5942028985507</v>
      </c>
      <c r="AA555" s="885">
        <f t="shared" si="205"/>
        <v>16440.000000000004</v>
      </c>
      <c r="AB555" s="699"/>
    </row>
    <row r="556" spans="1:28" x14ac:dyDescent="0.25">
      <c r="A556" s="797"/>
      <c r="B556" s="1159"/>
      <c r="C556" s="1026"/>
      <c r="D556" s="2552"/>
      <c r="E556" s="2555"/>
      <c r="F556" s="2558"/>
      <c r="G556" s="2561"/>
      <c r="H556" s="2564"/>
      <c r="I556" s="2564"/>
      <c r="J556" s="2567"/>
      <c r="K556" s="2567"/>
      <c r="L556" s="2564"/>
      <c r="M556" s="1099" t="s">
        <v>1359</v>
      </c>
      <c r="N556" s="1011" t="s">
        <v>1507</v>
      </c>
      <c r="O556" s="1023">
        <v>5208</v>
      </c>
      <c r="P556" s="1023">
        <v>5069</v>
      </c>
      <c r="Q556" s="1023">
        <v>5208</v>
      </c>
      <c r="R556" s="1023">
        <v>5069.4444444444443</v>
      </c>
      <c r="S556" s="1023">
        <v>5208</v>
      </c>
      <c r="T556" s="1023">
        <v>5208.333333333333</v>
      </c>
      <c r="U556" s="1023">
        <v>5208.333333333333</v>
      </c>
      <c r="V556" s="1023">
        <v>5694.4444444444443</v>
      </c>
      <c r="W556" s="1023">
        <v>5277.7777777777774</v>
      </c>
      <c r="X556" s="1023">
        <v>5069.4444444444443</v>
      </c>
      <c r="Y556" s="1023">
        <v>5698</v>
      </c>
      <c r="Z556" s="1023">
        <v>5694</v>
      </c>
      <c r="AA556" s="885">
        <f t="shared" si="205"/>
        <v>63612.777777777774</v>
      </c>
      <c r="AB556" s="699"/>
    </row>
    <row r="557" spans="1:28" ht="48" customHeight="1" x14ac:dyDescent="0.25">
      <c r="A557" s="797"/>
      <c r="B557" s="1159"/>
      <c r="C557" s="1026"/>
      <c r="D557" s="2552"/>
      <c r="E557" s="2555"/>
      <c r="F557" s="2558"/>
      <c r="G557" s="2561"/>
      <c r="H557" s="2564"/>
      <c r="I557" s="2564"/>
      <c r="J557" s="2567"/>
      <c r="K557" s="2567"/>
      <c r="L557" s="2564"/>
      <c r="M557" s="1099" t="s">
        <v>539</v>
      </c>
      <c r="N557" s="883" t="s">
        <v>2348</v>
      </c>
      <c r="O557" s="1023">
        <v>147.82608695652175</v>
      </c>
      <c r="P557" s="1023">
        <v>171.01449275362319</v>
      </c>
      <c r="Q557" s="1023">
        <v>194.20289855072463</v>
      </c>
      <c r="R557" s="1023">
        <v>211.59420289855072</v>
      </c>
      <c r="S557" s="1023">
        <v>202.89855072463769</v>
      </c>
      <c r="T557" s="1023">
        <v>217.39130434782609</v>
      </c>
      <c r="U557" s="1023">
        <v>217.39130434782609</v>
      </c>
      <c r="V557" s="1023">
        <v>237.68115942028984</v>
      </c>
      <c r="W557" s="1023">
        <v>220.28985507246378</v>
      </c>
      <c r="X557" s="1023">
        <v>211.59420289855072</v>
      </c>
      <c r="Y557" s="1023">
        <v>200</v>
      </c>
      <c r="Z557" s="1023">
        <v>168.1159420289855</v>
      </c>
      <c r="AA557" s="885">
        <f t="shared" si="205"/>
        <v>2399.9999999999995</v>
      </c>
      <c r="AB557" s="699"/>
    </row>
    <row r="558" spans="1:28" x14ac:dyDescent="0.25">
      <c r="A558" s="797"/>
      <c r="B558" s="1159"/>
      <c r="C558" s="1026"/>
      <c r="D558" s="2552"/>
      <c r="E558" s="2555"/>
      <c r="F558" s="2558"/>
      <c r="G558" s="2561"/>
      <c r="H558" s="2564"/>
      <c r="I558" s="2564"/>
      <c r="J558" s="2567"/>
      <c r="K558" s="2567"/>
      <c r="L558" s="2564"/>
      <c r="M558" s="1099" t="s">
        <v>2349</v>
      </c>
      <c r="N558" s="1099" t="s">
        <v>2325</v>
      </c>
      <c r="O558" s="1023">
        <v>3589</v>
      </c>
      <c r="P558" s="1023">
        <v>4564</v>
      </c>
      <c r="Q558" s="1023">
        <v>5896</v>
      </c>
      <c r="R558" s="1023">
        <v>2654</v>
      </c>
      <c r="S558" s="1023">
        <v>3989</v>
      </c>
      <c r="T558" s="1023">
        <v>3698</v>
      </c>
      <c r="U558" s="1023">
        <v>3989</v>
      </c>
      <c r="V558" s="1023">
        <v>9896</v>
      </c>
      <c r="W558" s="1023">
        <v>5989</v>
      </c>
      <c r="X558" s="1023">
        <v>3589</v>
      </c>
      <c r="Y558" s="1023">
        <v>10456</v>
      </c>
      <c r="Z558" s="1023">
        <v>43526</v>
      </c>
      <c r="AA558" s="885">
        <f t="shared" si="205"/>
        <v>101835</v>
      </c>
      <c r="AB558" s="699"/>
    </row>
    <row r="559" spans="1:28" ht="35.25" customHeight="1" x14ac:dyDescent="0.25">
      <c r="A559" s="797"/>
      <c r="B559" s="1159"/>
      <c r="C559" s="1026"/>
      <c r="D559" s="2552"/>
      <c r="E559" s="2555"/>
      <c r="F559" s="2558"/>
      <c r="G559" s="2561"/>
      <c r="H559" s="2564"/>
      <c r="I559" s="2564"/>
      <c r="J559" s="2567"/>
      <c r="K559" s="2567"/>
      <c r="L559" s="2564"/>
      <c r="M559" s="1011" t="s">
        <v>2017</v>
      </c>
      <c r="N559" s="882" t="s">
        <v>3106</v>
      </c>
      <c r="O559" s="1023">
        <v>51</v>
      </c>
      <c r="P559" s="1023">
        <v>22</v>
      </c>
      <c r="Q559" s="1023">
        <v>24.275362318840578</v>
      </c>
      <c r="R559" s="1023">
        <v>26.44927536231884</v>
      </c>
      <c r="S559" s="1023">
        <v>25.362318840579711</v>
      </c>
      <c r="T559" s="1023">
        <v>27.173913043478262</v>
      </c>
      <c r="U559" s="1023">
        <v>27.173913043478262</v>
      </c>
      <c r="V559" s="1023">
        <v>29.710144927536231</v>
      </c>
      <c r="W559" s="1023">
        <v>27.536231884057973</v>
      </c>
      <c r="X559" s="1023">
        <v>26.44927536231884</v>
      </c>
      <c r="Y559" s="1023">
        <v>25</v>
      </c>
      <c r="Z559" s="1023">
        <v>21.014492753623188</v>
      </c>
      <c r="AA559" s="885">
        <f t="shared" si="205"/>
        <v>333.14492753623182</v>
      </c>
      <c r="AB559" s="699"/>
    </row>
    <row r="560" spans="1:28" x14ac:dyDescent="0.25">
      <c r="A560" s="797"/>
      <c r="B560" s="1159"/>
      <c r="C560" s="1026"/>
      <c r="D560" s="2552"/>
      <c r="E560" s="2555"/>
      <c r="F560" s="2558"/>
      <c r="G560" s="2561"/>
      <c r="H560" s="2564"/>
      <c r="I560" s="2564"/>
      <c r="J560" s="2567"/>
      <c r="K560" s="2567"/>
      <c r="L560" s="2564"/>
      <c r="M560" s="1011" t="s">
        <v>1769</v>
      </c>
      <c r="N560" s="882" t="s">
        <v>1770</v>
      </c>
      <c r="O560" s="1023">
        <v>39.420289855072461</v>
      </c>
      <c r="P560" s="1023">
        <v>45.603864734299513</v>
      </c>
      <c r="Q560" s="1023">
        <v>51.787439613526573</v>
      </c>
      <c r="R560" s="1023">
        <v>56.425120772946862</v>
      </c>
      <c r="S560" s="1023">
        <v>54.106280193236714</v>
      </c>
      <c r="T560" s="1023">
        <v>57.971014492753625</v>
      </c>
      <c r="U560" s="1023">
        <v>57.971014492753625</v>
      </c>
      <c r="V560" s="1023">
        <v>63.381642512077292</v>
      </c>
      <c r="W560" s="1023">
        <v>58.743961352657003</v>
      </c>
      <c r="X560" s="1023">
        <v>56.425120772946862</v>
      </c>
      <c r="Y560" s="1023">
        <v>53.333333333333336</v>
      </c>
      <c r="Z560" s="1023">
        <v>44.830917874396135</v>
      </c>
      <c r="AA560" s="885">
        <f t="shared" si="205"/>
        <v>640.00000000000011</v>
      </c>
      <c r="AB560" s="699"/>
    </row>
    <row r="561" spans="1:28" ht="37.5" customHeight="1" x14ac:dyDescent="0.25">
      <c r="A561" s="797"/>
      <c r="B561" s="1159"/>
      <c r="C561" s="1026"/>
      <c r="D561" s="2552"/>
      <c r="E561" s="2555"/>
      <c r="F561" s="2558"/>
      <c r="G561" s="2561"/>
      <c r="H561" s="2564"/>
      <c r="I561" s="2564"/>
      <c r="J561" s="2567"/>
      <c r="K561" s="2567"/>
      <c r="L561" s="2564"/>
      <c r="M561" s="1011" t="s">
        <v>208</v>
      </c>
      <c r="N561" s="882" t="s">
        <v>2350</v>
      </c>
      <c r="O561" s="1023">
        <v>20000</v>
      </c>
      <c r="P561" s="1023">
        <v>20000</v>
      </c>
      <c r="Q561" s="1023">
        <v>20000</v>
      </c>
      <c r="R561" s="1023">
        <v>20000</v>
      </c>
      <c r="S561" s="1023">
        <v>20000</v>
      </c>
      <c r="T561" s="1023">
        <v>20000</v>
      </c>
      <c r="U561" s="1023">
        <v>20000</v>
      </c>
      <c r="V561" s="1023">
        <v>20000</v>
      </c>
      <c r="W561" s="1023">
        <v>20000</v>
      </c>
      <c r="X561" s="1023">
        <v>20000</v>
      </c>
      <c r="Y561" s="1023">
        <v>20000</v>
      </c>
      <c r="Z561" s="1023">
        <v>20000</v>
      </c>
      <c r="AA561" s="885">
        <f t="shared" si="205"/>
        <v>240000</v>
      </c>
      <c r="AB561" s="699"/>
    </row>
    <row r="562" spans="1:28" ht="22.5" x14ac:dyDescent="0.25">
      <c r="A562" s="797"/>
      <c r="B562" s="1159"/>
      <c r="C562" s="1026"/>
      <c r="D562" s="2552"/>
      <c r="E562" s="2555"/>
      <c r="F562" s="2558"/>
      <c r="G562" s="2561"/>
      <c r="H562" s="2564"/>
      <c r="I562" s="2564"/>
      <c r="J562" s="2567"/>
      <c r="K562" s="2567"/>
      <c r="L562" s="2564"/>
      <c r="M562" s="1011" t="s">
        <v>210</v>
      </c>
      <c r="N562" s="882" t="s">
        <v>2351</v>
      </c>
      <c r="O562" s="1023">
        <v>2600</v>
      </c>
      <c r="P562" s="1023">
        <v>2600</v>
      </c>
      <c r="Q562" s="1023">
        <v>2600</v>
      </c>
      <c r="R562" s="1023">
        <v>2600</v>
      </c>
      <c r="S562" s="1023">
        <v>2600</v>
      </c>
      <c r="T562" s="1023">
        <v>2600</v>
      </c>
      <c r="U562" s="1023">
        <v>2600</v>
      </c>
      <c r="V562" s="1023">
        <v>2600</v>
      </c>
      <c r="W562" s="1023">
        <v>2600</v>
      </c>
      <c r="X562" s="1023">
        <v>2600</v>
      </c>
      <c r="Y562" s="1023">
        <v>2600</v>
      </c>
      <c r="Z562" s="1023">
        <v>2600</v>
      </c>
      <c r="AA562" s="885">
        <f t="shared" si="205"/>
        <v>31200</v>
      </c>
      <c r="AB562" s="699"/>
    </row>
    <row r="563" spans="1:28" ht="22.5" x14ac:dyDescent="0.25">
      <c r="A563" s="797"/>
      <c r="B563" s="1159"/>
      <c r="C563" s="1026"/>
      <c r="D563" s="2552"/>
      <c r="E563" s="2555"/>
      <c r="F563" s="2558"/>
      <c r="G563" s="2561"/>
      <c r="H563" s="2564"/>
      <c r="I563" s="2564"/>
      <c r="J563" s="2567"/>
      <c r="K563" s="2567"/>
      <c r="L563" s="2564"/>
      <c r="M563" s="1099" t="s">
        <v>2341</v>
      </c>
      <c r="N563" s="1011" t="s">
        <v>3101</v>
      </c>
      <c r="O563" s="1023">
        <v>41.666666666666664</v>
      </c>
      <c r="P563" s="1023">
        <v>41.666666666666664</v>
      </c>
      <c r="Q563" s="1023">
        <v>41.666666666666664</v>
      </c>
      <c r="R563" s="1023">
        <v>41.666666666666664</v>
      </c>
      <c r="S563" s="1023">
        <v>41.666666666666664</v>
      </c>
      <c r="T563" s="1023">
        <v>41.666666666666664</v>
      </c>
      <c r="U563" s="1023">
        <v>41.666666666666664</v>
      </c>
      <c r="V563" s="1023">
        <v>41.666666666666664</v>
      </c>
      <c r="W563" s="1023">
        <v>41.666666666666664</v>
      </c>
      <c r="X563" s="1023">
        <v>41.666666666666664</v>
      </c>
      <c r="Y563" s="1023">
        <v>41.666666666666664</v>
      </c>
      <c r="Z563" s="1023">
        <v>41.666666666666664</v>
      </c>
      <c r="AA563" s="885">
        <f t="shared" si="205"/>
        <v>500.00000000000006</v>
      </c>
      <c r="AB563" s="699"/>
    </row>
    <row r="564" spans="1:28" ht="22.5" x14ac:dyDescent="0.25">
      <c r="A564" s="797"/>
      <c r="B564" s="1159"/>
      <c r="C564" s="1026"/>
      <c r="D564" s="2552"/>
      <c r="E564" s="2555"/>
      <c r="F564" s="2558"/>
      <c r="G564" s="2561"/>
      <c r="H564" s="2564"/>
      <c r="I564" s="2564"/>
      <c r="J564" s="2567"/>
      <c r="K564" s="2567"/>
      <c r="L564" s="2564"/>
      <c r="M564" s="1099" t="s">
        <v>1003</v>
      </c>
      <c r="N564" s="1011" t="s">
        <v>2352</v>
      </c>
      <c r="O564" s="1023">
        <v>184.78260869565219</v>
      </c>
      <c r="P564" s="1023">
        <v>250</v>
      </c>
      <c r="Q564" s="1023">
        <v>14.952215921024996</v>
      </c>
      <c r="R564" s="1023">
        <v>354</v>
      </c>
      <c r="S564" s="1023">
        <v>546</v>
      </c>
      <c r="T564" s="1023">
        <v>895</v>
      </c>
      <c r="U564" s="1023">
        <v>965</v>
      </c>
      <c r="V564" s="1023">
        <v>950</v>
      </c>
      <c r="W564" s="1023">
        <v>865</v>
      </c>
      <c r="X564" s="1023">
        <v>840</v>
      </c>
      <c r="Y564" s="1023">
        <v>879</v>
      </c>
      <c r="Z564" s="1023">
        <v>958</v>
      </c>
      <c r="AA564" s="885">
        <f t="shared" si="205"/>
        <v>7701.7348246166766</v>
      </c>
      <c r="AB564" s="699"/>
    </row>
    <row r="565" spans="1:28" ht="35.25" customHeight="1" x14ac:dyDescent="0.25">
      <c r="A565" s="797"/>
      <c r="B565" s="1159"/>
      <c r="C565" s="1026"/>
      <c r="D565" s="2552"/>
      <c r="E565" s="2555"/>
      <c r="F565" s="2558"/>
      <c r="G565" s="2561"/>
      <c r="H565" s="2564"/>
      <c r="I565" s="2564"/>
      <c r="J565" s="2567"/>
      <c r="K565" s="2567"/>
      <c r="L565" s="2564"/>
      <c r="M565" s="1105" t="s">
        <v>195</v>
      </c>
      <c r="N565" s="884" t="s">
        <v>2353</v>
      </c>
      <c r="O565" s="1023">
        <v>608.33333333333337</v>
      </c>
      <c r="P565" s="1023">
        <v>608.33333333333337</v>
      </c>
      <c r="Q565" s="1023">
        <v>608.33333333333337</v>
      </c>
      <c r="R565" s="1023">
        <v>608.33333333333337</v>
      </c>
      <c r="S565" s="1023">
        <v>608.33333333333337</v>
      </c>
      <c r="T565" s="1023">
        <v>608.33333333333337</v>
      </c>
      <c r="U565" s="1023">
        <v>608.33333333333337</v>
      </c>
      <c r="V565" s="1023">
        <v>608.33333333333337</v>
      </c>
      <c r="W565" s="1023">
        <v>608.33333333333337</v>
      </c>
      <c r="X565" s="1023">
        <v>608.33333333333337</v>
      </c>
      <c r="Y565" s="1023">
        <v>608.33333333333337</v>
      </c>
      <c r="Z565" s="1023">
        <v>608.33333333333337</v>
      </c>
      <c r="AA565" s="885">
        <f t="shared" si="205"/>
        <v>7299.9999999999991</v>
      </c>
      <c r="AB565" s="699"/>
    </row>
    <row r="566" spans="1:28" ht="26.25" customHeight="1" x14ac:dyDescent="0.25">
      <c r="A566" s="797"/>
      <c r="B566" s="1159"/>
      <c r="C566" s="1026"/>
      <c r="D566" s="2552"/>
      <c r="E566" s="2555"/>
      <c r="F566" s="2558"/>
      <c r="G566" s="2561"/>
      <c r="H566" s="2564"/>
      <c r="I566" s="2564"/>
      <c r="J566" s="2567"/>
      <c r="K566" s="2567"/>
      <c r="L566" s="2564"/>
      <c r="M566" s="1099" t="s">
        <v>196</v>
      </c>
      <c r="N566" s="883" t="s">
        <v>2354</v>
      </c>
      <c r="O566" s="1023">
        <v>16.666666666666668</v>
      </c>
      <c r="P566" s="1023">
        <v>16.666666666666668</v>
      </c>
      <c r="Q566" s="1023">
        <v>16.666666666666668</v>
      </c>
      <c r="R566" s="1023">
        <v>16.666666666666668</v>
      </c>
      <c r="S566" s="1023">
        <v>16.666666666666668</v>
      </c>
      <c r="T566" s="1023">
        <v>16.666666666666668</v>
      </c>
      <c r="U566" s="1023">
        <v>16.666666666666668</v>
      </c>
      <c r="V566" s="1023">
        <v>16.666666666666668</v>
      </c>
      <c r="W566" s="1023">
        <v>16.666666666666668</v>
      </c>
      <c r="X566" s="1023">
        <v>16.666666666666668</v>
      </c>
      <c r="Y566" s="1023">
        <v>16.666666666666668</v>
      </c>
      <c r="Z566" s="1023">
        <v>16.666666666666668</v>
      </c>
      <c r="AA566" s="885">
        <f t="shared" si="205"/>
        <v>199.99999999999997</v>
      </c>
      <c r="AB566" s="699"/>
    </row>
    <row r="567" spans="1:28" ht="33.75" x14ac:dyDescent="0.25">
      <c r="A567" s="797"/>
      <c r="B567" s="1159"/>
      <c r="C567" s="1026"/>
      <c r="D567" s="2552"/>
      <c r="E567" s="2555"/>
      <c r="F567" s="2558"/>
      <c r="G567" s="2561"/>
      <c r="H567" s="2564"/>
      <c r="I567" s="2564"/>
      <c r="J567" s="2567"/>
      <c r="K567" s="2567"/>
      <c r="L567" s="2564"/>
      <c r="M567" s="1099" t="s">
        <v>198</v>
      </c>
      <c r="N567" s="883" t="s">
        <v>2355</v>
      </c>
      <c r="O567" s="1023">
        <v>333.33333333333331</v>
      </c>
      <c r="P567" s="1023">
        <v>333.33333333333331</v>
      </c>
      <c r="Q567" s="1023">
        <v>333.33333333333331</v>
      </c>
      <c r="R567" s="1023">
        <v>333.33333333333331</v>
      </c>
      <c r="S567" s="1023">
        <v>333.33333333333331</v>
      </c>
      <c r="T567" s="1023">
        <v>333.33333333333331</v>
      </c>
      <c r="U567" s="1023">
        <v>333.33333333333331</v>
      </c>
      <c r="V567" s="1023">
        <v>333.33333333333331</v>
      </c>
      <c r="W567" s="1023">
        <v>333.33333333333331</v>
      </c>
      <c r="X567" s="1023">
        <v>333.33333333333331</v>
      </c>
      <c r="Y567" s="1023">
        <v>333.33333333333331</v>
      </c>
      <c r="Z567" s="1023">
        <v>333.33333333333331</v>
      </c>
      <c r="AA567" s="885">
        <f t="shared" si="205"/>
        <v>4000.0000000000005</v>
      </c>
      <c r="AB567" s="699"/>
    </row>
    <row r="568" spans="1:28" x14ac:dyDescent="0.25">
      <c r="A568" s="797"/>
      <c r="B568" s="1159"/>
      <c r="C568" s="1026"/>
      <c r="D568" s="2552"/>
      <c r="E568" s="2555"/>
      <c r="F568" s="2558"/>
      <c r="G568" s="2561"/>
      <c r="H568" s="2564"/>
      <c r="I568" s="2564"/>
      <c r="J568" s="2567"/>
      <c r="K568" s="2567"/>
      <c r="L568" s="2564"/>
      <c r="M568" s="1099" t="s">
        <v>199</v>
      </c>
      <c r="N568" s="1011" t="s">
        <v>2356</v>
      </c>
      <c r="O568" s="1023">
        <v>541.66666666666663</v>
      </c>
      <c r="P568" s="1023">
        <v>541.66666666666663</v>
      </c>
      <c r="Q568" s="1023">
        <v>541.66666666666663</v>
      </c>
      <c r="R568" s="1023">
        <v>541.66666666666663</v>
      </c>
      <c r="S568" s="1023">
        <v>541.66666666666663</v>
      </c>
      <c r="T568" s="1023">
        <v>541.66666666666663</v>
      </c>
      <c r="U568" s="1023">
        <v>541.66666666666663</v>
      </c>
      <c r="V568" s="1023">
        <v>541.66666666666663</v>
      </c>
      <c r="W568" s="1023">
        <v>541.66666666666663</v>
      </c>
      <c r="X568" s="1023">
        <v>541.66666666666663</v>
      </c>
      <c r="Y568" s="1023">
        <v>541.66666666666663</v>
      </c>
      <c r="Z568" s="1023">
        <v>541.66666666666663</v>
      </c>
      <c r="AA568" s="885">
        <f t="shared" si="205"/>
        <v>6500.0000000000009</v>
      </c>
      <c r="AB568" s="699"/>
    </row>
    <row r="569" spans="1:28" ht="24.75" customHeight="1" x14ac:dyDescent="0.25">
      <c r="A569" s="797"/>
      <c r="B569" s="1159"/>
      <c r="C569" s="1026"/>
      <c r="D569" s="2552"/>
      <c r="E569" s="2555"/>
      <c r="F569" s="2558"/>
      <c r="G569" s="2561"/>
      <c r="H569" s="2564"/>
      <c r="I569" s="2564"/>
      <c r="J569" s="2567"/>
      <c r="K569" s="2567"/>
      <c r="L569" s="2564"/>
      <c r="M569" s="1099" t="s">
        <v>544</v>
      </c>
      <c r="N569" s="899" t="s">
        <v>2357</v>
      </c>
      <c r="O569" s="1023">
        <v>333.33333333333331</v>
      </c>
      <c r="P569" s="1023">
        <v>333.33333333333331</v>
      </c>
      <c r="Q569" s="1023">
        <v>333.33333333333331</v>
      </c>
      <c r="R569" s="1023">
        <v>333.33333333333331</v>
      </c>
      <c r="S569" s="1023">
        <v>333.33333333333331</v>
      </c>
      <c r="T569" s="1023">
        <v>333.33333333333331</v>
      </c>
      <c r="U569" s="1023">
        <v>333.33333333333331</v>
      </c>
      <c r="V569" s="1023">
        <v>333.33333333333331</v>
      </c>
      <c r="W569" s="1023">
        <v>333.33333333333331</v>
      </c>
      <c r="X569" s="1023">
        <v>333.33333333333331</v>
      </c>
      <c r="Y569" s="1023">
        <v>333.33333333333331</v>
      </c>
      <c r="Z569" s="1023">
        <v>333.33333333333331</v>
      </c>
      <c r="AA569" s="885">
        <f t="shared" si="205"/>
        <v>4000.0000000000005</v>
      </c>
      <c r="AB569" s="699"/>
    </row>
    <row r="570" spans="1:28" x14ac:dyDescent="0.25">
      <c r="A570" s="797"/>
      <c r="B570" s="1159"/>
      <c r="C570" s="1026"/>
      <c r="D570" s="2552"/>
      <c r="E570" s="2555"/>
      <c r="F570" s="2558"/>
      <c r="G570" s="2561"/>
      <c r="H570" s="2564"/>
      <c r="I570" s="2564"/>
      <c r="J570" s="2567"/>
      <c r="K570" s="2567"/>
      <c r="L570" s="2564"/>
      <c r="M570" s="1099" t="s">
        <v>2358</v>
      </c>
      <c r="N570" s="1011" t="s">
        <v>3105</v>
      </c>
      <c r="O570" s="1023">
        <v>291.66666666666669</v>
      </c>
      <c r="P570" s="1023">
        <v>291.66666666666669</v>
      </c>
      <c r="Q570" s="1023">
        <v>291.66666666666669</v>
      </c>
      <c r="R570" s="1023">
        <v>291.66666666666669</v>
      </c>
      <c r="S570" s="1023">
        <v>291.66666666666669</v>
      </c>
      <c r="T570" s="1023">
        <v>291.66666666666669</v>
      </c>
      <c r="U570" s="1023">
        <v>291.66666666666669</v>
      </c>
      <c r="V570" s="1023">
        <v>291.66666666666669</v>
      </c>
      <c r="W570" s="1023">
        <v>291.66666666666669</v>
      </c>
      <c r="X570" s="1023">
        <v>291.66666666666669</v>
      </c>
      <c r="Y570" s="1023">
        <v>291.66666666666669</v>
      </c>
      <c r="Z570" s="1023">
        <v>291.66666666666669</v>
      </c>
      <c r="AA570" s="885">
        <f t="shared" si="205"/>
        <v>3499.9999999999995</v>
      </c>
      <c r="AB570" s="699"/>
    </row>
    <row r="571" spans="1:28" ht="22.5" x14ac:dyDescent="0.25">
      <c r="A571" s="797"/>
      <c r="B571" s="1159"/>
      <c r="C571" s="1026"/>
      <c r="D571" s="2552"/>
      <c r="E571" s="2555"/>
      <c r="F571" s="2558"/>
      <c r="G571" s="2561"/>
      <c r="H571" s="2564"/>
      <c r="I571" s="2564"/>
      <c r="J571" s="2567"/>
      <c r="K571" s="2567"/>
      <c r="L571" s="2564"/>
      <c r="M571" s="1099" t="s">
        <v>1780</v>
      </c>
      <c r="N571" s="1099" t="s">
        <v>3104</v>
      </c>
      <c r="O571" s="1023">
        <v>41.666666666666664</v>
      </c>
      <c r="P571" s="1023">
        <v>41.666666666666664</v>
      </c>
      <c r="Q571" s="1023">
        <v>41.666666666666664</v>
      </c>
      <c r="R571" s="1023">
        <v>41.666666666666664</v>
      </c>
      <c r="S571" s="1023">
        <v>41.666666666666664</v>
      </c>
      <c r="T571" s="1023">
        <v>41.666666666666664</v>
      </c>
      <c r="U571" s="1023">
        <v>41.666666666666664</v>
      </c>
      <c r="V571" s="1023">
        <v>41.666666666666664</v>
      </c>
      <c r="W571" s="1023">
        <v>41.666666666666664</v>
      </c>
      <c r="X571" s="1023">
        <v>41.666666666666664</v>
      </c>
      <c r="Y571" s="1023">
        <v>41.666666666666664</v>
      </c>
      <c r="Z571" s="1023">
        <v>41.666666666666664</v>
      </c>
      <c r="AA571" s="885">
        <f t="shared" si="205"/>
        <v>500.00000000000006</v>
      </c>
      <c r="AB571" s="699"/>
    </row>
    <row r="572" spans="1:28" x14ac:dyDescent="0.25">
      <c r="A572" s="797"/>
      <c r="B572" s="1159"/>
      <c r="C572" s="1026"/>
      <c r="D572" s="2552"/>
      <c r="E572" s="2555"/>
      <c r="F572" s="2558"/>
      <c r="G572" s="2561"/>
      <c r="H572" s="2564"/>
      <c r="I572" s="2564"/>
      <c r="J572" s="2567"/>
      <c r="K572" s="2567"/>
      <c r="L572" s="2564"/>
      <c r="M572" s="1099" t="s">
        <v>217</v>
      </c>
      <c r="N572" s="1099" t="s">
        <v>218</v>
      </c>
      <c r="O572" s="1023">
        <v>123.18840579710145</v>
      </c>
      <c r="P572" s="1023">
        <v>142.51207729468598</v>
      </c>
      <c r="Q572" s="1023">
        <v>161.83574879227052</v>
      </c>
      <c r="R572" s="1023">
        <v>176.32850241545896</v>
      </c>
      <c r="S572" s="1023">
        <v>169.08212560386474</v>
      </c>
      <c r="T572" s="1023">
        <v>181.15942028985506</v>
      </c>
      <c r="U572" s="1023">
        <v>181.15942028985506</v>
      </c>
      <c r="V572" s="1023">
        <v>198.06763285024155</v>
      </c>
      <c r="W572" s="1023">
        <v>183.57487922705315</v>
      </c>
      <c r="X572" s="1023">
        <v>176.32850241545896</v>
      </c>
      <c r="Y572" s="1023">
        <v>166.66666666666669</v>
      </c>
      <c r="Z572" s="1023">
        <v>140.09661835748793</v>
      </c>
      <c r="AA572" s="885">
        <f t="shared" si="205"/>
        <v>1999.9999999999998</v>
      </c>
      <c r="AB572" s="699"/>
    </row>
    <row r="573" spans="1:28" ht="34.5" x14ac:dyDescent="0.25">
      <c r="A573" s="797"/>
      <c r="B573" s="1159"/>
      <c r="C573" s="1026"/>
      <c r="D573" s="2552"/>
      <c r="E573" s="2555"/>
      <c r="F573" s="2558"/>
      <c r="G573" s="2561"/>
      <c r="H573" s="2564"/>
      <c r="I573" s="2564"/>
      <c r="J573" s="2567"/>
      <c r="K573" s="2567"/>
      <c r="L573" s="2564"/>
      <c r="M573" s="1099" t="s">
        <v>2359</v>
      </c>
      <c r="N573" s="1411" t="s">
        <v>2360</v>
      </c>
      <c r="O573" s="1023">
        <v>70</v>
      </c>
      <c r="P573" s="1023">
        <v>71.25603864734299</v>
      </c>
      <c r="Q573" s="1023">
        <v>80.917874396135261</v>
      </c>
      <c r="R573" s="1023">
        <v>88.164251207729478</v>
      </c>
      <c r="S573" s="1023">
        <v>84.54106280193237</v>
      </c>
      <c r="T573" s="1023">
        <v>92</v>
      </c>
      <c r="U573" s="1023">
        <v>90.579710144927532</v>
      </c>
      <c r="V573" s="1023">
        <v>99.033816425120776</v>
      </c>
      <c r="W573" s="1023">
        <v>91.787439613526573</v>
      </c>
      <c r="X573" s="1023">
        <v>88.164251207729478</v>
      </c>
      <c r="Y573" s="1023">
        <v>83.333333333333343</v>
      </c>
      <c r="Z573" s="1023">
        <v>95</v>
      </c>
      <c r="AA573" s="885">
        <f t="shared" si="205"/>
        <v>1034.7777777777778</v>
      </c>
      <c r="AB573" s="699"/>
    </row>
    <row r="574" spans="1:28" ht="40.5" customHeight="1" x14ac:dyDescent="0.25">
      <c r="A574" s="797"/>
      <c r="B574" s="1159"/>
      <c r="C574" s="1026"/>
      <c r="D574" s="2552"/>
      <c r="E574" s="2555"/>
      <c r="F574" s="2558"/>
      <c r="G574" s="2561"/>
      <c r="H574" s="2564"/>
      <c r="I574" s="2564"/>
      <c r="J574" s="2567"/>
      <c r="K574" s="2567"/>
      <c r="L574" s="2564"/>
      <c r="M574" s="1099" t="s">
        <v>226</v>
      </c>
      <c r="N574" s="899" t="s">
        <v>3108</v>
      </c>
      <c r="O574" s="1023">
        <v>615.94202898550725</v>
      </c>
      <c r="P574" s="1023">
        <v>712.56038647342996</v>
      </c>
      <c r="Q574" s="1023">
        <v>809.17874396135267</v>
      </c>
      <c r="R574" s="1023">
        <v>881.64251207729467</v>
      </c>
      <c r="S574" s="1023">
        <v>845.41062801932367</v>
      </c>
      <c r="T574" s="1023">
        <v>905.79710144927537</v>
      </c>
      <c r="U574" s="1023">
        <v>905.79710144927537</v>
      </c>
      <c r="V574" s="1023">
        <v>990.33816425120779</v>
      </c>
      <c r="W574" s="1023">
        <v>917.87439613526567</v>
      </c>
      <c r="X574" s="1023">
        <v>881.64251207729467</v>
      </c>
      <c r="Y574" s="1023">
        <v>833.33333333333337</v>
      </c>
      <c r="Z574" s="1023">
        <v>700.48309178743966</v>
      </c>
      <c r="AA574" s="885">
        <f t="shared" si="205"/>
        <v>10000</v>
      </c>
      <c r="AB574" s="699"/>
    </row>
    <row r="575" spans="1:28" ht="44.25" customHeight="1" x14ac:dyDescent="0.25">
      <c r="A575" s="797"/>
      <c r="B575" s="1159"/>
      <c r="C575" s="1026"/>
      <c r="D575" s="2552"/>
      <c r="E575" s="2555"/>
      <c r="F575" s="2558"/>
      <c r="G575" s="2561"/>
      <c r="H575" s="2564"/>
      <c r="I575" s="2564"/>
      <c r="J575" s="2567"/>
      <c r="K575" s="2567"/>
      <c r="L575" s="2564"/>
      <c r="M575" s="1099" t="s">
        <v>1399</v>
      </c>
      <c r="N575" s="1099" t="s">
        <v>3103</v>
      </c>
      <c r="O575" s="1023">
        <v>615.94202898550725</v>
      </c>
      <c r="P575" s="1023">
        <v>712.56038647342996</v>
      </c>
      <c r="Q575" s="1023">
        <v>809.17874396135267</v>
      </c>
      <c r="R575" s="1023">
        <v>881.64251207729467</v>
      </c>
      <c r="S575" s="1023">
        <v>845.41062801932367</v>
      </c>
      <c r="T575" s="1023">
        <v>905.79710144927537</v>
      </c>
      <c r="U575" s="1023">
        <v>905.79710144927537</v>
      </c>
      <c r="V575" s="1023">
        <v>990.33816425120779</v>
      </c>
      <c r="W575" s="1023">
        <v>917.87439613526567</v>
      </c>
      <c r="X575" s="1023">
        <v>881.64251207729467</v>
      </c>
      <c r="Y575" s="1023">
        <v>833.33333333333337</v>
      </c>
      <c r="Z575" s="1023">
        <v>700.48309178743966</v>
      </c>
      <c r="AA575" s="885">
        <f t="shared" si="205"/>
        <v>10000</v>
      </c>
      <c r="AB575" s="699"/>
    </row>
    <row r="576" spans="1:28" ht="46.5" customHeight="1" x14ac:dyDescent="0.25">
      <c r="A576" s="797"/>
      <c r="B576" s="1159"/>
      <c r="C576" s="1026"/>
      <c r="D576" s="2552"/>
      <c r="E576" s="2555"/>
      <c r="F576" s="2558"/>
      <c r="G576" s="2561"/>
      <c r="H576" s="2564"/>
      <c r="I576" s="2564"/>
      <c r="J576" s="2567"/>
      <c r="K576" s="2567"/>
      <c r="L576" s="2564"/>
      <c r="M576" s="1105" t="s">
        <v>2362</v>
      </c>
      <c r="N576" s="1105" t="s">
        <v>2363</v>
      </c>
      <c r="O576" s="1023">
        <v>333.33333333333331</v>
      </c>
      <c r="P576" s="1023">
        <v>333.33333333333331</v>
      </c>
      <c r="Q576" s="1023">
        <v>333.33333333333331</v>
      </c>
      <c r="R576" s="1023">
        <v>333.33333333333331</v>
      </c>
      <c r="S576" s="1023">
        <v>333.33333333333331</v>
      </c>
      <c r="T576" s="1023">
        <v>333.33333333333331</v>
      </c>
      <c r="U576" s="1023">
        <v>333.33333333333331</v>
      </c>
      <c r="V576" s="1023">
        <v>333.33333333333331</v>
      </c>
      <c r="W576" s="1023">
        <v>333.33333333333331</v>
      </c>
      <c r="X576" s="1023">
        <v>333.33333333333331</v>
      </c>
      <c r="Y576" s="1023">
        <v>333.33333333333331</v>
      </c>
      <c r="Z576" s="1023">
        <v>333.33333333333331</v>
      </c>
      <c r="AA576" s="885">
        <f t="shared" si="205"/>
        <v>4000.0000000000005</v>
      </c>
      <c r="AB576" s="699"/>
    </row>
    <row r="577" spans="1:28" x14ac:dyDescent="0.25">
      <c r="A577" s="848"/>
      <c r="B577" s="1160"/>
      <c r="C577" s="1027"/>
      <c r="D577" s="2553"/>
      <c r="E577" s="2556"/>
      <c r="F577" s="2559"/>
      <c r="G577" s="2562"/>
      <c r="H577" s="2565"/>
      <c r="I577" s="2565"/>
      <c r="J577" s="2568"/>
      <c r="K577" s="2568"/>
      <c r="L577" s="2565"/>
      <c r="M577" s="1099" t="s">
        <v>555</v>
      </c>
      <c r="N577" s="1099" t="s">
        <v>556</v>
      </c>
      <c r="O577" s="1023">
        <v>495</v>
      </c>
      <c r="P577" s="1023">
        <v>441</v>
      </c>
      <c r="Q577" s="1023">
        <v>404.58937198067633</v>
      </c>
      <c r="R577" s="1023">
        <v>440.82125603864733</v>
      </c>
      <c r="S577" s="1023">
        <v>422.70531400966183</v>
      </c>
      <c r="T577" s="1023">
        <v>452.89855072463769</v>
      </c>
      <c r="U577" s="1023">
        <v>452.89855072463769</v>
      </c>
      <c r="V577" s="1023">
        <v>495.16908212560389</v>
      </c>
      <c r="W577" s="1023">
        <v>458.93719806763283</v>
      </c>
      <c r="X577" s="1023">
        <v>440.82125603864733</v>
      </c>
      <c r="Y577" s="1023">
        <v>416.66666666666669</v>
      </c>
      <c r="Z577" s="1023">
        <v>350.24154589371983</v>
      </c>
      <c r="AA577" s="1717">
        <f t="shared" si="205"/>
        <v>5271.7487922705313</v>
      </c>
      <c r="AB577" s="1718"/>
    </row>
    <row r="578" spans="1:28" x14ac:dyDescent="0.25">
      <c r="B578" s="2412" t="s">
        <v>3401</v>
      </c>
      <c r="C578" s="2412"/>
      <c r="D578" s="2412"/>
      <c r="E578" s="2412"/>
      <c r="F578" s="2412"/>
      <c r="G578" s="2412"/>
      <c r="H578" s="2412"/>
      <c r="I578" s="2412"/>
      <c r="J578" s="2412"/>
      <c r="K578" s="2412"/>
      <c r="L578" s="2412"/>
      <c r="M578" s="2412"/>
      <c r="N578" s="2412"/>
      <c r="O578" s="2412"/>
      <c r="P578" s="2412"/>
      <c r="Q578" s="2412"/>
      <c r="R578" s="2412"/>
      <c r="S578" s="2412"/>
      <c r="T578" s="2412"/>
      <c r="U578" s="2412"/>
      <c r="V578" s="2412"/>
      <c r="W578" s="2412"/>
      <c r="X578" s="2412"/>
      <c r="Y578" s="2412"/>
      <c r="Z578" s="2412"/>
      <c r="AA578" s="2412"/>
      <c r="AB578" s="1719"/>
    </row>
    <row r="579" spans="1:28" ht="22.5" customHeight="1" x14ac:dyDescent="0.25">
      <c r="B579" s="842" t="s">
        <v>1</v>
      </c>
      <c r="C579" s="846" t="s">
        <v>3338</v>
      </c>
      <c r="D579" s="2213"/>
      <c r="E579" s="2197"/>
      <c r="F579" s="2197"/>
      <c r="G579" s="2197"/>
      <c r="H579" s="2197"/>
      <c r="I579" s="2197"/>
      <c r="J579" s="2197"/>
      <c r="K579" s="2197"/>
      <c r="L579" s="2197"/>
      <c r="M579" s="2197"/>
      <c r="N579" s="2197"/>
      <c r="O579" s="2197"/>
      <c r="P579" s="2197"/>
      <c r="Q579" s="2197"/>
      <c r="R579" s="2197"/>
      <c r="S579" s="2197"/>
      <c r="T579" s="2197"/>
      <c r="U579" s="2197"/>
      <c r="V579" s="2197"/>
      <c r="W579" s="2160"/>
      <c r="X579" s="2160"/>
      <c r="Y579" s="2160"/>
      <c r="Z579" s="2214"/>
      <c r="AB579" s="1676"/>
    </row>
    <row r="580" spans="1:28" ht="38.25" customHeight="1" x14ac:dyDescent="0.25">
      <c r="B580" s="2159" t="s">
        <v>2149</v>
      </c>
      <c r="C580" s="2294" t="s">
        <v>3339</v>
      </c>
      <c r="D580" s="2295"/>
      <c r="E580" s="2295"/>
      <c r="F580" s="2295"/>
      <c r="G580" s="2295"/>
      <c r="H580" s="2295"/>
      <c r="I580" s="2295"/>
      <c r="J580" s="2295"/>
      <c r="K580" s="2295"/>
      <c r="L580" s="2295"/>
      <c r="M580" s="2295"/>
      <c r="N580" s="2295"/>
      <c r="O580" s="2295"/>
      <c r="P580" s="2295"/>
      <c r="Q580" s="2295"/>
      <c r="R580" s="2152"/>
      <c r="S580" s="2152"/>
      <c r="T580" s="2152"/>
      <c r="U580" s="2152"/>
      <c r="V580" s="2152"/>
      <c r="W580" s="2152"/>
      <c r="X580" s="2152"/>
      <c r="Y580" s="2152"/>
      <c r="Z580" s="2315"/>
      <c r="AA580" s="2316"/>
      <c r="AB580" s="1676"/>
    </row>
    <row r="581" spans="1:28" ht="28.5" customHeight="1" x14ac:dyDescent="0.25">
      <c r="B581" s="2181" t="s">
        <v>4</v>
      </c>
      <c r="C581" s="2294" t="s">
        <v>3340</v>
      </c>
      <c r="D581" s="2295"/>
      <c r="E581" s="2295"/>
      <c r="F581" s="2295"/>
      <c r="G581" s="2295"/>
      <c r="H581" s="2295"/>
      <c r="I581" s="2295"/>
      <c r="J581" s="2295"/>
      <c r="K581" s="2295"/>
      <c r="L581" s="2295"/>
      <c r="M581" s="2152"/>
      <c r="N581" s="2152"/>
      <c r="O581" s="2152"/>
      <c r="P581" s="2152"/>
      <c r="Q581" s="2152"/>
      <c r="R581" s="2152"/>
      <c r="S581" s="2152"/>
      <c r="T581" s="2152"/>
      <c r="U581" s="2152"/>
      <c r="V581" s="2152"/>
      <c r="W581" s="2152"/>
      <c r="X581" s="2152"/>
      <c r="Y581" s="2152"/>
      <c r="Z581" s="2315"/>
      <c r="AA581" s="2316"/>
      <c r="AB581" s="1676"/>
    </row>
    <row r="582" spans="1:28" ht="42" customHeight="1" x14ac:dyDescent="0.25">
      <c r="B582" s="2151" t="s">
        <v>2155</v>
      </c>
      <c r="C582" s="2294" t="s">
        <v>3341</v>
      </c>
      <c r="D582" s="2295"/>
      <c r="E582" s="2295"/>
      <c r="F582" s="2295"/>
      <c r="G582" s="2295"/>
      <c r="H582" s="2295"/>
      <c r="I582" s="2295"/>
      <c r="J582" s="2152"/>
      <c r="K582" s="2152"/>
      <c r="L582" s="2152"/>
      <c r="M582" s="2152"/>
      <c r="N582" s="2152"/>
      <c r="O582" s="2152"/>
      <c r="P582" s="2152"/>
      <c r="Q582" s="2152"/>
      <c r="R582" s="2152"/>
      <c r="S582" s="2152"/>
      <c r="T582" s="2152"/>
      <c r="U582" s="2152"/>
      <c r="V582" s="2152"/>
      <c r="W582" s="2152"/>
      <c r="X582" s="2152"/>
      <c r="Y582" s="2152"/>
      <c r="Z582" s="2315"/>
      <c r="AA582" s="2316"/>
      <c r="AB582" s="1676"/>
    </row>
    <row r="583" spans="1:28" ht="18.75" customHeight="1" x14ac:dyDescent="0.25">
      <c r="B583" s="2158" t="s">
        <v>8</v>
      </c>
      <c r="C583" s="3035" t="s">
        <v>3337</v>
      </c>
      <c r="D583" s="3036"/>
      <c r="E583" s="2215"/>
      <c r="F583" s="1716"/>
      <c r="G583" s="1716"/>
      <c r="H583" s="1716"/>
      <c r="I583" s="1716"/>
      <c r="J583" s="1716"/>
      <c r="K583" s="1716"/>
      <c r="L583" s="1716"/>
      <c r="M583" s="1716"/>
      <c r="N583" s="1716"/>
      <c r="O583" s="1716"/>
      <c r="P583" s="1716"/>
      <c r="Q583" s="1716"/>
      <c r="R583" s="1716"/>
      <c r="S583" s="1716"/>
      <c r="T583" s="1716"/>
      <c r="U583" s="1716"/>
      <c r="V583" s="1716"/>
      <c r="W583" s="1716"/>
      <c r="X583" s="1716"/>
      <c r="Y583" s="1716"/>
      <c r="Z583" s="1716"/>
      <c r="AA583" s="1716"/>
      <c r="AB583" s="1676"/>
    </row>
    <row r="584" spans="1:28" ht="18.75" customHeight="1" x14ac:dyDescent="0.25">
      <c r="B584" s="2155" t="s">
        <v>11</v>
      </c>
      <c r="C584" s="2147" t="s">
        <v>3342</v>
      </c>
      <c r="E584" s="1327"/>
      <c r="F584" s="1327"/>
      <c r="G584" s="1327"/>
      <c r="H584" s="1327"/>
      <c r="I584" s="1327"/>
      <c r="J584" s="1327"/>
      <c r="K584" s="1327"/>
      <c r="L584" s="1327"/>
      <c r="M584" s="1327"/>
      <c r="N584" s="1327"/>
      <c r="O584" s="1327"/>
      <c r="P584" s="1327"/>
      <c r="Q584" s="1327"/>
      <c r="R584" s="1327"/>
      <c r="S584" s="1327"/>
      <c r="T584" s="1327"/>
      <c r="U584" s="1327"/>
      <c r="V584" s="1327"/>
      <c r="W584" s="1327"/>
      <c r="X584" s="1327"/>
      <c r="Y584" s="1327"/>
      <c r="Z584" s="1327"/>
      <c r="AA584" s="1327"/>
      <c r="AB584" s="1693"/>
    </row>
    <row r="585" spans="1:28" ht="12.75" customHeight="1" x14ac:dyDescent="0.25">
      <c r="B585" s="2397" t="s">
        <v>1214</v>
      </c>
      <c r="C585" s="2399" t="s">
        <v>21</v>
      </c>
      <c r="D585" s="2384" t="s">
        <v>3343</v>
      </c>
      <c r="E585" s="2374" t="s">
        <v>23</v>
      </c>
      <c r="F585" s="2374" t="s">
        <v>3344</v>
      </c>
      <c r="G585" s="1360" t="s">
        <v>3345</v>
      </c>
      <c r="H585" s="2374" t="s">
        <v>26</v>
      </c>
      <c r="I585" s="1360" t="s">
        <v>27</v>
      </c>
      <c r="J585" s="2376" t="s">
        <v>28</v>
      </c>
      <c r="K585" s="2377"/>
      <c r="L585" s="2374" t="s">
        <v>29</v>
      </c>
      <c r="M585" s="2408" t="s">
        <v>30</v>
      </c>
      <c r="N585" s="2409"/>
      <c r="O585" s="2400" t="s">
        <v>31</v>
      </c>
      <c r="P585" s="2401"/>
      <c r="Q585" s="2401"/>
      <c r="R585" s="2401"/>
      <c r="S585" s="2401"/>
      <c r="T585" s="2401"/>
      <c r="U585" s="2401"/>
      <c r="V585" s="2401"/>
      <c r="W585" s="2401"/>
      <c r="X585" s="2401"/>
      <c r="Y585" s="2401"/>
      <c r="Z585" s="2402"/>
      <c r="AA585" s="2384" t="s">
        <v>32</v>
      </c>
    </row>
    <row r="586" spans="1:28" ht="14.25" customHeight="1" x14ac:dyDescent="0.25">
      <c r="B586" s="2398"/>
      <c r="C586" s="2399"/>
      <c r="D586" s="2385"/>
      <c r="E586" s="2375"/>
      <c r="F586" s="2375"/>
      <c r="G586" s="1361"/>
      <c r="H586" s="2375"/>
      <c r="I586" s="1361"/>
      <c r="J586" s="1311" t="s">
        <v>33</v>
      </c>
      <c r="K586" s="1311" t="s">
        <v>34</v>
      </c>
      <c r="L586" s="2375"/>
      <c r="M586" s="2410"/>
      <c r="N586" s="2411"/>
      <c r="O586" s="1310" t="s">
        <v>35</v>
      </c>
      <c r="P586" s="1310" t="s">
        <v>36</v>
      </c>
      <c r="Q586" s="1310" t="s">
        <v>37</v>
      </c>
      <c r="R586" s="1310" t="s">
        <v>38</v>
      </c>
      <c r="S586" s="1310" t="s">
        <v>39</v>
      </c>
      <c r="T586" s="1310" t="s">
        <v>40</v>
      </c>
      <c r="U586" s="1310" t="s">
        <v>41</v>
      </c>
      <c r="V586" s="1310" t="s">
        <v>42</v>
      </c>
      <c r="W586" s="1310" t="s">
        <v>43</v>
      </c>
      <c r="X586" s="1310" t="s">
        <v>44</v>
      </c>
      <c r="Y586" s="1310" t="s">
        <v>45</v>
      </c>
      <c r="Z586" s="1310" t="s">
        <v>46</v>
      </c>
      <c r="AA586" s="2385"/>
    </row>
    <row r="587" spans="1:28" ht="15" customHeight="1" x14ac:dyDescent="0.25">
      <c r="B587" s="2378">
        <v>5000003</v>
      </c>
      <c r="C587" s="2380" t="s">
        <v>1085</v>
      </c>
      <c r="D587" s="2378" t="s">
        <v>3346</v>
      </c>
      <c r="E587" s="2380">
        <v>12</v>
      </c>
      <c r="F587" s="2382" t="s">
        <v>2980</v>
      </c>
      <c r="G587" s="2382" t="s">
        <v>165</v>
      </c>
      <c r="H587" s="1696"/>
      <c r="I587" s="1694" t="s">
        <v>235</v>
      </c>
      <c r="J587" s="1699"/>
      <c r="K587" s="1699">
        <v>415504</v>
      </c>
      <c r="L587" s="2386" t="s">
        <v>3402</v>
      </c>
      <c r="M587" s="1350" t="s">
        <v>1344</v>
      </c>
      <c r="N587" s="1351"/>
      <c r="O587" s="1554"/>
      <c r="P587" s="1554"/>
      <c r="Q587" s="1554"/>
      <c r="R587" s="1554"/>
      <c r="S587" s="1554"/>
      <c r="T587" s="1554"/>
      <c r="U587" s="1554"/>
      <c r="V587" s="1554"/>
      <c r="W587" s="1554"/>
      <c r="X587" s="1554"/>
      <c r="Y587" s="1554"/>
      <c r="Z587" s="1554"/>
      <c r="AA587" s="1554">
        <f t="shared" ref="AA587:AA625" si="207">SUM(O587:Z587)</f>
        <v>0</v>
      </c>
    </row>
    <row r="588" spans="1:28" ht="47.25" customHeight="1" x14ac:dyDescent="0.25">
      <c r="B588" s="2379"/>
      <c r="C588" s="2381"/>
      <c r="D588" s="2379"/>
      <c r="E588" s="2381"/>
      <c r="F588" s="2383"/>
      <c r="G588" s="2383"/>
      <c r="H588" s="1721"/>
      <c r="I588" s="1565"/>
      <c r="J588" s="1720"/>
      <c r="K588" s="1720">
        <v>179769</v>
      </c>
      <c r="L588" s="2387"/>
      <c r="M588" s="1350" t="s">
        <v>111</v>
      </c>
      <c r="N588" s="1351"/>
      <c r="O588" s="1554">
        <f>O590+O610+O613+O616</f>
        <v>12963.29</v>
      </c>
      <c r="P588" s="1554">
        <f t="shared" ref="P588:Z588" si="208">P590+P610+P613+P616</f>
        <v>15733.29</v>
      </c>
      <c r="Q588" s="1554">
        <f t="shared" si="208"/>
        <v>13143.29</v>
      </c>
      <c r="R588" s="1554">
        <f t="shared" si="208"/>
        <v>26463.29</v>
      </c>
      <c r="S588" s="1554">
        <f t="shared" si="208"/>
        <v>13143.29</v>
      </c>
      <c r="T588" s="1554">
        <f t="shared" si="208"/>
        <v>15683.29</v>
      </c>
      <c r="U588" s="1554">
        <f t="shared" si="208"/>
        <v>25143.29</v>
      </c>
      <c r="V588" s="1554">
        <f t="shared" si="208"/>
        <v>10263.290000000001</v>
      </c>
      <c r="W588" s="1554">
        <f t="shared" si="208"/>
        <v>14843.29</v>
      </c>
      <c r="X588" s="1554">
        <f t="shared" si="208"/>
        <v>10703.29</v>
      </c>
      <c r="Y588" s="1554">
        <f t="shared" si="208"/>
        <v>9143.2900000000009</v>
      </c>
      <c r="Z588" s="1554">
        <f t="shared" si="208"/>
        <v>12543.29</v>
      </c>
      <c r="AA588" s="1554">
        <f t="shared" si="207"/>
        <v>179769.48000000007</v>
      </c>
    </row>
    <row r="589" spans="1:28" ht="15" customHeight="1" x14ac:dyDescent="0.25">
      <c r="B589" s="2393"/>
      <c r="C589" s="1689"/>
      <c r="D589" s="2347" t="s">
        <v>3348</v>
      </c>
      <c r="E589" s="1678"/>
      <c r="F589" s="1679"/>
      <c r="G589" s="1679"/>
      <c r="H589" s="2333" t="s">
        <v>3349</v>
      </c>
      <c r="I589" s="2333" t="s">
        <v>3350</v>
      </c>
      <c r="J589" s="2370">
        <f>AA589</f>
        <v>4</v>
      </c>
      <c r="K589" s="2370">
        <f>AA590</f>
        <v>142789.48000000004</v>
      </c>
      <c r="L589" s="1700"/>
      <c r="M589" s="558" t="s">
        <v>1344</v>
      </c>
      <c r="N589" s="558"/>
      <c r="O589" s="1616">
        <v>4</v>
      </c>
      <c r="P589" s="1616"/>
      <c r="Q589" s="1616"/>
      <c r="R589" s="1616"/>
      <c r="S589" s="1616"/>
      <c r="T589" s="1616"/>
      <c r="U589" s="1616"/>
      <c r="V589" s="1616"/>
      <c r="W589" s="1616"/>
      <c r="X589" s="1616"/>
      <c r="Y589" s="1616"/>
      <c r="Z589" s="1616"/>
      <c r="AA589" s="1616">
        <f t="shared" si="207"/>
        <v>4</v>
      </c>
    </row>
    <row r="590" spans="1:28" x14ac:dyDescent="0.25">
      <c r="B590" s="2394"/>
      <c r="C590" s="1690"/>
      <c r="D590" s="2363"/>
      <c r="E590" s="1680"/>
      <c r="F590" s="1681"/>
      <c r="G590" s="1681"/>
      <c r="H590" s="2373"/>
      <c r="I590" s="2373"/>
      <c r="J590" s="2371"/>
      <c r="K590" s="2371"/>
      <c r="L590" s="1701"/>
      <c r="M590" s="558" t="s">
        <v>111</v>
      </c>
      <c r="N590" s="558"/>
      <c r="O590" s="1616">
        <f>SUM(O591:O608)</f>
        <v>12963.29</v>
      </c>
      <c r="P590" s="1616">
        <f t="shared" ref="P590:Z590" si="209">SUM(P591:P608)</f>
        <v>14893.29</v>
      </c>
      <c r="Q590" s="1616">
        <f t="shared" si="209"/>
        <v>13143.29</v>
      </c>
      <c r="R590" s="1616">
        <f t="shared" si="209"/>
        <v>10143.290000000001</v>
      </c>
      <c r="S590" s="1616">
        <f t="shared" si="209"/>
        <v>13143.29</v>
      </c>
      <c r="T590" s="1616">
        <f t="shared" si="209"/>
        <v>14143.29</v>
      </c>
      <c r="U590" s="1616">
        <f t="shared" si="209"/>
        <v>11143.29</v>
      </c>
      <c r="V590" s="1616">
        <f t="shared" si="209"/>
        <v>9143.2900000000009</v>
      </c>
      <c r="W590" s="1616">
        <f t="shared" si="209"/>
        <v>13643.29</v>
      </c>
      <c r="X590" s="1616">
        <f t="shared" si="209"/>
        <v>10143.290000000001</v>
      </c>
      <c r="Y590" s="1616">
        <f t="shared" si="209"/>
        <v>9143.2900000000009</v>
      </c>
      <c r="Z590" s="1616">
        <f t="shared" si="209"/>
        <v>11143.29</v>
      </c>
      <c r="AA590" s="1616">
        <f t="shared" si="207"/>
        <v>142789.48000000004</v>
      </c>
    </row>
    <row r="591" spans="1:28" x14ac:dyDescent="0.25">
      <c r="B591" s="2394"/>
      <c r="C591" s="1690"/>
      <c r="D591" s="2363"/>
      <c r="E591" s="1680"/>
      <c r="F591" s="1681"/>
      <c r="G591" s="1681"/>
      <c r="H591" s="2373"/>
      <c r="I591" s="2373"/>
      <c r="J591" s="2371"/>
      <c r="K591" s="2371"/>
      <c r="L591" s="1701"/>
      <c r="M591" s="558" t="s">
        <v>3351</v>
      </c>
      <c r="N591" s="558" t="s">
        <v>1190</v>
      </c>
      <c r="O591" s="1616">
        <f t="shared" ref="O591:Z591" si="210">Angel+David+Monica+Willam</f>
        <v>6900</v>
      </c>
      <c r="P591" s="1616">
        <f t="shared" si="210"/>
        <v>6900</v>
      </c>
      <c r="Q591" s="1616">
        <f t="shared" si="210"/>
        <v>6900</v>
      </c>
      <c r="R591" s="1616">
        <f t="shared" si="210"/>
        <v>6900</v>
      </c>
      <c r="S591" s="1616">
        <f t="shared" si="210"/>
        <v>6900</v>
      </c>
      <c r="T591" s="1616">
        <f t="shared" si="210"/>
        <v>6900</v>
      </c>
      <c r="U591" s="1616">
        <f t="shared" si="210"/>
        <v>6900</v>
      </c>
      <c r="V591" s="1616">
        <f t="shared" si="210"/>
        <v>6900</v>
      </c>
      <c r="W591" s="1616">
        <f t="shared" si="210"/>
        <v>6900</v>
      </c>
      <c r="X591" s="1616">
        <f t="shared" si="210"/>
        <v>6900</v>
      </c>
      <c r="Y591" s="1616">
        <f t="shared" si="210"/>
        <v>6900</v>
      </c>
      <c r="Z591" s="1616">
        <f t="shared" si="210"/>
        <v>6900</v>
      </c>
      <c r="AA591" s="1616">
        <f t="shared" si="207"/>
        <v>82800</v>
      </c>
    </row>
    <row r="592" spans="1:28" ht="22.5" x14ac:dyDescent="0.25">
      <c r="B592" s="2394"/>
      <c r="C592" s="1690"/>
      <c r="D592" s="2363"/>
      <c r="E592" s="1680"/>
      <c r="F592" s="1681"/>
      <c r="G592" s="1681"/>
      <c r="H592" s="2373"/>
      <c r="I592" s="2373"/>
      <c r="J592" s="2371"/>
      <c r="K592" s="2371"/>
      <c r="L592" s="1701"/>
      <c r="M592" s="558" t="s">
        <v>3352</v>
      </c>
      <c r="N592" s="558" t="s">
        <v>3353</v>
      </c>
      <c r="O592" s="1682">
        <f t="shared" ref="O592:Z592" si="211">O591*5.41%</f>
        <v>373.29</v>
      </c>
      <c r="P592" s="1682">
        <f t="shared" si="211"/>
        <v>373.29</v>
      </c>
      <c r="Q592" s="1682">
        <f t="shared" si="211"/>
        <v>373.29</v>
      </c>
      <c r="R592" s="1682">
        <f t="shared" si="211"/>
        <v>373.29</v>
      </c>
      <c r="S592" s="1682">
        <f t="shared" si="211"/>
        <v>373.29</v>
      </c>
      <c r="T592" s="1682">
        <f t="shared" si="211"/>
        <v>373.29</v>
      </c>
      <c r="U592" s="1682">
        <f t="shared" si="211"/>
        <v>373.29</v>
      </c>
      <c r="V592" s="1682">
        <f t="shared" si="211"/>
        <v>373.29</v>
      </c>
      <c r="W592" s="1682">
        <f t="shared" si="211"/>
        <v>373.29</v>
      </c>
      <c r="X592" s="1682">
        <f t="shared" si="211"/>
        <v>373.29</v>
      </c>
      <c r="Y592" s="1682">
        <f t="shared" si="211"/>
        <v>373.29</v>
      </c>
      <c r="Z592" s="1682">
        <f t="shared" si="211"/>
        <v>373.29</v>
      </c>
      <c r="AA592" s="1616">
        <f t="shared" si="207"/>
        <v>4479.4800000000005</v>
      </c>
    </row>
    <row r="593" spans="2:27" x14ac:dyDescent="0.25">
      <c r="B593" s="2394"/>
      <c r="C593" s="1690"/>
      <c r="D593" s="2363"/>
      <c r="E593" s="1680"/>
      <c r="F593" s="1681"/>
      <c r="G593" s="1681"/>
      <c r="H593" s="2373"/>
      <c r="I593" s="2373"/>
      <c r="J593" s="2371"/>
      <c r="K593" s="2371"/>
      <c r="L593" s="1701"/>
      <c r="M593" s="558" t="s">
        <v>3354</v>
      </c>
      <c r="N593" s="558" t="s">
        <v>173</v>
      </c>
      <c r="O593" s="1616"/>
      <c r="P593" s="1616"/>
      <c r="Q593" s="1616"/>
      <c r="R593" s="1616"/>
      <c r="S593" s="1616"/>
      <c r="T593" s="1616"/>
      <c r="U593" s="1616">
        <v>2000</v>
      </c>
      <c r="V593" s="1616"/>
      <c r="W593" s="1616"/>
      <c r="X593" s="1616"/>
      <c r="Y593" s="1616"/>
      <c r="Z593" s="1616">
        <f>500*4</f>
        <v>2000</v>
      </c>
      <c r="AA593" s="1616">
        <f t="shared" si="207"/>
        <v>4000</v>
      </c>
    </row>
    <row r="594" spans="2:27" ht="22.5" x14ac:dyDescent="0.25">
      <c r="B594" s="2394"/>
      <c r="C594" s="1690"/>
      <c r="D594" s="2363"/>
      <c r="E594" s="1680"/>
      <c r="F594" s="1681"/>
      <c r="G594" s="1681"/>
      <c r="H594" s="2373"/>
      <c r="I594" s="2373"/>
      <c r="J594" s="2371"/>
      <c r="K594" s="2371"/>
      <c r="L594" s="1701"/>
      <c r="M594" s="558" t="s">
        <v>3355</v>
      </c>
      <c r="N594" s="558" t="s">
        <v>1367</v>
      </c>
      <c r="O594" s="1616">
        <v>3000</v>
      </c>
      <c r="P594" s="1616"/>
      <c r="Q594" s="1616"/>
      <c r="R594" s="1616"/>
      <c r="S594" s="1616">
        <v>3000</v>
      </c>
      <c r="T594" s="1616"/>
      <c r="U594" s="1616"/>
      <c r="V594" s="1616"/>
      <c r="W594" s="1616">
        <v>3000</v>
      </c>
      <c r="X594" s="1616"/>
      <c r="Y594" s="1616"/>
      <c r="Z594" s="1616"/>
      <c r="AA594" s="1616">
        <f t="shared" si="207"/>
        <v>9000</v>
      </c>
    </row>
    <row r="595" spans="2:27" ht="22.5" x14ac:dyDescent="0.25">
      <c r="B595" s="2394"/>
      <c r="C595" s="1690"/>
      <c r="D595" s="2363"/>
      <c r="E595" s="1680"/>
      <c r="F595" s="1681"/>
      <c r="G595" s="1681"/>
      <c r="H595" s="2373"/>
      <c r="I595" s="2373"/>
      <c r="J595" s="2371"/>
      <c r="K595" s="2371"/>
      <c r="L595" s="1701"/>
      <c r="M595" s="558" t="s">
        <v>2341</v>
      </c>
      <c r="N595" s="558" t="s">
        <v>187</v>
      </c>
      <c r="O595" s="1616"/>
      <c r="P595" s="1616">
        <v>700</v>
      </c>
      <c r="Q595" s="1616"/>
      <c r="R595" s="1616"/>
      <c r="S595" s="1616"/>
      <c r="T595" s="1616"/>
      <c r="U595" s="1616"/>
      <c r="V595" s="1616"/>
      <c r="W595" s="1616">
        <v>300</v>
      </c>
      <c r="X595" s="1616"/>
      <c r="Y595" s="1616"/>
      <c r="Z595" s="1616"/>
      <c r="AA595" s="1616">
        <f t="shared" si="207"/>
        <v>1000</v>
      </c>
    </row>
    <row r="596" spans="2:27" ht="33.75" x14ac:dyDescent="0.25">
      <c r="B596" s="2394"/>
      <c r="C596" s="1690"/>
      <c r="D596" s="2363"/>
      <c r="E596" s="1680"/>
      <c r="F596" s="1681"/>
      <c r="G596" s="1681"/>
      <c r="H596" s="2373"/>
      <c r="I596" s="2373"/>
      <c r="J596" s="2371"/>
      <c r="K596" s="2371"/>
      <c r="L596" s="1701"/>
      <c r="M596" s="558" t="s">
        <v>3356</v>
      </c>
      <c r="N596" s="558" t="s">
        <v>3357</v>
      </c>
      <c r="O596" s="1616"/>
      <c r="P596" s="1616">
        <v>1800</v>
      </c>
      <c r="Q596" s="1616"/>
      <c r="R596" s="1616"/>
      <c r="S596" s="1616"/>
      <c r="T596" s="1616"/>
      <c r="U596" s="1616"/>
      <c r="V596" s="1616"/>
      <c r="W596" s="1616"/>
      <c r="X596" s="1616"/>
      <c r="Y596" s="1616"/>
      <c r="Z596" s="1616"/>
      <c r="AA596" s="1616">
        <f t="shared" si="207"/>
        <v>1800</v>
      </c>
    </row>
    <row r="597" spans="2:27" x14ac:dyDescent="0.25">
      <c r="B597" s="2394"/>
      <c r="C597" s="1690"/>
      <c r="D597" s="2363"/>
      <c r="E597" s="1680"/>
      <c r="F597" s="1681"/>
      <c r="G597" s="1681"/>
      <c r="H597" s="2373"/>
      <c r="I597" s="2373"/>
      <c r="J597" s="2371"/>
      <c r="K597" s="2371"/>
      <c r="L597" s="1701"/>
      <c r="M597" s="558" t="s">
        <v>3358</v>
      </c>
      <c r="N597" s="558" t="s">
        <v>2065</v>
      </c>
      <c r="O597" s="1616"/>
      <c r="P597" s="1616"/>
      <c r="Q597" s="1616"/>
      <c r="R597" s="1616">
        <v>1000</v>
      </c>
      <c r="S597" s="1616"/>
      <c r="T597" s="1616"/>
      <c r="U597" s="1616"/>
      <c r="V597" s="1616"/>
      <c r="W597" s="1616"/>
      <c r="X597" s="1616">
        <v>1000</v>
      </c>
      <c r="Y597" s="1616"/>
      <c r="Z597" s="1616"/>
      <c r="AA597" s="1616">
        <f t="shared" si="207"/>
        <v>2000</v>
      </c>
    </row>
    <row r="598" spans="2:27" ht="45" x14ac:dyDescent="0.25">
      <c r="B598" s="2394"/>
      <c r="C598" s="1690"/>
      <c r="D598" s="2363"/>
      <c r="E598" s="1680"/>
      <c r="F598" s="1681"/>
      <c r="G598" s="1681"/>
      <c r="H598" s="2373"/>
      <c r="I598" s="2373"/>
      <c r="J598" s="2371"/>
      <c r="K598" s="2371"/>
      <c r="L598" s="1701"/>
      <c r="M598" s="558" t="s">
        <v>3359</v>
      </c>
      <c r="N598" s="558" t="s">
        <v>3360</v>
      </c>
      <c r="O598" s="1616">
        <v>300</v>
      </c>
      <c r="P598" s="1616">
        <v>300</v>
      </c>
      <c r="Q598" s="1616">
        <v>300</v>
      </c>
      <c r="R598" s="1616">
        <v>300</v>
      </c>
      <c r="S598" s="1616">
        <v>300</v>
      </c>
      <c r="T598" s="1616">
        <v>300</v>
      </c>
      <c r="U598" s="1616">
        <v>300</v>
      </c>
      <c r="V598" s="1616">
        <v>300</v>
      </c>
      <c r="W598" s="1616">
        <v>300</v>
      </c>
      <c r="X598" s="1616">
        <v>300</v>
      </c>
      <c r="Y598" s="1616">
        <v>300</v>
      </c>
      <c r="Z598" s="1616">
        <v>300</v>
      </c>
      <c r="AA598" s="1616">
        <f t="shared" si="207"/>
        <v>3600</v>
      </c>
    </row>
    <row r="599" spans="2:27" ht="22.5" x14ac:dyDescent="0.25">
      <c r="B599" s="2394"/>
      <c r="C599" s="1690"/>
      <c r="D599" s="2363"/>
      <c r="E599" s="1680"/>
      <c r="F599" s="1681"/>
      <c r="G599" s="1681"/>
      <c r="H599" s="2373"/>
      <c r="I599" s="2373"/>
      <c r="J599" s="2371"/>
      <c r="K599" s="2371"/>
      <c r="L599" s="1701"/>
      <c r="M599" s="558" t="s">
        <v>3361</v>
      </c>
      <c r="N599" s="558" t="s">
        <v>3362</v>
      </c>
      <c r="O599" s="1616">
        <v>120</v>
      </c>
      <c r="P599" s="1616">
        <v>120</v>
      </c>
      <c r="Q599" s="1616">
        <v>120</v>
      </c>
      <c r="R599" s="1616">
        <v>120</v>
      </c>
      <c r="S599" s="1616">
        <v>120</v>
      </c>
      <c r="T599" s="1616">
        <v>120</v>
      </c>
      <c r="U599" s="1616">
        <v>120</v>
      </c>
      <c r="V599" s="1616">
        <v>120</v>
      </c>
      <c r="W599" s="1616">
        <v>120</v>
      </c>
      <c r="X599" s="1616">
        <v>120</v>
      </c>
      <c r="Y599" s="1616">
        <v>120</v>
      </c>
      <c r="Z599" s="1616">
        <v>120</v>
      </c>
      <c r="AA599" s="1616">
        <f t="shared" si="207"/>
        <v>1440</v>
      </c>
    </row>
    <row r="600" spans="2:27" ht="33.75" x14ac:dyDescent="0.25">
      <c r="B600" s="2394"/>
      <c r="C600" s="1690"/>
      <c r="D600" s="2363"/>
      <c r="E600" s="1680"/>
      <c r="F600" s="1681"/>
      <c r="G600" s="1681"/>
      <c r="H600" s="2373"/>
      <c r="I600" s="2373"/>
      <c r="J600" s="2371"/>
      <c r="K600" s="2371"/>
      <c r="L600" s="1701"/>
      <c r="M600" s="558" t="s">
        <v>3363</v>
      </c>
      <c r="N600" s="558" t="s">
        <v>3002</v>
      </c>
      <c r="O600" s="1616">
        <v>1250</v>
      </c>
      <c r="P600" s="1616">
        <v>1250</v>
      </c>
      <c r="Q600" s="1616">
        <v>1250</v>
      </c>
      <c r="R600" s="1616">
        <v>1250</v>
      </c>
      <c r="S600" s="1616">
        <v>1250</v>
      </c>
      <c r="T600" s="1616">
        <v>1250</v>
      </c>
      <c r="U600" s="1616">
        <v>1250</v>
      </c>
      <c r="V600" s="1616">
        <v>1250</v>
      </c>
      <c r="W600" s="1616">
        <v>1250</v>
      </c>
      <c r="X600" s="1616">
        <v>1250</v>
      </c>
      <c r="Y600" s="1616">
        <v>1250</v>
      </c>
      <c r="Z600" s="1616">
        <v>1250</v>
      </c>
      <c r="AA600" s="1616">
        <f t="shared" si="207"/>
        <v>15000</v>
      </c>
    </row>
    <row r="601" spans="2:27" ht="33.75" x14ac:dyDescent="0.25">
      <c r="B601" s="2394"/>
      <c r="C601" s="1690"/>
      <c r="D601" s="2363"/>
      <c r="E601" s="1680"/>
      <c r="F601" s="1681"/>
      <c r="G601" s="1681"/>
      <c r="H601" s="2373"/>
      <c r="I601" s="2373"/>
      <c r="J601" s="2371"/>
      <c r="K601" s="2371"/>
      <c r="L601" s="1701"/>
      <c r="M601" s="558" t="s">
        <v>3364</v>
      </c>
      <c r="N601" s="558" t="s">
        <v>3365</v>
      </c>
      <c r="O601" s="1616">
        <v>400</v>
      </c>
      <c r="P601" s="1616"/>
      <c r="Q601" s="1616"/>
      <c r="R601" s="1616"/>
      <c r="S601" s="1616"/>
      <c r="T601" s="1616"/>
      <c r="U601" s="1616"/>
      <c r="V601" s="1616"/>
      <c r="W601" s="1616"/>
      <c r="X601" s="1616"/>
      <c r="Y601" s="1616"/>
      <c r="Z601" s="1616"/>
      <c r="AA601" s="1616">
        <f t="shared" si="207"/>
        <v>400</v>
      </c>
    </row>
    <row r="602" spans="2:27" ht="22.5" x14ac:dyDescent="0.25">
      <c r="B602" s="2394"/>
      <c r="C602" s="1690"/>
      <c r="D602" s="2363"/>
      <c r="E602" s="1680"/>
      <c r="F602" s="1681"/>
      <c r="G602" s="1681"/>
      <c r="H602" s="2373"/>
      <c r="I602" s="2373"/>
      <c r="J602" s="2371"/>
      <c r="K602" s="2371"/>
      <c r="L602" s="1701"/>
      <c r="M602" s="558" t="s">
        <v>1492</v>
      </c>
      <c r="N602" s="558" t="s">
        <v>207</v>
      </c>
      <c r="O602" s="1616"/>
      <c r="P602" s="1616"/>
      <c r="Q602" s="1616">
        <v>150</v>
      </c>
      <c r="R602" s="1616">
        <v>150</v>
      </c>
      <c r="S602" s="1616">
        <v>150</v>
      </c>
      <c r="T602" s="1616">
        <v>150</v>
      </c>
      <c r="U602" s="1616">
        <v>150</v>
      </c>
      <c r="V602" s="1616">
        <v>150</v>
      </c>
      <c r="W602" s="1616">
        <v>150</v>
      </c>
      <c r="X602" s="1616">
        <v>150</v>
      </c>
      <c r="Y602" s="1616">
        <v>150</v>
      </c>
      <c r="Z602" s="1616">
        <v>150</v>
      </c>
      <c r="AA602" s="1616">
        <f t="shared" si="207"/>
        <v>1500</v>
      </c>
    </row>
    <row r="603" spans="2:27" ht="33.75" x14ac:dyDescent="0.25">
      <c r="B603" s="2394"/>
      <c r="C603" s="1690"/>
      <c r="D603" s="2363"/>
      <c r="E603" s="1680"/>
      <c r="F603" s="1681"/>
      <c r="G603" s="1681"/>
      <c r="H603" s="2373"/>
      <c r="I603" s="2373"/>
      <c r="J603" s="2371"/>
      <c r="K603" s="2371"/>
      <c r="L603" s="1701"/>
      <c r="M603" s="558" t="s">
        <v>3366</v>
      </c>
      <c r="N603" s="558" t="s">
        <v>3367</v>
      </c>
      <c r="O603" s="1616">
        <v>120</v>
      </c>
      <c r="P603" s="1616">
        <v>50</v>
      </c>
      <c r="Q603" s="1616">
        <v>50</v>
      </c>
      <c r="R603" s="1616">
        <v>50</v>
      </c>
      <c r="S603" s="1616">
        <v>50</v>
      </c>
      <c r="T603" s="1616">
        <v>50</v>
      </c>
      <c r="U603" s="1616">
        <v>50</v>
      </c>
      <c r="V603" s="1616">
        <v>50</v>
      </c>
      <c r="W603" s="1616">
        <v>50</v>
      </c>
      <c r="X603" s="1616">
        <v>50</v>
      </c>
      <c r="Y603" s="1616">
        <v>50</v>
      </c>
      <c r="Z603" s="1616">
        <v>50</v>
      </c>
      <c r="AA603" s="1616">
        <f t="shared" si="207"/>
        <v>670</v>
      </c>
    </row>
    <row r="604" spans="2:27" ht="22.5" x14ac:dyDescent="0.25">
      <c r="B604" s="2394"/>
      <c r="C604" s="1690"/>
      <c r="D604" s="2363"/>
      <c r="E604" s="1680"/>
      <c r="F604" s="1681"/>
      <c r="G604" s="1681"/>
      <c r="H604" s="2373"/>
      <c r="I604" s="2373"/>
      <c r="J604" s="2371"/>
      <c r="K604" s="2371"/>
      <c r="L604" s="1701"/>
      <c r="M604" s="558" t="s">
        <v>2394</v>
      </c>
      <c r="N604" s="558" t="s">
        <v>183</v>
      </c>
      <c r="O604" s="1616">
        <v>500</v>
      </c>
      <c r="P604" s="1616"/>
      <c r="Q604" s="1616">
        <v>2000</v>
      </c>
      <c r="R604" s="1616"/>
      <c r="S604" s="1616"/>
      <c r="T604" s="1616"/>
      <c r="U604" s="1616"/>
      <c r="V604" s="1616"/>
      <c r="W604" s="1616"/>
      <c r="X604" s="1616"/>
      <c r="Y604" s="1616"/>
      <c r="Z604" s="1616"/>
      <c r="AA604" s="1616">
        <f t="shared" si="207"/>
        <v>2500</v>
      </c>
    </row>
    <row r="605" spans="2:27" ht="33.75" x14ac:dyDescent="0.25">
      <c r="B605" s="2394"/>
      <c r="C605" s="1690"/>
      <c r="D605" s="2363"/>
      <c r="E605" s="1680"/>
      <c r="F605" s="1681"/>
      <c r="G605" s="1681"/>
      <c r="H605" s="2373"/>
      <c r="I605" s="2373"/>
      <c r="J605" s="2371"/>
      <c r="K605" s="2371"/>
      <c r="L605" s="1701"/>
      <c r="M605" s="558" t="s">
        <v>1494</v>
      </c>
      <c r="N605" s="558" t="s">
        <v>1474</v>
      </c>
      <c r="O605" s="1616"/>
      <c r="P605" s="1616">
        <v>600</v>
      </c>
      <c r="Q605" s="1616"/>
      <c r="R605" s="1616"/>
      <c r="S605" s="1616">
        <v>1000</v>
      </c>
      <c r="T605" s="1616"/>
      <c r="U605" s="1616"/>
      <c r="V605" s="1616"/>
      <c r="W605" s="1616">
        <v>1200</v>
      </c>
      <c r="X605" s="1616"/>
      <c r="Y605" s="1616"/>
      <c r="Z605" s="1616"/>
      <c r="AA605" s="1616">
        <f t="shared" si="207"/>
        <v>2800</v>
      </c>
    </row>
    <row r="606" spans="2:27" ht="44.25" customHeight="1" x14ac:dyDescent="0.25">
      <c r="B606" s="2394"/>
      <c r="C606" s="1690"/>
      <c r="D606" s="2363"/>
      <c r="E606" s="1680"/>
      <c r="F606" s="1681"/>
      <c r="G606" s="1681"/>
      <c r="H606" s="2373"/>
      <c r="I606" s="2373"/>
      <c r="J606" s="2371"/>
      <c r="K606" s="2371"/>
      <c r="L606" s="1701"/>
      <c r="M606" s="345" t="s">
        <v>3368</v>
      </c>
      <c r="N606" s="345" t="s">
        <v>227</v>
      </c>
      <c r="O606" s="1616"/>
      <c r="P606" s="1616"/>
      <c r="Q606" s="1616"/>
      <c r="R606" s="1616"/>
      <c r="S606" s="1616"/>
      <c r="T606" s="1616">
        <v>5000</v>
      </c>
      <c r="U606" s="1616"/>
      <c r="V606" s="1616"/>
      <c r="W606" s="1616"/>
      <c r="X606" s="1616"/>
      <c r="Y606" s="1616"/>
      <c r="Z606" s="1616"/>
      <c r="AA606" s="1616">
        <f t="shared" si="207"/>
        <v>5000</v>
      </c>
    </row>
    <row r="607" spans="2:27" x14ac:dyDescent="0.25">
      <c r="B607" s="2394"/>
      <c r="C607" s="1690"/>
      <c r="D607" s="2363"/>
      <c r="E607" s="1680"/>
      <c r="F607" s="1681"/>
      <c r="G607" s="1681"/>
      <c r="H607" s="2373"/>
      <c r="I607" s="2373"/>
      <c r="J607" s="2371"/>
      <c r="K607" s="2371"/>
      <c r="L607" s="1701"/>
      <c r="M607" s="345" t="s">
        <v>3369</v>
      </c>
      <c r="N607" s="345" t="s">
        <v>556</v>
      </c>
      <c r="O607" s="1683"/>
      <c r="P607" s="1616">
        <v>2800</v>
      </c>
      <c r="Q607" s="1616"/>
      <c r="R607" s="1616"/>
      <c r="S607" s="1616"/>
      <c r="T607" s="1616"/>
      <c r="U607" s="1616"/>
      <c r="V607" s="1616"/>
      <c r="W607" s="1616"/>
      <c r="X607" s="1616"/>
      <c r="Y607" s="1616"/>
      <c r="Z607" s="1616"/>
      <c r="AA607" s="1616">
        <f t="shared" si="207"/>
        <v>2800</v>
      </c>
    </row>
    <row r="608" spans="2:27" x14ac:dyDescent="0.25">
      <c r="B608" s="2395"/>
      <c r="C608" s="1695"/>
      <c r="D608" s="2348"/>
      <c r="E608" s="1684"/>
      <c r="F608" s="1685"/>
      <c r="G608" s="1685"/>
      <c r="H608" s="2334"/>
      <c r="I608" s="2334"/>
      <c r="J608" s="2372"/>
      <c r="K608" s="2372"/>
      <c r="L608" s="1702"/>
      <c r="M608" s="558" t="s">
        <v>3370</v>
      </c>
      <c r="N608" s="558" t="s">
        <v>2076</v>
      </c>
      <c r="O608" s="1616"/>
      <c r="P608" s="1616"/>
      <c r="Q608" s="1616">
        <v>2000</v>
      </c>
      <c r="R608" s="1616"/>
      <c r="S608" s="1616"/>
      <c r="T608" s="1616"/>
      <c r="U608" s="1616"/>
      <c r="V608" s="1616"/>
      <c r="W608" s="1616"/>
      <c r="X608" s="1616"/>
      <c r="Y608" s="1616"/>
      <c r="Z608" s="1616"/>
      <c r="AA608" s="1616">
        <f t="shared" si="207"/>
        <v>2000</v>
      </c>
    </row>
    <row r="609" spans="2:27" ht="15" customHeight="1" x14ac:dyDescent="0.25">
      <c r="B609" s="2393"/>
      <c r="C609" s="2393"/>
      <c r="D609" s="2347" t="s">
        <v>3371</v>
      </c>
      <c r="E609" s="1678"/>
      <c r="F609" s="1679"/>
      <c r="G609" s="1679"/>
      <c r="H609" s="2333" t="s">
        <v>3372</v>
      </c>
      <c r="I609" s="2333" t="s">
        <v>2420</v>
      </c>
      <c r="J609" s="2370">
        <f>AA609</f>
        <v>0.99</v>
      </c>
      <c r="K609" s="2370">
        <f>AA610</f>
        <v>14000</v>
      </c>
      <c r="L609" s="1700"/>
      <c r="M609" s="558" t="s">
        <v>1344</v>
      </c>
      <c r="N609" s="345"/>
      <c r="O609" s="1616"/>
      <c r="P609" s="1616"/>
      <c r="Q609" s="1616"/>
      <c r="R609" s="1686">
        <v>0.33</v>
      </c>
      <c r="S609" s="1686">
        <v>0.33</v>
      </c>
      <c r="T609" s="1686">
        <v>0.33</v>
      </c>
      <c r="U609" s="1616"/>
      <c r="V609" s="1616"/>
      <c r="W609" s="1616"/>
      <c r="X609" s="1616"/>
      <c r="Y609" s="1616"/>
      <c r="Z609" s="1616"/>
      <c r="AA609" s="1616">
        <f t="shared" si="207"/>
        <v>0.99</v>
      </c>
    </row>
    <row r="610" spans="2:27" x14ac:dyDescent="0.25">
      <c r="B610" s="2394"/>
      <c r="C610" s="2394"/>
      <c r="D610" s="2363"/>
      <c r="E610" s="1680"/>
      <c r="F610" s="1681"/>
      <c r="G610" s="1681"/>
      <c r="H610" s="2373"/>
      <c r="I610" s="2373"/>
      <c r="J610" s="2371"/>
      <c r="K610" s="2371"/>
      <c r="L610" s="1701"/>
      <c r="M610" s="558" t="s">
        <v>111</v>
      </c>
      <c r="N610" s="345"/>
      <c r="O610" s="1616">
        <f>SUM(O611)</f>
        <v>0</v>
      </c>
      <c r="P610" s="1616">
        <f t="shared" ref="P610:Z610" si="212">SUM(P611)</f>
        <v>0</v>
      </c>
      <c r="Q610" s="1616">
        <f t="shared" si="212"/>
        <v>0</v>
      </c>
      <c r="R610" s="1616">
        <f t="shared" si="212"/>
        <v>7000</v>
      </c>
      <c r="S610" s="1616">
        <f t="shared" si="212"/>
        <v>0</v>
      </c>
      <c r="T610" s="1616">
        <f t="shared" si="212"/>
        <v>0</v>
      </c>
      <c r="U610" s="1616">
        <f t="shared" si="212"/>
        <v>7000</v>
      </c>
      <c r="V610" s="1616">
        <f t="shared" si="212"/>
        <v>0</v>
      </c>
      <c r="W610" s="1616">
        <f t="shared" si="212"/>
        <v>0</v>
      </c>
      <c r="X610" s="1616">
        <f t="shared" si="212"/>
        <v>0</v>
      </c>
      <c r="Y610" s="1616">
        <f t="shared" si="212"/>
        <v>0</v>
      </c>
      <c r="Z610" s="1616">
        <f t="shared" si="212"/>
        <v>0</v>
      </c>
      <c r="AA610" s="1616">
        <f t="shared" si="207"/>
        <v>14000</v>
      </c>
    </row>
    <row r="611" spans="2:27" ht="24.75" customHeight="1" x14ac:dyDescent="0.25">
      <c r="B611" s="2395"/>
      <c r="C611" s="2395"/>
      <c r="D611" s="2348"/>
      <c r="E611" s="1684"/>
      <c r="F611" s="1685"/>
      <c r="G611" s="1685"/>
      <c r="H611" s="2334"/>
      <c r="I611" s="2334"/>
      <c r="J611" s="2372"/>
      <c r="K611" s="2372"/>
      <c r="L611" s="1702"/>
      <c r="M611" s="558" t="s">
        <v>1493</v>
      </c>
      <c r="N611" s="558" t="s">
        <v>3373</v>
      </c>
      <c r="O611" s="1616"/>
      <c r="P611" s="1616"/>
      <c r="Q611" s="1616"/>
      <c r="R611" s="1616">
        <v>7000</v>
      </c>
      <c r="S611" s="1616"/>
      <c r="T611" s="1616"/>
      <c r="U611" s="1616">
        <v>7000</v>
      </c>
      <c r="V611" s="1616"/>
      <c r="W611" s="1616"/>
      <c r="X611" s="1616"/>
      <c r="Y611" s="1616"/>
      <c r="Z611" s="1616"/>
      <c r="AA611" s="1616">
        <f t="shared" si="207"/>
        <v>14000</v>
      </c>
    </row>
    <row r="612" spans="2:27" ht="15" customHeight="1" x14ac:dyDescent="0.25">
      <c r="B612" s="2396"/>
      <c r="C612" s="2396"/>
      <c r="D612" s="2347" t="s">
        <v>3374</v>
      </c>
      <c r="E612" s="1678"/>
      <c r="F612" s="1679"/>
      <c r="G612" s="1679"/>
      <c r="H612" s="2333" t="s">
        <v>3375</v>
      </c>
      <c r="I612" s="2333" t="s">
        <v>2420</v>
      </c>
      <c r="J612" s="2370">
        <f>AA612</f>
        <v>1</v>
      </c>
      <c r="K612" s="2370">
        <f>AA613</f>
        <v>14000</v>
      </c>
      <c r="L612" s="1700"/>
      <c r="M612" s="558" t="s">
        <v>1344</v>
      </c>
      <c r="N612" s="345"/>
      <c r="O612" s="1616"/>
      <c r="P612" s="1616"/>
      <c r="Q612" s="1616"/>
      <c r="R612" s="1686">
        <v>0.5</v>
      </c>
      <c r="S612" s="1686">
        <v>0.5</v>
      </c>
      <c r="T612" s="1686"/>
      <c r="U612" s="1616"/>
      <c r="V612" s="1616"/>
      <c r="W612" s="1616"/>
      <c r="X612" s="1616"/>
      <c r="Y612" s="1616"/>
      <c r="Z612" s="1616"/>
      <c r="AA612" s="1616">
        <f t="shared" si="207"/>
        <v>1</v>
      </c>
    </row>
    <row r="613" spans="2:27" x14ac:dyDescent="0.25">
      <c r="B613" s="2396"/>
      <c r="C613" s="2396"/>
      <c r="D613" s="2363"/>
      <c r="E613" s="1680"/>
      <c r="F613" s="1681"/>
      <c r="G613" s="1681"/>
      <c r="H613" s="2373"/>
      <c r="I613" s="2373"/>
      <c r="J613" s="2371"/>
      <c r="K613" s="2371"/>
      <c r="L613" s="1701"/>
      <c r="M613" s="558" t="s">
        <v>111</v>
      </c>
      <c r="N613" s="345"/>
      <c r="O613" s="1616">
        <f>SUM(O614)</f>
        <v>0</v>
      </c>
      <c r="P613" s="1616">
        <f t="shared" ref="P613:Z613" si="213">SUM(P614)</f>
        <v>0</v>
      </c>
      <c r="Q613" s="1616">
        <f t="shared" si="213"/>
        <v>0</v>
      </c>
      <c r="R613" s="1616">
        <f t="shared" si="213"/>
        <v>7000</v>
      </c>
      <c r="S613" s="1616">
        <f t="shared" si="213"/>
        <v>0</v>
      </c>
      <c r="T613" s="1616">
        <f t="shared" si="213"/>
        <v>0</v>
      </c>
      <c r="U613" s="1616">
        <f t="shared" si="213"/>
        <v>7000</v>
      </c>
      <c r="V613" s="1616">
        <f t="shared" si="213"/>
        <v>0</v>
      </c>
      <c r="W613" s="1616">
        <f t="shared" si="213"/>
        <v>0</v>
      </c>
      <c r="X613" s="1616">
        <f t="shared" si="213"/>
        <v>0</v>
      </c>
      <c r="Y613" s="1616">
        <f t="shared" si="213"/>
        <v>0</v>
      </c>
      <c r="Z613" s="1616">
        <f t="shared" si="213"/>
        <v>0</v>
      </c>
      <c r="AA613" s="1616">
        <f t="shared" si="207"/>
        <v>14000</v>
      </c>
    </row>
    <row r="614" spans="2:27" x14ac:dyDescent="0.25">
      <c r="B614" s="2396"/>
      <c r="C614" s="2396"/>
      <c r="D614" s="2348"/>
      <c r="E614" s="1684"/>
      <c r="F614" s="1685"/>
      <c r="G614" s="1685"/>
      <c r="H614" s="2334"/>
      <c r="I614" s="2334"/>
      <c r="J614" s="2372"/>
      <c r="K614" s="2372"/>
      <c r="L614" s="1702"/>
      <c r="M614" s="558" t="s">
        <v>1493</v>
      </c>
      <c r="N614" s="558" t="s">
        <v>3373</v>
      </c>
      <c r="O614" s="1616"/>
      <c r="P614" s="1616"/>
      <c r="Q614" s="1616"/>
      <c r="R614" s="1616">
        <v>7000</v>
      </c>
      <c r="S614" s="1616"/>
      <c r="T614" s="1616"/>
      <c r="U614" s="1616">
        <v>7000</v>
      </c>
      <c r="V614" s="1616"/>
      <c r="W614" s="1616"/>
      <c r="X614" s="1616"/>
      <c r="Y614" s="1616"/>
      <c r="Z614" s="1616"/>
      <c r="AA614" s="1616">
        <f t="shared" si="207"/>
        <v>14000</v>
      </c>
    </row>
    <row r="615" spans="2:27" ht="15" customHeight="1" x14ac:dyDescent="0.25">
      <c r="B615" s="2396"/>
      <c r="C615" s="2396"/>
      <c r="D615" s="2347" t="s">
        <v>3376</v>
      </c>
      <c r="E615" s="1678"/>
      <c r="F615" s="1679"/>
      <c r="G615" s="1679"/>
      <c r="H615" s="2333" t="s">
        <v>3377</v>
      </c>
      <c r="I615" s="2333" t="s">
        <v>3378</v>
      </c>
      <c r="J615" s="2370">
        <f>AA615</f>
        <v>6</v>
      </c>
      <c r="K615" s="2370">
        <f>AA616</f>
        <v>8980</v>
      </c>
      <c r="L615" s="1700"/>
      <c r="M615" s="558" t="s">
        <v>1344</v>
      </c>
      <c r="N615" s="558"/>
      <c r="O615" s="1616"/>
      <c r="P615" s="1616">
        <v>1</v>
      </c>
      <c r="Q615" s="1616"/>
      <c r="R615" s="1616">
        <v>1</v>
      </c>
      <c r="S615" s="1616"/>
      <c r="T615" s="1616">
        <v>1</v>
      </c>
      <c r="U615" s="1616"/>
      <c r="V615" s="1616">
        <v>1</v>
      </c>
      <c r="W615" s="1616"/>
      <c r="X615" s="1616">
        <v>1</v>
      </c>
      <c r="Y615" s="1616"/>
      <c r="Z615" s="1616">
        <v>1</v>
      </c>
      <c r="AA615" s="1616">
        <f t="shared" si="207"/>
        <v>6</v>
      </c>
    </row>
    <row r="616" spans="2:27" x14ac:dyDescent="0.25">
      <c r="B616" s="2396"/>
      <c r="C616" s="2396"/>
      <c r="D616" s="2363"/>
      <c r="E616" s="1680"/>
      <c r="F616" s="1681"/>
      <c r="G616" s="1681"/>
      <c r="H616" s="2373"/>
      <c r="I616" s="2373"/>
      <c r="J616" s="2371"/>
      <c r="K616" s="2371"/>
      <c r="L616" s="1701"/>
      <c r="M616" s="558" t="s">
        <v>111</v>
      </c>
      <c r="N616" s="558"/>
      <c r="O616" s="1616">
        <f>SUM(O617:O619)</f>
        <v>0</v>
      </c>
      <c r="P616" s="1616">
        <f t="shared" ref="P616:Z616" si="214">SUM(P617:P619)</f>
        <v>840</v>
      </c>
      <c r="Q616" s="1616">
        <f t="shared" si="214"/>
        <v>0</v>
      </c>
      <c r="R616" s="1616">
        <f t="shared" si="214"/>
        <v>2320</v>
      </c>
      <c r="S616" s="1616">
        <f t="shared" si="214"/>
        <v>0</v>
      </c>
      <c r="T616" s="1616">
        <f t="shared" si="214"/>
        <v>1540</v>
      </c>
      <c r="U616" s="1616">
        <f t="shared" si="214"/>
        <v>0</v>
      </c>
      <c r="V616" s="1616">
        <f t="shared" si="214"/>
        <v>1120</v>
      </c>
      <c r="W616" s="1616">
        <f t="shared" si="214"/>
        <v>1200</v>
      </c>
      <c r="X616" s="1616">
        <f t="shared" si="214"/>
        <v>560</v>
      </c>
      <c r="Y616" s="1616">
        <f t="shared" si="214"/>
        <v>0</v>
      </c>
      <c r="Z616" s="1616">
        <f t="shared" si="214"/>
        <v>1400</v>
      </c>
      <c r="AA616" s="1616">
        <f t="shared" si="207"/>
        <v>8980</v>
      </c>
    </row>
    <row r="617" spans="2:27" ht="33.75" x14ac:dyDescent="0.25">
      <c r="B617" s="2396"/>
      <c r="C617" s="2396"/>
      <c r="D617" s="2363"/>
      <c r="E617" s="1680"/>
      <c r="F617" s="1681"/>
      <c r="G617" s="1681"/>
      <c r="H617" s="2373"/>
      <c r="I617" s="2373"/>
      <c r="J617" s="2371"/>
      <c r="K617" s="2371"/>
      <c r="L617" s="1701"/>
      <c r="M617" s="558" t="s">
        <v>1503</v>
      </c>
      <c r="N617" s="558" t="s">
        <v>3379</v>
      </c>
      <c r="O617" s="1616"/>
      <c r="P617" s="1616">
        <v>560</v>
      </c>
      <c r="Q617" s="1616">
        <v>0</v>
      </c>
      <c r="R617" s="1616">
        <v>840</v>
      </c>
      <c r="S617" s="1616"/>
      <c r="T617" s="1616">
        <v>1260</v>
      </c>
      <c r="U617" s="1616">
        <v>0</v>
      </c>
      <c r="V617" s="1616">
        <v>840</v>
      </c>
      <c r="W617" s="1616">
        <v>0</v>
      </c>
      <c r="X617" s="1616">
        <v>280</v>
      </c>
      <c r="Y617" s="1616">
        <v>0</v>
      </c>
      <c r="Z617" s="1616">
        <v>1120</v>
      </c>
      <c r="AA617" s="1616">
        <f t="shared" si="207"/>
        <v>4900</v>
      </c>
    </row>
    <row r="618" spans="2:27" ht="33.75" x14ac:dyDescent="0.25">
      <c r="B618" s="2396"/>
      <c r="C618" s="2396"/>
      <c r="D618" s="2363"/>
      <c r="E618" s="1680"/>
      <c r="F618" s="1681"/>
      <c r="G618" s="1681"/>
      <c r="H618" s="2373"/>
      <c r="I618" s="2373"/>
      <c r="J618" s="2371"/>
      <c r="K618" s="2371"/>
      <c r="L618" s="1701"/>
      <c r="M618" s="558" t="s">
        <v>3380</v>
      </c>
      <c r="N618" s="558" t="s">
        <v>1196</v>
      </c>
      <c r="O618" s="1616"/>
      <c r="P618" s="1616">
        <v>280</v>
      </c>
      <c r="Q618" s="1616"/>
      <c r="R618" s="1616">
        <v>280</v>
      </c>
      <c r="S618" s="1616"/>
      <c r="T618" s="1616">
        <v>280</v>
      </c>
      <c r="U618" s="1616"/>
      <c r="V618" s="1616">
        <v>280</v>
      </c>
      <c r="W618" s="1616"/>
      <c r="X618" s="1616">
        <v>280</v>
      </c>
      <c r="Y618" s="1616"/>
      <c r="Z618" s="1616">
        <v>280</v>
      </c>
      <c r="AA618" s="1616">
        <f t="shared" si="207"/>
        <v>1680</v>
      </c>
    </row>
    <row r="619" spans="2:27" ht="22.5" x14ac:dyDescent="0.25">
      <c r="B619" s="2396"/>
      <c r="C619" s="2396"/>
      <c r="D619" s="2348"/>
      <c r="E619" s="1684"/>
      <c r="F619" s="1685"/>
      <c r="G619" s="1685"/>
      <c r="H619" s="2334"/>
      <c r="I619" s="2334"/>
      <c r="J619" s="2372"/>
      <c r="K619" s="2372"/>
      <c r="L619" s="1702"/>
      <c r="M619" s="558" t="s">
        <v>1508</v>
      </c>
      <c r="N619" s="558" t="s">
        <v>1473</v>
      </c>
      <c r="O619" s="1616"/>
      <c r="P619" s="1616"/>
      <c r="Q619" s="1616"/>
      <c r="R619" s="1616">
        <v>1200</v>
      </c>
      <c r="S619" s="1616"/>
      <c r="T619" s="1616"/>
      <c r="U619" s="1616"/>
      <c r="V619" s="1616"/>
      <c r="W619" s="1616">
        <v>1200</v>
      </c>
      <c r="X619" s="1616"/>
      <c r="Y619" s="1616"/>
      <c r="Z619" s="1616"/>
      <c r="AA619" s="1616">
        <f t="shared" si="207"/>
        <v>2400</v>
      </c>
    </row>
    <row r="620" spans="2:27" ht="15" customHeight="1" x14ac:dyDescent="0.25">
      <c r="B620" s="2378">
        <v>5000003</v>
      </c>
      <c r="C620" s="2403" t="s">
        <v>1085</v>
      </c>
      <c r="D620" s="2364" t="s">
        <v>3381</v>
      </c>
      <c r="E620" s="2361">
        <v>13</v>
      </c>
      <c r="F620" s="2388" t="s">
        <v>2980</v>
      </c>
      <c r="G620" s="2366" t="s">
        <v>165</v>
      </c>
      <c r="H620" s="1704"/>
      <c r="I620" s="2361" t="s">
        <v>235</v>
      </c>
      <c r="J620" s="1703"/>
      <c r="K620" s="2359">
        <f>SUM(K622:K642)</f>
        <v>118409</v>
      </c>
      <c r="L620" s="2368" t="s">
        <v>3347</v>
      </c>
      <c r="M620" s="1278" t="s">
        <v>1344</v>
      </c>
      <c r="N620" s="1279"/>
      <c r="O620" s="1617"/>
      <c r="P620" s="1617"/>
      <c r="Q620" s="1617"/>
      <c r="R620" s="1617"/>
      <c r="S620" s="1617"/>
      <c r="T620" s="1617"/>
      <c r="U620" s="1617"/>
      <c r="V620" s="1617"/>
      <c r="W620" s="1617"/>
      <c r="X620" s="1617"/>
      <c r="Y620" s="1617"/>
      <c r="Z620" s="1617"/>
      <c r="AA620" s="1617">
        <f t="shared" si="207"/>
        <v>0</v>
      </c>
    </row>
    <row r="621" spans="2:27" ht="29.25" customHeight="1" x14ac:dyDescent="0.25">
      <c r="B621" s="2379"/>
      <c r="C621" s="2404"/>
      <c r="D621" s="2365"/>
      <c r="E621" s="2362"/>
      <c r="F621" s="2389"/>
      <c r="G621" s="2367"/>
      <c r="H621" s="1706"/>
      <c r="I621" s="2362"/>
      <c r="J621" s="1705"/>
      <c r="K621" s="2360"/>
      <c r="L621" s="2369"/>
      <c r="M621" s="1278" t="s">
        <v>111</v>
      </c>
      <c r="N621" s="1279"/>
      <c r="O621" s="1617">
        <f t="shared" ref="O621:Z621" si="215">O623+O627+O631+O634+O638</f>
        <v>8480</v>
      </c>
      <c r="P621" s="1617">
        <f t="shared" si="215"/>
        <v>10709</v>
      </c>
      <c r="Q621" s="1617">
        <f t="shared" si="215"/>
        <v>8580</v>
      </c>
      <c r="R621" s="1617">
        <f t="shared" si="215"/>
        <v>4020</v>
      </c>
      <c r="S621" s="1617">
        <f t="shared" si="215"/>
        <v>15080</v>
      </c>
      <c r="T621" s="1617">
        <f t="shared" si="215"/>
        <v>7300</v>
      </c>
      <c r="U621" s="1617">
        <f t="shared" si="215"/>
        <v>8040</v>
      </c>
      <c r="V621" s="1617">
        <f t="shared" si="215"/>
        <v>6900</v>
      </c>
      <c r="W621" s="1617">
        <f t="shared" si="215"/>
        <v>21500</v>
      </c>
      <c r="X621" s="1617">
        <f t="shared" si="215"/>
        <v>8040</v>
      </c>
      <c r="Y621" s="1617">
        <f t="shared" si="215"/>
        <v>11780</v>
      </c>
      <c r="Z621" s="1617">
        <f t="shared" si="215"/>
        <v>7980</v>
      </c>
      <c r="AA621" s="1617">
        <f t="shared" si="207"/>
        <v>118409</v>
      </c>
    </row>
    <row r="622" spans="2:27" ht="15" customHeight="1" x14ac:dyDescent="0.25">
      <c r="B622" s="2405"/>
      <c r="C622" s="2405"/>
      <c r="D622" s="2347" t="s">
        <v>3382</v>
      </c>
      <c r="E622" s="1707"/>
      <c r="F622" s="1708"/>
      <c r="G622" s="1708"/>
      <c r="H622" s="2333" t="s">
        <v>3383</v>
      </c>
      <c r="I622" s="2333" t="s">
        <v>3384</v>
      </c>
      <c r="J622" s="2370">
        <f>AA622</f>
        <v>4</v>
      </c>
      <c r="K622" s="2370">
        <f>AA623</f>
        <v>14660</v>
      </c>
      <c r="L622" s="2390"/>
      <c r="M622" s="1677" t="s">
        <v>1344</v>
      </c>
      <c r="N622" s="345"/>
      <c r="O622" s="1616"/>
      <c r="P622" s="1616"/>
      <c r="Q622" s="1616">
        <v>1</v>
      </c>
      <c r="R622" s="1616"/>
      <c r="S622" s="1616"/>
      <c r="T622" s="1616">
        <v>1</v>
      </c>
      <c r="U622" s="1616"/>
      <c r="V622" s="1616">
        <v>1</v>
      </c>
      <c r="W622" s="1616"/>
      <c r="X622" s="1616"/>
      <c r="Y622" s="1616"/>
      <c r="Z622" s="1616">
        <v>1</v>
      </c>
      <c r="AA622" s="1616">
        <f t="shared" si="207"/>
        <v>4</v>
      </c>
    </row>
    <row r="623" spans="2:27" ht="17.25" customHeight="1" x14ac:dyDescent="0.25">
      <c r="B623" s="2405"/>
      <c r="C623" s="2405"/>
      <c r="D623" s="2363"/>
      <c r="E623" s="1710"/>
      <c r="F623" s="1711"/>
      <c r="G623" s="1711"/>
      <c r="H623" s="2373"/>
      <c r="I623" s="2373"/>
      <c r="J623" s="2371"/>
      <c r="K623" s="2371"/>
      <c r="L623" s="2391"/>
      <c r="M623" s="1677" t="s">
        <v>111</v>
      </c>
      <c r="N623" s="345"/>
      <c r="O623" s="1616">
        <f t="shared" ref="O623:Z623" si="216">SUM(O624:O625)</f>
        <v>1460</v>
      </c>
      <c r="P623" s="1616">
        <f t="shared" si="216"/>
        <v>1980</v>
      </c>
      <c r="Q623" s="1616">
        <f t="shared" si="216"/>
        <v>420</v>
      </c>
      <c r="R623" s="1616">
        <f t="shared" si="216"/>
        <v>120</v>
      </c>
      <c r="S623" s="1616">
        <f t="shared" si="216"/>
        <v>420</v>
      </c>
      <c r="T623" s="1616">
        <f t="shared" si="216"/>
        <v>1200</v>
      </c>
      <c r="U623" s="1616">
        <f t="shared" si="216"/>
        <v>1460</v>
      </c>
      <c r="V623" s="1616">
        <f t="shared" si="216"/>
        <v>200</v>
      </c>
      <c r="W623" s="1616">
        <f t="shared" si="216"/>
        <v>2500</v>
      </c>
      <c r="X623" s="1616">
        <f t="shared" si="216"/>
        <v>1460</v>
      </c>
      <c r="Y623" s="1616">
        <f t="shared" si="216"/>
        <v>1720</v>
      </c>
      <c r="Z623" s="1616">
        <f t="shared" si="216"/>
        <v>1720</v>
      </c>
      <c r="AA623" s="1616">
        <f t="shared" si="207"/>
        <v>14660</v>
      </c>
    </row>
    <row r="624" spans="2:27" ht="30.75" customHeight="1" x14ac:dyDescent="0.25">
      <c r="B624" s="2405"/>
      <c r="C624" s="2405"/>
      <c r="D624" s="2363"/>
      <c r="E624" s="1710"/>
      <c r="F624" s="1711"/>
      <c r="G624" s="1711"/>
      <c r="H624" s="2373"/>
      <c r="I624" s="2373"/>
      <c r="J624" s="2371"/>
      <c r="K624" s="2371"/>
      <c r="L624" s="2391"/>
      <c r="M624" s="345" t="s">
        <v>3380</v>
      </c>
      <c r="N624" s="345" t="s">
        <v>1196</v>
      </c>
      <c r="O624" s="1616">
        <v>500</v>
      </c>
      <c r="P624" s="1616">
        <v>700</v>
      </c>
      <c r="Q624" s="1616">
        <v>100</v>
      </c>
      <c r="R624" s="1616">
        <v>50</v>
      </c>
      <c r="S624" s="1616">
        <v>100</v>
      </c>
      <c r="T624" s="1616">
        <v>400</v>
      </c>
      <c r="U624" s="1616">
        <v>500</v>
      </c>
      <c r="V624" s="1616">
        <v>100</v>
      </c>
      <c r="W624" s="1616">
        <v>900</v>
      </c>
      <c r="X624" s="1616">
        <v>500</v>
      </c>
      <c r="Y624" s="1616">
        <v>600</v>
      </c>
      <c r="Z624" s="1616">
        <v>600</v>
      </c>
      <c r="AA624" s="1616">
        <f t="shared" si="207"/>
        <v>5050</v>
      </c>
    </row>
    <row r="625" spans="2:27" ht="40.5" customHeight="1" x14ac:dyDescent="0.25">
      <c r="B625" s="2405"/>
      <c r="C625" s="2405"/>
      <c r="D625" s="2348"/>
      <c r="E625" s="1713"/>
      <c r="F625" s="1714"/>
      <c r="G625" s="1714"/>
      <c r="H625" s="2334"/>
      <c r="I625" s="2334"/>
      <c r="J625" s="2372"/>
      <c r="K625" s="2372"/>
      <c r="L625" s="2392"/>
      <c r="M625" s="345" t="s">
        <v>1503</v>
      </c>
      <c r="N625" s="345" t="s">
        <v>3379</v>
      </c>
      <c r="O625" s="1616">
        <v>960</v>
      </c>
      <c r="P625" s="1616">
        <v>1280</v>
      </c>
      <c r="Q625" s="1616">
        <v>320</v>
      </c>
      <c r="R625" s="1616">
        <v>70</v>
      </c>
      <c r="S625" s="1616">
        <v>320</v>
      </c>
      <c r="T625" s="1616">
        <v>800</v>
      </c>
      <c r="U625" s="1616">
        <v>960</v>
      </c>
      <c r="V625" s="1616">
        <v>100</v>
      </c>
      <c r="W625" s="1616">
        <v>1600</v>
      </c>
      <c r="X625" s="1616">
        <v>960</v>
      </c>
      <c r="Y625" s="1616">
        <v>1120</v>
      </c>
      <c r="Z625" s="1616">
        <v>1120</v>
      </c>
      <c r="AA625" s="1616">
        <f t="shared" si="207"/>
        <v>9610</v>
      </c>
    </row>
    <row r="626" spans="2:27" ht="15" customHeight="1" x14ac:dyDescent="0.25">
      <c r="B626" s="2405"/>
      <c r="C626" s="2405"/>
      <c r="D626" s="2347" t="s">
        <v>3385</v>
      </c>
      <c r="E626" s="1707"/>
      <c r="F626" s="1708"/>
      <c r="G626" s="1708"/>
      <c r="H626" s="2333" t="s">
        <v>3386</v>
      </c>
      <c r="I626" s="2333" t="s">
        <v>1178</v>
      </c>
      <c r="J626" s="2370">
        <f>AA626</f>
        <v>20</v>
      </c>
      <c r="K626" s="2370">
        <f>AA627</f>
        <v>27440</v>
      </c>
      <c r="L626" s="1709"/>
      <c r="M626" s="558" t="s">
        <v>1344</v>
      </c>
      <c r="N626" s="345"/>
      <c r="O626" s="1616"/>
      <c r="P626" s="1616"/>
      <c r="Q626" s="1616"/>
      <c r="R626" s="1616">
        <v>1</v>
      </c>
      <c r="S626" s="1616">
        <v>6</v>
      </c>
      <c r="T626" s="1616">
        <v>3</v>
      </c>
      <c r="U626" s="1616"/>
      <c r="V626" s="1616"/>
      <c r="W626" s="1616">
        <v>1</v>
      </c>
      <c r="X626" s="1616">
        <v>6</v>
      </c>
      <c r="Y626" s="1616">
        <v>3</v>
      </c>
      <c r="Z626" s="1616"/>
      <c r="AA626" s="1616">
        <f>SUM(O626:Z626)</f>
        <v>20</v>
      </c>
    </row>
    <row r="627" spans="2:27" x14ac:dyDescent="0.25">
      <c r="B627" s="2405"/>
      <c r="C627" s="2405"/>
      <c r="D627" s="2363"/>
      <c r="E627" s="1710"/>
      <c r="F627" s="1711"/>
      <c r="G627" s="1711"/>
      <c r="H627" s="2373"/>
      <c r="I627" s="2373"/>
      <c r="J627" s="2371"/>
      <c r="K627" s="2371"/>
      <c r="L627" s="1712"/>
      <c r="M627" s="558" t="s">
        <v>111</v>
      </c>
      <c r="N627" s="345"/>
      <c r="O627" s="1616">
        <f t="shared" ref="O627:Z627" si="217">SUM(O628:O629)</f>
        <v>1960</v>
      </c>
      <c r="P627" s="1616">
        <f t="shared" si="217"/>
        <v>2280</v>
      </c>
      <c r="Q627" s="1616">
        <f t="shared" si="217"/>
        <v>1320</v>
      </c>
      <c r="R627" s="1616">
        <f t="shared" si="217"/>
        <v>1000</v>
      </c>
      <c r="S627" s="1616">
        <f t="shared" si="217"/>
        <v>4320</v>
      </c>
      <c r="T627" s="1616">
        <f t="shared" si="217"/>
        <v>1800</v>
      </c>
      <c r="U627" s="1616">
        <f t="shared" si="217"/>
        <v>1960</v>
      </c>
      <c r="V627" s="1616">
        <f t="shared" si="217"/>
        <v>1000</v>
      </c>
      <c r="W627" s="1616">
        <f t="shared" si="217"/>
        <v>5600</v>
      </c>
      <c r="X627" s="1616">
        <f t="shared" si="217"/>
        <v>1960</v>
      </c>
      <c r="Y627" s="1616">
        <f t="shared" si="217"/>
        <v>2120</v>
      </c>
      <c r="Z627" s="1616">
        <f t="shared" si="217"/>
        <v>2120</v>
      </c>
      <c r="AA627" s="1616">
        <f>SUM(O627:Z627)</f>
        <v>27440</v>
      </c>
    </row>
    <row r="628" spans="2:27" ht="33.75" x14ac:dyDescent="0.25">
      <c r="B628" s="2405"/>
      <c r="C628" s="2405"/>
      <c r="D628" s="2363"/>
      <c r="E628" s="1710"/>
      <c r="F628" s="1711"/>
      <c r="G628" s="1711"/>
      <c r="H628" s="2373"/>
      <c r="I628" s="2373"/>
      <c r="J628" s="2371"/>
      <c r="K628" s="2371"/>
      <c r="L628" s="1712"/>
      <c r="M628" s="345" t="s">
        <v>1503</v>
      </c>
      <c r="N628" s="345" t="s">
        <v>3379</v>
      </c>
      <c r="O628" s="1616">
        <v>1960</v>
      </c>
      <c r="P628" s="1616">
        <v>2280</v>
      </c>
      <c r="Q628" s="1616">
        <v>1320</v>
      </c>
      <c r="R628" s="1616">
        <v>1000</v>
      </c>
      <c r="S628" s="1616">
        <v>1320</v>
      </c>
      <c r="T628" s="1616">
        <v>1800</v>
      </c>
      <c r="U628" s="1616">
        <v>1960</v>
      </c>
      <c r="V628" s="1616">
        <v>1000</v>
      </c>
      <c r="W628" s="1616">
        <v>2600</v>
      </c>
      <c r="X628" s="1616">
        <v>1960</v>
      </c>
      <c r="Y628" s="1616">
        <v>2120</v>
      </c>
      <c r="Z628" s="1616">
        <v>2120</v>
      </c>
      <c r="AA628" s="1616">
        <f t="shared" ref="AA628:AA629" si="218">SUM(O628:Z628)</f>
        <v>21440</v>
      </c>
    </row>
    <row r="629" spans="2:27" ht="22.5" x14ac:dyDescent="0.25">
      <c r="B629" s="2405"/>
      <c r="C629" s="2405"/>
      <c r="D629" s="2348"/>
      <c r="E629" s="1713"/>
      <c r="F629" s="1714"/>
      <c r="G629" s="1714"/>
      <c r="H629" s="2334"/>
      <c r="I629" s="2334"/>
      <c r="J629" s="2372"/>
      <c r="K629" s="2372"/>
      <c r="L629" s="1715"/>
      <c r="M629" s="345" t="s">
        <v>1508</v>
      </c>
      <c r="N629" s="345" t="s">
        <v>1473</v>
      </c>
      <c r="O629" s="1616"/>
      <c r="P629" s="1616"/>
      <c r="Q629" s="1616"/>
      <c r="R629" s="1616"/>
      <c r="S629" s="1616">
        <v>3000</v>
      </c>
      <c r="T629" s="1616"/>
      <c r="U629" s="1616"/>
      <c r="V629" s="1616"/>
      <c r="W629" s="1616">
        <v>3000</v>
      </c>
      <c r="X629" s="1616"/>
      <c r="Y629" s="1616"/>
      <c r="Z629" s="1616"/>
      <c r="AA629" s="1616">
        <f t="shared" si="218"/>
        <v>6000</v>
      </c>
    </row>
    <row r="630" spans="2:27" ht="15" customHeight="1" x14ac:dyDescent="0.25">
      <c r="B630" s="2405"/>
      <c r="C630" s="2405"/>
      <c r="D630" s="2347" t="s">
        <v>3387</v>
      </c>
      <c r="E630" s="1707"/>
      <c r="F630" s="1708"/>
      <c r="G630" s="1708"/>
      <c r="H630" s="2333" t="s">
        <v>3388</v>
      </c>
      <c r="I630" s="2333" t="s">
        <v>3378</v>
      </c>
      <c r="J630" s="2370">
        <f>AA630</f>
        <v>4</v>
      </c>
      <c r="K630" s="2370">
        <f>AA631</f>
        <v>12000</v>
      </c>
      <c r="L630" s="1709"/>
      <c r="M630" s="558" t="s">
        <v>1344</v>
      </c>
      <c r="N630" s="345"/>
      <c r="O630" s="1616"/>
      <c r="P630" s="1616"/>
      <c r="Q630" s="1616">
        <v>1</v>
      </c>
      <c r="R630" s="1616"/>
      <c r="S630" s="1616"/>
      <c r="T630" s="1616">
        <v>1</v>
      </c>
      <c r="U630" s="1616"/>
      <c r="V630" s="1616"/>
      <c r="W630" s="1616">
        <v>1</v>
      </c>
      <c r="X630" s="1616"/>
      <c r="Y630" s="1616">
        <v>1</v>
      </c>
      <c r="Z630" s="1616"/>
      <c r="AA630" s="1616">
        <f>SUM(O630:Z630)</f>
        <v>4</v>
      </c>
    </row>
    <row r="631" spans="2:27" x14ac:dyDescent="0.25">
      <c r="B631" s="2405"/>
      <c r="C631" s="2405"/>
      <c r="D631" s="2363"/>
      <c r="E631" s="1710"/>
      <c r="F631" s="1711"/>
      <c r="G631" s="1711"/>
      <c r="H631" s="2373"/>
      <c r="I631" s="2373"/>
      <c r="J631" s="2371"/>
      <c r="K631" s="2371"/>
      <c r="L631" s="1712"/>
      <c r="M631" s="558" t="s">
        <v>111</v>
      </c>
      <c r="N631" s="345"/>
      <c r="O631" s="1616">
        <f t="shared" ref="O631:Z631" si="219">SUM(O632:O632)</f>
        <v>0</v>
      </c>
      <c r="P631" s="1616">
        <f t="shared" si="219"/>
        <v>0</v>
      </c>
      <c r="Q631" s="1616">
        <f t="shared" si="219"/>
        <v>3500</v>
      </c>
      <c r="R631" s="1616">
        <f t="shared" si="219"/>
        <v>0</v>
      </c>
      <c r="S631" s="1616">
        <f t="shared" si="219"/>
        <v>3000</v>
      </c>
      <c r="T631" s="1616">
        <f t="shared" si="219"/>
        <v>0</v>
      </c>
      <c r="U631" s="1616">
        <f t="shared" si="219"/>
        <v>0</v>
      </c>
      <c r="V631" s="1616">
        <f t="shared" si="219"/>
        <v>0</v>
      </c>
      <c r="W631" s="1616">
        <f t="shared" si="219"/>
        <v>2500</v>
      </c>
      <c r="X631" s="1616">
        <f t="shared" si="219"/>
        <v>0</v>
      </c>
      <c r="Y631" s="1616">
        <f t="shared" si="219"/>
        <v>3000</v>
      </c>
      <c r="Z631" s="1616">
        <f t="shared" si="219"/>
        <v>0</v>
      </c>
      <c r="AA631" s="1616">
        <f>SUM(O631:Z631)</f>
        <v>12000</v>
      </c>
    </row>
    <row r="632" spans="2:27" ht="60.75" customHeight="1" x14ac:dyDescent="0.25">
      <c r="B632" s="2405"/>
      <c r="C632" s="2405"/>
      <c r="D632" s="2348"/>
      <c r="E632" s="1713"/>
      <c r="F632" s="1714"/>
      <c r="G632" s="1714"/>
      <c r="H632" s="2334"/>
      <c r="I632" s="2334"/>
      <c r="J632" s="2372"/>
      <c r="K632" s="2372"/>
      <c r="L632" s="1715"/>
      <c r="M632" s="345" t="s">
        <v>3389</v>
      </c>
      <c r="N632" s="345" t="s">
        <v>3390</v>
      </c>
      <c r="O632" s="1616"/>
      <c r="P632" s="1616"/>
      <c r="Q632" s="1616">
        <v>3500</v>
      </c>
      <c r="R632" s="1616"/>
      <c r="S632" s="1616">
        <v>3000</v>
      </c>
      <c r="T632" s="1616"/>
      <c r="U632" s="1616"/>
      <c r="V632" s="1616"/>
      <c r="W632" s="1616">
        <v>2500</v>
      </c>
      <c r="X632" s="1616"/>
      <c r="Y632" s="1616">
        <v>3000</v>
      </c>
      <c r="Z632" s="1616"/>
      <c r="AA632" s="1616">
        <f>SUM(O632:Z632)</f>
        <v>12000</v>
      </c>
    </row>
    <row r="633" spans="2:27" ht="15" customHeight="1" x14ac:dyDescent="0.25">
      <c r="B633" s="2405"/>
      <c r="C633" s="2405"/>
      <c r="D633" s="2347" t="s">
        <v>3391</v>
      </c>
      <c r="E633" s="1707"/>
      <c r="F633" s="1708"/>
      <c r="G633" s="1708"/>
      <c r="H633" s="2333" t="s">
        <v>3386</v>
      </c>
      <c r="I633" s="2333" t="s">
        <v>1178</v>
      </c>
      <c r="J633" s="2370">
        <f>AA633</f>
        <v>20</v>
      </c>
      <c r="K633" s="2370">
        <f>AA634</f>
        <v>30669</v>
      </c>
      <c r="L633" s="1709"/>
      <c r="M633" s="558" t="s">
        <v>1344</v>
      </c>
      <c r="N633" s="345"/>
      <c r="O633" s="1616"/>
      <c r="P633" s="1616"/>
      <c r="Q633" s="1616"/>
      <c r="R633" s="1616">
        <v>1</v>
      </c>
      <c r="S633" s="1616">
        <v>6</v>
      </c>
      <c r="T633" s="1616">
        <v>3</v>
      </c>
      <c r="U633" s="1616"/>
      <c r="V633" s="1616"/>
      <c r="W633" s="1616">
        <v>1</v>
      </c>
      <c r="X633" s="1616">
        <v>6</v>
      </c>
      <c r="Y633" s="1616">
        <v>3</v>
      </c>
      <c r="Z633" s="1616"/>
      <c r="AA633" s="1616">
        <f>SUM(O633:Z633)</f>
        <v>20</v>
      </c>
    </row>
    <row r="634" spans="2:27" x14ac:dyDescent="0.25">
      <c r="B634" s="2405"/>
      <c r="C634" s="2405"/>
      <c r="D634" s="2363"/>
      <c r="E634" s="1710"/>
      <c r="F634" s="1711"/>
      <c r="G634" s="1711"/>
      <c r="H634" s="2373"/>
      <c r="I634" s="2373"/>
      <c r="J634" s="2371"/>
      <c r="K634" s="2371"/>
      <c r="L634" s="1712"/>
      <c r="M634" s="558" t="s">
        <v>111</v>
      </c>
      <c r="N634" s="345"/>
      <c r="O634" s="1616">
        <f t="shared" ref="O634:Z634" si="220">SUM(O635:O636)</f>
        <v>0</v>
      </c>
      <c r="P634" s="1616">
        <f t="shared" si="220"/>
        <v>1469</v>
      </c>
      <c r="Q634" s="1616">
        <f t="shared" si="220"/>
        <v>1920</v>
      </c>
      <c r="R634" s="1616">
        <f t="shared" si="220"/>
        <v>1600</v>
      </c>
      <c r="S634" s="1616">
        <f t="shared" si="220"/>
        <v>4920</v>
      </c>
      <c r="T634" s="1616">
        <f t="shared" si="220"/>
        <v>2400</v>
      </c>
      <c r="U634" s="1616">
        <f t="shared" si="220"/>
        <v>2560</v>
      </c>
      <c r="V634" s="1616">
        <f t="shared" si="220"/>
        <v>1600</v>
      </c>
      <c r="W634" s="1616">
        <f t="shared" si="220"/>
        <v>6200</v>
      </c>
      <c r="X634" s="1616">
        <f t="shared" si="220"/>
        <v>2560</v>
      </c>
      <c r="Y634" s="1616">
        <f t="shared" si="220"/>
        <v>2720</v>
      </c>
      <c r="Z634" s="1616">
        <f t="shared" si="220"/>
        <v>2720</v>
      </c>
      <c r="AA634" s="1616">
        <f>SUM(O634:Z634)</f>
        <v>30669</v>
      </c>
    </row>
    <row r="635" spans="2:27" ht="33.75" x14ac:dyDescent="0.25">
      <c r="B635" s="2405"/>
      <c r="C635" s="2405"/>
      <c r="D635" s="2363"/>
      <c r="E635" s="1710"/>
      <c r="F635" s="1711"/>
      <c r="G635" s="1711"/>
      <c r="H635" s="2373"/>
      <c r="I635" s="2373"/>
      <c r="J635" s="2371"/>
      <c r="K635" s="2371"/>
      <c r="L635" s="1712"/>
      <c r="M635" s="345" t="s">
        <v>1503</v>
      </c>
      <c r="N635" s="345" t="s">
        <v>3379</v>
      </c>
      <c r="O635" s="1616"/>
      <c r="P635" s="1616">
        <v>1469</v>
      </c>
      <c r="Q635" s="1616">
        <v>1920</v>
      </c>
      <c r="R635" s="1616">
        <v>1600</v>
      </c>
      <c r="S635" s="1616">
        <v>1920</v>
      </c>
      <c r="T635" s="1616">
        <v>2400</v>
      </c>
      <c r="U635" s="1616">
        <v>2560</v>
      </c>
      <c r="V635" s="1616">
        <v>1600</v>
      </c>
      <c r="W635" s="1616">
        <v>3200</v>
      </c>
      <c r="X635" s="1616">
        <v>2560</v>
      </c>
      <c r="Y635" s="1616">
        <v>2720</v>
      </c>
      <c r="Z635" s="1616">
        <v>2720</v>
      </c>
      <c r="AA635" s="1616">
        <f t="shared" ref="AA635:AA646" si="221">SUM(O635:Z635)</f>
        <v>24669</v>
      </c>
    </row>
    <row r="636" spans="2:27" ht="22.5" x14ac:dyDescent="0.25">
      <c r="B636" s="2405"/>
      <c r="C636" s="2405"/>
      <c r="D636" s="2348"/>
      <c r="E636" s="1713"/>
      <c r="F636" s="1714"/>
      <c r="G636" s="1714"/>
      <c r="H636" s="2334"/>
      <c r="I636" s="2334"/>
      <c r="J636" s="2372"/>
      <c r="K636" s="2372"/>
      <c r="L636" s="1715"/>
      <c r="M636" s="345" t="s">
        <v>1508</v>
      </c>
      <c r="N636" s="345" t="s">
        <v>1473</v>
      </c>
      <c r="O636" s="1616"/>
      <c r="P636" s="1616"/>
      <c r="Q636" s="1616"/>
      <c r="R636" s="1616"/>
      <c r="S636" s="1616">
        <v>3000</v>
      </c>
      <c r="T636" s="1616"/>
      <c r="U636" s="1616"/>
      <c r="V636" s="1616"/>
      <c r="W636" s="1616">
        <v>3000</v>
      </c>
      <c r="X636" s="1616"/>
      <c r="Y636" s="1616"/>
      <c r="Z636" s="1616"/>
      <c r="AA636" s="1616">
        <f t="shared" si="221"/>
        <v>6000</v>
      </c>
    </row>
    <row r="637" spans="2:27" ht="15" customHeight="1" x14ac:dyDescent="0.25">
      <c r="B637" s="2405"/>
      <c r="C637" s="2405"/>
      <c r="D637" s="2347" t="s">
        <v>3392</v>
      </c>
      <c r="E637" s="1707"/>
      <c r="F637" s="1708"/>
      <c r="G637" s="1708"/>
      <c r="H637" s="2333" t="s">
        <v>3393</v>
      </c>
      <c r="I637" s="2333" t="s">
        <v>3384</v>
      </c>
      <c r="J637" s="2370">
        <f>AA637</f>
        <v>22</v>
      </c>
      <c r="K637" s="2370">
        <f>AA638</f>
        <v>33640</v>
      </c>
      <c r="L637" s="1709"/>
      <c r="M637" s="1677" t="s">
        <v>1344</v>
      </c>
      <c r="N637" s="345"/>
      <c r="O637" s="1616"/>
      <c r="P637" s="1616">
        <v>2</v>
      </c>
      <c r="Q637" s="1616">
        <v>2</v>
      </c>
      <c r="R637" s="1616">
        <v>2</v>
      </c>
      <c r="S637" s="1616">
        <v>2</v>
      </c>
      <c r="T637" s="1616">
        <v>2</v>
      </c>
      <c r="U637" s="1616">
        <v>2</v>
      </c>
      <c r="V637" s="1616">
        <v>2</v>
      </c>
      <c r="W637" s="1616">
        <v>2</v>
      </c>
      <c r="X637" s="1616">
        <v>2</v>
      </c>
      <c r="Y637" s="1616">
        <v>2</v>
      </c>
      <c r="Z637" s="1616">
        <v>2</v>
      </c>
      <c r="AA637" s="1616">
        <f t="shared" si="221"/>
        <v>22</v>
      </c>
    </row>
    <row r="638" spans="2:27" x14ac:dyDescent="0.25">
      <c r="B638" s="2405"/>
      <c r="C638" s="2405"/>
      <c r="D638" s="2363"/>
      <c r="E638" s="1710"/>
      <c r="F638" s="1711"/>
      <c r="G638" s="1711"/>
      <c r="H638" s="2373"/>
      <c r="I638" s="2373"/>
      <c r="J638" s="2371"/>
      <c r="K638" s="2371"/>
      <c r="L638" s="1712"/>
      <c r="M638" s="1677" t="s">
        <v>111</v>
      </c>
      <c r="N638" s="345"/>
      <c r="O638" s="1616">
        <f t="shared" ref="O638:Z638" si="222">SUM(O639:O642)</f>
        <v>5060</v>
      </c>
      <c r="P638" s="1616">
        <f t="shared" si="222"/>
        <v>4980</v>
      </c>
      <c r="Q638" s="1616">
        <f t="shared" si="222"/>
        <v>1420</v>
      </c>
      <c r="R638" s="1616">
        <f t="shared" si="222"/>
        <v>1300</v>
      </c>
      <c r="S638" s="1616">
        <f t="shared" si="222"/>
        <v>2420</v>
      </c>
      <c r="T638" s="1616">
        <f t="shared" si="222"/>
        <v>1900</v>
      </c>
      <c r="U638" s="1616">
        <f t="shared" si="222"/>
        <v>2060</v>
      </c>
      <c r="V638" s="1616">
        <f t="shared" si="222"/>
        <v>4100</v>
      </c>
      <c r="W638" s="1616">
        <f t="shared" si="222"/>
        <v>4700</v>
      </c>
      <c r="X638" s="1616">
        <f t="shared" si="222"/>
        <v>2060</v>
      </c>
      <c r="Y638" s="1616">
        <f t="shared" si="222"/>
        <v>2220</v>
      </c>
      <c r="Z638" s="1616">
        <f t="shared" si="222"/>
        <v>1420</v>
      </c>
      <c r="AA638" s="1616">
        <f t="shared" si="221"/>
        <v>33640</v>
      </c>
    </row>
    <row r="639" spans="2:27" ht="22.5" x14ac:dyDescent="0.25">
      <c r="B639" s="2405"/>
      <c r="C639" s="2405"/>
      <c r="D639" s="2363"/>
      <c r="E639" s="1710"/>
      <c r="F639" s="1711"/>
      <c r="G639" s="1711"/>
      <c r="H639" s="2373"/>
      <c r="I639" s="2373"/>
      <c r="J639" s="2371"/>
      <c r="K639" s="2371"/>
      <c r="L639" s="1712"/>
      <c r="M639" s="558" t="s">
        <v>3355</v>
      </c>
      <c r="N639" s="558" t="s">
        <v>1367</v>
      </c>
      <c r="O639" s="1616">
        <v>3000</v>
      </c>
      <c r="P639" s="1616"/>
      <c r="Q639" s="1616"/>
      <c r="R639" s="1616"/>
      <c r="S639" s="1616"/>
      <c r="T639" s="1616"/>
      <c r="U639" s="1616"/>
      <c r="V639" s="1616">
        <v>3000</v>
      </c>
      <c r="W639" s="1616"/>
      <c r="X639" s="1616"/>
      <c r="Y639" s="1616"/>
      <c r="Z639" s="1616"/>
      <c r="AA639" s="1616">
        <f t="shared" si="221"/>
        <v>6000</v>
      </c>
    </row>
    <row r="640" spans="2:27" ht="33.75" x14ac:dyDescent="0.25">
      <c r="B640" s="2405"/>
      <c r="C640" s="2405"/>
      <c r="D640" s="2363"/>
      <c r="E640" s="1710"/>
      <c r="F640" s="1711"/>
      <c r="G640" s="1711"/>
      <c r="H640" s="2373"/>
      <c r="I640" s="2373"/>
      <c r="J640" s="2371"/>
      <c r="K640" s="2371"/>
      <c r="L640" s="1712"/>
      <c r="M640" s="558" t="s">
        <v>1494</v>
      </c>
      <c r="N640" s="558" t="s">
        <v>1474</v>
      </c>
      <c r="O640" s="1616"/>
      <c r="P640" s="1616">
        <v>2500</v>
      </c>
      <c r="Q640" s="1616"/>
      <c r="R640" s="1616"/>
      <c r="S640" s="1616">
        <v>1000</v>
      </c>
      <c r="T640" s="1616"/>
      <c r="U640" s="1616"/>
      <c r="V640" s="1616"/>
      <c r="W640" s="1616">
        <v>2000</v>
      </c>
      <c r="X640" s="1616"/>
      <c r="Y640" s="1616"/>
      <c r="Z640" s="1616"/>
      <c r="AA640" s="1616">
        <f t="shared" si="221"/>
        <v>5500</v>
      </c>
    </row>
    <row r="641" spans="1:27" ht="33.75" x14ac:dyDescent="0.25">
      <c r="B641" s="2405"/>
      <c r="C641" s="2405"/>
      <c r="D641" s="2363"/>
      <c r="E641" s="1710"/>
      <c r="F641" s="1711"/>
      <c r="G641" s="1711"/>
      <c r="H641" s="2373"/>
      <c r="I641" s="2373"/>
      <c r="J641" s="2371"/>
      <c r="K641" s="2371"/>
      <c r="L641" s="1712"/>
      <c r="M641" s="345" t="s">
        <v>1503</v>
      </c>
      <c r="N641" s="345" t="s">
        <v>3379</v>
      </c>
      <c r="O641" s="1616">
        <v>1260</v>
      </c>
      <c r="P641" s="1616">
        <v>1580</v>
      </c>
      <c r="Q641" s="1616">
        <v>620</v>
      </c>
      <c r="R641" s="1616">
        <v>300</v>
      </c>
      <c r="S641" s="1616">
        <v>620</v>
      </c>
      <c r="T641" s="1616">
        <v>1100</v>
      </c>
      <c r="U641" s="1616">
        <v>1260</v>
      </c>
      <c r="V641" s="1616">
        <v>300</v>
      </c>
      <c r="W641" s="1616">
        <v>1900</v>
      </c>
      <c r="X641" s="1616">
        <v>1260</v>
      </c>
      <c r="Y641" s="1616">
        <v>1420</v>
      </c>
      <c r="Z641" s="1616">
        <v>1420</v>
      </c>
      <c r="AA641" s="1616">
        <f t="shared" si="221"/>
        <v>13040</v>
      </c>
    </row>
    <row r="642" spans="1:27" ht="22.5" x14ac:dyDescent="0.25">
      <c r="B642" s="2405"/>
      <c r="C642" s="2405"/>
      <c r="D642" s="2348"/>
      <c r="E642" s="1713"/>
      <c r="F642" s="1714"/>
      <c r="G642" s="1714"/>
      <c r="H642" s="2334"/>
      <c r="I642" s="2334"/>
      <c r="J642" s="2372"/>
      <c r="K642" s="2372"/>
      <c r="L642" s="1715"/>
      <c r="M642" s="345" t="s">
        <v>3394</v>
      </c>
      <c r="N642" s="345" t="s">
        <v>1463</v>
      </c>
      <c r="O642" s="1616">
        <v>800</v>
      </c>
      <c r="P642" s="1616">
        <v>900</v>
      </c>
      <c r="Q642" s="1616">
        <v>800</v>
      </c>
      <c r="R642" s="1616">
        <v>1000</v>
      </c>
      <c r="S642" s="1616">
        <v>800</v>
      </c>
      <c r="T642" s="1616">
        <v>800</v>
      </c>
      <c r="U642" s="1616">
        <v>800</v>
      </c>
      <c r="V642" s="1616">
        <v>800</v>
      </c>
      <c r="W642" s="1616">
        <v>800</v>
      </c>
      <c r="X642" s="1616">
        <v>800</v>
      </c>
      <c r="Y642" s="1616">
        <v>800</v>
      </c>
      <c r="Z642" s="1616"/>
      <c r="AA642" s="1616">
        <f t="shared" si="221"/>
        <v>9100</v>
      </c>
    </row>
    <row r="643" spans="1:27" ht="15" customHeight="1" x14ac:dyDescent="0.25">
      <c r="B643" s="2378">
        <v>5003397</v>
      </c>
      <c r="C643" s="2403" t="s">
        <v>3395</v>
      </c>
      <c r="D643" s="2364" t="s">
        <v>3396</v>
      </c>
      <c r="E643" s="1703">
        <v>17</v>
      </c>
      <c r="F643" s="2366" t="s">
        <v>2617</v>
      </c>
      <c r="G643" s="2366" t="s">
        <v>2510</v>
      </c>
      <c r="H643" s="1687"/>
      <c r="I643" s="2406" t="s">
        <v>235</v>
      </c>
      <c r="J643" s="1687"/>
      <c r="K643" s="2368">
        <f>SUM(K645:K655)</f>
        <v>117324.63360000002</v>
      </c>
      <c r="L643" s="2368" t="s">
        <v>3347</v>
      </c>
      <c r="M643" s="1278" t="s">
        <v>1344</v>
      </c>
      <c r="N643" s="1279"/>
      <c r="O643" s="1617"/>
      <c r="P643" s="1617"/>
      <c r="Q643" s="1617"/>
      <c r="R643" s="1617"/>
      <c r="S643" s="1617"/>
      <c r="T643" s="1617"/>
      <c r="U643" s="1617"/>
      <c r="V643" s="1617"/>
      <c r="W643" s="1617"/>
      <c r="X643" s="1617"/>
      <c r="Y643" s="1617"/>
      <c r="Z643" s="1617"/>
      <c r="AA643" s="1617">
        <f t="shared" si="221"/>
        <v>0</v>
      </c>
    </row>
    <row r="644" spans="1:27" ht="37.5" customHeight="1" x14ac:dyDescent="0.25">
      <c r="B644" s="2379"/>
      <c r="C644" s="2404"/>
      <c r="D644" s="2365"/>
      <c r="E644" s="1705"/>
      <c r="F644" s="2367"/>
      <c r="G644" s="2367"/>
      <c r="H644" s="1688"/>
      <c r="I644" s="2407"/>
      <c r="J644" s="1688"/>
      <c r="K644" s="2369"/>
      <c r="L644" s="2369"/>
      <c r="M644" s="1278" t="s">
        <v>111</v>
      </c>
      <c r="N644" s="1279"/>
      <c r="O644" s="1617">
        <f t="shared" ref="O644:Z644" si="223">O646+O651+O654</f>
        <v>8652.0527999999995</v>
      </c>
      <c r="P644" s="1617">
        <f t="shared" si="223"/>
        <v>8652.0527999999995</v>
      </c>
      <c r="Q644" s="1617">
        <f t="shared" si="223"/>
        <v>10152.052799999999</v>
      </c>
      <c r="R644" s="1617">
        <f t="shared" si="223"/>
        <v>11152.052799999999</v>
      </c>
      <c r="S644" s="1617">
        <f t="shared" si="223"/>
        <v>11152.052799999999</v>
      </c>
      <c r="T644" s="1617">
        <f t="shared" si="223"/>
        <v>12652.052799999999</v>
      </c>
      <c r="U644" s="1617">
        <f t="shared" si="223"/>
        <v>10152.052799999999</v>
      </c>
      <c r="V644" s="1617">
        <f t="shared" si="223"/>
        <v>8652.0527999999995</v>
      </c>
      <c r="W644" s="1617">
        <f t="shared" si="223"/>
        <v>8652.0527999999995</v>
      </c>
      <c r="X644" s="1617">
        <f t="shared" si="223"/>
        <v>8652.0527999999995</v>
      </c>
      <c r="Y644" s="1617">
        <f t="shared" si="223"/>
        <v>8652.0527999999995</v>
      </c>
      <c r="Z644" s="1617">
        <f t="shared" si="223"/>
        <v>10152.052799999999</v>
      </c>
      <c r="AA644" s="1617">
        <f t="shared" si="221"/>
        <v>117324.63360000002</v>
      </c>
    </row>
    <row r="645" spans="1:27" ht="15" customHeight="1" x14ac:dyDescent="0.25">
      <c r="B645" s="1689"/>
      <c r="C645" s="1689"/>
      <c r="D645" s="2347" t="s">
        <v>3397</v>
      </c>
      <c r="E645" s="1707"/>
      <c r="F645" s="1708"/>
      <c r="G645" s="1708"/>
      <c r="H645" s="2333" t="s">
        <v>3393</v>
      </c>
      <c r="I645" s="2333" t="s">
        <v>3384</v>
      </c>
      <c r="J645" s="2370">
        <f>AA645</f>
        <v>110</v>
      </c>
      <c r="K645" s="2370">
        <f>AA646</f>
        <v>106824.63360000002</v>
      </c>
      <c r="L645" s="1709"/>
      <c r="M645" s="345" t="s">
        <v>1344</v>
      </c>
      <c r="N645" s="345"/>
      <c r="O645" s="1616"/>
      <c r="P645" s="1616">
        <v>10</v>
      </c>
      <c r="Q645" s="1616">
        <v>10</v>
      </c>
      <c r="R645" s="1616">
        <v>10</v>
      </c>
      <c r="S645" s="1616">
        <v>10</v>
      </c>
      <c r="T645" s="1616">
        <v>10</v>
      </c>
      <c r="U645" s="1616">
        <v>10</v>
      </c>
      <c r="V645" s="1616">
        <v>10</v>
      </c>
      <c r="W645" s="1616">
        <v>10</v>
      </c>
      <c r="X645" s="1616">
        <v>10</v>
      </c>
      <c r="Y645" s="1616">
        <v>10</v>
      </c>
      <c r="Z645" s="1616">
        <v>10</v>
      </c>
      <c r="AA645" s="1616">
        <f t="shared" si="221"/>
        <v>110</v>
      </c>
    </row>
    <row r="646" spans="1:27" x14ac:dyDescent="0.25">
      <c r="B646" s="1690"/>
      <c r="C646" s="1690"/>
      <c r="D646" s="2363"/>
      <c r="E646" s="1710"/>
      <c r="F646" s="1711"/>
      <c r="G646" s="1711"/>
      <c r="H646" s="2373"/>
      <c r="I646" s="2373"/>
      <c r="J646" s="2371"/>
      <c r="K646" s="2371"/>
      <c r="L646" s="1712"/>
      <c r="M646" s="345" t="s">
        <v>111</v>
      </c>
      <c r="N646" s="345"/>
      <c r="O646" s="1616">
        <f t="shared" ref="O646:Z646" si="224">SUM(O647:O649)</f>
        <v>8652.0527999999995</v>
      </c>
      <c r="P646" s="1616">
        <f t="shared" si="224"/>
        <v>8652.0527999999995</v>
      </c>
      <c r="Q646" s="1616">
        <f t="shared" si="224"/>
        <v>8652.0527999999995</v>
      </c>
      <c r="R646" s="1616">
        <f t="shared" si="224"/>
        <v>8652.0527999999995</v>
      </c>
      <c r="S646" s="1616">
        <f t="shared" si="224"/>
        <v>8652.0527999999995</v>
      </c>
      <c r="T646" s="1616">
        <f t="shared" si="224"/>
        <v>10152.052799999999</v>
      </c>
      <c r="U646" s="1616">
        <f t="shared" si="224"/>
        <v>8652.0527999999995</v>
      </c>
      <c r="V646" s="1616">
        <f t="shared" si="224"/>
        <v>8652.0527999999995</v>
      </c>
      <c r="W646" s="1616">
        <f t="shared" si="224"/>
        <v>8652.0527999999995</v>
      </c>
      <c r="X646" s="1616">
        <f t="shared" si="224"/>
        <v>8652.0527999999995</v>
      </c>
      <c r="Y646" s="1616">
        <f t="shared" si="224"/>
        <v>8652.0527999999995</v>
      </c>
      <c r="Z646" s="1616">
        <f t="shared" si="224"/>
        <v>10152.052799999999</v>
      </c>
      <c r="AA646" s="1616">
        <f t="shared" si="221"/>
        <v>106824.63360000002</v>
      </c>
    </row>
    <row r="647" spans="1:27" x14ac:dyDescent="0.25">
      <c r="B647" s="1690"/>
      <c r="C647" s="1690"/>
      <c r="D647" s="2363"/>
      <c r="E647" s="1710"/>
      <c r="F647" s="1711"/>
      <c r="G647" s="1711"/>
      <c r="H647" s="2373"/>
      <c r="I647" s="2373"/>
      <c r="J647" s="2371"/>
      <c r="K647" s="2371"/>
      <c r="L647" s="1712"/>
      <c r="M647" s="345" t="s">
        <v>3351</v>
      </c>
      <c r="N647" s="345" t="s">
        <v>1190</v>
      </c>
      <c r="O647" s="1625">
        <f t="shared" ref="O647:Z647" si="225">Alejandro+Carlos+Franklin</f>
        <v>8208</v>
      </c>
      <c r="P647" s="1625">
        <f t="shared" si="225"/>
        <v>8208</v>
      </c>
      <c r="Q647" s="1625">
        <f t="shared" si="225"/>
        <v>8208</v>
      </c>
      <c r="R647" s="1625">
        <f t="shared" si="225"/>
        <v>8208</v>
      </c>
      <c r="S647" s="1625">
        <f t="shared" si="225"/>
        <v>8208</v>
      </c>
      <c r="T647" s="1625">
        <f t="shared" si="225"/>
        <v>8208</v>
      </c>
      <c r="U647" s="1625">
        <f t="shared" si="225"/>
        <v>8208</v>
      </c>
      <c r="V647" s="1625">
        <f t="shared" si="225"/>
        <v>8208</v>
      </c>
      <c r="W647" s="1625">
        <f t="shared" si="225"/>
        <v>8208</v>
      </c>
      <c r="X647" s="1625">
        <f t="shared" si="225"/>
        <v>8208</v>
      </c>
      <c r="Y647" s="1625">
        <f t="shared" si="225"/>
        <v>8208</v>
      </c>
      <c r="Z647" s="1625">
        <f t="shared" si="225"/>
        <v>8208</v>
      </c>
      <c r="AA647" s="1625">
        <f>SUM(O647:Z647)</f>
        <v>98496</v>
      </c>
    </row>
    <row r="648" spans="1:27" ht="22.5" x14ac:dyDescent="0.25">
      <c r="B648" s="1690"/>
      <c r="C648" s="1690"/>
      <c r="D648" s="2363"/>
      <c r="E648" s="1710"/>
      <c r="F648" s="1711"/>
      <c r="G648" s="1711"/>
      <c r="H648" s="2373"/>
      <c r="I648" s="2373"/>
      <c r="J648" s="2371"/>
      <c r="K648" s="2371"/>
      <c r="L648" s="1712"/>
      <c r="M648" s="345" t="s">
        <v>3352</v>
      </c>
      <c r="N648" s="345" t="s">
        <v>3353</v>
      </c>
      <c r="O648" s="1691">
        <f t="shared" ref="O648:Z648" si="226">O647*5.41%</f>
        <v>444.05279999999999</v>
      </c>
      <c r="P648" s="1691">
        <f t="shared" si="226"/>
        <v>444.05279999999999</v>
      </c>
      <c r="Q648" s="1691">
        <f t="shared" si="226"/>
        <v>444.05279999999999</v>
      </c>
      <c r="R648" s="1691">
        <f t="shared" si="226"/>
        <v>444.05279999999999</v>
      </c>
      <c r="S648" s="1691">
        <f t="shared" si="226"/>
        <v>444.05279999999999</v>
      </c>
      <c r="T648" s="1691">
        <f t="shared" si="226"/>
        <v>444.05279999999999</v>
      </c>
      <c r="U648" s="1691">
        <f t="shared" si="226"/>
        <v>444.05279999999999</v>
      </c>
      <c r="V648" s="1691">
        <f t="shared" si="226"/>
        <v>444.05279999999999</v>
      </c>
      <c r="W648" s="1691">
        <f t="shared" si="226"/>
        <v>444.05279999999999</v>
      </c>
      <c r="X648" s="1691">
        <f t="shared" si="226"/>
        <v>444.05279999999999</v>
      </c>
      <c r="Y648" s="1691">
        <f t="shared" si="226"/>
        <v>444.05279999999999</v>
      </c>
      <c r="Z648" s="1691">
        <f t="shared" si="226"/>
        <v>444.05279999999999</v>
      </c>
      <c r="AA648" s="1692">
        <f>SUM(O648:Z648)</f>
        <v>5328.633600000001</v>
      </c>
    </row>
    <row r="649" spans="1:27" x14ac:dyDescent="0.25">
      <c r="B649" s="1690"/>
      <c r="C649" s="1690"/>
      <c r="D649" s="2348"/>
      <c r="E649" s="1713"/>
      <c r="F649" s="1714"/>
      <c r="G649" s="1714"/>
      <c r="H649" s="2334"/>
      <c r="I649" s="2334"/>
      <c r="J649" s="2372"/>
      <c r="K649" s="2372"/>
      <c r="L649" s="1715"/>
      <c r="M649" s="345" t="s">
        <v>3354</v>
      </c>
      <c r="N649" s="345" t="s">
        <v>173</v>
      </c>
      <c r="O649" s="1625"/>
      <c r="P649" s="1625"/>
      <c r="Q649" s="1625"/>
      <c r="R649" s="1625"/>
      <c r="S649" s="1625"/>
      <c r="T649" s="1625">
        <f>500*3</f>
        <v>1500</v>
      </c>
      <c r="U649" s="1625"/>
      <c r="V649" s="1625"/>
      <c r="W649" s="1625"/>
      <c r="X649" s="1625"/>
      <c r="Y649" s="1625"/>
      <c r="Z649" s="1625">
        <f>500*3</f>
        <v>1500</v>
      </c>
      <c r="AA649" s="1625">
        <f>SUM(O649:Z649)</f>
        <v>3000</v>
      </c>
    </row>
    <row r="650" spans="1:27" ht="15" customHeight="1" x14ac:dyDescent="0.25">
      <c r="B650" s="1690"/>
      <c r="C650" s="1690"/>
      <c r="D650" s="2347" t="s">
        <v>3398</v>
      </c>
      <c r="E650" s="1707"/>
      <c r="F650" s="1708"/>
      <c r="G650" s="1708"/>
      <c r="H650" s="2333" t="s">
        <v>3375</v>
      </c>
      <c r="I650" s="2333" t="s">
        <v>2420</v>
      </c>
      <c r="J650" s="2370">
        <f>AA650</f>
        <v>0.99</v>
      </c>
      <c r="K650" s="2370">
        <f>AA651</f>
        <v>7500</v>
      </c>
      <c r="L650" s="1709"/>
      <c r="M650" s="345" t="s">
        <v>1344</v>
      </c>
      <c r="N650" s="345"/>
      <c r="O650" s="1616"/>
      <c r="P650" s="1616"/>
      <c r="Q650" s="1616"/>
      <c r="R650" s="1686">
        <v>0.33</v>
      </c>
      <c r="S650" s="1686">
        <v>0.33</v>
      </c>
      <c r="T650" s="1686">
        <v>0.33</v>
      </c>
      <c r="U650" s="1616"/>
      <c r="V650" s="1616"/>
      <c r="W650" s="1616"/>
      <c r="X650" s="1616"/>
      <c r="Y650" s="1616"/>
      <c r="Z650" s="1616"/>
      <c r="AA650" s="1616">
        <f t="shared" ref="AA650:AA651" si="227">SUM(O650:Z650)</f>
        <v>0.99</v>
      </c>
    </row>
    <row r="651" spans="1:27" x14ac:dyDescent="0.25">
      <c r="B651" s="1690"/>
      <c r="C651" s="1690"/>
      <c r="D651" s="2363"/>
      <c r="E651" s="1710"/>
      <c r="F651" s="1711"/>
      <c r="G651" s="1711"/>
      <c r="H651" s="2373"/>
      <c r="I651" s="2373"/>
      <c r="J651" s="2371"/>
      <c r="K651" s="2371"/>
      <c r="L651" s="1712"/>
      <c r="M651" s="345" t="s">
        <v>111</v>
      </c>
      <c r="N651" s="345"/>
      <c r="O651" s="1616"/>
      <c r="P651" s="1616"/>
      <c r="Q651" s="1616"/>
      <c r="R651" s="1616">
        <f>SUM(R652:R652)</f>
        <v>2500</v>
      </c>
      <c r="S651" s="1616">
        <f>SUM(S652:S652)</f>
        <v>2500</v>
      </c>
      <c r="T651" s="1616">
        <f>SUM(T652:T652)</f>
        <v>2500</v>
      </c>
      <c r="U651" s="1616"/>
      <c r="V651" s="1616"/>
      <c r="W651" s="1616"/>
      <c r="X651" s="1616"/>
      <c r="Y651" s="1616"/>
      <c r="Z651" s="1616"/>
      <c r="AA651" s="1616">
        <f t="shared" si="227"/>
        <v>7500</v>
      </c>
    </row>
    <row r="652" spans="1:27" ht="27.75" customHeight="1" x14ac:dyDescent="0.25">
      <c r="B652" s="1690"/>
      <c r="C652" s="1690"/>
      <c r="D652" s="2348"/>
      <c r="E652" s="1713"/>
      <c r="F652" s="1714"/>
      <c r="G652" s="1714"/>
      <c r="H652" s="2334"/>
      <c r="I652" s="2334"/>
      <c r="J652" s="2372"/>
      <c r="K652" s="2372"/>
      <c r="L652" s="1715"/>
      <c r="M652" s="345" t="s">
        <v>1503</v>
      </c>
      <c r="N652" s="345" t="s">
        <v>1469</v>
      </c>
      <c r="O652" s="1616"/>
      <c r="P652" s="1616"/>
      <c r="Q652" s="1616"/>
      <c r="R652" s="1616">
        <v>2500</v>
      </c>
      <c r="S652" s="1616">
        <v>2500</v>
      </c>
      <c r="T652" s="1616">
        <v>2500</v>
      </c>
      <c r="U652" s="1616"/>
      <c r="V652" s="1616"/>
      <c r="W652" s="1616"/>
      <c r="X652" s="1616"/>
      <c r="Y652" s="1616"/>
      <c r="Z652" s="1616"/>
      <c r="AA652" s="1625">
        <f>SUM(O652:Z652)</f>
        <v>7500</v>
      </c>
    </row>
    <row r="653" spans="1:27" ht="15" customHeight="1" x14ac:dyDescent="0.25">
      <c r="B653" s="1690"/>
      <c r="C653" s="1690"/>
      <c r="D653" s="2347" t="s">
        <v>3399</v>
      </c>
      <c r="E653" s="1707"/>
      <c r="F653" s="1708"/>
      <c r="G653" s="1708"/>
      <c r="H653" s="2333" t="s">
        <v>2971</v>
      </c>
      <c r="I653" s="2333" t="s">
        <v>3400</v>
      </c>
      <c r="J653" s="2370">
        <f>AA653</f>
        <v>2</v>
      </c>
      <c r="K653" s="2370">
        <f>AA654</f>
        <v>3000</v>
      </c>
      <c r="L653" s="1709"/>
      <c r="M653" s="345" t="s">
        <v>1344</v>
      </c>
      <c r="N653" s="345"/>
      <c r="O653" s="1616"/>
      <c r="P653" s="1616"/>
      <c r="Q653" s="1616">
        <v>1</v>
      </c>
      <c r="R653" s="1686"/>
      <c r="S653" s="1686"/>
      <c r="T653" s="1686"/>
      <c r="U653" s="1616">
        <v>1</v>
      </c>
      <c r="V653" s="1616"/>
      <c r="W653" s="1616"/>
      <c r="X653" s="1616"/>
      <c r="Y653" s="1616"/>
      <c r="Z653" s="1616"/>
      <c r="AA653" s="1616">
        <f t="shared" ref="AA653:AA654" si="228">SUM(O653:Z653)</f>
        <v>2</v>
      </c>
    </row>
    <row r="654" spans="1:27" ht="21.75" customHeight="1" x14ac:dyDescent="0.25">
      <c r="B654" s="1690"/>
      <c r="C654" s="1690"/>
      <c r="D654" s="2363"/>
      <c r="E654" s="1710"/>
      <c r="F654" s="1711"/>
      <c r="G654" s="1711"/>
      <c r="H654" s="2373"/>
      <c r="I654" s="2373"/>
      <c r="J654" s="2371"/>
      <c r="K654" s="2371"/>
      <c r="L654" s="1712"/>
      <c r="M654" s="345" t="s">
        <v>111</v>
      </c>
      <c r="N654" s="345"/>
      <c r="O654" s="1616">
        <f>SUM(O655)</f>
        <v>0</v>
      </c>
      <c r="P654" s="1616">
        <f t="shared" ref="P654:Z654" si="229">SUM(P655)</f>
        <v>0</v>
      </c>
      <c r="Q654" s="1616">
        <f t="shared" si="229"/>
        <v>1500</v>
      </c>
      <c r="R654" s="1616">
        <f t="shared" si="229"/>
        <v>0</v>
      </c>
      <c r="S654" s="1616">
        <f t="shared" si="229"/>
        <v>0</v>
      </c>
      <c r="T654" s="1616">
        <f t="shared" si="229"/>
        <v>0</v>
      </c>
      <c r="U654" s="1616">
        <f t="shared" si="229"/>
        <v>1500</v>
      </c>
      <c r="V654" s="1616">
        <f t="shared" si="229"/>
        <v>0</v>
      </c>
      <c r="W654" s="1616">
        <f t="shared" si="229"/>
        <v>0</v>
      </c>
      <c r="X654" s="1616">
        <f t="shared" si="229"/>
        <v>0</v>
      </c>
      <c r="Y654" s="1616">
        <f t="shared" si="229"/>
        <v>0</v>
      </c>
      <c r="Z654" s="1616">
        <f t="shared" si="229"/>
        <v>0</v>
      </c>
      <c r="AA654" s="1616">
        <f t="shared" si="228"/>
        <v>3000</v>
      </c>
    </row>
    <row r="655" spans="1:27" ht="27" customHeight="1" x14ac:dyDescent="0.25">
      <c r="B655" s="1695"/>
      <c r="C655" s="1695"/>
      <c r="D655" s="2348"/>
      <c r="E655" s="1713"/>
      <c r="F655" s="1714"/>
      <c r="G655" s="1714"/>
      <c r="H655" s="2334"/>
      <c r="I655" s="2334"/>
      <c r="J655" s="2372"/>
      <c r="K655" s="2372"/>
      <c r="L655" s="1715"/>
      <c r="M655" s="345" t="s">
        <v>3380</v>
      </c>
      <c r="N655" s="345" t="s">
        <v>1196</v>
      </c>
      <c r="O655" s="1616"/>
      <c r="P655" s="1616"/>
      <c r="Q655" s="1616">
        <v>1500</v>
      </c>
      <c r="R655" s="1616"/>
      <c r="S655" s="1616"/>
      <c r="T655" s="1616"/>
      <c r="U655" s="1616">
        <v>1500</v>
      </c>
      <c r="V655" s="1616"/>
      <c r="W655" s="1616"/>
      <c r="X655" s="1616"/>
      <c r="Y655" s="1616"/>
      <c r="Z655" s="1616"/>
      <c r="AA655" s="1625">
        <f>SUM(O655:Z655)</f>
        <v>3000</v>
      </c>
    </row>
    <row r="656" spans="1:27" ht="30.75" customHeight="1" x14ac:dyDescent="0.25">
      <c r="A656" s="2291" t="s">
        <v>251</v>
      </c>
      <c r="B656" s="2195" t="s">
        <v>1</v>
      </c>
      <c r="C656" s="2292" t="s">
        <v>1074</v>
      </c>
      <c r="D656" s="2292"/>
      <c r="E656" s="2292"/>
      <c r="F656" s="2292"/>
      <c r="G656" s="1787"/>
      <c r="H656" s="1738"/>
      <c r="I656" s="1738"/>
      <c r="J656" s="1738"/>
      <c r="K656" s="1738"/>
      <c r="L656" s="1738"/>
      <c r="M656" s="1738"/>
      <c r="N656" s="1738"/>
      <c r="O656" s="1738"/>
      <c r="P656" s="1738"/>
      <c r="Q656" s="1738"/>
      <c r="R656" s="1738"/>
      <c r="S656" s="1738"/>
      <c r="T656" s="1738"/>
      <c r="U656" s="1738"/>
      <c r="V656" s="1738"/>
      <c r="W656" s="1738"/>
      <c r="X656" s="1738"/>
      <c r="Y656" s="1738"/>
      <c r="Z656" s="1738"/>
      <c r="AA656" s="1723"/>
    </row>
    <row r="657" spans="1:27" ht="24" x14ac:dyDescent="0.25">
      <c r="A657" s="2291"/>
      <c r="B657" s="1352" t="s">
        <v>2</v>
      </c>
      <c r="C657" s="2293" t="s">
        <v>3</v>
      </c>
      <c r="D657" s="2293"/>
      <c r="E657" s="2293"/>
      <c r="F657" s="2293"/>
      <c r="G657" s="2293"/>
      <c r="H657" s="2293"/>
      <c r="I657" s="2293"/>
      <c r="J657" s="2293"/>
      <c r="K657" s="2293"/>
      <c r="L657" s="2293"/>
      <c r="M657" s="2293"/>
      <c r="N657" s="2293"/>
      <c r="O657" s="2293"/>
      <c r="P657" s="2293"/>
      <c r="Q657" s="2293"/>
      <c r="R657" s="2293"/>
      <c r="S657" s="2293"/>
      <c r="T657" s="2293"/>
      <c r="U657" s="2293"/>
      <c r="V657" s="2293"/>
      <c r="W657" s="2293"/>
      <c r="X657" s="2293"/>
      <c r="Y657" s="2293"/>
      <c r="Z657" s="2293"/>
      <c r="AA657" s="2293"/>
    </row>
    <row r="658" spans="1:27" ht="30" customHeight="1" x14ac:dyDescent="0.25">
      <c r="A658" s="2291"/>
      <c r="B658" s="1352" t="s">
        <v>4</v>
      </c>
      <c r="C658" s="2294" t="s">
        <v>3455</v>
      </c>
      <c r="D658" s="2295"/>
      <c r="E658" s="2295"/>
      <c r="F658" s="2295"/>
      <c r="G658" s="2295"/>
      <c r="H658" s="2295"/>
      <c r="I658" s="2295"/>
      <c r="J658" s="2295"/>
      <c r="K658" s="2295"/>
      <c r="L658" s="2295"/>
      <c r="M658" s="2295"/>
      <c r="N658" s="2295"/>
      <c r="O658" s="1358"/>
      <c r="P658" s="1358"/>
      <c r="Q658" s="1358"/>
      <c r="R658" s="1358"/>
      <c r="S658" s="1358"/>
      <c r="T658" s="1358"/>
      <c r="U658" s="1358"/>
      <c r="V658" s="1358"/>
      <c r="W658" s="1358"/>
      <c r="X658" s="1358"/>
      <c r="Y658" s="1358"/>
      <c r="Z658" s="1358"/>
      <c r="AA658" s="1359"/>
    </row>
    <row r="659" spans="1:27" ht="24" x14ac:dyDescent="0.25">
      <c r="A659" s="2291"/>
      <c r="B659" s="1352" t="s">
        <v>6</v>
      </c>
      <c r="C659" s="2293" t="s">
        <v>3456</v>
      </c>
      <c r="D659" s="2293"/>
      <c r="E659" s="2293"/>
      <c r="F659" s="2293"/>
      <c r="G659" s="2293"/>
      <c r="H659" s="2293"/>
      <c r="I659" s="2293"/>
      <c r="J659" s="2293"/>
      <c r="K659" s="2293"/>
      <c r="L659" s="2293"/>
      <c r="M659" s="2293"/>
      <c r="N659" s="2293"/>
      <c r="O659" s="2293"/>
      <c r="P659" s="2293"/>
      <c r="Q659" s="2293"/>
      <c r="R659" s="2293"/>
      <c r="S659" s="2293"/>
      <c r="T659" s="2293"/>
      <c r="U659" s="2293"/>
      <c r="V659" s="2293"/>
      <c r="W659" s="2293"/>
      <c r="X659" s="2293"/>
      <c r="Y659" s="2293"/>
      <c r="Z659" s="2293"/>
      <c r="AA659" s="2293"/>
    </row>
    <row r="660" spans="1:27" ht="32.25" customHeight="1" x14ac:dyDescent="0.25">
      <c r="A660" s="2291"/>
      <c r="B660" s="705" t="s">
        <v>8</v>
      </c>
      <c r="C660" s="2296" t="s">
        <v>3457</v>
      </c>
      <c r="D660" s="2297"/>
      <c r="E660" s="2297"/>
      <c r="F660" s="2297"/>
      <c r="G660" s="2297"/>
      <c r="H660" s="2297"/>
      <c r="I660" s="363"/>
      <c r="J660" s="363"/>
      <c r="K660" s="363"/>
      <c r="L660" s="363"/>
      <c r="M660" s="363"/>
      <c r="N660" s="363"/>
      <c r="O660" s="363"/>
      <c r="P660" s="363"/>
      <c r="Q660" s="363"/>
      <c r="R660" s="363"/>
      <c r="S660" s="363"/>
      <c r="T660" s="363"/>
      <c r="U660" s="363"/>
      <c r="V660" s="363"/>
      <c r="W660" s="363"/>
      <c r="X660" s="363"/>
      <c r="Y660" s="363"/>
      <c r="Z660" s="363"/>
      <c r="AA660" s="366"/>
    </row>
    <row r="661" spans="1:27" x14ac:dyDescent="0.25">
      <c r="A661" s="2291" t="s">
        <v>256</v>
      </c>
      <c r="B661" s="1352" t="s">
        <v>11</v>
      </c>
      <c r="C661" s="1730" t="s">
        <v>84</v>
      </c>
      <c r="D661" s="202"/>
      <c r="E661" s="1739"/>
      <c r="F661" s="1739"/>
      <c r="G661" s="1739"/>
      <c r="H661" s="202"/>
      <c r="I661" s="1739"/>
      <c r="J661" s="1739"/>
      <c r="K661" s="1739"/>
      <c r="L661" s="1739"/>
      <c r="M661" s="1739"/>
      <c r="N661" s="1739"/>
      <c r="O661" s="1739"/>
      <c r="P661" s="1739"/>
      <c r="Q661" s="1739"/>
      <c r="R661" s="1739"/>
      <c r="S661" s="1739"/>
      <c r="T661" s="1739"/>
      <c r="U661" s="202"/>
      <c r="V661" s="202"/>
      <c r="W661" s="202"/>
      <c r="X661" s="202"/>
      <c r="Y661" s="202"/>
      <c r="Z661" s="202"/>
      <c r="AA661" s="224"/>
    </row>
    <row r="662" spans="1:27" ht="35.25" customHeight="1" x14ac:dyDescent="0.25">
      <c r="A662" s="2291"/>
      <c r="B662" s="2298" t="s">
        <v>13</v>
      </c>
      <c r="C662" s="2329" t="s">
        <v>58</v>
      </c>
      <c r="D662" s="2299" t="s">
        <v>3697</v>
      </c>
      <c r="E662" s="2300"/>
      <c r="F662" s="2300"/>
      <c r="G662" s="2300"/>
      <c r="H662" s="2300"/>
      <c r="I662" s="2300"/>
      <c r="J662" s="2300"/>
      <c r="K662" s="2300"/>
      <c r="L662" s="2300"/>
      <c r="M662" s="2300"/>
      <c r="N662" s="2300"/>
      <c r="O662" s="2300"/>
      <c r="P662" s="2300"/>
      <c r="Q662" s="2300"/>
      <c r="R662" s="2300"/>
      <c r="S662" s="2300"/>
      <c r="T662" s="2300"/>
      <c r="U662" s="2301"/>
      <c r="V662" s="2305" t="s">
        <v>15</v>
      </c>
      <c r="W662" s="2305"/>
      <c r="X662" s="2305"/>
      <c r="Y662" s="2305"/>
      <c r="Z662" s="2305" t="s">
        <v>16</v>
      </c>
      <c r="AA662" s="2305"/>
    </row>
    <row r="663" spans="1:27" x14ac:dyDescent="0.25">
      <c r="A663" s="2291"/>
      <c r="B663" s="2298"/>
      <c r="C663" s="2330"/>
      <c r="D663" s="2302"/>
      <c r="E663" s="2303"/>
      <c r="F663" s="2303"/>
      <c r="G663" s="2303"/>
      <c r="H663" s="2303"/>
      <c r="I663" s="2303"/>
      <c r="J663" s="2303"/>
      <c r="K663" s="2303"/>
      <c r="L663" s="2303"/>
      <c r="M663" s="2303"/>
      <c r="N663" s="2303"/>
      <c r="O663" s="2303"/>
      <c r="P663" s="2303"/>
      <c r="Q663" s="2303"/>
      <c r="R663" s="2303"/>
      <c r="S663" s="2303"/>
      <c r="T663" s="2303"/>
      <c r="U663" s="2304"/>
      <c r="V663" s="2299"/>
      <c r="W663" s="2300"/>
      <c r="X663" s="2300"/>
      <c r="Y663" s="2301"/>
      <c r="Z663" s="2306"/>
      <c r="AA663" s="2307"/>
    </row>
    <row r="664" spans="1:27" x14ac:dyDescent="0.25">
      <c r="A664" s="2291"/>
      <c r="B664" s="2298" t="s">
        <v>18</v>
      </c>
      <c r="C664" s="2331">
        <v>2183268</v>
      </c>
      <c r="D664" s="2308" t="s">
        <v>3721</v>
      </c>
      <c r="E664" s="2309"/>
      <c r="F664" s="2309"/>
      <c r="G664" s="2309"/>
      <c r="H664" s="2309"/>
      <c r="I664" s="2309"/>
      <c r="J664" s="2309"/>
      <c r="K664" s="2309"/>
      <c r="L664" s="2309"/>
      <c r="M664" s="2309"/>
      <c r="N664" s="2309"/>
      <c r="O664" s="2309"/>
      <c r="P664" s="2309"/>
      <c r="Q664" s="2309"/>
      <c r="R664" s="2309"/>
      <c r="S664" s="2309"/>
      <c r="T664" s="2309"/>
      <c r="U664" s="2310"/>
      <c r="V664" s="2314" t="s">
        <v>15</v>
      </c>
      <c r="W664" s="2315"/>
      <c r="X664" s="2315"/>
      <c r="Y664" s="2316"/>
      <c r="Z664" s="2305" t="s">
        <v>16</v>
      </c>
      <c r="AA664" s="2305"/>
    </row>
    <row r="665" spans="1:27" x14ac:dyDescent="0.25">
      <c r="A665" s="2291"/>
      <c r="B665" s="2298"/>
      <c r="C665" s="2332"/>
      <c r="D665" s="2311"/>
      <c r="E665" s="2312"/>
      <c r="F665" s="2312"/>
      <c r="G665" s="2312"/>
      <c r="H665" s="2312"/>
      <c r="I665" s="2312"/>
      <c r="J665" s="2312"/>
      <c r="K665" s="2312"/>
      <c r="L665" s="2312"/>
      <c r="M665" s="2312"/>
      <c r="N665" s="2312"/>
      <c r="O665" s="2312"/>
      <c r="P665" s="2312"/>
      <c r="Q665" s="2312"/>
      <c r="R665" s="2312"/>
      <c r="S665" s="2312"/>
      <c r="T665" s="2312"/>
      <c r="U665" s="2313"/>
      <c r="V665" s="2317"/>
      <c r="W665" s="2318"/>
      <c r="X665" s="2318"/>
      <c r="Y665" s="2319"/>
      <c r="Z665" s="2305"/>
      <c r="AA665" s="2305"/>
    </row>
    <row r="666" spans="1:27" x14ac:dyDescent="0.25">
      <c r="A666" s="2291"/>
      <c r="B666" s="2320" t="s">
        <v>20</v>
      </c>
      <c r="C666" s="2324" t="s">
        <v>21</v>
      </c>
      <c r="D666" s="2324" t="s">
        <v>22</v>
      </c>
      <c r="E666" s="2324" t="s">
        <v>23</v>
      </c>
      <c r="F666" s="2324" t="s">
        <v>24</v>
      </c>
      <c r="G666" s="2324" t="s">
        <v>25</v>
      </c>
      <c r="H666" s="2324" t="s">
        <v>26</v>
      </c>
      <c r="I666" s="2324" t="s">
        <v>27</v>
      </c>
      <c r="J666" s="2322" t="s">
        <v>28</v>
      </c>
      <c r="K666" s="2323"/>
      <c r="L666" s="2324" t="s">
        <v>29</v>
      </c>
      <c r="M666" s="2322" t="s">
        <v>30</v>
      </c>
      <c r="N666" s="2323"/>
      <c r="O666" s="2343" t="s">
        <v>31</v>
      </c>
      <c r="P666" s="2344"/>
      <c r="Q666" s="2344"/>
      <c r="R666" s="2344"/>
      <c r="S666" s="2344"/>
      <c r="T666" s="2344"/>
      <c r="U666" s="2344"/>
      <c r="V666" s="2344"/>
      <c r="W666" s="2344"/>
      <c r="X666" s="2344"/>
      <c r="Y666" s="2344"/>
      <c r="Z666" s="2345"/>
      <c r="AA666" s="2346" t="s">
        <v>32</v>
      </c>
    </row>
    <row r="667" spans="1:27" ht="21.75" customHeight="1" x14ac:dyDescent="0.25">
      <c r="A667" s="2291"/>
      <c r="B667" s="2321"/>
      <c r="C667" s="2324"/>
      <c r="D667" s="2324"/>
      <c r="E667" s="2324"/>
      <c r="F667" s="2324"/>
      <c r="G667" s="2324"/>
      <c r="H667" s="2324"/>
      <c r="I667" s="2324"/>
      <c r="J667" s="1355" t="s">
        <v>33</v>
      </c>
      <c r="K667" s="1355" t="s">
        <v>34</v>
      </c>
      <c r="L667" s="2324"/>
      <c r="M667" s="2325"/>
      <c r="N667" s="2326"/>
      <c r="O667" s="1354" t="s">
        <v>35</v>
      </c>
      <c r="P667" s="1354" t="s">
        <v>36</v>
      </c>
      <c r="Q667" s="1354" t="s">
        <v>37</v>
      </c>
      <c r="R667" s="1354" t="s">
        <v>38</v>
      </c>
      <c r="S667" s="1354" t="s">
        <v>39</v>
      </c>
      <c r="T667" s="1354" t="s">
        <v>40</v>
      </c>
      <c r="U667" s="1354" t="s">
        <v>41</v>
      </c>
      <c r="V667" s="1354" t="s">
        <v>42</v>
      </c>
      <c r="W667" s="1354" t="s">
        <v>43</v>
      </c>
      <c r="X667" s="1354" t="s">
        <v>44</v>
      </c>
      <c r="Y667" s="1354" t="s">
        <v>45</v>
      </c>
      <c r="Z667" s="1354" t="s">
        <v>46</v>
      </c>
      <c r="AA667" s="2346"/>
    </row>
    <row r="668" spans="1:27" x14ac:dyDescent="0.25">
      <c r="A668" s="2291"/>
      <c r="B668" s="2327">
        <v>4000072</v>
      </c>
      <c r="C668" s="2333" t="s">
        <v>3459</v>
      </c>
      <c r="D668" s="2335" t="s">
        <v>3460</v>
      </c>
      <c r="E668" s="2349">
        <v>15</v>
      </c>
      <c r="F668" s="2351" t="s">
        <v>64</v>
      </c>
      <c r="G668" s="2351" t="s">
        <v>65</v>
      </c>
      <c r="H668" s="2333" t="s">
        <v>3461</v>
      </c>
      <c r="I668" s="2353" t="s">
        <v>3462</v>
      </c>
      <c r="J668" s="2355">
        <v>18</v>
      </c>
      <c r="K668" s="2355">
        <v>4000000</v>
      </c>
      <c r="L668" s="2357" t="s">
        <v>3463</v>
      </c>
      <c r="M668" s="2294" t="s">
        <v>51</v>
      </c>
      <c r="N668" s="2295"/>
      <c r="O668" s="481"/>
      <c r="P668" s="481"/>
      <c r="Q668" s="481"/>
      <c r="R668" s="481"/>
      <c r="S668" s="481"/>
      <c r="T668" s="481"/>
      <c r="U668" s="1785">
        <v>7.0108725050003151E-2</v>
      </c>
      <c r="V668" s="1785">
        <v>9.3845108324039139E-2</v>
      </c>
      <c r="W668" s="1785">
        <v>0.14325436197421362</v>
      </c>
      <c r="X668" s="1785">
        <v>0.14219062067944671</v>
      </c>
      <c r="Y668" s="1785">
        <v>0.1257208129244497</v>
      </c>
      <c r="Z668" s="1785">
        <v>0.11729001576733417</v>
      </c>
      <c r="AA668" s="1786">
        <f>SUM(O668:Z668)</f>
        <v>0.69240964471948652</v>
      </c>
    </row>
    <row r="669" spans="1:27" ht="54.75" customHeight="1" x14ac:dyDescent="0.25">
      <c r="A669" s="2291"/>
      <c r="B669" s="2328"/>
      <c r="C669" s="2334"/>
      <c r="D669" s="2336"/>
      <c r="E669" s="2350"/>
      <c r="F669" s="2352"/>
      <c r="G669" s="2352"/>
      <c r="H669" s="2334"/>
      <c r="I669" s="2354"/>
      <c r="J669" s="2356"/>
      <c r="K669" s="2356"/>
      <c r="L669" s="2358"/>
      <c r="M669" s="2294" t="s">
        <v>111</v>
      </c>
      <c r="N669" s="2295"/>
      <c r="O669" s="481"/>
      <c r="P669" s="481"/>
      <c r="Q669" s="481"/>
      <c r="R669" s="481"/>
      <c r="S669" s="481"/>
      <c r="T669" s="481"/>
      <c r="U669" s="481">
        <f>U668*'Eje. Institucional'!$K$14/'Eje. Institucional'!$AA$14</f>
        <v>722.78590090300747</v>
      </c>
      <c r="V669" s="481">
        <f>V668*'Eje. Institucional'!$K$14/'Eje. Institucional'!$AA$14</f>
        <v>967.49614426668143</v>
      </c>
      <c r="W669" s="481">
        <f>W668*'Eje. Institucional'!$K$14/'Eje. Institucional'!$AA$14</f>
        <v>1476.8808447731553</v>
      </c>
      <c r="X669" s="481">
        <f>X668*'Eje. Institucional'!$K$14/'Eje. Institucional'!$AA$14</f>
        <v>1465.9142038947559</v>
      </c>
      <c r="Y669" s="481">
        <f>Y668*'Eje. Institucional'!$K$14/'Eje. Institucional'!$AA$14</f>
        <v>1296.1187208446142</v>
      </c>
      <c r="Z669" s="481">
        <f>Z668*'Eje. Institucional'!$K$14/'Eje. Institucional'!$AA$14</f>
        <v>1209.2014175533316</v>
      </c>
      <c r="AA669" s="229">
        <f>SUM(O669:Z669)</f>
        <v>7138.3972322355457</v>
      </c>
    </row>
    <row r="670" spans="1:27" x14ac:dyDescent="0.25">
      <c r="A670" s="2291" t="s">
        <v>256</v>
      </c>
      <c r="B670" s="1352" t="s">
        <v>11</v>
      </c>
      <c r="C670" s="1730" t="s">
        <v>84</v>
      </c>
      <c r="D670" s="202"/>
      <c r="E670" s="1739"/>
      <c r="F670" s="1739"/>
      <c r="G670" s="1739"/>
      <c r="H670" s="202"/>
      <c r="I670" s="1739"/>
      <c r="J670" s="1739"/>
      <c r="K670" s="1739"/>
      <c r="L670" s="1739"/>
      <c r="M670" s="1739"/>
      <c r="N670" s="1739"/>
      <c r="O670" s="1739"/>
      <c r="P670" s="1739"/>
      <c r="Q670" s="1739"/>
      <c r="R670" s="1739"/>
      <c r="S670" s="1739"/>
      <c r="T670" s="1739"/>
      <c r="U670" s="202"/>
      <c r="V670" s="202"/>
      <c r="W670" s="202"/>
      <c r="X670" s="202"/>
      <c r="Y670" s="202"/>
      <c r="Z670" s="202"/>
      <c r="AA670" s="224"/>
    </row>
    <row r="671" spans="1:27" x14ac:dyDescent="0.25">
      <c r="A671" s="2291"/>
      <c r="B671" s="2298" t="s">
        <v>13</v>
      </c>
      <c r="C671" s="2329" t="s">
        <v>58</v>
      </c>
      <c r="D671" s="2299" t="s">
        <v>3458</v>
      </c>
      <c r="E671" s="2300"/>
      <c r="F671" s="2300"/>
      <c r="G671" s="2300"/>
      <c r="H671" s="2300"/>
      <c r="I671" s="2300"/>
      <c r="J671" s="2300"/>
      <c r="K671" s="2300"/>
      <c r="L671" s="2300"/>
      <c r="M671" s="2300"/>
      <c r="N671" s="2300"/>
      <c r="O671" s="2300"/>
      <c r="P671" s="2300"/>
      <c r="Q671" s="2300"/>
      <c r="R671" s="2300"/>
      <c r="S671" s="2300"/>
      <c r="T671" s="2300"/>
      <c r="U671" s="2301"/>
      <c r="V671" s="2305" t="s">
        <v>15</v>
      </c>
      <c r="W671" s="2305"/>
      <c r="X671" s="2305"/>
      <c r="Y671" s="2305"/>
      <c r="Z671" s="2305" t="s">
        <v>16</v>
      </c>
      <c r="AA671" s="2305"/>
    </row>
    <row r="672" spans="1:27" x14ac:dyDescent="0.25">
      <c r="A672" s="2291"/>
      <c r="B672" s="2298"/>
      <c r="C672" s="2330"/>
      <c r="D672" s="2302"/>
      <c r="E672" s="2303"/>
      <c r="F672" s="2303"/>
      <c r="G672" s="2303"/>
      <c r="H672" s="2303"/>
      <c r="I672" s="2303"/>
      <c r="J672" s="2303"/>
      <c r="K672" s="2303"/>
      <c r="L672" s="2303"/>
      <c r="M672" s="2303"/>
      <c r="N672" s="2303"/>
      <c r="O672" s="2303"/>
      <c r="P672" s="2303"/>
      <c r="Q672" s="2303"/>
      <c r="R672" s="2303"/>
      <c r="S672" s="2303"/>
      <c r="T672" s="2303"/>
      <c r="U672" s="2304"/>
      <c r="V672" s="2299"/>
      <c r="W672" s="2300"/>
      <c r="X672" s="2300"/>
      <c r="Y672" s="2301"/>
      <c r="Z672" s="2306"/>
      <c r="AA672" s="2307"/>
    </row>
    <row r="673" spans="1:27" x14ac:dyDescent="0.25">
      <c r="A673" s="2291"/>
      <c r="B673" s="2298" t="s">
        <v>18</v>
      </c>
      <c r="C673" s="2331">
        <v>2231549</v>
      </c>
      <c r="D673" s="2337" t="s">
        <v>3464</v>
      </c>
      <c r="E673" s="2338"/>
      <c r="F673" s="2338"/>
      <c r="G673" s="2338"/>
      <c r="H673" s="2338"/>
      <c r="I673" s="2338"/>
      <c r="J673" s="2338"/>
      <c r="K673" s="2338"/>
      <c r="L673" s="2338"/>
      <c r="M673" s="2338"/>
      <c r="N673" s="2338"/>
      <c r="O673" s="2338"/>
      <c r="P673" s="2338"/>
      <c r="Q673" s="2338"/>
      <c r="R673" s="2338"/>
      <c r="S673" s="2338"/>
      <c r="T673" s="2338"/>
      <c r="U673" s="2339"/>
      <c r="V673" s="2314" t="s">
        <v>15</v>
      </c>
      <c r="W673" s="2315"/>
      <c r="X673" s="2315"/>
      <c r="Y673" s="2316"/>
      <c r="Z673" s="2305" t="s">
        <v>16</v>
      </c>
      <c r="AA673" s="2305"/>
    </row>
    <row r="674" spans="1:27" x14ac:dyDescent="0.25">
      <c r="A674" s="2291"/>
      <c r="B674" s="2298"/>
      <c r="C674" s="2332"/>
      <c r="D674" s="2340"/>
      <c r="E674" s="2341"/>
      <c r="F674" s="2341"/>
      <c r="G674" s="2341"/>
      <c r="H674" s="2341"/>
      <c r="I674" s="2341"/>
      <c r="J674" s="2341"/>
      <c r="K674" s="2341"/>
      <c r="L674" s="2341"/>
      <c r="M674" s="2341"/>
      <c r="N674" s="2341"/>
      <c r="O674" s="2341"/>
      <c r="P674" s="2341"/>
      <c r="Q674" s="2341"/>
      <c r="R674" s="2341"/>
      <c r="S674" s="2341"/>
      <c r="T674" s="2341"/>
      <c r="U674" s="2342"/>
      <c r="V674" s="2317"/>
      <c r="W674" s="2318"/>
      <c r="X674" s="2318"/>
      <c r="Y674" s="2319"/>
      <c r="Z674" s="2305"/>
      <c r="AA674" s="2305"/>
    </row>
    <row r="675" spans="1:27" x14ac:dyDescent="0.25">
      <c r="A675" s="2291"/>
      <c r="B675" s="2320" t="s">
        <v>20</v>
      </c>
      <c r="C675" s="2324" t="s">
        <v>21</v>
      </c>
      <c r="D675" s="2324" t="s">
        <v>22</v>
      </c>
      <c r="E675" s="2324" t="s">
        <v>23</v>
      </c>
      <c r="F675" s="2324" t="s">
        <v>24</v>
      </c>
      <c r="G675" s="2324" t="s">
        <v>25</v>
      </c>
      <c r="H675" s="2324" t="s">
        <v>26</v>
      </c>
      <c r="I675" s="2324" t="s">
        <v>27</v>
      </c>
      <c r="J675" s="2322" t="s">
        <v>28</v>
      </c>
      <c r="K675" s="2323"/>
      <c r="L675" s="2324" t="s">
        <v>29</v>
      </c>
      <c r="M675" s="2322" t="s">
        <v>30</v>
      </c>
      <c r="N675" s="2323"/>
      <c r="O675" s="2343" t="s">
        <v>31</v>
      </c>
      <c r="P675" s="2344"/>
      <c r="Q675" s="2344"/>
      <c r="R675" s="2344"/>
      <c r="S675" s="2344"/>
      <c r="T675" s="2344"/>
      <c r="U675" s="2344"/>
      <c r="V675" s="2344"/>
      <c r="W675" s="2344"/>
      <c r="X675" s="2344"/>
      <c r="Y675" s="2344"/>
      <c r="Z675" s="2345"/>
      <c r="AA675" s="2346" t="s">
        <v>32</v>
      </c>
    </row>
    <row r="676" spans="1:27" ht="22.5" customHeight="1" x14ac:dyDescent="0.25">
      <c r="A676" s="2291"/>
      <c r="B676" s="2321"/>
      <c r="C676" s="2324"/>
      <c r="D676" s="2324"/>
      <c r="E676" s="2324"/>
      <c r="F676" s="2324"/>
      <c r="G676" s="2324"/>
      <c r="H676" s="2324"/>
      <c r="I676" s="2324"/>
      <c r="J676" s="1355" t="s">
        <v>33</v>
      </c>
      <c r="K676" s="1355" t="s">
        <v>34</v>
      </c>
      <c r="L676" s="2324"/>
      <c r="M676" s="2325"/>
      <c r="N676" s="2326"/>
      <c r="O676" s="1354" t="s">
        <v>35</v>
      </c>
      <c r="P676" s="1354" t="s">
        <v>36</v>
      </c>
      <c r="Q676" s="1354" t="s">
        <v>37</v>
      </c>
      <c r="R676" s="1354" t="s">
        <v>38</v>
      </c>
      <c r="S676" s="1354" t="s">
        <v>39</v>
      </c>
      <c r="T676" s="1354" t="s">
        <v>40</v>
      </c>
      <c r="U676" s="1354" t="s">
        <v>41</v>
      </c>
      <c r="V676" s="1354" t="s">
        <v>42</v>
      </c>
      <c r="W676" s="1354" t="s">
        <v>43</v>
      </c>
      <c r="X676" s="1354" t="s">
        <v>44</v>
      </c>
      <c r="Y676" s="1354" t="s">
        <v>45</v>
      </c>
      <c r="Z676" s="1354" t="s">
        <v>46</v>
      </c>
      <c r="AA676" s="2346"/>
    </row>
    <row r="677" spans="1:27" ht="33.75" customHeight="1" x14ac:dyDescent="0.25">
      <c r="A677" s="2291"/>
      <c r="B677" s="2327">
        <v>4000082</v>
      </c>
      <c r="C677" s="2347" t="s">
        <v>3465</v>
      </c>
      <c r="D677" s="2335" t="s">
        <v>3466</v>
      </c>
      <c r="E677" s="2349">
        <v>15</v>
      </c>
      <c r="F677" s="2351" t="s">
        <v>64</v>
      </c>
      <c r="G677" s="2351" t="s">
        <v>3467</v>
      </c>
      <c r="H677" s="2333" t="s">
        <v>3468</v>
      </c>
      <c r="I677" s="2353" t="s">
        <v>3469</v>
      </c>
      <c r="J677" s="2355">
        <v>1</v>
      </c>
      <c r="K677" s="2355">
        <v>4265321</v>
      </c>
      <c r="L677" s="2357" t="s">
        <v>3463</v>
      </c>
      <c r="M677" s="2294" t="s">
        <v>51</v>
      </c>
      <c r="N677" s="2295"/>
      <c r="O677" s="481"/>
      <c r="P677" s="481"/>
      <c r="Q677" s="481"/>
      <c r="R677" s="1785">
        <v>8.2180000000000003E-2</v>
      </c>
      <c r="S677" s="1785">
        <v>0.15703</v>
      </c>
      <c r="T677" s="1785">
        <v>0.29352</v>
      </c>
      <c r="U677" s="1785">
        <v>7.9479999999999995E-2</v>
      </c>
      <c r="V677" s="1785">
        <v>9.2350000000000002E-2</v>
      </c>
      <c r="W677" s="1785">
        <v>0.10061</v>
      </c>
      <c r="X677" s="1785">
        <v>7.9420000000000004E-2</v>
      </c>
      <c r="Y677" s="1785">
        <v>0.11541999999999999</v>
      </c>
      <c r="Z677" s="1785"/>
      <c r="AA677" s="1786">
        <f>SUM(O677:Z677)</f>
        <v>1.0000100000000001</v>
      </c>
    </row>
    <row r="678" spans="1:27" ht="19.5" customHeight="1" x14ac:dyDescent="0.25">
      <c r="A678" s="2291"/>
      <c r="B678" s="2328"/>
      <c r="C678" s="2348"/>
      <c r="D678" s="2336"/>
      <c r="E678" s="2350"/>
      <c r="F678" s="2352"/>
      <c r="G678" s="2352"/>
      <c r="H678" s="2334"/>
      <c r="I678" s="2354"/>
      <c r="J678" s="2356"/>
      <c r="K678" s="2356"/>
      <c r="L678" s="2358"/>
      <c r="M678" s="2294" t="s">
        <v>111</v>
      </c>
      <c r="N678" s="2295"/>
      <c r="O678" s="481"/>
      <c r="P678" s="481"/>
      <c r="Q678" s="481"/>
      <c r="R678" s="481">
        <v>350524</v>
      </c>
      <c r="S678" s="481">
        <v>669783</v>
      </c>
      <c r="T678" s="481">
        <v>1251957</v>
      </c>
      <c r="U678" s="481">
        <v>339008</v>
      </c>
      <c r="V678" s="481">
        <v>393902</v>
      </c>
      <c r="W678" s="481">
        <v>429134</v>
      </c>
      <c r="X678" s="481">
        <v>338752</v>
      </c>
      <c r="Y678" s="481">
        <v>492261</v>
      </c>
      <c r="Z678" s="481"/>
      <c r="AA678" s="229">
        <f>SUM(O678:Z678)</f>
        <v>4265321</v>
      </c>
    </row>
    <row r="679" spans="1:27" ht="13.5" customHeight="1" x14ac:dyDescent="0.25">
      <c r="A679" s="2198"/>
      <c r="B679" s="2199"/>
      <c r="C679" s="2200"/>
      <c r="D679" s="2201"/>
      <c r="E679" s="2202"/>
      <c r="F679" s="2203"/>
      <c r="G679" s="2203"/>
      <c r="H679" s="2200"/>
      <c r="I679" s="2204"/>
      <c r="J679" s="2205"/>
      <c r="K679" s="2205"/>
      <c r="L679" s="2206"/>
      <c r="M679" s="2183"/>
      <c r="N679" s="2183"/>
      <c r="O679" s="1863"/>
      <c r="P679" s="1863"/>
      <c r="Q679" s="1863"/>
      <c r="R679" s="1863"/>
      <c r="S679" s="1863"/>
      <c r="T679" s="1863"/>
      <c r="U679" s="1863"/>
      <c r="V679" s="1863"/>
      <c r="W679" s="1863"/>
      <c r="X679" s="1863"/>
      <c r="Y679" s="1863"/>
      <c r="Z679" s="1863"/>
      <c r="AA679" s="1864"/>
    </row>
    <row r="680" spans="1:27" ht="15" customHeight="1" x14ac:dyDescent="0.25">
      <c r="A680" s="2412" t="s">
        <v>2582</v>
      </c>
      <c r="B680" s="2412"/>
      <c r="C680" s="2412"/>
      <c r="D680" s="2412"/>
      <c r="E680" s="2412"/>
      <c r="F680" s="2412"/>
      <c r="G680" s="2412"/>
      <c r="H680" s="2412"/>
      <c r="I680" s="2412"/>
      <c r="J680" s="2412"/>
      <c r="K680" s="2412"/>
      <c r="L680" s="2412"/>
      <c r="M680" s="2412"/>
      <c r="N680" s="2412"/>
      <c r="O680" s="2412"/>
      <c r="P680" s="2412"/>
      <c r="Q680" s="2412"/>
      <c r="R680" s="2412"/>
      <c r="S680" s="2412"/>
      <c r="T680" s="2412"/>
      <c r="U680" s="2412"/>
      <c r="V680" s="2412"/>
      <c r="W680" s="2412"/>
      <c r="X680" s="2412"/>
      <c r="Y680" s="2412"/>
      <c r="Z680" s="2412"/>
      <c r="AA680" s="2412"/>
    </row>
    <row r="681" spans="1:27" ht="17.25" customHeight="1" x14ac:dyDescent="0.25">
      <c r="A681" s="2902" t="s">
        <v>0</v>
      </c>
      <c r="B681" s="2195" t="s">
        <v>1</v>
      </c>
      <c r="C681" s="2957" t="s">
        <v>1850</v>
      </c>
      <c r="D681" s="2957"/>
      <c r="E681" s="2958"/>
      <c r="F681" s="1722"/>
      <c r="G681" s="1722"/>
      <c r="H681" s="1722"/>
      <c r="I681" s="1722"/>
      <c r="J681" s="1722"/>
      <c r="K681" s="1722"/>
      <c r="L681" s="1722"/>
      <c r="M681" s="1722"/>
      <c r="N681" s="1722"/>
      <c r="O681" s="1722"/>
      <c r="P681" s="1722"/>
      <c r="Q681" s="1722"/>
      <c r="R681" s="1722"/>
      <c r="S681" s="1722"/>
      <c r="T681" s="1722"/>
      <c r="U681" s="1722"/>
      <c r="V681" s="1722"/>
      <c r="W681" s="1722"/>
      <c r="X681" s="1722"/>
      <c r="Y681" s="1722"/>
      <c r="Z681" s="1722"/>
      <c r="AA681" s="1723"/>
    </row>
    <row r="682" spans="1:27" ht="25.5" customHeight="1" x14ac:dyDescent="0.25">
      <c r="A682" s="2903"/>
      <c r="B682" s="1915" t="s">
        <v>2</v>
      </c>
      <c r="C682" s="2294" t="s">
        <v>3598</v>
      </c>
      <c r="D682" s="2295"/>
      <c r="E682" s="2295"/>
      <c r="F682" s="2295"/>
      <c r="G682" s="2295"/>
      <c r="H682" s="2295"/>
      <c r="I682" s="2295"/>
      <c r="J682" s="2295"/>
      <c r="K682" s="1975"/>
      <c r="L682" s="1975"/>
      <c r="M682" s="1975"/>
      <c r="N682" s="1975"/>
      <c r="O682" s="1975"/>
      <c r="P682" s="1975"/>
      <c r="Q682" s="513"/>
      <c r="R682" s="513"/>
      <c r="S682" s="513"/>
      <c r="T682" s="513"/>
      <c r="U682" s="225"/>
      <c r="V682" s="1975"/>
      <c r="W682" s="1975"/>
      <c r="X682" s="1975"/>
      <c r="Y682" s="1975"/>
      <c r="Z682" s="1975"/>
      <c r="AA682" s="1928"/>
    </row>
    <row r="683" spans="1:27" ht="15" customHeight="1" x14ac:dyDescent="0.25">
      <c r="A683" s="2903"/>
      <c r="B683" s="1915" t="s">
        <v>4</v>
      </c>
      <c r="C683" s="2294" t="s">
        <v>1348</v>
      </c>
      <c r="D683" s="2295"/>
      <c r="E683" s="2295"/>
      <c r="F683" s="2295"/>
      <c r="G683" s="2295"/>
      <c r="H683" s="2295"/>
      <c r="I683" s="2295"/>
      <c r="J683" s="2295"/>
      <c r="K683" s="2295"/>
      <c r="L683" s="2295"/>
      <c r="M683" s="2295"/>
      <c r="N683" s="2295"/>
      <c r="O683" s="2295"/>
      <c r="P683" s="2295"/>
      <c r="Q683" s="2295"/>
      <c r="R683" s="2295"/>
      <c r="S683" s="2295"/>
      <c r="T683" s="203"/>
      <c r="U683" s="203"/>
      <c r="V683" s="1921"/>
      <c r="W683" s="1921"/>
      <c r="X683" s="1921"/>
      <c r="Y683" s="1921"/>
      <c r="Z683" s="1921"/>
      <c r="AA683" s="1922"/>
    </row>
    <row r="684" spans="1:27" ht="30" customHeight="1" x14ac:dyDescent="0.25">
      <c r="A684" s="2903"/>
      <c r="B684" s="1915" t="s">
        <v>6</v>
      </c>
      <c r="C684" s="2294" t="s">
        <v>3686</v>
      </c>
      <c r="D684" s="2295"/>
      <c r="E684" s="2295"/>
      <c r="F684" s="2295"/>
      <c r="G684" s="2295"/>
      <c r="H684" s="2295"/>
      <c r="I684" s="2295"/>
      <c r="J684" s="2295"/>
      <c r="K684" s="2295"/>
      <c r="L684" s="2295"/>
      <c r="M684" s="2295"/>
      <c r="N684" s="2295"/>
      <c r="O684" s="2295"/>
      <c r="P684" s="2295"/>
      <c r="Q684" s="203"/>
      <c r="R684" s="203"/>
      <c r="S684" s="203"/>
      <c r="T684" s="203"/>
      <c r="U684" s="203"/>
      <c r="V684" s="1975"/>
      <c r="W684" s="1975"/>
      <c r="X684" s="1975"/>
      <c r="Y684" s="1975"/>
      <c r="Z684" s="1975"/>
      <c r="AA684" s="1928"/>
    </row>
    <row r="685" spans="1:27" ht="31.5" customHeight="1" x14ac:dyDescent="0.25">
      <c r="A685" s="2904"/>
      <c r="B685" s="1859" t="s">
        <v>8</v>
      </c>
      <c r="C685" s="2175" t="s">
        <v>1349</v>
      </c>
      <c r="D685" s="362"/>
      <c r="E685" s="363"/>
      <c r="F685" s="363"/>
      <c r="G685" s="363"/>
      <c r="H685" s="363"/>
      <c r="I685" s="363"/>
      <c r="J685" s="363"/>
      <c r="K685" s="363"/>
      <c r="L685" s="363"/>
      <c r="M685" s="363"/>
      <c r="N685" s="363"/>
      <c r="O685" s="363"/>
      <c r="P685" s="363"/>
      <c r="Q685" s="365"/>
      <c r="R685" s="365"/>
      <c r="S685" s="365"/>
      <c r="T685" s="365"/>
      <c r="U685" s="365"/>
      <c r="V685" s="363"/>
      <c r="W685" s="363"/>
      <c r="X685" s="363"/>
      <c r="Y685" s="363"/>
      <c r="Z685" s="363"/>
      <c r="AA685" s="366"/>
    </row>
    <row r="686" spans="1:27" x14ac:dyDescent="0.25">
      <c r="A686" s="2291" t="s">
        <v>256</v>
      </c>
      <c r="B686" s="1915" t="s">
        <v>11</v>
      </c>
      <c r="C686" s="1976" t="s">
        <v>230</v>
      </c>
      <c r="D686" s="202"/>
      <c r="E686" s="202"/>
      <c r="F686" s="202"/>
      <c r="G686" s="202"/>
      <c r="H686" s="202"/>
      <c r="I686" s="202"/>
      <c r="J686" s="202"/>
      <c r="K686" s="202"/>
      <c r="L686" s="202"/>
      <c r="M686" s="202"/>
      <c r="N686" s="202"/>
      <c r="O686" s="202"/>
      <c r="P686" s="202"/>
      <c r="Q686" s="203"/>
      <c r="R686" s="203"/>
      <c r="S686" s="203"/>
      <c r="T686" s="203"/>
      <c r="U686" s="203"/>
      <c r="V686" s="202"/>
      <c r="W686" s="202"/>
      <c r="X686" s="202"/>
      <c r="Y686" s="202"/>
      <c r="Z686" s="202"/>
      <c r="AA686" s="224"/>
    </row>
    <row r="687" spans="1:27" ht="15" customHeight="1" x14ac:dyDescent="0.25">
      <c r="A687" s="2291"/>
      <c r="B687" s="2298" t="s">
        <v>13</v>
      </c>
      <c r="C687" s="2959">
        <v>9001</v>
      </c>
      <c r="D687" s="2959" t="s">
        <v>160</v>
      </c>
      <c r="E687" s="2210"/>
      <c r="F687" s="204"/>
      <c r="G687" s="204"/>
      <c r="H687" s="204"/>
      <c r="I687" s="204"/>
      <c r="J687" s="204"/>
      <c r="K687" s="204"/>
      <c r="L687" s="204"/>
      <c r="M687" s="204"/>
      <c r="N687" s="204"/>
      <c r="O687" s="204"/>
      <c r="P687" s="204"/>
      <c r="Q687" s="205"/>
      <c r="R687" s="205"/>
      <c r="S687" s="205"/>
      <c r="T687" s="205"/>
      <c r="U687" s="205"/>
      <c r="V687" s="2305" t="s">
        <v>15</v>
      </c>
      <c r="W687" s="2305"/>
      <c r="X687" s="2305"/>
      <c r="Y687" s="2305"/>
      <c r="Z687" s="2314" t="s">
        <v>16</v>
      </c>
      <c r="AA687" s="2316"/>
    </row>
    <row r="688" spans="1:27" ht="15" customHeight="1" x14ac:dyDescent="0.25">
      <c r="A688" s="2291"/>
      <c r="B688" s="2298"/>
      <c r="C688" s="2960"/>
      <c r="D688" s="2960"/>
      <c r="E688" s="2211"/>
      <c r="F688" s="206"/>
      <c r="G688" s="206"/>
      <c r="H688" s="206"/>
      <c r="I688" s="206"/>
      <c r="J688" s="206"/>
      <c r="K688" s="206"/>
      <c r="L688" s="206"/>
      <c r="M688" s="206"/>
      <c r="N688" s="206"/>
      <c r="O688" s="206"/>
      <c r="P688" s="206"/>
      <c r="Q688" s="207"/>
      <c r="R688" s="207"/>
      <c r="S688" s="207"/>
      <c r="T688" s="207"/>
      <c r="U688" s="207"/>
      <c r="V688" s="2306" t="s">
        <v>1213</v>
      </c>
      <c r="W688" s="2962"/>
      <c r="X688" s="2962"/>
      <c r="Y688" s="2307"/>
      <c r="Z688" s="2306" t="s">
        <v>1213</v>
      </c>
      <c r="AA688" s="2307"/>
    </row>
    <row r="689" spans="1:27" ht="15" customHeight="1" x14ac:dyDescent="0.25">
      <c r="A689" s="2291"/>
      <c r="B689" s="2298"/>
      <c r="C689" s="2961"/>
      <c r="D689" s="2961"/>
      <c r="E689" s="2212"/>
      <c r="F689" s="208"/>
      <c r="G689" s="208"/>
      <c r="H689" s="208"/>
      <c r="I689" s="208"/>
      <c r="J689" s="208"/>
      <c r="K689" s="208"/>
      <c r="L689" s="208"/>
      <c r="M689" s="208"/>
      <c r="N689" s="208"/>
      <c r="O689" s="208"/>
      <c r="P689" s="208"/>
      <c r="Q689" s="209"/>
      <c r="R689" s="209"/>
      <c r="S689" s="209"/>
      <c r="T689" s="209"/>
      <c r="U689" s="209"/>
      <c r="V689" s="2963"/>
      <c r="W689" s="2964"/>
      <c r="X689" s="2964"/>
      <c r="Y689" s="2965"/>
      <c r="Z689" s="2963"/>
      <c r="AA689" s="2965"/>
    </row>
    <row r="690" spans="1:27" ht="15" customHeight="1" x14ac:dyDescent="0.25">
      <c r="A690" s="2291"/>
      <c r="B690" s="2298" t="s">
        <v>18</v>
      </c>
      <c r="C690" s="2959">
        <v>3.9999989999999999</v>
      </c>
      <c r="D690" s="2293" t="s">
        <v>163</v>
      </c>
      <c r="E690" s="2293"/>
      <c r="F690" s="210"/>
      <c r="G690" s="210"/>
      <c r="H690" s="210"/>
      <c r="I690" s="210"/>
      <c r="J690" s="210"/>
      <c r="K690" s="210"/>
      <c r="L690" s="210"/>
      <c r="M690" s="210"/>
      <c r="N690" s="210"/>
      <c r="O690" s="210"/>
      <c r="P690" s="210"/>
      <c r="Q690" s="204"/>
      <c r="R690" s="204"/>
      <c r="S690" s="204"/>
      <c r="T690" s="204"/>
      <c r="U690" s="211"/>
      <c r="V690" s="2293" t="s">
        <v>15</v>
      </c>
      <c r="W690" s="2293"/>
      <c r="X690" s="2293"/>
      <c r="Y690" s="2293"/>
      <c r="Z690" s="2305" t="s">
        <v>16</v>
      </c>
      <c r="AA690" s="2305"/>
    </row>
    <row r="691" spans="1:27" ht="15" customHeight="1" x14ac:dyDescent="0.25">
      <c r="A691" s="2291"/>
      <c r="B691" s="2298"/>
      <c r="C691" s="2961"/>
      <c r="D691" s="2293"/>
      <c r="E691" s="2293"/>
      <c r="F691" s="212"/>
      <c r="G691" s="212"/>
      <c r="H691" s="212"/>
      <c r="I691" s="212"/>
      <c r="J691" s="212"/>
      <c r="K691" s="212"/>
      <c r="L691" s="212"/>
      <c r="M691" s="212"/>
      <c r="N691" s="212"/>
      <c r="O691" s="212"/>
      <c r="P691" s="212"/>
      <c r="Q691" s="208"/>
      <c r="R691" s="208"/>
      <c r="S691" s="208"/>
      <c r="T691" s="208"/>
      <c r="U691" s="213"/>
      <c r="V691" s="2294" t="s">
        <v>1213</v>
      </c>
      <c r="W691" s="2295"/>
      <c r="X691" s="2295"/>
      <c r="Y691" s="2966"/>
      <c r="Z691" s="2305" t="s">
        <v>1213</v>
      </c>
      <c r="AA691" s="2305"/>
    </row>
    <row r="692" spans="1:27" x14ac:dyDescent="0.25">
      <c r="A692" s="2291"/>
      <c r="B692" s="2924" t="s">
        <v>20</v>
      </c>
      <c r="C692" s="2324" t="s">
        <v>21</v>
      </c>
      <c r="D692" s="2324" t="s">
        <v>22</v>
      </c>
      <c r="E692" s="2324" t="s">
        <v>23</v>
      </c>
      <c r="F692" s="2324" t="s">
        <v>164</v>
      </c>
      <c r="G692" s="2324" t="s">
        <v>25</v>
      </c>
      <c r="H692" s="2324" t="s">
        <v>26</v>
      </c>
      <c r="I692" s="2324" t="s">
        <v>27</v>
      </c>
      <c r="J692" s="2322" t="s">
        <v>28</v>
      </c>
      <c r="K692" s="2323"/>
      <c r="L692" s="2324" t="s">
        <v>29</v>
      </c>
      <c r="M692" s="2322" t="s">
        <v>30</v>
      </c>
      <c r="N692" s="2323"/>
      <c r="O692" s="2343" t="s">
        <v>31</v>
      </c>
      <c r="P692" s="2344"/>
      <c r="Q692" s="2344"/>
      <c r="R692" s="2344"/>
      <c r="S692" s="2344"/>
      <c r="T692" s="2344"/>
      <c r="U692" s="2344"/>
      <c r="V692" s="2344"/>
      <c r="W692" s="2344"/>
      <c r="X692" s="2344"/>
      <c r="Y692" s="2344"/>
      <c r="Z692" s="2345"/>
      <c r="AA692" s="2346" t="s">
        <v>32</v>
      </c>
    </row>
    <row r="693" spans="1:27" ht="15" customHeight="1" x14ac:dyDescent="0.25">
      <c r="A693" s="2291"/>
      <c r="B693" s="2924"/>
      <c r="C693" s="2324"/>
      <c r="D693" s="2324"/>
      <c r="E693" s="2324"/>
      <c r="F693" s="2324"/>
      <c r="G693" s="2324"/>
      <c r="H693" s="2324"/>
      <c r="I693" s="2324"/>
      <c r="J693" s="1917" t="s">
        <v>33</v>
      </c>
      <c r="K693" s="1917" t="s">
        <v>34</v>
      </c>
      <c r="L693" s="2324"/>
      <c r="M693" s="2325"/>
      <c r="N693" s="2326"/>
      <c r="O693" s="1918" t="s">
        <v>35</v>
      </c>
      <c r="P693" s="1918" t="s">
        <v>36</v>
      </c>
      <c r="Q693" s="1918" t="s">
        <v>37</v>
      </c>
      <c r="R693" s="1918" t="s">
        <v>38</v>
      </c>
      <c r="S693" s="1918" t="s">
        <v>39</v>
      </c>
      <c r="T693" s="1918" t="s">
        <v>40</v>
      </c>
      <c r="U693" s="1918" t="s">
        <v>41</v>
      </c>
      <c r="V693" s="1918" t="s">
        <v>42</v>
      </c>
      <c r="W693" s="1918" t="s">
        <v>43</v>
      </c>
      <c r="X693" s="1918" t="s">
        <v>44</v>
      </c>
      <c r="Y693" s="1918" t="s">
        <v>45</v>
      </c>
      <c r="Z693" s="1918" t="s">
        <v>46</v>
      </c>
      <c r="AA693" s="2346"/>
    </row>
    <row r="694" spans="1:27" x14ac:dyDescent="0.25">
      <c r="A694" s="2291"/>
      <c r="B694" s="2967" t="s">
        <v>1350</v>
      </c>
      <c r="C694" s="2928" t="s">
        <v>1085</v>
      </c>
      <c r="D694" s="2928" t="s">
        <v>1351</v>
      </c>
      <c r="E694" s="2932" t="s">
        <v>54</v>
      </c>
      <c r="F694" s="2933" t="s">
        <v>165</v>
      </c>
      <c r="G694" s="2932" t="s">
        <v>166</v>
      </c>
      <c r="H694" s="2931" t="s">
        <v>1352</v>
      </c>
      <c r="I694" s="2931" t="s">
        <v>235</v>
      </c>
      <c r="J694" s="2934">
        <v>12</v>
      </c>
      <c r="K694" s="2934">
        <v>73600</v>
      </c>
      <c r="L694" s="2931" t="s">
        <v>1353</v>
      </c>
      <c r="M694" s="2968" t="s">
        <v>51</v>
      </c>
      <c r="N694" s="2968"/>
      <c r="O694" s="229">
        <v>1</v>
      </c>
      <c r="P694" s="1828">
        <v>1</v>
      </c>
      <c r="Q694" s="229">
        <v>1</v>
      </c>
      <c r="R694" s="1828">
        <v>1</v>
      </c>
      <c r="S694" s="229">
        <v>1</v>
      </c>
      <c r="T694" s="1828">
        <v>1</v>
      </c>
      <c r="U694" s="229">
        <v>1</v>
      </c>
      <c r="V694" s="1828">
        <v>1</v>
      </c>
      <c r="W694" s="229">
        <v>1</v>
      </c>
      <c r="X694" s="1828">
        <v>1</v>
      </c>
      <c r="Y694" s="229">
        <v>1</v>
      </c>
      <c r="Z694" s="1828">
        <v>1</v>
      </c>
      <c r="AA694" s="1592">
        <f>SUM(O694:Z694)</f>
        <v>12</v>
      </c>
    </row>
    <row r="695" spans="1:27" x14ac:dyDescent="0.25">
      <c r="A695" s="2291"/>
      <c r="B695" s="2967"/>
      <c r="C695" s="2929"/>
      <c r="D695" s="2929"/>
      <c r="E695" s="2932"/>
      <c r="F695" s="2933"/>
      <c r="G695" s="2932"/>
      <c r="H695" s="2931"/>
      <c r="I695" s="2931"/>
      <c r="J695" s="2934"/>
      <c r="K695" s="2934"/>
      <c r="L695" s="2931"/>
      <c r="M695" s="2968" t="s">
        <v>111</v>
      </c>
      <c r="N695" s="2968"/>
      <c r="O695" s="1626">
        <f>SUM(O696:O703)</f>
        <v>6425.3</v>
      </c>
      <c r="P695" s="1626">
        <f t="shared" ref="P695:Z695" si="230">SUM(P696:P703)</f>
        <v>8425.2999999999993</v>
      </c>
      <c r="Q695" s="1626">
        <f t="shared" si="230"/>
        <v>10811.3</v>
      </c>
      <c r="R695" s="1626">
        <f t="shared" si="230"/>
        <v>12645.3</v>
      </c>
      <c r="S695" s="1626">
        <f t="shared" si="230"/>
        <v>7395.3</v>
      </c>
      <c r="T695" s="1626">
        <f t="shared" si="230"/>
        <v>7585.3</v>
      </c>
      <c r="U695" s="1626">
        <f t="shared" si="230"/>
        <v>6785.3</v>
      </c>
      <c r="V695" s="1626">
        <f t="shared" si="230"/>
        <v>2905.3</v>
      </c>
      <c r="W695" s="1626">
        <f t="shared" si="230"/>
        <v>2755.3</v>
      </c>
      <c r="X695" s="1626">
        <f t="shared" si="230"/>
        <v>2755.3</v>
      </c>
      <c r="Y695" s="1626">
        <f t="shared" si="230"/>
        <v>2555.3000000000002</v>
      </c>
      <c r="Z695" s="1626">
        <f t="shared" si="230"/>
        <v>2555.3000000000002</v>
      </c>
      <c r="AA695" s="1796">
        <f>SUM(AA696:AA703)</f>
        <v>73599.600000000006</v>
      </c>
    </row>
    <row r="696" spans="1:27" ht="60" x14ac:dyDescent="0.25">
      <c r="A696" s="2291"/>
      <c r="B696" s="2967"/>
      <c r="C696" s="2929"/>
      <c r="D696" s="2929"/>
      <c r="E696" s="2932"/>
      <c r="F696" s="2933"/>
      <c r="G696" s="2932"/>
      <c r="H696" s="2931"/>
      <c r="I696" s="2931"/>
      <c r="J696" s="2934"/>
      <c r="K696" s="2934"/>
      <c r="L696" s="2931"/>
      <c r="M696" s="1978" t="s">
        <v>184</v>
      </c>
      <c r="N696" s="1978" t="s">
        <v>1354</v>
      </c>
      <c r="O696" s="1828"/>
      <c r="P696" s="1828"/>
      <c r="Q696" s="1828">
        <v>4436</v>
      </c>
      <c r="R696" s="1828"/>
      <c r="S696" s="1828"/>
      <c r="T696" s="1828"/>
      <c r="U696" s="1828"/>
      <c r="V696" s="1828"/>
      <c r="W696" s="1828"/>
      <c r="X696" s="1828"/>
      <c r="Y696" s="1828"/>
      <c r="Z696" s="1828"/>
      <c r="AA696" s="1592">
        <f>SUM(O696:Z696)</f>
        <v>4436</v>
      </c>
    </row>
    <row r="697" spans="1:27" ht="36" x14ac:dyDescent="0.25">
      <c r="A697" s="1929"/>
      <c r="B697" s="2967"/>
      <c r="C697" s="2929"/>
      <c r="D697" s="2929"/>
      <c r="E697" s="2932"/>
      <c r="F697" s="2933"/>
      <c r="G697" s="2932"/>
      <c r="H697" s="2931"/>
      <c r="I697" s="2931"/>
      <c r="J697" s="2934"/>
      <c r="K697" s="2934"/>
      <c r="L697" s="2931"/>
      <c r="M697" s="1978" t="s">
        <v>541</v>
      </c>
      <c r="N697" s="1978" t="s">
        <v>1355</v>
      </c>
      <c r="O697" s="1828">
        <v>700</v>
      </c>
      <c r="P697" s="1828">
        <v>770</v>
      </c>
      <c r="Q697" s="1828">
        <v>640</v>
      </c>
      <c r="R697" s="1828">
        <v>790</v>
      </c>
      <c r="S697" s="1828">
        <v>840</v>
      </c>
      <c r="T697" s="1828">
        <v>640</v>
      </c>
      <c r="U697" s="1828">
        <v>620</v>
      </c>
      <c r="V697" s="1828"/>
      <c r="W697" s="1828"/>
      <c r="X697" s="1828"/>
      <c r="Y697" s="1828"/>
      <c r="Z697" s="1828"/>
      <c r="AA697" s="1592">
        <f t="shared" ref="AA697:AA703" si="231">SUM(O697:Z697)</f>
        <v>5000</v>
      </c>
    </row>
    <row r="698" spans="1:27" ht="60" x14ac:dyDescent="0.25">
      <c r="A698" s="1929"/>
      <c r="B698" s="2967"/>
      <c r="C698" s="2929"/>
      <c r="D698" s="2929"/>
      <c r="E698" s="2932"/>
      <c r="F698" s="2933"/>
      <c r="G698" s="2932"/>
      <c r="H698" s="2931"/>
      <c r="I698" s="2931"/>
      <c r="J698" s="2934"/>
      <c r="K698" s="2934"/>
      <c r="L698" s="2931"/>
      <c r="M698" s="1978" t="s">
        <v>194</v>
      </c>
      <c r="N698" s="1978" t="s">
        <v>1356</v>
      </c>
      <c r="O698" s="1828">
        <f>1260*2</f>
        <v>2520</v>
      </c>
      <c r="P698" s="1828">
        <v>4400</v>
      </c>
      <c r="Q698" s="1828">
        <v>2400</v>
      </c>
      <c r="R698" s="1828">
        <v>2400</v>
      </c>
      <c r="S698" s="1828">
        <v>3100</v>
      </c>
      <c r="T698" s="1828">
        <v>3520</v>
      </c>
      <c r="U698" s="1828">
        <v>2660</v>
      </c>
      <c r="V698" s="1828"/>
      <c r="W698" s="1828"/>
      <c r="X698" s="1828"/>
      <c r="Y698" s="1828"/>
      <c r="Z698" s="1828"/>
      <c r="AA698" s="1592">
        <f t="shared" si="231"/>
        <v>21000</v>
      </c>
    </row>
    <row r="699" spans="1:27" ht="48" x14ac:dyDescent="0.25">
      <c r="A699" s="1929"/>
      <c r="B699" s="2967"/>
      <c r="C699" s="2929"/>
      <c r="D699" s="2929"/>
      <c r="E699" s="2932"/>
      <c r="F699" s="2933"/>
      <c r="G699" s="2932"/>
      <c r="H699" s="2931"/>
      <c r="I699" s="2931"/>
      <c r="J699" s="2934"/>
      <c r="K699" s="2934"/>
      <c r="L699" s="2931"/>
      <c r="M699" s="1978" t="s">
        <v>220</v>
      </c>
      <c r="N699" s="1978" t="s">
        <v>1357</v>
      </c>
      <c r="O699" s="1828">
        <v>250</v>
      </c>
      <c r="P699" s="1828">
        <v>200</v>
      </c>
      <c r="Q699" s="1828">
        <v>300</v>
      </c>
      <c r="R699" s="1828">
        <v>300</v>
      </c>
      <c r="S699" s="1828">
        <v>400</v>
      </c>
      <c r="T699" s="1828">
        <v>300</v>
      </c>
      <c r="U699" s="1828">
        <v>500</v>
      </c>
      <c r="V699" s="1828">
        <v>350</v>
      </c>
      <c r="W699" s="1828">
        <v>200</v>
      </c>
      <c r="X699" s="1828">
        <v>200</v>
      </c>
      <c r="Y699" s="1828"/>
      <c r="Z699" s="1828"/>
      <c r="AA699" s="1592">
        <f t="shared" si="231"/>
        <v>3000</v>
      </c>
    </row>
    <row r="700" spans="1:27" ht="72" x14ac:dyDescent="0.25">
      <c r="A700" s="1929"/>
      <c r="B700" s="2967"/>
      <c r="C700" s="2929"/>
      <c r="D700" s="2929"/>
      <c r="E700" s="2932"/>
      <c r="F700" s="2933"/>
      <c r="G700" s="2932"/>
      <c r="H700" s="2931"/>
      <c r="I700" s="2931"/>
      <c r="J700" s="2934"/>
      <c r="K700" s="2934"/>
      <c r="L700" s="2931"/>
      <c r="M700" s="1978" t="s">
        <v>200</v>
      </c>
      <c r="N700" s="1978" t="s">
        <v>1358</v>
      </c>
      <c r="O700" s="1828">
        <v>400</v>
      </c>
      <c r="P700" s="1828">
        <v>500</v>
      </c>
      <c r="Q700" s="1828">
        <v>480</v>
      </c>
      <c r="R700" s="1828">
        <v>600</v>
      </c>
      <c r="S700" s="1828">
        <v>500</v>
      </c>
      <c r="T700" s="1828">
        <v>570</v>
      </c>
      <c r="U700" s="1828">
        <v>450</v>
      </c>
      <c r="V700" s="1828"/>
      <c r="W700" s="1828"/>
      <c r="X700" s="1828"/>
      <c r="Y700" s="1828"/>
      <c r="Z700" s="1828"/>
      <c r="AA700" s="1592">
        <f t="shared" si="231"/>
        <v>3500</v>
      </c>
    </row>
    <row r="701" spans="1:27" x14ac:dyDescent="0.25">
      <c r="A701" s="1929"/>
      <c r="B701" s="2967"/>
      <c r="C701" s="2929"/>
      <c r="D701" s="2929"/>
      <c r="E701" s="2932"/>
      <c r="F701" s="2933"/>
      <c r="G701" s="2932"/>
      <c r="H701" s="2931"/>
      <c r="I701" s="2931"/>
      <c r="J701" s="2934"/>
      <c r="K701" s="2934"/>
      <c r="L701" s="2931"/>
      <c r="M701" s="1978" t="s">
        <v>1359</v>
      </c>
      <c r="N701" s="1978" t="s">
        <v>1336</v>
      </c>
      <c r="O701" s="229"/>
      <c r="P701" s="1828"/>
      <c r="Q701" s="1828"/>
      <c r="R701" s="1828">
        <v>6000</v>
      </c>
      <c r="S701" s="1828"/>
      <c r="T701" s="1828"/>
      <c r="U701" s="1828"/>
      <c r="V701" s="1828"/>
      <c r="W701" s="1828"/>
      <c r="X701" s="1828"/>
      <c r="Y701" s="1828"/>
      <c r="Z701" s="1828"/>
      <c r="AA701" s="1592">
        <f t="shared" si="231"/>
        <v>6000</v>
      </c>
    </row>
    <row r="702" spans="1:27" ht="15" customHeight="1" x14ac:dyDescent="0.25">
      <c r="A702" s="1929"/>
      <c r="B702" s="2967"/>
      <c r="C702" s="2929"/>
      <c r="D702" s="2929"/>
      <c r="E702" s="2932"/>
      <c r="F702" s="2933"/>
      <c r="G702" s="2932"/>
      <c r="H702" s="2931"/>
      <c r="I702" s="2931"/>
      <c r="J702" s="2934"/>
      <c r="K702" s="2934"/>
      <c r="L702" s="2931"/>
      <c r="M702" s="1978" t="s">
        <v>208</v>
      </c>
      <c r="N702" s="1978" t="s">
        <v>1360</v>
      </c>
      <c r="O702" s="1828">
        <v>2450</v>
      </c>
      <c r="P702" s="1828">
        <v>2450</v>
      </c>
      <c r="Q702" s="1828">
        <v>2450</v>
      </c>
      <c r="R702" s="1828">
        <v>2450</v>
      </c>
      <c r="S702" s="1828">
        <v>2450</v>
      </c>
      <c r="T702" s="1828">
        <v>2450</v>
      </c>
      <c r="U702" s="1828">
        <v>2450</v>
      </c>
      <c r="V702" s="1828">
        <v>2450</v>
      </c>
      <c r="W702" s="1828">
        <v>2450</v>
      </c>
      <c r="X702" s="1828">
        <v>2450</v>
      </c>
      <c r="Y702" s="1828">
        <v>2450</v>
      </c>
      <c r="Z702" s="1828">
        <v>2450</v>
      </c>
      <c r="AA702" s="1592">
        <f t="shared" si="231"/>
        <v>29400</v>
      </c>
    </row>
    <row r="703" spans="1:27" ht="26.25" customHeight="1" x14ac:dyDescent="0.25">
      <c r="A703" s="1929"/>
      <c r="B703" s="2967"/>
      <c r="C703" s="2930"/>
      <c r="D703" s="2930"/>
      <c r="E703" s="2932"/>
      <c r="F703" s="2933"/>
      <c r="G703" s="2932"/>
      <c r="H703" s="2931"/>
      <c r="I703" s="2931"/>
      <c r="J703" s="2934"/>
      <c r="K703" s="2934"/>
      <c r="L703" s="2931"/>
      <c r="M703" s="1978" t="s">
        <v>210</v>
      </c>
      <c r="N703" s="1978" t="s">
        <v>1361</v>
      </c>
      <c r="O703" s="1828">
        <v>105.3</v>
      </c>
      <c r="P703" s="1828">
        <v>105.3</v>
      </c>
      <c r="Q703" s="1828">
        <v>105.3</v>
      </c>
      <c r="R703" s="1828">
        <v>105.3</v>
      </c>
      <c r="S703" s="1828">
        <v>105.3</v>
      </c>
      <c r="T703" s="1828">
        <v>105.3</v>
      </c>
      <c r="U703" s="1828">
        <v>105.3</v>
      </c>
      <c r="V703" s="1828">
        <v>105.3</v>
      </c>
      <c r="W703" s="1828">
        <v>105.3</v>
      </c>
      <c r="X703" s="1828">
        <v>105.3</v>
      </c>
      <c r="Y703" s="1828">
        <v>105.3</v>
      </c>
      <c r="Z703" s="1828">
        <v>105.3</v>
      </c>
      <c r="AA703" s="1592">
        <f t="shared" si="231"/>
        <v>1263.5999999999997</v>
      </c>
    </row>
    <row r="704" spans="1:27" ht="15" customHeight="1" x14ac:dyDescent="0.25">
      <c r="A704" s="1970"/>
      <c r="B704" s="2024"/>
      <c r="C704" s="1913"/>
      <c r="D704" s="1971"/>
      <c r="E704" s="2025"/>
      <c r="F704" s="2026"/>
      <c r="G704" s="2025"/>
      <c r="H704" s="1977"/>
      <c r="I704" s="1977"/>
      <c r="J704" s="2027"/>
      <c r="K704" s="2027"/>
      <c r="L704" s="1977"/>
      <c r="M704" s="2028"/>
      <c r="N704" s="2028"/>
      <c r="O704" s="2029"/>
      <c r="P704" s="2029"/>
      <c r="Q704" s="2029"/>
      <c r="R704" s="2029"/>
      <c r="S704" s="2029"/>
      <c r="T704" s="2029"/>
      <c r="U704" s="2029"/>
      <c r="V704" s="2029"/>
      <c r="W704" s="2029"/>
      <c r="X704" s="2029"/>
      <c r="Y704" s="2029"/>
      <c r="Z704" s="2029"/>
      <c r="AA704" s="2030"/>
    </row>
    <row r="705" spans="1:27" ht="29.25" customHeight="1" x14ac:dyDescent="0.25">
      <c r="A705" s="1970"/>
      <c r="B705" s="1859" t="s">
        <v>8</v>
      </c>
      <c r="C705" s="2175" t="s">
        <v>1364</v>
      </c>
      <c r="D705" s="1902"/>
      <c r="E705" s="363"/>
      <c r="F705" s="363"/>
      <c r="G705" s="363"/>
      <c r="H705" s="363"/>
      <c r="I705" s="363"/>
      <c r="J705" s="363"/>
      <c r="K705" s="363"/>
      <c r="L705" s="363"/>
      <c r="M705" s="363"/>
      <c r="N705" s="363"/>
      <c r="O705" s="363"/>
      <c r="P705" s="363"/>
      <c r="Q705" s="365"/>
      <c r="R705" s="365"/>
      <c r="S705" s="365"/>
      <c r="T705" s="365"/>
      <c r="U705" s="365"/>
      <c r="V705" s="363"/>
      <c r="W705" s="363"/>
      <c r="X705" s="363"/>
      <c r="Y705" s="363"/>
      <c r="Z705" s="363"/>
      <c r="AA705" s="366"/>
    </row>
    <row r="706" spans="1:27" ht="32.25" customHeight="1" x14ac:dyDescent="0.25">
      <c r="A706" s="2291" t="s">
        <v>256</v>
      </c>
      <c r="B706" s="1915" t="s">
        <v>11</v>
      </c>
      <c r="C706" s="1976" t="s">
        <v>84</v>
      </c>
      <c r="D706" s="202"/>
      <c r="E706" s="202"/>
      <c r="F706" s="202"/>
      <c r="G706" s="202"/>
      <c r="H706" s="202"/>
      <c r="I706" s="202"/>
      <c r="J706" s="202"/>
      <c r="K706" s="202"/>
      <c r="L706" s="202"/>
      <c r="M706" s="202"/>
      <c r="N706" s="202"/>
      <c r="O706" s="202"/>
      <c r="P706" s="202"/>
      <c r="Q706" s="203"/>
      <c r="R706" s="203"/>
      <c r="S706" s="203"/>
      <c r="T706" s="203"/>
      <c r="U706" s="203"/>
      <c r="V706" s="202"/>
      <c r="W706" s="202"/>
      <c r="X706" s="202"/>
      <c r="Y706" s="202"/>
      <c r="Z706" s="202"/>
      <c r="AA706" s="224"/>
    </row>
    <row r="707" spans="1:27" x14ac:dyDescent="0.25">
      <c r="A707" s="2291"/>
      <c r="B707" s="2298" t="s">
        <v>13</v>
      </c>
      <c r="C707" s="2959">
        <v>9001</v>
      </c>
      <c r="D707" s="2972" t="s">
        <v>160</v>
      </c>
      <c r="E707" s="2972"/>
      <c r="F707" s="204"/>
      <c r="G707" s="204"/>
      <c r="H707" s="204"/>
      <c r="I707" s="204"/>
      <c r="J707" s="204"/>
      <c r="K707" s="204"/>
      <c r="L707" s="204"/>
      <c r="M707" s="204"/>
      <c r="N707" s="204"/>
      <c r="O707" s="204"/>
      <c r="P707" s="204"/>
      <c r="Q707" s="205"/>
      <c r="R707" s="205"/>
      <c r="S707" s="205"/>
      <c r="T707" s="205"/>
      <c r="U707" s="205"/>
      <c r="V707" s="2305" t="s">
        <v>15</v>
      </c>
      <c r="W707" s="2305"/>
      <c r="X707" s="2305"/>
      <c r="Y707" s="2305"/>
      <c r="Z707" s="2314" t="s">
        <v>16</v>
      </c>
      <c r="AA707" s="2316"/>
    </row>
    <row r="708" spans="1:27" x14ac:dyDescent="0.25">
      <c r="A708" s="2291"/>
      <c r="B708" s="2298"/>
      <c r="C708" s="2960"/>
      <c r="D708" s="2972"/>
      <c r="E708" s="2972"/>
      <c r="F708" s="206"/>
      <c r="G708" s="206"/>
      <c r="H708" s="206"/>
      <c r="I708" s="206"/>
      <c r="J708" s="206"/>
      <c r="K708" s="206"/>
      <c r="L708" s="206"/>
      <c r="M708" s="206"/>
      <c r="N708" s="206"/>
      <c r="O708" s="206"/>
      <c r="P708" s="206"/>
      <c r="Q708" s="207"/>
      <c r="R708" s="207"/>
      <c r="S708" s="207"/>
      <c r="T708" s="207"/>
      <c r="U708" s="207"/>
      <c r="V708" s="2306" t="s">
        <v>1213</v>
      </c>
      <c r="W708" s="2962"/>
      <c r="X708" s="2962"/>
      <c r="Y708" s="2307"/>
      <c r="Z708" s="2306" t="s">
        <v>1213</v>
      </c>
      <c r="AA708" s="2307"/>
    </row>
    <row r="709" spans="1:27" x14ac:dyDescent="0.25">
      <c r="A709" s="2291"/>
      <c r="B709" s="2298"/>
      <c r="C709" s="2961"/>
      <c r="D709" s="2972"/>
      <c r="E709" s="2972"/>
      <c r="F709" s="208"/>
      <c r="G709" s="208"/>
      <c r="H709" s="208"/>
      <c r="I709" s="208"/>
      <c r="J709" s="208"/>
      <c r="K709" s="208"/>
      <c r="L709" s="208"/>
      <c r="M709" s="208"/>
      <c r="N709" s="208"/>
      <c r="O709" s="208"/>
      <c r="P709" s="208"/>
      <c r="Q709" s="209"/>
      <c r="R709" s="209"/>
      <c r="S709" s="209"/>
      <c r="T709" s="209"/>
      <c r="U709" s="209"/>
      <c r="V709" s="2963"/>
      <c r="W709" s="2964"/>
      <c r="X709" s="2964"/>
      <c r="Y709" s="2965"/>
      <c r="Z709" s="2963"/>
      <c r="AA709" s="2965"/>
    </row>
    <row r="710" spans="1:27" x14ac:dyDescent="0.25">
      <c r="A710" s="2291"/>
      <c r="B710" s="2298" t="s">
        <v>18</v>
      </c>
      <c r="C710" s="2959">
        <v>3.9999989999999999</v>
      </c>
      <c r="D710" s="2293" t="s">
        <v>163</v>
      </c>
      <c r="E710" s="2293"/>
      <c r="F710" s="210"/>
      <c r="G710" s="210"/>
      <c r="H710" s="210"/>
      <c r="I710" s="210"/>
      <c r="J710" s="210"/>
      <c r="K710" s="210"/>
      <c r="L710" s="210"/>
      <c r="M710" s="210"/>
      <c r="N710" s="210"/>
      <c r="O710" s="210"/>
      <c r="P710" s="210"/>
      <c r="Q710" s="204"/>
      <c r="R710" s="204"/>
      <c r="S710" s="204"/>
      <c r="T710" s="204"/>
      <c r="U710" s="211"/>
      <c r="V710" s="2293" t="s">
        <v>15</v>
      </c>
      <c r="W710" s="2293"/>
      <c r="X710" s="2293"/>
      <c r="Y710" s="2293"/>
      <c r="Z710" s="2305" t="s">
        <v>16</v>
      </c>
      <c r="AA710" s="2305"/>
    </row>
    <row r="711" spans="1:27" ht="21.75" customHeight="1" x14ac:dyDescent="0.25">
      <c r="A711" s="2291"/>
      <c r="B711" s="2298"/>
      <c r="C711" s="2961"/>
      <c r="D711" s="2293"/>
      <c r="E711" s="2293"/>
      <c r="F711" s="212"/>
      <c r="G711" s="212"/>
      <c r="H711" s="212"/>
      <c r="I711" s="212"/>
      <c r="J711" s="212"/>
      <c r="K711" s="212"/>
      <c r="L711" s="212"/>
      <c r="M711" s="212"/>
      <c r="N711" s="212"/>
      <c r="O711" s="212"/>
      <c r="P711" s="212"/>
      <c r="Q711" s="208"/>
      <c r="R711" s="208"/>
      <c r="S711" s="208"/>
      <c r="T711" s="208"/>
      <c r="U711" s="213"/>
      <c r="V711" s="2294" t="s">
        <v>1213</v>
      </c>
      <c r="W711" s="2295"/>
      <c r="X711" s="2295"/>
      <c r="Y711" s="2966"/>
      <c r="Z711" s="2305" t="s">
        <v>1213</v>
      </c>
      <c r="AA711" s="2305"/>
    </row>
    <row r="712" spans="1:27" ht="15" customHeight="1" x14ac:dyDescent="0.25">
      <c r="A712" s="2291"/>
      <c r="B712" s="2924" t="s">
        <v>20</v>
      </c>
      <c r="C712" s="2324" t="s">
        <v>21</v>
      </c>
      <c r="D712" s="2324" t="s">
        <v>22</v>
      </c>
      <c r="E712" s="2324" t="s">
        <v>23</v>
      </c>
      <c r="F712" s="2324" t="s">
        <v>164</v>
      </c>
      <c r="G712" s="2324" t="s">
        <v>25</v>
      </c>
      <c r="H712" s="2324" t="s">
        <v>26</v>
      </c>
      <c r="I712" s="2324" t="s">
        <v>27</v>
      </c>
      <c r="J712" s="2322" t="s">
        <v>28</v>
      </c>
      <c r="K712" s="2323"/>
      <c r="L712" s="2324" t="s">
        <v>29</v>
      </c>
      <c r="M712" s="2322" t="s">
        <v>30</v>
      </c>
      <c r="N712" s="2323"/>
      <c r="O712" s="2343" t="s">
        <v>31</v>
      </c>
      <c r="P712" s="2344"/>
      <c r="Q712" s="2344"/>
      <c r="R712" s="2344"/>
      <c r="S712" s="2344"/>
      <c r="T712" s="2344"/>
      <c r="U712" s="2344"/>
      <c r="V712" s="2344"/>
      <c r="W712" s="2344"/>
      <c r="X712" s="2344"/>
      <c r="Y712" s="2344"/>
      <c r="Z712" s="2345"/>
      <c r="AA712" s="2346" t="s">
        <v>32</v>
      </c>
    </row>
    <row r="713" spans="1:27" ht="29.25" customHeight="1" x14ac:dyDescent="0.25">
      <c r="A713" s="2291"/>
      <c r="B713" s="2924"/>
      <c r="C713" s="2324"/>
      <c r="D713" s="2324"/>
      <c r="E713" s="2324"/>
      <c r="F713" s="2324"/>
      <c r="G713" s="2324"/>
      <c r="H713" s="2324"/>
      <c r="I713" s="2324"/>
      <c r="J713" s="1917" t="s">
        <v>33</v>
      </c>
      <c r="K713" s="1917" t="s">
        <v>34</v>
      </c>
      <c r="L713" s="2324"/>
      <c r="M713" s="2325"/>
      <c r="N713" s="2326"/>
      <c r="O713" s="1918" t="s">
        <v>35</v>
      </c>
      <c r="P713" s="1918" t="s">
        <v>36</v>
      </c>
      <c r="Q713" s="1918" t="s">
        <v>37</v>
      </c>
      <c r="R713" s="1918" t="s">
        <v>38</v>
      </c>
      <c r="S713" s="1918" t="s">
        <v>39</v>
      </c>
      <c r="T713" s="1918" t="s">
        <v>40</v>
      </c>
      <c r="U713" s="1918" t="s">
        <v>41</v>
      </c>
      <c r="V713" s="1918" t="s">
        <v>42</v>
      </c>
      <c r="W713" s="1918" t="s">
        <v>43</v>
      </c>
      <c r="X713" s="1918" t="s">
        <v>44</v>
      </c>
      <c r="Y713" s="1918" t="s">
        <v>45</v>
      </c>
      <c r="Z713" s="1918" t="s">
        <v>46</v>
      </c>
      <c r="AA713" s="2346"/>
    </row>
    <row r="714" spans="1:27" ht="15" customHeight="1" x14ac:dyDescent="0.25">
      <c r="A714" s="2291"/>
      <c r="B714" s="2925" t="s">
        <v>1350</v>
      </c>
      <c r="C714" s="2928" t="s">
        <v>1085</v>
      </c>
      <c r="D714" s="2931" t="s">
        <v>1366</v>
      </c>
      <c r="E714" s="2932" t="s">
        <v>54</v>
      </c>
      <c r="F714" s="2933" t="s">
        <v>165</v>
      </c>
      <c r="G714" s="2932" t="s">
        <v>166</v>
      </c>
      <c r="H714" s="2931" t="s">
        <v>1352</v>
      </c>
      <c r="I714" s="2931" t="s">
        <v>235</v>
      </c>
      <c r="J714" s="2934">
        <v>12</v>
      </c>
      <c r="K714" s="2934">
        <f>AA715</f>
        <v>78863.92</v>
      </c>
      <c r="L714" s="2931" t="s">
        <v>1353</v>
      </c>
      <c r="M714" s="3038" t="s">
        <v>51</v>
      </c>
      <c r="N714" s="3039"/>
      <c r="O714" s="229">
        <v>1</v>
      </c>
      <c r="P714" s="1828">
        <v>1</v>
      </c>
      <c r="Q714" s="229">
        <v>1</v>
      </c>
      <c r="R714" s="1828">
        <v>1</v>
      </c>
      <c r="S714" s="229">
        <v>1</v>
      </c>
      <c r="T714" s="1828">
        <v>1</v>
      </c>
      <c r="U714" s="229">
        <v>1</v>
      </c>
      <c r="V714" s="1828">
        <v>1</v>
      </c>
      <c r="W714" s="229">
        <v>1</v>
      </c>
      <c r="X714" s="1828">
        <v>1</v>
      </c>
      <c r="Y714" s="229">
        <v>1</v>
      </c>
      <c r="Z714" s="1828">
        <v>1</v>
      </c>
      <c r="AA714" s="1592">
        <f>SUM(O714:Z714)</f>
        <v>12</v>
      </c>
    </row>
    <row r="715" spans="1:27" x14ac:dyDescent="0.25">
      <c r="A715" s="2291"/>
      <c r="B715" s="2926"/>
      <c r="C715" s="2929"/>
      <c r="D715" s="2931"/>
      <c r="E715" s="2932"/>
      <c r="F715" s="2933"/>
      <c r="G715" s="2932"/>
      <c r="H715" s="2931"/>
      <c r="I715" s="2931"/>
      <c r="J715" s="2934"/>
      <c r="K715" s="2934"/>
      <c r="L715" s="2931"/>
      <c r="M715" s="3038" t="s">
        <v>111</v>
      </c>
      <c r="N715" s="3039"/>
      <c r="O715" s="1626">
        <f t="shared" ref="O715:AA715" si="232">SUM(O716:O720)</f>
        <v>6828.66</v>
      </c>
      <c r="P715" s="1626">
        <f t="shared" si="232"/>
        <v>6798.66</v>
      </c>
      <c r="Q715" s="1626">
        <f t="shared" si="232"/>
        <v>7928.66</v>
      </c>
      <c r="R715" s="1626">
        <f t="shared" si="232"/>
        <v>7298.66</v>
      </c>
      <c r="S715" s="1626">
        <f t="shared" si="232"/>
        <v>6688.66</v>
      </c>
      <c r="T715" s="1626">
        <f t="shared" si="232"/>
        <v>6718.66</v>
      </c>
      <c r="U715" s="1626">
        <f t="shared" si="232"/>
        <v>6878.66</v>
      </c>
      <c r="V715" s="1626">
        <f t="shared" si="232"/>
        <v>6688.66</v>
      </c>
      <c r="W715" s="1626">
        <f t="shared" si="232"/>
        <v>5758.66</v>
      </c>
      <c r="X715" s="1626">
        <f t="shared" si="232"/>
        <v>5758.66</v>
      </c>
      <c r="Y715" s="1626">
        <f t="shared" si="232"/>
        <v>5758.66</v>
      </c>
      <c r="Z715" s="1626">
        <f t="shared" si="232"/>
        <v>5758.66</v>
      </c>
      <c r="AA715" s="1796">
        <f t="shared" si="232"/>
        <v>78863.92</v>
      </c>
    </row>
    <row r="716" spans="1:27" ht="15" customHeight="1" x14ac:dyDescent="0.25">
      <c r="A716" s="2291"/>
      <c r="B716" s="2926"/>
      <c r="C716" s="2929"/>
      <c r="D716" s="2931"/>
      <c r="E716" s="2932"/>
      <c r="F716" s="2933"/>
      <c r="G716" s="2932"/>
      <c r="H716" s="2931"/>
      <c r="I716" s="2931"/>
      <c r="J716" s="2934"/>
      <c r="K716" s="2934"/>
      <c r="L716" s="2931"/>
      <c r="M716" s="1908" t="s">
        <v>184</v>
      </c>
      <c r="N716" s="1908" t="s">
        <v>1354</v>
      </c>
      <c r="O716" s="1828"/>
      <c r="P716" s="1828"/>
      <c r="Q716" s="1828">
        <v>1000</v>
      </c>
      <c r="R716" s="1828"/>
      <c r="S716" s="1828"/>
      <c r="T716" s="1828"/>
      <c r="U716" s="1828"/>
      <c r="V716" s="1828"/>
      <c r="W716" s="1828"/>
      <c r="X716" s="1828"/>
      <c r="Y716" s="1828"/>
      <c r="Z716" s="1828"/>
      <c r="AA716" s="1592">
        <f>SUM(O716:Z716)</f>
        <v>1000</v>
      </c>
    </row>
    <row r="717" spans="1:27" ht="33.75" x14ac:dyDescent="0.25">
      <c r="A717" s="1929"/>
      <c r="B717" s="2926"/>
      <c r="C717" s="2929"/>
      <c r="D717" s="2931"/>
      <c r="E717" s="2932"/>
      <c r="F717" s="2933"/>
      <c r="G717" s="2932"/>
      <c r="H717" s="2931"/>
      <c r="I717" s="2931"/>
      <c r="J717" s="2934"/>
      <c r="K717" s="2934"/>
      <c r="L717" s="2931"/>
      <c r="M717" s="1908" t="s">
        <v>541</v>
      </c>
      <c r="N717" s="1908" t="s">
        <v>1355</v>
      </c>
      <c r="O717" s="1828">
        <v>230</v>
      </c>
      <c r="P717" s="1828">
        <v>140</v>
      </c>
      <c r="Q717" s="1828">
        <v>210</v>
      </c>
      <c r="R717" s="1828">
        <v>420</v>
      </c>
      <c r="S717" s="1828"/>
      <c r="T717" s="1828"/>
      <c r="U717" s="1828"/>
      <c r="V717" s="1828"/>
      <c r="W717" s="1828"/>
      <c r="X717" s="1828"/>
      <c r="Y717" s="1828"/>
      <c r="Z717" s="1828"/>
      <c r="AA717" s="1636">
        <f t="shared" ref="AA717:AA720" si="233">SUM(O717:Z717)</f>
        <v>1000</v>
      </c>
    </row>
    <row r="718" spans="1:27" ht="45" x14ac:dyDescent="0.25">
      <c r="A718" s="1929"/>
      <c r="B718" s="2926"/>
      <c r="C718" s="2929"/>
      <c r="D718" s="2931"/>
      <c r="E718" s="2932"/>
      <c r="F718" s="2933"/>
      <c r="G718" s="2932"/>
      <c r="H718" s="2931"/>
      <c r="I718" s="2931"/>
      <c r="J718" s="2934"/>
      <c r="K718" s="2934"/>
      <c r="L718" s="2931"/>
      <c r="M718" s="1908" t="s">
        <v>194</v>
      </c>
      <c r="N718" s="1908" t="s">
        <v>1356</v>
      </c>
      <c r="O718" s="1828">
        <v>840</v>
      </c>
      <c r="P718" s="1828">
        <v>900</v>
      </c>
      <c r="Q718" s="1828">
        <v>960</v>
      </c>
      <c r="R718" s="1828">
        <v>1120</v>
      </c>
      <c r="S718" s="1828">
        <v>930</v>
      </c>
      <c r="T718" s="1828">
        <v>960</v>
      </c>
      <c r="U718" s="1828">
        <v>1120</v>
      </c>
      <c r="V718" s="1828">
        <v>930</v>
      </c>
      <c r="W718" s="1828"/>
      <c r="X718" s="1828"/>
      <c r="Y718" s="1828"/>
      <c r="Z718" s="1828"/>
      <c r="AA718" s="1636">
        <f t="shared" si="233"/>
        <v>7760</v>
      </c>
    </row>
    <row r="719" spans="1:27" ht="33.75" x14ac:dyDescent="0.25">
      <c r="A719" s="1929"/>
      <c r="B719" s="2926"/>
      <c r="C719" s="2929"/>
      <c r="D719" s="2931"/>
      <c r="E719" s="2932"/>
      <c r="F719" s="2933"/>
      <c r="G719" s="2932"/>
      <c r="H719" s="2931"/>
      <c r="I719" s="2931"/>
      <c r="J719" s="2934"/>
      <c r="K719" s="2934"/>
      <c r="L719" s="2931"/>
      <c r="M719" s="1908" t="s">
        <v>208</v>
      </c>
      <c r="N719" s="1908" t="s">
        <v>1360</v>
      </c>
      <c r="O719" s="1828">
        <v>5548</v>
      </c>
      <c r="P719" s="1828">
        <v>5548</v>
      </c>
      <c r="Q719" s="1828">
        <v>5548</v>
      </c>
      <c r="R719" s="1828">
        <v>5548</v>
      </c>
      <c r="S719" s="1828">
        <v>5548</v>
      </c>
      <c r="T719" s="1828">
        <v>5548</v>
      </c>
      <c r="U719" s="1828">
        <v>5548</v>
      </c>
      <c r="V719" s="1828">
        <v>5548</v>
      </c>
      <c r="W719" s="1828">
        <v>5548</v>
      </c>
      <c r="X719" s="1828">
        <v>5548</v>
      </c>
      <c r="Y719" s="1828">
        <v>5548</v>
      </c>
      <c r="Z719" s="1828">
        <v>5548</v>
      </c>
      <c r="AA719" s="1636">
        <f t="shared" si="233"/>
        <v>66576</v>
      </c>
    </row>
    <row r="720" spans="1:27" ht="59.25" customHeight="1" x14ac:dyDescent="0.25">
      <c r="A720" s="1929"/>
      <c r="B720" s="2927"/>
      <c r="C720" s="2930"/>
      <c r="D720" s="2931"/>
      <c r="E720" s="2932"/>
      <c r="F720" s="2933"/>
      <c r="G720" s="2932"/>
      <c r="H720" s="2931"/>
      <c r="I720" s="2931"/>
      <c r="J720" s="2934"/>
      <c r="K720" s="2934"/>
      <c r="L720" s="2931"/>
      <c r="M720" s="1923" t="s">
        <v>210</v>
      </c>
      <c r="N720" s="1923" t="s">
        <v>1361</v>
      </c>
      <c r="O720" s="2031">
        <v>210.66</v>
      </c>
      <c r="P720" s="2031">
        <v>210.66</v>
      </c>
      <c r="Q720" s="2031">
        <v>210.66</v>
      </c>
      <c r="R720" s="2031">
        <v>210.66</v>
      </c>
      <c r="S720" s="2031">
        <v>210.66</v>
      </c>
      <c r="T720" s="2031">
        <v>210.66</v>
      </c>
      <c r="U720" s="2031">
        <v>210.66</v>
      </c>
      <c r="V720" s="2031">
        <v>210.66</v>
      </c>
      <c r="W720" s="2031">
        <v>210.66</v>
      </c>
      <c r="X720" s="2031">
        <v>210.66</v>
      </c>
      <c r="Y720" s="2031">
        <v>210.66</v>
      </c>
      <c r="Z720" s="2031">
        <v>210.66</v>
      </c>
      <c r="AA720" s="1636">
        <f t="shared" si="233"/>
        <v>2527.92</v>
      </c>
    </row>
    <row r="721" spans="1:27" ht="4.5" customHeight="1" x14ac:dyDescent="0.25">
      <c r="A721" s="3040"/>
      <c r="B721" s="3040"/>
      <c r="C721" s="3040"/>
      <c r="D721" s="3040"/>
      <c r="E721" s="3040"/>
      <c r="F721" s="3040"/>
      <c r="G721" s="3040"/>
      <c r="H721" s="3040"/>
      <c r="I721" s="3040"/>
      <c r="J721" s="3040"/>
      <c r="K721" s="3040"/>
      <c r="L721" s="3040"/>
      <c r="M721" s="3040"/>
      <c r="N721" s="3040"/>
      <c r="O721" s="3040"/>
      <c r="P721" s="3040"/>
      <c r="Q721" s="3040"/>
      <c r="R721" s="3040"/>
      <c r="S721" s="3040"/>
      <c r="T721" s="3040"/>
      <c r="U721" s="3040"/>
      <c r="V721" s="3040"/>
      <c r="W721" s="3040"/>
      <c r="X721" s="3040"/>
      <c r="Y721" s="3040"/>
      <c r="Z721" s="2"/>
      <c r="AA721" s="2"/>
    </row>
    <row r="722" spans="1:27" ht="25.5" customHeight="1" x14ac:dyDescent="0.25">
      <c r="A722" s="2032"/>
      <c r="B722" s="509" t="s">
        <v>8</v>
      </c>
      <c r="C722" s="3041" t="s">
        <v>1349</v>
      </c>
      <c r="D722" s="3042"/>
      <c r="E722" s="3042"/>
      <c r="F722" s="3042"/>
      <c r="G722" s="3042"/>
      <c r="H722" s="3042"/>
      <c r="I722" s="87"/>
      <c r="J722" s="87"/>
      <c r="K722" s="87"/>
      <c r="L722" s="87"/>
      <c r="M722" s="87"/>
      <c r="N722" s="87"/>
      <c r="O722" s="87"/>
      <c r="P722" s="87"/>
      <c r="Q722" s="87"/>
      <c r="R722" s="87"/>
      <c r="S722" s="87"/>
      <c r="T722" s="87"/>
      <c r="U722" s="87"/>
      <c r="V722" s="87"/>
      <c r="W722" s="87"/>
      <c r="X722" s="87"/>
      <c r="Y722" s="87"/>
      <c r="Z722" s="87"/>
      <c r="AA722" s="90"/>
    </row>
    <row r="723" spans="1:27" ht="27" customHeight="1" x14ac:dyDescent="0.25">
      <c r="A723" s="3043" t="s">
        <v>256</v>
      </c>
      <c r="B723" s="1905" t="s">
        <v>11</v>
      </c>
      <c r="C723" s="3045" t="s">
        <v>84</v>
      </c>
      <c r="D723" s="3046"/>
      <c r="E723" s="3046"/>
      <c r="F723" s="1260"/>
      <c r="G723" s="1260"/>
      <c r="H723" s="20"/>
      <c r="I723" s="1260"/>
      <c r="J723" s="1260"/>
      <c r="K723" s="1260"/>
      <c r="L723" s="1260"/>
      <c r="M723" s="1260"/>
      <c r="N723" s="1260"/>
      <c r="O723" s="1260"/>
      <c r="P723" s="1260"/>
      <c r="Q723" s="1260"/>
      <c r="R723" s="1260"/>
      <c r="S723" s="1260"/>
      <c r="T723" s="1260"/>
      <c r="U723" s="20"/>
      <c r="V723" s="20"/>
      <c r="W723" s="20"/>
      <c r="X723" s="20"/>
      <c r="Y723" s="20"/>
      <c r="Z723" s="20"/>
      <c r="AA723" s="21"/>
    </row>
    <row r="724" spans="1:27" ht="25.5" customHeight="1" x14ac:dyDescent="0.25">
      <c r="A724" s="3044"/>
      <c r="B724" s="2913" t="s">
        <v>13</v>
      </c>
      <c r="C724" s="2918" t="s">
        <v>3576</v>
      </c>
      <c r="D724" s="2919"/>
      <c r="E724" s="2919"/>
      <c r="F724" s="2919"/>
      <c r="G724" s="2919"/>
      <c r="H724" s="2919"/>
      <c r="I724" s="28"/>
      <c r="J724" s="28"/>
      <c r="K724" s="28"/>
      <c r="L724" s="28"/>
      <c r="M724" s="28"/>
      <c r="N724" s="28"/>
      <c r="O724" s="28"/>
      <c r="P724" s="28"/>
      <c r="Q724" s="28"/>
      <c r="R724" s="28"/>
      <c r="S724" s="28"/>
      <c r="T724" s="82"/>
      <c r="U724" s="344"/>
      <c r="V724" s="2974" t="s">
        <v>15</v>
      </c>
      <c r="W724" s="2975"/>
      <c r="X724" s="2975"/>
      <c r="Y724" s="2976"/>
      <c r="Z724" s="1937" t="s">
        <v>16</v>
      </c>
      <c r="AA724" s="1937"/>
    </row>
    <row r="725" spans="1:27" x14ac:dyDescent="0.25">
      <c r="A725" s="3044"/>
      <c r="B725" s="2913"/>
      <c r="C725" s="2920"/>
      <c r="D725" s="2921"/>
      <c r="E725" s="2921"/>
      <c r="F725" s="2921"/>
      <c r="G725" s="2921"/>
      <c r="H725" s="2921"/>
      <c r="I725" s="84"/>
      <c r="J725" s="84"/>
      <c r="K725" s="84"/>
      <c r="L725" s="84"/>
      <c r="M725" s="84"/>
      <c r="N725" s="84"/>
      <c r="O725" s="84"/>
      <c r="P725" s="84"/>
      <c r="Q725" s="84"/>
      <c r="R725" s="84"/>
      <c r="S725" s="84"/>
      <c r="T725" s="83"/>
      <c r="U725" s="344"/>
      <c r="V725" s="2977" t="s">
        <v>19</v>
      </c>
      <c r="W725" s="2978"/>
      <c r="X725" s="2978"/>
      <c r="Y725" s="2979"/>
      <c r="Z725" s="1937"/>
      <c r="AA725" s="1937"/>
    </row>
    <row r="726" spans="1:27" ht="42.75" customHeight="1" x14ac:dyDescent="0.25">
      <c r="A726" s="3044"/>
      <c r="B726" s="2913" t="s">
        <v>18</v>
      </c>
      <c r="C726" s="2980"/>
      <c r="D726" s="2981"/>
      <c r="E726" s="2981"/>
      <c r="F726" s="2981"/>
      <c r="G726" s="2981"/>
      <c r="H726" s="2981"/>
      <c r="I726" s="2981"/>
      <c r="J726" s="2981"/>
      <c r="K726" s="2981"/>
      <c r="L726" s="2981"/>
      <c r="M726" s="28"/>
      <c r="N726" s="28"/>
      <c r="O726" s="28"/>
      <c r="P726" s="28"/>
      <c r="Q726" s="28"/>
      <c r="R726" s="28"/>
      <c r="S726" s="28"/>
      <c r="T726" s="28"/>
      <c r="U726" s="29"/>
      <c r="V726" s="2974" t="s">
        <v>15</v>
      </c>
      <c r="W726" s="2975"/>
      <c r="X726" s="2976"/>
      <c r="Y726" s="1937"/>
      <c r="Z726" s="1937" t="s">
        <v>16</v>
      </c>
      <c r="AA726" s="1937"/>
    </row>
    <row r="727" spans="1:27" x14ac:dyDescent="0.25">
      <c r="A727" s="3044"/>
      <c r="B727" s="2913"/>
      <c r="C727" s="2982"/>
      <c r="D727" s="2983"/>
      <c r="E727" s="2983"/>
      <c r="F727" s="2983"/>
      <c r="G727" s="2983"/>
      <c r="H727" s="2983"/>
      <c r="I727" s="2983"/>
      <c r="J727" s="2983"/>
      <c r="K727" s="2983"/>
      <c r="L727" s="2983"/>
      <c r="M727" s="31"/>
      <c r="N727" s="31"/>
      <c r="O727" s="31"/>
      <c r="P727" s="31"/>
      <c r="Q727" s="31"/>
      <c r="R727" s="31"/>
      <c r="S727" s="31"/>
      <c r="T727" s="31"/>
      <c r="U727" s="22"/>
      <c r="V727" s="2977" t="s">
        <v>19</v>
      </c>
      <c r="W727" s="2978"/>
      <c r="X727" s="2978"/>
      <c r="Y727" s="2979"/>
      <c r="Z727" s="1958"/>
      <c r="AA727" s="1959"/>
    </row>
    <row r="728" spans="1:27" x14ac:dyDescent="0.25">
      <c r="A728" s="3044"/>
      <c r="B728" s="2984" t="s">
        <v>20</v>
      </c>
      <c r="C728" s="2847" t="s">
        <v>21</v>
      </c>
      <c r="D728" s="2847" t="s">
        <v>22</v>
      </c>
      <c r="E728" s="2847" t="s">
        <v>23</v>
      </c>
      <c r="F728" s="2847" t="s">
        <v>24</v>
      </c>
      <c r="G728" s="2847" t="s">
        <v>25</v>
      </c>
      <c r="H728" s="2847" t="s">
        <v>26</v>
      </c>
      <c r="I728" s="2847" t="s">
        <v>27</v>
      </c>
      <c r="J728" s="2986" t="s">
        <v>28</v>
      </c>
      <c r="K728" s="2987"/>
      <c r="L728" s="2847" t="s">
        <v>29</v>
      </c>
      <c r="M728" s="2847" t="s">
        <v>529</v>
      </c>
      <c r="N728" s="2988" t="s">
        <v>530</v>
      </c>
      <c r="O728" s="2990" t="s">
        <v>31</v>
      </c>
      <c r="P728" s="2991"/>
      <c r="Q728" s="2991"/>
      <c r="R728" s="2991"/>
      <c r="S728" s="2991"/>
      <c r="T728" s="2991"/>
      <c r="U728" s="2991"/>
      <c r="V728" s="2991"/>
      <c r="W728" s="2991"/>
      <c r="X728" s="2991"/>
      <c r="Y728" s="2991"/>
      <c r="Z728" s="2992"/>
      <c r="AA728" s="2916" t="s">
        <v>32</v>
      </c>
    </row>
    <row r="729" spans="1:27" ht="21" customHeight="1" x14ac:dyDescent="0.25">
      <c r="A729" s="3044"/>
      <c r="B729" s="2985"/>
      <c r="C729" s="2847"/>
      <c r="D729" s="2847"/>
      <c r="E729" s="2847"/>
      <c r="F729" s="2847"/>
      <c r="G729" s="2847"/>
      <c r="H729" s="2847"/>
      <c r="I729" s="2847"/>
      <c r="J729" s="1911" t="s">
        <v>33</v>
      </c>
      <c r="K729" s="1911" t="s">
        <v>34</v>
      </c>
      <c r="L729" s="2847"/>
      <c r="M729" s="2847"/>
      <c r="N729" s="2989"/>
      <c r="O729" s="1947" t="s">
        <v>35</v>
      </c>
      <c r="P729" s="1947" t="s">
        <v>36</v>
      </c>
      <c r="Q729" s="1947" t="s">
        <v>37</v>
      </c>
      <c r="R729" s="1947" t="s">
        <v>38</v>
      </c>
      <c r="S729" s="1947" t="s">
        <v>39</v>
      </c>
      <c r="T729" s="1947" t="s">
        <v>40</v>
      </c>
      <c r="U729" s="1947" t="s">
        <v>41</v>
      </c>
      <c r="V729" s="1947" t="s">
        <v>42</v>
      </c>
      <c r="W729" s="1947" t="s">
        <v>43</v>
      </c>
      <c r="X729" s="1947" t="s">
        <v>44</v>
      </c>
      <c r="Y729" s="1947" t="s">
        <v>45</v>
      </c>
      <c r="Z729" s="1947" t="s">
        <v>46</v>
      </c>
      <c r="AA729" s="2916"/>
    </row>
    <row r="730" spans="1:27" x14ac:dyDescent="0.25">
      <c r="A730" s="3044"/>
      <c r="B730" s="2969" t="s">
        <v>3577</v>
      </c>
      <c r="C730" s="2438" t="s">
        <v>3687</v>
      </c>
      <c r="D730" s="2420">
        <v>42</v>
      </c>
      <c r="E730" s="2420">
        <v>8</v>
      </c>
      <c r="F730" s="2420">
        <v>6</v>
      </c>
      <c r="G730" s="2420">
        <v>8</v>
      </c>
      <c r="H730" s="2420"/>
      <c r="I730" s="2420" t="s">
        <v>17</v>
      </c>
      <c r="J730" s="2973">
        <v>12</v>
      </c>
      <c r="K730" s="2973">
        <f>+AA731</f>
        <v>42363.999999599997</v>
      </c>
      <c r="L730" s="2420" t="s">
        <v>3578</v>
      </c>
      <c r="M730" s="2840" t="s">
        <v>51</v>
      </c>
      <c r="N730" s="2840"/>
      <c r="O730" s="1912">
        <v>1</v>
      </c>
      <c r="P730" s="1912">
        <v>1</v>
      </c>
      <c r="Q730" s="1912">
        <v>1</v>
      </c>
      <c r="R730" s="1912">
        <v>1</v>
      </c>
      <c r="S730" s="1912">
        <v>1</v>
      </c>
      <c r="T730" s="1912">
        <v>1</v>
      </c>
      <c r="U730" s="1912">
        <v>1</v>
      </c>
      <c r="V730" s="1912">
        <v>1</v>
      </c>
      <c r="W730" s="1912">
        <v>1</v>
      </c>
      <c r="X730" s="1912">
        <v>1</v>
      </c>
      <c r="Y730" s="1912">
        <v>1</v>
      </c>
      <c r="Z730" s="1912">
        <v>1</v>
      </c>
      <c r="AA730" s="92">
        <f>SUM(O730:Z730)</f>
        <v>12</v>
      </c>
    </row>
    <row r="731" spans="1:27" ht="10.5" customHeight="1" x14ac:dyDescent="0.25">
      <c r="A731" s="3044"/>
      <c r="B731" s="2970"/>
      <c r="C731" s="2456"/>
      <c r="D731" s="2420"/>
      <c r="E731" s="2420"/>
      <c r="F731" s="2420"/>
      <c r="G731" s="2420"/>
      <c r="H731" s="2420"/>
      <c r="I731" s="2420"/>
      <c r="J731" s="2973"/>
      <c r="K731" s="2973"/>
      <c r="L731" s="2420"/>
      <c r="M731" s="2840" t="s">
        <v>111</v>
      </c>
      <c r="N731" s="2840"/>
      <c r="O731" s="1912">
        <f>SUM(O732:O737)</f>
        <v>4145.3333333</v>
      </c>
      <c r="P731" s="1912">
        <f t="shared" ref="P731:Z731" si="234">SUM(P732:P737)</f>
        <v>3105.3333333</v>
      </c>
      <c r="Q731" s="1912">
        <f t="shared" si="234"/>
        <v>4605.3333333</v>
      </c>
      <c r="R731" s="1912">
        <f t="shared" si="234"/>
        <v>4185.3333333</v>
      </c>
      <c r="S731" s="1912">
        <f t="shared" si="234"/>
        <v>3105.3333333</v>
      </c>
      <c r="T731" s="1912">
        <f t="shared" si="234"/>
        <v>3385.3333333</v>
      </c>
      <c r="U731" s="1912">
        <f t="shared" si="234"/>
        <v>3405.3333333</v>
      </c>
      <c r="V731" s="1912">
        <f t="shared" si="234"/>
        <v>3385.3333333</v>
      </c>
      <c r="W731" s="1912">
        <f t="shared" si="234"/>
        <v>3105.3333333</v>
      </c>
      <c r="X731" s="1912">
        <f t="shared" si="234"/>
        <v>3285.3333333</v>
      </c>
      <c r="Y731" s="1912">
        <f t="shared" si="234"/>
        <v>3245.3333333</v>
      </c>
      <c r="Z731" s="1912">
        <f t="shared" si="234"/>
        <v>3405.3333333</v>
      </c>
      <c r="AA731" s="92">
        <f>+AA732+AA733+AA734+AA736+AA737</f>
        <v>42363.999999599997</v>
      </c>
    </row>
    <row r="732" spans="1:27" ht="15" customHeight="1" x14ac:dyDescent="0.25">
      <c r="A732" s="3044"/>
      <c r="B732" s="2970"/>
      <c r="C732" s="2456"/>
      <c r="D732" s="2420"/>
      <c r="E732" s="2420"/>
      <c r="F732" s="2420"/>
      <c r="G732" s="2420"/>
      <c r="H732" s="2420"/>
      <c r="I732" s="2420"/>
      <c r="J732" s="2973"/>
      <c r="K732" s="2973"/>
      <c r="L732" s="2420"/>
      <c r="M732" s="1925" t="s">
        <v>184</v>
      </c>
      <c r="N732" s="1923" t="s">
        <v>1367</v>
      </c>
      <c r="O732" s="32"/>
      <c r="P732" s="32"/>
      <c r="Q732" s="1938">
        <v>1500</v>
      </c>
      <c r="R732" s="1938"/>
      <c r="S732" s="32"/>
      <c r="T732" s="32"/>
      <c r="U732" s="32"/>
      <c r="V732" s="32"/>
      <c r="W732" s="32"/>
      <c r="X732" s="32"/>
      <c r="Y732" s="32"/>
      <c r="Z732" s="32"/>
      <c r="AA732" s="368">
        <f>SUM(O732:Z732)</f>
        <v>1500</v>
      </c>
    </row>
    <row r="733" spans="1:27" ht="26.25" customHeight="1" x14ac:dyDescent="0.25">
      <c r="A733" s="3044"/>
      <c r="B733" s="2970"/>
      <c r="C733" s="2456"/>
      <c r="D733" s="2420"/>
      <c r="E733" s="2420"/>
      <c r="F733" s="2420"/>
      <c r="G733" s="2420"/>
      <c r="H733" s="2420"/>
      <c r="I733" s="2420"/>
      <c r="J733" s="2973"/>
      <c r="K733" s="2973"/>
      <c r="L733" s="2420"/>
      <c r="M733" s="1925" t="s">
        <v>541</v>
      </c>
      <c r="N733" s="1923" t="s">
        <v>1369</v>
      </c>
      <c r="O733" s="32">
        <f>240*2</f>
        <v>480</v>
      </c>
      <c r="P733" s="32"/>
      <c r="Q733" s="32"/>
      <c r="R733" s="32">
        <f>260*2</f>
        <v>520</v>
      </c>
      <c r="S733" s="32"/>
      <c r="T733" s="32"/>
      <c r="U733" s="32"/>
      <c r="V733" s="32"/>
      <c r="W733" s="32"/>
      <c r="X733" s="32"/>
      <c r="Y733" s="32"/>
      <c r="Z733" s="1938"/>
      <c r="AA733" s="368">
        <f>SUM(O733:Z733)</f>
        <v>1000</v>
      </c>
    </row>
    <row r="734" spans="1:27" ht="15" customHeight="1" x14ac:dyDescent="0.25">
      <c r="A734" s="3044"/>
      <c r="B734" s="2970"/>
      <c r="C734" s="2456"/>
      <c r="D734" s="2420"/>
      <c r="E734" s="2420"/>
      <c r="F734" s="2420"/>
      <c r="G734" s="2420"/>
      <c r="H734" s="2420"/>
      <c r="I734" s="2420"/>
      <c r="J734" s="2973"/>
      <c r="K734" s="2973"/>
      <c r="L734" s="2420"/>
      <c r="M734" s="1925" t="s">
        <v>194</v>
      </c>
      <c r="N734" s="1923" t="s">
        <v>1368</v>
      </c>
      <c r="O734" s="32">
        <f>140*2*2</f>
        <v>560</v>
      </c>
      <c r="P734" s="32"/>
      <c r="Q734" s="32"/>
      <c r="R734" s="32">
        <f>140*2*2</f>
        <v>560</v>
      </c>
      <c r="S734" s="32"/>
      <c r="T734" s="32">
        <v>280</v>
      </c>
      <c r="U734" s="32"/>
      <c r="V734" s="32">
        <v>280</v>
      </c>
      <c r="W734" s="32"/>
      <c r="X734" s="32">
        <v>180</v>
      </c>
      <c r="Y734" s="32">
        <v>140</v>
      </c>
      <c r="Z734" s="1938"/>
      <c r="AA734" s="368">
        <f t="shared" ref="AA734:AA737" si="235">SUM(O734:Z734)</f>
        <v>2000</v>
      </c>
    </row>
    <row r="735" spans="1:27" x14ac:dyDescent="0.25">
      <c r="A735" s="3044"/>
      <c r="B735" s="2970"/>
      <c r="C735" s="2456"/>
      <c r="D735" s="2420"/>
      <c r="E735" s="2420"/>
      <c r="F735" s="2420"/>
      <c r="G735" s="2420"/>
      <c r="H735" s="2420"/>
      <c r="I735" s="2420"/>
      <c r="J735" s="2973"/>
      <c r="K735" s="2973"/>
      <c r="L735" s="2420"/>
      <c r="M735" s="1925" t="s">
        <v>215</v>
      </c>
      <c r="N735" s="1923" t="s">
        <v>1370</v>
      </c>
      <c r="O735" s="32"/>
      <c r="P735" s="32"/>
      <c r="Q735" s="32"/>
      <c r="R735" s="32"/>
      <c r="S735" s="32"/>
      <c r="T735" s="32"/>
      <c r="U735" s="32"/>
      <c r="V735" s="32"/>
      <c r="W735" s="32"/>
      <c r="X735" s="32"/>
      <c r="Y735" s="32"/>
      <c r="Z735" s="1938"/>
      <c r="AA735" s="368">
        <f t="shared" si="235"/>
        <v>0</v>
      </c>
    </row>
    <row r="736" spans="1:27" ht="15" customHeight="1" x14ac:dyDescent="0.25">
      <c r="A736" s="3044"/>
      <c r="B736" s="2970"/>
      <c r="C736" s="2456"/>
      <c r="D736" s="2420"/>
      <c r="E736" s="2420"/>
      <c r="F736" s="2420"/>
      <c r="G736" s="2420"/>
      <c r="H736" s="2420"/>
      <c r="I736" s="2420"/>
      <c r="J736" s="2973"/>
      <c r="K736" s="2973"/>
      <c r="L736" s="2420"/>
      <c r="M736" s="307" t="s">
        <v>208</v>
      </c>
      <c r="N736" s="1927" t="s">
        <v>553</v>
      </c>
      <c r="O736" s="32">
        <f>36000/12</f>
        <v>3000</v>
      </c>
      <c r="P736" s="32">
        <f t="shared" ref="P736:Y736" si="236">36000/12</f>
        <v>3000</v>
      </c>
      <c r="Q736" s="32">
        <f t="shared" si="236"/>
        <v>3000</v>
      </c>
      <c r="R736" s="32">
        <f t="shared" si="236"/>
        <v>3000</v>
      </c>
      <c r="S736" s="32">
        <f t="shared" si="236"/>
        <v>3000</v>
      </c>
      <c r="T736" s="32">
        <f t="shared" si="236"/>
        <v>3000</v>
      </c>
      <c r="U736" s="32">
        <f>(36000/12)+300</f>
        <v>3300</v>
      </c>
      <c r="V736" s="32">
        <f t="shared" si="236"/>
        <v>3000</v>
      </c>
      <c r="W736" s="32">
        <f t="shared" si="236"/>
        <v>3000</v>
      </c>
      <c r="X736" s="32">
        <f t="shared" si="236"/>
        <v>3000</v>
      </c>
      <c r="Y736" s="32">
        <f t="shared" si="236"/>
        <v>3000</v>
      </c>
      <c r="Z736" s="32">
        <f>(36000/12)+300</f>
        <v>3300</v>
      </c>
      <c r="AA736" s="368">
        <f t="shared" si="235"/>
        <v>36600</v>
      </c>
    </row>
    <row r="737" spans="1:27" ht="22.5" x14ac:dyDescent="0.25">
      <c r="A737" s="3044"/>
      <c r="B737" s="2971"/>
      <c r="C737" s="2450"/>
      <c r="D737" s="2420"/>
      <c r="E737" s="2420"/>
      <c r="F737" s="2420"/>
      <c r="G737" s="2420"/>
      <c r="H737" s="2420"/>
      <c r="I737" s="2420"/>
      <c r="J737" s="2973"/>
      <c r="K737" s="2973"/>
      <c r="L737" s="2420"/>
      <c r="M737" s="307" t="s">
        <v>210</v>
      </c>
      <c r="N737" s="1927" t="s">
        <v>1371</v>
      </c>
      <c r="O737" s="2033">
        <v>105.33333330000001</v>
      </c>
      <c r="P737" s="2033">
        <v>105.33333330000001</v>
      </c>
      <c r="Q737" s="2033">
        <v>105.33333330000001</v>
      </c>
      <c r="R737" s="2033">
        <v>105.33333330000001</v>
      </c>
      <c r="S737" s="2033">
        <v>105.33333330000001</v>
      </c>
      <c r="T737" s="2033">
        <v>105.33333330000001</v>
      </c>
      <c r="U737" s="2033">
        <v>105.33333330000001</v>
      </c>
      <c r="V737" s="2033">
        <v>105.33333330000001</v>
      </c>
      <c r="W737" s="2033">
        <v>105.33333330000001</v>
      </c>
      <c r="X737" s="2033">
        <v>105.33333330000001</v>
      </c>
      <c r="Y737" s="2033">
        <v>105.33333330000001</v>
      </c>
      <c r="Z737" s="2033">
        <v>105.33333330000001</v>
      </c>
      <c r="AA737" s="368">
        <f t="shared" si="235"/>
        <v>1263.9999996000004</v>
      </c>
    </row>
    <row r="738" spans="1:27" x14ac:dyDescent="0.25">
      <c r="A738" s="1932"/>
      <c r="B738" s="1907"/>
      <c r="C738" s="2034"/>
      <c r="D738" s="1965"/>
      <c r="E738" s="1965"/>
      <c r="F738" s="1965"/>
      <c r="G738" s="1965"/>
      <c r="H738" s="1965"/>
      <c r="I738" s="1965"/>
      <c r="J738" s="2035"/>
      <c r="K738" s="2035"/>
      <c r="L738" s="1965"/>
      <c r="M738" s="2036"/>
      <c r="N738" s="2037"/>
      <c r="O738" s="2038"/>
      <c r="P738" s="2038"/>
      <c r="Q738" s="2038"/>
      <c r="R738" s="2038"/>
      <c r="S738" s="2038"/>
      <c r="T738" s="2038"/>
      <c r="U738" s="2038"/>
      <c r="V738" s="2038"/>
      <c r="W738" s="2038"/>
      <c r="X738" s="2038"/>
      <c r="Y738" s="2038"/>
      <c r="Z738" s="2038"/>
      <c r="AA738" s="2039"/>
    </row>
    <row r="739" spans="1:27" ht="34.5" customHeight="1" x14ac:dyDescent="0.25">
      <c r="A739" s="2040"/>
      <c r="B739" s="1859" t="s">
        <v>8</v>
      </c>
      <c r="C739" s="2911" t="s">
        <v>1349</v>
      </c>
      <c r="D739" s="2912"/>
      <c r="E739" s="2912"/>
      <c r="F739" s="2912"/>
      <c r="G739" s="2912"/>
      <c r="H739" s="2912"/>
      <c r="I739" s="87"/>
      <c r="J739" s="87"/>
      <c r="K739" s="87"/>
      <c r="L739" s="87"/>
      <c r="M739" s="87"/>
      <c r="N739" s="87"/>
      <c r="O739" s="87"/>
      <c r="P739" s="87"/>
      <c r="Q739" s="87"/>
      <c r="R739" s="87"/>
      <c r="S739" s="87"/>
      <c r="T739" s="87"/>
      <c r="U739" s="87"/>
      <c r="V739" s="87"/>
      <c r="W739" s="87"/>
      <c r="X739" s="87"/>
      <c r="Y739" s="87"/>
      <c r="Z739" s="87"/>
      <c r="AA739" s="90"/>
    </row>
    <row r="740" spans="1:27" ht="30" customHeight="1" x14ac:dyDescent="0.25">
      <c r="A740" s="2917" t="s">
        <v>256</v>
      </c>
      <c r="B740" s="1905" t="s">
        <v>11</v>
      </c>
      <c r="C740" s="19" t="s">
        <v>84</v>
      </c>
      <c r="D740" s="20"/>
      <c r="E740" s="1260"/>
      <c r="F740" s="1260"/>
      <c r="G740" s="1260"/>
      <c r="H740" s="20"/>
      <c r="I740" s="1260"/>
      <c r="J740" s="1260"/>
      <c r="K740" s="1260"/>
      <c r="L740" s="1260"/>
      <c r="M740" s="1260"/>
      <c r="N740" s="1260"/>
      <c r="O740" s="1260"/>
      <c r="P740" s="1260"/>
      <c r="Q740" s="1260"/>
      <c r="R740" s="1260"/>
      <c r="S740" s="1260"/>
      <c r="T740" s="1260"/>
      <c r="U740" s="20"/>
      <c r="V740" s="20"/>
      <c r="W740" s="20"/>
      <c r="X740" s="20"/>
      <c r="Y740" s="20"/>
      <c r="Z740" s="20"/>
      <c r="AA740" s="21"/>
    </row>
    <row r="741" spans="1:27" ht="9" customHeight="1" x14ac:dyDescent="0.25">
      <c r="A741" s="2917"/>
      <c r="B741" s="2913" t="s">
        <v>13</v>
      </c>
      <c r="C741" s="2914" t="s">
        <v>3579</v>
      </c>
      <c r="D741" s="2918" t="s">
        <v>3576</v>
      </c>
      <c r="E741" s="2919"/>
      <c r="F741" s="2919"/>
      <c r="G741" s="2919"/>
      <c r="H741" s="2919"/>
      <c r="I741" s="2919"/>
      <c r="J741" s="28"/>
      <c r="K741" s="28"/>
      <c r="L741" s="28"/>
      <c r="M741" s="28"/>
      <c r="N741" s="28"/>
      <c r="O741" s="28"/>
      <c r="P741" s="28"/>
      <c r="Q741" s="28"/>
      <c r="R741" s="28"/>
      <c r="S741" s="28"/>
      <c r="T741" s="28"/>
      <c r="U741" s="29"/>
      <c r="V741" s="2922" t="s">
        <v>15</v>
      </c>
      <c r="W741" s="2922"/>
      <c r="X741" s="2922"/>
      <c r="Y741" s="2922"/>
      <c r="Z741" s="2922" t="s">
        <v>16</v>
      </c>
      <c r="AA741" s="2922"/>
    </row>
    <row r="742" spans="1:27" ht="36.75" customHeight="1" x14ac:dyDescent="0.25">
      <c r="A742" s="2917"/>
      <c r="B742" s="2913"/>
      <c r="C742" s="2915"/>
      <c r="D742" s="2920"/>
      <c r="E742" s="2921"/>
      <c r="F742" s="2921"/>
      <c r="G742" s="2921"/>
      <c r="H742" s="2921"/>
      <c r="I742" s="2921"/>
      <c r="J742" s="31"/>
      <c r="K742" s="31"/>
      <c r="L742" s="31"/>
      <c r="M742" s="31"/>
      <c r="N742" s="31"/>
      <c r="O742" s="31"/>
      <c r="P742" s="31"/>
      <c r="Q742" s="31"/>
      <c r="R742" s="31"/>
      <c r="S742" s="31"/>
      <c r="T742" s="31"/>
      <c r="U742" s="30"/>
      <c r="V742" s="2918" t="s">
        <v>3688</v>
      </c>
      <c r="W742" s="2919"/>
      <c r="X742" s="2919"/>
      <c r="Y742" s="2923"/>
      <c r="Z742" s="3019"/>
      <c r="AA742" s="3020"/>
    </row>
    <row r="743" spans="1:27" ht="27.75" customHeight="1" x14ac:dyDescent="0.25">
      <c r="A743" s="2917"/>
      <c r="B743" s="2913" t="s">
        <v>18</v>
      </c>
      <c r="C743" s="2993">
        <v>2159825</v>
      </c>
      <c r="D743" s="2995" t="s">
        <v>3580</v>
      </c>
      <c r="E743" s="2996"/>
      <c r="F743" s="2996"/>
      <c r="G743" s="2996"/>
      <c r="H743" s="2996"/>
      <c r="I743" s="2996"/>
      <c r="J743" s="2996"/>
      <c r="K743" s="2996"/>
      <c r="L743" s="2996"/>
      <c r="M743" s="2996"/>
      <c r="N743" s="2996"/>
      <c r="O743" s="2996"/>
      <c r="P743" s="2996"/>
      <c r="Q743" s="28"/>
      <c r="R743" s="28"/>
      <c r="S743" s="28"/>
      <c r="T743" s="28"/>
      <c r="U743" s="29"/>
      <c r="V743" s="2974" t="s">
        <v>15</v>
      </c>
      <c r="W743" s="2975"/>
      <c r="X743" s="2975"/>
      <c r="Y743" s="2976"/>
      <c r="Z743" s="2922" t="s">
        <v>16</v>
      </c>
      <c r="AA743" s="2922"/>
    </row>
    <row r="744" spans="1:27" ht="30" customHeight="1" x14ac:dyDescent="0.25">
      <c r="A744" s="2917"/>
      <c r="B744" s="2913"/>
      <c r="C744" s="2994"/>
      <c r="D744" s="2997"/>
      <c r="E744" s="2998"/>
      <c r="F744" s="2998"/>
      <c r="G744" s="2998"/>
      <c r="H744" s="2998"/>
      <c r="I744" s="2998"/>
      <c r="J744" s="2998"/>
      <c r="K744" s="2998"/>
      <c r="L744" s="2998"/>
      <c r="M744" s="2998"/>
      <c r="N744" s="2998"/>
      <c r="O744" s="2998"/>
      <c r="P744" s="2998"/>
      <c r="Q744" s="31"/>
      <c r="R744" s="31"/>
      <c r="S744" s="31"/>
      <c r="T744" s="31"/>
      <c r="U744" s="22"/>
      <c r="V744" s="2671" t="s">
        <v>3428</v>
      </c>
      <c r="W744" s="2672"/>
      <c r="X744" s="2672"/>
      <c r="Y744" s="3002"/>
      <c r="Z744" s="2922" t="s">
        <v>61</v>
      </c>
      <c r="AA744" s="2922"/>
    </row>
    <row r="745" spans="1:27" x14ac:dyDescent="0.25">
      <c r="A745" s="2917"/>
      <c r="B745" s="2984" t="s">
        <v>20</v>
      </c>
      <c r="C745" s="2999" t="s">
        <v>21</v>
      </c>
      <c r="D745" s="2847" t="s">
        <v>22</v>
      </c>
      <c r="E745" s="2847" t="s">
        <v>23</v>
      </c>
      <c r="F745" s="2847" t="s">
        <v>24</v>
      </c>
      <c r="G745" s="2847" t="s">
        <v>25</v>
      </c>
      <c r="H745" s="2847" t="s">
        <v>26</v>
      </c>
      <c r="I745" s="2847" t="s">
        <v>27</v>
      </c>
      <c r="J745" s="2986" t="s">
        <v>28</v>
      </c>
      <c r="K745" s="2987"/>
      <c r="L745" s="2847" t="s">
        <v>29</v>
      </c>
      <c r="M745" s="2986" t="s">
        <v>30</v>
      </c>
      <c r="N745" s="2987"/>
      <c r="O745" s="2990" t="s">
        <v>31</v>
      </c>
      <c r="P745" s="2991"/>
      <c r="Q745" s="2991"/>
      <c r="R745" s="2991"/>
      <c r="S745" s="2991"/>
      <c r="T745" s="2991"/>
      <c r="U745" s="2991"/>
      <c r="V745" s="2991"/>
      <c r="W745" s="2991"/>
      <c r="X745" s="2991"/>
      <c r="Y745" s="2991"/>
      <c r="Z745" s="2992"/>
      <c r="AA745" s="2916" t="s">
        <v>32</v>
      </c>
    </row>
    <row r="746" spans="1:27" ht="20.25" customHeight="1" x14ac:dyDescent="0.25">
      <c r="A746" s="2917"/>
      <c r="B746" s="2985"/>
      <c r="C746" s="2999"/>
      <c r="D746" s="2847"/>
      <c r="E746" s="2847"/>
      <c r="F746" s="2847"/>
      <c r="G746" s="2847"/>
      <c r="H746" s="2847"/>
      <c r="I746" s="2847"/>
      <c r="J746" s="1911" t="s">
        <v>33</v>
      </c>
      <c r="K746" s="1911" t="s">
        <v>34</v>
      </c>
      <c r="L746" s="2847"/>
      <c r="M746" s="3000"/>
      <c r="N746" s="3001"/>
      <c r="O746" s="1947" t="s">
        <v>35</v>
      </c>
      <c r="P746" s="1947" t="s">
        <v>36</v>
      </c>
      <c r="Q746" s="1947" t="s">
        <v>37</v>
      </c>
      <c r="R746" s="1947" t="s">
        <v>38</v>
      </c>
      <c r="S746" s="1947" t="s">
        <v>39</v>
      </c>
      <c r="T746" s="1947" t="s">
        <v>40</v>
      </c>
      <c r="U746" s="1947" t="s">
        <v>41</v>
      </c>
      <c r="V746" s="1947" t="s">
        <v>42</v>
      </c>
      <c r="W746" s="1947" t="s">
        <v>43</v>
      </c>
      <c r="X746" s="1947" t="s">
        <v>44</v>
      </c>
      <c r="Y746" s="1947" t="s">
        <v>45</v>
      </c>
      <c r="Z746" s="1947" t="s">
        <v>46</v>
      </c>
      <c r="AA746" s="2916"/>
    </row>
    <row r="747" spans="1:27" ht="15" customHeight="1" x14ac:dyDescent="0.25">
      <c r="A747" s="2917"/>
      <c r="B747" s="3003" t="s">
        <v>3581</v>
      </c>
      <c r="C747" s="2438" t="s">
        <v>3582</v>
      </c>
      <c r="D747" s="2335" t="s">
        <v>3689</v>
      </c>
      <c r="E747" s="2949">
        <v>10</v>
      </c>
      <c r="F747" s="2935" t="s">
        <v>1967</v>
      </c>
      <c r="G747" s="2935" t="s">
        <v>1968</v>
      </c>
      <c r="H747" s="2514" t="s">
        <v>3583</v>
      </c>
      <c r="I747" s="2514" t="s">
        <v>3584</v>
      </c>
      <c r="J747" s="2938">
        <v>300</v>
      </c>
      <c r="K747" s="3007">
        <v>1438454.5</v>
      </c>
      <c r="L747" s="2514" t="s">
        <v>1349</v>
      </c>
      <c r="M747" s="2671" t="s">
        <v>51</v>
      </c>
      <c r="N747" s="2672"/>
      <c r="O747" s="1912"/>
      <c r="P747" s="1912"/>
      <c r="Q747" s="1912"/>
      <c r="R747" s="1912"/>
      <c r="S747" s="1912"/>
      <c r="T747" s="1912"/>
      <c r="U747" s="1912"/>
      <c r="V747" s="1912"/>
      <c r="W747" s="1912">
        <v>100</v>
      </c>
      <c r="X747" s="1912">
        <v>200</v>
      </c>
      <c r="Y747" s="1912"/>
      <c r="Z747" s="1912"/>
      <c r="AA747" s="92">
        <f>SUM(O747:Z747)</f>
        <v>300</v>
      </c>
    </row>
    <row r="748" spans="1:27" x14ac:dyDescent="0.25">
      <c r="A748" s="2917"/>
      <c r="B748" s="3004"/>
      <c r="C748" s="2456"/>
      <c r="D748" s="3006"/>
      <c r="E748" s="2950"/>
      <c r="F748" s="2936"/>
      <c r="G748" s="2936"/>
      <c r="H748" s="2515"/>
      <c r="I748" s="2515"/>
      <c r="J748" s="2939"/>
      <c r="K748" s="3008"/>
      <c r="L748" s="2515"/>
      <c r="M748" s="2671" t="s">
        <v>111</v>
      </c>
      <c r="N748" s="2672"/>
      <c r="O748" s="426">
        <f>SUM(O749:O751)</f>
        <v>80000</v>
      </c>
      <c r="P748" s="426">
        <f t="shared" ref="P748:Z748" si="237">SUM(P749:P751)</f>
        <v>140000</v>
      </c>
      <c r="Q748" s="426">
        <f>SUM(Q749:Q751)</f>
        <v>118000</v>
      </c>
      <c r="R748" s="426">
        <f t="shared" si="237"/>
        <v>560000</v>
      </c>
      <c r="S748" s="426">
        <f t="shared" si="237"/>
        <v>156000</v>
      </c>
      <c r="T748" s="426">
        <f>SUM(T749:T751)</f>
        <v>111454.5</v>
      </c>
      <c r="U748" s="426">
        <f t="shared" si="237"/>
        <v>160000</v>
      </c>
      <c r="V748" s="426">
        <f>SUM(V749:V751)</f>
        <v>113000</v>
      </c>
      <c r="W748" s="1946">
        <f t="shared" si="237"/>
        <v>0</v>
      </c>
      <c r="X748" s="1946">
        <f t="shared" si="237"/>
        <v>0</v>
      </c>
      <c r="Y748" s="1946">
        <f t="shared" si="237"/>
        <v>0</v>
      </c>
      <c r="Z748" s="1946">
        <f t="shared" si="237"/>
        <v>0</v>
      </c>
      <c r="AA748" s="2042">
        <v>1438454.5</v>
      </c>
    </row>
    <row r="749" spans="1:27" ht="15" customHeight="1" x14ac:dyDescent="0.25">
      <c r="A749" s="2917"/>
      <c r="B749" s="3004"/>
      <c r="C749" s="2456"/>
      <c r="D749" s="3006"/>
      <c r="E749" s="2950"/>
      <c r="F749" s="2936"/>
      <c r="G749" s="2936"/>
      <c r="H749" s="2515"/>
      <c r="I749" s="2515"/>
      <c r="J749" s="2939"/>
      <c r="K749" s="3008"/>
      <c r="L749" s="2515"/>
      <c r="M749" s="1923" t="s">
        <v>3585</v>
      </c>
      <c r="N749" s="1908" t="s">
        <v>266</v>
      </c>
      <c r="O749" s="1936">
        <v>30000</v>
      </c>
      <c r="P749" s="1938">
        <v>25000</v>
      </c>
      <c r="Q749" s="1938">
        <v>50000</v>
      </c>
      <c r="R749" s="1938">
        <v>40000</v>
      </c>
      <c r="S749" s="1938">
        <f>56000</f>
        <v>56000</v>
      </c>
      <c r="T749" s="1938">
        <v>44454.5</v>
      </c>
      <c r="U749" s="1938">
        <v>45000</v>
      </c>
      <c r="V749" s="1938">
        <v>45000</v>
      </c>
      <c r="W749" s="1938"/>
      <c r="X749" s="5"/>
      <c r="Y749" s="5"/>
      <c r="Z749" s="5"/>
      <c r="AA749" s="2041">
        <f t="shared" ref="AA749:AA750" si="238">SUM(O749:Z749)</f>
        <v>335454.5</v>
      </c>
    </row>
    <row r="750" spans="1:27" ht="23.25" customHeight="1" x14ac:dyDescent="0.25">
      <c r="A750" s="2917"/>
      <c r="B750" s="3004"/>
      <c r="C750" s="2456"/>
      <c r="D750" s="3006"/>
      <c r="E750" s="2950"/>
      <c r="F750" s="2936"/>
      <c r="G750" s="2936"/>
      <c r="H750" s="2515"/>
      <c r="I750" s="2515"/>
      <c r="J750" s="2939"/>
      <c r="K750" s="3008"/>
      <c r="L750" s="2515"/>
      <c r="M750" s="1923" t="s">
        <v>3586</v>
      </c>
      <c r="N750" s="1908" t="s">
        <v>267</v>
      </c>
      <c r="O750" s="1936">
        <v>50000</v>
      </c>
      <c r="P750" s="1938">
        <v>75000</v>
      </c>
      <c r="Q750" s="1938">
        <f>28000</f>
        <v>28000</v>
      </c>
      <c r="R750" s="1938">
        <f>25000+430000+25000</f>
        <v>480000</v>
      </c>
      <c r="S750" s="1938">
        <f>35000+25000</f>
        <v>60000</v>
      </c>
      <c r="T750" s="1938">
        <v>27000</v>
      </c>
      <c r="U750" s="1938">
        <v>75000</v>
      </c>
      <c r="V750" s="1938">
        <v>28000</v>
      </c>
      <c r="W750" s="1938"/>
      <c r="X750" s="5"/>
      <c r="Y750" s="5"/>
      <c r="Z750" s="5"/>
      <c r="AA750" s="2041">
        <f t="shared" si="238"/>
        <v>823000</v>
      </c>
    </row>
    <row r="751" spans="1:27" ht="15" customHeight="1" x14ac:dyDescent="0.25">
      <c r="A751" s="2917"/>
      <c r="B751" s="3005"/>
      <c r="C751" s="2450"/>
      <c r="D751" s="2336"/>
      <c r="E751" s="2951"/>
      <c r="F751" s="2937"/>
      <c r="G751" s="2937"/>
      <c r="H751" s="2516"/>
      <c r="I751" s="2516"/>
      <c r="J751" s="2940"/>
      <c r="K751" s="3009"/>
      <c r="L751" s="2516"/>
      <c r="M751" s="1927" t="s">
        <v>3587</v>
      </c>
      <c r="N751" s="1923" t="s">
        <v>268</v>
      </c>
      <c r="O751" s="1938">
        <v>0</v>
      </c>
      <c r="P751" s="1938">
        <v>40000</v>
      </c>
      <c r="Q751" s="1938">
        <v>40000</v>
      </c>
      <c r="R751" s="1938">
        <v>40000</v>
      </c>
      <c r="S751" s="1938">
        <v>40000</v>
      </c>
      <c r="T751" s="1938">
        <v>40000</v>
      </c>
      <c r="U751" s="1938">
        <v>40000</v>
      </c>
      <c r="V751" s="1938">
        <v>40000</v>
      </c>
      <c r="W751" s="1938"/>
      <c r="X751" s="5"/>
      <c r="Y751" s="5"/>
      <c r="Z751" s="5"/>
      <c r="AA751" s="2041">
        <f>SUM(O751:Z751)</f>
        <v>280000</v>
      </c>
    </row>
    <row r="752" spans="1:27" x14ac:dyDescent="0.25">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row>
    <row r="753" spans="1:28" ht="30" customHeight="1" x14ac:dyDescent="0.25">
      <c r="A753" s="2207"/>
      <c r="B753" s="1859" t="s">
        <v>8</v>
      </c>
      <c r="C753" s="2911" t="s">
        <v>1349</v>
      </c>
      <c r="D753" s="2912"/>
      <c r="E753" s="2912"/>
      <c r="F753" s="2912"/>
      <c r="G753" s="2912"/>
      <c r="H753" s="2912"/>
      <c r="I753" s="87"/>
      <c r="J753" s="87"/>
      <c r="K753" s="87"/>
      <c r="L753" s="87"/>
      <c r="M753" s="87"/>
      <c r="N753" s="87"/>
      <c r="O753" s="87"/>
      <c r="P753" s="87"/>
      <c r="Q753" s="87"/>
      <c r="R753" s="87"/>
      <c r="S753" s="87"/>
      <c r="T753" s="87"/>
      <c r="U753" s="87"/>
      <c r="V753" s="87"/>
      <c r="W753" s="87"/>
      <c r="X753" s="87"/>
      <c r="Y753" s="87"/>
      <c r="Z753" s="87"/>
      <c r="AA753" s="90"/>
    </row>
    <row r="754" spans="1:28" ht="29.25" customHeight="1" x14ac:dyDescent="0.25">
      <c r="A754" s="2917" t="s">
        <v>256</v>
      </c>
      <c r="B754" s="1905" t="s">
        <v>11</v>
      </c>
      <c r="C754" s="19" t="s">
        <v>84</v>
      </c>
      <c r="D754" s="20"/>
      <c r="E754" s="1260"/>
      <c r="F754" s="1260"/>
      <c r="G754" s="1260"/>
      <c r="H754" s="20"/>
      <c r="I754" s="1260"/>
      <c r="J754" s="1260"/>
      <c r="K754" s="1260"/>
      <c r="L754" s="1260"/>
      <c r="M754" s="1260"/>
      <c r="N754" s="1260"/>
      <c r="O754" s="1260"/>
      <c r="P754" s="1260"/>
      <c r="Q754" s="1260"/>
      <c r="R754" s="1260"/>
      <c r="S754" s="1260"/>
      <c r="T754" s="1260"/>
      <c r="U754" s="20"/>
      <c r="V754" s="20"/>
      <c r="W754" s="20"/>
      <c r="X754" s="20"/>
      <c r="Y754" s="20"/>
      <c r="Z754" s="20"/>
      <c r="AA754" s="21"/>
    </row>
    <row r="755" spans="1:28" x14ac:dyDescent="0.25">
      <c r="A755" s="2917"/>
      <c r="B755" s="2913" t="s">
        <v>13</v>
      </c>
      <c r="C755" s="2914" t="s">
        <v>3579</v>
      </c>
      <c r="D755" s="2918" t="s">
        <v>3576</v>
      </c>
      <c r="E755" s="2919"/>
      <c r="F755" s="2919"/>
      <c r="G755" s="2919"/>
      <c r="H755" s="2919"/>
      <c r="I755" s="2919"/>
      <c r="J755" s="28"/>
      <c r="K755" s="28"/>
      <c r="L755" s="28"/>
      <c r="M755" s="28"/>
      <c r="N755" s="28"/>
      <c r="O755" s="28"/>
      <c r="P755" s="28"/>
      <c r="Q755" s="28"/>
      <c r="R755" s="28"/>
      <c r="S755" s="28"/>
      <c r="T755" s="28"/>
      <c r="U755" s="29"/>
      <c r="V755" s="2922" t="s">
        <v>15</v>
      </c>
      <c r="W755" s="2922"/>
      <c r="X755" s="2922"/>
      <c r="Y755" s="2922"/>
      <c r="Z755" s="2922" t="s">
        <v>16</v>
      </c>
      <c r="AA755" s="2922"/>
    </row>
    <row r="756" spans="1:28" x14ac:dyDescent="0.25">
      <c r="A756" s="2917"/>
      <c r="B756" s="2913"/>
      <c r="C756" s="2915"/>
      <c r="D756" s="2920"/>
      <c r="E756" s="2921"/>
      <c r="F756" s="2921"/>
      <c r="G756" s="2921"/>
      <c r="H756" s="2921"/>
      <c r="I756" s="2921"/>
      <c r="J756" s="31"/>
      <c r="K756" s="31"/>
      <c r="L756" s="31"/>
      <c r="M756" s="31"/>
      <c r="N756" s="31"/>
      <c r="O756" s="31"/>
      <c r="P756" s="31"/>
      <c r="Q756" s="31"/>
      <c r="R756" s="31"/>
      <c r="S756" s="31"/>
      <c r="T756" s="31"/>
      <c r="U756" s="30"/>
      <c r="V756" s="2918" t="s">
        <v>3690</v>
      </c>
      <c r="W756" s="2919"/>
      <c r="X756" s="2919"/>
      <c r="Y756" s="2923"/>
      <c r="Z756" s="3019"/>
      <c r="AA756" s="3020"/>
    </row>
    <row r="757" spans="1:28" x14ac:dyDescent="0.25">
      <c r="A757" s="2917"/>
      <c r="B757" s="2913" t="s">
        <v>18</v>
      </c>
      <c r="C757" s="3013">
        <v>2159825</v>
      </c>
      <c r="D757" s="2995" t="s">
        <v>3588</v>
      </c>
      <c r="E757" s="2996"/>
      <c r="F757" s="2996"/>
      <c r="G757" s="2996"/>
      <c r="H757" s="2996"/>
      <c r="I757" s="2996"/>
      <c r="J757" s="2996"/>
      <c r="K757" s="2996"/>
      <c r="L757" s="2996"/>
      <c r="M757" s="2996"/>
      <c r="N757" s="2996"/>
      <c r="O757" s="2996"/>
      <c r="P757" s="2996"/>
      <c r="Q757" s="28"/>
      <c r="R757" s="28"/>
      <c r="S757" s="28"/>
      <c r="T757" s="28"/>
      <c r="U757" s="29"/>
      <c r="V757" s="2974" t="s">
        <v>15</v>
      </c>
      <c r="W757" s="2975"/>
      <c r="X757" s="2975"/>
      <c r="Y757" s="2976"/>
      <c r="Z757" s="2922" t="s">
        <v>16</v>
      </c>
      <c r="AA757" s="2922"/>
    </row>
    <row r="758" spans="1:28" x14ac:dyDescent="0.25">
      <c r="A758" s="2917"/>
      <c r="B758" s="2913"/>
      <c r="C758" s="3014"/>
      <c r="D758" s="2997"/>
      <c r="E758" s="2998"/>
      <c r="F758" s="2998"/>
      <c r="G758" s="2998"/>
      <c r="H758" s="2998"/>
      <c r="I758" s="2998"/>
      <c r="J758" s="2998"/>
      <c r="K758" s="2998"/>
      <c r="L758" s="2998"/>
      <c r="M758" s="2998"/>
      <c r="N758" s="2998"/>
      <c r="O758" s="2998"/>
      <c r="P758" s="2998"/>
      <c r="Q758" s="31"/>
      <c r="R758" s="31"/>
      <c r="S758" s="31"/>
      <c r="T758" s="31"/>
      <c r="U758" s="22"/>
      <c r="V758" s="2671" t="s">
        <v>3428</v>
      </c>
      <c r="W758" s="2672"/>
      <c r="X758" s="2672"/>
      <c r="Y758" s="3002"/>
      <c r="Z758" s="2922" t="s">
        <v>61</v>
      </c>
      <c r="AA758" s="2922"/>
    </row>
    <row r="759" spans="1:28" x14ac:dyDescent="0.25">
      <c r="A759" s="2917"/>
      <c r="B759" s="2984" t="s">
        <v>20</v>
      </c>
      <c r="C759" s="3015" t="s">
        <v>21</v>
      </c>
      <c r="D759" s="2847" t="s">
        <v>22</v>
      </c>
      <c r="E759" s="2847" t="s">
        <v>23</v>
      </c>
      <c r="F759" s="2847" t="s">
        <v>24</v>
      </c>
      <c r="G759" s="2847" t="s">
        <v>25</v>
      </c>
      <c r="H759" s="2847" t="s">
        <v>26</v>
      </c>
      <c r="I759" s="2847" t="s">
        <v>27</v>
      </c>
      <c r="J759" s="2986" t="s">
        <v>28</v>
      </c>
      <c r="K759" s="2987"/>
      <c r="L759" s="2847" t="s">
        <v>29</v>
      </c>
      <c r="M759" s="2986" t="s">
        <v>30</v>
      </c>
      <c r="N759" s="2987"/>
      <c r="O759" s="2990" t="s">
        <v>31</v>
      </c>
      <c r="P759" s="2991"/>
      <c r="Q759" s="2991"/>
      <c r="R759" s="2991"/>
      <c r="S759" s="2991"/>
      <c r="T759" s="2991"/>
      <c r="U759" s="2991"/>
      <c r="V759" s="2991"/>
      <c r="W759" s="2991"/>
      <c r="X759" s="2991"/>
      <c r="Y759" s="2991"/>
      <c r="Z759" s="2992"/>
      <c r="AA759" s="2916" t="s">
        <v>32</v>
      </c>
    </row>
    <row r="760" spans="1:28" ht="22.5" customHeight="1" x14ac:dyDescent="0.25">
      <c r="A760" s="2917"/>
      <c r="B760" s="2985"/>
      <c r="C760" s="3016"/>
      <c r="D760" s="2847"/>
      <c r="E760" s="2847"/>
      <c r="F760" s="2847"/>
      <c r="G760" s="2847"/>
      <c r="H760" s="2847"/>
      <c r="I760" s="2847"/>
      <c r="J760" s="1911" t="s">
        <v>33</v>
      </c>
      <c r="K760" s="1911" t="s">
        <v>34</v>
      </c>
      <c r="L760" s="2847"/>
      <c r="M760" s="3000"/>
      <c r="N760" s="3001"/>
      <c r="O760" s="1947" t="s">
        <v>35</v>
      </c>
      <c r="P760" s="1947" t="s">
        <v>36</v>
      </c>
      <c r="Q760" s="1947" t="s">
        <v>37</v>
      </c>
      <c r="R760" s="1947" t="s">
        <v>38</v>
      </c>
      <c r="S760" s="1947" t="s">
        <v>39</v>
      </c>
      <c r="T760" s="1947" t="s">
        <v>40</v>
      </c>
      <c r="U760" s="1947" t="s">
        <v>41</v>
      </c>
      <c r="V760" s="1947" t="s">
        <v>42</v>
      </c>
      <c r="W760" s="1947" t="s">
        <v>43</v>
      </c>
      <c r="X760" s="1947" t="s">
        <v>44</v>
      </c>
      <c r="Y760" s="1947" t="s">
        <v>45</v>
      </c>
      <c r="Z760" s="1947" t="s">
        <v>46</v>
      </c>
      <c r="AA760" s="2916"/>
    </row>
    <row r="761" spans="1:28" ht="27" customHeight="1" x14ac:dyDescent="0.25">
      <c r="A761" s="2917"/>
      <c r="B761" s="3003" t="s">
        <v>3581</v>
      </c>
      <c r="C761" s="3010" t="s">
        <v>3582</v>
      </c>
      <c r="D761" s="2335" t="s">
        <v>3589</v>
      </c>
      <c r="E761" s="2949">
        <v>10</v>
      </c>
      <c r="F761" s="2935" t="s">
        <v>1967</v>
      </c>
      <c r="G761" s="2935" t="s">
        <v>1968</v>
      </c>
      <c r="H761" s="2514" t="s">
        <v>3583</v>
      </c>
      <c r="I761" s="2514" t="s">
        <v>3584</v>
      </c>
      <c r="J761" s="2938">
        <v>135</v>
      </c>
      <c r="K761" s="3007">
        <v>335038.5</v>
      </c>
      <c r="L761" s="2514" t="s">
        <v>1349</v>
      </c>
      <c r="M761" s="2671" t="s">
        <v>51</v>
      </c>
      <c r="N761" s="2672"/>
      <c r="O761" s="1912"/>
      <c r="P761" s="1912"/>
      <c r="Q761" s="1912"/>
      <c r="R761" s="1912"/>
      <c r="S761" s="1912">
        <v>135</v>
      </c>
      <c r="T761" s="1912"/>
      <c r="U761" s="1912"/>
      <c r="V761" s="1912"/>
      <c r="W761" s="1912"/>
      <c r="X761" s="1912"/>
      <c r="Y761" s="1912"/>
      <c r="Z761" s="1912"/>
      <c r="AA761" s="2042">
        <f>SUM(O761:Z761)</f>
        <v>135</v>
      </c>
      <c r="AB761" s="34"/>
    </row>
    <row r="762" spans="1:28" ht="24.75" customHeight="1" x14ac:dyDescent="0.25">
      <c r="A762" s="2917"/>
      <c r="B762" s="3004"/>
      <c r="C762" s="3011"/>
      <c r="D762" s="3006"/>
      <c r="E762" s="2950"/>
      <c r="F762" s="2936"/>
      <c r="G762" s="2936"/>
      <c r="H762" s="2515"/>
      <c r="I762" s="2515"/>
      <c r="J762" s="2939"/>
      <c r="K762" s="3008"/>
      <c r="L762" s="2515"/>
      <c r="M762" s="2671" t="s">
        <v>111</v>
      </c>
      <c r="N762" s="2672"/>
      <c r="O762" s="1946">
        <f>SUM(O763:O765)</f>
        <v>0</v>
      </c>
      <c r="P762" s="1946">
        <f>SUM(P763:P765)</f>
        <v>36539</v>
      </c>
      <c r="Q762" s="1946">
        <f t="shared" ref="Q762:V762" si="239">SUM(Q763:Q765)</f>
        <v>50000</v>
      </c>
      <c r="R762" s="1946">
        <f t="shared" si="239"/>
        <v>155000</v>
      </c>
      <c r="S762" s="1946">
        <f t="shared" si="239"/>
        <v>93500</v>
      </c>
      <c r="T762" s="1946">
        <f t="shared" si="239"/>
        <v>0</v>
      </c>
      <c r="U762" s="1946">
        <f t="shared" si="239"/>
        <v>0</v>
      </c>
      <c r="V762" s="1946">
        <f t="shared" si="239"/>
        <v>0</v>
      </c>
      <c r="W762" s="1946"/>
      <c r="X762" s="426"/>
      <c r="Y762" s="426"/>
      <c r="Z762" s="426"/>
      <c r="AA762" s="2042">
        <v>335038.5</v>
      </c>
      <c r="AB762" s="34"/>
    </row>
    <row r="763" spans="1:28" ht="52.5" customHeight="1" x14ac:dyDescent="0.25">
      <c r="A763" s="2917"/>
      <c r="B763" s="3004"/>
      <c r="C763" s="3011"/>
      <c r="D763" s="3006"/>
      <c r="E763" s="2950"/>
      <c r="F763" s="2936"/>
      <c r="G763" s="2936"/>
      <c r="H763" s="2515"/>
      <c r="I763" s="2515"/>
      <c r="J763" s="2939"/>
      <c r="K763" s="3008"/>
      <c r="L763" s="2515"/>
      <c r="M763" s="1923" t="s">
        <v>3585</v>
      </c>
      <c r="N763" s="1908" t="s">
        <v>266</v>
      </c>
      <c r="O763" s="1936"/>
      <c r="P763" s="1936">
        <f>(5*1450)+9289</f>
        <v>16539</v>
      </c>
      <c r="Q763" s="1936">
        <v>30000</v>
      </c>
      <c r="R763" s="1936">
        <v>30000</v>
      </c>
      <c r="S763" s="1936">
        <f>(10*1450)+20000</f>
        <v>34500</v>
      </c>
      <c r="T763" s="1938" t="s">
        <v>440</v>
      </c>
      <c r="U763" s="1938"/>
      <c r="V763" s="1938"/>
      <c r="W763" s="1938"/>
      <c r="X763" s="5"/>
      <c r="Y763" s="5"/>
      <c r="Z763" s="5"/>
      <c r="AA763" s="2041">
        <f t="shared" ref="AA763:AA765" si="240">SUM(O763:Z763)</f>
        <v>111039</v>
      </c>
      <c r="AB763" s="34"/>
    </row>
    <row r="764" spans="1:28" ht="49.5" customHeight="1" x14ac:dyDescent="0.25">
      <c r="A764" s="2917"/>
      <c r="B764" s="3004"/>
      <c r="C764" s="3011"/>
      <c r="D764" s="3006"/>
      <c r="E764" s="2950"/>
      <c r="F764" s="2936"/>
      <c r="G764" s="2936"/>
      <c r="H764" s="2515"/>
      <c r="I764" s="2515"/>
      <c r="J764" s="2939"/>
      <c r="K764" s="3008"/>
      <c r="L764" s="2515"/>
      <c r="M764" s="1923" t="s">
        <v>3586</v>
      </c>
      <c r="N764" s="1908" t="s">
        <v>267</v>
      </c>
      <c r="O764" s="1936"/>
      <c r="P764" s="1938"/>
      <c r="Q764" s="1938"/>
      <c r="R764" s="1938">
        <f>15000+10000</f>
        <v>25000</v>
      </c>
      <c r="S764" s="1938"/>
      <c r="T764" s="1938"/>
      <c r="U764" s="1938"/>
      <c r="V764" s="1938"/>
      <c r="W764" s="1938"/>
      <c r="X764" s="5"/>
      <c r="Y764" s="5"/>
      <c r="Z764" s="5"/>
      <c r="AA764" s="2041">
        <f t="shared" si="240"/>
        <v>25000</v>
      </c>
      <c r="AB764" s="34"/>
    </row>
    <row r="765" spans="1:28" ht="21.75" customHeight="1" x14ac:dyDescent="0.25">
      <c r="A765" s="2917"/>
      <c r="B765" s="3005"/>
      <c r="C765" s="3012"/>
      <c r="D765" s="2336"/>
      <c r="E765" s="2951"/>
      <c r="F765" s="2937"/>
      <c r="G765" s="2937"/>
      <c r="H765" s="2516"/>
      <c r="I765" s="2516"/>
      <c r="J765" s="2940"/>
      <c r="K765" s="3009"/>
      <c r="L765" s="2516"/>
      <c r="M765" s="1927" t="s">
        <v>3587</v>
      </c>
      <c r="N765" s="1923" t="s">
        <v>268</v>
      </c>
      <c r="O765" s="1938"/>
      <c r="P765" s="1938">
        <v>20000</v>
      </c>
      <c r="Q765" s="1938">
        <v>20000</v>
      </c>
      <c r="R765" s="1938">
        <v>100000</v>
      </c>
      <c r="S765" s="1938">
        <f>4000+25000+5000+25000</f>
        <v>59000</v>
      </c>
      <c r="T765" s="1938"/>
      <c r="U765" s="1938"/>
      <c r="V765" s="1938"/>
      <c r="W765" s="1938"/>
      <c r="X765" s="5"/>
      <c r="Y765" s="5"/>
      <c r="Z765" s="5"/>
      <c r="AA765" s="2041">
        <f t="shared" si="240"/>
        <v>199000</v>
      </c>
      <c r="AB765" s="34"/>
    </row>
    <row r="766" spans="1:28" ht="15" customHeight="1" x14ac:dyDescent="0.25">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34"/>
    </row>
    <row r="767" spans="1:28" ht="30" customHeight="1" x14ac:dyDescent="0.25">
      <c r="A767" s="1919"/>
      <c r="B767" s="1859" t="s">
        <v>8</v>
      </c>
      <c r="C767" s="2911" t="s">
        <v>1349</v>
      </c>
      <c r="D767" s="2912"/>
      <c r="E767" s="2912"/>
      <c r="F767" s="2912"/>
      <c r="G767" s="2912"/>
      <c r="H767" s="2912"/>
      <c r="I767" s="2912"/>
      <c r="J767" s="2912"/>
      <c r="K767" s="2912"/>
      <c r="L767" s="2912"/>
      <c r="M767" s="2912"/>
      <c r="N767" s="87"/>
      <c r="O767" s="87"/>
      <c r="P767" s="87"/>
      <c r="Q767" s="87"/>
      <c r="R767" s="87"/>
      <c r="S767" s="87"/>
      <c r="T767" s="87"/>
      <c r="U767" s="87"/>
      <c r="V767" s="87"/>
      <c r="W767" s="87"/>
      <c r="X767" s="87"/>
      <c r="Y767" s="87"/>
      <c r="Z767" s="87"/>
      <c r="AA767" s="90"/>
      <c r="AB767" s="34"/>
    </row>
    <row r="768" spans="1:28" ht="34.5" customHeight="1" x14ac:dyDescent="0.25">
      <c r="A768" s="2917" t="s">
        <v>256</v>
      </c>
      <c r="B768" s="1905" t="s">
        <v>11</v>
      </c>
      <c r="C768" s="2184" t="s">
        <v>84</v>
      </c>
      <c r="D768" s="20"/>
      <c r="E768" s="1260"/>
      <c r="F768" s="1260"/>
      <c r="G768" s="1260"/>
      <c r="H768" s="20"/>
      <c r="I768" s="1260"/>
      <c r="J768" s="1260"/>
      <c r="K768" s="1260"/>
      <c r="L768" s="1260"/>
      <c r="M768" s="1260"/>
      <c r="N768" s="1260"/>
      <c r="O768" s="1260"/>
      <c r="P768" s="1260"/>
      <c r="Q768" s="1260"/>
      <c r="R768" s="1260"/>
      <c r="S768" s="1260"/>
      <c r="T768" s="1260"/>
      <c r="U768" s="20"/>
      <c r="V768" s="20"/>
      <c r="W768" s="20"/>
      <c r="X768" s="20"/>
      <c r="Y768" s="20"/>
      <c r="Z768" s="20"/>
      <c r="AA768" s="21"/>
      <c r="AB768" s="34"/>
    </row>
    <row r="769" spans="1:28" ht="26.25" customHeight="1" x14ac:dyDescent="0.25">
      <c r="A769" s="2917"/>
      <c r="B769" s="2913" t="s">
        <v>13</v>
      </c>
      <c r="C769" s="3017" t="s">
        <v>3579</v>
      </c>
      <c r="D769" s="2918" t="s">
        <v>3576</v>
      </c>
      <c r="E769" s="2919"/>
      <c r="F769" s="2919"/>
      <c r="G769" s="2919"/>
      <c r="H769" s="2919"/>
      <c r="I769" s="2919"/>
      <c r="J769" s="28"/>
      <c r="K769" s="28"/>
      <c r="L769" s="28"/>
      <c r="M769" s="28"/>
      <c r="N769" s="28"/>
      <c r="O769" s="28"/>
      <c r="P769" s="28"/>
      <c r="Q769" s="28"/>
      <c r="R769" s="28"/>
      <c r="S769" s="28"/>
      <c r="T769" s="28"/>
      <c r="U769" s="29"/>
      <c r="V769" s="2922" t="s">
        <v>15</v>
      </c>
      <c r="W769" s="2922"/>
      <c r="X769" s="2922"/>
      <c r="Y769" s="2922"/>
      <c r="Z769" s="2922" t="s">
        <v>16</v>
      </c>
      <c r="AA769" s="2922"/>
      <c r="AB769" s="34"/>
    </row>
    <row r="770" spans="1:28" ht="39" customHeight="1" x14ac:dyDescent="0.25">
      <c r="A770" s="2917"/>
      <c r="B770" s="2913"/>
      <c r="C770" s="3018"/>
      <c r="D770" s="2920"/>
      <c r="E770" s="2921"/>
      <c r="F770" s="2921"/>
      <c r="G770" s="2921"/>
      <c r="H770" s="2921"/>
      <c r="I770" s="2921"/>
      <c r="J770" s="31"/>
      <c r="K770" s="31"/>
      <c r="L770" s="31"/>
      <c r="M770" s="31"/>
      <c r="N770" s="31"/>
      <c r="O770" s="31"/>
      <c r="P770" s="31"/>
      <c r="Q770" s="31"/>
      <c r="R770" s="31"/>
      <c r="S770" s="31"/>
      <c r="T770" s="31"/>
      <c r="U770" s="30"/>
      <c r="V770" s="2918" t="s">
        <v>3690</v>
      </c>
      <c r="W770" s="2919"/>
      <c r="X770" s="2919"/>
      <c r="Y770" s="2923"/>
      <c r="Z770" s="3019"/>
      <c r="AA770" s="3020"/>
      <c r="AB770" s="34"/>
    </row>
    <row r="771" spans="1:28" ht="24.75" customHeight="1" x14ac:dyDescent="0.25">
      <c r="A771" s="2917"/>
      <c r="B771" s="2913" t="s">
        <v>18</v>
      </c>
      <c r="C771" s="3021">
        <v>2159825</v>
      </c>
      <c r="D771" s="2995" t="s">
        <v>3590</v>
      </c>
      <c r="E771" s="2996"/>
      <c r="F771" s="2996"/>
      <c r="G771" s="2996"/>
      <c r="H771" s="2996"/>
      <c r="I771" s="2996"/>
      <c r="J771" s="2996"/>
      <c r="K771" s="2996"/>
      <c r="L771" s="2996"/>
      <c r="M771" s="2996"/>
      <c r="N771" s="2996"/>
      <c r="O771" s="2996"/>
      <c r="P771" s="2996"/>
      <c r="Q771" s="28"/>
      <c r="R771" s="28"/>
      <c r="S771" s="28"/>
      <c r="T771" s="28"/>
      <c r="U771" s="29"/>
      <c r="V771" s="2974" t="s">
        <v>15</v>
      </c>
      <c r="W771" s="2975"/>
      <c r="X771" s="2975"/>
      <c r="Y771" s="2976"/>
      <c r="Z771" s="2922" t="s">
        <v>16</v>
      </c>
      <c r="AA771" s="2922"/>
      <c r="AB771" s="34"/>
    </row>
    <row r="772" spans="1:28" ht="30" customHeight="1" x14ac:dyDescent="0.25">
      <c r="A772" s="2917"/>
      <c r="B772" s="2913"/>
      <c r="C772" s="3022"/>
      <c r="D772" s="2997"/>
      <c r="E772" s="2998"/>
      <c r="F772" s="2998"/>
      <c r="G772" s="2998"/>
      <c r="H772" s="2998"/>
      <c r="I772" s="2998"/>
      <c r="J772" s="2998"/>
      <c r="K772" s="2998"/>
      <c r="L772" s="2998"/>
      <c r="M772" s="2998"/>
      <c r="N772" s="2998"/>
      <c r="O772" s="2998"/>
      <c r="P772" s="2998"/>
      <c r="Q772" s="31"/>
      <c r="R772" s="31"/>
      <c r="S772" s="31"/>
      <c r="T772" s="31"/>
      <c r="U772" s="22"/>
      <c r="V772" s="2671" t="s">
        <v>3428</v>
      </c>
      <c r="W772" s="2672"/>
      <c r="X772" s="2672"/>
      <c r="Y772" s="3002"/>
      <c r="Z772" s="2922" t="s">
        <v>61</v>
      </c>
      <c r="AA772" s="2922"/>
      <c r="AB772" s="34"/>
    </row>
    <row r="773" spans="1:28" x14ac:dyDescent="0.25">
      <c r="A773" s="2917"/>
      <c r="B773" s="2984" t="s">
        <v>20</v>
      </c>
      <c r="C773" s="2847" t="s">
        <v>21</v>
      </c>
      <c r="D773" s="2847" t="s">
        <v>22</v>
      </c>
      <c r="E773" s="2847" t="s">
        <v>23</v>
      </c>
      <c r="F773" s="2847" t="s">
        <v>24</v>
      </c>
      <c r="G773" s="2847" t="s">
        <v>25</v>
      </c>
      <c r="H773" s="2847" t="s">
        <v>26</v>
      </c>
      <c r="I773" s="2847" t="s">
        <v>27</v>
      </c>
      <c r="J773" s="2986" t="s">
        <v>28</v>
      </c>
      <c r="K773" s="2987"/>
      <c r="L773" s="2847" t="s">
        <v>29</v>
      </c>
      <c r="M773" s="2986" t="s">
        <v>30</v>
      </c>
      <c r="N773" s="2987"/>
      <c r="O773" s="2990" t="s">
        <v>31</v>
      </c>
      <c r="P773" s="2991"/>
      <c r="Q773" s="2991"/>
      <c r="R773" s="2991"/>
      <c r="S773" s="2991"/>
      <c r="T773" s="2991"/>
      <c r="U773" s="2991"/>
      <c r="V773" s="2991"/>
      <c r="W773" s="2991"/>
      <c r="X773" s="2991"/>
      <c r="Y773" s="2991"/>
      <c r="Z773" s="2992"/>
      <c r="AA773" s="2916" t="s">
        <v>32</v>
      </c>
      <c r="AB773" s="34"/>
    </row>
    <row r="774" spans="1:28" x14ac:dyDescent="0.25">
      <c r="A774" s="2917"/>
      <c r="B774" s="2985"/>
      <c r="C774" s="2847"/>
      <c r="D774" s="2847"/>
      <c r="E774" s="2847"/>
      <c r="F774" s="2847"/>
      <c r="G774" s="2847"/>
      <c r="H774" s="2847"/>
      <c r="I774" s="2847"/>
      <c r="J774" s="1911" t="s">
        <v>33</v>
      </c>
      <c r="K774" s="1911" t="s">
        <v>34</v>
      </c>
      <c r="L774" s="2847"/>
      <c r="M774" s="3000"/>
      <c r="N774" s="3001"/>
      <c r="O774" s="1947" t="s">
        <v>35</v>
      </c>
      <c r="P774" s="1947" t="s">
        <v>36</v>
      </c>
      <c r="Q774" s="1947" t="s">
        <v>37</v>
      </c>
      <c r="R774" s="1947" t="s">
        <v>38</v>
      </c>
      <c r="S774" s="1947" t="s">
        <v>39</v>
      </c>
      <c r="T774" s="1947" t="s">
        <v>40</v>
      </c>
      <c r="U774" s="1947" t="s">
        <v>41</v>
      </c>
      <c r="V774" s="1947" t="s">
        <v>42</v>
      </c>
      <c r="W774" s="1947" t="s">
        <v>43</v>
      </c>
      <c r="X774" s="1947" t="s">
        <v>44</v>
      </c>
      <c r="Y774" s="1947" t="s">
        <v>45</v>
      </c>
      <c r="Z774" s="1947" t="s">
        <v>46</v>
      </c>
      <c r="AA774" s="2916"/>
      <c r="AB774" s="34"/>
    </row>
    <row r="775" spans="1:28" x14ac:dyDescent="0.25">
      <c r="A775" s="2917"/>
      <c r="B775" s="3003" t="s">
        <v>3581</v>
      </c>
      <c r="C775" s="2438" t="s">
        <v>3582</v>
      </c>
      <c r="D775" s="2335" t="s">
        <v>3591</v>
      </c>
      <c r="E775" s="2949">
        <v>10</v>
      </c>
      <c r="F775" s="2935" t="s">
        <v>1967</v>
      </c>
      <c r="G775" s="2935" t="s">
        <v>1968</v>
      </c>
      <c r="H775" s="2514" t="s">
        <v>3592</v>
      </c>
      <c r="I775" s="2514" t="s">
        <v>3584</v>
      </c>
      <c r="J775" s="2938">
        <v>93</v>
      </c>
      <c r="K775" s="2938">
        <f>+AA776</f>
        <v>229967</v>
      </c>
      <c r="L775" s="2514" t="s">
        <v>3593</v>
      </c>
      <c r="M775" s="2671" t="s">
        <v>51</v>
      </c>
      <c r="N775" s="2672"/>
      <c r="O775" s="1912"/>
      <c r="P775" s="1912"/>
      <c r="Q775" s="1912"/>
      <c r="R775" s="1912"/>
      <c r="S775" s="1912"/>
      <c r="T775" s="1912"/>
      <c r="U775" s="1912"/>
      <c r="V775" s="1912">
        <v>93</v>
      </c>
      <c r="W775" s="1912"/>
      <c r="X775" s="1912"/>
      <c r="Y775" s="1912"/>
      <c r="Z775" s="1912"/>
      <c r="AA775" s="1912">
        <f>SUM(O775:Z775)</f>
        <v>93</v>
      </c>
      <c r="AB775" s="34"/>
    </row>
    <row r="776" spans="1:28" x14ac:dyDescent="0.25">
      <c r="A776" s="2917"/>
      <c r="B776" s="3004"/>
      <c r="C776" s="2456"/>
      <c r="D776" s="3006"/>
      <c r="E776" s="2950"/>
      <c r="F776" s="2936"/>
      <c r="G776" s="2936"/>
      <c r="H776" s="2515"/>
      <c r="I776" s="2515"/>
      <c r="J776" s="2939"/>
      <c r="K776" s="2939"/>
      <c r="L776" s="2515"/>
      <c r="M776" s="2671" t="s">
        <v>111</v>
      </c>
      <c r="N776" s="2672"/>
      <c r="O776" s="1946">
        <f>SUM(O777:O779)</f>
        <v>0</v>
      </c>
      <c r="P776" s="1946">
        <f t="shared" ref="P776:V776" si="241">SUM(P777:P779)</f>
        <v>0</v>
      </c>
      <c r="Q776" s="1946"/>
      <c r="R776" s="1946"/>
      <c r="S776" s="1946">
        <f t="shared" si="241"/>
        <v>164967</v>
      </c>
      <c r="T776" s="1946">
        <f t="shared" si="241"/>
        <v>45000</v>
      </c>
      <c r="U776" s="1946">
        <f t="shared" si="241"/>
        <v>20000</v>
      </c>
      <c r="V776" s="1946">
        <f t="shared" si="241"/>
        <v>0</v>
      </c>
      <c r="W776" s="1946"/>
      <c r="X776" s="426"/>
      <c r="Y776" s="426"/>
      <c r="Z776" s="426"/>
      <c r="AA776" s="2042">
        <f>SUM(O776:Z776)</f>
        <v>229967</v>
      </c>
      <c r="AB776" s="34"/>
    </row>
    <row r="777" spans="1:28" ht="45" x14ac:dyDescent="0.25">
      <c r="A777" s="2917"/>
      <c r="B777" s="3004"/>
      <c r="C777" s="2456"/>
      <c r="D777" s="3006"/>
      <c r="E777" s="2950"/>
      <c r="F777" s="2936"/>
      <c r="G777" s="2936"/>
      <c r="H777" s="2515"/>
      <c r="I777" s="2515"/>
      <c r="J777" s="2939"/>
      <c r="K777" s="2939"/>
      <c r="L777" s="2515"/>
      <c r="M777" s="1910" t="s">
        <v>3585</v>
      </c>
      <c r="N777" s="1908" t="s">
        <v>266</v>
      </c>
      <c r="O777" s="1936"/>
      <c r="P777" s="1936"/>
      <c r="Q777" s="1936"/>
      <c r="R777" s="1936"/>
      <c r="S777" s="1936">
        <v>25000</v>
      </c>
      <c r="T777" s="1936">
        <v>25000</v>
      </c>
      <c r="U777" s="1936">
        <v>10000</v>
      </c>
      <c r="V777" s="1938"/>
      <c r="W777" s="1938"/>
      <c r="X777" s="5"/>
      <c r="Y777" s="5"/>
      <c r="Z777" s="5"/>
      <c r="AA777" s="2041">
        <f t="shared" ref="AA777:AA779" si="242">SUM(O777:Z777)</f>
        <v>60000</v>
      </c>
      <c r="AB777" s="34"/>
    </row>
    <row r="778" spans="1:28" ht="45" x14ac:dyDescent="0.25">
      <c r="A778" s="2917"/>
      <c r="B778" s="3004"/>
      <c r="C778" s="2456"/>
      <c r="D778" s="3006"/>
      <c r="E778" s="2950"/>
      <c r="F778" s="2936"/>
      <c r="G778" s="2936"/>
      <c r="H778" s="2515"/>
      <c r="I778" s="2515"/>
      <c r="J778" s="2939"/>
      <c r="K778" s="2939"/>
      <c r="L778" s="2515"/>
      <c r="M778" s="1910" t="s">
        <v>3586</v>
      </c>
      <c r="N778" s="1908" t="s">
        <v>267</v>
      </c>
      <c r="O778" s="1936"/>
      <c r="P778" s="1938"/>
      <c r="Q778" s="1938"/>
      <c r="R778" s="1938"/>
      <c r="S778" s="1938">
        <v>119967</v>
      </c>
      <c r="T778" s="1938"/>
      <c r="U778" s="1938"/>
      <c r="V778" s="1938"/>
      <c r="W778" s="1938"/>
      <c r="X778" s="5"/>
      <c r="Y778" s="5"/>
      <c r="Z778" s="5"/>
      <c r="AA778" s="2041">
        <f t="shared" si="242"/>
        <v>119967</v>
      </c>
      <c r="AB778" s="34"/>
    </row>
    <row r="779" spans="1:28" ht="45" x14ac:dyDescent="0.25">
      <c r="A779" s="2917"/>
      <c r="B779" s="3005"/>
      <c r="C779" s="2450"/>
      <c r="D779" s="2336"/>
      <c r="E779" s="2951"/>
      <c r="F779" s="2937"/>
      <c r="G779" s="2937"/>
      <c r="H779" s="2516"/>
      <c r="I779" s="2516"/>
      <c r="J779" s="2940"/>
      <c r="K779" s="2940"/>
      <c r="L779" s="2516"/>
      <c r="M779" s="1953" t="s">
        <v>3587</v>
      </c>
      <c r="N779" s="1923" t="s">
        <v>268</v>
      </c>
      <c r="O779" s="1938"/>
      <c r="P779" s="1938"/>
      <c r="Q779" s="1938"/>
      <c r="R779" s="1938"/>
      <c r="S779" s="1938">
        <v>20000</v>
      </c>
      <c r="T779" s="1938">
        <v>20000</v>
      </c>
      <c r="U779" s="1938">
        <v>10000</v>
      </c>
      <c r="V779" s="1938"/>
      <c r="W779" s="1938"/>
      <c r="X779" s="5"/>
      <c r="Y779" s="5"/>
      <c r="Z779" s="5"/>
      <c r="AA779" s="2041">
        <f t="shared" si="242"/>
        <v>50000</v>
      </c>
      <c r="AB779" s="34"/>
    </row>
    <row r="780" spans="1:28" x14ac:dyDescent="0.25">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34"/>
    </row>
    <row r="781" spans="1:28" ht="34.5" customHeight="1" x14ac:dyDescent="0.25">
      <c r="A781" s="2040"/>
      <c r="B781" s="1859" t="s">
        <v>8</v>
      </c>
      <c r="C781" s="2911" t="s">
        <v>1349</v>
      </c>
      <c r="D781" s="2912"/>
      <c r="E781" s="2912"/>
      <c r="F781" s="2912"/>
      <c r="G781" s="2912"/>
      <c r="H781" s="2912"/>
      <c r="I781" s="87"/>
      <c r="J781" s="87"/>
      <c r="K781" s="87"/>
      <c r="L781" s="87"/>
      <c r="M781" s="87"/>
      <c r="N781" s="87"/>
      <c r="O781" s="87"/>
      <c r="P781" s="87"/>
      <c r="Q781" s="87"/>
      <c r="R781" s="87"/>
      <c r="S781" s="87"/>
      <c r="T781" s="87"/>
      <c r="U781" s="87"/>
      <c r="V781" s="87"/>
      <c r="W781" s="87"/>
      <c r="X781" s="87"/>
      <c r="Y781" s="87"/>
      <c r="Z781" s="87"/>
      <c r="AA781" s="90"/>
      <c r="AB781" s="34"/>
    </row>
    <row r="782" spans="1:28" ht="29.25" customHeight="1" x14ac:dyDescent="0.25">
      <c r="A782" s="2917" t="s">
        <v>256</v>
      </c>
      <c r="B782" s="1905" t="s">
        <v>11</v>
      </c>
      <c r="C782" s="2184" t="s">
        <v>84</v>
      </c>
      <c r="D782" s="20"/>
      <c r="E782" s="1260"/>
      <c r="F782" s="1260"/>
      <c r="G782" s="1260"/>
      <c r="H782" s="20"/>
      <c r="I782" s="1260"/>
      <c r="J782" s="1260"/>
      <c r="K782" s="1260"/>
      <c r="L782" s="1260"/>
      <c r="M782" s="1260"/>
      <c r="N782" s="1260"/>
      <c r="O782" s="1260"/>
      <c r="P782" s="1260"/>
      <c r="Q782" s="1260"/>
      <c r="R782" s="1260"/>
      <c r="S782" s="1260"/>
      <c r="T782" s="1260"/>
      <c r="U782" s="20"/>
      <c r="V782" s="20"/>
      <c r="W782" s="20"/>
      <c r="X782" s="20"/>
      <c r="Y782" s="20"/>
      <c r="Z782" s="20"/>
      <c r="AA782" s="21"/>
      <c r="AB782" s="34"/>
    </row>
    <row r="783" spans="1:28" x14ac:dyDescent="0.25">
      <c r="A783" s="2917"/>
      <c r="B783" s="2913" t="s">
        <v>13</v>
      </c>
      <c r="C783" s="3017" t="s">
        <v>3579</v>
      </c>
      <c r="D783" s="2918" t="s">
        <v>3576</v>
      </c>
      <c r="E783" s="2919"/>
      <c r="F783" s="2919"/>
      <c r="G783" s="2919"/>
      <c r="H783" s="2919"/>
      <c r="I783" s="2919"/>
      <c r="J783" s="28"/>
      <c r="K783" s="28"/>
      <c r="L783" s="28"/>
      <c r="M783" s="28"/>
      <c r="N783" s="28"/>
      <c r="O783" s="28"/>
      <c r="P783" s="28"/>
      <c r="Q783" s="28"/>
      <c r="R783" s="28"/>
      <c r="S783" s="28"/>
      <c r="T783" s="28"/>
      <c r="U783" s="29"/>
      <c r="V783" s="2922" t="s">
        <v>15</v>
      </c>
      <c r="W783" s="2922"/>
      <c r="X783" s="2922"/>
      <c r="Y783" s="2922"/>
      <c r="Z783" s="2922" t="s">
        <v>16</v>
      </c>
      <c r="AA783" s="2922"/>
      <c r="AB783" s="34"/>
    </row>
    <row r="784" spans="1:28" x14ac:dyDescent="0.25">
      <c r="A784" s="2917"/>
      <c r="B784" s="2913"/>
      <c r="C784" s="3018"/>
      <c r="D784" s="2920"/>
      <c r="E784" s="2921"/>
      <c r="F784" s="2921"/>
      <c r="G784" s="2921"/>
      <c r="H784" s="2921"/>
      <c r="I784" s="2921"/>
      <c r="J784" s="31"/>
      <c r="K784" s="31"/>
      <c r="L784" s="31"/>
      <c r="M784" s="31"/>
      <c r="N784" s="31"/>
      <c r="O784" s="31"/>
      <c r="P784" s="31"/>
      <c r="Q784" s="31"/>
      <c r="R784" s="31"/>
      <c r="S784" s="31"/>
      <c r="T784" s="31"/>
      <c r="U784" s="30"/>
      <c r="V784" s="2918" t="s">
        <v>3690</v>
      </c>
      <c r="W784" s="2919"/>
      <c r="X784" s="2919"/>
      <c r="Y784" s="2923"/>
      <c r="Z784" s="3019"/>
      <c r="AA784" s="3020"/>
      <c r="AB784" s="34"/>
    </row>
    <row r="785" spans="1:28" x14ac:dyDescent="0.25">
      <c r="A785" s="2917"/>
      <c r="B785" s="2913" t="s">
        <v>18</v>
      </c>
      <c r="C785" s="3021">
        <v>2159825</v>
      </c>
      <c r="D785" s="2918" t="s">
        <v>3594</v>
      </c>
      <c r="E785" s="2996"/>
      <c r="F785" s="2996"/>
      <c r="G785" s="2996"/>
      <c r="H785" s="2996"/>
      <c r="I785" s="2996"/>
      <c r="J785" s="2996"/>
      <c r="K785" s="2996"/>
      <c r="L785" s="2996"/>
      <c r="M785" s="2996"/>
      <c r="N785" s="2996"/>
      <c r="O785" s="2996"/>
      <c r="P785" s="2996"/>
      <c r="Q785" s="2996"/>
      <c r="R785" s="2996"/>
      <c r="S785" s="28"/>
      <c r="T785" s="28"/>
      <c r="U785" s="29"/>
      <c r="V785" s="2974" t="s">
        <v>15</v>
      </c>
      <c r="W785" s="2975"/>
      <c r="X785" s="2975"/>
      <c r="Y785" s="2976"/>
      <c r="Z785" s="2922" t="s">
        <v>16</v>
      </c>
      <c r="AA785" s="2922"/>
      <c r="AB785" s="34"/>
    </row>
    <row r="786" spans="1:28" x14ac:dyDescent="0.25">
      <c r="A786" s="2917"/>
      <c r="B786" s="2913"/>
      <c r="C786" s="3022"/>
      <c r="D786" s="2997"/>
      <c r="E786" s="2998"/>
      <c r="F786" s="2998"/>
      <c r="G786" s="2998"/>
      <c r="H786" s="2998"/>
      <c r="I786" s="2998"/>
      <c r="J786" s="2998"/>
      <c r="K786" s="2998"/>
      <c r="L786" s="2998"/>
      <c r="M786" s="2998"/>
      <c r="N786" s="2998"/>
      <c r="O786" s="2998"/>
      <c r="P786" s="2998"/>
      <c r="Q786" s="2998"/>
      <c r="R786" s="2998"/>
      <c r="S786" s="31"/>
      <c r="T786" s="31"/>
      <c r="U786" s="22"/>
      <c r="V786" s="2671" t="s">
        <v>3428</v>
      </c>
      <c r="W786" s="2672"/>
      <c r="X786" s="2672"/>
      <c r="Y786" s="3002"/>
      <c r="Z786" s="2922" t="s">
        <v>61</v>
      </c>
      <c r="AA786" s="2922"/>
      <c r="AB786" s="34"/>
    </row>
    <row r="787" spans="1:28" x14ac:dyDescent="0.25">
      <c r="A787" s="2917"/>
      <c r="B787" s="2984" t="s">
        <v>20</v>
      </c>
      <c r="C787" s="2847" t="s">
        <v>21</v>
      </c>
      <c r="D787" s="2847" t="s">
        <v>22</v>
      </c>
      <c r="E787" s="2847" t="s">
        <v>23</v>
      </c>
      <c r="F787" s="2847" t="s">
        <v>24</v>
      </c>
      <c r="G787" s="2847" t="s">
        <v>25</v>
      </c>
      <c r="H787" s="2847" t="s">
        <v>26</v>
      </c>
      <c r="I787" s="2847" t="s">
        <v>27</v>
      </c>
      <c r="J787" s="2986" t="s">
        <v>28</v>
      </c>
      <c r="K787" s="2987"/>
      <c r="L787" s="2847" t="s">
        <v>29</v>
      </c>
      <c r="M787" s="2986" t="s">
        <v>30</v>
      </c>
      <c r="N787" s="2987"/>
      <c r="O787" s="2990" t="s">
        <v>31</v>
      </c>
      <c r="P787" s="2991"/>
      <c r="Q787" s="2991"/>
      <c r="R787" s="2991"/>
      <c r="S787" s="2991"/>
      <c r="T787" s="2991"/>
      <c r="U787" s="2991"/>
      <c r="V787" s="2991"/>
      <c r="W787" s="2991"/>
      <c r="X787" s="2991"/>
      <c r="Y787" s="2991"/>
      <c r="Z787" s="2992"/>
      <c r="AA787" s="2916" t="s">
        <v>32</v>
      </c>
      <c r="AB787" s="34"/>
    </row>
    <row r="788" spans="1:28" ht="26.25" customHeight="1" x14ac:dyDescent="0.25">
      <c r="A788" s="2917"/>
      <c r="B788" s="2985"/>
      <c r="C788" s="2847"/>
      <c r="D788" s="2847"/>
      <c r="E788" s="2847"/>
      <c r="F788" s="2847"/>
      <c r="G788" s="2847"/>
      <c r="H788" s="2847"/>
      <c r="I788" s="2847"/>
      <c r="J788" s="1911" t="s">
        <v>33</v>
      </c>
      <c r="K788" s="1911" t="s">
        <v>34</v>
      </c>
      <c r="L788" s="2847"/>
      <c r="M788" s="3000"/>
      <c r="N788" s="3001"/>
      <c r="O788" s="1947" t="s">
        <v>35</v>
      </c>
      <c r="P788" s="1947" t="s">
        <v>36</v>
      </c>
      <c r="Q788" s="1947" t="s">
        <v>37</v>
      </c>
      <c r="R788" s="1947" t="s">
        <v>38</v>
      </c>
      <c r="S788" s="1947" t="s">
        <v>39</v>
      </c>
      <c r="T788" s="1947" t="s">
        <v>40</v>
      </c>
      <c r="U788" s="1947" t="s">
        <v>41</v>
      </c>
      <c r="V788" s="1947" t="s">
        <v>42</v>
      </c>
      <c r="W788" s="1947" t="s">
        <v>43</v>
      </c>
      <c r="X788" s="1947" t="s">
        <v>44</v>
      </c>
      <c r="Y788" s="1947" t="s">
        <v>45</v>
      </c>
      <c r="Z788" s="1947" t="s">
        <v>46</v>
      </c>
      <c r="AA788" s="2916"/>
      <c r="AB788" s="34"/>
    </row>
    <row r="789" spans="1:28" ht="23.25" customHeight="1" x14ac:dyDescent="0.25">
      <c r="A789" s="2917"/>
      <c r="B789" s="3003" t="s">
        <v>3581</v>
      </c>
      <c r="C789" s="2480" t="s">
        <v>3582</v>
      </c>
      <c r="D789" s="2335" t="s">
        <v>3595</v>
      </c>
      <c r="E789" s="2949">
        <v>10</v>
      </c>
      <c r="F789" s="2935" t="s">
        <v>1967</v>
      </c>
      <c r="G789" s="2935" t="s">
        <v>1968</v>
      </c>
      <c r="H789" s="2514" t="s">
        <v>3583</v>
      </c>
      <c r="I789" s="2514" t="s">
        <v>3584</v>
      </c>
      <c r="J789" s="2938">
        <v>241</v>
      </c>
      <c r="K789" s="2952">
        <f>+AA790</f>
        <v>2408630.0300000003</v>
      </c>
      <c r="L789" s="2514" t="s">
        <v>3596</v>
      </c>
      <c r="M789" s="2671" t="s">
        <v>51</v>
      </c>
      <c r="N789" s="2672"/>
      <c r="O789" s="1912"/>
      <c r="P789" s="1912"/>
      <c r="Q789" s="1912"/>
      <c r="R789" s="1912"/>
      <c r="S789" s="1912"/>
      <c r="T789" s="1912"/>
      <c r="U789" s="1912"/>
      <c r="V789" s="1912"/>
      <c r="W789" s="1912">
        <v>241</v>
      </c>
      <c r="X789" s="1912"/>
      <c r="Y789" s="1912"/>
      <c r="Z789" s="1912"/>
      <c r="AA789" s="1912">
        <f>SUM(O789:Z789)</f>
        <v>241</v>
      </c>
      <c r="AB789" s="34"/>
    </row>
    <row r="790" spans="1:28" x14ac:dyDescent="0.25">
      <c r="A790" s="2917"/>
      <c r="B790" s="3004"/>
      <c r="C790" s="2481"/>
      <c r="D790" s="3006"/>
      <c r="E790" s="2950"/>
      <c r="F790" s="2936"/>
      <c r="G790" s="2936"/>
      <c r="H790" s="2515"/>
      <c r="I790" s="2515"/>
      <c r="J790" s="2939"/>
      <c r="K790" s="2953"/>
      <c r="L790" s="2955"/>
      <c r="M790" s="2671" t="s">
        <v>111</v>
      </c>
      <c r="N790" s="2672"/>
      <c r="O790" s="1946">
        <f>SUM(O791:O793)</f>
        <v>0</v>
      </c>
      <c r="P790" s="1946">
        <f t="shared" ref="P790:Z790" si="243">SUM(P791:P793)</f>
        <v>0</v>
      </c>
      <c r="Q790" s="1946">
        <f t="shared" si="243"/>
        <v>0</v>
      </c>
      <c r="R790" s="1946">
        <f t="shared" si="243"/>
        <v>724096.98</v>
      </c>
      <c r="S790" s="1946">
        <f t="shared" si="243"/>
        <v>701348.46</v>
      </c>
      <c r="T790" s="1946">
        <f t="shared" si="243"/>
        <v>427750.81</v>
      </c>
      <c r="U790" s="1946">
        <f t="shared" si="243"/>
        <v>540493.78</v>
      </c>
      <c r="V790" s="1946">
        <f t="shared" si="243"/>
        <v>14940</v>
      </c>
      <c r="W790" s="1946">
        <f t="shared" si="243"/>
        <v>0</v>
      </c>
      <c r="X790" s="1946">
        <f t="shared" si="243"/>
        <v>0</v>
      </c>
      <c r="Y790" s="1946">
        <f t="shared" si="243"/>
        <v>0</v>
      </c>
      <c r="Z790" s="1946">
        <f t="shared" si="243"/>
        <v>0</v>
      </c>
      <c r="AA790" s="1940">
        <f>SUM(O790:Z790)</f>
        <v>2408630.0300000003</v>
      </c>
      <c r="AB790" s="34"/>
    </row>
    <row r="791" spans="1:28" ht="45" x14ac:dyDescent="0.25">
      <c r="A791" s="2917"/>
      <c r="B791" s="3004"/>
      <c r="C791" s="2481"/>
      <c r="D791" s="3006"/>
      <c r="E791" s="2950"/>
      <c r="F791" s="2936"/>
      <c r="G791" s="2936"/>
      <c r="H791" s="2515"/>
      <c r="I791" s="2515"/>
      <c r="J791" s="2939"/>
      <c r="K791" s="2953"/>
      <c r="L791" s="2955"/>
      <c r="M791" s="1923" t="s">
        <v>3585</v>
      </c>
      <c r="N791" s="1908" t="s">
        <v>266</v>
      </c>
      <c r="O791" s="1936"/>
      <c r="P791" s="1936"/>
      <c r="Q791" s="1936"/>
      <c r="R791" s="1936"/>
      <c r="S791" s="1936"/>
      <c r="T791" s="1936"/>
      <c r="U791" s="1936"/>
      <c r="V791" s="1936"/>
      <c r="W791" s="1936"/>
      <c r="X791" s="1936"/>
      <c r="Y791" s="1936"/>
      <c r="Z791" s="1936"/>
      <c r="AA791" s="1912">
        <f t="shared" ref="AA791:AA793" si="244">SUM(O791:Z791)</f>
        <v>0</v>
      </c>
      <c r="AB791" s="34"/>
    </row>
    <row r="792" spans="1:28" ht="45" x14ac:dyDescent="0.25">
      <c r="A792" s="2917"/>
      <c r="B792" s="3004"/>
      <c r="C792" s="2481"/>
      <c r="D792" s="3006"/>
      <c r="E792" s="2950"/>
      <c r="F792" s="2936"/>
      <c r="G792" s="2936"/>
      <c r="H792" s="2515"/>
      <c r="I792" s="2515"/>
      <c r="J792" s="2939"/>
      <c r="K792" s="2953"/>
      <c r="L792" s="2955"/>
      <c r="M792" s="1923" t="s">
        <v>3586</v>
      </c>
      <c r="N792" s="1908" t="s">
        <v>267</v>
      </c>
      <c r="O792" s="1936"/>
      <c r="P792" s="1938"/>
      <c r="Q792" s="1936"/>
      <c r="R792" s="1936"/>
      <c r="S792" s="1936"/>
      <c r="T792" s="1936"/>
      <c r="U792" s="1936"/>
      <c r="V792" s="1936"/>
      <c r="W792" s="1936"/>
      <c r="X792" s="1936"/>
      <c r="Y792" s="1936"/>
      <c r="Z792" s="1936"/>
      <c r="AA792" s="1912">
        <f t="shared" si="244"/>
        <v>0</v>
      </c>
      <c r="AB792" s="34"/>
    </row>
    <row r="793" spans="1:28" ht="57" customHeight="1" x14ac:dyDescent="0.25">
      <c r="A793" s="2917"/>
      <c r="B793" s="3005"/>
      <c r="C793" s="2482"/>
      <c r="D793" s="2336"/>
      <c r="E793" s="2951"/>
      <c r="F793" s="2937"/>
      <c r="G793" s="2937"/>
      <c r="H793" s="2516"/>
      <c r="I793" s="2516"/>
      <c r="J793" s="2940"/>
      <c r="K793" s="2954"/>
      <c r="L793" s="2956"/>
      <c r="M793" s="1927" t="s">
        <v>3587</v>
      </c>
      <c r="N793" s="1923" t="s">
        <v>268</v>
      </c>
      <c r="O793" s="1938"/>
      <c r="P793" s="1938"/>
      <c r="Q793" s="1938"/>
      <c r="R793" s="2043">
        <v>724096.98</v>
      </c>
      <c r="S793" s="2208">
        <v>701348.46</v>
      </c>
      <c r="T793" s="2043">
        <v>427750.81</v>
      </c>
      <c r="U793" s="2045">
        <v>540493.78</v>
      </c>
      <c r="V793" s="2043">
        <v>14940</v>
      </c>
      <c r="W793" s="1938"/>
      <c r="X793" s="1938"/>
      <c r="Y793" s="1938"/>
      <c r="Z793" s="1938"/>
      <c r="AA793" s="1940">
        <f t="shared" si="244"/>
        <v>2408630.0300000003</v>
      </c>
      <c r="AB793" s="34"/>
    </row>
    <row r="794" spans="1:28" ht="8.25" customHeight="1" x14ac:dyDescent="0.25">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34"/>
    </row>
    <row r="795" spans="1:28" ht="27" customHeight="1" x14ac:dyDescent="0.25">
      <c r="A795" s="1919"/>
      <c r="B795" s="1859" t="s">
        <v>8</v>
      </c>
      <c r="C795" s="1902" t="s">
        <v>1349</v>
      </c>
      <c r="D795" s="1861"/>
      <c r="E795" s="87"/>
      <c r="F795" s="87"/>
      <c r="G795" s="87"/>
      <c r="H795" s="87"/>
      <c r="I795" s="87"/>
      <c r="J795" s="87"/>
      <c r="K795" s="87"/>
      <c r="L795" s="87"/>
      <c r="M795" s="87"/>
      <c r="N795" s="87"/>
      <c r="O795" s="87"/>
      <c r="P795" s="87"/>
      <c r="Q795" s="87"/>
      <c r="R795" s="87"/>
      <c r="S795" s="87"/>
      <c r="T795" s="87"/>
      <c r="U795" s="87"/>
      <c r="V795" s="87"/>
      <c r="W795" s="87"/>
      <c r="X795" s="87"/>
      <c r="Y795" s="87"/>
      <c r="Z795" s="87"/>
      <c r="AA795" s="90"/>
      <c r="AB795" s="34"/>
    </row>
    <row r="796" spans="1:28" ht="26.25" customHeight="1" x14ac:dyDescent="0.25">
      <c r="A796" s="2917" t="s">
        <v>256</v>
      </c>
      <c r="B796" s="1905" t="s">
        <v>11</v>
      </c>
      <c r="C796" s="2184" t="s">
        <v>84</v>
      </c>
      <c r="D796" s="20"/>
      <c r="E796" s="1260"/>
      <c r="F796" s="1260"/>
      <c r="G796" s="1260"/>
      <c r="H796" s="20"/>
      <c r="I796" s="1260"/>
      <c r="J796" s="1260"/>
      <c r="K796" s="1260"/>
      <c r="L796" s="1260"/>
      <c r="M796" s="1260"/>
      <c r="N796" s="1260"/>
      <c r="O796" s="1260"/>
      <c r="P796" s="1260"/>
      <c r="Q796" s="1260"/>
      <c r="R796" s="1260"/>
      <c r="S796" s="1260"/>
      <c r="T796" s="1260"/>
      <c r="U796" s="20"/>
      <c r="V796" s="20"/>
      <c r="W796" s="20"/>
      <c r="X796" s="20"/>
      <c r="Y796" s="20"/>
      <c r="Z796" s="20"/>
      <c r="AA796" s="21"/>
      <c r="AB796" s="34"/>
    </row>
    <row r="797" spans="1:28" ht="12.75" customHeight="1" x14ac:dyDescent="0.25">
      <c r="A797" s="2917"/>
      <c r="B797" s="2913" t="s">
        <v>13</v>
      </c>
      <c r="C797" s="3019" t="s">
        <v>3691</v>
      </c>
      <c r="E797" s="686"/>
      <c r="F797" s="686"/>
      <c r="G797" s="686"/>
      <c r="H797" s="686"/>
      <c r="I797" s="686"/>
      <c r="J797" s="28"/>
      <c r="K797" s="28"/>
      <c r="L797" s="28"/>
      <c r="M797" s="28"/>
      <c r="N797" s="28"/>
      <c r="O797" s="28"/>
      <c r="P797" s="28"/>
      <c r="Q797" s="28"/>
      <c r="R797" s="28"/>
      <c r="S797" s="28"/>
      <c r="T797" s="28"/>
      <c r="U797" s="29"/>
      <c r="V797" s="2922" t="s">
        <v>15</v>
      </c>
      <c r="W797" s="2922"/>
      <c r="X797" s="2922"/>
      <c r="Y797" s="2922"/>
      <c r="Z797" s="2922" t="s">
        <v>16</v>
      </c>
      <c r="AA797" s="2922"/>
      <c r="AB797" s="34"/>
    </row>
    <row r="798" spans="1:28" ht="34.5" customHeight="1" x14ac:dyDescent="0.25">
      <c r="A798" s="2917"/>
      <c r="B798" s="2913"/>
      <c r="C798" s="3023"/>
      <c r="E798" s="688"/>
      <c r="F798" s="688"/>
      <c r="G798" s="688"/>
      <c r="H798" s="688"/>
      <c r="I798" s="688"/>
      <c r="J798" s="31"/>
      <c r="K798" s="31"/>
      <c r="L798" s="31"/>
      <c r="M798" s="31"/>
      <c r="N798" s="31"/>
      <c r="O798" s="31"/>
      <c r="P798" s="31"/>
      <c r="Q798" s="31"/>
      <c r="R798" s="31"/>
      <c r="S798" s="31"/>
      <c r="T798" s="31"/>
      <c r="U798" s="30"/>
      <c r="V798" s="2918" t="s">
        <v>3690</v>
      </c>
      <c r="W798" s="2919"/>
      <c r="X798" s="2919"/>
      <c r="Y798" s="2923"/>
      <c r="Z798" s="3019"/>
      <c r="AA798" s="3020"/>
      <c r="AB798" s="34"/>
    </row>
    <row r="799" spans="1:28" ht="18" customHeight="1" x14ac:dyDescent="0.25">
      <c r="A799" s="2917"/>
      <c r="B799" s="2913" t="s">
        <v>18</v>
      </c>
      <c r="C799" s="2922" t="s">
        <v>3692</v>
      </c>
      <c r="D799" s="2209"/>
      <c r="E799" s="2185"/>
      <c r="F799" s="2185"/>
      <c r="G799" s="2185"/>
      <c r="H799" s="2185"/>
      <c r="I799" s="2185"/>
      <c r="J799" s="2185"/>
      <c r="K799" s="2185"/>
      <c r="L799" s="2185"/>
      <c r="M799" s="2185"/>
      <c r="N799" s="2185"/>
      <c r="O799" s="2185"/>
      <c r="P799" s="2185"/>
      <c r="Q799" s="2185"/>
      <c r="R799" s="2185"/>
      <c r="S799" s="28"/>
      <c r="T799" s="28"/>
      <c r="U799" s="29"/>
      <c r="V799" s="2974" t="s">
        <v>15</v>
      </c>
      <c r="W799" s="2975"/>
      <c r="X799" s="2975"/>
      <c r="Y799" s="2976"/>
      <c r="Z799" s="2922" t="s">
        <v>16</v>
      </c>
      <c r="AA799" s="2922"/>
      <c r="AB799" s="34"/>
    </row>
    <row r="800" spans="1:28" ht="28.5" customHeight="1" x14ac:dyDescent="0.25">
      <c r="A800" s="2917"/>
      <c r="B800" s="2913"/>
      <c r="C800" s="2922"/>
      <c r="D800" s="2186"/>
      <c r="E800" s="2186"/>
      <c r="F800" s="2186"/>
      <c r="G800" s="2186"/>
      <c r="H800" s="2186"/>
      <c r="I800" s="2186"/>
      <c r="J800" s="2186"/>
      <c r="K800" s="2186"/>
      <c r="L800" s="2186"/>
      <c r="M800" s="2186"/>
      <c r="N800" s="2186"/>
      <c r="O800" s="2186"/>
      <c r="P800" s="2186"/>
      <c r="Q800" s="2186"/>
      <c r="R800" s="2186"/>
      <c r="S800" s="31"/>
      <c r="T800" s="31"/>
      <c r="U800" s="22"/>
      <c r="V800" s="2671" t="s">
        <v>3428</v>
      </c>
      <c r="W800" s="2672"/>
      <c r="X800" s="2672"/>
      <c r="Y800" s="3002"/>
      <c r="Z800" s="2922" t="s">
        <v>61</v>
      </c>
      <c r="AA800" s="2922"/>
      <c r="AB800" s="34"/>
    </row>
    <row r="801" spans="1:28" x14ac:dyDescent="0.25">
      <c r="A801" s="2917"/>
      <c r="B801" s="2984" t="s">
        <v>20</v>
      </c>
      <c r="C801" s="2847" t="s">
        <v>21</v>
      </c>
      <c r="D801" s="2847" t="s">
        <v>22</v>
      </c>
      <c r="E801" s="2847" t="s">
        <v>23</v>
      </c>
      <c r="F801" s="2847" t="s">
        <v>24</v>
      </c>
      <c r="G801" s="2847" t="s">
        <v>25</v>
      </c>
      <c r="H801" s="2847" t="s">
        <v>26</v>
      </c>
      <c r="I801" s="2847" t="s">
        <v>27</v>
      </c>
      <c r="J801" s="2986" t="s">
        <v>28</v>
      </c>
      <c r="K801" s="2987"/>
      <c r="L801" s="2847" t="s">
        <v>29</v>
      </c>
      <c r="M801" s="2986" t="s">
        <v>30</v>
      </c>
      <c r="N801" s="2987"/>
      <c r="O801" s="2990" t="s">
        <v>31</v>
      </c>
      <c r="P801" s="2991"/>
      <c r="Q801" s="2991"/>
      <c r="R801" s="2991"/>
      <c r="S801" s="2991"/>
      <c r="T801" s="2991"/>
      <c r="U801" s="2991"/>
      <c r="V801" s="2991"/>
      <c r="W801" s="2991"/>
      <c r="X801" s="2991"/>
      <c r="Y801" s="2991"/>
      <c r="Z801" s="2992"/>
      <c r="AA801" s="2916" t="s">
        <v>32</v>
      </c>
      <c r="AB801" s="34"/>
    </row>
    <row r="802" spans="1:28" x14ac:dyDescent="0.25">
      <c r="A802" s="2917"/>
      <c r="B802" s="2985"/>
      <c r="C802" s="2847"/>
      <c r="D802" s="2847"/>
      <c r="E802" s="2847"/>
      <c r="F802" s="2847"/>
      <c r="G802" s="2847"/>
      <c r="H802" s="2847"/>
      <c r="I802" s="2847"/>
      <c r="J802" s="1911" t="s">
        <v>33</v>
      </c>
      <c r="K802" s="1911" t="s">
        <v>34</v>
      </c>
      <c r="L802" s="2847"/>
      <c r="M802" s="3000"/>
      <c r="N802" s="3001"/>
      <c r="O802" s="1947" t="s">
        <v>35</v>
      </c>
      <c r="P802" s="1947" t="s">
        <v>36</v>
      </c>
      <c r="Q802" s="1947" t="s">
        <v>37</v>
      </c>
      <c r="R802" s="1947" t="s">
        <v>38</v>
      </c>
      <c r="S802" s="1947" t="s">
        <v>39</v>
      </c>
      <c r="T802" s="1947" t="s">
        <v>40</v>
      </c>
      <c r="U802" s="1947" t="s">
        <v>41</v>
      </c>
      <c r="V802" s="1947" t="s">
        <v>42</v>
      </c>
      <c r="W802" s="1947" t="s">
        <v>43</v>
      </c>
      <c r="X802" s="1947" t="s">
        <v>44</v>
      </c>
      <c r="Y802" s="1947" t="s">
        <v>45</v>
      </c>
      <c r="Z802" s="1947" t="s">
        <v>46</v>
      </c>
      <c r="AA802" s="2916"/>
      <c r="AB802" s="34"/>
    </row>
    <row r="803" spans="1:28" ht="14.25" customHeight="1" x14ac:dyDescent="0.25">
      <c r="A803" s="2917"/>
      <c r="B803" s="3024" t="s">
        <v>3581</v>
      </c>
      <c r="C803" s="3027"/>
      <c r="D803" s="3029" t="s">
        <v>3693</v>
      </c>
      <c r="E803" s="3030"/>
      <c r="F803" s="3030"/>
      <c r="G803" s="3030"/>
      <c r="H803" s="3030"/>
      <c r="I803" s="3030"/>
      <c r="J803" s="3030"/>
      <c r="K803" s="3030"/>
      <c r="L803" s="3031"/>
      <c r="M803" s="2671" t="s">
        <v>51</v>
      </c>
      <c r="N803" s="2672"/>
      <c r="O803" s="1912"/>
      <c r="P803" s="1912"/>
      <c r="Q803" s="1912"/>
      <c r="R803" s="1912"/>
      <c r="S803" s="1912"/>
      <c r="T803" s="1912"/>
      <c r="U803" s="1912">
        <v>0</v>
      </c>
      <c r="V803" s="1912"/>
      <c r="W803" s="1912"/>
      <c r="X803" s="1912"/>
      <c r="Y803" s="1912"/>
      <c r="Z803" s="1912"/>
      <c r="AA803" s="1912">
        <f>SUM(O803:Z803)</f>
        <v>0</v>
      </c>
      <c r="AB803" s="34"/>
    </row>
    <row r="804" spans="1:28" ht="15.75" customHeight="1" x14ac:dyDescent="0.25">
      <c r="A804" s="2917"/>
      <c r="B804" s="3025"/>
      <c r="C804" s="3028"/>
      <c r="D804" s="3032"/>
      <c r="E804" s="3033"/>
      <c r="F804" s="3033"/>
      <c r="G804" s="3033"/>
      <c r="H804" s="3033"/>
      <c r="I804" s="3033"/>
      <c r="J804" s="3033"/>
      <c r="K804" s="3033"/>
      <c r="L804" s="3034"/>
      <c r="M804" s="2671" t="s">
        <v>111</v>
      </c>
      <c r="N804" s="2672"/>
      <c r="O804" s="1946">
        <f>SUM(O805:O807)</f>
        <v>0</v>
      </c>
      <c r="P804" s="1946">
        <f t="shared" ref="P804:Z804" si="245">SUM(P805:P807)</f>
        <v>0</v>
      </c>
      <c r="Q804" s="1946">
        <f t="shared" si="245"/>
        <v>0</v>
      </c>
      <c r="R804" s="1946">
        <f t="shared" si="245"/>
        <v>0</v>
      </c>
      <c r="S804" s="1946">
        <f t="shared" si="245"/>
        <v>60000</v>
      </c>
      <c r="T804" s="1946">
        <f t="shared" si="245"/>
        <v>60000</v>
      </c>
      <c r="U804" s="1946">
        <f t="shared" si="245"/>
        <v>0</v>
      </c>
      <c r="V804" s="1946">
        <f t="shared" si="245"/>
        <v>0</v>
      </c>
      <c r="W804" s="1946">
        <f t="shared" si="245"/>
        <v>0</v>
      </c>
      <c r="X804" s="1946">
        <f t="shared" si="245"/>
        <v>0</v>
      </c>
      <c r="Y804" s="1946">
        <f t="shared" si="245"/>
        <v>0</v>
      </c>
      <c r="Z804" s="1946">
        <f t="shared" si="245"/>
        <v>0</v>
      </c>
      <c r="AA804" s="92">
        <f>SUM(O804:Z804)</f>
        <v>120000</v>
      </c>
      <c r="AB804" s="34"/>
    </row>
    <row r="805" spans="1:28" ht="45" x14ac:dyDescent="0.25">
      <c r="A805" s="2917"/>
      <c r="B805" s="3025"/>
      <c r="C805" s="3010" t="s">
        <v>3582</v>
      </c>
      <c r="D805" s="2335" t="s">
        <v>3694</v>
      </c>
      <c r="E805" s="2949">
        <v>10</v>
      </c>
      <c r="F805" s="2949" t="s">
        <v>1967</v>
      </c>
      <c r="G805" s="2949" t="s">
        <v>1968</v>
      </c>
      <c r="H805" s="2949" t="s">
        <v>3695</v>
      </c>
      <c r="I805" s="2949" t="s">
        <v>2420</v>
      </c>
      <c r="J805" s="2949" t="s">
        <v>121</v>
      </c>
      <c r="K805" s="3037">
        <f>+AA804</f>
        <v>120000</v>
      </c>
      <c r="L805" s="2949" t="s">
        <v>3696</v>
      </c>
      <c r="M805" s="1923" t="s">
        <v>3585</v>
      </c>
      <c r="N805" s="1908" t="s">
        <v>266</v>
      </c>
      <c r="O805" s="1936"/>
      <c r="P805" s="1936"/>
      <c r="Q805" s="1936"/>
      <c r="R805" s="1936"/>
      <c r="S805" s="1936">
        <v>60000</v>
      </c>
      <c r="T805" s="1936">
        <f>+S805</f>
        <v>60000</v>
      </c>
      <c r="U805" s="1936"/>
      <c r="V805" s="1936"/>
      <c r="W805" s="1936"/>
      <c r="X805" s="1936"/>
      <c r="Y805" s="1936"/>
      <c r="Z805" s="1936"/>
      <c r="AA805" s="368">
        <f t="shared" ref="AA805:AA807" si="246">SUM(O805:Z805)</f>
        <v>120000</v>
      </c>
      <c r="AB805" s="34"/>
    </row>
    <row r="806" spans="1:28" ht="21.75" customHeight="1" x14ac:dyDescent="0.25">
      <c r="A806" s="2917"/>
      <c r="B806" s="3025"/>
      <c r="C806" s="3011"/>
      <c r="D806" s="3006"/>
      <c r="E806" s="2950"/>
      <c r="F806" s="2950"/>
      <c r="G806" s="2950"/>
      <c r="H806" s="2950"/>
      <c r="I806" s="2950"/>
      <c r="J806" s="2950"/>
      <c r="K806" s="2950"/>
      <c r="L806" s="2950"/>
      <c r="M806" s="1923" t="s">
        <v>3586</v>
      </c>
      <c r="N806" s="1908" t="s">
        <v>267</v>
      </c>
      <c r="O806" s="1936"/>
      <c r="P806" s="1938"/>
      <c r="Q806" s="1936"/>
      <c r="R806" s="1936"/>
      <c r="S806" s="1936"/>
      <c r="T806" s="1936"/>
      <c r="U806" s="1936"/>
      <c r="V806" s="1936"/>
      <c r="W806" s="1936"/>
      <c r="X806" s="1936"/>
      <c r="Y806" s="1936"/>
      <c r="Z806" s="1936"/>
      <c r="AA806" s="368">
        <f t="shared" si="246"/>
        <v>0</v>
      </c>
      <c r="AB806" s="34"/>
    </row>
    <row r="807" spans="1:28" ht="48.75" customHeight="1" x14ac:dyDescent="0.25">
      <c r="A807" s="2917"/>
      <c r="B807" s="3026"/>
      <c r="C807" s="3012"/>
      <c r="D807" s="2336"/>
      <c r="E807" s="2951"/>
      <c r="F807" s="2951"/>
      <c r="G807" s="2951"/>
      <c r="H807" s="2951"/>
      <c r="I807" s="2951"/>
      <c r="J807" s="2951"/>
      <c r="K807" s="2951"/>
      <c r="L807" s="2951"/>
      <c r="M807" s="1927" t="s">
        <v>3587</v>
      </c>
      <c r="N807" s="1923" t="s">
        <v>268</v>
      </c>
      <c r="O807" s="1938"/>
      <c r="P807" s="1938"/>
      <c r="Q807" s="1938"/>
      <c r="R807" s="2044"/>
      <c r="S807" s="2044"/>
      <c r="T807" s="2044"/>
      <c r="U807" s="2044"/>
      <c r="V807" s="2044"/>
      <c r="W807" s="1938"/>
      <c r="X807" s="1938"/>
      <c r="Y807" s="1938"/>
      <c r="Z807" s="1938"/>
      <c r="AA807" s="368">
        <f t="shared" si="246"/>
        <v>0</v>
      </c>
      <c r="AB807" s="34"/>
    </row>
    <row r="808" spans="1:28" ht="56.25" x14ac:dyDescent="0.25">
      <c r="A808" s="134"/>
      <c r="B808" s="2945">
        <v>500077</v>
      </c>
      <c r="C808" s="2420" t="s">
        <v>2618</v>
      </c>
      <c r="D808" s="2420" t="s">
        <v>2619</v>
      </c>
      <c r="E808" s="2948">
        <v>10</v>
      </c>
      <c r="F808" s="2948" t="s">
        <v>1362</v>
      </c>
      <c r="G808" s="2948" t="s">
        <v>2620</v>
      </c>
      <c r="H808" s="2941"/>
      <c r="I808" s="2941"/>
      <c r="J808" s="2941"/>
      <c r="K808" s="2942">
        <f>+SUM(AA808:AA849)</f>
        <v>1471285</v>
      </c>
      <c r="L808" s="2944" t="s">
        <v>2545</v>
      </c>
      <c r="M808" s="1826" t="s">
        <v>169</v>
      </c>
      <c r="N808" s="1826" t="s">
        <v>1315</v>
      </c>
      <c r="O808" s="32">
        <v>999</v>
      </c>
      <c r="P808" s="32">
        <v>999.16666666666663</v>
      </c>
      <c r="Q808" s="32">
        <v>999.16666666666663</v>
      </c>
      <c r="R808" s="32">
        <v>999.16666666666663</v>
      </c>
      <c r="S808" s="32">
        <v>999.16666666666663</v>
      </c>
      <c r="T808" s="32">
        <v>999.16666666666663</v>
      </c>
      <c r="U808" s="32">
        <v>999.16666666666663</v>
      </c>
      <c r="V808" s="32">
        <v>999.16666666666663</v>
      </c>
      <c r="W808" s="32">
        <v>999.16666666666663</v>
      </c>
      <c r="X808" s="32">
        <v>999.16666666666663</v>
      </c>
      <c r="Y808" s="32">
        <v>999.16666666666663</v>
      </c>
      <c r="Z808" s="32">
        <v>999.16666666666663</v>
      </c>
      <c r="AA808" s="2218">
        <v>11990</v>
      </c>
      <c r="AB808" s="34"/>
    </row>
    <row r="809" spans="1:28" x14ac:dyDescent="0.25">
      <c r="A809" s="134"/>
      <c r="B809" s="2946"/>
      <c r="C809" s="2420"/>
      <c r="D809" s="2420"/>
      <c r="E809" s="2948"/>
      <c r="F809" s="2948"/>
      <c r="G809" s="2948"/>
      <c r="H809" s="2941"/>
      <c r="I809" s="2941"/>
      <c r="J809" s="2941"/>
      <c r="K809" s="2943"/>
      <c r="L809" s="2944"/>
      <c r="M809" s="1826" t="s">
        <v>2621</v>
      </c>
      <c r="N809" s="1826"/>
      <c r="O809" s="32">
        <v>35500</v>
      </c>
      <c r="P809" s="32">
        <v>35500</v>
      </c>
      <c r="Q809" s="32">
        <v>35500</v>
      </c>
      <c r="R809" s="32">
        <v>35500</v>
      </c>
      <c r="S809" s="32">
        <v>35500</v>
      </c>
      <c r="T809" s="32">
        <v>35500</v>
      </c>
      <c r="U809" s="32">
        <v>35500</v>
      </c>
      <c r="V809" s="32">
        <v>35500</v>
      </c>
      <c r="W809" s="32">
        <v>35500</v>
      </c>
      <c r="X809" s="32">
        <v>35500</v>
      </c>
      <c r="Y809" s="32">
        <v>35500</v>
      </c>
      <c r="Z809" s="32">
        <v>35500</v>
      </c>
      <c r="AA809" s="2218">
        <v>426000</v>
      </c>
      <c r="AB809" s="34"/>
    </row>
    <row r="810" spans="1:28" ht="33.75" x14ac:dyDescent="0.25">
      <c r="A810" s="134"/>
      <c r="B810" s="2946"/>
      <c r="C810" s="2420"/>
      <c r="D810" s="2420"/>
      <c r="E810" s="2948"/>
      <c r="F810" s="2948"/>
      <c r="G810" s="2948"/>
      <c r="H810" s="2941"/>
      <c r="I810" s="2941"/>
      <c r="J810" s="2941"/>
      <c r="K810" s="2943"/>
      <c r="L810" s="2944"/>
      <c r="M810" s="1826" t="s">
        <v>171</v>
      </c>
      <c r="N810" s="1826" t="s">
        <v>1319</v>
      </c>
      <c r="O810" s="32">
        <v>13959</v>
      </c>
      <c r="P810" s="32">
        <v>1394.8333333333333</v>
      </c>
      <c r="Q810" s="32">
        <v>1394.8333333333333</v>
      </c>
      <c r="R810" s="32">
        <v>1394.8333333333333</v>
      </c>
      <c r="S810" s="32">
        <v>1394.8333333333333</v>
      </c>
      <c r="T810" s="32">
        <v>1394.8333333333333</v>
      </c>
      <c r="U810" s="32">
        <v>1394.8333333333333</v>
      </c>
      <c r="V810" s="32">
        <v>1394.8333333333333</v>
      </c>
      <c r="W810" s="32">
        <v>1394.8333333333333</v>
      </c>
      <c r="X810" s="32">
        <v>1394.8333333333333</v>
      </c>
      <c r="Y810" s="32">
        <v>1394.8333333333333</v>
      </c>
      <c r="Z810" s="32">
        <v>1394.8333333333333</v>
      </c>
      <c r="AA810" s="2218">
        <v>16738</v>
      </c>
      <c r="AB810" s="34"/>
    </row>
    <row r="811" spans="1:28" x14ac:dyDescent="0.25">
      <c r="A811" s="134"/>
      <c r="B811" s="2946"/>
      <c r="C811" s="2420"/>
      <c r="D811" s="2420"/>
      <c r="E811" s="2948"/>
      <c r="F811" s="2948"/>
      <c r="G811" s="2948"/>
      <c r="H811" s="2941"/>
      <c r="I811" s="2941"/>
      <c r="J811" s="2941"/>
      <c r="K811" s="2943"/>
      <c r="L811" s="2944"/>
      <c r="M811" s="1826" t="s">
        <v>2622</v>
      </c>
      <c r="N811" s="1826"/>
      <c r="O811" s="32">
        <v>5692</v>
      </c>
      <c r="P811" s="32">
        <v>5691.666666666667</v>
      </c>
      <c r="Q811" s="32">
        <v>5691.666666666667</v>
      </c>
      <c r="R811" s="32">
        <v>5691.666666666667</v>
      </c>
      <c r="S811" s="32">
        <v>5691.666666666667</v>
      </c>
      <c r="T811" s="32">
        <v>5691.666666666667</v>
      </c>
      <c r="U811" s="32">
        <v>5691.666666666667</v>
      </c>
      <c r="V811" s="32">
        <v>5691.666666666667</v>
      </c>
      <c r="W811" s="32">
        <v>5691.666666666667</v>
      </c>
      <c r="X811" s="32">
        <v>5691.666666666667</v>
      </c>
      <c r="Y811" s="32">
        <v>5691.666666666667</v>
      </c>
      <c r="Z811" s="32">
        <v>5691.666666666667</v>
      </c>
      <c r="AA811" s="2218">
        <v>68300</v>
      </c>
      <c r="AB811" s="34"/>
    </row>
    <row r="812" spans="1:28" x14ac:dyDescent="0.25">
      <c r="A812" s="134"/>
      <c r="B812" s="2946"/>
      <c r="C812" s="2420"/>
      <c r="D812" s="2420"/>
      <c r="E812" s="2948"/>
      <c r="F812" s="2948"/>
      <c r="G812" s="2948"/>
      <c r="H812" s="2941"/>
      <c r="I812" s="2941"/>
      <c r="J812" s="2941"/>
      <c r="K812" s="2943"/>
      <c r="L812" s="2944"/>
      <c r="M812" s="1826" t="s">
        <v>172</v>
      </c>
      <c r="N812" s="1826" t="s">
        <v>1321</v>
      </c>
      <c r="O812" s="32">
        <v>5742</v>
      </c>
      <c r="P812" s="32">
        <v>5741.666666666667</v>
      </c>
      <c r="Q812" s="32">
        <v>5741.666666666667</v>
      </c>
      <c r="R812" s="32">
        <v>5741.666666666667</v>
      </c>
      <c r="S812" s="32">
        <v>5741.666666666667</v>
      </c>
      <c r="T812" s="32">
        <v>5741.666666666667</v>
      </c>
      <c r="U812" s="32">
        <v>5741.666666666667</v>
      </c>
      <c r="V812" s="32">
        <v>5741.666666666667</v>
      </c>
      <c r="W812" s="32">
        <v>5741.666666666667</v>
      </c>
      <c r="X812" s="32">
        <v>5741.666666666667</v>
      </c>
      <c r="Y812" s="32">
        <v>5741.666666666667</v>
      </c>
      <c r="Z812" s="32">
        <v>5741.666666666667</v>
      </c>
      <c r="AA812" s="2218">
        <v>68900</v>
      </c>
      <c r="AB812" s="34"/>
    </row>
    <row r="813" spans="1:28" ht="33.75" x14ac:dyDescent="0.25">
      <c r="A813" s="134"/>
      <c r="B813" s="2946"/>
      <c r="C813" s="2420"/>
      <c r="D813" s="2420"/>
      <c r="E813" s="2948"/>
      <c r="F813" s="2948"/>
      <c r="G813" s="2948"/>
      <c r="H813" s="2941"/>
      <c r="I813" s="2941"/>
      <c r="J813" s="2941"/>
      <c r="K813" s="2943"/>
      <c r="L813" s="2944"/>
      <c r="M813" s="1826" t="s">
        <v>174</v>
      </c>
      <c r="N813" s="1826" t="s">
        <v>1323</v>
      </c>
      <c r="O813" s="32">
        <v>700</v>
      </c>
      <c r="P813" s="32">
        <v>700</v>
      </c>
      <c r="Q813" s="32">
        <v>700</v>
      </c>
      <c r="R813" s="32">
        <v>700</v>
      </c>
      <c r="S813" s="32">
        <v>700</v>
      </c>
      <c r="T813" s="32">
        <v>700</v>
      </c>
      <c r="U813" s="32">
        <v>700</v>
      </c>
      <c r="V813" s="32">
        <v>700</v>
      </c>
      <c r="W813" s="32">
        <v>700</v>
      </c>
      <c r="X813" s="32">
        <v>700</v>
      </c>
      <c r="Y813" s="32">
        <v>700</v>
      </c>
      <c r="Z813" s="32">
        <v>700</v>
      </c>
      <c r="AA813" s="2218">
        <v>8400</v>
      </c>
      <c r="AB813" s="34"/>
    </row>
    <row r="814" spans="1:28" ht="22.5" x14ac:dyDescent="0.25">
      <c r="A814" s="134"/>
      <c r="B814" s="2946"/>
      <c r="C814" s="2420"/>
      <c r="D814" s="2420"/>
      <c r="E814" s="2948"/>
      <c r="F814" s="2948"/>
      <c r="G814" s="2948"/>
      <c r="H814" s="2941"/>
      <c r="I814" s="2941"/>
      <c r="J814" s="2941"/>
      <c r="K814" s="2943"/>
      <c r="L814" s="2944"/>
      <c r="M814" s="1826" t="s">
        <v>176</v>
      </c>
      <c r="N814" s="1826" t="s">
        <v>1329</v>
      </c>
      <c r="O814" s="32">
        <v>3161</v>
      </c>
      <c r="P814" s="32">
        <v>3160.75</v>
      </c>
      <c r="Q814" s="32">
        <v>3160.75</v>
      </c>
      <c r="R814" s="32">
        <v>3160.75</v>
      </c>
      <c r="S814" s="32">
        <v>3160.75</v>
      </c>
      <c r="T814" s="32">
        <v>3160.75</v>
      </c>
      <c r="U814" s="32">
        <v>3160.75</v>
      </c>
      <c r="V814" s="32">
        <v>3160.75</v>
      </c>
      <c r="W814" s="32">
        <v>3160.75</v>
      </c>
      <c r="X814" s="32">
        <v>3160.75</v>
      </c>
      <c r="Y814" s="32">
        <v>3160.75</v>
      </c>
      <c r="Z814" s="32">
        <v>3160.75</v>
      </c>
      <c r="AA814" s="2218">
        <v>37929</v>
      </c>
      <c r="AB814" s="34"/>
    </row>
    <row r="815" spans="1:28" ht="45" x14ac:dyDescent="0.25">
      <c r="A815" s="134"/>
      <c r="B815" s="2946"/>
      <c r="C815" s="2420"/>
      <c r="D815" s="2420"/>
      <c r="E815" s="2948"/>
      <c r="F815" s="2948"/>
      <c r="G815" s="2948"/>
      <c r="H815" s="2941"/>
      <c r="I815" s="2941"/>
      <c r="J815" s="2941"/>
      <c r="K815" s="2943"/>
      <c r="L815" s="2944"/>
      <c r="M815" s="307" t="s">
        <v>178</v>
      </c>
      <c r="N815" s="877" t="s">
        <v>2546</v>
      </c>
      <c r="O815" s="118"/>
      <c r="P815" s="118"/>
      <c r="Q815" s="118"/>
      <c r="R815" s="118"/>
      <c r="S815" s="118"/>
      <c r="T815" s="118"/>
      <c r="U815" s="118"/>
      <c r="V815" s="118"/>
      <c r="W815" s="118"/>
      <c r="X815" s="118"/>
      <c r="Y815" s="118"/>
      <c r="Z815" s="118"/>
      <c r="AA815" s="2218">
        <v>20000</v>
      </c>
      <c r="AB815" s="34"/>
    </row>
    <row r="816" spans="1:28" x14ac:dyDescent="0.25">
      <c r="A816" s="134"/>
      <c r="B816" s="2946"/>
      <c r="C816" s="2420"/>
      <c r="D816" s="2420"/>
      <c r="E816" s="2948"/>
      <c r="F816" s="2948"/>
      <c r="G816" s="2948"/>
      <c r="H816" s="2941"/>
      <c r="I816" s="2941"/>
      <c r="J816" s="2941"/>
      <c r="K816" s="2943"/>
      <c r="L816" s="2944"/>
      <c r="M816" s="307" t="s">
        <v>2571</v>
      </c>
      <c r="N816" s="877"/>
      <c r="O816" s="118"/>
      <c r="P816" s="118"/>
      <c r="Q816" s="118"/>
      <c r="R816" s="118"/>
      <c r="S816" s="118"/>
      <c r="T816" s="118"/>
      <c r="U816" s="118"/>
      <c r="V816" s="118"/>
      <c r="W816" s="118"/>
      <c r="X816" s="118"/>
      <c r="Y816" s="118"/>
      <c r="Z816" s="118"/>
      <c r="AA816" s="2218">
        <v>4500</v>
      </c>
      <c r="AB816" s="34"/>
    </row>
    <row r="817" spans="1:28" ht="22.5" x14ac:dyDescent="0.25">
      <c r="A817" s="134"/>
      <c r="B817" s="2946"/>
      <c r="C817" s="2420"/>
      <c r="D817" s="2420"/>
      <c r="E817" s="2948"/>
      <c r="F817" s="2948"/>
      <c r="G817" s="2948"/>
      <c r="H817" s="2941"/>
      <c r="I817" s="2941"/>
      <c r="J817" s="2941"/>
      <c r="K817" s="2943"/>
      <c r="L817" s="2944"/>
      <c r="M817" s="307" t="s">
        <v>213</v>
      </c>
      <c r="N817" s="877" t="s">
        <v>2553</v>
      </c>
      <c r="O817" s="118"/>
      <c r="P817" s="118"/>
      <c r="Q817" s="118"/>
      <c r="R817" s="118"/>
      <c r="S817" s="118"/>
      <c r="T817" s="118"/>
      <c r="U817" s="118"/>
      <c r="V817" s="118"/>
      <c r="W817" s="118"/>
      <c r="X817" s="118"/>
      <c r="Y817" s="118"/>
      <c r="Z817" s="118"/>
      <c r="AA817" s="2218">
        <v>9500</v>
      </c>
      <c r="AB817" s="34"/>
    </row>
    <row r="818" spans="1:28" x14ac:dyDescent="0.25">
      <c r="A818" s="134"/>
      <c r="B818" s="2946"/>
      <c r="C818" s="2420"/>
      <c r="D818" s="2420"/>
      <c r="E818" s="2948"/>
      <c r="F818" s="2948"/>
      <c r="G818" s="2948"/>
      <c r="H818" s="2941"/>
      <c r="I818" s="2941"/>
      <c r="J818" s="2941"/>
      <c r="K818" s="2943"/>
      <c r="L818" s="2944"/>
      <c r="M818" s="307" t="s">
        <v>180</v>
      </c>
      <c r="N818" s="877" t="s">
        <v>2554</v>
      </c>
      <c r="O818" s="118"/>
      <c r="P818" s="118"/>
      <c r="Q818" s="118"/>
      <c r="R818" s="118"/>
      <c r="S818" s="118"/>
      <c r="T818" s="118"/>
      <c r="U818" s="118"/>
      <c r="V818" s="118"/>
      <c r="W818" s="118"/>
      <c r="X818" s="118"/>
      <c r="Y818" s="118"/>
      <c r="Z818" s="118"/>
      <c r="AA818" s="2218">
        <v>23000</v>
      </c>
      <c r="AB818" s="34"/>
    </row>
    <row r="819" spans="1:28" x14ac:dyDescent="0.25">
      <c r="A819" s="134"/>
      <c r="B819" s="2946"/>
      <c r="C819" s="2420"/>
      <c r="D819" s="2420"/>
      <c r="E819" s="2948"/>
      <c r="F819" s="2948"/>
      <c r="G819" s="2948"/>
      <c r="H819" s="2941"/>
      <c r="I819" s="2941"/>
      <c r="J819" s="2941"/>
      <c r="K819" s="2943"/>
      <c r="L819" s="2944"/>
      <c r="M819" s="307" t="s">
        <v>215</v>
      </c>
      <c r="N819" s="877" t="s">
        <v>2555</v>
      </c>
      <c r="O819" s="118"/>
      <c r="P819" s="118"/>
      <c r="Q819" s="118"/>
      <c r="R819" s="118"/>
      <c r="S819" s="118"/>
      <c r="T819" s="118"/>
      <c r="U819" s="118"/>
      <c r="V819" s="118"/>
      <c r="W819" s="118"/>
      <c r="X819" s="118"/>
      <c r="Y819" s="118"/>
      <c r="Z819" s="118"/>
      <c r="AA819" s="2218">
        <v>2200</v>
      </c>
      <c r="AB819" s="34"/>
    </row>
    <row r="820" spans="1:28" x14ac:dyDescent="0.25">
      <c r="A820" s="134"/>
      <c r="B820" s="2946"/>
      <c r="C820" s="2420"/>
      <c r="D820" s="2420"/>
      <c r="E820" s="2948"/>
      <c r="F820" s="2948"/>
      <c r="G820" s="2948"/>
      <c r="H820" s="2941"/>
      <c r="I820" s="2941"/>
      <c r="J820" s="2941"/>
      <c r="K820" s="2943"/>
      <c r="L820" s="2944"/>
      <c r="M820" s="307" t="s">
        <v>182</v>
      </c>
      <c r="N820" s="877" t="s">
        <v>2556</v>
      </c>
      <c r="O820" s="118"/>
      <c r="P820" s="118"/>
      <c r="Q820" s="118"/>
      <c r="R820" s="118"/>
      <c r="S820" s="118"/>
      <c r="T820" s="118"/>
      <c r="U820" s="118"/>
      <c r="V820" s="118"/>
      <c r="W820" s="118"/>
      <c r="X820" s="118"/>
      <c r="Y820" s="118"/>
      <c r="Z820" s="118"/>
      <c r="AA820" s="2218">
        <v>11750</v>
      </c>
      <c r="AB820" s="34"/>
    </row>
    <row r="821" spans="1:28" ht="22.5" x14ac:dyDescent="0.25">
      <c r="A821" s="134"/>
      <c r="B821" s="2946"/>
      <c r="C821" s="2420"/>
      <c r="D821" s="2420"/>
      <c r="E821" s="2948"/>
      <c r="F821" s="2948"/>
      <c r="G821" s="2948"/>
      <c r="H821" s="2941"/>
      <c r="I821" s="2941"/>
      <c r="J821" s="2941"/>
      <c r="K821" s="2943"/>
      <c r="L821" s="2944"/>
      <c r="M821" s="307" t="s">
        <v>184</v>
      </c>
      <c r="N821" s="877" t="s">
        <v>2557</v>
      </c>
      <c r="O821" s="118"/>
      <c r="P821" s="118"/>
      <c r="Q821" s="118"/>
      <c r="R821" s="118"/>
      <c r="S821" s="118"/>
      <c r="T821" s="118"/>
      <c r="U821" s="118"/>
      <c r="V821" s="118"/>
      <c r="W821" s="118"/>
      <c r="X821" s="118"/>
      <c r="Y821" s="118"/>
      <c r="Z821" s="118"/>
      <c r="AA821" s="2218">
        <v>24000</v>
      </c>
      <c r="AB821" s="34"/>
    </row>
    <row r="822" spans="1:28" ht="22.5" x14ac:dyDescent="0.25">
      <c r="A822" s="134"/>
      <c r="B822" s="2946"/>
      <c r="C822" s="2420"/>
      <c r="D822" s="2420"/>
      <c r="E822" s="2948"/>
      <c r="F822" s="2948"/>
      <c r="G822" s="2948"/>
      <c r="H822" s="2941"/>
      <c r="I822" s="2941"/>
      <c r="J822" s="2941"/>
      <c r="K822" s="2943"/>
      <c r="L822" s="2944"/>
      <c r="M822" s="307" t="s">
        <v>186</v>
      </c>
      <c r="N822" s="877" t="s">
        <v>1268</v>
      </c>
      <c r="O822" s="118"/>
      <c r="P822" s="118"/>
      <c r="Q822" s="118"/>
      <c r="R822" s="118"/>
      <c r="S822" s="118"/>
      <c r="T822" s="118"/>
      <c r="U822" s="118"/>
      <c r="V822" s="118"/>
      <c r="W822" s="118"/>
      <c r="X822" s="118"/>
      <c r="Y822" s="118"/>
      <c r="Z822" s="118"/>
      <c r="AA822" s="2218">
        <v>3500</v>
      </c>
      <c r="AB822" s="34"/>
    </row>
    <row r="823" spans="1:28" ht="33.75" x14ac:dyDescent="0.25">
      <c r="A823" s="134"/>
      <c r="B823" s="2946"/>
      <c r="C823" s="2420"/>
      <c r="D823" s="2420"/>
      <c r="E823" s="2948"/>
      <c r="F823" s="2948"/>
      <c r="G823" s="2948"/>
      <c r="H823" s="2941"/>
      <c r="I823" s="2941"/>
      <c r="J823" s="2941"/>
      <c r="K823" s="2943"/>
      <c r="L823" s="2944"/>
      <c r="M823" s="307" t="s">
        <v>1780</v>
      </c>
      <c r="N823" s="877" t="s">
        <v>1270</v>
      </c>
      <c r="O823" s="118"/>
      <c r="P823" s="118"/>
      <c r="Q823" s="118"/>
      <c r="R823" s="118"/>
      <c r="S823" s="118"/>
      <c r="T823" s="118"/>
      <c r="U823" s="118"/>
      <c r="V823" s="118"/>
      <c r="W823" s="118"/>
      <c r="X823" s="118"/>
      <c r="Y823" s="118"/>
      <c r="Z823" s="118"/>
      <c r="AA823" s="2218">
        <v>1100</v>
      </c>
      <c r="AB823" s="34"/>
    </row>
    <row r="824" spans="1:28" x14ac:dyDescent="0.25">
      <c r="A824" s="134"/>
      <c r="B824" s="2946"/>
      <c r="C824" s="2420"/>
      <c r="D824" s="2420"/>
      <c r="E824" s="2948"/>
      <c r="F824" s="2948"/>
      <c r="G824" s="2948"/>
      <c r="H824" s="2941"/>
      <c r="I824" s="2941"/>
      <c r="J824" s="2941"/>
      <c r="K824" s="2943"/>
      <c r="L824" s="2944"/>
      <c r="M824" s="307" t="s">
        <v>217</v>
      </c>
      <c r="N824" s="877" t="s">
        <v>1224</v>
      </c>
      <c r="O824" s="118"/>
      <c r="P824" s="118"/>
      <c r="Q824" s="118"/>
      <c r="R824" s="118"/>
      <c r="S824" s="118"/>
      <c r="T824" s="118"/>
      <c r="U824" s="118"/>
      <c r="V824" s="118"/>
      <c r="W824" s="118"/>
      <c r="X824" s="118"/>
      <c r="Y824" s="118"/>
      <c r="Z824" s="118"/>
      <c r="AA824" s="2218">
        <v>8000</v>
      </c>
      <c r="AB824" s="34"/>
    </row>
    <row r="825" spans="1:28" ht="27" customHeight="1" x14ac:dyDescent="0.25">
      <c r="A825" s="134"/>
      <c r="B825" s="2946"/>
      <c r="C825" s="2420"/>
      <c r="D825" s="2420"/>
      <c r="E825" s="2948"/>
      <c r="F825" s="2948"/>
      <c r="G825" s="2948"/>
      <c r="H825" s="2941"/>
      <c r="I825" s="2941"/>
      <c r="J825" s="2941"/>
      <c r="K825" s="2943"/>
      <c r="L825" s="2944"/>
      <c r="M825" s="307" t="s">
        <v>2623</v>
      </c>
      <c r="N825" s="877" t="s">
        <v>2624</v>
      </c>
      <c r="O825" s="118"/>
      <c r="P825" s="118"/>
      <c r="Q825" s="118"/>
      <c r="R825" s="118"/>
      <c r="S825" s="118"/>
      <c r="T825" s="118"/>
      <c r="U825" s="118"/>
      <c r="V825" s="118"/>
      <c r="W825" s="118"/>
      <c r="X825" s="118"/>
      <c r="Y825" s="118"/>
      <c r="Z825" s="118"/>
      <c r="AA825" s="2218">
        <v>1000</v>
      </c>
      <c r="AB825" s="34"/>
    </row>
    <row r="826" spans="1:28" ht="21" customHeight="1" x14ac:dyDescent="0.25">
      <c r="A826" s="134"/>
      <c r="B826" s="2946"/>
      <c r="C826" s="2420"/>
      <c r="D826" s="2420"/>
      <c r="E826" s="2948"/>
      <c r="F826" s="2948"/>
      <c r="G826" s="2948"/>
      <c r="H826" s="2941"/>
      <c r="I826" s="2941"/>
      <c r="J826" s="2941"/>
      <c r="K826" s="2943"/>
      <c r="L826" s="2944"/>
      <c r="M826" s="307" t="s">
        <v>2574</v>
      </c>
      <c r="N826" s="877" t="s">
        <v>1572</v>
      </c>
      <c r="O826" s="118"/>
      <c r="P826" s="118"/>
      <c r="Q826" s="118"/>
      <c r="R826" s="118"/>
      <c r="S826" s="118"/>
      <c r="T826" s="118"/>
      <c r="U826" s="118"/>
      <c r="V826" s="118"/>
      <c r="W826" s="118"/>
      <c r="X826" s="118"/>
      <c r="Y826" s="118"/>
      <c r="Z826" s="118"/>
      <c r="AA826" s="2218">
        <v>2000</v>
      </c>
      <c r="AB826" s="34"/>
    </row>
    <row r="827" spans="1:28" ht="26.25" customHeight="1" x14ac:dyDescent="0.25">
      <c r="A827" s="134"/>
      <c r="B827" s="2946"/>
      <c r="C827" s="2420"/>
      <c r="D827" s="2420"/>
      <c r="E827" s="2948"/>
      <c r="F827" s="2948"/>
      <c r="G827" s="2948"/>
      <c r="H827" s="2941"/>
      <c r="I827" s="2941"/>
      <c r="J827" s="2941"/>
      <c r="K827" s="2943"/>
      <c r="L827" s="2944"/>
      <c r="M827" s="307" t="s">
        <v>2412</v>
      </c>
      <c r="N827" s="877" t="s">
        <v>2625</v>
      </c>
      <c r="O827" s="118"/>
      <c r="P827" s="118"/>
      <c r="Q827" s="118"/>
      <c r="R827" s="118"/>
      <c r="S827" s="118"/>
      <c r="T827" s="118"/>
      <c r="U827" s="118"/>
      <c r="V827" s="118"/>
      <c r="W827" s="118"/>
      <c r="X827" s="118"/>
      <c r="Y827" s="118"/>
      <c r="Z827" s="118"/>
      <c r="AA827" s="2218">
        <v>3600</v>
      </c>
      <c r="AB827" s="34"/>
    </row>
    <row r="828" spans="1:28" ht="19.5" customHeight="1" x14ac:dyDescent="0.25">
      <c r="A828" s="134"/>
      <c r="B828" s="2946"/>
      <c r="C828" s="2420"/>
      <c r="D828" s="2420"/>
      <c r="E828" s="2948"/>
      <c r="F828" s="2948"/>
      <c r="G828" s="2948"/>
      <c r="H828" s="2941"/>
      <c r="I828" s="2941"/>
      <c r="J828" s="2941"/>
      <c r="K828" s="2943"/>
      <c r="L828" s="2944"/>
      <c r="M828" s="307" t="s">
        <v>190</v>
      </c>
      <c r="N828" s="877" t="s">
        <v>1277</v>
      </c>
      <c r="O828" s="118"/>
      <c r="P828" s="118"/>
      <c r="Q828" s="118"/>
      <c r="R828" s="118"/>
      <c r="S828" s="118"/>
      <c r="T828" s="118"/>
      <c r="U828" s="118"/>
      <c r="V828" s="118"/>
      <c r="W828" s="118"/>
      <c r="X828" s="118"/>
      <c r="Y828" s="118"/>
      <c r="Z828" s="118"/>
      <c r="AA828" s="2218">
        <v>20000</v>
      </c>
      <c r="AB828" s="34"/>
    </row>
    <row r="829" spans="1:28" ht="33.75" x14ac:dyDescent="0.25">
      <c r="A829" s="134"/>
      <c r="B829" s="2946"/>
      <c r="C829" s="2420"/>
      <c r="D829" s="2420"/>
      <c r="E829" s="2948"/>
      <c r="F829" s="2948"/>
      <c r="G829" s="2948"/>
      <c r="H829" s="2941"/>
      <c r="I829" s="2941"/>
      <c r="J829" s="2941"/>
      <c r="K829" s="2943"/>
      <c r="L829" s="2944"/>
      <c r="M829" s="307" t="s">
        <v>541</v>
      </c>
      <c r="N829" s="877" t="s">
        <v>1238</v>
      </c>
      <c r="O829" s="118"/>
      <c r="P829" s="118"/>
      <c r="Q829" s="118"/>
      <c r="R829" s="118"/>
      <c r="S829" s="118"/>
      <c r="T829" s="118"/>
      <c r="U829" s="118"/>
      <c r="V829" s="118"/>
      <c r="W829" s="118"/>
      <c r="X829" s="118"/>
      <c r="Y829" s="118"/>
      <c r="Z829" s="118"/>
      <c r="AA829" s="2218">
        <v>9200</v>
      </c>
      <c r="AB829" s="34"/>
    </row>
    <row r="830" spans="1:28" ht="45" x14ac:dyDescent="0.25">
      <c r="A830" s="134"/>
      <c r="B830" s="2946"/>
      <c r="C830" s="2420"/>
      <c r="D830" s="2420"/>
      <c r="E830" s="2948"/>
      <c r="F830" s="2948"/>
      <c r="G830" s="2948"/>
      <c r="H830" s="2941"/>
      <c r="I830" s="2941"/>
      <c r="J830" s="2941"/>
      <c r="K830" s="2943"/>
      <c r="L830" s="2944"/>
      <c r="M830" s="307" t="s">
        <v>194</v>
      </c>
      <c r="N830" s="877" t="s">
        <v>1240</v>
      </c>
      <c r="O830" s="118"/>
      <c r="P830" s="118"/>
      <c r="Q830" s="118"/>
      <c r="R830" s="118"/>
      <c r="S830" s="118"/>
      <c r="T830" s="118"/>
      <c r="U830" s="118"/>
      <c r="V830" s="118"/>
      <c r="W830" s="118"/>
      <c r="X830" s="118"/>
      <c r="Y830" s="118"/>
      <c r="Z830" s="118"/>
      <c r="AA830" s="2218">
        <v>39646</v>
      </c>
      <c r="AB830" s="34"/>
    </row>
    <row r="831" spans="1:28" ht="45" x14ac:dyDescent="0.25">
      <c r="A831" s="134"/>
      <c r="B831" s="2946"/>
      <c r="C831" s="2420"/>
      <c r="D831" s="2420"/>
      <c r="E831" s="2948"/>
      <c r="F831" s="2948"/>
      <c r="G831" s="2948"/>
      <c r="H831" s="2941"/>
      <c r="I831" s="2941"/>
      <c r="J831" s="2941"/>
      <c r="K831" s="2943"/>
      <c r="L831" s="2944"/>
      <c r="M831" s="307" t="s">
        <v>195</v>
      </c>
      <c r="N831" s="877" t="s">
        <v>1281</v>
      </c>
      <c r="O831" s="118"/>
      <c r="P831" s="118"/>
      <c r="Q831" s="118"/>
      <c r="R831" s="118"/>
      <c r="S831" s="118"/>
      <c r="T831" s="118"/>
      <c r="U831" s="118"/>
      <c r="V831" s="118"/>
      <c r="W831" s="118"/>
      <c r="X831" s="118"/>
      <c r="Y831" s="118"/>
      <c r="Z831" s="118"/>
      <c r="AA831" s="2218">
        <v>3500</v>
      </c>
      <c r="AB831" s="34"/>
    </row>
    <row r="832" spans="1:28" ht="33.75" x14ac:dyDescent="0.25">
      <c r="A832" s="134"/>
      <c r="B832" s="2946"/>
      <c r="C832" s="2420"/>
      <c r="D832" s="2420"/>
      <c r="E832" s="2948"/>
      <c r="F832" s="2948"/>
      <c r="G832" s="2948"/>
      <c r="H832" s="2941"/>
      <c r="I832" s="2941"/>
      <c r="J832" s="2941"/>
      <c r="K832" s="2943"/>
      <c r="L832" s="2944"/>
      <c r="M832" s="307" t="s">
        <v>196</v>
      </c>
      <c r="N832" s="877" t="s">
        <v>1283</v>
      </c>
      <c r="O832" s="118"/>
      <c r="P832" s="118"/>
      <c r="Q832" s="118"/>
      <c r="R832" s="118"/>
      <c r="S832" s="118"/>
      <c r="T832" s="118"/>
      <c r="U832" s="118"/>
      <c r="V832" s="118"/>
      <c r="W832" s="118"/>
      <c r="X832" s="118"/>
      <c r="Y832" s="118"/>
      <c r="Z832" s="118"/>
      <c r="AA832" s="2218">
        <v>820</v>
      </c>
      <c r="AB832" s="34"/>
    </row>
    <row r="833" spans="1:28" ht="22.5" x14ac:dyDescent="0.25">
      <c r="A833" s="134"/>
      <c r="B833" s="2946"/>
      <c r="C833" s="2420"/>
      <c r="D833" s="2420"/>
      <c r="E833" s="2948"/>
      <c r="F833" s="2948"/>
      <c r="G833" s="2948"/>
      <c r="H833" s="2941"/>
      <c r="I833" s="2941"/>
      <c r="J833" s="2941"/>
      <c r="K833" s="2943"/>
      <c r="L833" s="2944"/>
      <c r="M833" s="307" t="s">
        <v>199</v>
      </c>
      <c r="N833" s="877" t="s">
        <v>1287</v>
      </c>
      <c r="O833" s="118"/>
      <c r="P833" s="118"/>
      <c r="Q833" s="118"/>
      <c r="R833" s="118"/>
      <c r="S833" s="118"/>
      <c r="T833" s="118"/>
      <c r="U833" s="118"/>
      <c r="V833" s="118"/>
      <c r="W833" s="118"/>
      <c r="X833" s="118"/>
      <c r="Y833" s="118"/>
      <c r="Z833" s="118"/>
      <c r="AA833" s="2218">
        <v>828</v>
      </c>
      <c r="AB833" s="34"/>
    </row>
    <row r="834" spans="1:28" ht="22.5" x14ac:dyDescent="0.25">
      <c r="A834" s="134"/>
      <c r="B834" s="2946"/>
      <c r="C834" s="2420"/>
      <c r="D834" s="2420"/>
      <c r="E834" s="2948"/>
      <c r="F834" s="2948"/>
      <c r="G834" s="2948"/>
      <c r="H834" s="2941"/>
      <c r="I834" s="2941"/>
      <c r="J834" s="2941"/>
      <c r="K834" s="2943"/>
      <c r="L834" s="2944"/>
      <c r="M834" s="307" t="s">
        <v>2561</v>
      </c>
      <c r="N834" s="877" t="s">
        <v>1289</v>
      </c>
      <c r="O834" s="118"/>
      <c r="P834" s="118"/>
      <c r="Q834" s="118"/>
      <c r="R834" s="118"/>
      <c r="S834" s="118"/>
      <c r="T834" s="118"/>
      <c r="U834" s="118"/>
      <c r="V834" s="118"/>
      <c r="W834" s="118"/>
      <c r="X834" s="118"/>
      <c r="Y834" s="118"/>
      <c r="Z834" s="118"/>
      <c r="AA834" s="2218">
        <v>4500</v>
      </c>
      <c r="AB834" s="34"/>
    </row>
    <row r="835" spans="1:28" ht="33.75" x14ac:dyDescent="0.25">
      <c r="A835" s="134"/>
      <c r="B835" s="2946"/>
      <c r="C835" s="2420"/>
      <c r="D835" s="2420"/>
      <c r="E835" s="2948"/>
      <c r="F835" s="2948"/>
      <c r="G835" s="2948"/>
      <c r="H835" s="2941"/>
      <c r="I835" s="2941"/>
      <c r="J835" s="2941"/>
      <c r="K835" s="2943"/>
      <c r="L835" s="2944"/>
      <c r="M835" s="307" t="s">
        <v>544</v>
      </c>
      <c r="N835" s="877" t="s">
        <v>2626</v>
      </c>
      <c r="O835" s="118"/>
      <c r="P835" s="118"/>
      <c r="Q835" s="118"/>
      <c r="R835" s="118"/>
      <c r="S835" s="118"/>
      <c r="T835" s="118"/>
      <c r="U835" s="118"/>
      <c r="V835" s="118"/>
      <c r="W835" s="118"/>
      <c r="X835" s="118"/>
      <c r="Y835" s="118"/>
      <c r="Z835" s="118"/>
      <c r="AA835" s="2218">
        <v>500</v>
      </c>
      <c r="AB835" s="34"/>
    </row>
    <row r="836" spans="1:28" ht="22.5" x14ac:dyDescent="0.25">
      <c r="A836" s="134"/>
      <c r="B836" s="2946"/>
      <c r="C836" s="2420"/>
      <c r="D836" s="2420"/>
      <c r="E836" s="2948"/>
      <c r="F836" s="2948"/>
      <c r="G836" s="2948"/>
      <c r="H836" s="2941"/>
      <c r="I836" s="2941"/>
      <c r="J836" s="2941"/>
      <c r="K836" s="2943"/>
      <c r="L836" s="2944"/>
      <c r="M836" s="307" t="s">
        <v>1443</v>
      </c>
      <c r="N836" s="877" t="s">
        <v>1252</v>
      </c>
      <c r="O836" s="118"/>
      <c r="P836" s="118"/>
      <c r="Q836" s="118"/>
      <c r="R836" s="118"/>
      <c r="S836" s="118"/>
      <c r="T836" s="118"/>
      <c r="U836" s="118"/>
      <c r="V836" s="118"/>
      <c r="W836" s="118"/>
      <c r="X836" s="118"/>
      <c r="Y836" s="118"/>
      <c r="Z836" s="118"/>
      <c r="AA836" s="2218">
        <v>5000</v>
      </c>
      <c r="AB836" s="34"/>
    </row>
    <row r="837" spans="1:28" ht="45" x14ac:dyDescent="0.25">
      <c r="A837" s="134"/>
      <c r="B837" s="2946"/>
      <c r="C837" s="2420"/>
      <c r="D837" s="2420"/>
      <c r="E837" s="2948"/>
      <c r="F837" s="2948"/>
      <c r="G837" s="2948"/>
      <c r="H837" s="2941"/>
      <c r="I837" s="2941"/>
      <c r="J837" s="2941"/>
      <c r="K837" s="2943"/>
      <c r="L837" s="2944"/>
      <c r="M837" s="307" t="s">
        <v>220</v>
      </c>
      <c r="N837" s="877" t="s">
        <v>1293</v>
      </c>
      <c r="O837" s="118"/>
      <c r="P837" s="118"/>
      <c r="Q837" s="118"/>
      <c r="R837" s="118"/>
      <c r="S837" s="118"/>
      <c r="T837" s="118"/>
      <c r="U837" s="118"/>
      <c r="V837" s="118"/>
      <c r="W837" s="118"/>
      <c r="X837" s="118"/>
      <c r="Y837" s="118"/>
      <c r="Z837" s="118"/>
      <c r="AA837" s="2218">
        <v>6000</v>
      </c>
      <c r="AB837" s="34"/>
    </row>
    <row r="838" spans="1:28" ht="56.25" x14ac:dyDescent="0.25">
      <c r="A838" s="134"/>
      <c r="B838" s="2946"/>
      <c r="C838" s="2420"/>
      <c r="D838" s="2420"/>
      <c r="E838" s="2948"/>
      <c r="F838" s="2948"/>
      <c r="G838" s="2948"/>
      <c r="H838" s="2941"/>
      <c r="I838" s="2941"/>
      <c r="J838" s="2941"/>
      <c r="K838" s="2943"/>
      <c r="L838" s="2944"/>
      <c r="M838" s="307" t="s">
        <v>200</v>
      </c>
      <c r="N838" s="877" t="s">
        <v>1242</v>
      </c>
      <c r="O838" s="118"/>
      <c r="P838" s="118"/>
      <c r="Q838" s="118"/>
      <c r="R838" s="118"/>
      <c r="S838" s="118"/>
      <c r="T838" s="118"/>
      <c r="U838" s="118"/>
      <c r="V838" s="118"/>
      <c r="W838" s="118"/>
      <c r="X838" s="118"/>
      <c r="Y838" s="118"/>
      <c r="Z838" s="118"/>
      <c r="AA838" s="2218">
        <v>15000</v>
      </c>
      <c r="AB838" s="34"/>
    </row>
    <row r="839" spans="1:28" ht="45" x14ac:dyDescent="0.25">
      <c r="A839" s="134"/>
      <c r="B839" s="2946"/>
      <c r="C839" s="2420"/>
      <c r="D839" s="2420"/>
      <c r="E839" s="2948"/>
      <c r="F839" s="2948"/>
      <c r="G839" s="2948"/>
      <c r="H839" s="2941"/>
      <c r="I839" s="2941"/>
      <c r="J839" s="2941"/>
      <c r="K839" s="2943"/>
      <c r="L839" s="2944"/>
      <c r="M839" s="307" t="s">
        <v>226</v>
      </c>
      <c r="N839" s="877" t="s">
        <v>1295</v>
      </c>
      <c r="O839" s="118"/>
      <c r="P839" s="118"/>
      <c r="Q839" s="118"/>
      <c r="R839" s="118"/>
      <c r="S839" s="118"/>
      <c r="T839" s="118"/>
      <c r="U839" s="118"/>
      <c r="V839" s="118"/>
      <c r="W839" s="118"/>
      <c r="X839" s="118"/>
      <c r="Y839" s="118"/>
      <c r="Z839" s="118"/>
      <c r="AA839" s="2218">
        <v>10000</v>
      </c>
      <c r="AB839" s="34"/>
    </row>
    <row r="840" spans="1:28" x14ac:dyDescent="0.25">
      <c r="A840" s="134"/>
      <c r="B840" s="2946"/>
      <c r="C840" s="2420"/>
      <c r="D840" s="2420"/>
      <c r="E840" s="2948"/>
      <c r="F840" s="2948"/>
      <c r="G840" s="2948"/>
      <c r="H840" s="2941"/>
      <c r="I840" s="2941"/>
      <c r="J840" s="2941"/>
      <c r="K840" s="2943"/>
      <c r="L840" s="2944"/>
      <c r="M840" s="307" t="s">
        <v>1001</v>
      </c>
      <c r="N840" s="877" t="s">
        <v>1224</v>
      </c>
      <c r="O840" s="118"/>
      <c r="P840" s="118"/>
      <c r="Q840" s="118"/>
      <c r="R840" s="118"/>
      <c r="S840" s="118"/>
      <c r="T840" s="118"/>
      <c r="U840" s="118"/>
      <c r="V840" s="118"/>
      <c r="W840" s="118"/>
      <c r="X840" s="118"/>
      <c r="Y840" s="118"/>
      <c r="Z840" s="118"/>
      <c r="AA840" s="2218">
        <v>5000</v>
      </c>
      <c r="AB840" s="34"/>
    </row>
    <row r="841" spans="1:28" ht="33.75" x14ac:dyDescent="0.25">
      <c r="A841" s="134"/>
      <c r="B841" s="2946"/>
      <c r="C841" s="2420"/>
      <c r="D841" s="2420"/>
      <c r="E841" s="2948"/>
      <c r="F841" s="2948"/>
      <c r="G841" s="2948"/>
      <c r="H841" s="2941"/>
      <c r="I841" s="2941"/>
      <c r="J841" s="2941"/>
      <c r="K841" s="2943"/>
      <c r="L841" s="2944"/>
      <c r="M841" s="307" t="s">
        <v>228</v>
      </c>
      <c r="N841" s="877" t="s">
        <v>1254</v>
      </c>
      <c r="O841" s="118"/>
      <c r="P841" s="118"/>
      <c r="Q841" s="118"/>
      <c r="R841" s="118"/>
      <c r="S841" s="118"/>
      <c r="T841" s="118"/>
      <c r="U841" s="118"/>
      <c r="V841" s="118"/>
      <c r="W841" s="118"/>
      <c r="X841" s="118"/>
      <c r="Y841" s="118"/>
      <c r="Z841" s="118"/>
      <c r="AA841" s="2218">
        <v>2000</v>
      </c>
      <c r="AB841" s="34"/>
    </row>
    <row r="842" spans="1:28" ht="22.5" x14ac:dyDescent="0.25">
      <c r="A842" s="134"/>
      <c r="B842" s="2946"/>
      <c r="C842" s="2420"/>
      <c r="D842" s="2420"/>
      <c r="E842" s="2948"/>
      <c r="F842" s="2948"/>
      <c r="G842" s="2948"/>
      <c r="H842" s="2941"/>
      <c r="I842" s="2941"/>
      <c r="J842" s="2941"/>
      <c r="K842" s="2943"/>
      <c r="L842" s="2944"/>
      <c r="M842" s="307" t="s">
        <v>1142</v>
      </c>
      <c r="N842" s="877" t="s">
        <v>2627</v>
      </c>
      <c r="O842" s="118"/>
      <c r="P842" s="118"/>
      <c r="Q842" s="118"/>
      <c r="R842" s="118"/>
      <c r="S842" s="118"/>
      <c r="T842" s="118"/>
      <c r="U842" s="118"/>
      <c r="V842" s="118"/>
      <c r="W842" s="118"/>
      <c r="X842" s="118"/>
      <c r="Y842" s="118"/>
      <c r="Z842" s="118"/>
      <c r="AA842" s="2218">
        <v>5200</v>
      </c>
      <c r="AB842" s="34"/>
    </row>
    <row r="843" spans="1:28" ht="22.5" x14ac:dyDescent="0.25">
      <c r="A843" s="134"/>
      <c r="B843" s="2946"/>
      <c r="C843" s="2420"/>
      <c r="D843" s="2420"/>
      <c r="E843" s="2948"/>
      <c r="F843" s="2948"/>
      <c r="G843" s="2948"/>
      <c r="H843" s="2941"/>
      <c r="I843" s="2941"/>
      <c r="J843" s="2941"/>
      <c r="K843" s="2943"/>
      <c r="L843" s="2944"/>
      <c r="M843" s="307" t="s">
        <v>549</v>
      </c>
      <c r="N843" s="877" t="s">
        <v>1226</v>
      </c>
      <c r="O843" s="118"/>
      <c r="P843" s="118"/>
      <c r="Q843" s="118"/>
      <c r="R843" s="118"/>
      <c r="S843" s="118"/>
      <c r="T843" s="118"/>
      <c r="U843" s="118"/>
      <c r="V843" s="118"/>
      <c r="W843" s="118"/>
      <c r="X843" s="118"/>
      <c r="Y843" s="118"/>
      <c r="Z843" s="118"/>
      <c r="AA843" s="2218">
        <v>7000</v>
      </c>
      <c r="AB843" s="34"/>
    </row>
    <row r="844" spans="1:28" x14ac:dyDescent="0.25">
      <c r="A844" s="134"/>
      <c r="B844" s="2946"/>
      <c r="C844" s="2420"/>
      <c r="D844" s="2420"/>
      <c r="E844" s="2948"/>
      <c r="F844" s="2948"/>
      <c r="G844" s="2948"/>
      <c r="H844" s="2941"/>
      <c r="I844" s="2941"/>
      <c r="J844" s="2941"/>
      <c r="K844" s="2943"/>
      <c r="L844" s="2944"/>
      <c r="M844" s="307" t="s">
        <v>1126</v>
      </c>
      <c r="N844" s="877" t="s">
        <v>2565</v>
      </c>
      <c r="O844" s="118"/>
      <c r="P844" s="118"/>
      <c r="Q844" s="118"/>
      <c r="R844" s="118"/>
      <c r="S844" s="118"/>
      <c r="T844" s="118"/>
      <c r="U844" s="118"/>
      <c r="V844" s="118"/>
      <c r="W844" s="118"/>
      <c r="X844" s="118"/>
      <c r="Y844" s="118"/>
      <c r="Z844" s="118"/>
      <c r="AA844" s="2218">
        <v>5500</v>
      </c>
      <c r="AB844" s="34"/>
    </row>
    <row r="845" spans="1:28" ht="22.5" x14ac:dyDescent="0.25">
      <c r="A845" s="134"/>
      <c r="B845" s="2946"/>
      <c r="C845" s="2420"/>
      <c r="D845" s="2420"/>
      <c r="E845" s="2948"/>
      <c r="F845" s="2948"/>
      <c r="G845" s="2948"/>
      <c r="H845" s="2941"/>
      <c r="I845" s="2941"/>
      <c r="J845" s="2941"/>
      <c r="K845" s="2943"/>
      <c r="L845" s="2944"/>
      <c r="M845" s="307" t="s">
        <v>206</v>
      </c>
      <c r="N845" s="877" t="s">
        <v>1262</v>
      </c>
      <c r="O845" s="118"/>
      <c r="P845" s="118"/>
      <c r="Q845" s="118"/>
      <c r="R845" s="118"/>
      <c r="S845" s="118"/>
      <c r="T845" s="118"/>
      <c r="U845" s="118"/>
      <c r="V845" s="118"/>
      <c r="W845" s="118"/>
      <c r="X845" s="118"/>
      <c r="Y845" s="118"/>
      <c r="Z845" s="118"/>
      <c r="AA845" s="2218">
        <v>35038</v>
      </c>
      <c r="AB845" s="34"/>
    </row>
    <row r="846" spans="1:28" ht="25.5" customHeight="1" x14ac:dyDescent="0.25">
      <c r="A846" s="134"/>
      <c r="B846" s="2946"/>
      <c r="C846" s="2420"/>
      <c r="D846" s="2420"/>
      <c r="E846" s="2948"/>
      <c r="F846" s="2948"/>
      <c r="G846" s="2948"/>
      <c r="H846" s="2941"/>
      <c r="I846" s="2941"/>
      <c r="J846" s="2941"/>
      <c r="K846" s="2943"/>
      <c r="L846" s="2944"/>
      <c r="M846" s="307" t="s">
        <v>2628</v>
      </c>
      <c r="N846" s="877" t="s">
        <v>2629</v>
      </c>
      <c r="O846" s="118"/>
      <c r="P846" s="118"/>
      <c r="Q846" s="118"/>
      <c r="R846" s="118"/>
      <c r="S846" s="118"/>
      <c r="T846" s="118"/>
      <c r="U846" s="118"/>
      <c r="V846" s="118"/>
      <c r="W846" s="118"/>
      <c r="X846" s="118"/>
      <c r="Y846" s="118"/>
      <c r="Z846" s="118"/>
      <c r="AA846" s="2218">
        <v>1500</v>
      </c>
      <c r="AB846" s="34"/>
    </row>
    <row r="847" spans="1:28" ht="33.75" x14ac:dyDescent="0.25">
      <c r="A847" s="134"/>
      <c r="B847" s="2946"/>
      <c r="C847" s="2420"/>
      <c r="D847" s="2420"/>
      <c r="E847" s="2948"/>
      <c r="F847" s="2948"/>
      <c r="G847" s="2948"/>
      <c r="H847" s="2941"/>
      <c r="I847" s="2941"/>
      <c r="J847" s="2941"/>
      <c r="K847" s="2943"/>
      <c r="L847" s="2944"/>
      <c r="M847" s="307" t="s">
        <v>203</v>
      </c>
      <c r="N847" s="877" t="s">
        <v>2566</v>
      </c>
      <c r="O847" s="32">
        <v>250</v>
      </c>
      <c r="P847" s="32">
        <v>250</v>
      </c>
      <c r="Q847" s="32">
        <v>250</v>
      </c>
      <c r="R847" s="32">
        <v>250</v>
      </c>
      <c r="S847" s="32">
        <v>250</v>
      </c>
      <c r="T847" s="32">
        <v>250</v>
      </c>
      <c r="U847" s="32">
        <v>250</v>
      </c>
      <c r="V847" s="32">
        <v>250</v>
      </c>
      <c r="W847" s="32">
        <v>250</v>
      </c>
      <c r="X847" s="32">
        <v>250</v>
      </c>
      <c r="Y847" s="32">
        <v>250</v>
      </c>
      <c r="Z847" s="32">
        <v>250</v>
      </c>
      <c r="AA847" s="2218">
        <v>3000</v>
      </c>
      <c r="AB847" s="34"/>
    </row>
    <row r="848" spans="1:28" ht="45" x14ac:dyDescent="0.25">
      <c r="A848" s="134"/>
      <c r="B848" s="2946"/>
      <c r="C848" s="2420"/>
      <c r="D848" s="2420"/>
      <c r="E848" s="2948"/>
      <c r="F848" s="2948"/>
      <c r="G848" s="2948"/>
      <c r="H848" s="2941"/>
      <c r="I848" s="2941"/>
      <c r="J848" s="2941"/>
      <c r="K848" s="2943"/>
      <c r="L848" s="2944"/>
      <c r="M848" s="307" t="s">
        <v>208</v>
      </c>
      <c r="N848" s="877" t="s">
        <v>2567</v>
      </c>
      <c r="O848" s="32">
        <v>42467</v>
      </c>
      <c r="P848" s="32">
        <v>42267</v>
      </c>
      <c r="Q848" s="32">
        <v>42267</v>
      </c>
      <c r="R848" s="32">
        <v>42267</v>
      </c>
      <c r="S848" s="32">
        <v>42267</v>
      </c>
      <c r="T848" s="32">
        <v>42267</v>
      </c>
      <c r="U848" s="32">
        <v>42267</v>
      </c>
      <c r="V848" s="32">
        <v>42267</v>
      </c>
      <c r="W848" s="32">
        <v>42267</v>
      </c>
      <c r="X848" s="32">
        <v>42267</v>
      </c>
      <c r="Y848" s="32">
        <v>42267</v>
      </c>
      <c r="Z848" s="32">
        <v>42267</v>
      </c>
      <c r="AA848" s="2218">
        <v>507204</v>
      </c>
      <c r="AB848" s="34"/>
    </row>
    <row r="849" spans="1:28" ht="33.75" x14ac:dyDescent="0.25">
      <c r="A849" s="134"/>
      <c r="B849" s="2947"/>
      <c r="C849" s="2420"/>
      <c r="D849" s="2420"/>
      <c r="E849" s="2948"/>
      <c r="F849" s="2948"/>
      <c r="G849" s="2948"/>
      <c r="H849" s="2941"/>
      <c r="I849" s="2941"/>
      <c r="J849" s="2941"/>
      <c r="K849" s="2943"/>
      <c r="L849" s="2944"/>
      <c r="M849" s="307" t="s">
        <v>210</v>
      </c>
      <c r="N849" s="877" t="s">
        <v>2568</v>
      </c>
      <c r="O849" s="32">
        <v>2704</v>
      </c>
      <c r="P849" s="32">
        <v>2703.5</v>
      </c>
      <c r="Q849" s="32">
        <v>2703.5</v>
      </c>
      <c r="R849" s="32">
        <v>2703.5</v>
      </c>
      <c r="S849" s="32">
        <v>2703.5</v>
      </c>
      <c r="T849" s="32">
        <v>2703.5</v>
      </c>
      <c r="U849" s="32">
        <v>2703.5</v>
      </c>
      <c r="V849" s="32">
        <v>2703.5</v>
      </c>
      <c r="W849" s="32">
        <v>2703.5</v>
      </c>
      <c r="X849" s="32">
        <v>2703.5</v>
      </c>
      <c r="Y849" s="32">
        <v>2703.5</v>
      </c>
      <c r="Z849" s="32">
        <v>2703.5</v>
      </c>
      <c r="AA849" s="2218">
        <v>32442</v>
      </c>
      <c r="AB849" s="34"/>
    </row>
    <row r="850" spans="1:28" x14ac:dyDescent="0.25">
      <c r="AA850" s="2219"/>
    </row>
    <row r="851" spans="1:28" x14ac:dyDescent="0.25">
      <c r="AA851" s="2219"/>
    </row>
    <row r="852" spans="1:28" x14ac:dyDescent="0.25">
      <c r="AA852" s="2219"/>
    </row>
    <row r="853" spans="1:28" x14ac:dyDescent="0.25">
      <c r="AA853" s="2219"/>
    </row>
    <row r="854" spans="1:28" x14ac:dyDescent="0.25">
      <c r="AA854" s="2219"/>
    </row>
    <row r="855" spans="1:28" x14ac:dyDescent="0.25">
      <c r="AA855" s="2219"/>
    </row>
    <row r="856" spans="1:28" x14ac:dyDescent="0.25">
      <c r="AA856" s="2219"/>
    </row>
    <row r="857" spans="1:28" x14ac:dyDescent="0.25">
      <c r="AA857" s="2219"/>
    </row>
    <row r="858" spans="1:28" x14ac:dyDescent="0.25">
      <c r="AA858" s="2219"/>
    </row>
  </sheetData>
  <mergeCells count="1983">
    <mergeCell ref="Z580:AA580"/>
    <mergeCell ref="Z581:AA581"/>
    <mergeCell ref="Z582:AA582"/>
    <mergeCell ref="C583:D583"/>
    <mergeCell ref="M804:N804"/>
    <mergeCell ref="C805:C807"/>
    <mergeCell ref="D805:D807"/>
    <mergeCell ref="E805:E807"/>
    <mergeCell ref="F805:F807"/>
    <mergeCell ref="G805:G807"/>
    <mergeCell ref="H805:H807"/>
    <mergeCell ref="I805:I807"/>
    <mergeCell ref="J805:J807"/>
    <mergeCell ref="K805:K807"/>
    <mergeCell ref="L805:L807"/>
    <mergeCell ref="C580:Q580"/>
    <mergeCell ref="C581:L581"/>
    <mergeCell ref="C582:I582"/>
    <mergeCell ref="D687:D689"/>
    <mergeCell ref="V755:Y755"/>
    <mergeCell ref="Z755:AA755"/>
    <mergeCell ref="V756:Y756"/>
    <mergeCell ref="Z756:AA756"/>
    <mergeCell ref="H730:H737"/>
    <mergeCell ref="I730:I737"/>
    <mergeCell ref="Z742:AA742"/>
    <mergeCell ref="M714:N714"/>
    <mergeCell ref="M715:N715"/>
    <mergeCell ref="A721:Y721"/>
    <mergeCell ref="C722:H722"/>
    <mergeCell ref="A723:A737"/>
    <mergeCell ref="C723:E723"/>
    <mergeCell ref="A796:A807"/>
    <mergeCell ref="B797:B798"/>
    <mergeCell ref="C797:C798"/>
    <mergeCell ref="V797:Y797"/>
    <mergeCell ref="Z797:AA797"/>
    <mergeCell ref="V798:Y798"/>
    <mergeCell ref="Z798:AA798"/>
    <mergeCell ref="B799:B800"/>
    <mergeCell ref="C799:C800"/>
    <mergeCell ref="V799:Y799"/>
    <mergeCell ref="Z799:AA799"/>
    <mergeCell ref="V800:Y800"/>
    <mergeCell ref="Z800:AA800"/>
    <mergeCell ref="B801:B802"/>
    <mergeCell ref="C801:C802"/>
    <mergeCell ref="D801:D802"/>
    <mergeCell ref="E801:E802"/>
    <mergeCell ref="F801:F802"/>
    <mergeCell ref="G801:G802"/>
    <mergeCell ref="H801:H802"/>
    <mergeCell ref="I801:I802"/>
    <mergeCell ref="J801:K801"/>
    <mergeCell ref="L801:L802"/>
    <mergeCell ref="M801:N802"/>
    <mergeCell ref="O801:Z801"/>
    <mergeCell ref="AA801:AA802"/>
    <mergeCell ref="B803:B807"/>
    <mergeCell ref="C803:C804"/>
    <mergeCell ref="D803:L804"/>
    <mergeCell ref="M803:N803"/>
    <mergeCell ref="A782:A793"/>
    <mergeCell ref="B783:B784"/>
    <mergeCell ref="C783:C784"/>
    <mergeCell ref="D783:I784"/>
    <mergeCell ref="V783:Y783"/>
    <mergeCell ref="Z783:AA783"/>
    <mergeCell ref="V784:Y784"/>
    <mergeCell ref="Z784:AA784"/>
    <mergeCell ref="B785:B786"/>
    <mergeCell ref="C785:C786"/>
    <mergeCell ref="D785:R786"/>
    <mergeCell ref="V785:Y785"/>
    <mergeCell ref="Z785:AA785"/>
    <mergeCell ref="V786:Y786"/>
    <mergeCell ref="Z786:AA786"/>
    <mergeCell ref="B787:B788"/>
    <mergeCell ref="C787:C788"/>
    <mergeCell ref="D787:D788"/>
    <mergeCell ref="E787:E788"/>
    <mergeCell ref="F787:F788"/>
    <mergeCell ref="G787:G788"/>
    <mergeCell ref="H787:H788"/>
    <mergeCell ref="I787:I788"/>
    <mergeCell ref="J787:K787"/>
    <mergeCell ref="L787:L788"/>
    <mergeCell ref="M787:N788"/>
    <mergeCell ref="O787:Z787"/>
    <mergeCell ref="AA787:AA788"/>
    <mergeCell ref="B789:B793"/>
    <mergeCell ref="C789:C793"/>
    <mergeCell ref="D789:D793"/>
    <mergeCell ref="A768:A779"/>
    <mergeCell ref="B769:B770"/>
    <mergeCell ref="C769:C770"/>
    <mergeCell ref="D769:I770"/>
    <mergeCell ref="V769:Y769"/>
    <mergeCell ref="Z769:AA769"/>
    <mergeCell ref="V770:Y770"/>
    <mergeCell ref="Z770:AA770"/>
    <mergeCell ref="B771:B772"/>
    <mergeCell ref="C771:C772"/>
    <mergeCell ref="D771:P772"/>
    <mergeCell ref="V771:Y771"/>
    <mergeCell ref="Z771:AA771"/>
    <mergeCell ref="V772:Y772"/>
    <mergeCell ref="Z772:AA772"/>
    <mergeCell ref="B773:B774"/>
    <mergeCell ref="C773:C774"/>
    <mergeCell ref="D773:D774"/>
    <mergeCell ref="E773:E774"/>
    <mergeCell ref="F773:F774"/>
    <mergeCell ref="G773:G774"/>
    <mergeCell ref="H773:H774"/>
    <mergeCell ref="I773:I774"/>
    <mergeCell ref="J773:K773"/>
    <mergeCell ref="L773:L774"/>
    <mergeCell ref="M773:N774"/>
    <mergeCell ref="O773:Z773"/>
    <mergeCell ref="AA773:AA774"/>
    <mergeCell ref="B775:B779"/>
    <mergeCell ref="C775:C779"/>
    <mergeCell ref="D775:D779"/>
    <mergeCell ref="E775:E779"/>
    <mergeCell ref="C757:C758"/>
    <mergeCell ref="D757:P758"/>
    <mergeCell ref="V757:Y757"/>
    <mergeCell ref="Z757:AA757"/>
    <mergeCell ref="V758:Y758"/>
    <mergeCell ref="Z758:AA758"/>
    <mergeCell ref="B759:B760"/>
    <mergeCell ref="C759:C760"/>
    <mergeCell ref="D759:D760"/>
    <mergeCell ref="E759:E760"/>
    <mergeCell ref="F759:F760"/>
    <mergeCell ref="G759:G760"/>
    <mergeCell ref="H759:H760"/>
    <mergeCell ref="I759:I760"/>
    <mergeCell ref="J759:K759"/>
    <mergeCell ref="L759:L760"/>
    <mergeCell ref="M759:N760"/>
    <mergeCell ref="O759:Z759"/>
    <mergeCell ref="AA759:AA760"/>
    <mergeCell ref="B747:B751"/>
    <mergeCell ref="C747:C751"/>
    <mergeCell ref="D747:D751"/>
    <mergeCell ref="E747:E751"/>
    <mergeCell ref="F747:F751"/>
    <mergeCell ref="G747:G751"/>
    <mergeCell ref="H747:H751"/>
    <mergeCell ref="I747:I751"/>
    <mergeCell ref="J747:J751"/>
    <mergeCell ref="K747:K751"/>
    <mergeCell ref="L747:L751"/>
    <mergeCell ref="M747:N747"/>
    <mergeCell ref="M748:N748"/>
    <mergeCell ref="C753:H753"/>
    <mergeCell ref="A754:A765"/>
    <mergeCell ref="B755:B756"/>
    <mergeCell ref="C755:C756"/>
    <mergeCell ref="D755:I756"/>
    <mergeCell ref="B761:B765"/>
    <mergeCell ref="C761:C765"/>
    <mergeCell ref="D761:D765"/>
    <mergeCell ref="E761:E765"/>
    <mergeCell ref="F761:F765"/>
    <mergeCell ref="G761:G765"/>
    <mergeCell ref="H761:H765"/>
    <mergeCell ref="I761:I765"/>
    <mergeCell ref="J761:J765"/>
    <mergeCell ref="K761:K765"/>
    <mergeCell ref="L761:L765"/>
    <mergeCell ref="M761:N761"/>
    <mergeCell ref="M762:N762"/>
    <mergeCell ref="B757:B758"/>
    <mergeCell ref="B743:B744"/>
    <mergeCell ref="C743:C744"/>
    <mergeCell ref="D743:P744"/>
    <mergeCell ref="V743:Y743"/>
    <mergeCell ref="Z743:AA743"/>
    <mergeCell ref="B745:B746"/>
    <mergeCell ref="C745:C746"/>
    <mergeCell ref="D745:D746"/>
    <mergeCell ref="E745:E746"/>
    <mergeCell ref="F745:F746"/>
    <mergeCell ref="G745:G746"/>
    <mergeCell ref="H745:H746"/>
    <mergeCell ref="I745:I746"/>
    <mergeCell ref="J745:K745"/>
    <mergeCell ref="L745:L746"/>
    <mergeCell ref="M745:N746"/>
    <mergeCell ref="O745:Z745"/>
    <mergeCell ref="AA745:AA746"/>
    <mergeCell ref="V744:Y744"/>
    <mergeCell ref="Z744:AA744"/>
    <mergeCell ref="V724:Y724"/>
    <mergeCell ref="V725:Y725"/>
    <mergeCell ref="B726:B727"/>
    <mergeCell ref="C726:L727"/>
    <mergeCell ref="V726:X726"/>
    <mergeCell ref="V727:Y727"/>
    <mergeCell ref="B728:B729"/>
    <mergeCell ref="C728:C729"/>
    <mergeCell ref="D728:D729"/>
    <mergeCell ref="E728:E729"/>
    <mergeCell ref="F728:F729"/>
    <mergeCell ref="G728:G729"/>
    <mergeCell ref="H728:H729"/>
    <mergeCell ref="I728:I729"/>
    <mergeCell ref="J728:K728"/>
    <mergeCell ref="L728:L729"/>
    <mergeCell ref="M728:M729"/>
    <mergeCell ref="N728:N729"/>
    <mergeCell ref="O728:Z728"/>
    <mergeCell ref="G730:G737"/>
    <mergeCell ref="D694:D703"/>
    <mergeCell ref="E694:E703"/>
    <mergeCell ref="F694:F703"/>
    <mergeCell ref="G694:G703"/>
    <mergeCell ref="H694:H703"/>
    <mergeCell ref="I694:I703"/>
    <mergeCell ref="J694:J703"/>
    <mergeCell ref="K694:K703"/>
    <mergeCell ref="L694:L703"/>
    <mergeCell ref="M695:N695"/>
    <mergeCell ref="A706:A716"/>
    <mergeCell ref="B707:B709"/>
    <mergeCell ref="C707:C709"/>
    <mergeCell ref="D707:E709"/>
    <mergeCell ref="J730:J737"/>
    <mergeCell ref="K730:K737"/>
    <mergeCell ref="L730:L737"/>
    <mergeCell ref="M730:N730"/>
    <mergeCell ref="M731:N731"/>
    <mergeCell ref="C724:H725"/>
    <mergeCell ref="V707:Y707"/>
    <mergeCell ref="Z707:AA707"/>
    <mergeCell ref="V708:Y709"/>
    <mergeCell ref="Z708:AA709"/>
    <mergeCell ref="B710:B711"/>
    <mergeCell ref="C710:C711"/>
    <mergeCell ref="D710:E711"/>
    <mergeCell ref="V710:Y710"/>
    <mergeCell ref="Z710:AA710"/>
    <mergeCell ref="V711:Y711"/>
    <mergeCell ref="Z711:AA711"/>
    <mergeCell ref="D712:D713"/>
    <mergeCell ref="E712:E713"/>
    <mergeCell ref="F712:F713"/>
    <mergeCell ref="G712:G713"/>
    <mergeCell ref="H712:H713"/>
    <mergeCell ref="I712:I713"/>
    <mergeCell ref="J712:K712"/>
    <mergeCell ref="A680:AA680"/>
    <mergeCell ref="C681:E681"/>
    <mergeCell ref="C682:J682"/>
    <mergeCell ref="C683:S683"/>
    <mergeCell ref="C684:P684"/>
    <mergeCell ref="A686:A696"/>
    <mergeCell ref="B687:B689"/>
    <mergeCell ref="C687:C689"/>
    <mergeCell ref="V688:Y689"/>
    <mergeCell ref="Z688:AA689"/>
    <mergeCell ref="B690:B691"/>
    <mergeCell ref="C690:C691"/>
    <mergeCell ref="D690:E691"/>
    <mergeCell ref="Z690:AA690"/>
    <mergeCell ref="V691:Y691"/>
    <mergeCell ref="Z691:AA691"/>
    <mergeCell ref="B692:B693"/>
    <mergeCell ref="C692:C693"/>
    <mergeCell ref="D692:D693"/>
    <mergeCell ref="E692:E693"/>
    <mergeCell ref="F692:F693"/>
    <mergeCell ref="G692:G693"/>
    <mergeCell ref="H692:H693"/>
    <mergeCell ref="I692:I693"/>
    <mergeCell ref="J692:K692"/>
    <mergeCell ref="L692:L693"/>
    <mergeCell ref="M692:N693"/>
    <mergeCell ref="O692:Z692"/>
    <mergeCell ref="AA692:AA693"/>
    <mergeCell ref="B694:B703"/>
    <mergeCell ref="C694:C703"/>
    <mergeCell ref="M694:N694"/>
    <mergeCell ref="C767:M767"/>
    <mergeCell ref="F775:F779"/>
    <mergeCell ref="G775:G779"/>
    <mergeCell ref="H775:H779"/>
    <mergeCell ref="I775:I779"/>
    <mergeCell ref="J775:J779"/>
    <mergeCell ref="K775:K779"/>
    <mergeCell ref="L775:L779"/>
    <mergeCell ref="M775:N775"/>
    <mergeCell ref="M776:N776"/>
    <mergeCell ref="C781:H781"/>
    <mergeCell ref="H808:H849"/>
    <mergeCell ref="I808:I849"/>
    <mergeCell ref="J808:J849"/>
    <mergeCell ref="K808:K849"/>
    <mergeCell ref="L808:L849"/>
    <mergeCell ref="B808:B849"/>
    <mergeCell ref="C808:C849"/>
    <mergeCell ref="D808:D849"/>
    <mergeCell ref="E808:E849"/>
    <mergeCell ref="F808:F849"/>
    <mergeCell ref="G808:G849"/>
    <mergeCell ref="E789:E793"/>
    <mergeCell ref="F789:F793"/>
    <mergeCell ref="G789:G793"/>
    <mergeCell ref="H789:H793"/>
    <mergeCell ref="I789:I793"/>
    <mergeCell ref="J789:J793"/>
    <mergeCell ref="K789:K793"/>
    <mergeCell ref="L789:L793"/>
    <mergeCell ref="M789:N789"/>
    <mergeCell ref="M790:N790"/>
    <mergeCell ref="C739:H739"/>
    <mergeCell ref="B741:B742"/>
    <mergeCell ref="C741:C742"/>
    <mergeCell ref="AA728:AA729"/>
    <mergeCell ref="A740:A751"/>
    <mergeCell ref="D741:I742"/>
    <mergeCell ref="V741:Y741"/>
    <mergeCell ref="Z741:AA741"/>
    <mergeCell ref="V742:Y742"/>
    <mergeCell ref="B724:B725"/>
    <mergeCell ref="B712:B713"/>
    <mergeCell ref="C712:C713"/>
    <mergeCell ref="L712:L713"/>
    <mergeCell ref="M712:N713"/>
    <mergeCell ref="O712:Z712"/>
    <mergeCell ref="AA712:AA713"/>
    <mergeCell ref="B714:B720"/>
    <mergeCell ref="C714:C720"/>
    <mergeCell ref="D714:D720"/>
    <mergeCell ref="E714:E720"/>
    <mergeCell ref="F714:F720"/>
    <mergeCell ref="G714:G720"/>
    <mergeCell ref="H714:H720"/>
    <mergeCell ref="I714:I720"/>
    <mergeCell ref="J714:J720"/>
    <mergeCell ref="K714:K720"/>
    <mergeCell ref="L714:L720"/>
    <mergeCell ref="B730:B737"/>
    <mergeCell ref="C730:C737"/>
    <mergeCell ref="D730:D737"/>
    <mergeCell ref="E730:E737"/>
    <mergeCell ref="F730:F737"/>
    <mergeCell ref="A681:A685"/>
    <mergeCell ref="V687:Y687"/>
    <mergeCell ref="Z687:AA687"/>
    <mergeCell ref="V690:Y690"/>
    <mergeCell ref="AA402:AB402"/>
    <mergeCell ref="AA401:AB401"/>
    <mergeCell ref="AA400:AB400"/>
    <mergeCell ref="B536:B537"/>
    <mergeCell ref="V536:Y536"/>
    <mergeCell ref="Z536:AA536"/>
    <mergeCell ref="V537:Y537"/>
    <mergeCell ref="Z537:AA537"/>
    <mergeCell ref="B538:B539"/>
    <mergeCell ref="C538:C539"/>
    <mergeCell ref="D538:D539"/>
    <mergeCell ref="E538:E539"/>
    <mergeCell ref="F538:F539"/>
    <mergeCell ref="G538:G539"/>
    <mergeCell ref="H538:H539"/>
    <mergeCell ref="I538:I539"/>
    <mergeCell ref="J538:K538"/>
    <mergeCell ref="L538:L539"/>
    <mergeCell ref="M538:N539"/>
    <mergeCell ref="O538:Z538"/>
    <mergeCell ref="AA538:AA539"/>
    <mergeCell ref="D512:D516"/>
    <mergeCell ref="K512:K513"/>
    <mergeCell ref="L512:L513"/>
    <mergeCell ref="E514:E516"/>
    <mergeCell ref="F514:F516"/>
    <mergeCell ref="G514:G516"/>
    <mergeCell ref="L505:L506"/>
    <mergeCell ref="C399:AB399"/>
    <mergeCell ref="L412:L414"/>
    <mergeCell ref="G512:G513"/>
    <mergeCell ref="H512:H513"/>
    <mergeCell ref="V535:Y535"/>
    <mergeCell ref="Z535:AA535"/>
    <mergeCell ref="M540:N540"/>
    <mergeCell ref="M541:N541"/>
    <mergeCell ref="V534:Y534"/>
    <mergeCell ref="M156:N156"/>
    <mergeCell ref="M113:N113"/>
    <mergeCell ref="M114:N114"/>
    <mergeCell ref="D240:U241"/>
    <mergeCell ref="C531:AA531"/>
    <mergeCell ref="M409:N409"/>
    <mergeCell ref="M410:N410"/>
    <mergeCell ref="Z534:AA534"/>
    <mergeCell ref="C536:C537"/>
    <mergeCell ref="D536:P537"/>
    <mergeCell ref="H514:H516"/>
    <mergeCell ref="I514:I516"/>
    <mergeCell ref="J514:J516"/>
    <mergeCell ref="K514:K516"/>
    <mergeCell ref="L514:L516"/>
    <mergeCell ref="M515:M516"/>
    <mergeCell ref="D505:D506"/>
    <mergeCell ref="E505:E506"/>
    <mergeCell ref="F505:F506"/>
    <mergeCell ref="G505:G506"/>
    <mergeCell ref="H505:H506"/>
    <mergeCell ref="I505:I506"/>
    <mergeCell ref="J505:K505"/>
    <mergeCell ref="I512:I513"/>
    <mergeCell ref="J512:J513"/>
    <mergeCell ref="E512:E513"/>
    <mergeCell ref="F512:F513"/>
    <mergeCell ref="D486:D488"/>
    <mergeCell ref="E486:E488"/>
    <mergeCell ref="F486:F488"/>
    <mergeCell ref="G486:G488"/>
    <mergeCell ref="H486:H488"/>
    <mergeCell ref="I486:I488"/>
    <mergeCell ref="J486:J488"/>
    <mergeCell ref="K486:K488"/>
    <mergeCell ref="L486:L488"/>
    <mergeCell ref="M487:M488"/>
    <mergeCell ref="D489:D491"/>
    <mergeCell ref="E489:E491"/>
    <mergeCell ref="F489:F491"/>
    <mergeCell ref="G489:G491"/>
    <mergeCell ref="H489:H491"/>
    <mergeCell ref="I489:I491"/>
    <mergeCell ref="J489:J491"/>
    <mergeCell ref="K489:K491"/>
    <mergeCell ref="L489:L491"/>
    <mergeCell ref="M490:M491"/>
    <mergeCell ref="L496:L499"/>
    <mergeCell ref="D492:D495"/>
    <mergeCell ref="M497:M499"/>
    <mergeCell ref="D500:D504"/>
    <mergeCell ref="K500:K501"/>
    <mergeCell ref="L500:L501"/>
    <mergeCell ref="K502:K504"/>
    <mergeCell ref="K475:K476"/>
    <mergeCell ref="M472:M474"/>
    <mergeCell ref="E482:E483"/>
    <mergeCell ref="F482:F483"/>
    <mergeCell ref="G482:G483"/>
    <mergeCell ref="H482:H483"/>
    <mergeCell ref="I482:I483"/>
    <mergeCell ref="J482:J483"/>
    <mergeCell ref="D482:D483"/>
    <mergeCell ref="F467:F468"/>
    <mergeCell ref="G467:G468"/>
    <mergeCell ref="H467:H468"/>
    <mergeCell ref="I467:I468"/>
    <mergeCell ref="J467:J468"/>
    <mergeCell ref="K467:K468"/>
    <mergeCell ref="L467:L468"/>
    <mergeCell ref="D469:D470"/>
    <mergeCell ref="E469:E470"/>
    <mergeCell ref="F469:F470"/>
    <mergeCell ref="G469:G470"/>
    <mergeCell ref="D475:D476"/>
    <mergeCell ref="E475:E476"/>
    <mergeCell ref="F475:F476"/>
    <mergeCell ref="G475:G476"/>
    <mergeCell ref="H475:H476"/>
    <mergeCell ref="I475:I476"/>
    <mergeCell ref="J475:J476"/>
    <mergeCell ref="L475:L476"/>
    <mergeCell ref="D477:D481"/>
    <mergeCell ref="E477:E481"/>
    <mergeCell ref="F477:F481"/>
    <mergeCell ref="G477:G481"/>
    <mergeCell ref="C448:C449"/>
    <mergeCell ref="D448:D449"/>
    <mergeCell ref="E448:E449"/>
    <mergeCell ref="F448:F449"/>
    <mergeCell ref="G448:G449"/>
    <mergeCell ref="H448:H449"/>
    <mergeCell ref="I448:I449"/>
    <mergeCell ref="O448:O449"/>
    <mergeCell ref="P448:AA448"/>
    <mergeCell ref="D464:D466"/>
    <mergeCell ref="E464:E466"/>
    <mergeCell ref="F464:F466"/>
    <mergeCell ref="G464:G466"/>
    <mergeCell ref="H464:H466"/>
    <mergeCell ref="I464:I466"/>
    <mergeCell ref="J464:J466"/>
    <mergeCell ref="K464:K466"/>
    <mergeCell ref="L464:L466"/>
    <mergeCell ref="M465:M466"/>
    <mergeCell ref="E456:E457"/>
    <mergeCell ref="F456:F457"/>
    <mergeCell ref="G456:G457"/>
    <mergeCell ref="H456:H457"/>
    <mergeCell ref="I456:I457"/>
    <mergeCell ref="J456:J457"/>
    <mergeCell ref="K456:K457"/>
    <mergeCell ref="L456:L457"/>
    <mergeCell ref="D458:D459"/>
    <mergeCell ref="E458:E459"/>
    <mergeCell ref="F458:F459"/>
    <mergeCell ref="A413:A435"/>
    <mergeCell ref="M432:M439"/>
    <mergeCell ref="J448:K448"/>
    <mergeCell ref="D404:I404"/>
    <mergeCell ref="C405:I405"/>
    <mergeCell ref="B407:B409"/>
    <mergeCell ref="C407:C409"/>
    <mergeCell ref="D407:D409"/>
    <mergeCell ref="E407:E409"/>
    <mergeCell ref="F407:F409"/>
    <mergeCell ref="M448:N449"/>
    <mergeCell ref="C403:AA403"/>
    <mergeCell ref="B400:B401"/>
    <mergeCell ref="C400:S401"/>
    <mergeCell ref="T400:U401"/>
    <mergeCell ref="V400:Y400"/>
    <mergeCell ref="V401:Y401"/>
    <mergeCell ref="C402:S402"/>
    <mergeCell ref="T402:U402"/>
    <mergeCell ref="V402:Y402"/>
    <mergeCell ref="B413:B414"/>
    <mergeCell ref="D412:D414"/>
    <mergeCell ref="E412:E414"/>
    <mergeCell ref="F412:F414"/>
    <mergeCell ref="G412:G414"/>
    <mergeCell ref="G407:G409"/>
    <mergeCell ref="H407:H409"/>
    <mergeCell ref="I407:I409"/>
    <mergeCell ref="H412:H414"/>
    <mergeCell ref="I412:I414"/>
    <mergeCell ref="B415:B447"/>
    <mergeCell ref="B448:B449"/>
    <mergeCell ref="B33:B34"/>
    <mergeCell ref="C33:C34"/>
    <mergeCell ref="Z20:AA20"/>
    <mergeCell ref="V21:Y21"/>
    <mergeCell ref="AA22:AA23"/>
    <mergeCell ref="L24:L27"/>
    <mergeCell ref="M24:N24"/>
    <mergeCell ref="G22:G23"/>
    <mergeCell ref="C252:AA252"/>
    <mergeCell ref="C371:AA371"/>
    <mergeCell ref="C370:I370"/>
    <mergeCell ref="D190:G191"/>
    <mergeCell ref="D205:I206"/>
    <mergeCell ref="M22:N23"/>
    <mergeCell ref="L33:L34"/>
    <mergeCell ref="D33:D34"/>
    <mergeCell ref="E33:E34"/>
    <mergeCell ref="F33:F34"/>
    <mergeCell ref="Z43:AA43"/>
    <mergeCell ref="V44:Y44"/>
    <mergeCell ref="Z44:AA44"/>
    <mergeCell ref="M49:N49"/>
    <mergeCell ref="AA45:AA46"/>
    <mergeCell ref="J62:J66"/>
    <mergeCell ref="B31:B32"/>
    <mergeCell ref="C31:C32"/>
    <mergeCell ref="D31:P32"/>
    <mergeCell ref="V31:Y31"/>
    <mergeCell ref="Z31:AA31"/>
    <mergeCell ref="V32:Y32"/>
    <mergeCell ref="Z32:AA32"/>
    <mergeCell ref="B47:B52"/>
    <mergeCell ref="C10:C11"/>
    <mergeCell ref="Z10:AA10"/>
    <mergeCell ref="Z11:AA11"/>
    <mergeCell ref="E12:E13"/>
    <mergeCell ref="F12:F13"/>
    <mergeCell ref="Z21:AA21"/>
    <mergeCell ref="B18:B19"/>
    <mergeCell ref="C18:C19"/>
    <mergeCell ref="D18:U19"/>
    <mergeCell ref="V18:Y18"/>
    <mergeCell ref="Z18:AA18"/>
    <mergeCell ref="V19:Y19"/>
    <mergeCell ref="Z19:AA19"/>
    <mergeCell ref="A18:A27"/>
    <mergeCell ref="F24:F27"/>
    <mergeCell ref="G24:G27"/>
    <mergeCell ref="H24:H27"/>
    <mergeCell ref="I24:I27"/>
    <mergeCell ref="J24:J27"/>
    <mergeCell ref="K24:K27"/>
    <mergeCell ref="F14:F17"/>
    <mergeCell ref="G14:G17"/>
    <mergeCell ref="H14:H17"/>
    <mergeCell ref="I14:I17"/>
    <mergeCell ref="H22:H23"/>
    <mergeCell ref="I22:I23"/>
    <mergeCell ref="A7:A11"/>
    <mergeCell ref="J22:K22"/>
    <mergeCell ref="L22:L23"/>
    <mergeCell ref="J14:J17"/>
    <mergeCell ref="B22:B23"/>
    <mergeCell ref="C22:C23"/>
    <mergeCell ref="A1:AA1"/>
    <mergeCell ref="C7:AA7"/>
    <mergeCell ref="B14:B17"/>
    <mergeCell ref="M14:N14"/>
    <mergeCell ref="G12:G13"/>
    <mergeCell ref="H12:H13"/>
    <mergeCell ref="I12:I13"/>
    <mergeCell ref="J12:K12"/>
    <mergeCell ref="K14:K17"/>
    <mergeCell ref="B8:B9"/>
    <mergeCell ref="C8:C9"/>
    <mergeCell ref="M15:N15"/>
    <mergeCell ref="O12:Z12"/>
    <mergeCell ref="Z8:AA8"/>
    <mergeCell ref="D8:U9"/>
    <mergeCell ref="D10:U11"/>
    <mergeCell ref="M12:N13"/>
    <mergeCell ref="AA12:AA13"/>
    <mergeCell ref="L12:L13"/>
    <mergeCell ref="B12:B13"/>
    <mergeCell ref="C12:C13"/>
    <mergeCell ref="D12:D13"/>
    <mergeCell ref="A2:A6"/>
    <mergeCell ref="C3:AA3"/>
    <mergeCell ref="C4:AA4"/>
    <mergeCell ref="C5:AA5"/>
    <mergeCell ref="V8:Y8"/>
    <mergeCell ref="V10:Y10"/>
    <mergeCell ref="V11:Y11"/>
    <mergeCell ref="V9:Y9"/>
    <mergeCell ref="Z9:AA9"/>
    <mergeCell ref="B10:B11"/>
    <mergeCell ref="L14:L17"/>
    <mergeCell ref="C28:AA28"/>
    <mergeCell ref="B29:B30"/>
    <mergeCell ref="C29:C30"/>
    <mergeCell ref="D29:I30"/>
    <mergeCell ref="V29:Y29"/>
    <mergeCell ref="Z29:AA29"/>
    <mergeCell ref="V30:Y30"/>
    <mergeCell ref="Z30:AA30"/>
    <mergeCell ref="B24:B27"/>
    <mergeCell ref="C24:C27"/>
    <mergeCell ref="D24:D27"/>
    <mergeCell ref="E24:E27"/>
    <mergeCell ref="C14:C17"/>
    <mergeCell ref="D14:D17"/>
    <mergeCell ref="E14:E17"/>
    <mergeCell ref="M25:N25"/>
    <mergeCell ref="F22:F23"/>
    <mergeCell ref="B20:B21"/>
    <mergeCell ref="D22:D23"/>
    <mergeCell ref="E22:E23"/>
    <mergeCell ref="C20:C21"/>
    <mergeCell ref="D20:U21"/>
    <mergeCell ref="O22:Z22"/>
    <mergeCell ref="V20:Y20"/>
    <mergeCell ref="A28:A39"/>
    <mergeCell ref="C40:AA40"/>
    <mergeCell ref="B41:B42"/>
    <mergeCell ref="C41:C42"/>
    <mergeCell ref="D41:U42"/>
    <mergeCell ref="V41:Y41"/>
    <mergeCell ref="Z41:AA41"/>
    <mergeCell ref="V42:Y42"/>
    <mergeCell ref="Z42:AA42"/>
    <mergeCell ref="M33:N34"/>
    <mergeCell ref="O33:Z33"/>
    <mergeCell ref="AA33:AA34"/>
    <mergeCell ref="B35:B39"/>
    <mergeCell ref="C35:C39"/>
    <mergeCell ref="D35:D39"/>
    <mergeCell ref="E35:E39"/>
    <mergeCell ref="F35:F39"/>
    <mergeCell ref="G35:G39"/>
    <mergeCell ref="H35:H39"/>
    <mergeCell ref="I35:I39"/>
    <mergeCell ref="J35:J39"/>
    <mergeCell ref="K35:K39"/>
    <mergeCell ref="L35:L39"/>
    <mergeCell ref="M35:N35"/>
    <mergeCell ref="M36:N36"/>
    <mergeCell ref="G33:G34"/>
    <mergeCell ref="H33:H34"/>
    <mergeCell ref="I33:I34"/>
    <mergeCell ref="J33:K33"/>
    <mergeCell ref="A40:A52"/>
    <mergeCell ref="M45:N46"/>
    <mergeCell ref="O45:Z45"/>
    <mergeCell ref="C47:C52"/>
    <mergeCell ref="D47:D52"/>
    <mergeCell ref="E47:E52"/>
    <mergeCell ref="F47:F52"/>
    <mergeCell ref="G47:G52"/>
    <mergeCell ref="H47:H52"/>
    <mergeCell ref="I47:I52"/>
    <mergeCell ref="J47:J52"/>
    <mergeCell ref="K47:K52"/>
    <mergeCell ref="L47:L52"/>
    <mergeCell ref="M47:N47"/>
    <mergeCell ref="M48:N48"/>
    <mergeCell ref="G45:G46"/>
    <mergeCell ref="H45:H46"/>
    <mergeCell ref="I45:I46"/>
    <mergeCell ref="J45:K45"/>
    <mergeCell ref="L45:L46"/>
    <mergeCell ref="B45:B46"/>
    <mergeCell ref="C45:C46"/>
    <mergeCell ref="D45:D46"/>
    <mergeCell ref="E45:E46"/>
    <mergeCell ref="F45:F46"/>
    <mergeCell ref="B43:B44"/>
    <mergeCell ref="C43:C44"/>
    <mergeCell ref="D43:U44"/>
    <mergeCell ref="V43:Y43"/>
    <mergeCell ref="A55:A66"/>
    <mergeCell ref="B56:B57"/>
    <mergeCell ref="C56:C57"/>
    <mergeCell ref="V56:Y56"/>
    <mergeCell ref="Z56:AA56"/>
    <mergeCell ref="D58:P59"/>
    <mergeCell ref="B58:B59"/>
    <mergeCell ref="C58:C59"/>
    <mergeCell ref="V58:Y58"/>
    <mergeCell ref="Z58:AA58"/>
    <mergeCell ref="B60:B61"/>
    <mergeCell ref="H60:H61"/>
    <mergeCell ref="O64:O66"/>
    <mergeCell ref="P64:P66"/>
    <mergeCell ref="Q64:Q66"/>
    <mergeCell ref="R64:R66"/>
    <mergeCell ref="S64:S66"/>
    <mergeCell ref="Y64:Y66"/>
    <mergeCell ref="Z64:Z66"/>
    <mergeCell ref="AA64:AA66"/>
    <mergeCell ref="T64:T66"/>
    <mergeCell ref="U64:U66"/>
    <mergeCell ref="V64:V66"/>
    <mergeCell ref="L74:L75"/>
    <mergeCell ref="M62:N62"/>
    <mergeCell ref="M60:N61"/>
    <mergeCell ref="C62:C66"/>
    <mergeCell ref="D62:D66"/>
    <mergeCell ref="E62:E66"/>
    <mergeCell ref="F62:F66"/>
    <mergeCell ref="M63:N63"/>
    <mergeCell ref="I60:I61"/>
    <mergeCell ref="L60:L61"/>
    <mergeCell ref="G62:G66"/>
    <mergeCell ref="W64:W66"/>
    <mergeCell ref="B62:B66"/>
    <mergeCell ref="H62:H66"/>
    <mergeCell ref="I62:I66"/>
    <mergeCell ref="L62:L66"/>
    <mergeCell ref="C53:AA53"/>
    <mergeCell ref="Z59:AA59"/>
    <mergeCell ref="O60:Z60"/>
    <mergeCell ref="AA60:AA61"/>
    <mergeCell ref="V59:Y59"/>
    <mergeCell ref="C60:C61"/>
    <mergeCell ref="D60:D61"/>
    <mergeCell ref="E60:E61"/>
    <mergeCell ref="F60:F61"/>
    <mergeCell ref="G60:G61"/>
    <mergeCell ref="D56:I57"/>
    <mergeCell ref="V57:Y57"/>
    <mergeCell ref="Z57:AA57"/>
    <mergeCell ref="J60:K60"/>
    <mergeCell ref="C54:AA54"/>
    <mergeCell ref="B70:B71"/>
    <mergeCell ref="C70:C71"/>
    <mergeCell ref="D70:I71"/>
    <mergeCell ref="V70:Y70"/>
    <mergeCell ref="V71:Y71"/>
    <mergeCell ref="Z71:AA71"/>
    <mergeCell ref="B72:B73"/>
    <mergeCell ref="C72:C73"/>
    <mergeCell ref="D72:U73"/>
    <mergeCell ref="V72:Y72"/>
    <mergeCell ref="Z72:AA72"/>
    <mergeCell ref="V73:Y73"/>
    <mergeCell ref="D83:D84"/>
    <mergeCell ref="E83:E84"/>
    <mergeCell ref="Z73:AA73"/>
    <mergeCell ref="M64:M66"/>
    <mergeCell ref="N64:N66"/>
    <mergeCell ref="C74:C75"/>
    <mergeCell ref="F76:F80"/>
    <mergeCell ref="D74:D75"/>
    <mergeCell ref="H74:H75"/>
    <mergeCell ref="I74:I75"/>
    <mergeCell ref="G74:G75"/>
    <mergeCell ref="K62:K66"/>
    <mergeCell ref="X64:X66"/>
    <mergeCell ref="J74:K74"/>
    <mergeCell ref="E74:E75"/>
    <mergeCell ref="F74:F75"/>
    <mergeCell ref="AA74:AA75"/>
    <mergeCell ref="C67:AA67"/>
    <mergeCell ref="C68:H68"/>
    <mergeCell ref="Z70:AA70"/>
    <mergeCell ref="B85:B89"/>
    <mergeCell ref="C85:C89"/>
    <mergeCell ref="D85:D89"/>
    <mergeCell ref="E85:E89"/>
    <mergeCell ref="F85:F89"/>
    <mergeCell ref="J83:K83"/>
    <mergeCell ref="L85:L89"/>
    <mergeCell ref="M85:N85"/>
    <mergeCell ref="M86:N86"/>
    <mergeCell ref="F83:F84"/>
    <mergeCell ref="G85:G89"/>
    <mergeCell ref="H85:H89"/>
    <mergeCell ref="I85:I89"/>
    <mergeCell ref="J85:J89"/>
    <mergeCell ref="H83:H84"/>
    <mergeCell ref="I83:I84"/>
    <mergeCell ref="B83:B84"/>
    <mergeCell ref="C83:C84"/>
    <mergeCell ref="C90:AA90"/>
    <mergeCell ref="C91:AA91"/>
    <mergeCell ref="C92:AA92"/>
    <mergeCell ref="B93:B94"/>
    <mergeCell ref="C93:C94"/>
    <mergeCell ref="D93:R94"/>
    <mergeCell ref="Z93:AA93"/>
    <mergeCell ref="Z94:AA94"/>
    <mergeCell ref="B74:B75"/>
    <mergeCell ref="AA83:AA84"/>
    <mergeCell ref="L83:L84"/>
    <mergeCell ref="M83:N84"/>
    <mergeCell ref="O83:Z83"/>
    <mergeCell ref="G83:G84"/>
    <mergeCell ref="B81:B82"/>
    <mergeCell ref="C81:C82"/>
    <mergeCell ref="D81:U82"/>
    <mergeCell ref="K76:K80"/>
    <mergeCell ref="L76:L80"/>
    <mergeCell ref="M76:N76"/>
    <mergeCell ref="M77:N77"/>
    <mergeCell ref="G76:G80"/>
    <mergeCell ref="H76:H80"/>
    <mergeCell ref="I76:I80"/>
    <mergeCell ref="J76:J80"/>
    <mergeCell ref="B76:B80"/>
    <mergeCell ref="C76:C80"/>
    <mergeCell ref="D76:D80"/>
    <mergeCell ref="E76:E80"/>
    <mergeCell ref="M74:N75"/>
    <mergeCell ref="O74:Z74"/>
    <mergeCell ref="K85:K89"/>
    <mergeCell ref="B95:B96"/>
    <mergeCell ref="C95:C96"/>
    <mergeCell ref="D95:R96"/>
    <mergeCell ref="Z95:AA95"/>
    <mergeCell ref="Z96:AA96"/>
    <mergeCell ref="B97:B98"/>
    <mergeCell ref="C97:C98"/>
    <mergeCell ref="D97:D98"/>
    <mergeCell ref="E97:E98"/>
    <mergeCell ref="F97:F98"/>
    <mergeCell ref="G97:G98"/>
    <mergeCell ref="H97:H98"/>
    <mergeCell ref="I97:I98"/>
    <mergeCell ref="J97:K97"/>
    <mergeCell ref="L97:L98"/>
    <mergeCell ref="M97:N98"/>
    <mergeCell ref="O97:Z97"/>
    <mergeCell ref="AA97:AA98"/>
    <mergeCell ref="K99:K102"/>
    <mergeCell ref="L99:L102"/>
    <mergeCell ref="M99:N99"/>
    <mergeCell ref="M100:N100"/>
    <mergeCell ref="B103:B104"/>
    <mergeCell ref="C103:C104"/>
    <mergeCell ref="V103:Y103"/>
    <mergeCell ref="Z103:AA103"/>
    <mergeCell ref="V104:Y104"/>
    <mergeCell ref="Z104:AA104"/>
    <mergeCell ref="B99:B102"/>
    <mergeCell ref="C99:C102"/>
    <mergeCell ref="D99:D102"/>
    <mergeCell ref="E99:E102"/>
    <mergeCell ref="F99:F102"/>
    <mergeCell ref="G99:G102"/>
    <mergeCell ref="H99:H102"/>
    <mergeCell ref="I99:I102"/>
    <mergeCell ref="J99:J102"/>
    <mergeCell ref="D103:I104"/>
    <mergeCell ref="K105:K109"/>
    <mergeCell ref="L105:L109"/>
    <mergeCell ref="M105:N105"/>
    <mergeCell ref="M106:N106"/>
    <mergeCell ref="B110:B112"/>
    <mergeCell ref="C110:C112"/>
    <mergeCell ref="D110:D112"/>
    <mergeCell ref="E110:E112"/>
    <mergeCell ref="F110:F112"/>
    <mergeCell ref="G110:G112"/>
    <mergeCell ref="H110:H112"/>
    <mergeCell ref="I110:I112"/>
    <mergeCell ref="J110:J112"/>
    <mergeCell ref="K110:K112"/>
    <mergeCell ref="L110:L112"/>
    <mergeCell ref="M110:N110"/>
    <mergeCell ref="M111:N111"/>
    <mergeCell ref="B105:B109"/>
    <mergeCell ref="C105:C109"/>
    <mergeCell ref="D105:D109"/>
    <mergeCell ref="E105:E109"/>
    <mergeCell ref="F105:F109"/>
    <mergeCell ref="G105:G109"/>
    <mergeCell ref="H105:H109"/>
    <mergeCell ref="I105:I109"/>
    <mergeCell ref="J105:J109"/>
    <mergeCell ref="M115:M116"/>
    <mergeCell ref="N115:N116"/>
    <mergeCell ref="B117:B120"/>
    <mergeCell ref="C117:C120"/>
    <mergeCell ref="D117:D120"/>
    <mergeCell ref="E117:E120"/>
    <mergeCell ref="F117:F120"/>
    <mergeCell ref="G117:G120"/>
    <mergeCell ref="H117:H120"/>
    <mergeCell ref="I117:I120"/>
    <mergeCell ref="J117:J120"/>
    <mergeCell ref="K117:K120"/>
    <mergeCell ref="L117:L120"/>
    <mergeCell ref="M117:N117"/>
    <mergeCell ref="M118:N118"/>
    <mergeCell ref="B113:B116"/>
    <mergeCell ref="C113:C116"/>
    <mergeCell ref="D113:D116"/>
    <mergeCell ref="E113:E116"/>
    <mergeCell ref="F113:F116"/>
    <mergeCell ref="G113:G116"/>
    <mergeCell ref="H113:H116"/>
    <mergeCell ref="I113:I116"/>
    <mergeCell ref="J113:J116"/>
    <mergeCell ref="K113:K116"/>
    <mergeCell ref="L113:L116"/>
    <mergeCell ref="K121:K124"/>
    <mergeCell ref="L121:L124"/>
    <mergeCell ref="M121:N121"/>
    <mergeCell ref="M122:N122"/>
    <mergeCell ref="B125:B130"/>
    <mergeCell ref="C125:C130"/>
    <mergeCell ref="D125:D130"/>
    <mergeCell ref="E125:E130"/>
    <mergeCell ref="F125:F130"/>
    <mergeCell ref="G125:G130"/>
    <mergeCell ref="H125:H130"/>
    <mergeCell ref="I125:I130"/>
    <mergeCell ref="J125:J130"/>
    <mergeCell ref="K125:K130"/>
    <mergeCell ref="L125:L130"/>
    <mergeCell ref="M125:N125"/>
    <mergeCell ref="M126:N126"/>
    <mergeCell ref="B121:B124"/>
    <mergeCell ref="C121:C124"/>
    <mergeCell ref="D121:D124"/>
    <mergeCell ref="E121:E124"/>
    <mergeCell ref="F121:F124"/>
    <mergeCell ref="G121:G124"/>
    <mergeCell ref="H121:H124"/>
    <mergeCell ref="I121:I124"/>
    <mergeCell ref="J121:J124"/>
    <mergeCell ref="K131:K133"/>
    <mergeCell ref="L131:L133"/>
    <mergeCell ref="M131:N131"/>
    <mergeCell ref="M132:N132"/>
    <mergeCell ref="B134:B136"/>
    <mergeCell ref="C134:C136"/>
    <mergeCell ref="D134:D136"/>
    <mergeCell ref="E134:E136"/>
    <mergeCell ref="F134:F136"/>
    <mergeCell ref="G134:G136"/>
    <mergeCell ref="H134:H136"/>
    <mergeCell ref="I134:I136"/>
    <mergeCell ref="J134:J136"/>
    <mergeCell ref="K134:K136"/>
    <mergeCell ref="L134:L136"/>
    <mergeCell ref="M134:N134"/>
    <mergeCell ref="M135:N135"/>
    <mergeCell ref="B131:B133"/>
    <mergeCell ref="C131:C133"/>
    <mergeCell ref="D131:D133"/>
    <mergeCell ref="E131:E133"/>
    <mergeCell ref="F131:F133"/>
    <mergeCell ref="G131:G133"/>
    <mergeCell ref="H131:H133"/>
    <mergeCell ref="I131:I133"/>
    <mergeCell ref="J131:J133"/>
    <mergeCell ref="K137:K139"/>
    <mergeCell ref="L137:L139"/>
    <mergeCell ref="M137:N137"/>
    <mergeCell ref="M138:N138"/>
    <mergeCell ref="B140:B142"/>
    <mergeCell ref="C140:C142"/>
    <mergeCell ref="D140:D142"/>
    <mergeCell ref="E140:E142"/>
    <mergeCell ref="F140:F142"/>
    <mergeCell ref="G140:G142"/>
    <mergeCell ref="H140:H142"/>
    <mergeCell ref="I140:I142"/>
    <mergeCell ref="J140:J142"/>
    <mergeCell ref="K140:K142"/>
    <mergeCell ref="L140:L142"/>
    <mergeCell ref="M140:N140"/>
    <mergeCell ref="M141:N141"/>
    <mergeCell ref="B137:B139"/>
    <mergeCell ref="C137:C139"/>
    <mergeCell ref="D137:D139"/>
    <mergeCell ref="E137:E139"/>
    <mergeCell ref="F137:F139"/>
    <mergeCell ref="G137:G139"/>
    <mergeCell ref="H137:H139"/>
    <mergeCell ref="I137:I139"/>
    <mergeCell ref="J137:J139"/>
    <mergeCell ref="K143:K145"/>
    <mergeCell ref="L143:L145"/>
    <mergeCell ref="M143:N143"/>
    <mergeCell ref="M144:N144"/>
    <mergeCell ref="B146:B148"/>
    <mergeCell ref="C146:C148"/>
    <mergeCell ref="D146:D148"/>
    <mergeCell ref="E146:E148"/>
    <mergeCell ref="F146:F148"/>
    <mergeCell ref="G146:G148"/>
    <mergeCell ref="H146:H148"/>
    <mergeCell ref="I146:I148"/>
    <mergeCell ref="J146:J148"/>
    <mergeCell ref="K146:K148"/>
    <mergeCell ref="L146:L148"/>
    <mergeCell ref="M146:N146"/>
    <mergeCell ref="M147:N147"/>
    <mergeCell ref="B143:B145"/>
    <mergeCell ref="C143:C145"/>
    <mergeCell ref="D143:D145"/>
    <mergeCell ref="E143:E145"/>
    <mergeCell ref="F143:F145"/>
    <mergeCell ref="G143:G145"/>
    <mergeCell ref="H143:H145"/>
    <mergeCell ref="I143:I145"/>
    <mergeCell ref="J143:J145"/>
    <mergeCell ref="F155:F157"/>
    <mergeCell ref="G155:G157"/>
    <mergeCell ref="H155:H157"/>
    <mergeCell ref="I155:I157"/>
    <mergeCell ref="J155:J157"/>
    <mergeCell ref="K149:K151"/>
    <mergeCell ref="L149:L151"/>
    <mergeCell ref="M149:N149"/>
    <mergeCell ref="M150:N150"/>
    <mergeCell ref="B152:B154"/>
    <mergeCell ref="C152:C154"/>
    <mergeCell ref="D152:D154"/>
    <mergeCell ref="E152:E154"/>
    <mergeCell ref="F152:F154"/>
    <mergeCell ref="G152:G154"/>
    <mergeCell ref="H152:H154"/>
    <mergeCell ref="I152:I154"/>
    <mergeCell ref="J152:J154"/>
    <mergeCell ref="K152:K154"/>
    <mergeCell ref="L152:L154"/>
    <mergeCell ref="M152:N152"/>
    <mergeCell ref="M153:N153"/>
    <mergeCell ref="B149:B151"/>
    <mergeCell ref="C149:C151"/>
    <mergeCell ref="D149:D151"/>
    <mergeCell ref="E149:E151"/>
    <mergeCell ref="F149:F151"/>
    <mergeCell ref="G149:G151"/>
    <mergeCell ref="H149:H151"/>
    <mergeCell ref="I149:I151"/>
    <mergeCell ref="J149:J151"/>
    <mergeCell ref="M155:N155"/>
    <mergeCell ref="M158:N158"/>
    <mergeCell ref="M159:N159"/>
    <mergeCell ref="B161:B163"/>
    <mergeCell ref="C161:C163"/>
    <mergeCell ref="D161:D163"/>
    <mergeCell ref="E161:E163"/>
    <mergeCell ref="F161:F163"/>
    <mergeCell ref="G161:G163"/>
    <mergeCell ref="H161:H163"/>
    <mergeCell ref="I161:I163"/>
    <mergeCell ref="J161:J163"/>
    <mergeCell ref="K161:K163"/>
    <mergeCell ref="L161:L163"/>
    <mergeCell ref="M161:N161"/>
    <mergeCell ref="M162:N162"/>
    <mergeCell ref="K155:K157"/>
    <mergeCell ref="L155:L157"/>
    <mergeCell ref="B158:B160"/>
    <mergeCell ref="C158:C160"/>
    <mergeCell ref="D158:D160"/>
    <mergeCell ref="E158:E160"/>
    <mergeCell ref="F158:F160"/>
    <mergeCell ref="G158:G160"/>
    <mergeCell ref="H158:H160"/>
    <mergeCell ref="I158:I160"/>
    <mergeCell ref="J158:J160"/>
    <mergeCell ref="K158:K160"/>
    <mergeCell ref="L158:L160"/>
    <mergeCell ref="B155:B157"/>
    <mergeCell ref="C155:C157"/>
    <mergeCell ref="D155:D157"/>
    <mergeCell ref="E155:E157"/>
    <mergeCell ref="K164:K166"/>
    <mergeCell ref="L164:L166"/>
    <mergeCell ref="M164:N164"/>
    <mergeCell ref="M165:N165"/>
    <mergeCell ref="B167:B169"/>
    <mergeCell ref="C167:C169"/>
    <mergeCell ref="D167:D169"/>
    <mergeCell ref="E167:E169"/>
    <mergeCell ref="F167:F169"/>
    <mergeCell ref="G167:G169"/>
    <mergeCell ref="H167:H169"/>
    <mergeCell ref="I167:I169"/>
    <mergeCell ref="J167:J169"/>
    <mergeCell ref="K167:K169"/>
    <mergeCell ref="L167:L169"/>
    <mergeCell ref="M167:N167"/>
    <mergeCell ref="M168:N168"/>
    <mergeCell ref="B164:B166"/>
    <mergeCell ref="C164:C166"/>
    <mergeCell ref="D164:D166"/>
    <mergeCell ref="E164:E166"/>
    <mergeCell ref="F164:F166"/>
    <mergeCell ref="G164:G166"/>
    <mergeCell ref="H164:H166"/>
    <mergeCell ref="I164:I166"/>
    <mergeCell ref="J164:J166"/>
    <mergeCell ref="K170:K172"/>
    <mergeCell ref="L170:L172"/>
    <mergeCell ref="M170:N170"/>
    <mergeCell ref="M171:N171"/>
    <mergeCell ref="B173:B175"/>
    <mergeCell ref="C173:C175"/>
    <mergeCell ref="D173:D175"/>
    <mergeCell ref="E173:E175"/>
    <mergeCell ref="F173:F175"/>
    <mergeCell ref="G173:G175"/>
    <mergeCell ref="H173:H175"/>
    <mergeCell ref="I173:I175"/>
    <mergeCell ref="J173:J175"/>
    <mergeCell ref="K173:K175"/>
    <mergeCell ref="L173:L175"/>
    <mergeCell ref="M173:N173"/>
    <mergeCell ref="M174:N174"/>
    <mergeCell ref="B170:B172"/>
    <mergeCell ref="C170:C172"/>
    <mergeCell ref="D170:D172"/>
    <mergeCell ref="E170:E172"/>
    <mergeCell ref="F170:F172"/>
    <mergeCell ref="G170:G172"/>
    <mergeCell ref="H170:H172"/>
    <mergeCell ref="I170:I172"/>
    <mergeCell ref="J170:J172"/>
    <mergeCell ref="K176:K178"/>
    <mergeCell ref="L176:L178"/>
    <mergeCell ref="M176:N176"/>
    <mergeCell ref="M177:N177"/>
    <mergeCell ref="B179:B183"/>
    <mergeCell ref="C179:C183"/>
    <mergeCell ref="D179:D183"/>
    <mergeCell ref="E179:E183"/>
    <mergeCell ref="F179:F183"/>
    <mergeCell ref="G179:G183"/>
    <mergeCell ref="H179:H183"/>
    <mergeCell ref="I179:I183"/>
    <mergeCell ref="J179:J183"/>
    <mergeCell ref="K179:K183"/>
    <mergeCell ref="L179:L183"/>
    <mergeCell ref="M179:N179"/>
    <mergeCell ref="M180:N180"/>
    <mergeCell ref="B176:B178"/>
    <mergeCell ref="C176:C178"/>
    <mergeCell ref="D176:D178"/>
    <mergeCell ref="E176:E178"/>
    <mergeCell ref="F176:F178"/>
    <mergeCell ref="G176:G178"/>
    <mergeCell ref="H176:H178"/>
    <mergeCell ref="I176:I178"/>
    <mergeCell ref="J176:J178"/>
    <mergeCell ref="K184:K186"/>
    <mergeCell ref="L184:L186"/>
    <mergeCell ref="M184:N184"/>
    <mergeCell ref="M185:N185"/>
    <mergeCell ref="B187:B189"/>
    <mergeCell ref="C187:C189"/>
    <mergeCell ref="D187:D189"/>
    <mergeCell ref="E187:E189"/>
    <mergeCell ref="F187:F189"/>
    <mergeCell ref="G187:G189"/>
    <mergeCell ref="H187:H189"/>
    <mergeCell ref="I187:I189"/>
    <mergeCell ref="J187:J189"/>
    <mergeCell ref="K187:K189"/>
    <mergeCell ref="L187:L189"/>
    <mergeCell ref="M187:N187"/>
    <mergeCell ref="M188:N188"/>
    <mergeCell ref="B184:B186"/>
    <mergeCell ref="C184:C186"/>
    <mergeCell ref="D184:D186"/>
    <mergeCell ref="E184:E186"/>
    <mergeCell ref="F184:F186"/>
    <mergeCell ref="G184:G186"/>
    <mergeCell ref="H184:H186"/>
    <mergeCell ref="I184:I186"/>
    <mergeCell ref="J184:J186"/>
    <mergeCell ref="B190:B191"/>
    <mergeCell ref="C190:C191"/>
    <mergeCell ref="V190:Y190"/>
    <mergeCell ref="Z190:AA190"/>
    <mergeCell ref="V191:Y191"/>
    <mergeCell ref="Z191:AA191"/>
    <mergeCell ref="B192:B196"/>
    <mergeCell ref="C192:C196"/>
    <mergeCell ref="D192:D196"/>
    <mergeCell ref="E192:E196"/>
    <mergeCell ref="F192:F196"/>
    <mergeCell ref="G192:G196"/>
    <mergeCell ref="H192:H196"/>
    <mergeCell ref="I192:I196"/>
    <mergeCell ref="J192:J196"/>
    <mergeCell ref="K192:K196"/>
    <mergeCell ref="L192:L196"/>
    <mergeCell ref="M192:N192"/>
    <mergeCell ref="M193:N193"/>
    <mergeCell ref="K197:K199"/>
    <mergeCell ref="L197:L199"/>
    <mergeCell ref="M197:N197"/>
    <mergeCell ref="M198:N198"/>
    <mergeCell ref="B200:B204"/>
    <mergeCell ref="C200:C204"/>
    <mergeCell ref="D200:D204"/>
    <mergeCell ref="E200:E204"/>
    <mergeCell ref="F200:F204"/>
    <mergeCell ref="G200:G204"/>
    <mergeCell ref="H200:H204"/>
    <mergeCell ref="I200:I204"/>
    <mergeCell ref="J200:J204"/>
    <mergeCell ref="K200:K204"/>
    <mergeCell ref="L200:L204"/>
    <mergeCell ref="M200:N200"/>
    <mergeCell ref="M201:N201"/>
    <mergeCell ref="B197:B199"/>
    <mergeCell ref="C197:C199"/>
    <mergeCell ref="D197:D199"/>
    <mergeCell ref="E197:E199"/>
    <mergeCell ref="F197:F199"/>
    <mergeCell ref="G197:G199"/>
    <mergeCell ref="H197:H199"/>
    <mergeCell ref="I197:I199"/>
    <mergeCell ref="J197:J199"/>
    <mergeCell ref="B205:B206"/>
    <mergeCell ref="C205:C206"/>
    <mergeCell ref="V205:Y205"/>
    <mergeCell ref="Z205:AA205"/>
    <mergeCell ref="V206:Y206"/>
    <mergeCell ref="Z206:AA206"/>
    <mergeCell ref="B207:B212"/>
    <mergeCell ref="C207:C212"/>
    <mergeCell ref="D207:D212"/>
    <mergeCell ref="E207:E212"/>
    <mergeCell ref="F207:F212"/>
    <mergeCell ref="G207:G212"/>
    <mergeCell ref="H207:H212"/>
    <mergeCell ref="I207:I212"/>
    <mergeCell ref="J207:J212"/>
    <mergeCell ref="K207:K212"/>
    <mergeCell ref="L207:L212"/>
    <mergeCell ref="M207:N207"/>
    <mergeCell ref="M208:N208"/>
    <mergeCell ref="B213:B214"/>
    <mergeCell ref="C213:C214"/>
    <mergeCell ref="V213:Y213"/>
    <mergeCell ref="Z213:AA213"/>
    <mergeCell ref="V214:Y214"/>
    <mergeCell ref="Z214:AA214"/>
    <mergeCell ref="B215:B219"/>
    <mergeCell ref="C215:C219"/>
    <mergeCell ref="D215:D219"/>
    <mergeCell ref="E215:E219"/>
    <mergeCell ref="F215:F219"/>
    <mergeCell ref="G215:G219"/>
    <mergeCell ref="H215:H219"/>
    <mergeCell ref="I215:I219"/>
    <mergeCell ref="J215:J219"/>
    <mergeCell ref="K215:K219"/>
    <mergeCell ref="L215:L219"/>
    <mergeCell ref="M215:N215"/>
    <mergeCell ref="M216:N216"/>
    <mergeCell ref="D213:G214"/>
    <mergeCell ref="B220:B221"/>
    <mergeCell ref="C220:C221"/>
    <mergeCell ref="V220:Y220"/>
    <mergeCell ref="Z220:AA220"/>
    <mergeCell ref="V221:Y221"/>
    <mergeCell ref="Z221:AA221"/>
    <mergeCell ref="B222:B224"/>
    <mergeCell ref="C222:C224"/>
    <mergeCell ref="D222:D224"/>
    <mergeCell ref="E222:E224"/>
    <mergeCell ref="F222:F224"/>
    <mergeCell ref="G222:G224"/>
    <mergeCell ref="H222:H224"/>
    <mergeCell ref="I222:I224"/>
    <mergeCell ref="J222:J224"/>
    <mergeCell ref="K222:K224"/>
    <mergeCell ref="L222:L224"/>
    <mergeCell ref="M222:N222"/>
    <mergeCell ref="M223:N223"/>
    <mergeCell ref="D220:F221"/>
    <mergeCell ref="B225:B226"/>
    <mergeCell ref="C225:C226"/>
    <mergeCell ref="V225:Y225"/>
    <mergeCell ref="Z225:AA225"/>
    <mergeCell ref="V226:Y226"/>
    <mergeCell ref="Z226:AA226"/>
    <mergeCell ref="B227:B230"/>
    <mergeCell ref="C227:C230"/>
    <mergeCell ref="D227:D230"/>
    <mergeCell ref="E227:E230"/>
    <mergeCell ref="F227:F230"/>
    <mergeCell ref="G227:G230"/>
    <mergeCell ref="H227:H230"/>
    <mergeCell ref="I227:I230"/>
    <mergeCell ref="J227:J230"/>
    <mergeCell ref="K227:K230"/>
    <mergeCell ref="L227:L230"/>
    <mergeCell ref="M227:N227"/>
    <mergeCell ref="M228:N228"/>
    <mergeCell ref="D225:E226"/>
    <mergeCell ref="M242:N243"/>
    <mergeCell ref="A231:AA231"/>
    <mergeCell ref="A232:A236"/>
    <mergeCell ref="C232:F232"/>
    <mergeCell ref="C233:AA233"/>
    <mergeCell ref="C234:N234"/>
    <mergeCell ref="C235:AA235"/>
    <mergeCell ref="C236:H236"/>
    <mergeCell ref="A237:A249"/>
    <mergeCell ref="B238:B239"/>
    <mergeCell ref="C238:C239"/>
    <mergeCell ref="D238:P239"/>
    <mergeCell ref="V238:Y238"/>
    <mergeCell ref="Z238:AA238"/>
    <mergeCell ref="V239:Y239"/>
    <mergeCell ref="Z239:AA239"/>
    <mergeCell ref="B240:B241"/>
    <mergeCell ref="C240:C241"/>
    <mergeCell ref="V240:Y240"/>
    <mergeCell ref="Z240:AA240"/>
    <mergeCell ref="V241:Y241"/>
    <mergeCell ref="Z241:AA241"/>
    <mergeCell ref="B242:B243"/>
    <mergeCell ref="C242:C243"/>
    <mergeCell ref="C251:V251"/>
    <mergeCell ref="C253:V253"/>
    <mergeCell ref="B254:B255"/>
    <mergeCell ref="C254:C255"/>
    <mergeCell ref="D254:U255"/>
    <mergeCell ref="V254:Y254"/>
    <mergeCell ref="Z254:AA254"/>
    <mergeCell ref="V255:Y255"/>
    <mergeCell ref="Z255:AA255"/>
    <mergeCell ref="O242:Z242"/>
    <mergeCell ref="AA242:AA243"/>
    <mergeCell ref="B244:B249"/>
    <mergeCell ref="C244:C249"/>
    <mergeCell ref="D244:D249"/>
    <mergeCell ref="E244:E249"/>
    <mergeCell ref="F244:F249"/>
    <mergeCell ref="G244:G249"/>
    <mergeCell ref="H244:H249"/>
    <mergeCell ref="I244:I249"/>
    <mergeCell ref="J244:J249"/>
    <mergeCell ref="K244:K249"/>
    <mergeCell ref="L244:L249"/>
    <mergeCell ref="M244:N244"/>
    <mergeCell ref="M245:N245"/>
    <mergeCell ref="D242:D243"/>
    <mergeCell ref="E242:E243"/>
    <mergeCell ref="F242:F243"/>
    <mergeCell ref="G242:G243"/>
    <mergeCell ref="H242:H243"/>
    <mergeCell ref="I242:I243"/>
    <mergeCell ref="J242:K242"/>
    <mergeCell ref="L242:L243"/>
    <mergeCell ref="B256:B257"/>
    <mergeCell ref="C256:C257"/>
    <mergeCell ref="D256:U257"/>
    <mergeCell ref="V256:Y256"/>
    <mergeCell ref="Z256:AA256"/>
    <mergeCell ref="V257:Y257"/>
    <mergeCell ref="Z257:AA257"/>
    <mergeCell ref="B258:B259"/>
    <mergeCell ref="C258:C259"/>
    <mergeCell ref="D258:D259"/>
    <mergeCell ref="E258:E259"/>
    <mergeCell ref="F258:F259"/>
    <mergeCell ref="G258:G259"/>
    <mergeCell ref="H258:H259"/>
    <mergeCell ref="I258:I259"/>
    <mergeCell ref="J258:K258"/>
    <mergeCell ref="L258:L259"/>
    <mergeCell ref="M258:N259"/>
    <mergeCell ref="O258:Z258"/>
    <mergeCell ref="AA258:AA259"/>
    <mergeCell ref="C372:I372"/>
    <mergeCell ref="B373:B374"/>
    <mergeCell ref="C373:C374"/>
    <mergeCell ref="D373:P374"/>
    <mergeCell ref="K260:K261"/>
    <mergeCell ref="L260:L261"/>
    <mergeCell ref="M260:N260"/>
    <mergeCell ref="M261:N261"/>
    <mergeCell ref="B262:B307"/>
    <mergeCell ref="C262:C307"/>
    <mergeCell ref="D262:D307"/>
    <mergeCell ref="E262:E307"/>
    <mergeCell ref="F262:F307"/>
    <mergeCell ref="G262:G307"/>
    <mergeCell ref="H262:H307"/>
    <mergeCell ref="I262:I307"/>
    <mergeCell ref="J262:J307"/>
    <mergeCell ref="K262:K307"/>
    <mergeCell ref="L262:L307"/>
    <mergeCell ref="M262:N262"/>
    <mergeCell ref="M263:N263"/>
    <mergeCell ref="B260:B261"/>
    <mergeCell ref="C260:C261"/>
    <mergeCell ref="D260:D261"/>
    <mergeCell ref="E260:E261"/>
    <mergeCell ref="F260:F261"/>
    <mergeCell ref="G260:G261"/>
    <mergeCell ref="H260:H261"/>
    <mergeCell ref="I260:I261"/>
    <mergeCell ref="J260:J261"/>
    <mergeCell ref="K308:K337"/>
    <mergeCell ref="L308:L337"/>
    <mergeCell ref="M308:N308"/>
    <mergeCell ref="M309:N309"/>
    <mergeCell ref="B338:B369"/>
    <mergeCell ref="C338:C369"/>
    <mergeCell ref="D338:D369"/>
    <mergeCell ref="E338:E369"/>
    <mergeCell ref="F338:F369"/>
    <mergeCell ref="G338:G369"/>
    <mergeCell ref="H338:H369"/>
    <mergeCell ref="I338:I369"/>
    <mergeCell ref="J338:J369"/>
    <mergeCell ref="K338:K369"/>
    <mergeCell ref="L338:L369"/>
    <mergeCell ref="M338:N338"/>
    <mergeCell ref="M339:N339"/>
    <mergeCell ref="B308:B337"/>
    <mergeCell ref="C308:C337"/>
    <mergeCell ref="I308:I337"/>
    <mergeCell ref="J308:J337"/>
    <mergeCell ref="Z376:AA376"/>
    <mergeCell ref="B377:B378"/>
    <mergeCell ref="C377:C378"/>
    <mergeCell ref="D377:D378"/>
    <mergeCell ref="E377:E378"/>
    <mergeCell ref="F377:F378"/>
    <mergeCell ref="G377:G378"/>
    <mergeCell ref="H377:H378"/>
    <mergeCell ref="I377:I378"/>
    <mergeCell ref="J377:K377"/>
    <mergeCell ref="L377:L378"/>
    <mergeCell ref="M377:N378"/>
    <mergeCell ref="O377:Z377"/>
    <mergeCell ref="AA377:AA378"/>
    <mergeCell ref="B375:B376"/>
    <mergeCell ref="D375:P376"/>
    <mergeCell ref="V373:Y373"/>
    <mergeCell ref="C6:D6"/>
    <mergeCell ref="K391:K398"/>
    <mergeCell ref="L391:L398"/>
    <mergeCell ref="V96:Y96"/>
    <mergeCell ref="V95:Y95"/>
    <mergeCell ref="V93:Y93"/>
    <mergeCell ref="H379:H385"/>
    <mergeCell ref="I379:I385"/>
    <mergeCell ref="J379:J385"/>
    <mergeCell ref="Z373:AA373"/>
    <mergeCell ref="D308:D337"/>
    <mergeCell ref="E308:E337"/>
    <mergeCell ref="F308:F337"/>
    <mergeCell ref="G308:G337"/>
    <mergeCell ref="H308:H337"/>
    <mergeCell ref="C391:C398"/>
    <mergeCell ref="D391:D398"/>
    <mergeCell ref="E391:E398"/>
    <mergeCell ref="F391:F398"/>
    <mergeCell ref="G391:G398"/>
    <mergeCell ref="H391:H398"/>
    <mergeCell ref="I391:I398"/>
    <mergeCell ref="J386:J390"/>
    <mergeCell ref="K386:K390"/>
    <mergeCell ref="D379:D385"/>
    <mergeCell ref="E379:E385"/>
    <mergeCell ref="F379:F385"/>
    <mergeCell ref="G379:G385"/>
    <mergeCell ref="C375:C376"/>
    <mergeCell ref="V375:Y375"/>
    <mergeCell ref="Z375:AA375"/>
    <mergeCell ref="V376:Y376"/>
    <mergeCell ref="M392:N392"/>
    <mergeCell ref="M391:N391"/>
    <mergeCell ref="B391:B398"/>
    <mergeCell ref="J391:J398"/>
    <mergeCell ref="K379:K385"/>
    <mergeCell ref="L379:L385"/>
    <mergeCell ref="M379:N379"/>
    <mergeCell ref="M380:N380"/>
    <mergeCell ref="B386:B390"/>
    <mergeCell ref="C386:C390"/>
    <mergeCell ref="D386:D390"/>
    <mergeCell ref="E386:E390"/>
    <mergeCell ref="F386:F390"/>
    <mergeCell ref="G386:G390"/>
    <mergeCell ref="H386:H390"/>
    <mergeCell ref="I386:I390"/>
    <mergeCell ref="L386:L390"/>
    <mergeCell ref="M386:N386"/>
    <mergeCell ref="M387:N387"/>
    <mergeCell ref="B379:B385"/>
    <mergeCell ref="C379:C385"/>
    <mergeCell ref="AB448:AB449"/>
    <mergeCell ref="B534:B535"/>
    <mergeCell ref="C534:C535"/>
    <mergeCell ref="D534:L535"/>
    <mergeCell ref="D541:D577"/>
    <mergeCell ref="E541:E577"/>
    <mergeCell ref="F541:F577"/>
    <mergeCell ref="G541:G577"/>
    <mergeCell ref="H541:H577"/>
    <mergeCell ref="I541:I577"/>
    <mergeCell ref="J541:J577"/>
    <mergeCell ref="K541:K577"/>
    <mergeCell ref="L541:L577"/>
    <mergeCell ref="D415:D447"/>
    <mergeCell ref="E415:E447"/>
    <mergeCell ref="F415:F447"/>
    <mergeCell ref="G415:G447"/>
    <mergeCell ref="H415:H447"/>
    <mergeCell ref="I415:I447"/>
    <mergeCell ref="J415:J447"/>
    <mergeCell ref="K415:K447"/>
    <mergeCell ref="L415:L447"/>
    <mergeCell ref="D456:D457"/>
    <mergeCell ref="L448:L449"/>
    <mergeCell ref="K458:K459"/>
    <mergeCell ref="L458:L459"/>
    <mergeCell ref="D460:D461"/>
    <mergeCell ref="E460:E461"/>
    <mergeCell ref="F460:F461"/>
    <mergeCell ref="G460:G461"/>
    <mergeCell ref="H460:H461"/>
    <mergeCell ref="I460:I461"/>
    <mergeCell ref="AB407:AB409"/>
    <mergeCell ref="J408:J409"/>
    <mergeCell ref="K408:K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M413:M414"/>
    <mergeCell ref="J407:K407"/>
    <mergeCell ref="L407:L409"/>
    <mergeCell ref="M407:N407"/>
    <mergeCell ref="O407:O409"/>
    <mergeCell ref="P407:AA407"/>
    <mergeCell ref="J412:J414"/>
    <mergeCell ref="K412:K414"/>
    <mergeCell ref="D450:D452"/>
    <mergeCell ref="E450:E452"/>
    <mergeCell ref="F450:F452"/>
    <mergeCell ref="G450:G452"/>
    <mergeCell ref="H450:H452"/>
    <mergeCell ref="I450:I452"/>
    <mergeCell ref="J450:J452"/>
    <mergeCell ref="K450:K452"/>
    <mergeCell ref="L450:L452"/>
    <mergeCell ref="M451:M452"/>
    <mergeCell ref="D453:D455"/>
    <mergeCell ref="E453:E455"/>
    <mergeCell ref="F453:F455"/>
    <mergeCell ref="G453:G455"/>
    <mergeCell ref="H453:H455"/>
    <mergeCell ref="I453:I455"/>
    <mergeCell ref="J453:J455"/>
    <mergeCell ref="K453:K455"/>
    <mergeCell ref="L453:L455"/>
    <mergeCell ref="D462:D463"/>
    <mergeCell ref="E462:E463"/>
    <mergeCell ref="F462:F463"/>
    <mergeCell ref="G462:G463"/>
    <mergeCell ref="H462:H463"/>
    <mergeCell ref="I462:I463"/>
    <mergeCell ref="J462:J463"/>
    <mergeCell ref="K462:K463"/>
    <mergeCell ref="L462:L463"/>
    <mergeCell ref="I458:I459"/>
    <mergeCell ref="J458:J459"/>
    <mergeCell ref="H469:H470"/>
    <mergeCell ref="I469:I470"/>
    <mergeCell ref="J469:J470"/>
    <mergeCell ref="K469:K470"/>
    <mergeCell ref="L469:L470"/>
    <mergeCell ref="D471:D474"/>
    <mergeCell ref="E471:E474"/>
    <mergeCell ref="F471:F474"/>
    <mergeCell ref="G471:G474"/>
    <mergeCell ref="H471:H474"/>
    <mergeCell ref="I471:I474"/>
    <mergeCell ref="J471:J474"/>
    <mergeCell ref="K471:K474"/>
    <mergeCell ref="L471:L474"/>
    <mergeCell ref="G458:G459"/>
    <mergeCell ref="H458:H459"/>
    <mergeCell ref="D467:D468"/>
    <mergeCell ref="E467:E468"/>
    <mergeCell ref="K460:K461"/>
    <mergeCell ref="L460:L461"/>
    <mergeCell ref="J460:J461"/>
    <mergeCell ref="H477:H481"/>
    <mergeCell ref="I477:I481"/>
    <mergeCell ref="J477:J481"/>
    <mergeCell ref="K477:K481"/>
    <mergeCell ref="L477:L481"/>
    <mergeCell ref="M478:M481"/>
    <mergeCell ref="K482:K483"/>
    <mergeCell ref="L482:L483"/>
    <mergeCell ref="B484:B485"/>
    <mergeCell ref="C484:C485"/>
    <mergeCell ref="D484:D485"/>
    <mergeCell ref="E484:E485"/>
    <mergeCell ref="F484:F485"/>
    <mergeCell ref="G484:G485"/>
    <mergeCell ref="H484:H485"/>
    <mergeCell ref="I484:I485"/>
    <mergeCell ref="J484:K484"/>
    <mergeCell ref="L484:L485"/>
    <mergeCell ref="M484:N485"/>
    <mergeCell ref="O484:O485"/>
    <mergeCell ref="P484:AA484"/>
    <mergeCell ref="AB484:AB485"/>
    <mergeCell ref="E492:E493"/>
    <mergeCell ref="F492:F493"/>
    <mergeCell ref="G492:G493"/>
    <mergeCell ref="H492:H493"/>
    <mergeCell ref="I492:I493"/>
    <mergeCell ref="J492:J493"/>
    <mergeCell ref="K492:K493"/>
    <mergeCell ref="L492:L493"/>
    <mergeCell ref="E494:E495"/>
    <mergeCell ref="F494:F495"/>
    <mergeCell ref="G494:G495"/>
    <mergeCell ref="H494:H495"/>
    <mergeCell ref="I494:I495"/>
    <mergeCell ref="J494:J495"/>
    <mergeCell ref="K494:K495"/>
    <mergeCell ref="L494:L495"/>
    <mergeCell ref="L502:L504"/>
    <mergeCell ref="M503:M504"/>
    <mergeCell ref="E500:E501"/>
    <mergeCell ref="F500:F501"/>
    <mergeCell ref="G500:G501"/>
    <mergeCell ref="H500:H501"/>
    <mergeCell ref="I500:I501"/>
    <mergeCell ref="J500:J501"/>
    <mergeCell ref="E502:E504"/>
    <mergeCell ref="F502:F504"/>
    <mergeCell ref="G502:G504"/>
    <mergeCell ref="H502:H504"/>
    <mergeCell ref="I502:I504"/>
    <mergeCell ref="J502:J504"/>
    <mergeCell ref="D496:D499"/>
    <mergeCell ref="E496:E499"/>
    <mergeCell ref="F496:F499"/>
    <mergeCell ref="G496:G499"/>
    <mergeCell ref="H496:H499"/>
    <mergeCell ref="I496:I499"/>
    <mergeCell ref="J496:J499"/>
    <mergeCell ref="K496:K499"/>
    <mergeCell ref="AB505:AB506"/>
    <mergeCell ref="D507:D508"/>
    <mergeCell ref="E507:E508"/>
    <mergeCell ref="F507:F508"/>
    <mergeCell ref="G507:G508"/>
    <mergeCell ref="H507:H508"/>
    <mergeCell ref="I507:I508"/>
    <mergeCell ref="J507:J508"/>
    <mergeCell ref="K507:K508"/>
    <mergeCell ref="L507:L508"/>
    <mergeCell ref="D509:D511"/>
    <mergeCell ref="E509:E511"/>
    <mergeCell ref="F509:F511"/>
    <mergeCell ref="G509:G511"/>
    <mergeCell ref="H509:H511"/>
    <mergeCell ref="I509:I511"/>
    <mergeCell ref="J509:J511"/>
    <mergeCell ref="K509:K511"/>
    <mergeCell ref="L509:L511"/>
    <mergeCell ref="M510:M511"/>
    <mergeCell ref="O505:O506"/>
    <mergeCell ref="P505:AA505"/>
    <mergeCell ref="N505:N506"/>
    <mergeCell ref="M505:M506"/>
    <mergeCell ref="G517:G519"/>
    <mergeCell ref="H517:H519"/>
    <mergeCell ref="I517:I519"/>
    <mergeCell ref="J517:J519"/>
    <mergeCell ref="K517:K519"/>
    <mergeCell ref="L517:L519"/>
    <mergeCell ref="M518:M519"/>
    <mergeCell ref="E520:E521"/>
    <mergeCell ref="F520:F521"/>
    <mergeCell ref="G520:G521"/>
    <mergeCell ref="H520:H521"/>
    <mergeCell ref="I520:I521"/>
    <mergeCell ref="J520:J521"/>
    <mergeCell ref="K520:K521"/>
    <mergeCell ref="L520:L521"/>
    <mergeCell ref="D526:D527"/>
    <mergeCell ref="E526:E527"/>
    <mergeCell ref="F526:F527"/>
    <mergeCell ref="G526:G527"/>
    <mergeCell ref="L526:L527"/>
    <mergeCell ref="D517:D521"/>
    <mergeCell ref="E517:E519"/>
    <mergeCell ref="F517:F519"/>
    <mergeCell ref="B578:AA578"/>
    <mergeCell ref="J526:J527"/>
    <mergeCell ref="K526:K527"/>
    <mergeCell ref="D528:D529"/>
    <mergeCell ref="E528:E529"/>
    <mergeCell ref="F528:F529"/>
    <mergeCell ref="G528:G529"/>
    <mergeCell ref="H528:H529"/>
    <mergeCell ref="I528:I529"/>
    <mergeCell ref="J528:J529"/>
    <mergeCell ref="K528:K529"/>
    <mergeCell ref="L528:L529"/>
    <mergeCell ref="D522:D523"/>
    <mergeCell ref="E522:E523"/>
    <mergeCell ref="F522:F523"/>
    <mergeCell ref="G522:G523"/>
    <mergeCell ref="H522:H523"/>
    <mergeCell ref="I522:I523"/>
    <mergeCell ref="J522:J523"/>
    <mergeCell ref="K522:K523"/>
    <mergeCell ref="L522:L523"/>
    <mergeCell ref="D524:D525"/>
    <mergeCell ref="E524:E525"/>
    <mergeCell ref="F524:F525"/>
    <mergeCell ref="G524:G525"/>
    <mergeCell ref="H524:H525"/>
    <mergeCell ref="I524:I525"/>
    <mergeCell ref="J524:J525"/>
    <mergeCell ref="K524:K525"/>
    <mergeCell ref="L524:L525"/>
    <mergeCell ref="H526:H527"/>
    <mergeCell ref="I526:I527"/>
    <mergeCell ref="B585:B586"/>
    <mergeCell ref="C585:C586"/>
    <mergeCell ref="H585:H586"/>
    <mergeCell ref="AA585:AA586"/>
    <mergeCell ref="O585:Z585"/>
    <mergeCell ref="B643:B644"/>
    <mergeCell ref="C643:C644"/>
    <mergeCell ref="B633:B636"/>
    <mergeCell ref="C633:C636"/>
    <mergeCell ref="B637:B642"/>
    <mergeCell ref="C637:C642"/>
    <mergeCell ref="B626:B629"/>
    <mergeCell ref="C626:C629"/>
    <mergeCell ref="B630:B632"/>
    <mergeCell ref="C630:C632"/>
    <mergeCell ref="B620:B621"/>
    <mergeCell ref="C620:C621"/>
    <mergeCell ref="B622:B625"/>
    <mergeCell ref="C622:C625"/>
    <mergeCell ref="B609:B611"/>
    <mergeCell ref="C609:C611"/>
    <mergeCell ref="I643:I644"/>
    <mergeCell ref="B612:B614"/>
    <mergeCell ref="C612:C614"/>
    <mergeCell ref="G620:G621"/>
    <mergeCell ref="K615:K619"/>
    <mergeCell ref="J615:J619"/>
    <mergeCell ref="I615:I619"/>
    <mergeCell ref="H615:H619"/>
    <mergeCell ref="K612:K614"/>
    <mergeCell ref="J612:J614"/>
    <mergeCell ref="M585:N586"/>
    <mergeCell ref="J650:J652"/>
    <mergeCell ref="K650:K652"/>
    <mergeCell ref="D622:D625"/>
    <mergeCell ref="E620:E621"/>
    <mergeCell ref="F620:F621"/>
    <mergeCell ref="H612:H614"/>
    <mergeCell ref="I612:I614"/>
    <mergeCell ref="D620:D621"/>
    <mergeCell ref="L622:L625"/>
    <mergeCell ref="K622:K625"/>
    <mergeCell ref="J622:J625"/>
    <mergeCell ref="I622:I625"/>
    <mergeCell ref="H622:H625"/>
    <mergeCell ref="L620:L621"/>
    <mergeCell ref="B587:B588"/>
    <mergeCell ref="C587:C588"/>
    <mergeCell ref="B589:B608"/>
    <mergeCell ref="K626:K629"/>
    <mergeCell ref="J626:J629"/>
    <mergeCell ref="I626:I629"/>
    <mergeCell ref="H626:H629"/>
    <mergeCell ref="K637:K642"/>
    <mergeCell ref="J637:J642"/>
    <mergeCell ref="I637:I642"/>
    <mergeCell ref="H637:H642"/>
    <mergeCell ref="K633:K636"/>
    <mergeCell ref="J633:J636"/>
    <mergeCell ref="I633:I636"/>
    <mergeCell ref="H633:H636"/>
    <mergeCell ref="K643:K644"/>
    <mergeCell ref="B615:B619"/>
    <mergeCell ref="C615:C619"/>
    <mergeCell ref="L585:L586"/>
    <mergeCell ref="J585:K585"/>
    <mergeCell ref="D587:D588"/>
    <mergeCell ref="E587:E588"/>
    <mergeCell ref="F587:F588"/>
    <mergeCell ref="D585:D586"/>
    <mergeCell ref="E585:E586"/>
    <mergeCell ref="F585:F586"/>
    <mergeCell ref="D589:D608"/>
    <mergeCell ref="H589:H608"/>
    <mergeCell ref="I589:I608"/>
    <mergeCell ref="D609:D611"/>
    <mergeCell ref="H609:H611"/>
    <mergeCell ref="I609:I611"/>
    <mergeCell ref="D612:D614"/>
    <mergeCell ref="D615:D619"/>
    <mergeCell ref="J609:J611"/>
    <mergeCell ref="K589:K608"/>
    <mergeCell ref="J589:J608"/>
    <mergeCell ref="L587:L588"/>
    <mergeCell ref="G587:G588"/>
    <mergeCell ref="K609:K611"/>
    <mergeCell ref="K620:K621"/>
    <mergeCell ref="I620:I621"/>
    <mergeCell ref="D626:D629"/>
    <mergeCell ref="D630:D632"/>
    <mergeCell ref="D633:D636"/>
    <mergeCell ref="D637:D642"/>
    <mergeCell ref="D643:D644"/>
    <mergeCell ref="D645:D649"/>
    <mergeCell ref="D650:D652"/>
    <mergeCell ref="D653:D655"/>
    <mergeCell ref="F643:F644"/>
    <mergeCell ref="L643:L644"/>
    <mergeCell ref="K645:K649"/>
    <mergeCell ref="J645:J649"/>
    <mergeCell ref="I645:I649"/>
    <mergeCell ref="H645:H649"/>
    <mergeCell ref="H668:H669"/>
    <mergeCell ref="I668:I669"/>
    <mergeCell ref="J668:J669"/>
    <mergeCell ref="K668:K669"/>
    <mergeCell ref="L668:L669"/>
    <mergeCell ref="H653:H655"/>
    <mergeCell ref="I653:I655"/>
    <mergeCell ref="J653:J655"/>
    <mergeCell ref="K653:K655"/>
    <mergeCell ref="G643:G644"/>
    <mergeCell ref="K630:K632"/>
    <mergeCell ref="J630:J632"/>
    <mergeCell ref="I630:I632"/>
    <mergeCell ref="H630:H632"/>
    <mergeCell ref="H650:H652"/>
    <mergeCell ref="I650:I652"/>
    <mergeCell ref="O666:Z666"/>
    <mergeCell ref="AA666:AA667"/>
    <mergeCell ref="G666:G667"/>
    <mergeCell ref="H666:H667"/>
    <mergeCell ref="I666:I667"/>
    <mergeCell ref="C671:C672"/>
    <mergeCell ref="C673:C674"/>
    <mergeCell ref="C675:C676"/>
    <mergeCell ref="D675:D676"/>
    <mergeCell ref="E675:E676"/>
    <mergeCell ref="F675:F676"/>
    <mergeCell ref="G675:G676"/>
    <mergeCell ref="H675:H676"/>
    <mergeCell ref="I675:I676"/>
    <mergeCell ref="O675:Z675"/>
    <mergeCell ref="AA675:AA676"/>
    <mergeCell ref="B677:B678"/>
    <mergeCell ref="M677:N677"/>
    <mergeCell ref="M678:N678"/>
    <mergeCell ref="C677:C678"/>
    <mergeCell ref="D677:D678"/>
    <mergeCell ref="E677:E678"/>
    <mergeCell ref="F677:F678"/>
    <mergeCell ref="G677:G678"/>
    <mergeCell ref="H677:H678"/>
    <mergeCell ref="I677:I678"/>
    <mergeCell ref="J677:J678"/>
    <mergeCell ref="K677:K678"/>
    <mergeCell ref="L677:L678"/>
    <mergeCell ref="E668:E669"/>
    <mergeCell ref="F668:F669"/>
    <mergeCell ref="G668:G669"/>
    <mergeCell ref="C668:C669"/>
    <mergeCell ref="D668:D669"/>
    <mergeCell ref="A670:A678"/>
    <mergeCell ref="B671:B672"/>
    <mergeCell ref="D671:U672"/>
    <mergeCell ref="V671:Y671"/>
    <mergeCell ref="Z671:AA671"/>
    <mergeCell ref="V672:Y672"/>
    <mergeCell ref="Z672:AA672"/>
    <mergeCell ref="B673:B674"/>
    <mergeCell ref="D673:U674"/>
    <mergeCell ref="V673:Y673"/>
    <mergeCell ref="Z673:AA673"/>
    <mergeCell ref="V674:Y674"/>
    <mergeCell ref="Z674:AA674"/>
    <mergeCell ref="B675:B676"/>
    <mergeCell ref="J675:K675"/>
    <mergeCell ref="L675:L676"/>
    <mergeCell ref="M675:N676"/>
    <mergeCell ref="A656:A660"/>
    <mergeCell ref="C656:F656"/>
    <mergeCell ref="C657:AA657"/>
    <mergeCell ref="C658:N658"/>
    <mergeCell ref="C659:AA659"/>
    <mergeCell ref="C660:H660"/>
    <mergeCell ref="A661:A669"/>
    <mergeCell ref="B662:B663"/>
    <mergeCell ref="D662:U663"/>
    <mergeCell ref="V662:Y662"/>
    <mergeCell ref="Z662:AA662"/>
    <mergeCell ref="V663:Y663"/>
    <mergeCell ref="Z663:AA663"/>
    <mergeCell ref="B664:B665"/>
    <mergeCell ref="D664:U665"/>
    <mergeCell ref="V664:Y664"/>
    <mergeCell ref="Z664:AA664"/>
    <mergeCell ref="V665:Y665"/>
    <mergeCell ref="Z665:AA665"/>
    <mergeCell ref="B666:B667"/>
    <mergeCell ref="J666:K666"/>
    <mergeCell ref="L666:L667"/>
    <mergeCell ref="M666:N667"/>
    <mergeCell ref="B668:B669"/>
    <mergeCell ref="M668:N668"/>
    <mergeCell ref="M669:N669"/>
    <mergeCell ref="C662:C663"/>
    <mergeCell ref="C664:C665"/>
    <mergeCell ref="C666:C667"/>
    <mergeCell ref="D666:D667"/>
    <mergeCell ref="E666:E667"/>
    <mergeCell ref="F666:F667"/>
  </mergeCells>
  <printOptions horizontalCentered="1" verticalCentered="1"/>
  <pageMargins left="0.55118110236220474" right="0.70866141732283472" top="0.98425196850393704" bottom="0.98425196850393704" header="0.31496062992125984" footer="0.31496062992125984"/>
  <pageSetup paperSize="9" scale="40" orientation="landscape" r:id="rId1"/>
  <headerFooter>
    <oddHeader>&amp;C&amp;G</oddHeader>
    <oddFooter>&amp;C&amp;G</oddFooter>
  </headerFooter>
  <rowBreaks count="16" manualBreakCount="16">
    <brk id="49" max="16383" man="1"/>
    <brk id="89" max="16383" man="1"/>
    <brk id="139" max="26" man="1"/>
    <brk id="186" max="16383" man="1"/>
    <brk id="230" max="16383" man="1"/>
    <brk id="270" max="16383" man="1"/>
    <brk id="307" max="16383" man="1"/>
    <brk id="384" max="26" man="1"/>
    <brk id="398" max="26" man="1"/>
    <brk id="468" max="26" man="1"/>
    <brk id="513" max="26" man="1"/>
    <brk id="530" max="26" man="1"/>
    <brk id="572" max="26" man="1"/>
    <brk id="655" max="26" man="1"/>
    <brk id="702" max="26" man="1"/>
    <brk id="780" max="26"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073"/>
  <sheetViews>
    <sheetView view="pageBreakPreview" topLeftCell="A6041" zoomScale="70" zoomScaleNormal="100" zoomScaleSheetLayoutView="70" workbookViewId="0">
      <selection activeCell="A4275" sqref="A4275:AA6073"/>
    </sheetView>
  </sheetViews>
  <sheetFormatPr baseColWidth="10" defaultRowHeight="11.25" x14ac:dyDescent="0.2"/>
  <cols>
    <col min="1" max="1" width="3" style="34" customWidth="1"/>
    <col min="2" max="2" width="16.5703125" style="34" customWidth="1"/>
    <col min="3" max="3" width="24.7109375" style="34" customWidth="1"/>
    <col min="4" max="4" width="19.5703125" style="34" customWidth="1"/>
    <col min="5" max="6" width="11.42578125" style="34"/>
    <col min="7" max="7" width="14" style="34" customWidth="1"/>
    <col min="8" max="8" width="13.85546875" style="34" customWidth="1"/>
    <col min="9" max="9" width="11.42578125" style="34"/>
    <col min="10" max="10" width="11.28515625" style="34" customWidth="1"/>
    <col min="11" max="11" width="16" style="34" customWidth="1"/>
    <col min="12" max="12" width="11.42578125" style="34"/>
    <col min="13" max="13" width="10.7109375" style="34" customWidth="1"/>
    <col min="14" max="14" width="15.42578125" style="34" customWidth="1"/>
    <col min="15" max="15" width="8.7109375" style="34" customWidth="1"/>
    <col min="16" max="16" width="21" style="34" customWidth="1"/>
    <col min="17" max="17" width="16.140625" style="34" customWidth="1"/>
    <col min="18" max="21" width="17" style="34" bestFit="1" customWidth="1"/>
    <col min="22" max="22" width="10.28515625" style="34" customWidth="1"/>
    <col min="23" max="23" width="11.85546875" style="34" customWidth="1"/>
    <col min="24" max="24" width="17" style="34" bestFit="1" customWidth="1"/>
    <col min="25" max="25" width="12.42578125" style="34" customWidth="1"/>
    <col min="26" max="26" width="8.85546875" style="34" customWidth="1"/>
    <col min="27" max="27" width="13.28515625" style="50" customWidth="1"/>
    <col min="28" max="28" width="8.7109375" style="34" bestFit="1" customWidth="1"/>
    <col min="29" max="29" width="10" style="34" bestFit="1" customWidth="1"/>
    <col min="30" max="16384" width="11.42578125" style="34"/>
  </cols>
  <sheetData>
    <row r="1" spans="1:29" x14ac:dyDescent="0.2">
      <c r="A1" s="3224" t="s">
        <v>1171</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5"/>
      <c r="AC1" s="183"/>
    </row>
    <row r="2" spans="1:29" ht="31.5" customHeight="1" x14ac:dyDescent="0.2">
      <c r="A2" s="2917" t="s">
        <v>251</v>
      </c>
      <c r="B2" s="2194" t="s">
        <v>1</v>
      </c>
      <c r="C2" s="3226" t="s">
        <v>252</v>
      </c>
      <c r="D2" s="3226"/>
      <c r="E2" s="3226"/>
      <c r="F2" s="3226"/>
      <c r="G2" s="1112"/>
      <c r="H2" s="1112"/>
      <c r="I2" s="1112"/>
      <c r="J2" s="1112"/>
      <c r="K2" s="1112"/>
      <c r="L2" s="1112"/>
      <c r="M2" s="1112"/>
      <c r="N2" s="1112"/>
      <c r="O2" s="1112"/>
      <c r="P2" s="1112"/>
      <c r="Q2" s="1112"/>
      <c r="R2" s="1112"/>
      <c r="S2" s="1112"/>
      <c r="T2" s="1112"/>
      <c r="U2" s="1112"/>
      <c r="V2" s="1112"/>
      <c r="W2" s="1112"/>
      <c r="X2" s="1112"/>
      <c r="Y2" s="1112"/>
      <c r="Z2" s="1112"/>
      <c r="AA2" s="1042"/>
      <c r="AB2" s="2221"/>
      <c r="AC2" s="305"/>
    </row>
    <row r="3" spans="1:29" ht="22.5" x14ac:dyDescent="0.2">
      <c r="A3" s="2917"/>
      <c r="B3" s="2147" t="s">
        <v>2</v>
      </c>
      <c r="C3" s="2840" t="s">
        <v>253</v>
      </c>
      <c r="D3" s="2840"/>
      <c r="E3" s="2840"/>
      <c r="F3" s="2840"/>
      <c r="G3" s="2840"/>
      <c r="H3" s="2840"/>
      <c r="I3" s="2840"/>
      <c r="J3" s="2840"/>
      <c r="K3" s="2840"/>
      <c r="L3" s="2840"/>
      <c r="M3" s="2840"/>
      <c r="N3" s="2840"/>
      <c r="O3" s="2840"/>
      <c r="P3" s="2840"/>
      <c r="Q3" s="2840"/>
      <c r="R3" s="2840"/>
      <c r="S3" s="2840"/>
      <c r="T3" s="2840"/>
      <c r="U3" s="2840"/>
      <c r="V3" s="2840"/>
      <c r="W3" s="2840"/>
      <c r="X3" s="2840"/>
      <c r="Y3" s="2840"/>
      <c r="Z3" s="2840"/>
      <c r="AA3" s="2840"/>
      <c r="AB3" s="35"/>
      <c r="AC3" s="183"/>
    </row>
    <row r="4" spans="1:29" ht="15" customHeight="1" x14ac:dyDescent="0.2">
      <c r="A4" s="2917"/>
      <c r="B4" s="2147" t="s">
        <v>4</v>
      </c>
      <c r="C4" s="2671" t="s">
        <v>254</v>
      </c>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3002"/>
      <c r="AB4" s="35"/>
      <c r="AC4" s="183"/>
    </row>
    <row r="5" spans="1:29" ht="22.5" x14ac:dyDescent="0.2">
      <c r="A5" s="2917"/>
      <c r="B5" s="2147" t="s">
        <v>6</v>
      </c>
      <c r="C5" s="2840" t="s">
        <v>255</v>
      </c>
      <c r="D5" s="2840"/>
      <c r="E5" s="2840"/>
      <c r="F5" s="2840"/>
      <c r="G5" s="2840"/>
      <c r="H5" s="2840"/>
      <c r="I5" s="2840"/>
      <c r="J5" s="2840"/>
      <c r="K5" s="2840"/>
      <c r="L5" s="2840"/>
      <c r="M5" s="2840"/>
      <c r="N5" s="2840"/>
      <c r="O5" s="2840"/>
      <c r="P5" s="2840"/>
      <c r="Q5" s="2840"/>
      <c r="R5" s="2840"/>
      <c r="S5" s="2840"/>
      <c r="T5" s="2840"/>
      <c r="U5" s="2840"/>
      <c r="V5" s="2840"/>
      <c r="W5" s="2840"/>
      <c r="X5" s="2840"/>
      <c r="Y5" s="2840"/>
      <c r="Z5" s="2840"/>
      <c r="AA5" s="2840"/>
      <c r="AB5" s="35"/>
      <c r="AC5" s="183"/>
    </row>
    <row r="6" spans="1:29" ht="31.5" customHeight="1" x14ac:dyDescent="0.2">
      <c r="A6" s="2917"/>
      <c r="B6" s="1546" t="s">
        <v>8</v>
      </c>
      <c r="C6" s="3227" t="s">
        <v>100</v>
      </c>
      <c r="D6" s="3228"/>
      <c r="E6" s="3228"/>
      <c r="F6" s="3228"/>
      <c r="G6" s="3228"/>
      <c r="H6" s="3228"/>
      <c r="I6" s="3228"/>
      <c r="J6" s="3228"/>
      <c r="K6" s="3228"/>
      <c r="L6" s="3228"/>
      <c r="M6" s="3228"/>
      <c r="N6" s="3228"/>
      <c r="O6" s="3228"/>
      <c r="P6" s="3228"/>
      <c r="Q6" s="3228"/>
      <c r="R6" s="3228"/>
      <c r="S6" s="3228"/>
      <c r="T6" s="3228"/>
      <c r="U6" s="3228"/>
      <c r="V6" s="3228"/>
      <c r="W6" s="3228"/>
      <c r="X6" s="3228"/>
      <c r="Y6" s="3228"/>
      <c r="Z6" s="3228"/>
      <c r="AA6" s="3229"/>
      <c r="AB6" s="35"/>
      <c r="AC6" s="183"/>
    </row>
    <row r="7" spans="1:29" ht="27" customHeight="1" x14ac:dyDescent="0.2">
      <c r="A7" s="3043" t="s">
        <v>256</v>
      </c>
      <c r="B7" s="2147" t="s">
        <v>11</v>
      </c>
      <c r="C7" s="3045" t="s">
        <v>101</v>
      </c>
      <c r="D7" s="3046"/>
      <c r="E7" s="3046"/>
      <c r="F7" s="3046"/>
      <c r="G7" s="3046"/>
      <c r="H7" s="3046"/>
      <c r="I7" s="3046"/>
      <c r="J7" s="3046"/>
      <c r="K7" s="3046"/>
      <c r="L7" s="3046"/>
      <c r="M7" s="3046"/>
      <c r="N7" s="3046"/>
      <c r="O7" s="3046"/>
      <c r="P7" s="3046"/>
      <c r="Q7" s="3046"/>
      <c r="R7" s="3046"/>
      <c r="S7" s="3046"/>
      <c r="T7" s="3046"/>
      <c r="U7" s="3046"/>
      <c r="V7" s="3046"/>
      <c r="W7" s="3046"/>
      <c r="X7" s="3046"/>
      <c r="Y7" s="3046"/>
      <c r="Z7" s="3046"/>
      <c r="AA7" s="3205"/>
      <c r="AB7" s="35"/>
      <c r="AC7" s="183"/>
    </row>
    <row r="8" spans="1:29" x14ac:dyDescent="0.2">
      <c r="A8" s="3044"/>
      <c r="B8" s="2913" t="s">
        <v>13</v>
      </c>
      <c r="C8" s="3017" t="s">
        <v>257</v>
      </c>
      <c r="D8" s="2918" t="s">
        <v>258</v>
      </c>
      <c r="E8" s="2919"/>
      <c r="F8" s="2919"/>
      <c r="G8" s="2919"/>
      <c r="H8" s="2919"/>
      <c r="I8" s="2919"/>
      <c r="J8" s="28"/>
      <c r="K8" s="28"/>
      <c r="L8" s="28"/>
      <c r="M8" s="28"/>
      <c r="N8" s="28"/>
      <c r="O8" s="28"/>
      <c r="P8" s="28"/>
      <c r="Q8" s="28"/>
      <c r="R8" s="28"/>
      <c r="S8" s="28"/>
      <c r="T8" s="28"/>
      <c r="U8" s="29"/>
      <c r="V8" s="2922" t="s">
        <v>15</v>
      </c>
      <c r="W8" s="2922"/>
      <c r="X8" s="2922"/>
      <c r="Y8" s="2922"/>
      <c r="Z8" s="2922" t="s">
        <v>16</v>
      </c>
      <c r="AA8" s="2922"/>
      <c r="AB8" s="35"/>
      <c r="AC8" s="183"/>
    </row>
    <row r="9" spans="1:29" x14ac:dyDescent="0.2">
      <c r="A9" s="3044"/>
      <c r="B9" s="2913"/>
      <c r="C9" s="3018"/>
      <c r="D9" s="2920"/>
      <c r="E9" s="2921"/>
      <c r="F9" s="2921"/>
      <c r="G9" s="2921"/>
      <c r="H9" s="2921"/>
      <c r="I9" s="2921"/>
      <c r="J9" s="31"/>
      <c r="K9" s="31"/>
      <c r="L9" s="31"/>
      <c r="M9" s="31"/>
      <c r="N9" s="31"/>
      <c r="O9" s="31"/>
      <c r="P9" s="31"/>
      <c r="Q9" s="31"/>
      <c r="R9" s="31"/>
      <c r="S9" s="31"/>
      <c r="T9" s="31"/>
      <c r="U9" s="30"/>
      <c r="V9" s="2918"/>
      <c r="W9" s="2919"/>
      <c r="X9" s="2919"/>
      <c r="Y9" s="2923"/>
      <c r="Z9" s="3019" t="s">
        <v>61</v>
      </c>
      <c r="AA9" s="3020"/>
      <c r="AB9" s="35"/>
      <c r="AC9" s="183"/>
    </row>
    <row r="10" spans="1:29" x14ac:dyDescent="0.2">
      <c r="A10" s="3044"/>
      <c r="B10" s="2913" t="s">
        <v>18</v>
      </c>
      <c r="C10" s="3140">
        <v>2088785</v>
      </c>
      <c r="D10" s="3262" t="s">
        <v>259</v>
      </c>
      <c r="E10" s="3263"/>
      <c r="F10" s="3263"/>
      <c r="G10" s="3263"/>
      <c r="H10" s="3263"/>
      <c r="I10" s="3263"/>
      <c r="J10" s="3263"/>
      <c r="K10" s="3263"/>
      <c r="L10" s="3263"/>
      <c r="M10" s="3263"/>
      <c r="N10" s="3263"/>
      <c r="O10" s="3263"/>
      <c r="P10" s="3263"/>
      <c r="Q10" s="3263"/>
      <c r="R10" s="3263"/>
      <c r="S10" s="3263"/>
      <c r="T10" s="3263"/>
      <c r="U10" s="3264"/>
      <c r="V10" s="2974" t="s">
        <v>15</v>
      </c>
      <c r="W10" s="2975"/>
      <c r="X10" s="2975"/>
      <c r="Y10" s="2976"/>
      <c r="Z10" s="2922" t="s">
        <v>16</v>
      </c>
      <c r="AA10" s="2922"/>
      <c r="AB10" s="35"/>
      <c r="AC10" s="183"/>
    </row>
    <row r="11" spans="1:29" x14ac:dyDescent="0.2">
      <c r="A11" s="3044"/>
      <c r="B11" s="2913"/>
      <c r="C11" s="3141"/>
      <c r="D11" s="3265"/>
      <c r="E11" s="3266"/>
      <c r="F11" s="3266"/>
      <c r="G11" s="3266"/>
      <c r="H11" s="3266"/>
      <c r="I11" s="3266"/>
      <c r="J11" s="3266"/>
      <c r="K11" s="3266"/>
      <c r="L11" s="3266"/>
      <c r="M11" s="3266"/>
      <c r="N11" s="3266"/>
      <c r="O11" s="3266"/>
      <c r="P11" s="3266"/>
      <c r="Q11" s="3266"/>
      <c r="R11" s="3266"/>
      <c r="S11" s="3266"/>
      <c r="T11" s="3266"/>
      <c r="U11" s="3267"/>
      <c r="V11" s="2918"/>
      <c r="W11" s="2919"/>
      <c r="X11" s="2919"/>
      <c r="Y11" s="2923"/>
      <c r="Z11" s="2922" t="s">
        <v>61</v>
      </c>
      <c r="AA11" s="2922"/>
      <c r="AB11" s="35"/>
      <c r="AC11" s="183"/>
    </row>
    <row r="12" spans="1:29" x14ac:dyDescent="0.2">
      <c r="A12" s="532"/>
      <c r="B12" s="2984" t="s">
        <v>20</v>
      </c>
      <c r="C12" s="2847" t="s">
        <v>21</v>
      </c>
      <c r="D12" s="2847" t="s">
        <v>22</v>
      </c>
      <c r="E12" s="2847" t="s">
        <v>23</v>
      </c>
      <c r="F12" s="2847" t="s">
        <v>24</v>
      </c>
      <c r="G12" s="2847" t="s">
        <v>25</v>
      </c>
      <c r="H12" s="2847" t="s">
        <v>26</v>
      </c>
      <c r="I12" s="2847" t="s">
        <v>27</v>
      </c>
      <c r="J12" s="2986" t="s">
        <v>28</v>
      </c>
      <c r="K12" s="2987"/>
      <c r="L12" s="2847" t="s">
        <v>29</v>
      </c>
      <c r="M12" s="2986" t="s">
        <v>30</v>
      </c>
      <c r="N12" s="2987"/>
      <c r="O12" s="3259" t="s">
        <v>31</v>
      </c>
      <c r="P12" s="3260"/>
      <c r="Q12" s="3260"/>
      <c r="R12" s="3260"/>
      <c r="S12" s="3260"/>
      <c r="T12" s="3260"/>
      <c r="U12" s="3260"/>
      <c r="V12" s="3260"/>
      <c r="W12" s="3260"/>
      <c r="X12" s="3260"/>
      <c r="Y12" s="3260"/>
      <c r="Z12" s="3261"/>
      <c r="AA12" s="2916" t="s">
        <v>32</v>
      </c>
      <c r="AB12" s="35"/>
      <c r="AC12" s="183"/>
    </row>
    <row r="13" spans="1:29" x14ac:dyDescent="0.2">
      <c r="A13" s="532"/>
      <c r="B13" s="2985"/>
      <c r="C13" s="2847"/>
      <c r="D13" s="2847"/>
      <c r="E13" s="2847"/>
      <c r="F13" s="2847"/>
      <c r="G13" s="2847"/>
      <c r="H13" s="2847"/>
      <c r="I13" s="2847"/>
      <c r="J13" s="1017" t="s">
        <v>33</v>
      </c>
      <c r="K13" s="1017" t="s">
        <v>34</v>
      </c>
      <c r="L13" s="2847"/>
      <c r="M13" s="3000"/>
      <c r="N13" s="3001"/>
      <c r="O13" s="1094" t="s">
        <v>35</v>
      </c>
      <c r="P13" s="1094" t="s">
        <v>36</v>
      </c>
      <c r="Q13" s="1094" t="s">
        <v>37</v>
      </c>
      <c r="R13" s="1094" t="s">
        <v>38</v>
      </c>
      <c r="S13" s="1094" t="s">
        <v>39</v>
      </c>
      <c r="T13" s="1094" t="s">
        <v>40</v>
      </c>
      <c r="U13" s="1094" t="s">
        <v>41</v>
      </c>
      <c r="V13" s="1094" t="s">
        <v>42</v>
      </c>
      <c r="W13" s="1094" t="s">
        <v>43</v>
      </c>
      <c r="X13" s="1094" t="s">
        <v>44</v>
      </c>
      <c r="Y13" s="1094" t="s">
        <v>45</v>
      </c>
      <c r="Z13" s="1094" t="s">
        <v>46</v>
      </c>
      <c r="AA13" s="2916"/>
      <c r="AB13" s="35"/>
      <c r="AC13" s="183"/>
    </row>
    <row r="14" spans="1:29" ht="11.25" customHeight="1" x14ac:dyDescent="0.2">
      <c r="A14" s="532"/>
      <c r="B14" s="3244">
        <v>4000041</v>
      </c>
      <c r="C14" s="3247" t="s">
        <v>260</v>
      </c>
      <c r="D14" s="3250" t="s">
        <v>261</v>
      </c>
      <c r="E14" s="3253">
        <v>18</v>
      </c>
      <c r="F14" s="3256" t="s">
        <v>262</v>
      </c>
      <c r="G14" s="3256" t="s">
        <v>263</v>
      </c>
      <c r="H14" s="3233" t="s">
        <v>3033</v>
      </c>
      <c r="I14" s="3233" t="s">
        <v>264</v>
      </c>
      <c r="J14" s="3230">
        <v>1</v>
      </c>
      <c r="K14" s="3230">
        <v>1645072</v>
      </c>
      <c r="L14" s="3233" t="s">
        <v>265</v>
      </c>
      <c r="M14" s="2671" t="s">
        <v>51</v>
      </c>
      <c r="N14" s="2672"/>
      <c r="O14" s="1069">
        <v>0.12</v>
      </c>
      <c r="P14" s="1069">
        <v>0.15</v>
      </c>
      <c r="Q14" s="1069">
        <v>0.19</v>
      </c>
      <c r="R14" s="1069">
        <v>0.23</v>
      </c>
      <c r="S14" s="1069">
        <v>0.18</v>
      </c>
      <c r="T14" s="1069">
        <v>0.13</v>
      </c>
      <c r="U14" s="1069"/>
      <c r="V14" s="1069"/>
      <c r="W14" s="1069"/>
      <c r="X14" s="1069"/>
      <c r="Y14" s="1069"/>
      <c r="Z14" s="1069"/>
      <c r="AA14" s="1069">
        <v>1</v>
      </c>
      <c r="AB14" s="35"/>
      <c r="AC14" s="183"/>
    </row>
    <row r="15" spans="1:29" x14ac:dyDescent="0.2">
      <c r="A15" s="532"/>
      <c r="B15" s="3245"/>
      <c r="C15" s="3248"/>
      <c r="D15" s="3251"/>
      <c r="E15" s="3254"/>
      <c r="F15" s="3257"/>
      <c r="G15" s="3257"/>
      <c r="H15" s="3234"/>
      <c r="I15" s="3234"/>
      <c r="J15" s="3231"/>
      <c r="K15" s="3231"/>
      <c r="L15" s="3234"/>
      <c r="M15" s="2671" t="s">
        <v>111</v>
      </c>
      <c r="N15" s="2672"/>
      <c r="O15" s="85">
        <v>191666</v>
      </c>
      <c r="P15" s="85">
        <v>356688</v>
      </c>
      <c r="Q15" s="85">
        <v>239583</v>
      </c>
      <c r="R15" s="85">
        <v>346499</v>
      </c>
      <c r="S15" s="85">
        <v>153752</v>
      </c>
      <c r="T15" s="85">
        <v>356884</v>
      </c>
      <c r="U15" s="85">
        <v>0</v>
      </c>
      <c r="V15" s="85">
        <v>0</v>
      </c>
      <c r="W15" s="85">
        <v>0</v>
      </c>
      <c r="X15" s="85">
        <v>0</v>
      </c>
      <c r="Y15" s="85">
        <v>0</v>
      </c>
      <c r="Z15" s="85">
        <v>0</v>
      </c>
      <c r="AA15" s="1086">
        <v>1645072</v>
      </c>
      <c r="AB15" s="35"/>
      <c r="AC15" s="183"/>
    </row>
    <row r="16" spans="1:29" ht="33.75" x14ac:dyDescent="0.2">
      <c r="A16" s="532"/>
      <c r="B16" s="3245"/>
      <c r="C16" s="3248"/>
      <c r="D16" s="3251"/>
      <c r="E16" s="3254"/>
      <c r="F16" s="3257"/>
      <c r="G16" s="3257"/>
      <c r="H16" s="3234"/>
      <c r="I16" s="3234"/>
      <c r="J16" s="3231"/>
      <c r="K16" s="3231"/>
      <c r="L16" s="3234"/>
      <c r="M16" s="1088" t="s">
        <v>112</v>
      </c>
      <c r="N16" s="1019" t="s">
        <v>266</v>
      </c>
      <c r="O16" s="1054">
        <v>191666</v>
      </c>
      <c r="P16" s="1054">
        <v>191666</v>
      </c>
      <c r="Q16" s="1054">
        <v>239583</v>
      </c>
      <c r="R16" s="1054">
        <v>258165</v>
      </c>
      <c r="S16" s="1054">
        <v>153752</v>
      </c>
      <c r="T16" s="1054">
        <v>115168</v>
      </c>
      <c r="U16" s="1054"/>
      <c r="V16" s="1054"/>
      <c r="W16" s="1054"/>
      <c r="X16" s="1054"/>
      <c r="Y16" s="1054"/>
      <c r="Z16" s="1054"/>
      <c r="AA16" s="2169">
        <v>1150000</v>
      </c>
      <c r="AB16" s="35"/>
      <c r="AC16" s="183"/>
    </row>
    <row r="17" spans="1:29" ht="33.75" x14ac:dyDescent="0.2">
      <c r="A17" s="532"/>
      <c r="B17" s="3245"/>
      <c r="C17" s="3248"/>
      <c r="D17" s="3251"/>
      <c r="E17" s="3254"/>
      <c r="F17" s="3257"/>
      <c r="G17" s="3257"/>
      <c r="H17" s="3234"/>
      <c r="I17" s="3234"/>
      <c r="J17" s="3231"/>
      <c r="K17" s="3231"/>
      <c r="L17" s="3234"/>
      <c r="M17" s="1088" t="s">
        <v>114</v>
      </c>
      <c r="N17" s="1019" t="s">
        <v>267</v>
      </c>
      <c r="O17" s="1054"/>
      <c r="P17" s="1054">
        <v>81690</v>
      </c>
      <c r="Q17" s="1054"/>
      <c r="R17" s="1054"/>
      <c r="S17" s="1054"/>
      <c r="T17" s="1054">
        <v>163382</v>
      </c>
      <c r="U17" s="1054"/>
      <c r="V17" s="1054"/>
      <c r="W17" s="1054"/>
      <c r="X17" s="1054"/>
      <c r="Y17" s="1054"/>
      <c r="Z17" s="1054"/>
      <c r="AA17" s="2169">
        <v>245072</v>
      </c>
      <c r="AB17" s="35"/>
      <c r="AC17" s="183"/>
    </row>
    <row r="18" spans="1:29" ht="33.75" x14ac:dyDescent="0.2">
      <c r="A18" s="532"/>
      <c r="B18" s="3246"/>
      <c r="C18" s="3249"/>
      <c r="D18" s="3252"/>
      <c r="E18" s="3255"/>
      <c r="F18" s="3258"/>
      <c r="G18" s="3258"/>
      <c r="H18" s="3235"/>
      <c r="I18" s="3235"/>
      <c r="J18" s="3232"/>
      <c r="K18" s="3232"/>
      <c r="L18" s="3235"/>
      <c r="M18" s="1088" t="s">
        <v>116</v>
      </c>
      <c r="N18" s="1018" t="s">
        <v>268</v>
      </c>
      <c r="O18" s="1054"/>
      <c r="P18" s="1054">
        <v>83332</v>
      </c>
      <c r="Q18" s="1054"/>
      <c r="R18" s="1054">
        <v>88334</v>
      </c>
      <c r="S18" s="1054"/>
      <c r="T18" s="1054">
        <v>78334</v>
      </c>
      <c r="U18" s="1054"/>
      <c r="V18" s="1054"/>
      <c r="W18" s="1054"/>
      <c r="X18" s="1054"/>
      <c r="Y18" s="1054"/>
      <c r="Z18" s="1054"/>
      <c r="AA18" s="2169">
        <v>250000</v>
      </c>
      <c r="AB18" s="35"/>
      <c r="AC18" s="183"/>
    </row>
    <row r="19" spans="1:29" ht="28.5" customHeight="1" x14ac:dyDescent="0.2">
      <c r="A19" s="179"/>
      <c r="B19" s="1546" t="s">
        <v>8</v>
      </c>
      <c r="C19" s="2144" t="s">
        <v>639</v>
      </c>
      <c r="D19" s="2145"/>
      <c r="E19" s="2145"/>
      <c r="F19" s="2145"/>
      <c r="G19" s="1412"/>
      <c r="H19" s="1412"/>
      <c r="I19" s="1412"/>
      <c r="J19" s="1412"/>
      <c r="K19" s="1412"/>
      <c r="L19" s="1412"/>
      <c r="M19" s="1412"/>
      <c r="N19" s="1412"/>
      <c r="O19" s="1412"/>
      <c r="P19" s="1412"/>
      <c r="Q19" s="1412"/>
      <c r="R19" s="1412"/>
      <c r="S19" s="1412"/>
      <c r="T19" s="1412"/>
      <c r="U19" s="1412"/>
      <c r="V19" s="1412"/>
      <c r="W19" s="1412"/>
      <c r="X19" s="1412"/>
      <c r="Y19" s="1412"/>
      <c r="Z19" s="1412"/>
      <c r="AA19" s="1413"/>
      <c r="AB19" s="35"/>
      <c r="AC19" s="183"/>
    </row>
    <row r="20" spans="1:29" ht="15.75" customHeight="1" x14ac:dyDescent="0.2">
      <c r="A20" s="179"/>
      <c r="B20" s="3236" t="s">
        <v>269</v>
      </c>
      <c r="C20" s="3238" t="s">
        <v>270</v>
      </c>
      <c r="D20" s="3239"/>
      <c r="E20" s="3239"/>
      <c r="F20" s="3239"/>
      <c r="G20" s="3239"/>
      <c r="H20" s="3239"/>
      <c r="I20" s="3239"/>
      <c r="J20" s="3239"/>
      <c r="K20" s="3239"/>
      <c r="L20" s="3239"/>
      <c r="M20" s="3239"/>
      <c r="N20" s="3239"/>
      <c r="O20" s="3239"/>
      <c r="P20" s="3239"/>
      <c r="Q20" s="3239"/>
      <c r="R20" s="3239"/>
      <c r="S20" s="3239"/>
      <c r="T20" s="3239"/>
      <c r="U20" s="3239"/>
      <c r="V20" s="3239"/>
      <c r="W20" s="3239"/>
      <c r="X20" s="3239"/>
      <c r="Y20" s="3239"/>
      <c r="Z20" s="3239"/>
      <c r="AA20" s="3240"/>
      <c r="AB20" s="35"/>
      <c r="AC20" s="183"/>
    </row>
    <row r="21" spans="1:29" ht="15" customHeight="1" x14ac:dyDescent="0.2">
      <c r="A21" s="179"/>
      <c r="B21" s="3237"/>
      <c r="C21" s="3241" t="s">
        <v>959</v>
      </c>
      <c r="D21" s="3242"/>
      <c r="E21" s="3242"/>
      <c r="F21" s="3242"/>
      <c r="G21" s="3242"/>
      <c r="H21" s="3242"/>
      <c r="I21" s="3242"/>
      <c r="J21" s="3242"/>
      <c r="K21" s="3242"/>
      <c r="L21" s="3242"/>
      <c r="M21" s="3242"/>
      <c r="N21" s="3242"/>
      <c r="O21" s="3242"/>
      <c r="P21" s="3242"/>
      <c r="Q21" s="3242"/>
      <c r="R21" s="3242"/>
      <c r="S21" s="3242"/>
      <c r="T21" s="3242"/>
      <c r="U21" s="3242"/>
      <c r="V21" s="3242"/>
      <c r="W21" s="3242"/>
      <c r="X21" s="3242"/>
      <c r="Y21" s="3242"/>
      <c r="Z21" s="3242"/>
      <c r="AA21" s="3243"/>
      <c r="AB21" s="35"/>
      <c r="AC21" s="183"/>
    </row>
    <row r="22" spans="1:29" x14ac:dyDescent="0.2">
      <c r="A22" s="179"/>
      <c r="B22" s="906" t="s">
        <v>272</v>
      </c>
      <c r="C22" s="3210" t="s">
        <v>84</v>
      </c>
      <c r="D22" s="3211"/>
      <c r="E22" s="3211"/>
      <c r="F22" s="3211"/>
      <c r="G22" s="3211"/>
      <c r="H22" s="3211"/>
      <c r="I22" s="3211"/>
      <c r="J22" s="3211"/>
      <c r="K22" s="3211"/>
      <c r="L22" s="3211"/>
      <c r="M22" s="3211"/>
      <c r="N22" s="3211"/>
      <c r="O22" s="3212"/>
      <c r="P22" s="2974" t="s">
        <v>15</v>
      </c>
      <c r="Q22" s="2975"/>
      <c r="R22" s="2975"/>
      <c r="S22" s="2976"/>
      <c r="T22" s="2974" t="s">
        <v>16</v>
      </c>
      <c r="U22" s="2976"/>
      <c r="V22" s="2974" t="s">
        <v>15</v>
      </c>
      <c r="W22" s="2975"/>
      <c r="X22" s="2975"/>
      <c r="Y22" s="2976"/>
      <c r="Z22" s="2974" t="s">
        <v>16</v>
      </c>
      <c r="AA22" s="2976"/>
      <c r="AB22" s="35"/>
      <c r="AC22" s="183"/>
    </row>
    <row r="23" spans="1:29" ht="23.25" customHeight="1" x14ac:dyDescent="0.2">
      <c r="A23" s="179"/>
      <c r="B23" s="906" t="s">
        <v>13</v>
      </c>
      <c r="C23" s="3213" t="s">
        <v>441</v>
      </c>
      <c r="D23" s="3214"/>
      <c r="E23" s="3214"/>
      <c r="F23" s="3214"/>
      <c r="G23" s="3214"/>
      <c r="H23" s="3214"/>
      <c r="I23" s="3214"/>
      <c r="J23" s="3214"/>
      <c r="K23" s="3214"/>
      <c r="L23" s="3214"/>
      <c r="M23" s="3214"/>
      <c r="N23" s="3214"/>
      <c r="O23" s="3215"/>
      <c r="P23" s="2840" t="s">
        <v>273</v>
      </c>
      <c r="Q23" s="2840"/>
      <c r="R23" s="2840"/>
      <c r="S23" s="2840"/>
      <c r="T23" s="2922" t="s">
        <v>274</v>
      </c>
      <c r="U23" s="2922"/>
      <c r="V23" s="3216" t="s">
        <v>275</v>
      </c>
      <c r="W23" s="3216"/>
      <c r="X23" s="3216"/>
      <c r="Y23" s="3216"/>
      <c r="Z23" s="2922" t="s">
        <v>274</v>
      </c>
      <c r="AA23" s="2922"/>
      <c r="AB23" s="35"/>
      <c r="AC23" s="183"/>
    </row>
    <row r="24" spans="1:29" ht="22.5" customHeight="1" x14ac:dyDescent="0.2">
      <c r="A24" s="179"/>
      <c r="B24" s="906" t="s">
        <v>276</v>
      </c>
      <c r="C24" s="3208" t="s">
        <v>3034</v>
      </c>
      <c r="D24" s="3208"/>
      <c r="E24" s="3208"/>
      <c r="F24" s="3208"/>
      <c r="G24" s="3208"/>
      <c r="H24" s="3208"/>
      <c r="I24" s="3208"/>
      <c r="J24" s="3208"/>
      <c r="K24" s="3208"/>
      <c r="L24" s="3208"/>
      <c r="M24" s="3208"/>
      <c r="N24" s="3208"/>
      <c r="O24" s="3208"/>
      <c r="P24" s="2522"/>
      <c r="Q24" s="2522"/>
      <c r="R24" s="2522"/>
      <c r="S24" s="2522"/>
      <c r="T24" s="2420"/>
      <c r="U24" s="2420"/>
      <c r="V24" s="3209"/>
      <c r="W24" s="3209"/>
      <c r="X24" s="3209"/>
      <c r="Y24" s="3209"/>
      <c r="Z24" s="156"/>
      <c r="AA24" s="157"/>
      <c r="AB24" s="35"/>
      <c r="AC24" s="183"/>
    </row>
    <row r="25" spans="1:29" ht="14.25" customHeight="1" x14ac:dyDescent="0.2">
      <c r="A25" s="179"/>
      <c r="B25" s="3015" t="s">
        <v>278</v>
      </c>
      <c r="C25" s="2988" t="s">
        <v>21</v>
      </c>
      <c r="D25" s="2988" t="s">
        <v>22</v>
      </c>
      <c r="E25" s="2988" t="s">
        <v>23</v>
      </c>
      <c r="F25" s="2988" t="s">
        <v>24</v>
      </c>
      <c r="G25" s="2988" t="s">
        <v>25</v>
      </c>
      <c r="H25" s="2988" t="s">
        <v>26</v>
      </c>
      <c r="I25" s="2988" t="s">
        <v>27</v>
      </c>
      <c r="J25" s="3206" t="s">
        <v>28</v>
      </c>
      <c r="K25" s="3207"/>
      <c r="L25" s="2988" t="s">
        <v>279</v>
      </c>
      <c r="M25" s="2986" t="s">
        <v>3170</v>
      </c>
      <c r="N25" s="2987"/>
      <c r="O25" s="2847" t="s">
        <v>3113</v>
      </c>
      <c r="P25" s="2847"/>
      <c r="Q25" s="2847"/>
      <c r="R25" s="2847"/>
      <c r="S25" s="2847"/>
      <c r="T25" s="2847"/>
      <c r="U25" s="2847"/>
      <c r="V25" s="2847"/>
      <c r="W25" s="2847"/>
      <c r="X25" s="2847"/>
      <c r="Y25" s="2847"/>
      <c r="Z25" s="2847"/>
      <c r="AA25" s="2988" t="s">
        <v>32</v>
      </c>
      <c r="AB25" s="35"/>
      <c r="AC25" s="183"/>
    </row>
    <row r="26" spans="1:29" ht="20.25" customHeight="1" x14ac:dyDescent="0.2">
      <c r="A26" s="179"/>
      <c r="B26" s="3016"/>
      <c r="C26" s="2989"/>
      <c r="D26" s="2989"/>
      <c r="E26" s="2989"/>
      <c r="F26" s="2989"/>
      <c r="G26" s="2989"/>
      <c r="H26" s="2989"/>
      <c r="I26" s="2989"/>
      <c r="J26" s="1017" t="s">
        <v>33</v>
      </c>
      <c r="K26" s="1017" t="s">
        <v>282</v>
      </c>
      <c r="L26" s="2989"/>
      <c r="M26" s="3000"/>
      <c r="N26" s="3001"/>
      <c r="O26" s="1017" t="s">
        <v>283</v>
      </c>
      <c r="P26" s="1017" t="s">
        <v>284</v>
      </c>
      <c r="Q26" s="1017" t="s">
        <v>285</v>
      </c>
      <c r="R26" s="1017" t="s">
        <v>88</v>
      </c>
      <c r="S26" s="1017" t="s">
        <v>89</v>
      </c>
      <c r="T26" s="1017" t="s">
        <v>90</v>
      </c>
      <c r="U26" s="1017" t="s">
        <v>91</v>
      </c>
      <c r="V26" s="1017" t="s">
        <v>92</v>
      </c>
      <c r="W26" s="1017" t="s">
        <v>286</v>
      </c>
      <c r="X26" s="1017" t="s">
        <v>93</v>
      </c>
      <c r="Y26" s="1017" t="s">
        <v>94</v>
      </c>
      <c r="Z26" s="1017" t="s">
        <v>95</v>
      </c>
      <c r="AA26" s="2989"/>
      <c r="AB26" s="35"/>
      <c r="AC26" s="183"/>
    </row>
    <row r="27" spans="1:29" ht="15" customHeight="1" x14ac:dyDescent="0.2">
      <c r="A27" s="179"/>
      <c r="B27" s="3190">
        <v>5004424</v>
      </c>
      <c r="C27" s="2431" t="s">
        <v>3153</v>
      </c>
      <c r="D27" s="3192" t="s">
        <v>3168</v>
      </c>
      <c r="E27" s="3195" t="s">
        <v>288</v>
      </c>
      <c r="F27" s="3196" t="s">
        <v>3138</v>
      </c>
      <c r="G27" s="3196" t="s">
        <v>3139</v>
      </c>
      <c r="H27" s="3196" t="s">
        <v>291</v>
      </c>
      <c r="I27" s="3196" t="s">
        <v>3146</v>
      </c>
      <c r="J27" s="3199">
        <v>10</v>
      </c>
      <c r="K27" s="3202">
        <f>AA28</f>
        <v>890911.00000000012</v>
      </c>
      <c r="L27" s="2459" t="s">
        <v>960</v>
      </c>
      <c r="M27" s="3085" t="s">
        <v>33</v>
      </c>
      <c r="N27" s="3087"/>
      <c r="O27" s="1095">
        <v>1</v>
      </c>
      <c r="P27" s="1095"/>
      <c r="Q27" s="1095">
        <v>1</v>
      </c>
      <c r="R27" s="1095">
        <v>1</v>
      </c>
      <c r="S27" s="1095">
        <v>1</v>
      </c>
      <c r="T27" s="1095">
        <v>1</v>
      </c>
      <c r="U27" s="1095">
        <v>1</v>
      </c>
      <c r="V27" s="1095">
        <v>1</v>
      </c>
      <c r="W27" s="1095">
        <v>1</v>
      </c>
      <c r="X27" s="1095">
        <v>1</v>
      </c>
      <c r="Y27" s="1095">
        <v>1</v>
      </c>
      <c r="Z27" s="1095"/>
      <c r="AA27" s="964">
        <f>SUM(Q27:Z27)</f>
        <v>9</v>
      </c>
      <c r="AB27" s="35"/>
      <c r="AC27" s="183"/>
    </row>
    <row r="28" spans="1:29" x14ac:dyDescent="0.2">
      <c r="A28" s="179"/>
      <c r="B28" s="3191"/>
      <c r="C28" s="2432"/>
      <c r="D28" s="3193"/>
      <c r="E28" s="3193"/>
      <c r="F28" s="3197"/>
      <c r="G28" s="3197"/>
      <c r="H28" s="3197"/>
      <c r="I28" s="3197"/>
      <c r="J28" s="3200"/>
      <c r="K28" s="3203"/>
      <c r="L28" s="2467"/>
      <c r="M28" s="3058" t="s">
        <v>34</v>
      </c>
      <c r="N28" s="3059"/>
      <c r="O28" s="36">
        <v>77718.083333333299</v>
      </c>
      <c r="P28" s="36">
        <v>70918.083333333328</v>
      </c>
      <c r="Q28" s="36">
        <v>42278.75</v>
      </c>
      <c r="R28" s="36">
        <v>106618.08333333333</v>
      </c>
      <c r="S28" s="36">
        <v>75468.083333333328</v>
      </c>
      <c r="T28" s="36">
        <v>75334.75</v>
      </c>
      <c r="U28" s="36">
        <v>77518.083333333328</v>
      </c>
      <c r="V28" s="36">
        <v>71118.083333333328</v>
      </c>
      <c r="W28" s="36">
        <v>75084.75</v>
      </c>
      <c r="X28" s="36">
        <v>70918.083333333328</v>
      </c>
      <c r="Y28" s="36">
        <v>71918.083333333328</v>
      </c>
      <c r="Z28" s="36">
        <v>76018.083333333328</v>
      </c>
      <c r="AA28" s="965">
        <f>SUM(O28:Z28)</f>
        <v>890911.00000000012</v>
      </c>
      <c r="AB28" s="35"/>
      <c r="AC28" s="183"/>
    </row>
    <row r="29" spans="1:29" ht="11.25" customHeight="1" x14ac:dyDescent="0.2">
      <c r="A29" s="179"/>
      <c r="B29" s="3191"/>
      <c r="C29" s="2432"/>
      <c r="D29" s="3193"/>
      <c r="E29" s="3193"/>
      <c r="F29" s="3197"/>
      <c r="G29" s="3197"/>
      <c r="H29" s="3197"/>
      <c r="I29" s="3197"/>
      <c r="J29" s="3200"/>
      <c r="K29" s="3203"/>
      <c r="L29" s="2467"/>
      <c r="M29" s="1082">
        <v>211311</v>
      </c>
      <c r="N29" s="1082" t="s">
        <v>3140</v>
      </c>
      <c r="O29" s="40">
        <v>36892</v>
      </c>
      <c r="P29" s="40">
        <v>36892</v>
      </c>
      <c r="Q29" s="40">
        <v>3836</v>
      </c>
      <c r="R29" s="40">
        <v>36892</v>
      </c>
      <c r="S29" s="40">
        <v>36892</v>
      </c>
      <c r="T29" s="40" t="s">
        <v>2614</v>
      </c>
      <c r="U29" s="40">
        <v>36892</v>
      </c>
      <c r="V29" s="40">
        <v>36892</v>
      </c>
      <c r="W29" s="40">
        <v>36892</v>
      </c>
      <c r="X29" s="40">
        <v>36892</v>
      </c>
      <c r="Y29" s="40">
        <v>36892</v>
      </c>
      <c r="Z29" s="40">
        <v>36892</v>
      </c>
      <c r="AA29" s="966">
        <f t="shared" ref="AA29:AA47" si="0">SUM(O29:Z29)</f>
        <v>372756</v>
      </c>
      <c r="AB29" s="35"/>
      <c r="AC29" s="183"/>
    </row>
    <row r="30" spans="1:29" x14ac:dyDescent="0.2">
      <c r="A30" s="179"/>
      <c r="B30" s="3191"/>
      <c r="C30" s="2432"/>
      <c r="D30" s="3193"/>
      <c r="E30" s="3193"/>
      <c r="F30" s="3197"/>
      <c r="G30" s="3197"/>
      <c r="H30" s="3197"/>
      <c r="I30" s="3197"/>
      <c r="J30" s="3200"/>
      <c r="K30" s="3203"/>
      <c r="L30" s="2467"/>
      <c r="M30" s="1082">
        <v>211313</v>
      </c>
      <c r="N30" s="1082" t="s">
        <v>3141</v>
      </c>
      <c r="O30" s="40">
        <v>2239</v>
      </c>
      <c r="P30" s="40">
        <v>2239</v>
      </c>
      <c r="Q30" s="40">
        <v>2239</v>
      </c>
      <c r="R30" s="40">
        <v>2239</v>
      </c>
      <c r="S30" s="40">
        <v>2239</v>
      </c>
      <c r="T30" s="40">
        <v>2239</v>
      </c>
      <c r="U30" s="40">
        <v>2239</v>
      </c>
      <c r="V30" s="40">
        <v>2239</v>
      </c>
      <c r="W30" s="40">
        <v>2239</v>
      </c>
      <c r="X30" s="40">
        <v>2239</v>
      </c>
      <c r="Y30" s="40">
        <v>2239</v>
      </c>
      <c r="Z30" s="40">
        <v>2239</v>
      </c>
      <c r="AA30" s="966">
        <f t="shared" si="0"/>
        <v>26868</v>
      </c>
      <c r="AB30" s="35"/>
      <c r="AC30" s="183"/>
    </row>
    <row r="31" spans="1:29" x14ac:dyDescent="0.2">
      <c r="A31" s="179"/>
      <c r="B31" s="3191"/>
      <c r="C31" s="2432"/>
      <c r="D31" s="3193"/>
      <c r="E31" s="3193"/>
      <c r="F31" s="3197"/>
      <c r="G31" s="3197"/>
      <c r="H31" s="3197"/>
      <c r="I31" s="3197"/>
      <c r="J31" s="3200"/>
      <c r="K31" s="3203"/>
      <c r="L31" s="2467"/>
      <c r="M31" s="1082">
        <v>211321</v>
      </c>
      <c r="N31" s="1134" t="s">
        <v>2146</v>
      </c>
      <c r="O31" s="40">
        <v>3836</v>
      </c>
      <c r="P31" s="40">
        <v>3836</v>
      </c>
      <c r="Q31" s="40">
        <v>3836</v>
      </c>
      <c r="R31" s="40">
        <v>3836</v>
      </c>
      <c r="S31" s="40">
        <v>3836</v>
      </c>
      <c r="T31" s="40">
        <v>3836</v>
      </c>
      <c r="U31" s="40">
        <v>3836</v>
      </c>
      <c r="V31" s="40">
        <v>3836</v>
      </c>
      <c r="W31" s="40">
        <v>3836</v>
      </c>
      <c r="X31" s="40">
        <v>3836</v>
      </c>
      <c r="Y31" s="40">
        <v>3836</v>
      </c>
      <c r="Z31" s="40">
        <v>3836</v>
      </c>
      <c r="AA31" s="966">
        <f t="shared" si="0"/>
        <v>46032</v>
      </c>
      <c r="AB31" s="35"/>
      <c r="AC31" s="183"/>
    </row>
    <row r="32" spans="1:29" x14ac:dyDescent="0.2">
      <c r="A32" s="179"/>
      <c r="B32" s="3191"/>
      <c r="C32" s="2432"/>
      <c r="D32" s="3193"/>
      <c r="E32" s="3193"/>
      <c r="F32" s="3197"/>
      <c r="G32" s="3197"/>
      <c r="H32" s="3197"/>
      <c r="I32" s="3197"/>
      <c r="J32" s="3200"/>
      <c r="K32" s="3203"/>
      <c r="L32" s="2467"/>
      <c r="M32" s="1082">
        <v>211331</v>
      </c>
      <c r="N32" s="1134" t="s">
        <v>3142</v>
      </c>
      <c r="O32" s="40">
        <v>7732.75</v>
      </c>
      <c r="P32" s="40">
        <v>7732.75</v>
      </c>
      <c r="Q32" s="40">
        <v>7732.75</v>
      </c>
      <c r="R32" s="40">
        <v>7732.75</v>
      </c>
      <c r="S32" s="40">
        <v>7732.75</v>
      </c>
      <c r="T32" s="40">
        <v>7732.75</v>
      </c>
      <c r="U32" s="40">
        <v>7732.75</v>
      </c>
      <c r="V32" s="40">
        <v>7732.75</v>
      </c>
      <c r="W32" s="40">
        <v>7732.75</v>
      </c>
      <c r="X32" s="40">
        <v>7732.75</v>
      </c>
      <c r="Y32" s="40">
        <v>7732.75</v>
      </c>
      <c r="Z32" s="40">
        <v>7732.75</v>
      </c>
      <c r="AA32" s="966">
        <f t="shared" si="0"/>
        <v>92793</v>
      </c>
      <c r="AB32" s="35"/>
      <c r="AC32" s="183"/>
    </row>
    <row r="33" spans="1:29" ht="22.5" x14ac:dyDescent="0.2">
      <c r="A33" s="179"/>
      <c r="B33" s="3191"/>
      <c r="C33" s="2432"/>
      <c r="D33" s="3193"/>
      <c r="E33" s="3193"/>
      <c r="F33" s="3197"/>
      <c r="G33" s="3197"/>
      <c r="H33" s="3197"/>
      <c r="I33" s="3197"/>
      <c r="J33" s="3200"/>
      <c r="K33" s="3203"/>
      <c r="L33" s="2467"/>
      <c r="M33" s="1082">
        <v>2113399</v>
      </c>
      <c r="N33" s="722" t="s">
        <v>3143</v>
      </c>
      <c r="O33" s="154">
        <v>2676</v>
      </c>
      <c r="P33" s="154">
        <v>2676</v>
      </c>
      <c r="Q33" s="154">
        <v>2676</v>
      </c>
      <c r="R33" s="154">
        <v>2676</v>
      </c>
      <c r="S33" s="154">
        <v>2676</v>
      </c>
      <c r="T33" s="154">
        <v>2676</v>
      </c>
      <c r="U33" s="154">
        <v>2676</v>
      </c>
      <c r="V33" s="154">
        <v>2676</v>
      </c>
      <c r="W33" s="154">
        <v>2676</v>
      </c>
      <c r="X33" s="154">
        <v>2676</v>
      </c>
      <c r="Y33" s="154">
        <v>2676</v>
      </c>
      <c r="Z33" s="154">
        <v>2676</v>
      </c>
      <c r="AA33" s="968">
        <f t="shared" si="0"/>
        <v>32112</v>
      </c>
      <c r="AB33" s="35"/>
      <c r="AC33" s="183"/>
    </row>
    <row r="34" spans="1:29" x14ac:dyDescent="0.2">
      <c r="A34" s="179"/>
      <c r="B34" s="3191"/>
      <c r="C34" s="2432"/>
      <c r="D34" s="3193"/>
      <c r="E34" s="3193"/>
      <c r="F34" s="3197"/>
      <c r="G34" s="3197"/>
      <c r="H34" s="3197"/>
      <c r="I34" s="3197"/>
      <c r="J34" s="3200"/>
      <c r="K34" s="3203"/>
      <c r="L34" s="2467"/>
      <c r="M34" s="1082">
        <v>211912</v>
      </c>
      <c r="N34" s="1134" t="s">
        <v>173</v>
      </c>
      <c r="O34" s="154"/>
      <c r="P34" s="154"/>
      <c r="Q34" s="154"/>
      <c r="R34" s="154"/>
      <c r="S34" s="154"/>
      <c r="T34" s="1068"/>
      <c r="U34" s="1054">
        <v>5100</v>
      </c>
      <c r="V34" s="1054"/>
      <c r="W34" s="1054"/>
      <c r="X34" s="1054"/>
      <c r="Y34" s="1054"/>
      <c r="Z34" s="1054">
        <v>5100</v>
      </c>
      <c r="AA34" s="968">
        <f t="shared" si="0"/>
        <v>10200</v>
      </c>
      <c r="AB34" s="35"/>
      <c r="AC34" s="183"/>
    </row>
    <row r="35" spans="1:29" ht="22.5" x14ac:dyDescent="0.2">
      <c r="A35" s="179"/>
      <c r="B35" s="3191"/>
      <c r="C35" s="2432"/>
      <c r="D35" s="3193"/>
      <c r="E35" s="3193"/>
      <c r="F35" s="3197"/>
      <c r="G35" s="3197"/>
      <c r="H35" s="3197"/>
      <c r="I35" s="3197"/>
      <c r="J35" s="3200"/>
      <c r="K35" s="3203"/>
      <c r="L35" s="2467"/>
      <c r="M35" s="1082">
        <v>211913</v>
      </c>
      <c r="N35" s="722" t="s">
        <v>1753</v>
      </c>
      <c r="O35" s="154">
        <v>6800</v>
      </c>
      <c r="P35" s="154"/>
      <c r="Q35" s="154"/>
      <c r="R35" s="154"/>
      <c r="S35" s="154"/>
      <c r="T35" s="1068"/>
      <c r="U35" s="1054"/>
      <c r="V35" s="1054"/>
      <c r="W35" s="1054"/>
      <c r="X35" s="1054"/>
      <c r="Y35" s="1054"/>
      <c r="Z35" s="1054"/>
      <c r="AA35" s="968">
        <f t="shared" si="0"/>
        <v>6800</v>
      </c>
      <c r="AB35" s="35"/>
      <c r="AC35" s="183"/>
    </row>
    <row r="36" spans="1:29" ht="22.5" x14ac:dyDescent="0.2">
      <c r="A36" s="179"/>
      <c r="B36" s="3191"/>
      <c r="C36" s="2432"/>
      <c r="D36" s="3193"/>
      <c r="E36" s="3193"/>
      <c r="F36" s="3197"/>
      <c r="G36" s="3197"/>
      <c r="H36" s="3197"/>
      <c r="I36" s="3197"/>
      <c r="J36" s="3200"/>
      <c r="K36" s="3203"/>
      <c r="L36" s="2467"/>
      <c r="M36" s="1082">
        <v>213115</v>
      </c>
      <c r="N36" s="722" t="s">
        <v>1760</v>
      </c>
      <c r="O36" s="154">
        <v>2532.4166666666665</v>
      </c>
      <c r="P36" s="154">
        <v>2532.4166666666665</v>
      </c>
      <c r="Q36" s="154">
        <v>2532.4166666666665</v>
      </c>
      <c r="R36" s="154">
        <v>2532.4166666666665</v>
      </c>
      <c r="S36" s="154">
        <v>2532.4166666666665</v>
      </c>
      <c r="T36" s="154">
        <v>2532.4166666666665</v>
      </c>
      <c r="U36" s="1054">
        <v>2532.4166666666665</v>
      </c>
      <c r="V36" s="1054">
        <v>2532.4166666666665</v>
      </c>
      <c r="W36" s="1054">
        <v>2532.4166666666665</v>
      </c>
      <c r="X36" s="1054">
        <v>2532.4166666666665</v>
      </c>
      <c r="Y36" s="1054">
        <v>2532.4166666666665</v>
      </c>
      <c r="Z36" s="1054">
        <v>2532.4166666666665</v>
      </c>
      <c r="AA36" s="968">
        <f t="shared" si="0"/>
        <v>30389.000000000004</v>
      </c>
      <c r="AB36" s="35"/>
      <c r="AC36" s="183"/>
    </row>
    <row r="37" spans="1:29" ht="28.5" customHeight="1" x14ac:dyDescent="0.2">
      <c r="A37" s="179"/>
      <c r="B37" s="3191"/>
      <c r="C37" s="2432"/>
      <c r="D37" s="3193"/>
      <c r="E37" s="3193"/>
      <c r="F37" s="3197"/>
      <c r="G37" s="3197"/>
      <c r="H37" s="3197"/>
      <c r="I37" s="3197"/>
      <c r="J37" s="3200"/>
      <c r="K37" s="3203"/>
      <c r="L37" s="2467"/>
      <c r="M37" s="1082">
        <v>213116</v>
      </c>
      <c r="N37" s="722" t="s">
        <v>3144</v>
      </c>
      <c r="O37" s="154">
        <v>147.91666666666666</v>
      </c>
      <c r="P37" s="154">
        <v>147.91666666666666</v>
      </c>
      <c r="Q37" s="154">
        <v>147.91666666666666</v>
      </c>
      <c r="R37" s="154">
        <v>147.91666666666666</v>
      </c>
      <c r="S37" s="154">
        <v>147.91666666666666</v>
      </c>
      <c r="T37" s="154">
        <v>147.91666666666666</v>
      </c>
      <c r="U37" s="1054">
        <v>147.91666666666666</v>
      </c>
      <c r="V37" s="1054">
        <v>147.91666666666666</v>
      </c>
      <c r="W37" s="1054">
        <v>147.91666666666666</v>
      </c>
      <c r="X37" s="1054">
        <v>147.91666666666666</v>
      </c>
      <c r="Y37" s="1054">
        <v>147.91666666666666</v>
      </c>
      <c r="Z37" s="1054">
        <v>147.91666666666666</v>
      </c>
      <c r="AA37" s="968">
        <f t="shared" si="0"/>
        <v>1775.0000000000002</v>
      </c>
      <c r="AB37" s="35"/>
      <c r="AC37" s="183"/>
    </row>
    <row r="38" spans="1:29" ht="22.5" x14ac:dyDescent="0.2">
      <c r="A38" s="179"/>
      <c r="B38" s="3191"/>
      <c r="C38" s="2432"/>
      <c r="D38" s="3193"/>
      <c r="E38" s="3193"/>
      <c r="F38" s="3197"/>
      <c r="G38" s="3197"/>
      <c r="H38" s="3197"/>
      <c r="I38" s="3197"/>
      <c r="J38" s="3200"/>
      <c r="K38" s="3203"/>
      <c r="L38" s="2467"/>
      <c r="M38" s="1082">
        <v>231311</v>
      </c>
      <c r="N38" s="722" t="s">
        <v>181</v>
      </c>
      <c r="O38" s="154">
        <v>0</v>
      </c>
      <c r="P38" s="154"/>
      <c r="Q38" s="154"/>
      <c r="R38" s="154">
        <v>3000</v>
      </c>
      <c r="S38" s="154"/>
      <c r="T38" s="1068"/>
      <c r="U38" s="1054"/>
      <c r="V38" s="1054"/>
      <c r="W38" s="1054"/>
      <c r="X38" s="1054"/>
      <c r="Y38" s="1054"/>
      <c r="Z38" s="1054"/>
      <c r="AA38" s="968">
        <f t="shared" si="0"/>
        <v>3000</v>
      </c>
      <c r="AB38" s="35"/>
      <c r="AC38" s="183"/>
    </row>
    <row r="39" spans="1:29" ht="33.75" x14ac:dyDescent="0.2">
      <c r="A39" s="179"/>
      <c r="B39" s="3191"/>
      <c r="C39" s="2432"/>
      <c r="D39" s="3193"/>
      <c r="E39" s="3193"/>
      <c r="F39" s="3197"/>
      <c r="G39" s="3197"/>
      <c r="H39" s="3197"/>
      <c r="I39" s="3197"/>
      <c r="J39" s="3200"/>
      <c r="K39" s="3203"/>
      <c r="L39" s="2467"/>
      <c r="M39" s="1082">
        <v>231512</v>
      </c>
      <c r="N39" s="722" t="s">
        <v>3145</v>
      </c>
      <c r="O39" s="154">
        <v>0</v>
      </c>
      <c r="P39" s="154"/>
      <c r="Q39" s="154"/>
      <c r="R39" s="154">
        <v>3600</v>
      </c>
      <c r="S39" s="154"/>
      <c r="T39" s="1068"/>
      <c r="U39" s="1054"/>
      <c r="V39" s="1054"/>
      <c r="W39" s="1054"/>
      <c r="X39" s="1054"/>
      <c r="Y39" s="1054"/>
      <c r="Z39" s="1054"/>
      <c r="AA39" s="968">
        <f t="shared" si="0"/>
        <v>3600</v>
      </c>
      <c r="AB39" s="35"/>
      <c r="AC39" s="183"/>
    </row>
    <row r="40" spans="1:29" ht="57.75" customHeight="1" x14ac:dyDescent="0.2">
      <c r="A40" s="179"/>
      <c r="B40" s="3191"/>
      <c r="C40" s="2432"/>
      <c r="D40" s="3193"/>
      <c r="E40" s="3193"/>
      <c r="F40" s="3197"/>
      <c r="G40" s="3197"/>
      <c r="H40" s="3197"/>
      <c r="I40" s="3197"/>
      <c r="J40" s="3200"/>
      <c r="K40" s="3203"/>
      <c r="L40" s="2467"/>
      <c r="M40" s="1082">
        <v>2319913</v>
      </c>
      <c r="N40" s="722" t="s">
        <v>3147</v>
      </c>
      <c r="O40" s="154">
        <v>0</v>
      </c>
      <c r="P40" s="154"/>
      <c r="Q40" s="154"/>
      <c r="R40" s="154">
        <v>25100</v>
      </c>
      <c r="S40" s="154"/>
      <c r="T40" s="1068"/>
      <c r="U40" s="1054"/>
      <c r="V40" s="1054"/>
      <c r="W40" s="1054"/>
      <c r="X40" s="1054"/>
      <c r="Y40" s="1054"/>
      <c r="Z40" s="1054"/>
      <c r="AA40" s="968">
        <f t="shared" si="0"/>
        <v>25100</v>
      </c>
      <c r="AB40" s="35"/>
      <c r="AC40" s="183"/>
    </row>
    <row r="41" spans="1:29" ht="22.5" x14ac:dyDescent="0.2">
      <c r="A41" s="179"/>
      <c r="B41" s="3191"/>
      <c r="C41" s="2432"/>
      <c r="D41" s="3193"/>
      <c r="E41" s="3193"/>
      <c r="F41" s="3197"/>
      <c r="G41" s="3197"/>
      <c r="H41" s="3197"/>
      <c r="I41" s="3197"/>
      <c r="J41" s="3200"/>
      <c r="K41" s="3203"/>
      <c r="L41" s="2467"/>
      <c r="M41" s="1082">
        <v>232121</v>
      </c>
      <c r="N41" s="722" t="s">
        <v>1113</v>
      </c>
      <c r="O41" s="154"/>
      <c r="P41" s="154"/>
      <c r="Q41" s="154">
        <v>250</v>
      </c>
      <c r="R41" s="154">
        <v>300</v>
      </c>
      <c r="S41" s="154"/>
      <c r="T41" s="1068">
        <v>250</v>
      </c>
      <c r="U41" s="1054"/>
      <c r="V41" s="1054">
        <v>200</v>
      </c>
      <c r="W41" s="1054"/>
      <c r="X41" s="1054"/>
      <c r="Y41" s="1054"/>
      <c r="Z41" s="1054"/>
      <c r="AA41" s="968">
        <f t="shared" si="0"/>
        <v>1000</v>
      </c>
      <c r="AB41" s="35"/>
      <c r="AC41" s="183"/>
    </row>
    <row r="42" spans="1:29" ht="33.75" x14ac:dyDescent="0.2">
      <c r="A42" s="179"/>
      <c r="B42" s="3191"/>
      <c r="C42" s="2432"/>
      <c r="D42" s="3193"/>
      <c r="E42" s="3193"/>
      <c r="F42" s="3197"/>
      <c r="G42" s="3197"/>
      <c r="H42" s="3197"/>
      <c r="I42" s="3197"/>
      <c r="J42" s="3200"/>
      <c r="K42" s="3203"/>
      <c r="L42" s="2467"/>
      <c r="M42" s="1082">
        <v>232122</v>
      </c>
      <c r="N42" s="722" t="s">
        <v>3154</v>
      </c>
      <c r="O42" s="154"/>
      <c r="P42" s="154"/>
      <c r="Q42" s="154">
        <v>4166.666666666667</v>
      </c>
      <c r="R42" s="154"/>
      <c r="S42" s="154"/>
      <c r="T42" s="154">
        <v>4166.666666666667</v>
      </c>
      <c r="U42" s="1054"/>
      <c r="V42" s="1054"/>
      <c r="W42" s="1054">
        <v>4166.666666666667</v>
      </c>
      <c r="X42" s="1054"/>
      <c r="Y42" s="1054"/>
      <c r="Z42" s="1054"/>
      <c r="AA42" s="968">
        <f t="shared" si="0"/>
        <v>12500</v>
      </c>
      <c r="AB42" s="35"/>
      <c r="AC42" s="183"/>
    </row>
    <row r="43" spans="1:29" x14ac:dyDescent="0.2">
      <c r="A43" s="179"/>
      <c r="B43" s="3191"/>
      <c r="C43" s="2432"/>
      <c r="D43" s="3193"/>
      <c r="E43" s="3193"/>
      <c r="F43" s="3197"/>
      <c r="G43" s="3197"/>
      <c r="H43" s="3197"/>
      <c r="I43" s="3197"/>
      <c r="J43" s="3200"/>
      <c r="K43" s="3203"/>
      <c r="L43" s="2467"/>
      <c r="M43" s="1082">
        <v>2321299</v>
      </c>
      <c r="N43" s="722" t="s">
        <v>3148</v>
      </c>
      <c r="O43" s="154">
        <v>0</v>
      </c>
      <c r="P43" s="154"/>
      <c r="Q43" s="154"/>
      <c r="R43" s="154"/>
      <c r="S43" s="154"/>
      <c r="T43" s="1068"/>
      <c r="U43" s="1054">
        <v>1500</v>
      </c>
      <c r="V43" s="1054"/>
      <c r="W43" s="1054"/>
      <c r="X43" s="1054"/>
      <c r="Y43" s="1054">
        <v>1000</v>
      </c>
      <c r="Z43" s="1054"/>
      <c r="AA43" s="968">
        <f t="shared" si="0"/>
        <v>2500</v>
      </c>
      <c r="AB43" s="35"/>
      <c r="AC43" s="183"/>
    </row>
    <row r="44" spans="1:29" ht="45" x14ac:dyDescent="0.2">
      <c r="A44" s="179"/>
      <c r="B44" s="3191"/>
      <c r="C44" s="2432"/>
      <c r="D44" s="3193"/>
      <c r="E44" s="3193"/>
      <c r="F44" s="3197"/>
      <c r="G44" s="3197"/>
      <c r="H44" s="3197"/>
      <c r="I44" s="3197"/>
      <c r="J44" s="3200"/>
      <c r="K44" s="3203"/>
      <c r="L44" s="2467"/>
      <c r="M44" s="1082">
        <v>232244</v>
      </c>
      <c r="N44" s="722" t="s">
        <v>3151</v>
      </c>
      <c r="O44" s="154">
        <v>0</v>
      </c>
      <c r="P44" s="154"/>
      <c r="Q44" s="154"/>
      <c r="R44" s="154"/>
      <c r="S44" s="154">
        <v>4550</v>
      </c>
      <c r="T44" s="1068"/>
      <c r="U44" s="1054"/>
      <c r="V44" s="1054"/>
      <c r="W44" s="1054"/>
      <c r="X44" s="1054"/>
      <c r="Y44" s="1054"/>
      <c r="Z44" s="1054"/>
      <c r="AA44" s="968">
        <f t="shared" si="0"/>
        <v>4550</v>
      </c>
      <c r="AB44" s="35"/>
      <c r="AC44" s="183"/>
    </row>
    <row r="45" spans="1:29" ht="45" x14ac:dyDescent="0.2">
      <c r="A45" s="179"/>
      <c r="B45" s="3191"/>
      <c r="C45" s="2432"/>
      <c r="D45" s="3193"/>
      <c r="E45" s="3193"/>
      <c r="F45" s="3197"/>
      <c r="G45" s="3197"/>
      <c r="H45" s="3197"/>
      <c r="I45" s="3197"/>
      <c r="J45" s="3200"/>
      <c r="K45" s="3203"/>
      <c r="L45" s="2467"/>
      <c r="M45" s="914">
        <v>2327101</v>
      </c>
      <c r="N45" s="722" t="s">
        <v>3149</v>
      </c>
      <c r="O45" s="154">
        <v>0</v>
      </c>
      <c r="P45" s="154"/>
      <c r="Q45" s="154"/>
      <c r="R45" s="154">
        <v>3700</v>
      </c>
      <c r="S45" s="154"/>
      <c r="T45" s="1068"/>
      <c r="U45" s="1054"/>
      <c r="V45" s="1054"/>
      <c r="W45" s="1054"/>
      <c r="X45" s="1054"/>
      <c r="Y45" s="1054"/>
      <c r="Z45" s="1054"/>
      <c r="AA45" s="968">
        <f t="shared" si="0"/>
        <v>3700</v>
      </c>
      <c r="AB45" s="35"/>
      <c r="AC45" s="183"/>
    </row>
    <row r="46" spans="1:29" ht="33.75" x14ac:dyDescent="0.2">
      <c r="A46" s="179"/>
      <c r="B46" s="3191"/>
      <c r="C46" s="2432"/>
      <c r="D46" s="3193"/>
      <c r="E46" s="3193"/>
      <c r="F46" s="3197"/>
      <c r="G46" s="3197"/>
      <c r="H46" s="3197"/>
      <c r="I46" s="3197"/>
      <c r="J46" s="3200"/>
      <c r="K46" s="3203"/>
      <c r="L46" s="2467"/>
      <c r="M46" s="1082">
        <v>232811</v>
      </c>
      <c r="N46" s="722" t="s">
        <v>1132</v>
      </c>
      <c r="O46" s="154">
        <v>13995.5</v>
      </c>
      <c r="P46" s="154">
        <v>13995.5</v>
      </c>
      <c r="Q46" s="154">
        <v>13995.5</v>
      </c>
      <c r="R46" s="154">
        <v>13995.5</v>
      </c>
      <c r="S46" s="154">
        <v>13995.5</v>
      </c>
      <c r="T46" s="154">
        <v>13995.5</v>
      </c>
      <c r="U46" s="1054">
        <v>13995.5</v>
      </c>
      <c r="V46" s="1054">
        <v>13995.5</v>
      </c>
      <c r="W46" s="1054">
        <v>13995.5</v>
      </c>
      <c r="X46" s="1054">
        <v>13995.5</v>
      </c>
      <c r="Y46" s="1054">
        <v>13995.5</v>
      </c>
      <c r="Z46" s="1054">
        <v>13995.5</v>
      </c>
      <c r="AA46" s="968">
        <f t="shared" si="0"/>
        <v>167946</v>
      </c>
      <c r="AB46" s="35"/>
      <c r="AC46" s="183"/>
    </row>
    <row r="47" spans="1:29" ht="27" customHeight="1" x14ac:dyDescent="0.2">
      <c r="A47" s="179"/>
      <c r="B47" s="2439"/>
      <c r="C47" s="2437"/>
      <c r="D47" s="3194"/>
      <c r="E47" s="3194"/>
      <c r="F47" s="3198"/>
      <c r="G47" s="3198"/>
      <c r="H47" s="3198"/>
      <c r="I47" s="3198"/>
      <c r="J47" s="3201"/>
      <c r="K47" s="3204"/>
      <c r="L47" s="2460"/>
      <c r="M47" s="1082">
        <v>232812</v>
      </c>
      <c r="N47" s="722" t="s">
        <v>3150</v>
      </c>
      <c r="O47" s="154">
        <v>866.5</v>
      </c>
      <c r="P47" s="154">
        <v>866.5</v>
      </c>
      <c r="Q47" s="154">
        <v>866.5</v>
      </c>
      <c r="R47" s="154">
        <v>866.5</v>
      </c>
      <c r="S47" s="154">
        <v>866.5</v>
      </c>
      <c r="T47" s="154">
        <v>866.5</v>
      </c>
      <c r="U47" s="1054">
        <v>866.5</v>
      </c>
      <c r="V47" s="1054">
        <v>866.5</v>
      </c>
      <c r="W47" s="1054">
        <v>866.5</v>
      </c>
      <c r="X47" s="1054">
        <v>866.5</v>
      </c>
      <c r="Y47" s="1054">
        <v>866.5</v>
      </c>
      <c r="Z47" s="1054">
        <v>866.5</v>
      </c>
      <c r="AA47" s="968">
        <f t="shared" si="0"/>
        <v>10398</v>
      </c>
      <c r="AB47" s="35"/>
      <c r="AC47" s="183"/>
    </row>
    <row r="48" spans="1:29" ht="15" x14ac:dyDescent="0.25">
      <c r="A48" s="179"/>
      <c r="B48" s="184" t="s">
        <v>312</v>
      </c>
      <c r="C48" s="184"/>
      <c r="D48" s="184"/>
      <c r="E48" s="184"/>
      <c r="F48" s="184"/>
      <c r="G48" s="184"/>
      <c r="H48" s="184"/>
      <c r="I48" s="184"/>
      <c r="J48" s="184"/>
      <c r="K48" s="185"/>
      <c r="L48" s="186"/>
      <c r="M48" s="223"/>
      <c r="N48" s="223"/>
      <c r="O48" s="186"/>
      <c r="P48" s="186"/>
      <c r="Q48" s="186"/>
      <c r="R48" s="186"/>
      <c r="S48" s="186"/>
      <c r="T48" s="184"/>
      <c r="U48" s="184"/>
      <c r="V48" s="184"/>
      <c r="W48" s="184"/>
      <c r="X48" s="184"/>
      <c r="Y48" s="184"/>
      <c r="Z48" s="184"/>
      <c r="AA48" s="967"/>
      <c r="AB48" s="35"/>
      <c r="AC48" s="183"/>
    </row>
    <row r="49" spans="1:29" ht="11.25" customHeight="1" x14ac:dyDescent="0.2">
      <c r="A49" s="179"/>
      <c r="B49" s="3978" t="s">
        <v>278</v>
      </c>
      <c r="C49" s="2988" t="s">
        <v>21</v>
      </c>
      <c r="D49" s="2988" t="s">
        <v>22</v>
      </c>
      <c r="E49" s="2988" t="s">
        <v>23</v>
      </c>
      <c r="F49" s="2988" t="s">
        <v>24</v>
      </c>
      <c r="G49" s="2988" t="s">
        <v>25</v>
      </c>
      <c r="H49" s="2988" t="s">
        <v>26</v>
      </c>
      <c r="I49" s="2988" t="s">
        <v>27</v>
      </c>
      <c r="J49" s="3206" t="s">
        <v>28</v>
      </c>
      <c r="K49" s="3207"/>
      <c r="L49" s="2988" t="s">
        <v>279</v>
      </c>
      <c r="M49" s="3220" t="s">
        <v>3152</v>
      </c>
      <c r="N49" s="3220"/>
      <c r="O49" s="3207" t="s">
        <v>3226</v>
      </c>
      <c r="P49" s="2847"/>
      <c r="Q49" s="2847"/>
      <c r="R49" s="2847"/>
      <c r="S49" s="2847"/>
      <c r="T49" s="2847"/>
      <c r="U49" s="2847"/>
      <c r="V49" s="2847"/>
      <c r="W49" s="2847"/>
      <c r="X49" s="2847"/>
      <c r="Y49" s="2847"/>
      <c r="Z49" s="2847"/>
      <c r="AA49" s="3217" t="s">
        <v>32</v>
      </c>
      <c r="AB49" s="35"/>
      <c r="AC49" s="183"/>
    </row>
    <row r="50" spans="1:29" ht="11.25" customHeight="1" x14ac:dyDescent="0.2">
      <c r="A50" s="179"/>
      <c r="B50" s="3979"/>
      <c r="C50" s="2989"/>
      <c r="D50" s="2989"/>
      <c r="E50" s="2989"/>
      <c r="F50" s="2989"/>
      <c r="G50" s="2989"/>
      <c r="H50" s="2989"/>
      <c r="I50" s="2989"/>
      <c r="J50" s="1017" t="s">
        <v>33</v>
      </c>
      <c r="K50" s="1017" t="s">
        <v>282</v>
      </c>
      <c r="L50" s="2989"/>
      <c r="M50" s="3220"/>
      <c r="N50" s="3220"/>
      <c r="O50" s="1031" t="s">
        <v>283</v>
      </c>
      <c r="P50" s="1017" t="s">
        <v>284</v>
      </c>
      <c r="Q50" s="1017" t="s">
        <v>285</v>
      </c>
      <c r="R50" s="1017" t="s">
        <v>88</v>
      </c>
      <c r="S50" s="1017" t="s">
        <v>89</v>
      </c>
      <c r="T50" s="1017" t="s">
        <v>90</v>
      </c>
      <c r="U50" s="1017" t="s">
        <v>91</v>
      </c>
      <c r="V50" s="1017" t="s">
        <v>92</v>
      </c>
      <c r="W50" s="1017" t="s">
        <v>286</v>
      </c>
      <c r="X50" s="1017" t="s">
        <v>93</v>
      </c>
      <c r="Y50" s="1017" t="s">
        <v>94</v>
      </c>
      <c r="Z50" s="1017" t="s">
        <v>95</v>
      </c>
      <c r="AA50" s="3218"/>
      <c r="AB50" s="35"/>
      <c r="AC50" s="183"/>
    </row>
    <row r="51" spans="1:29" ht="15" customHeight="1" x14ac:dyDescent="0.2">
      <c r="A51" s="179"/>
      <c r="B51" s="2438">
        <v>500425</v>
      </c>
      <c r="C51" s="3268" t="s">
        <v>3155</v>
      </c>
      <c r="D51" s="3268">
        <v>2</v>
      </c>
      <c r="E51" s="3268" t="s">
        <v>288</v>
      </c>
      <c r="F51" s="3268" t="s">
        <v>3156</v>
      </c>
      <c r="G51" s="3268" t="s">
        <v>3157</v>
      </c>
      <c r="H51" s="3268" t="s">
        <v>3158</v>
      </c>
      <c r="I51" s="3268" t="s">
        <v>3159</v>
      </c>
      <c r="J51" s="3202">
        <v>10</v>
      </c>
      <c r="K51" s="3202">
        <f>AA52</f>
        <v>654156.66666666674</v>
      </c>
      <c r="L51" s="2427" t="s">
        <v>960</v>
      </c>
      <c r="M51" s="3219" t="s">
        <v>287</v>
      </c>
      <c r="N51" s="3219"/>
      <c r="O51" s="1145">
        <v>1</v>
      </c>
      <c r="P51" s="1095">
        <v>1</v>
      </c>
      <c r="Q51" s="1095">
        <v>1</v>
      </c>
      <c r="R51" s="1095">
        <v>2</v>
      </c>
      <c r="S51" s="1095">
        <v>1</v>
      </c>
      <c r="T51" s="1095">
        <v>1</v>
      </c>
      <c r="U51" s="1095">
        <v>1</v>
      </c>
      <c r="V51" s="1095">
        <v>1</v>
      </c>
      <c r="W51" s="1095">
        <v>1</v>
      </c>
      <c r="X51" s="1095"/>
      <c r="Y51" s="1095"/>
      <c r="Z51" s="1095"/>
      <c r="AA51" s="964">
        <f>SUM(O51:Z51)</f>
        <v>10</v>
      </c>
      <c r="AB51" s="35"/>
      <c r="AC51" s="183"/>
    </row>
    <row r="52" spans="1:29" ht="15" customHeight="1" x14ac:dyDescent="0.2">
      <c r="A52" s="179"/>
      <c r="B52" s="2456"/>
      <c r="C52" s="3269"/>
      <c r="D52" s="3269"/>
      <c r="E52" s="3269"/>
      <c r="F52" s="3269"/>
      <c r="G52" s="3269"/>
      <c r="H52" s="3269"/>
      <c r="I52" s="3269"/>
      <c r="J52" s="3203"/>
      <c r="K52" s="3203"/>
      <c r="L52" s="2430"/>
      <c r="M52" s="3219" t="s">
        <v>34</v>
      </c>
      <c r="N52" s="3219"/>
      <c r="O52" s="912">
        <f>SUM(O53:O67)</f>
        <v>0</v>
      </c>
      <c r="P52" s="1432">
        <f t="shared" ref="P52:Z52" si="1">SUM(P53:P67)</f>
        <v>53199.333333333336</v>
      </c>
      <c r="Q52" s="1432">
        <f t="shared" si="1"/>
        <v>60999.333333333336</v>
      </c>
      <c r="R52" s="1432">
        <f t="shared" si="1"/>
        <v>73899.333333333343</v>
      </c>
      <c r="S52" s="1432">
        <f t="shared" si="1"/>
        <v>60899.333333333336</v>
      </c>
      <c r="T52" s="1432">
        <f t="shared" si="1"/>
        <v>54699.333333333336</v>
      </c>
      <c r="U52" s="1432">
        <f t="shared" si="1"/>
        <v>71099.333333333343</v>
      </c>
      <c r="V52" s="1432">
        <f t="shared" si="1"/>
        <v>54463.333333333336</v>
      </c>
      <c r="W52" s="1432">
        <f t="shared" si="1"/>
        <v>53199.333333333336</v>
      </c>
      <c r="X52" s="1432">
        <f t="shared" si="1"/>
        <v>60199.333333333336</v>
      </c>
      <c r="Y52" s="1432">
        <f t="shared" si="1"/>
        <v>53199.333333333336</v>
      </c>
      <c r="Z52" s="1432">
        <f t="shared" si="1"/>
        <v>58299.333333333336</v>
      </c>
      <c r="AA52" s="2222">
        <f>SUM(O52:Z52)</f>
        <v>654156.66666666674</v>
      </c>
      <c r="AB52" s="35"/>
      <c r="AC52" s="183"/>
    </row>
    <row r="53" spans="1:29" ht="11.25" customHeight="1" x14ac:dyDescent="0.2">
      <c r="A53" s="179"/>
      <c r="B53" s="2456"/>
      <c r="C53" s="3269"/>
      <c r="D53" s="3269"/>
      <c r="E53" s="3269"/>
      <c r="F53" s="3269"/>
      <c r="G53" s="3269"/>
      <c r="H53" s="3269"/>
      <c r="I53" s="3269"/>
      <c r="J53" s="3203"/>
      <c r="K53" s="3203"/>
      <c r="L53" s="2430"/>
      <c r="M53" s="1096">
        <v>211311</v>
      </c>
      <c r="N53" s="1096" t="s">
        <v>2146</v>
      </c>
      <c r="O53" s="913"/>
      <c r="P53" s="40">
        <v>37194</v>
      </c>
      <c r="Q53" s="40">
        <v>37194</v>
      </c>
      <c r="R53" s="40">
        <v>37194</v>
      </c>
      <c r="S53" s="40">
        <v>37194</v>
      </c>
      <c r="T53" s="40">
        <v>37194</v>
      </c>
      <c r="U53" s="40">
        <v>37194</v>
      </c>
      <c r="V53" s="40">
        <v>37194</v>
      </c>
      <c r="W53" s="40">
        <v>37194</v>
      </c>
      <c r="X53" s="40">
        <v>37194</v>
      </c>
      <c r="Y53" s="40">
        <v>37194</v>
      </c>
      <c r="Z53" s="40">
        <v>37194</v>
      </c>
      <c r="AA53" s="2223">
        <f t="shared" ref="AA53:AA67" si="2">SUM(O53:Z53)</f>
        <v>409134</v>
      </c>
      <c r="AB53" s="35"/>
      <c r="AC53" s="183"/>
    </row>
    <row r="54" spans="1:29" x14ac:dyDescent="0.2">
      <c r="A54" s="179"/>
      <c r="B54" s="2456"/>
      <c r="C54" s="3269"/>
      <c r="D54" s="3269"/>
      <c r="E54" s="3269"/>
      <c r="F54" s="3269"/>
      <c r="G54" s="3269"/>
      <c r="H54" s="3269"/>
      <c r="I54" s="3269"/>
      <c r="J54" s="3203"/>
      <c r="K54" s="3203"/>
      <c r="L54" s="2430"/>
      <c r="M54" s="1096">
        <v>211321</v>
      </c>
      <c r="N54" s="1096" t="s">
        <v>2146</v>
      </c>
      <c r="O54" s="913"/>
      <c r="P54" s="40">
        <v>9606</v>
      </c>
      <c r="Q54" s="40">
        <v>9606</v>
      </c>
      <c r="R54" s="40">
        <v>9606</v>
      </c>
      <c r="S54" s="40">
        <v>9606</v>
      </c>
      <c r="T54" s="40">
        <v>9606</v>
      </c>
      <c r="U54" s="40">
        <v>9606</v>
      </c>
      <c r="V54" s="40">
        <v>9606</v>
      </c>
      <c r="W54" s="40">
        <v>9606</v>
      </c>
      <c r="X54" s="40">
        <v>9606</v>
      </c>
      <c r="Y54" s="40">
        <v>9606</v>
      </c>
      <c r="Z54" s="40">
        <v>9606</v>
      </c>
      <c r="AA54" s="2223">
        <f t="shared" si="2"/>
        <v>105666</v>
      </c>
      <c r="AB54" s="35"/>
      <c r="AC54" s="183"/>
    </row>
    <row r="55" spans="1:29" ht="22.5" x14ac:dyDescent="0.2">
      <c r="A55" s="179"/>
      <c r="B55" s="2456"/>
      <c r="C55" s="3269"/>
      <c r="D55" s="3269"/>
      <c r="E55" s="3269"/>
      <c r="F55" s="3269"/>
      <c r="G55" s="3269"/>
      <c r="H55" s="3269"/>
      <c r="I55" s="3269"/>
      <c r="J55" s="3203"/>
      <c r="K55" s="3203"/>
      <c r="L55" s="2430"/>
      <c r="M55" s="1096">
        <v>211331</v>
      </c>
      <c r="N55" s="1096" t="s">
        <v>3142</v>
      </c>
      <c r="O55" s="913"/>
      <c r="P55" s="40">
        <v>2961.8333333333335</v>
      </c>
      <c r="Q55" s="40">
        <v>2961.8333333333335</v>
      </c>
      <c r="R55" s="40">
        <v>2961.8333333333335</v>
      </c>
      <c r="S55" s="40">
        <v>2961.8333333333335</v>
      </c>
      <c r="T55" s="40">
        <v>2961.8333333333335</v>
      </c>
      <c r="U55" s="40">
        <v>2961.8333333333335</v>
      </c>
      <c r="V55" s="40">
        <v>2961.8333333333335</v>
      </c>
      <c r="W55" s="40">
        <v>2961.8333333333335</v>
      </c>
      <c r="X55" s="40">
        <v>2961.8333333333335</v>
      </c>
      <c r="Y55" s="40">
        <v>2961.8333333333335</v>
      </c>
      <c r="Z55" s="40">
        <v>2961.8333333333335</v>
      </c>
      <c r="AA55" s="2223">
        <f t="shared" si="2"/>
        <v>32580.166666666661</v>
      </c>
      <c r="AB55" s="35"/>
      <c r="AC55" s="183"/>
    </row>
    <row r="56" spans="1:29" ht="22.5" x14ac:dyDescent="0.2">
      <c r="A56" s="179"/>
      <c r="B56" s="2456"/>
      <c r="C56" s="3269"/>
      <c r="D56" s="3269"/>
      <c r="E56" s="3269"/>
      <c r="F56" s="3269"/>
      <c r="G56" s="3269"/>
      <c r="H56" s="3269"/>
      <c r="I56" s="3269"/>
      <c r="J56" s="3203"/>
      <c r="K56" s="3203"/>
      <c r="L56" s="2430"/>
      <c r="M56" s="1096">
        <v>2113399</v>
      </c>
      <c r="N56" s="1096" t="s">
        <v>3160</v>
      </c>
      <c r="O56" s="913"/>
      <c r="P56" s="40">
        <v>790</v>
      </c>
      <c r="Q56" s="40">
        <v>790</v>
      </c>
      <c r="R56" s="40">
        <v>790</v>
      </c>
      <c r="S56" s="40">
        <v>790</v>
      </c>
      <c r="T56" s="40">
        <v>790</v>
      </c>
      <c r="U56" s="40">
        <v>790</v>
      </c>
      <c r="V56" s="40">
        <v>790</v>
      </c>
      <c r="W56" s="40">
        <v>790</v>
      </c>
      <c r="X56" s="40">
        <v>790</v>
      </c>
      <c r="Y56" s="40">
        <v>790</v>
      </c>
      <c r="Z56" s="40">
        <v>790</v>
      </c>
      <c r="AA56" s="2223">
        <f t="shared" si="2"/>
        <v>8690</v>
      </c>
      <c r="AB56" s="35"/>
      <c r="AC56" s="183"/>
    </row>
    <row r="57" spans="1:29" x14ac:dyDescent="0.2">
      <c r="A57" s="179"/>
      <c r="B57" s="2456"/>
      <c r="C57" s="3269"/>
      <c r="D57" s="3269"/>
      <c r="E57" s="3269"/>
      <c r="F57" s="3269"/>
      <c r="G57" s="3269"/>
      <c r="H57" s="3269"/>
      <c r="I57" s="3269"/>
      <c r="J57" s="3203"/>
      <c r="K57" s="3203"/>
      <c r="L57" s="2430"/>
      <c r="M57" s="1096">
        <v>211912</v>
      </c>
      <c r="N57" s="1096" t="s">
        <v>3161</v>
      </c>
      <c r="O57" s="913"/>
      <c r="P57" s="40"/>
      <c r="Q57" s="40"/>
      <c r="R57" s="40"/>
      <c r="S57" s="40"/>
      <c r="T57" s="40"/>
      <c r="U57" s="40">
        <v>5100</v>
      </c>
      <c r="V57" s="40"/>
      <c r="W57" s="40"/>
      <c r="X57" s="40"/>
      <c r="Y57" s="40"/>
      <c r="Z57" s="40">
        <v>5100</v>
      </c>
      <c r="AA57" s="2223">
        <f t="shared" si="2"/>
        <v>10200</v>
      </c>
      <c r="AB57" s="35"/>
      <c r="AC57" s="183"/>
    </row>
    <row r="58" spans="1:29" ht="22.5" x14ac:dyDescent="0.2">
      <c r="A58" s="179"/>
      <c r="B58" s="2456"/>
      <c r="C58" s="3269"/>
      <c r="D58" s="3269"/>
      <c r="E58" s="3269"/>
      <c r="F58" s="3269"/>
      <c r="G58" s="3269"/>
      <c r="H58" s="3269"/>
      <c r="I58" s="3269"/>
      <c r="J58" s="3203"/>
      <c r="K58" s="3203"/>
      <c r="L58" s="2430"/>
      <c r="M58" s="1096">
        <v>211913</v>
      </c>
      <c r="N58" s="1096" t="s">
        <v>3166</v>
      </c>
      <c r="O58" s="913"/>
      <c r="P58" s="40"/>
      <c r="Q58" s="40"/>
      <c r="R58" s="40"/>
      <c r="S58" s="40"/>
      <c r="T58" s="40"/>
      <c r="U58" s="40"/>
      <c r="V58" s="40"/>
      <c r="W58" s="40"/>
      <c r="X58" s="40"/>
      <c r="Y58" s="40"/>
      <c r="Z58" s="40"/>
      <c r="AA58" s="2223">
        <f>SUM(O58:Z58)</f>
        <v>0</v>
      </c>
      <c r="AB58" s="35"/>
      <c r="AC58" s="183"/>
    </row>
    <row r="59" spans="1:29" ht="22.5" x14ac:dyDescent="0.2">
      <c r="A59" s="179"/>
      <c r="B59" s="2456"/>
      <c r="C59" s="3269"/>
      <c r="D59" s="3269"/>
      <c r="E59" s="3269"/>
      <c r="F59" s="3269"/>
      <c r="G59" s="3269"/>
      <c r="H59" s="3269"/>
      <c r="I59" s="3269"/>
      <c r="J59" s="3203"/>
      <c r="K59" s="3203"/>
      <c r="L59" s="2430"/>
      <c r="M59" s="1096">
        <v>213115</v>
      </c>
      <c r="N59" s="1096" t="s">
        <v>3162</v>
      </c>
      <c r="O59" s="913"/>
      <c r="P59" s="40">
        <v>2484.5833333333335</v>
      </c>
      <c r="Q59" s="40">
        <v>2484.5833333333335</v>
      </c>
      <c r="R59" s="40">
        <v>2484.5833333333335</v>
      </c>
      <c r="S59" s="40">
        <v>2484.5833333333335</v>
      </c>
      <c r="T59" s="40">
        <v>2484.5833333333335</v>
      </c>
      <c r="U59" s="40">
        <v>2484.5833333333335</v>
      </c>
      <c r="V59" s="40">
        <v>2484.5833333333335</v>
      </c>
      <c r="W59" s="40">
        <v>2484.5833333333335</v>
      </c>
      <c r="X59" s="40">
        <v>2484.5833333333335</v>
      </c>
      <c r="Y59" s="40">
        <v>2484.5833333333335</v>
      </c>
      <c r="Z59" s="40">
        <v>2484.5833333333335</v>
      </c>
      <c r="AA59" s="2223">
        <f t="shared" si="2"/>
        <v>27330.416666666664</v>
      </c>
      <c r="AB59" s="35"/>
      <c r="AC59" s="183"/>
    </row>
    <row r="60" spans="1:29" ht="22.5" x14ac:dyDescent="0.2">
      <c r="A60" s="179"/>
      <c r="B60" s="2456"/>
      <c r="C60" s="3269"/>
      <c r="D60" s="3269"/>
      <c r="E60" s="3269"/>
      <c r="F60" s="3269"/>
      <c r="G60" s="3269"/>
      <c r="H60" s="3269"/>
      <c r="I60" s="3269"/>
      <c r="J60" s="3203"/>
      <c r="K60" s="3203"/>
      <c r="L60" s="2430"/>
      <c r="M60" s="1096">
        <v>213116</v>
      </c>
      <c r="N60" s="1096" t="s">
        <v>3169</v>
      </c>
      <c r="O60" s="913"/>
      <c r="P60" s="40">
        <v>162.91666666666666</v>
      </c>
      <c r="Q60" s="40">
        <v>162.91666666666666</v>
      </c>
      <c r="R60" s="40">
        <v>162.91666666666666</v>
      </c>
      <c r="S60" s="40">
        <v>162.91666666666666</v>
      </c>
      <c r="T60" s="40">
        <v>162.91666666666666</v>
      </c>
      <c r="U60" s="40">
        <v>162.91666666666666</v>
      </c>
      <c r="V60" s="40">
        <v>162.91666666666666</v>
      </c>
      <c r="W60" s="40">
        <v>162.91666666666666</v>
      </c>
      <c r="X60" s="40">
        <v>162.91666666666666</v>
      </c>
      <c r="Y60" s="40">
        <v>162.91666666666666</v>
      </c>
      <c r="Z60" s="40">
        <v>162.91666666666666</v>
      </c>
      <c r="AA60" s="2223">
        <f t="shared" si="2"/>
        <v>1792.0833333333335</v>
      </c>
      <c r="AB60" s="35"/>
      <c r="AC60" s="183"/>
    </row>
    <row r="61" spans="1:29" ht="45" x14ac:dyDescent="0.2">
      <c r="A61" s="179"/>
      <c r="B61" s="2456"/>
      <c r="C61" s="3269"/>
      <c r="D61" s="3269"/>
      <c r="E61" s="3269"/>
      <c r="F61" s="3269"/>
      <c r="G61" s="3269"/>
      <c r="H61" s="3269"/>
      <c r="I61" s="3269"/>
      <c r="J61" s="3203"/>
      <c r="K61" s="3203"/>
      <c r="L61" s="2430"/>
      <c r="M61" s="1096">
        <v>231512</v>
      </c>
      <c r="N61" s="1096" t="s">
        <v>3167</v>
      </c>
      <c r="O61" s="913"/>
      <c r="P61" s="40"/>
      <c r="Q61" s="154">
        <v>2800</v>
      </c>
      <c r="R61" s="40"/>
      <c r="S61" s="40"/>
      <c r="T61" s="38"/>
      <c r="U61" s="38"/>
      <c r="V61" s="38"/>
      <c r="W61" s="38"/>
      <c r="X61" s="38"/>
      <c r="Y61" s="38"/>
      <c r="Z61" s="38"/>
      <c r="AA61" s="1203">
        <f t="shared" si="2"/>
        <v>2800</v>
      </c>
      <c r="AB61" s="35"/>
      <c r="AC61" s="183"/>
    </row>
    <row r="62" spans="1:29" ht="56.25" x14ac:dyDescent="0.2">
      <c r="A62" s="179"/>
      <c r="B62" s="2456"/>
      <c r="C62" s="3269"/>
      <c r="D62" s="3269"/>
      <c r="E62" s="3269"/>
      <c r="F62" s="3269"/>
      <c r="G62" s="3269"/>
      <c r="H62" s="3269"/>
      <c r="I62" s="3269"/>
      <c r="J62" s="3203"/>
      <c r="K62" s="3203"/>
      <c r="L62" s="2430"/>
      <c r="M62" s="1096">
        <v>2319913</v>
      </c>
      <c r="N62" s="1096" t="s">
        <v>3147</v>
      </c>
      <c r="O62" s="913"/>
      <c r="P62" s="154"/>
      <c r="Q62" s="154"/>
      <c r="R62" s="154">
        <v>8000</v>
      </c>
      <c r="S62" s="154"/>
      <c r="T62" s="913"/>
      <c r="U62" s="913"/>
      <c r="V62" s="913"/>
      <c r="W62" s="913"/>
      <c r="X62" s="913"/>
      <c r="Y62" s="913"/>
      <c r="Z62" s="913"/>
      <c r="AA62" s="1203">
        <f t="shared" si="2"/>
        <v>8000</v>
      </c>
      <c r="AB62" s="35"/>
      <c r="AC62" s="183"/>
    </row>
    <row r="63" spans="1:29" ht="22.5" x14ac:dyDescent="0.2">
      <c r="A63" s="179"/>
      <c r="B63" s="2456"/>
      <c r="C63" s="3269"/>
      <c r="D63" s="3269"/>
      <c r="E63" s="3269"/>
      <c r="F63" s="3269"/>
      <c r="G63" s="3269"/>
      <c r="H63" s="3269"/>
      <c r="I63" s="3269"/>
      <c r="J63" s="3203"/>
      <c r="K63" s="3203"/>
      <c r="L63" s="2430"/>
      <c r="M63" s="1096">
        <v>232121</v>
      </c>
      <c r="N63" s="1096" t="s">
        <v>3163</v>
      </c>
      <c r="O63" s="913"/>
      <c r="P63" s="154"/>
      <c r="Q63" s="154">
        <v>1000</v>
      </c>
      <c r="R63" s="154"/>
      <c r="S63" s="154">
        <v>1500</v>
      </c>
      <c r="T63" s="913"/>
      <c r="U63" s="913">
        <v>1000</v>
      </c>
      <c r="V63" s="913"/>
      <c r="W63" s="913"/>
      <c r="X63" s="913"/>
      <c r="Y63" s="913"/>
      <c r="Z63" s="913"/>
      <c r="AA63" s="1203">
        <f t="shared" si="2"/>
        <v>3500</v>
      </c>
      <c r="AB63" s="35"/>
      <c r="AC63" s="183"/>
    </row>
    <row r="64" spans="1:29" ht="33.75" x14ac:dyDescent="0.2">
      <c r="A64" s="179"/>
      <c r="B64" s="2456"/>
      <c r="C64" s="3269"/>
      <c r="D64" s="3269"/>
      <c r="E64" s="3269"/>
      <c r="F64" s="3269"/>
      <c r="G64" s="3269"/>
      <c r="H64" s="3269"/>
      <c r="I64" s="3269"/>
      <c r="J64" s="3203"/>
      <c r="K64" s="3203"/>
      <c r="L64" s="2430"/>
      <c r="M64" s="1096">
        <v>232122</v>
      </c>
      <c r="N64" s="1096" t="s">
        <v>3164</v>
      </c>
      <c r="O64" s="913"/>
      <c r="P64" s="154"/>
      <c r="Q64" s="154">
        <v>4000</v>
      </c>
      <c r="R64" s="154"/>
      <c r="S64" s="154">
        <v>4700</v>
      </c>
      <c r="T64" s="913"/>
      <c r="U64" s="913">
        <v>3300</v>
      </c>
      <c r="V64" s="913"/>
      <c r="W64" s="913"/>
      <c r="X64" s="913"/>
      <c r="Y64" s="913"/>
      <c r="Z64" s="913"/>
      <c r="AA64" s="1203">
        <f t="shared" si="2"/>
        <v>12000</v>
      </c>
      <c r="AB64" s="35"/>
      <c r="AC64" s="183"/>
    </row>
    <row r="65" spans="1:29" x14ac:dyDescent="0.2">
      <c r="A65" s="179"/>
      <c r="B65" s="2456"/>
      <c r="C65" s="3269"/>
      <c r="D65" s="3269"/>
      <c r="E65" s="3269"/>
      <c r="F65" s="3269"/>
      <c r="G65" s="3269"/>
      <c r="H65" s="3269"/>
      <c r="I65" s="3269"/>
      <c r="J65" s="3203"/>
      <c r="K65" s="3203"/>
      <c r="L65" s="2430"/>
      <c r="M65" s="1096">
        <v>2321299</v>
      </c>
      <c r="N65" s="1096" t="s">
        <v>193</v>
      </c>
      <c r="O65" s="913"/>
      <c r="P65" s="154"/>
      <c r="Q65" s="154"/>
      <c r="R65" s="154">
        <v>1500</v>
      </c>
      <c r="S65" s="154">
        <v>1500</v>
      </c>
      <c r="T65" s="913">
        <v>1500</v>
      </c>
      <c r="U65" s="913">
        <v>1500</v>
      </c>
      <c r="V65" s="913">
        <v>1264</v>
      </c>
      <c r="W65" s="913"/>
      <c r="X65" s="913"/>
      <c r="Y65" s="913"/>
      <c r="Z65" s="913"/>
      <c r="AA65" s="1203">
        <f t="shared" si="2"/>
        <v>7264</v>
      </c>
      <c r="AB65" s="35"/>
      <c r="AC65" s="183"/>
    </row>
    <row r="66" spans="1:29" ht="45" x14ac:dyDescent="0.2">
      <c r="A66" s="179"/>
      <c r="B66" s="2456"/>
      <c r="C66" s="3269"/>
      <c r="D66" s="3269"/>
      <c r="E66" s="3269"/>
      <c r="F66" s="3269"/>
      <c r="G66" s="3269"/>
      <c r="H66" s="3269"/>
      <c r="I66" s="3269"/>
      <c r="J66" s="3203"/>
      <c r="K66" s="3203"/>
      <c r="L66" s="2430"/>
      <c r="M66" s="1096">
        <v>232244</v>
      </c>
      <c r="N66" s="1096" t="s">
        <v>3165</v>
      </c>
      <c r="O66" s="913"/>
      <c r="P66" s="154"/>
      <c r="Q66" s="154"/>
      <c r="R66" s="154">
        <v>3700</v>
      </c>
      <c r="S66" s="154"/>
      <c r="T66" s="913"/>
      <c r="U66" s="913"/>
      <c r="V66" s="913"/>
      <c r="W66" s="913"/>
      <c r="X66" s="913"/>
      <c r="Y66" s="913"/>
      <c r="Z66" s="913"/>
      <c r="AA66" s="1203">
        <f t="shared" si="2"/>
        <v>3700</v>
      </c>
      <c r="AB66" s="35"/>
      <c r="AC66" s="183"/>
    </row>
    <row r="67" spans="1:29" ht="45" x14ac:dyDescent="0.2">
      <c r="A67" s="179"/>
      <c r="B67" s="2450"/>
      <c r="C67" s="3270"/>
      <c r="D67" s="3270"/>
      <c r="E67" s="3270"/>
      <c r="F67" s="3270"/>
      <c r="G67" s="3270"/>
      <c r="H67" s="3270"/>
      <c r="I67" s="3270"/>
      <c r="J67" s="3204"/>
      <c r="K67" s="3204"/>
      <c r="L67" s="2434"/>
      <c r="M67" s="1096">
        <v>2327101</v>
      </c>
      <c r="N67" s="1096" t="s">
        <v>3171</v>
      </c>
      <c r="O67" s="913"/>
      <c r="P67" s="154"/>
      <c r="Q67" s="154"/>
      <c r="R67" s="154">
        <v>7500</v>
      </c>
      <c r="S67" s="154"/>
      <c r="T67" s="913"/>
      <c r="U67" s="913">
        <v>7000</v>
      </c>
      <c r="V67" s="913"/>
      <c r="W67" s="913"/>
      <c r="X67" s="913">
        <v>7000</v>
      </c>
      <c r="Y67" s="913"/>
      <c r="Z67" s="913"/>
      <c r="AA67" s="1203">
        <f t="shared" si="2"/>
        <v>21500</v>
      </c>
      <c r="AB67" s="35"/>
      <c r="AC67" s="183"/>
    </row>
    <row r="68" spans="1:29" ht="11.25" customHeight="1" x14ac:dyDescent="0.2">
      <c r="A68" s="179"/>
      <c r="B68" s="2984" t="s">
        <v>278</v>
      </c>
      <c r="C68" s="2988" t="s">
        <v>21</v>
      </c>
      <c r="D68" s="2988" t="s">
        <v>22</v>
      </c>
      <c r="E68" s="2988" t="s">
        <v>23</v>
      </c>
      <c r="F68" s="2988" t="s">
        <v>24</v>
      </c>
      <c r="G68" s="2988" t="s">
        <v>25</v>
      </c>
      <c r="H68" s="2988" t="s">
        <v>26</v>
      </c>
      <c r="I68" s="2988" t="s">
        <v>27</v>
      </c>
      <c r="J68" s="3206" t="s">
        <v>28</v>
      </c>
      <c r="K68" s="3207"/>
      <c r="L68" s="2988" t="s">
        <v>279</v>
      </c>
      <c r="M68" s="3960" t="s">
        <v>3132</v>
      </c>
      <c r="N68" s="3961"/>
      <c r="O68" s="3207" t="s">
        <v>3113</v>
      </c>
      <c r="P68" s="2847"/>
      <c r="Q68" s="2847"/>
      <c r="R68" s="2847"/>
      <c r="S68" s="2847"/>
      <c r="T68" s="2847"/>
      <c r="U68" s="2847"/>
      <c r="V68" s="2847"/>
      <c r="W68" s="2847"/>
      <c r="X68" s="2847"/>
      <c r="Y68" s="2847"/>
      <c r="Z68" s="2847"/>
      <c r="AA68" s="3217" t="s">
        <v>32</v>
      </c>
      <c r="AB68" s="35"/>
      <c r="AC68" s="183"/>
    </row>
    <row r="69" spans="1:29" ht="11.25" customHeight="1" x14ac:dyDescent="0.2">
      <c r="A69" s="179"/>
      <c r="B69" s="2985"/>
      <c r="C69" s="2989"/>
      <c r="D69" s="2989"/>
      <c r="E69" s="2989"/>
      <c r="F69" s="2989"/>
      <c r="G69" s="2989"/>
      <c r="H69" s="2989"/>
      <c r="I69" s="2989"/>
      <c r="J69" s="1009" t="s">
        <v>33</v>
      </c>
      <c r="K69" s="1009" t="s">
        <v>282</v>
      </c>
      <c r="L69" s="2989"/>
      <c r="M69" s="3962"/>
      <c r="N69" s="3963"/>
      <c r="O69" s="1031" t="s">
        <v>283</v>
      </c>
      <c r="P69" s="1017" t="s">
        <v>284</v>
      </c>
      <c r="Q69" s="1017" t="s">
        <v>285</v>
      </c>
      <c r="R69" s="1017" t="s">
        <v>88</v>
      </c>
      <c r="S69" s="1017" t="s">
        <v>89</v>
      </c>
      <c r="T69" s="1017" t="s">
        <v>90</v>
      </c>
      <c r="U69" s="1017" t="s">
        <v>91</v>
      </c>
      <c r="V69" s="1017" t="s">
        <v>92</v>
      </c>
      <c r="W69" s="1017" t="s">
        <v>286</v>
      </c>
      <c r="X69" s="1017" t="s">
        <v>93</v>
      </c>
      <c r="Y69" s="1017" t="s">
        <v>94</v>
      </c>
      <c r="Z69" s="1017" t="s">
        <v>95</v>
      </c>
      <c r="AA69" s="3218"/>
      <c r="AB69" s="35"/>
      <c r="AC69" s="183"/>
    </row>
    <row r="70" spans="1:29" x14ac:dyDescent="0.2">
      <c r="A70" s="179"/>
      <c r="B70" s="1240"/>
      <c r="C70" s="177"/>
      <c r="D70" s="177"/>
      <c r="E70" s="177"/>
      <c r="F70" s="177"/>
      <c r="G70" s="177"/>
      <c r="H70" s="177"/>
      <c r="I70" s="177"/>
      <c r="J70" s="177"/>
      <c r="K70" s="3762">
        <v>1082743</v>
      </c>
      <c r="L70" s="177"/>
      <c r="M70" s="3221" t="s">
        <v>287</v>
      </c>
      <c r="N70" s="3221"/>
      <c r="O70" s="1145">
        <v>8</v>
      </c>
      <c r="P70" s="1095">
        <v>8</v>
      </c>
      <c r="Q70" s="1095">
        <v>8</v>
      </c>
      <c r="R70" s="1095">
        <v>8</v>
      </c>
      <c r="S70" s="1095">
        <v>8</v>
      </c>
      <c r="T70" s="1095">
        <v>9</v>
      </c>
      <c r="U70" s="1095">
        <v>8</v>
      </c>
      <c r="V70" s="1095">
        <v>9</v>
      </c>
      <c r="W70" s="1095">
        <v>8</v>
      </c>
      <c r="X70" s="1095">
        <v>8</v>
      </c>
      <c r="Y70" s="1095">
        <v>8</v>
      </c>
      <c r="Z70" s="1095">
        <v>8</v>
      </c>
      <c r="AA70" s="964">
        <f>SUM(O70:Z70)</f>
        <v>98</v>
      </c>
      <c r="AB70" s="35"/>
      <c r="AC70" s="183"/>
    </row>
    <row r="71" spans="1:29" x14ac:dyDescent="0.2">
      <c r="A71" s="179"/>
      <c r="B71" s="1241"/>
      <c r="C71" s="171"/>
      <c r="D71" s="171"/>
      <c r="E71" s="171"/>
      <c r="F71" s="171"/>
      <c r="G71" s="171"/>
      <c r="H71" s="171"/>
      <c r="I71" s="171"/>
      <c r="J71" s="171"/>
      <c r="K71" s="3959"/>
      <c r="L71" s="171"/>
      <c r="M71" s="3219" t="s">
        <v>34</v>
      </c>
      <c r="N71" s="3219"/>
      <c r="O71" s="912">
        <f>SUM(O72:O96)</f>
        <v>0</v>
      </c>
      <c r="P71" s="36">
        <f t="shared" ref="P71:Z71" si="3">SUM(P72:P96)</f>
        <v>58097.333333333336</v>
      </c>
      <c r="Q71" s="36">
        <f t="shared" si="3"/>
        <v>58097.333333333336</v>
      </c>
      <c r="R71" s="36">
        <f t="shared" si="3"/>
        <v>58097.333333333336</v>
      </c>
      <c r="S71" s="36">
        <f t="shared" si="3"/>
        <v>58097.333333333336</v>
      </c>
      <c r="T71" s="36">
        <f t="shared" si="3"/>
        <v>58097.333333333336</v>
      </c>
      <c r="U71" s="36">
        <f t="shared" si="3"/>
        <v>58097.333333333336</v>
      </c>
      <c r="V71" s="36">
        <f t="shared" si="3"/>
        <v>58097.333333333336</v>
      </c>
      <c r="W71" s="36">
        <f t="shared" si="3"/>
        <v>58097.333333333336</v>
      </c>
      <c r="X71" s="36">
        <f t="shared" si="3"/>
        <v>58097.333333333336</v>
      </c>
      <c r="Y71" s="36">
        <f t="shared" si="3"/>
        <v>58097.333333333336</v>
      </c>
      <c r="Z71" s="36">
        <f t="shared" si="3"/>
        <v>58097.333333333336</v>
      </c>
      <c r="AA71" s="1202">
        <v>1082743</v>
      </c>
      <c r="AB71" s="35"/>
      <c r="AC71" s="183"/>
    </row>
    <row r="72" spans="1:29" ht="17.25" customHeight="1" x14ac:dyDescent="0.2">
      <c r="A72" s="179"/>
      <c r="B72" s="2439">
        <v>5004426</v>
      </c>
      <c r="C72" s="2432" t="s">
        <v>3230</v>
      </c>
      <c r="D72" s="2437">
        <v>3</v>
      </c>
      <c r="E72" s="2437" t="s">
        <v>288</v>
      </c>
      <c r="F72" s="2437" t="s">
        <v>3138</v>
      </c>
      <c r="G72" s="2437" t="s">
        <v>3139</v>
      </c>
      <c r="H72" s="2437" t="s">
        <v>318</v>
      </c>
      <c r="I72" s="2437" t="s">
        <v>3146</v>
      </c>
      <c r="J72" s="2437">
        <v>98</v>
      </c>
      <c r="K72" s="3959"/>
      <c r="L72" s="3285" t="s">
        <v>3229</v>
      </c>
      <c r="M72" s="3223" t="s">
        <v>3227</v>
      </c>
      <c r="N72" s="3223"/>
      <c r="O72" s="164">
        <f t="shared" ref="O72:O78" si="4">K72/12</f>
        <v>0</v>
      </c>
      <c r="P72" s="40">
        <v>3663.5833333333335</v>
      </c>
      <c r="Q72" s="40">
        <v>3663.5833333333335</v>
      </c>
      <c r="R72" s="40">
        <v>3663.5833333333335</v>
      </c>
      <c r="S72" s="40">
        <v>3663.5833333333335</v>
      </c>
      <c r="T72" s="40">
        <v>3663.5833333333335</v>
      </c>
      <c r="U72" s="40">
        <v>3663.5833333333335</v>
      </c>
      <c r="V72" s="40">
        <v>3663.5833333333335</v>
      </c>
      <c r="W72" s="40">
        <v>3663.5833333333335</v>
      </c>
      <c r="X72" s="40">
        <v>3663.5833333333335</v>
      </c>
      <c r="Y72" s="40">
        <v>3663.5833333333335</v>
      </c>
      <c r="Z72" s="40">
        <v>3663.5833333333335</v>
      </c>
      <c r="AA72" s="966">
        <v>43963</v>
      </c>
      <c r="AB72" s="35"/>
      <c r="AC72" s="183"/>
    </row>
    <row r="73" spans="1:29" ht="18" customHeight="1" x14ac:dyDescent="0.2">
      <c r="A73" s="179"/>
      <c r="B73" s="3222"/>
      <c r="C73" s="2432"/>
      <c r="D73" s="2421"/>
      <c r="E73" s="2421"/>
      <c r="F73" s="2421"/>
      <c r="G73" s="2421"/>
      <c r="H73" s="2421"/>
      <c r="I73" s="2421"/>
      <c r="J73" s="2421"/>
      <c r="K73" s="3959"/>
      <c r="L73" s="3285"/>
      <c r="M73" s="3223" t="s">
        <v>3228</v>
      </c>
      <c r="N73" s="3223"/>
      <c r="O73" s="164">
        <f t="shared" si="4"/>
        <v>0</v>
      </c>
      <c r="P73" s="40">
        <v>3750</v>
      </c>
      <c r="Q73" s="40">
        <v>3750</v>
      </c>
      <c r="R73" s="40">
        <v>3750</v>
      </c>
      <c r="S73" s="40">
        <v>3750</v>
      </c>
      <c r="T73" s="40">
        <v>3750</v>
      </c>
      <c r="U73" s="40">
        <v>3750</v>
      </c>
      <c r="V73" s="40">
        <v>3750</v>
      </c>
      <c r="W73" s="40">
        <v>3750</v>
      </c>
      <c r="X73" s="40">
        <v>3750</v>
      </c>
      <c r="Y73" s="40">
        <v>3750</v>
      </c>
      <c r="Z73" s="40">
        <v>3750</v>
      </c>
      <c r="AA73" s="966">
        <v>45000</v>
      </c>
      <c r="AB73" s="35"/>
      <c r="AC73" s="183"/>
    </row>
    <row r="74" spans="1:29" x14ac:dyDescent="0.2">
      <c r="A74" s="179"/>
      <c r="B74" s="3222"/>
      <c r="C74" s="2432"/>
      <c r="D74" s="2421"/>
      <c r="E74" s="2421"/>
      <c r="F74" s="2421"/>
      <c r="G74" s="2421"/>
      <c r="H74" s="2421"/>
      <c r="I74" s="2421"/>
      <c r="J74" s="2421"/>
      <c r="K74" s="3959"/>
      <c r="L74" s="3285"/>
      <c r="M74" s="3223" t="s">
        <v>3114</v>
      </c>
      <c r="N74" s="3223"/>
      <c r="O74" s="164">
        <f t="shared" si="4"/>
        <v>0</v>
      </c>
      <c r="P74" s="40">
        <v>23863</v>
      </c>
      <c r="Q74" s="40">
        <v>23863</v>
      </c>
      <c r="R74" s="40">
        <v>23863</v>
      </c>
      <c r="S74" s="40">
        <v>23863</v>
      </c>
      <c r="T74" s="40">
        <v>23863</v>
      </c>
      <c r="U74" s="40">
        <v>23863</v>
      </c>
      <c r="V74" s="40">
        <v>23863</v>
      </c>
      <c r="W74" s="40">
        <v>23863</v>
      </c>
      <c r="X74" s="40">
        <v>23863</v>
      </c>
      <c r="Y74" s="40">
        <v>23863</v>
      </c>
      <c r="Z74" s="40">
        <v>23863</v>
      </c>
      <c r="AA74" s="966">
        <v>286356</v>
      </c>
      <c r="AB74" s="35"/>
      <c r="AC74" s="183"/>
    </row>
    <row r="75" spans="1:29" x14ac:dyDescent="0.2">
      <c r="A75" s="179"/>
      <c r="B75" s="3222"/>
      <c r="C75" s="2432"/>
      <c r="D75" s="2421"/>
      <c r="E75" s="2421"/>
      <c r="F75" s="2421"/>
      <c r="G75" s="2421"/>
      <c r="H75" s="2421"/>
      <c r="I75" s="2421"/>
      <c r="J75" s="2421"/>
      <c r="K75" s="3959"/>
      <c r="L75" s="3285"/>
      <c r="M75" s="3223" t="s">
        <v>3133</v>
      </c>
      <c r="N75" s="3223"/>
      <c r="O75" s="164">
        <f t="shared" si="4"/>
        <v>0</v>
      </c>
      <c r="P75" s="40">
        <v>6717</v>
      </c>
      <c r="Q75" s="40">
        <v>6717</v>
      </c>
      <c r="R75" s="40">
        <v>6717</v>
      </c>
      <c r="S75" s="40">
        <v>6717</v>
      </c>
      <c r="T75" s="40">
        <v>6717</v>
      </c>
      <c r="U75" s="40">
        <v>6717</v>
      </c>
      <c r="V75" s="40">
        <v>6717</v>
      </c>
      <c r="W75" s="40">
        <v>6717</v>
      </c>
      <c r="X75" s="40">
        <v>6717</v>
      </c>
      <c r="Y75" s="40">
        <v>6717</v>
      </c>
      <c r="Z75" s="40">
        <v>6717</v>
      </c>
      <c r="AA75" s="966">
        <v>80604</v>
      </c>
      <c r="AB75" s="35"/>
      <c r="AC75" s="183"/>
    </row>
    <row r="76" spans="1:29" x14ac:dyDescent="0.2">
      <c r="A76" s="179"/>
      <c r="B76" s="3222"/>
      <c r="C76" s="2432"/>
      <c r="D76" s="2421"/>
      <c r="E76" s="2421"/>
      <c r="F76" s="2421"/>
      <c r="G76" s="2421"/>
      <c r="H76" s="2421"/>
      <c r="I76" s="2421"/>
      <c r="J76" s="2421"/>
      <c r="K76" s="3959"/>
      <c r="L76" s="3285"/>
      <c r="M76" s="3223" t="s">
        <v>3115</v>
      </c>
      <c r="N76" s="3223"/>
      <c r="O76" s="164">
        <f t="shared" si="4"/>
        <v>0</v>
      </c>
      <c r="P76" s="40">
        <v>5312</v>
      </c>
      <c r="Q76" s="40">
        <v>5312</v>
      </c>
      <c r="R76" s="40">
        <v>5312</v>
      </c>
      <c r="S76" s="40">
        <v>5312</v>
      </c>
      <c r="T76" s="40">
        <v>5312</v>
      </c>
      <c r="U76" s="40">
        <v>5312</v>
      </c>
      <c r="V76" s="40">
        <v>5312</v>
      </c>
      <c r="W76" s="40">
        <v>5312</v>
      </c>
      <c r="X76" s="40">
        <v>5312</v>
      </c>
      <c r="Y76" s="40">
        <v>5312</v>
      </c>
      <c r="Z76" s="40">
        <v>5312</v>
      </c>
      <c r="AA76" s="966">
        <v>63744</v>
      </c>
      <c r="AB76" s="35"/>
      <c r="AC76" s="183"/>
    </row>
    <row r="77" spans="1:29" x14ac:dyDescent="0.2">
      <c r="A77" s="179"/>
      <c r="B77" s="3222"/>
      <c r="C77" s="2432"/>
      <c r="D77" s="2421"/>
      <c r="E77" s="2421"/>
      <c r="F77" s="2421"/>
      <c r="G77" s="2421"/>
      <c r="H77" s="2421"/>
      <c r="I77" s="2421"/>
      <c r="J77" s="2421"/>
      <c r="K77" s="3959"/>
      <c r="L77" s="3285"/>
      <c r="M77" s="3223" t="s">
        <v>3116</v>
      </c>
      <c r="N77" s="3223"/>
      <c r="O77" s="164">
        <f t="shared" si="4"/>
        <v>0</v>
      </c>
      <c r="P77" s="40">
        <v>9470.75</v>
      </c>
      <c r="Q77" s="40">
        <v>9470.75</v>
      </c>
      <c r="R77" s="40">
        <v>9470.75</v>
      </c>
      <c r="S77" s="40">
        <v>9470.75</v>
      </c>
      <c r="T77" s="40">
        <v>9470.75</v>
      </c>
      <c r="U77" s="40">
        <v>9470.75</v>
      </c>
      <c r="V77" s="40">
        <v>9470.75</v>
      </c>
      <c r="W77" s="40">
        <v>9470.75</v>
      </c>
      <c r="X77" s="40">
        <v>9470.75</v>
      </c>
      <c r="Y77" s="40">
        <v>9470.75</v>
      </c>
      <c r="Z77" s="40">
        <v>9470.75</v>
      </c>
      <c r="AA77" s="966">
        <v>113649</v>
      </c>
      <c r="AB77" s="35"/>
      <c r="AC77" s="183"/>
    </row>
    <row r="78" spans="1:29" ht="17.25" customHeight="1" x14ac:dyDescent="0.2">
      <c r="A78" s="179"/>
      <c r="B78" s="3222"/>
      <c r="C78" s="2432"/>
      <c r="D78" s="2421"/>
      <c r="E78" s="2421"/>
      <c r="F78" s="2421"/>
      <c r="G78" s="2421"/>
      <c r="H78" s="2421"/>
      <c r="I78" s="2421"/>
      <c r="J78" s="2421"/>
      <c r="K78" s="3959"/>
      <c r="L78" s="3285"/>
      <c r="M78" s="3223" t="s">
        <v>3117</v>
      </c>
      <c r="N78" s="3223"/>
      <c r="O78" s="164">
        <f t="shared" si="4"/>
        <v>0</v>
      </c>
      <c r="P78" s="40">
        <v>1974</v>
      </c>
      <c r="Q78" s="40">
        <v>1974</v>
      </c>
      <c r="R78" s="40">
        <v>1974</v>
      </c>
      <c r="S78" s="40">
        <v>1974</v>
      </c>
      <c r="T78" s="40">
        <v>1974</v>
      </c>
      <c r="U78" s="40">
        <v>1974</v>
      </c>
      <c r="V78" s="40">
        <v>1974</v>
      </c>
      <c r="W78" s="40">
        <v>1974</v>
      </c>
      <c r="X78" s="40">
        <v>1974</v>
      </c>
      <c r="Y78" s="40">
        <v>1974</v>
      </c>
      <c r="Z78" s="40">
        <v>1974</v>
      </c>
      <c r="AA78" s="966">
        <v>23688</v>
      </c>
      <c r="AB78" s="35"/>
      <c r="AC78" s="183"/>
    </row>
    <row r="79" spans="1:29" x14ac:dyDescent="0.2">
      <c r="A79" s="179"/>
      <c r="B79" s="3222"/>
      <c r="C79" s="2432"/>
      <c r="D79" s="2421"/>
      <c r="E79" s="2421"/>
      <c r="F79" s="2421"/>
      <c r="G79" s="2421"/>
      <c r="H79" s="2421"/>
      <c r="I79" s="2421"/>
      <c r="J79" s="2421"/>
      <c r="K79" s="3959"/>
      <c r="L79" s="3285"/>
      <c r="M79" s="3223" t="s">
        <v>3118</v>
      </c>
      <c r="N79" s="3223"/>
      <c r="O79" s="164"/>
      <c r="P79" s="40"/>
      <c r="Q79" s="40"/>
      <c r="R79" s="40"/>
      <c r="S79" s="40"/>
      <c r="T79" s="40"/>
      <c r="U79" s="40">
        <f>$K$67/2</f>
        <v>0</v>
      </c>
      <c r="V79" s="40"/>
      <c r="W79" s="40"/>
      <c r="X79" s="40"/>
      <c r="Y79" s="40"/>
      <c r="Z79" s="40">
        <f>$K$67/2</f>
        <v>0</v>
      </c>
      <c r="AA79" s="966">
        <v>19416</v>
      </c>
      <c r="AB79" s="35"/>
      <c r="AC79" s="183"/>
    </row>
    <row r="80" spans="1:29" x14ac:dyDescent="0.2">
      <c r="A80" s="179"/>
      <c r="B80" s="3222"/>
      <c r="C80" s="2432"/>
      <c r="D80" s="2421"/>
      <c r="E80" s="2421"/>
      <c r="F80" s="2421"/>
      <c r="G80" s="2421"/>
      <c r="H80" s="2421"/>
      <c r="I80" s="2421"/>
      <c r="J80" s="2421"/>
      <c r="K80" s="3959"/>
      <c r="L80" s="3285"/>
      <c r="M80" s="3223" t="s">
        <v>3119</v>
      </c>
      <c r="N80" s="3223"/>
      <c r="O80" s="164">
        <f>$K80</f>
        <v>0</v>
      </c>
      <c r="P80" s="40"/>
      <c r="Q80" s="40"/>
      <c r="R80" s="40"/>
      <c r="S80" s="40"/>
      <c r="T80" s="40"/>
      <c r="U80" s="40"/>
      <c r="V80" s="40"/>
      <c r="W80" s="40"/>
      <c r="X80" s="40"/>
      <c r="Y80" s="40"/>
      <c r="Z80" s="40"/>
      <c r="AA80" s="966">
        <v>10100</v>
      </c>
      <c r="AB80" s="35"/>
      <c r="AC80" s="183"/>
    </row>
    <row r="81" spans="1:29" x14ac:dyDescent="0.2">
      <c r="A81" s="179"/>
      <c r="B81" s="3222"/>
      <c r="C81" s="2432"/>
      <c r="D81" s="2421"/>
      <c r="E81" s="2421"/>
      <c r="F81" s="2421"/>
      <c r="G81" s="2421"/>
      <c r="H81" s="2421"/>
      <c r="I81" s="2421"/>
      <c r="J81" s="2421"/>
      <c r="K81" s="3959"/>
      <c r="L81" s="3285"/>
      <c r="M81" s="3223" t="s">
        <v>3120</v>
      </c>
      <c r="N81" s="3223"/>
      <c r="O81" s="164">
        <f>K81/12</f>
        <v>0</v>
      </c>
      <c r="P81" s="40">
        <v>3270.75</v>
      </c>
      <c r="Q81" s="40">
        <v>3270.75</v>
      </c>
      <c r="R81" s="40">
        <v>3270.75</v>
      </c>
      <c r="S81" s="40">
        <v>3270.75</v>
      </c>
      <c r="T81" s="40">
        <v>3270.75</v>
      </c>
      <c r="U81" s="40">
        <v>3270.75</v>
      </c>
      <c r="V81" s="40">
        <v>3270.75</v>
      </c>
      <c r="W81" s="40">
        <v>3270.75</v>
      </c>
      <c r="X81" s="40">
        <v>3270.75</v>
      </c>
      <c r="Y81" s="40">
        <v>3270.75</v>
      </c>
      <c r="Z81" s="40">
        <v>3270.75</v>
      </c>
      <c r="AA81" s="966">
        <v>39249</v>
      </c>
      <c r="AB81" s="35"/>
      <c r="AC81" s="183"/>
    </row>
    <row r="82" spans="1:29" ht="18" customHeight="1" x14ac:dyDescent="0.2">
      <c r="A82" s="179"/>
      <c r="B82" s="3222"/>
      <c r="C82" s="2432"/>
      <c r="D82" s="2421"/>
      <c r="E82" s="2421"/>
      <c r="F82" s="2421"/>
      <c r="G82" s="2421"/>
      <c r="H82" s="2421"/>
      <c r="I82" s="2421"/>
      <c r="J82" s="2421"/>
      <c r="K82" s="3959"/>
      <c r="L82" s="3285"/>
      <c r="M82" s="3223" t="s">
        <v>3121</v>
      </c>
      <c r="N82" s="3223"/>
      <c r="O82" s="164">
        <f>K82/12</f>
        <v>0</v>
      </c>
      <c r="P82" s="40">
        <v>76.25</v>
      </c>
      <c r="Q82" s="40">
        <v>76.25</v>
      </c>
      <c r="R82" s="40">
        <v>76.25</v>
      </c>
      <c r="S82" s="40">
        <v>76.25</v>
      </c>
      <c r="T82" s="40">
        <v>76.25</v>
      </c>
      <c r="U82" s="40">
        <v>76.25</v>
      </c>
      <c r="V82" s="40">
        <v>76.25</v>
      </c>
      <c r="W82" s="40">
        <v>76.25</v>
      </c>
      <c r="X82" s="40">
        <v>76.25</v>
      </c>
      <c r="Y82" s="40">
        <v>76.25</v>
      </c>
      <c r="Z82" s="40">
        <v>76.25</v>
      </c>
      <c r="AA82" s="966">
        <v>915</v>
      </c>
      <c r="AB82" s="35"/>
      <c r="AC82" s="183"/>
    </row>
    <row r="83" spans="1:29" x14ac:dyDescent="0.2">
      <c r="A83" s="179"/>
      <c r="B83" s="3222"/>
      <c r="C83" s="2432"/>
      <c r="D83" s="2421"/>
      <c r="E83" s="2421"/>
      <c r="F83" s="2421"/>
      <c r="G83" s="2421"/>
      <c r="H83" s="2421"/>
      <c r="I83" s="2421"/>
      <c r="J83" s="2421"/>
      <c r="K83" s="3959"/>
      <c r="L83" s="3285"/>
      <c r="M83" s="3223" t="s">
        <v>3122</v>
      </c>
      <c r="N83" s="3223"/>
      <c r="O83" s="164"/>
      <c r="P83" s="40"/>
      <c r="Q83" s="40"/>
      <c r="R83" s="40"/>
      <c r="S83" s="40">
        <f>$K83</f>
        <v>0</v>
      </c>
      <c r="T83" s="40"/>
      <c r="U83" s="40"/>
      <c r="V83" s="40"/>
      <c r="W83" s="40"/>
      <c r="X83" s="40"/>
      <c r="Y83" s="40"/>
      <c r="Z83" s="40"/>
      <c r="AA83" s="966">
        <v>10390</v>
      </c>
      <c r="AB83" s="35"/>
      <c r="AC83" s="183"/>
    </row>
    <row r="84" spans="1:29" x14ac:dyDescent="0.2">
      <c r="A84" s="179"/>
      <c r="B84" s="3222"/>
      <c r="C84" s="2432"/>
      <c r="D84" s="2421"/>
      <c r="E84" s="2421"/>
      <c r="F84" s="2421"/>
      <c r="G84" s="2421"/>
      <c r="H84" s="2421"/>
      <c r="I84" s="2421"/>
      <c r="J84" s="2421"/>
      <c r="K84" s="3959"/>
      <c r="L84" s="3285"/>
      <c r="M84" s="3223" t="s">
        <v>3134</v>
      </c>
      <c r="N84" s="3223"/>
      <c r="O84" s="164"/>
      <c r="P84" s="40"/>
      <c r="Q84" s="40">
        <f>$K84</f>
        <v>0</v>
      </c>
      <c r="R84" s="40"/>
      <c r="S84" s="40"/>
      <c r="T84" s="38"/>
      <c r="U84" s="38"/>
      <c r="V84" s="38"/>
      <c r="W84" s="38"/>
      <c r="X84" s="38"/>
      <c r="Y84" s="38"/>
      <c r="Z84" s="38"/>
      <c r="AA84" s="966">
        <v>500</v>
      </c>
      <c r="AB84" s="35"/>
      <c r="AC84" s="183"/>
    </row>
    <row r="85" spans="1:29" x14ac:dyDescent="0.2">
      <c r="A85" s="179"/>
      <c r="B85" s="3222"/>
      <c r="C85" s="2432"/>
      <c r="D85" s="2421"/>
      <c r="E85" s="2421"/>
      <c r="F85" s="2421"/>
      <c r="G85" s="2421"/>
      <c r="H85" s="2421"/>
      <c r="I85" s="2421"/>
      <c r="J85" s="2421"/>
      <c r="K85" s="3959"/>
      <c r="L85" s="3285"/>
      <c r="M85" s="3223" t="s">
        <v>3135</v>
      </c>
      <c r="N85" s="3223"/>
      <c r="O85" s="164"/>
      <c r="P85" s="40"/>
      <c r="Q85" s="40">
        <f>$K85/2</f>
        <v>0</v>
      </c>
      <c r="R85" s="40"/>
      <c r="S85" s="40"/>
      <c r="T85" s="38"/>
      <c r="U85" s="40">
        <f>$K85/2</f>
        <v>0</v>
      </c>
      <c r="V85" s="38"/>
      <c r="W85" s="38"/>
      <c r="X85" s="38"/>
      <c r="Y85" s="38"/>
      <c r="Z85" s="38"/>
      <c r="AA85" s="966">
        <v>4000</v>
      </c>
      <c r="AB85" s="35"/>
      <c r="AC85" s="183"/>
    </row>
    <row r="86" spans="1:29" ht="17.25" customHeight="1" x14ac:dyDescent="0.2">
      <c r="A86" s="179"/>
      <c r="B86" s="3222"/>
      <c r="C86" s="2432"/>
      <c r="D86" s="2421"/>
      <c r="E86" s="2421"/>
      <c r="F86" s="2421"/>
      <c r="G86" s="2421"/>
      <c r="H86" s="2421"/>
      <c r="I86" s="2421"/>
      <c r="J86" s="2421"/>
      <c r="K86" s="3959"/>
      <c r="L86" s="3285"/>
      <c r="M86" s="3223" t="s">
        <v>3123</v>
      </c>
      <c r="N86" s="3223"/>
      <c r="O86" s="164"/>
      <c r="P86" s="40"/>
      <c r="Q86" s="40">
        <f>$K86/10</f>
        <v>0</v>
      </c>
      <c r="R86" s="40">
        <f t="shared" ref="R86:Z86" si="5">$K86/10</f>
        <v>0</v>
      </c>
      <c r="S86" s="40">
        <f t="shared" si="5"/>
        <v>0</v>
      </c>
      <c r="T86" s="40">
        <f t="shared" si="5"/>
        <v>0</v>
      </c>
      <c r="U86" s="40">
        <f t="shared" si="5"/>
        <v>0</v>
      </c>
      <c r="V86" s="40">
        <f t="shared" si="5"/>
        <v>0</v>
      </c>
      <c r="W86" s="40">
        <f t="shared" si="5"/>
        <v>0</v>
      </c>
      <c r="X86" s="40">
        <f t="shared" si="5"/>
        <v>0</v>
      </c>
      <c r="Y86" s="40">
        <f t="shared" si="5"/>
        <v>0</v>
      </c>
      <c r="Z86" s="40">
        <f t="shared" si="5"/>
        <v>0</v>
      </c>
      <c r="AA86" s="966">
        <v>11662</v>
      </c>
      <c r="AB86" s="35"/>
      <c r="AC86" s="183"/>
    </row>
    <row r="87" spans="1:29" x14ac:dyDescent="0.2">
      <c r="A87" s="179"/>
      <c r="B87" s="3222"/>
      <c r="C87" s="2432"/>
      <c r="D87" s="2421"/>
      <c r="E87" s="2421"/>
      <c r="F87" s="2421"/>
      <c r="G87" s="2421"/>
      <c r="H87" s="2421"/>
      <c r="I87" s="2421"/>
      <c r="J87" s="2421"/>
      <c r="K87" s="3959"/>
      <c r="L87" s="3285"/>
      <c r="M87" s="3223" t="s">
        <v>3136</v>
      </c>
      <c r="N87" s="3223"/>
      <c r="O87" s="164"/>
      <c r="P87" s="40"/>
      <c r="Q87" s="40">
        <f>$K87</f>
        <v>0</v>
      </c>
      <c r="R87" s="40"/>
      <c r="S87" s="40"/>
      <c r="T87" s="38"/>
      <c r="U87" s="38"/>
      <c r="V87" s="38"/>
      <c r="W87" s="38"/>
      <c r="X87" s="38"/>
      <c r="Y87" s="38"/>
      <c r="Z87" s="38"/>
      <c r="AA87" s="966">
        <v>2000</v>
      </c>
      <c r="AB87" s="35"/>
      <c r="AC87" s="183"/>
    </row>
    <row r="88" spans="1:29" ht="18" customHeight="1" x14ac:dyDescent="0.2">
      <c r="A88" s="179"/>
      <c r="B88" s="3222"/>
      <c r="C88" s="2432"/>
      <c r="D88" s="2421"/>
      <c r="E88" s="2421"/>
      <c r="F88" s="2421"/>
      <c r="G88" s="2421"/>
      <c r="H88" s="2421"/>
      <c r="I88" s="2421"/>
      <c r="J88" s="2421"/>
      <c r="K88" s="3959"/>
      <c r="L88" s="3285"/>
      <c r="M88" s="3223" t="s">
        <v>3124</v>
      </c>
      <c r="N88" s="3223"/>
      <c r="O88" s="164"/>
      <c r="P88" s="40"/>
      <c r="Q88" s="40">
        <f>$K88</f>
        <v>0</v>
      </c>
      <c r="R88" s="40"/>
      <c r="S88" s="40"/>
      <c r="T88" s="38"/>
      <c r="U88" s="38"/>
      <c r="V88" s="38"/>
      <c r="W88" s="38"/>
      <c r="X88" s="38"/>
      <c r="Y88" s="38"/>
      <c r="Z88" s="38"/>
      <c r="AA88" s="966">
        <v>1000</v>
      </c>
      <c r="AB88" s="35"/>
      <c r="AC88" s="183"/>
    </row>
    <row r="89" spans="1:29" ht="24" customHeight="1" x14ac:dyDescent="0.2">
      <c r="A89" s="179"/>
      <c r="B89" s="3222"/>
      <c r="C89" s="2432"/>
      <c r="D89" s="2421"/>
      <c r="E89" s="2421"/>
      <c r="F89" s="2421"/>
      <c r="G89" s="2421"/>
      <c r="H89" s="2421"/>
      <c r="I89" s="2421"/>
      <c r="J89" s="2421"/>
      <c r="K89" s="3959"/>
      <c r="L89" s="3285"/>
      <c r="M89" s="3223" t="s">
        <v>3125</v>
      </c>
      <c r="N89" s="3223"/>
      <c r="O89" s="164"/>
      <c r="P89" s="40"/>
      <c r="Q89" s="40">
        <f>$K89*(2/6)</f>
        <v>0</v>
      </c>
      <c r="R89" s="40"/>
      <c r="S89" s="40">
        <f>$K89*(1/6)</f>
        <v>0</v>
      </c>
      <c r="T89" s="40">
        <f>$K89*(2/6)</f>
        <v>0</v>
      </c>
      <c r="U89" s="38"/>
      <c r="V89" s="38"/>
      <c r="W89" s="40">
        <f>$K89*(1/6)</f>
        <v>0</v>
      </c>
      <c r="X89" s="38"/>
      <c r="Y89" s="38"/>
      <c r="Z89" s="38"/>
      <c r="AA89" s="966">
        <v>5403</v>
      </c>
      <c r="AB89" s="35"/>
      <c r="AC89" s="183"/>
    </row>
    <row r="90" spans="1:29" ht="16.5" customHeight="1" x14ac:dyDescent="0.2">
      <c r="A90" s="179"/>
      <c r="B90" s="3222"/>
      <c r="C90" s="2432"/>
      <c r="D90" s="2421"/>
      <c r="E90" s="2421"/>
      <c r="F90" s="2421"/>
      <c r="G90" s="2421"/>
      <c r="H90" s="2421"/>
      <c r="I90" s="2421"/>
      <c r="J90" s="2421"/>
      <c r="K90" s="3959"/>
      <c r="L90" s="3285"/>
      <c r="M90" s="3223" t="s">
        <v>3126</v>
      </c>
      <c r="N90" s="3223"/>
      <c r="O90" s="164"/>
      <c r="P90" s="40"/>
      <c r="Q90" s="40">
        <f>$K90*(2/6)</f>
        <v>0</v>
      </c>
      <c r="R90" s="40"/>
      <c r="S90" s="40">
        <f>$K90*(1/6)</f>
        <v>0</v>
      </c>
      <c r="T90" s="40">
        <f>$K90*(2/6)</f>
        <v>0</v>
      </c>
      <c r="U90" s="38"/>
      <c r="V90" s="38"/>
      <c r="W90" s="40">
        <f>$K90*(1/6)</f>
        <v>0</v>
      </c>
      <c r="X90" s="38"/>
      <c r="Y90" s="38"/>
      <c r="Z90" s="38"/>
      <c r="AA90" s="966">
        <v>81286</v>
      </c>
      <c r="AB90" s="35"/>
      <c r="AC90" s="183"/>
    </row>
    <row r="91" spans="1:29" ht="21" customHeight="1" x14ac:dyDescent="0.2">
      <c r="A91" s="179"/>
      <c r="B91" s="3222"/>
      <c r="C91" s="2432"/>
      <c r="D91" s="2421"/>
      <c r="E91" s="2421"/>
      <c r="F91" s="2421"/>
      <c r="G91" s="2421"/>
      <c r="H91" s="2421"/>
      <c r="I91" s="2421"/>
      <c r="J91" s="2421"/>
      <c r="K91" s="3959"/>
      <c r="L91" s="3285"/>
      <c r="M91" s="3223" t="s">
        <v>3127</v>
      </c>
      <c r="N91" s="3223"/>
      <c r="O91" s="164"/>
      <c r="P91" s="40"/>
      <c r="Q91" s="40">
        <f>$K91</f>
        <v>0</v>
      </c>
      <c r="R91" s="40"/>
      <c r="S91" s="40"/>
      <c r="T91" s="38"/>
      <c r="U91" s="38"/>
      <c r="V91" s="38"/>
      <c r="W91" s="38"/>
      <c r="X91" s="38"/>
      <c r="Y91" s="38"/>
      <c r="Z91" s="38"/>
      <c r="AA91" s="966">
        <v>9560</v>
      </c>
      <c r="AB91" s="35"/>
      <c r="AC91" s="183"/>
    </row>
    <row r="92" spans="1:29" ht="19.5" customHeight="1" x14ac:dyDescent="0.2">
      <c r="A92" s="179"/>
      <c r="B92" s="3222"/>
      <c r="C92" s="2432"/>
      <c r="D92" s="2421"/>
      <c r="E92" s="2421"/>
      <c r="F92" s="2421"/>
      <c r="G92" s="2421"/>
      <c r="H92" s="2421"/>
      <c r="I92" s="2421"/>
      <c r="J92" s="2421"/>
      <c r="K92" s="3959"/>
      <c r="L92" s="3285"/>
      <c r="M92" s="3223" t="s">
        <v>3128</v>
      </c>
      <c r="N92" s="3223"/>
      <c r="O92" s="164"/>
      <c r="P92" s="40"/>
      <c r="Q92" s="40">
        <f>$K92</f>
        <v>0</v>
      </c>
      <c r="R92" s="40"/>
      <c r="S92" s="40"/>
      <c r="T92" s="38"/>
      <c r="U92" s="38"/>
      <c r="V92" s="38"/>
      <c r="W92" s="38"/>
      <c r="X92" s="38"/>
      <c r="Y92" s="38"/>
      <c r="Z92" s="38"/>
      <c r="AA92" s="966">
        <v>300</v>
      </c>
      <c r="AB92" s="35"/>
      <c r="AC92" s="183"/>
    </row>
    <row r="93" spans="1:29" ht="18" customHeight="1" x14ac:dyDescent="0.2">
      <c r="A93" s="179"/>
      <c r="B93" s="3222"/>
      <c r="C93" s="2432"/>
      <c r="D93" s="2421"/>
      <c r="E93" s="2421"/>
      <c r="F93" s="2421"/>
      <c r="G93" s="2421"/>
      <c r="H93" s="2421"/>
      <c r="I93" s="2421"/>
      <c r="J93" s="2421"/>
      <c r="K93" s="3959"/>
      <c r="L93" s="3285"/>
      <c r="M93" s="3223" t="s">
        <v>3129</v>
      </c>
      <c r="N93" s="3223"/>
      <c r="O93" s="164"/>
      <c r="P93" s="40"/>
      <c r="Q93" s="40">
        <f>$K93/5</f>
        <v>0</v>
      </c>
      <c r="R93" s="40"/>
      <c r="S93" s="40">
        <f>$K93/5</f>
        <v>0</v>
      </c>
      <c r="T93" s="38"/>
      <c r="U93" s="40">
        <f>$K93/5</f>
        <v>0</v>
      </c>
      <c r="V93" s="38"/>
      <c r="W93" s="40">
        <f>$K93/5</f>
        <v>0</v>
      </c>
      <c r="X93" s="38"/>
      <c r="Y93" s="40">
        <f>$K93/5</f>
        <v>0</v>
      </c>
      <c r="Z93" s="38"/>
      <c r="AA93" s="966">
        <v>12600</v>
      </c>
      <c r="AB93" s="35"/>
      <c r="AC93" s="183"/>
    </row>
    <row r="94" spans="1:29" x14ac:dyDescent="0.2">
      <c r="A94" s="179"/>
      <c r="B94" s="3222"/>
      <c r="C94" s="2432"/>
      <c r="D94" s="2421"/>
      <c r="E94" s="2421"/>
      <c r="F94" s="2421"/>
      <c r="G94" s="2421"/>
      <c r="H94" s="2421"/>
      <c r="I94" s="2421"/>
      <c r="J94" s="2421"/>
      <c r="K94" s="3959"/>
      <c r="L94" s="3285"/>
      <c r="M94" s="3223" t="s">
        <v>3137</v>
      </c>
      <c r="N94" s="3223"/>
      <c r="O94" s="164"/>
      <c r="P94" s="40"/>
      <c r="Q94" s="40">
        <f>$K94</f>
        <v>0</v>
      </c>
      <c r="R94" s="40"/>
      <c r="S94" s="40"/>
      <c r="T94" s="38"/>
      <c r="U94" s="38"/>
      <c r="V94" s="38"/>
      <c r="W94" s="38"/>
      <c r="X94" s="38"/>
      <c r="Y94" s="38"/>
      <c r="Z94" s="38"/>
      <c r="AA94" s="966">
        <v>500</v>
      </c>
      <c r="AB94" s="35"/>
      <c r="AC94" s="183"/>
    </row>
    <row r="95" spans="1:29" ht="20.25" customHeight="1" x14ac:dyDescent="0.2">
      <c r="A95" s="179"/>
      <c r="B95" s="3222"/>
      <c r="C95" s="2432"/>
      <c r="D95" s="2421"/>
      <c r="E95" s="2421"/>
      <c r="F95" s="2421"/>
      <c r="G95" s="2421"/>
      <c r="H95" s="2421"/>
      <c r="I95" s="2421"/>
      <c r="J95" s="2421"/>
      <c r="K95" s="3959"/>
      <c r="L95" s="3285"/>
      <c r="M95" s="3223" t="s">
        <v>3130</v>
      </c>
      <c r="N95" s="3223"/>
      <c r="O95" s="164">
        <f>$K$83/12</f>
        <v>0</v>
      </c>
      <c r="P95" s="40">
        <f t="shared" ref="P95:Z95" si="6">$K$83/12</f>
        <v>0</v>
      </c>
      <c r="Q95" s="40">
        <f t="shared" si="6"/>
        <v>0</v>
      </c>
      <c r="R95" s="40">
        <f t="shared" si="6"/>
        <v>0</v>
      </c>
      <c r="S95" s="40">
        <f t="shared" si="6"/>
        <v>0</v>
      </c>
      <c r="T95" s="40">
        <f t="shared" si="6"/>
        <v>0</v>
      </c>
      <c r="U95" s="40">
        <f t="shared" si="6"/>
        <v>0</v>
      </c>
      <c r="V95" s="40">
        <f t="shared" si="6"/>
        <v>0</v>
      </c>
      <c r="W95" s="40">
        <f t="shared" si="6"/>
        <v>0</v>
      </c>
      <c r="X95" s="40">
        <f t="shared" si="6"/>
        <v>0</v>
      </c>
      <c r="Y95" s="40">
        <f t="shared" si="6"/>
        <v>0</v>
      </c>
      <c r="Z95" s="40">
        <f t="shared" si="6"/>
        <v>0</v>
      </c>
      <c r="AA95" s="966">
        <v>204273</v>
      </c>
      <c r="AB95" s="35"/>
      <c r="AC95" s="183"/>
    </row>
    <row r="96" spans="1:29" ht="17.25" customHeight="1" x14ac:dyDescent="0.2">
      <c r="A96" s="179"/>
      <c r="B96" s="3222"/>
      <c r="C96" s="2437"/>
      <c r="D96" s="2421"/>
      <c r="E96" s="2421"/>
      <c r="F96" s="2421"/>
      <c r="G96" s="2421"/>
      <c r="H96" s="2421"/>
      <c r="I96" s="2421"/>
      <c r="J96" s="2421"/>
      <c r="K96" s="3763"/>
      <c r="L96" s="3286"/>
      <c r="M96" s="3223" t="s">
        <v>3131</v>
      </c>
      <c r="N96" s="3223"/>
      <c r="O96" s="164">
        <f>$K$84/12</f>
        <v>0</v>
      </c>
      <c r="P96" s="40">
        <f t="shared" ref="P96:Z96" si="7">$K$84/12</f>
        <v>0</v>
      </c>
      <c r="Q96" s="40">
        <f t="shared" si="7"/>
        <v>0</v>
      </c>
      <c r="R96" s="40">
        <f t="shared" si="7"/>
        <v>0</v>
      </c>
      <c r="S96" s="40">
        <f t="shared" si="7"/>
        <v>0</v>
      </c>
      <c r="T96" s="40">
        <f t="shared" si="7"/>
        <v>0</v>
      </c>
      <c r="U96" s="40">
        <f t="shared" si="7"/>
        <v>0</v>
      </c>
      <c r="V96" s="40">
        <f t="shared" si="7"/>
        <v>0</v>
      </c>
      <c r="W96" s="40">
        <f t="shared" si="7"/>
        <v>0</v>
      </c>
      <c r="X96" s="40">
        <f t="shared" si="7"/>
        <v>0</v>
      </c>
      <c r="Y96" s="40">
        <f t="shared" si="7"/>
        <v>0</v>
      </c>
      <c r="Z96" s="40">
        <f t="shared" si="7"/>
        <v>0</v>
      </c>
      <c r="AA96" s="966">
        <v>12585</v>
      </c>
      <c r="AB96" s="35"/>
      <c r="AC96" s="183"/>
    </row>
    <row r="97" spans="1:29" x14ac:dyDescent="0.2">
      <c r="A97" s="179"/>
      <c r="B97" s="1414"/>
      <c r="C97" s="166"/>
      <c r="D97" s="166"/>
      <c r="E97" s="166"/>
      <c r="F97" s="166"/>
      <c r="G97" s="166"/>
      <c r="H97" s="166"/>
      <c r="I97" s="166"/>
      <c r="J97" s="166"/>
      <c r="K97" s="1415"/>
      <c r="L97" s="1415"/>
      <c r="M97" s="1416"/>
      <c r="N97" s="1416"/>
      <c r="O97" s="1416"/>
      <c r="P97" s="1416"/>
      <c r="Q97" s="1416"/>
      <c r="R97" s="1416"/>
      <c r="S97" s="1416"/>
      <c r="T97" s="166"/>
      <c r="U97" s="166"/>
      <c r="V97" s="166"/>
      <c r="W97" s="166"/>
      <c r="X97" s="166"/>
      <c r="Y97" s="166"/>
      <c r="Z97" s="166"/>
      <c r="AA97" s="1417"/>
      <c r="AB97" s="35"/>
      <c r="AC97" s="183"/>
    </row>
    <row r="98" spans="1:29" x14ac:dyDescent="0.2">
      <c r="A98" s="179"/>
      <c r="B98" s="201"/>
      <c r="C98" s="182"/>
      <c r="D98" s="182"/>
      <c r="E98" s="182"/>
      <c r="F98" s="182"/>
      <c r="G98" s="182"/>
      <c r="H98" s="182"/>
      <c r="I98" s="182"/>
      <c r="J98" s="182"/>
      <c r="K98" s="64"/>
      <c r="L98" s="64"/>
      <c r="M98" s="64"/>
      <c r="N98" s="64"/>
      <c r="O98" s="64"/>
      <c r="P98" s="64"/>
      <c r="Q98" s="64"/>
      <c r="R98" s="64"/>
      <c r="S98" s="64"/>
      <c r="T98" s="182"/>
      <c r="U98" s="182"/>
      <c r="V98" s="2974" t="s">
        <v>15</v>
      </c>
      <c r="W98" s="2975"/>
      <c r="X98" s="2975"/>
      <c r="Y98" s="2976"/>
      <c r="Z98" s="2974" t="s">
        <v>16</v>
      </c>
      <c r="AA98" s="2976"/>
      <c r="AB98" s="35"/>
      <c r="AC98" s="183"/>
    </row>
    <row r="99" spans="1:29" ht="22.5" customHeight="1" x14ac:dyDescent="0.2">
      <c r="A99" s="179"/>
      <c r="B99" s="152" t="s">
        <v>276</v>
      </c>
      <c r="C99" s="1115">
        <v>3000608</v>
      </c>
      <c r="E99" s="3277" t="s">
        <v>326</v>
      </c>
      <c r="F99" s="3278"/>
      <c r="G99" s="3278"/>
      <c r="H99" s="3278"/>
      <c r="I99" s="3278"/>
      <c r="J99" s="3278"/>
      <c r="K99" s="3278"/>
      <c r="L99" s="3278"/>
      <c r="M99" s="3278"/>
      <c r="N99" s="3278"/>
      <c r="O99" s="3278"/>
      <c r="P99" s="3278"/>
      <c r="Q99" s="3278"/>
      <c r="R99" s="3278"/>
      <c r="S99" s="3278"/>
      <c r="T99" s="3278"/>
      <c r="U99" s="3279"/>
      <c r="V99" s="3280" t="s">
        <v>327</v>
      </c>
      <c r="W99" s="3281"/>
      <c r="X99" s="3281"/>
      <c r="Y99" s="3282"/>
      <c r="Z99" s="3283" t="s">
        <v>328</v>
      </c>
      <c r="AA99" s="3284"/>
      <c r="AB99" s="35"/>
      <c r="AC99" s="183"/>
    </row>
    <row r="100" spans="1:29" ht="47.25" customHeight="1" x14ac:dyDescent="0.2">
      <c r="A100" s="179"/>
      <c r="B100" s="2847" t="s">
        <v>278</v>
      </c>
      <c r="C100" s="2988" t="s">
        <v>21</v>
      </c>
      <c r="D100" s="2988" t="s">
        <v>22</v>
      </c>
      <c r="E100" s="2988" t="s">
        <v>23</v>
      </c>
      <c r="F100" s="2988" t="s">
        <v>24</v>
      </c>
      <c r="G100" s="2988" t="s">
        <v>25</v>
      </c>
      <c r="H100" s="2988" t="s">
        <v>26</v>
      </c>
      <c r="I100" s="2988" t="s">
        <v>27</v>
      </c>
      <c r="J100" s="2847" t="s">
        <v>28</v>
      </c>
      <c r="K100" s="2847"/>
      <c r="L100" s="2988" t="s">
        <v>279</v>
      </c>
      <c r="M100" s="3273" t="s">
        <v>280</v>
      </c>
      <c r="N100" s="3274"/>
      <c r="O100" s="2847" t="s">
        <v>281</v>
      </c>
      <c r="P100" s="2847"/>
      <c r="Q100" s="2847"/>
      <c r="R100" s="2847"/>
      <c r="S100" s="2847"/>
      <c r="T100" s="2847"/>
      <c r="U100" s="2847"/>
      <c r="V100" s="2847"/>
      <c r="W100" s="2847"/>
      <c r="X100" s="2847"/>
      <c r="Y100" s="2847"/>
      <c r="Z100" s="2847"/>
      <c r="AA100" s="2988" t="s">
        <v>32</v>
      </c>
      <c r="AB100" s="35"/>
      <c r="AC100" s="183"/>
    </row>
    <row r="101" spans="1:29" x14ac:dyDescent="0.2">
      <c r="A101" s="179"/>
      <c r="B101" s="2847"/>
      <c r="C101" s="3186"/>
      <c r="D101" s="3186"/>
      <c r="E101" s="3186"/>
      <c r="F101" s="3186"/>
      <c r="G101" s="3186"/>
      <c r="H101" s="3186"/>
      <c r="I101" s="3186"/>
      <c r="J101" s="2847" t="s">
        <v>33</v>
      </c>
      <c r="K101" s="2847" t="s">
        <v>282</v>
      </c>
      <c r="L101" s="3186"/>
      <c r="M101" s="3275"/>
      <c r="N101" s="3276"/>
      <c r="O101" s="1009" t="s">
        <v>283</v>
      </c>
      <c r="P101" s="1009" t="s">
        <v>284</v>
      </c>
      <c r="Q101" s="1009" t="s">
        <v>285</v>
      </c>
      <c r="R101" s="1009" t="s">
        <v>88</v>
      </c>
      <c r="S101" s="1009" t="s">
        <v>89</v>
      </c>
      <c r="T101" s="1009" t="s">
        <v>90</v>
      </c>
      <c r="U101" s="1009" t="s">
        <v>91</v>
      </c>
      <c r="V101" s="1009" t="s">
        <v>92</v>
      </c>
      <c r="W101" s="1009" t="s">
        <v>286</v>
      </c>
      <c r="X101" s="1009" t="s">
        <v>93</v>
      </c>
      <c r="Y101" s="1009" t="s">
        <v>94</v>
      </c>
      <c r="Z101" s="1009" t="s">
        <v>95</v>
      </c>
      <c r="AA101" s="2989"/>
      <c r="AB101" s="35"/>
      <c r="AC101" s="183"/>
    </row>
    <row r="102" spans="1:29" x14ac:dyDescent="0.2">
      <c r="A102" s="179"/>
      <c r="B102" s="2847"/>
      <c r="C102" s="3186"/>
      <c r="D102" s="3186"/>
      <c r="E102" s="3186"/>
      <c r="F102" s="3186"/>
      <c r="G102" s="3186"/>
      <c r="H102" s="3186"/>
      <c r="I102" s="3186"/>
      <c r="J102" s="2847"/>
      <c r="K102" s="2847"/>
      <c r="L102" s="3186"/>
      <c r="M102" s="3271" t="s">
        <v>287</v>
      </c>
      <c r="N102" s="3272"/>
      <c r="O102" s="1095">
        <v>1</v>
      </c>
      <c r="P102" s="1095">
        <v>1</v>
      </c>
      <c r="Q102" s="1095">
        <v>1</v>
      </c>
      <c r="R102" s="1095"/>
      <c r="S102" s="1095">
        <v>1</v>
      </c>
      <c r="T102" s="1095"/>
      <c r="U102" s="1095">
        <v>1</v>
      </c>
      <c r="V102" s="1095"/>
      <c r="W102" s="1095">
        <v>1</v>
      </c>
      <c r="X102" s="1095">
        <v>1</v>
      </c>
      <c r="Y102" s="1095">
        <v>1</v>
      </c>
      <c r="Z102" s="1095"/>
      <c r="AA102" s="36">
        <f t="shared" ref="AA102:AA118" si="8">SUM(O102:Z102)</f>
        <v>8</v>
      </c>
      <c r="AB102" s="35"/>
      <c r="AC102" s="183"/>
    </row>
    <row r="103" spans="1:29" x14ac:dyDescent="0.2">
      <c r="A103" s="179"/>
      <c r="B103" s="2847"/>
      <c r="C103" s="2989"/>
      <c r="D103" s="2989"/>
      <c r="E103" s="2989"/>
      <c r="F103" s="2989"/>
      <c r="G103" s="2989"/>
      <c r="H103" s="2989"/>
      <c r="I103" s="2989"/>
      <c r="J103" s="2847"/>
      <c r="K103" s="2847"/>
      <c r="L103" s="2989"/>
      <c r="M103" s="3271" t="s">
        <v>34</v>
      </c>
      <c r="N103" s="3272"/>
      <c r="O103" s="1095">
        <v>63370.5</v>
      </c>
      <c r="P103" s="1095">
        <v>54979.590909090912</v>
      </c>
      <c r="Q103" s="1095">
        <v>58979.590909090912</v>
      </c>
      <c r="R103" s="1095">
        <v>54979.590909090912</v>
      </c>
      <c r="S103" s="1095">
        <v>54979.590909090912</v>
      </c>
      <c r="T103" s="1095">
        <v>54979.590909090912</v>
      </c>
      <c r="U103" s="1095">
        <v>60719.590909090912</v>
      </c>
      <c r="V103" s="1095">
        <v>54979.590909090912</v>
      </c>
      <c r="W103" s="1095">
        <v>54979.590909090912</v>
      </c>
      <c r="X103" s="1095">
        <v>54979.590909090912</v>
      </c>
      <c r="Y103" s="1095">
        <v>54979.590909090912</v>
      </c>
      <c r="Z103" s="1095">
        <v>60719.590909090912</v>
      </c>
      <c r="AA103" s="965">
        <f>SUM(O103:Z103)</f>
        <v>683626.00000000023</v>
      </c>
      <c r="AB103" s="35"/>
      <c r="AC103" s="183"/>
    </row>
    <row r="104" spans="1:29" ht="11.25" customHeight="1" x14ac:dyDescent="0.2">
      <c r="A104" s="179"/>
      <c r="B104" s="3190">
        <v>5004427</v>
      </c>
      <c r="C104" s="2431" t="s">
        <v>3181</v>
      </c>
      <c r="D104" s="2421">
        <v>4</v>
      </c>
      <c r="E104" s="2421" t="s">
        <v>288</v>
      </c>
      <c r="F104" s="2421" t="s">
        <v>313</v>
      </c>
      <c r="G104" s="2421" t="s">
        <v>3180</v>
      </c>
      <c r="H104" s="2421" t="s">
        <v>330</v>
      </c>
      <c r="I104" s="2421" t="s">
        <v>331</v>
      </c>
      <c r="J104" s="2421">
        <v>8</v>
      </c>
      <c r="K104" s="70">
        <v>130216</v>
      </c>
      <c r="L104" s="3294" t="s">
        <v>317</v>
      </c>
      <c r="M104" s="3287" t="s">
        <v>295</v>
      </c>
      <c r="N104" s="3288"/>
      <c r="O104" s="111"/>
      <c r="P104" s="40">
        <f t="shared" ref="P104:Y104" si="9">$K$92/12</f>
        <v>0</v>
      </c>
      <c r="Q104" s="40">
        <f t="shared" si="9"/>
        <v>0</v>
      </c>
      <c r="R104" s="40">
        <f t="shared" si="9"/>
        <v>0</v>
      </c>
      <c r="S104" s="40">
        <f t="shared" si="9"/>
        <v>0</v>
      </c>
      <c r="T104" s="40">
        <f t="shared" si="9"/>
        <v>0</v>
      </c>
      <c r="U104" s="40">
        <f t="shared" si="9"/>
        <v>0</v>
      </c>
      <c r="V104" s="40">
        <f t="shared" si="9"/>
        <v>0</v>
      </c>
      <c r="W104" s="40">
        <f t="shared" si="9"/>
        <v>0</v>
      </c>
      <c r="X104" s="40">
        <f t="shared" si="9"/>
        <v>0</v>
      </c>
      <c r="Y104" s="40">
        <f t="shared" si="9"/>
        <v>0</v>
      </c>
      <c r="Z104" s="40">
        <f>$K$92/12</f>
        <v>0</v>
      </c>
      <c r="AA104" s="966">
        <f t="shared" si="8"/>
        <v>0</v>
      </c>
      <c r="AB104" s="59"/>
      <c r="AC104" s="183"/>
    </row>
    <row r="105" spans="1:29" ht="15" customHeight="1" x14ac:dyDescent="0.2">
      <c r="A105" s="179"/>
      <c r="B105" s="3191"/>
      <c r="C105" s="2432"/>
      <c r="D105" s="2421"/>
      <c r="E105" s="2421"/>
      <c r="F105" s="2421"/>
      <c r="G105" s="2421"/>
      <c r="H105" s="2421"/>
      <c r="I105" s="2421"/>
      <c r="J105" s="2421"/>
      <c r="K105" s="70">
        <v>291376</v>
      </c>
      <c r="L105" s="3295"/>
      <c r="M105" s="3287" t="s">
        <v>332</v>
      </c>
      <c r="N105" s="3288"/>
      <c r="O105" s="111"/>
      <c r="P105" s="40">
        <f t="shared" ref="P105:Z105" si="10">$K$93/12</f>
        <v>0</v>
      </c>
      <c r="Q105" s="40">
        <f t="shared" si="10"/>
        <v>0</v>
      </c>
      <c r="R105" s="40">
        <f t="shared" si="10"/>
        <v>0</v>
      </c>
      <c r="S105" s="40">
        <f t="shared" si="10"/>
        <v>0</v>
      </c>
      <c r="T105" s="40">
        <f t="shared" si="10"/>
        <v>0</v>
      </c>
      <c r="U105" s="40">
        <f t="shared" si="10"/>
        <v>0</v>
      </c>
      <c r="V105" s="40">
        <f t="shared" si="10"/>
        <v>0</v>
      </c>
      <c r="W105" s="40">
        <f t="shared" si="10"/>
        <v>0</v>
      </c>
      <c r="X105" s="40">
        <f t="shared" si="10"/>
        <v>0</v>
      </c>
      <c r="Y105" s="40">
        <f t="shared" si="10"/>
        <v>0</v>
      </c>
      <c r="Z105" s="40">
        <f t="shared" si="10"/>
        <v>0</v>
      </c>
      <c r="AA105" s="966">
        <f t="shared" si="8"/>
        <v>0</v>
      </c>
      <c r="AB105" s="35"/>
      <c r="AC105" s="183"/>
    </row>
    <row r="106" spans="1:29" ht="15" customHeight="1" x14ac:dyDescent="0.2">
      <c r="A106" s="179"/>
      <c r="B106" s="3191"/>
      <c r="C106" s="2432"/>
      <c r="D106" s="2421"/>
      <c r="E106" s="2421"/>
      <c r="F106" s="2421"/>
      <c r="G106" s="2421"/>
      <c r="H106" s="2421"/>
      <c r="I106" s="2421"/>
      <c r="J106" s="2421"/>
      <c r="K106" s="70">
        <v>55486</v>
      </c>
      <c r="L106" s="3295"/>
      <c r="M106" s="3287" t="s">
        <v>296</v>
      </c>
      <c r="N106" s="3288"/>
      <c r="O106" s="111"/>
      <c r="P106" s="40">
        <f t="shared" ref="P106:Z106" si="11">$K106/12</f>
        <v>4623.833333333333</v>
      </c>
      <c r="Q106" s="40">
        <f t="shared" si="11"/>
        <v>4623.833333333333</v>
      </c>
      <c r="R106" s="40">
        <f t="shared" si="11"/>
        <v>4623.833333333333</v>
      </c>
      <c r="S106" s="40">
        <f t="shared" si="11"/>
        <v>4623.833333333333</v>
      </c>
      <c r="T106" s="40">
        <f t="shared" si="11"/>
        <v>4623.833333333333</v>
      </c>
      <c r="U106" s="40">
        <f t="shared" si="11"/>
        <v>4623.833333333333</v>
      </c>
      <c r="V106" s="40">
        <f t="shared" si="11"/>
        <v>4623.833333333333</v>
      </c>
      <c r="W106" s="40">
        <f t="shared" si="11"/>
        <v>4623.833333333333</v>
      </c>
      <c r="X106" s="40">
        <f t="shared" si="11"/>
        <v>4623.833333333333</v>
      </c>
      <c r="Y106" s="40">
        <f t="shared" si="11"/>
        <v>4623.833333333333</v>
      </c>
      <c r="Z106" s="40">
        <f t="shared" si="11"/>
        <v>4623.833333333333</v>
      </c>
      <c r="AA106" s="966">
        <f t="shared" si="8"/>
        <v>50862.166666666672</v>
      </c>
      <c r="AB106" s="35"/>
      <c r="AC106" s="183"/>
    </row>
    <row r="107" spans="1:29" ht="15" customHeight="1" x14ac:dyDescent="0.2">
      <c r="A107" s="179"/>
      <c r="B107" s="3191"/>
      <c r="C107" s="2432"/>
      <c r="D107" s="2421"/>
      <c r="E107" s="2421"/>
      <c r="F107" s="2421"/>
      <c r="G107" s="2421"/>
      <c r="H107" s="2421"/>
      <c r="I107" s="2421"/>
      <c r="J107" s="2421"/>
      <c r="K107" s="70">
        <v>61165</v>
      </c>
      <c r="L107" s="3295"/>
      <c r="M107" s="3287" t="s">
        <v>297</v>
      </c>
      <c r="N107" s="3288"/>
      <c r="O107" s="111"/>
      <c r="P107" s="40">
        <f t="shared" ref="P107:Z107" si="12">$K$95/12</f>
        <v>0</v>
      </c>
      <c r="Q107" s="40">
        <f t="shared" si="12"/>
        <v>0</v>
      </c>
      <c r="R107" s="40">
        <f t="shared" si="12"/>
        <v>0</v>
      </c>
      <c r="S107" s="40">
        <f t="shared" si="12"/>
        <v>0</v>
      </c>
      <c r="T107" s="40">
        <f t="shared" si="12"/>
        <v>0</v>
      </c>
      <c r="U107" s="40">
        <f t="shared" si="12"/>
        <v>0</v>
      </c>
      <c r="V107" s="40">
        <f t="shared" si="12"/>
        <v>0</v>
      </c>
      <c r="W107" s="40">
        <f t="shared" si="12"/>
        <v>0</v>
      </c>
      <c r="X107" s="40">
        <f t="shared" si="12"/>
        <v>0</v>
      </c>
      <c r="Y107" s="40">
        <f t="shared" si="12"/>
        <v>0</v>
      </c>
      <c r="Z107" s="40">
        <f t="shared" si="12"/>
        <v>0</v>
      </c>
      <c r="AA107" s="966">
        <f t="shared" si="8"/>
        <v>0</v>
      </c>
      <c r="AB107" s="35"/>
      <c r="AC107" s="183"/>
    </row>
    <row r="108" spans="1:29" ht="15" customHeight="1" x14ac:dyDescent="0.2">
      <c r="A108" s="179"/>
      <c r="B108" s="3191"/>
      <c r="C108" s="2432"/>
      <c r="D108" s="2421"/>
      <c r="E108" s="2421"/>
      <c r="F108" s="2421"/>
      <c r="G108" s="2421"/>
      <c r="H108" s="2421"/>
      <c r="I108" s="2421"/>
      <c r="J108" s="2421"/>
      <c r="K108" s="70">
        <v>27132</v>
      </c>
      <c r="L108" s="3295"/>
      <c r="M108" s="3287" t="s">
        <v>298</v>
      </c>
      <c r="N108" s="3288"/>
      <c r="O108" s="111"/>
      <c r="P108" s="40">
        <f t="shared" ref="P108:Z108" si="13">$K$96/12</f>
        <v>0</v>
      </c>
      <c r="Q108" s="40">
        <f t="shared" si="13"/>
        <v>0</v>
      </c>
      <c r="R108" s="40">
        <f t="shared" si="13"/>
        <v>0</v>
      </c>
      <c r="S108" s="40">
        <f t="shared" si="13"/>
        <v>0</v>
      </c>
      <c r="T108" s="40">
        <f t="shared" si="13"/>
        <v>0</v>
      </c>
      <c r="U108" s="40">
        <f t="shared" si="13"/>
        <v>0</v>
      </c>
      <c r="V108" s="40">
        <f t="shared" si="13"/>
        <v>0</v>
      </c>
      <c r="W108" s="40">
        <f t="shared" si="13"/>
        <v>0</v>
      </c>
      <c r="X108" s="40">
        <f t="shared" si="13"/>
        <v>0</v>
      </c>
      <c r="Y108" s="40">
        <f t="shared" si="13"/>
        <v>0</v>
      </c>
      <c r="Z108" s="40">
        <f t="shared" si="13"/>
        <v>0</v>
      </c>
      <c r="AA108" s="966">
        <f t="shared" si="8"/>
        <v>0</v>
      </c>
      <c r="AB108" s="35"/>
      <c r="AC108" s="183"/>
    </row>
    <row r="109" spans="1:29" ht="15" customHeight="1" x14ac:dyDescent="0.2">
      <c r="A109" s="179"/>
      <c r="B109" s="3191"/>
      <c r="C109" s="2432"/>
      <c r="D109" s="2421"/>
      <c r="E109" s="2421"/>
      <c r="F109" s="2421"/>
      <c r="G109" s="2421"/>
      <c r="H109" s="2421"/>
      <c r="I109" s="2421"/>
      <c r="J109" s="2421"/>
      <c r="K109" s="70">
        <v>11480</v>
      </c>
      <c r="L109" s="3295"/>
      <c r="M109" s="3287" t="s">
        <v>299</v>
      </c>
      <c r="N109" s="3288"/>
      <c r="O109" s="111"/>
      <c r="P109" s="40"/>
      <c r="Q109" s="40"/>
      <c r="R109" s="40"/>
      <c r="S109" s="40"/>
      <c r="T109" s="38"/>
      <c r="U109" s="38">
        <f>$K$97/2</f>
        <v>0</v>
      </c>
      <c r="V109" s="38"/>
      <c r="W109" s="38"/>
      <c r="X109" s="38"/>
      <c r="Y109" s="38"/>
      <c r="Z109" s="38">
        <f>$K$97/2</f>
        <v>0</v>
      </c>
      <c r="AA109" s="966">
        <f t="shared" si="8"/>
        <v>0</v>
      </c>
      <c r="AB109" s="35"/>
      <c r="AC109" s="183"/>
    </row>
    <row r="110" spans="1:29" ht="15" customHeight="1" x14ac:dyDescent="0.2">
      <c r="A110" s="179"/>
      <c r="B110" s="3191"/>
      <c r="C110" s="2432"/>
      <c r="D110" s="2421"/>
      <c r="E110" s="2421"/>
      <c r="F110" s="2421"/>
      <c r="G110" s="2421"/>
      <c r="H110" s="2421"/>
      <c r="I110" s="2421"/>
      <c r="J110" s="2421"/>
      <c r="K110" s="70">
        <v>8800</v>
      </c>
      <c r="L110" s="3295"/>
      <c r="M110" s="3287" t="s">
        <v>300</v>
      </c>
      <c r="N110" s="3288"/>
      <c r="O110" s="111"/>
      <c r="P110" s="40"/>
      <c r="Q110" s="40"/>
      <c r="R110" s="40"/>
      <c r="S110" s="40"/>
      <c r="T110" s="38"/>
      <c r="U110" s="38"/>
      <c r="V110" s="38"/>
      <c r="W110" s="38"/>
      <c r="X110" s="38"/>
      <c r="Y110" s="38"/>
      <c r="Z110" s="38"/>
      <c r="AA110" s="966">
        <f t="shared" si="8"/>
        <v>0</v>
      </c>
      <c r="AB110" s="35"/>
      <c r="AC110" s="183"/>
    </row>
    <row r="111" spans="1:29" ht="15" customHeight="1" x14ac:dyDescent="0.2">
      <c r="A111" s="179"/>
      <c r="B111" s="3191"/>
      <c r="C111" s="2432"/>
      <c r="D111" s="2421"/>
      <c r="E111" s="2421"/>
      <c r="F111" s="2421"/>
      <c r="G111" s="2421"/>
      <c r="H111" s="2421"/>
      <c r="I111" s="2421"/>
      <c r="J111" s="2421"/>
      <c r="K111" s="70">
        <v>27712</v>
      </c>
      <c r="L111" s="3295"/>
      <c r="M111" s="3287" t="s">
        <v>301</v>
      </c>
      <c r="N111" s="3288"/>
      <c r="O111" s="111"/>
      <c r="P111" s="40">
        <f t="shared" ref="P111:Z111" si="14">$K$99/12</f>
        <v>0</v>
      </c>
      <c r="Q111" s="40">
        <f t="shared" si="14"/>
        <v>0</v>
      </c>
      <c r="R111" s="40">
        <f t="shared" si="14"/>
        <v>0</v>
      </c>
      <c r="S111" s="40">
        <f t="shared" si="14"/>
        <v>0</v>
      </c>
      <c r="T111" s="40">
        <f t="shared" si="14"/>
        <v>0</v>
      </c>
      <c r="U111" s="40">
        <f t="shared" si="14"/>
        <v>0</v>
      </c>
      <c r="V111" s="40">
        <f t="shared" si="14"/>
        <v>0</v>
      </c>
      <c r="W111" s="40">
        <f t="shared" si="14"/>
        <v>0</v>
      </c>
      <c r="X111" s="40">
        <f t="shared" si="14"/>
        <v>0</v>
      </c>
      <c r="Y111" s="40">
        <f t="shared" si="14"/>
        <v>0</v>
      </c>
      <c r="Z111" s="40">
        <f t="shared" si="14"/>
        <v>0</v>
      </c>
      <c r="AA111" s="966">
        <f t="shared" si="8"/>
        <v>0</v>
      </c>
      <c r="AB111" s="35"/>
      <c r="AC111" s="183"/>
    </row>
    <row r="112" spans="1:29" ht="15" customHeight="1" x14ac:dyDescent="0.2">
      <c r="A112" s="179"/>
      <c r="B112" s="3191"/>
      <c r="C112" s="2432"/>
      <c r="D112" s="2421"/>
      <c r="E112" s="2421"/>
      <c r="F112" s="2421"/>
      <c r="G112" s="2421"/>
      <c r="H112" s="2421"/>
      <c r="I112" s="2421"/>
      <c r="J112" s="2421"/>
      <c r="K112" s="70">
        <v>1148</v>
      </c>
      <c r="L112" s="3295"/>
      <c r="M112" s="3287" t="s">
        <v>303</v>
      </c>
      <c r="N112" s="3288"/>
      <c r="O112" s="111"/>
      <c r="P112" s="40">
        <f t="shared" ref="P112:Z112" si="15">$K$100/12</f>
        <v>0</v>
      </c>
      <c r="Q112" s="40">
        <f t="shared" si="15"/>
        <v>0</v>
      </c>
      <c r="R112" s="40">
        <f t="shared" si="15"/>
        <v>0</v>
      </c>
      <c r="S112" s="40">
        <f t="shared" si="15"/>
        <v>0</v>
      </c>
      <c r="T112" s="40">
        <f t="shared" si="15"/>
        <v>0</v>
      </c>
      <c r="U112" s="40">
        <f t="shared" si="15"/>
        <v>0</v>
      </c>
      <c r="V112" s="40">
        <f t="shared" si="15"/>
        <v>0</v>
      </c>
      <c r="W112" s="40">
        <f t="shared" si="15"/>
        <v>0</v>
      </c>
      <c r="X112" s="40">
        <f t="shared" si="15"/>
        <v>0</v>
      </c>
      <c r="Y112" s="40">
        <f t="shared" si="15"/>
        <v>0</v>
      </c>
      <c r="Z112" s="40">
        <f t="shared" si="15"/>
        <v>0</v>
      </c>
      <c r="AA112" s="966">
        <f t="shared" si="8"/>
        <v>0</v>
      </c>
      <c r="AB112" s="35"/>
      <c r="AC112" s="183"/>
    </row>
    <row r="113" spans="1:29" ht="15" customHeight="1" x14ac:dyDescent="0.2">
      <c r="A113" s="179"/>
      <c r="B113" s="3191"/>
      <c r="C113" s="2432"/>
      <c r="D113" s="2421"/>
      <c r="E113" s="2421"/>
      <c r="F113" s="2421"/>
      <c r="G113" s="2421"/>
      <c r="H113" s="2421"/>
      <c r="I113" s="2421"/>
      <c r="J113" s="2421"/>
      <c r="K113" s="70">
        <v>1500</v>
      </c>
      <c r="L113" s="3295"/>
      <c r="M113" s="3287" t="s">
        <v>304</v>
      </c>
      <c r="N113" s="3288"/>
      <c r="O113" s="111"/>
      <c r="P113" s="40"/>
      <c r="Q113" s="40">
        <f>$K113</f>
        <v>1500</v>
      </c>
      <c r="R113" s="40"/>
      <c r="S113" s="40"/>
      <c r="T113" s="40"/>
      <c r="U113" s="40"/>
      <c r="V113" s="40"/>
      <c r="W113" s="40"/>
      <c r="X113" s="40"/>
      <c r="Y113" s="40"/>
      <c r="Z113" s="40"/>
      <c r="AA113" s="966">
        <f t="shared" si="8"/>
        <v>1500</v>
      </c>
      <c r="AB113" s="35"/>
      <c r="AC113" s="183"/>
    </row>
    <row r="114" spans="1:29" ht="15" customHeight="1" x14ac:dyDescent="0.2">
      <c r="A114" s="179"/>
      <c r="B114" s="3191"/>
      <c r="C114" s="2432"/>
      <c r="D114" s="2421"/>
      <c r="E114" s="2421"/>
      <c r="F114" s="2421"/>
      <c r="G114" s="2421"/>
      <c r="H114" s="2421"/>
      <c r="I114" s="2421"/>
      <c r="J114" s="2421"/>
      <c r="K114" s="70">
        <v>1000</v>
      </c>
      <c r="L114" s="3295"/>
      <c r="M114" s="913" t="s">
        <v>307</v>
      </c>
      <c r="N114" s="35"/>
      <c r="O114" s="111"/>
      <c r="P114" s="40"/>
      <c r="Q114" s="40">
        <f>$K114</f>
        <v>1000</v>
      </c>
      <c r="R114" s="40"/>
      <c r="S114" s="40"/>
      <c r="T114" s="38"/>
      <c r="U114" s="38"/>
      <c r="V114" s="38"/>
      <c r="W114" s="38"/>
      <c r="X114" s="38"/>
      <c r="Y114" s="38"/>
      <c r="Z114" s="38"/>
      <c r="AA114" s="966">
        <f t="shared" si="8"/>
        <v>1000</v>
      </c>
      <c r="AB114" s="35"/>
      <c r="AC114" s="183"/>
    </row>
    <row r="115" spans="1:29" ht="15" customHeight="1" x14ac:dyDescent="0.2">
      <c r="A115" s="179"/>
      <c r="B115" s="3191"/>
      <c r="C115" s="2432"/>
      <c r="D115" s="2421"/>
      <c r="E115" s="2421"/>
      <c r="F115" s="2421"/>
      <c r="G115" s="2421"/>
      <c r="H115" s="2421"/>
      <c r="I115" s="2421"/>
      <c r="J115" s="2421"/>
      <c r="K115" s="70">
        <v>4500</v>
      </c>
      <c r="L115" s="3295"/>
      <c r="M115" s="3289" t="s">
        <v>3195</v>
      </c>
      <c r="N115" s="3290"/>
      <c r="O115" s="111"/>
      <c r="P115" s="40">
        <f>$K115/11</f>
        <v>409.09090909090907</v>
      </c>
      <c r="Q115" s="40">
        <f t="shared" ref="Q115:Z115" si="16">$K115/11</f>
        <v>409.09090909090907</v>
      </c>
      <c r="R115" s="40">
        <f t="shared" si="16"/>
        <v>409.09090909090907</v>
      </c>
      <c r="S115" s="40">
        <f t="shared" si="16"/>
        <v>409.09090909090907</v>
      </c>
      <c r="T115" s="40">
        <f t="shared" si="16"/>
        <v>409.09090909090907</v>
      </c>
      <c r="U115" s="40">
        <f t="shared" si="16"/>
        <v>409.09090909090907</v>
      </c>
      <c r="V115" s="40">
        <f t="shared" si="16"/>
        <v>409.09090909090907</v>
      </c>
      <c r="W115" s="40">
        <f t="shared" si="16"/>
        <v>409.09090909090907</v>
      </c>
      <c r="X115" s="40">
        <f t="shared" si="16"/>
        <v>409.09090909090907</v>
      </c>
      <c r="Y115" s="40">
        <f t="shared" si="16"/>
        <v>409.09090909090907</v>
      </c>
      <c r="Z115" s="40">
        <f t="shared" si="16"/>
        <v>409.09090909090907</v>
      </c>
      <c r="AA115" s="966">
        <f t="shared" si="8"/>
        <v>4500</v>
      </c>
      <c r="AB115" s="35"/>
      <c r="AC115" s="183"/>
    </row>
    <row r="116" spans="1:29" ht="15" customHeight="1" x14ac:dyDescent="0.2">
      <c r="A116" s="179"/>
      <c r="B116" s="3191"/>
      <c r="C116" s="2432"/>
      <c r="D116" s="2421"/>
      <c r="E116" s="2421"/>
      <c r="F116" s="2421"/>
      <c r="G116" s="2421"/>
      <c r="H116" s="2421"/>
      <c r="I116" s="2421"/>
      <c r="J116" s="2421"/>
      <c r="K116" s="70">
        <v>1500</v>
      </c>
      <c r="L116" s="3295"/>
      <c r="M116" s="3287" t="s">
        <v>310</v>
      </c>
      <c r="N116" s="3288"/>
      <c r="O116" s="111"/>
      <c r="P116" s="40"/>
      <c r="Q116" s="40">
        <f>$K116</f>
        <v>1500</v>
      </c>
      <c r="R116" s="40"/>
      <c r="S116" s="40"/>
      <c r="T116" s="38"/>
      <c r="U116" s="38"/>
      <c r="V116" s="38"/>
      <c r="W116" s="38"/>
      <c r="X116" s="38"/>
      <c r="Y116" s="38"/>
      <c r="Z116" s="38"/>
      <c r="AA116" s="966">
        <f t="shared" si="8"/>
        <v>1500</v>
      </c>
      <c r="AB116" s="35"/>
      <c r="AC116" s="183"/>
    </row>
    <row r="117" spans="1:29" ht="15" customHeight="1" x14ac:dyDescent="0.2">
      <c r="A117" s="179"/>
      <c r="B117" s="3191"/>
      <c r="C117" s="2432"/>
      <c r="D117" s="2421"/>
      <c r="E117" s="2421"/>
      <c r="F117" s="2421"/>
      <c r="G117" s="2421"/>
      <c r="H117" s="2421"/>
      <c r="I117" s="2421"/>
      <c r="J117" s="2421"/>
      <c r="K117" s="70">
        <v>56100</v>
      </c>
      <c r="L117" s="3295"/>
      <c r="M117" s="3287" t="s">
        <v>311</v>
      </c>
      <c r="N117" s="3288"/>
      <c r="O117" s="111"/>
      <c r="P117" s="40">
        <f t="shared" ref="P117:Z117" si="17">$K$105/12</f>
        <v>24281.333333333332</v>
      </c>
      <c r="Q117" s="40">
        <f t="shared" si="17"/>
        <v>24281.333333333332</v>
      </c>
      <c r="R117" s="40">
        <f t="shared" si="17"/>
        <v>24281.333333333332</v>
      </c>
      <c r="S117" s="40">
        <f t="shared" si="17"/>
        <v>24281.333333333332</v>
      </c>
      <c r="T117" s="40">
        <f t="shared" si="17"/>
        <v>24281.333333333332</v>
      </c>
      <c r="U117" s="40">
        <f t="shared" si="17"/>
        <v>24281.333333333332</v>
      </c>
      <c r="V117" s="40">
        <f t="shared" si="17"/>
        <v>24281.333333333332</v>
      </c>
      <c r="W117" s="40">
        <f t="shared" si="17"/>
        <v>24281.333333333332</v>
      </c>
      <c r="X117" s="40">
        <f t="shared" si="17"/>
        <v>24281.333333333332</v>
      </c>
      <c r="Y117" s="40">
        <f t="shared" si="17"/>
        <v>24281.333333333332</v>
      </c>
      <c r="Z117" s="40">
        <f t="shared" si="17"/>
        <v>24281.333333333332</v>
      </c>
      <c r="AA117" s="966">
        <f t="shared" si="8"/>
        <v>267094.66666666669</v>
      </c>
      <c r="AB117" s="35"/>
      <c r="AC117" s="183"/>
    </row>
    <row r="118" spans="1:29" x14ac:dyDescent="0.2">
      <c r="A118" s="179"/>
      <c r="B118" s="2439"/>
      <c r="C118" s="2437"/>
      <c r="D118" s="2421"/>
      <c r="E118" s="2421"/>
      <c r="F118" s="2421"/>
      <c r="G118" s="2421"/>
      <c r="H118" s="2421"/>
      <c r="I118" s="2421"/>
      <c r="J118" s="2421"/>
      <c r="K118" s="70">
        <v>4511</v>
      </c>
      <c r="L118" s="3296"/>
      <c r="M118" s="915"/>
      <c r="N118" s="916"/>
      <c r="O118" s="40">
        <v>7475</v>
      </c>
      <c r="P118" s="40">
        <v>7475</v>
      </c>
      <c r="Q118" s="40">
        <v>7475</v>
      </c>
      <c r="R118" s="40">
        <v>7475</v>
      </c>
      <c r="S118" s="40">
        <v>7475</v>
      </c>
      <c r="T118" s="40">
        <v>7475</v>
      </c>
      <c r="U118" s="40">
        <v>7475</v>
      </c>
      <c r="V118" s="40">
        <v>7475</v>
      </c>
      <c r="W118" s="40">
        <v>7475</v>
      </c>
      <c r="X118" s="40">
        <v>7475</v>
      </c>
      <c r="Y118" s="40">
        <v>7475</v>
      </c>
      <c r="Z118" s="40">
        <v>7480</v>
      </c>
      <c r="AA118" s="966">
        <f t="shared" si="8"/>
        <v>89705</v>
      </c>
      <c r="AB118" s="35"/>
      <c r="AC118" s="183"/>
    </row>
    <row r="119" spans="1:29" x14ac:dyDescent="0.2">
      <c r="A119" s="179"/>
      <c r="B119" s="99"/>
      <c r="C119" s="99"/>
      <c r="D119" s="99"/>
      <c r="E119" s="99"/>
      <c r="F119" s="99"/>
      <c r="G119" s="99"/>
      <c r="H119" s="99"/>
      <c r="I119" s="99"/>
      <c r="J119" s="99"/>
      <c r="K119" s="187"/>
      <c r="L119" s="188"/>
      <c r="M119" s="188"/>
      <c r="N119" s="188"/>
      <c r="O119" s="188"/>
      <c r="P119" s="188"/>
      <c r="Q119" s="188"/>
      <c r="R119" s="188"/>
      <c r="S119" s="188"/>
      <c r="T119" s="99"/>
      <c r="U119" s="99"/>
      <c r="V119" s="99"/>
      <c r="W119" s="99"/>
      <c r="X119" s="99"/>
      <c r="Y119" s="99"/>
      <c r="Z119" s="99"/>
      <c r="AA119" s="189"/>
      <c r="AB119" s="35"/>
      <c r="AC119" s="183"/>
    </row>
    <row r="120" spans="1:29" x14ac:dyDescent="0.2">
      <c r="A120" s="179"/>
      <c r="B120" s="35"/>
      <c r="C120" s="35"/>
      <c r="D120" s="35"/>
      <c r="E120" s="35"/>
      <c r="F120" s="35"/>
      <c r="G120" s="35"/>
      <c r="H120" s="35"/>
      <c r="I120" s="35"/>
      <c r="J120" s="35"/>
      <c r="K120" s="60"/>
      <c r="L120" s="60"/>
      <c r="M120" s="60"/>
      <c r="N120" s="60"/>
      <c r="O120" s="60"/>
      <c r="P120" s="60"/>
      <c r="Q120" s="60"/>
      <c r="R120" s="60"/>
      <c r="S120" s="60"/>
      <c r="T120" s="35"/>
      <c r="U120" s="35"/>
      <c r="V120" s="2974" t="s">
        <v>15</v>
      </c>
      <c r="W120" s="2975"/>
      <c r="X120" s="2975"/>
      <c r="Y120" s="2976"/>
      <c r="Z120" s="2974" t="s">
        <v>16</v>
      </c>
      <c r="AA120" s="2976"/>
      <c r="AB120" s="35"/>
      <c r="AC120" s="183"/>
    </row>
    <row r="121" spans="1:29" x14ac:dyDescent="0.2">
      <c r="A121" s="179"/>
      <c r="B121" s="152" t="s">
        <v>276</v>
      </c>
      <c r="C121" s="1115">
        <v>3000609</v>
      </c>
      <c r="D121" s="38"/>
      <c r="E121" s="3291" t="s">
        <v>333</v>
      </c>
      <c r="F121" s="3292"/>
      <c r="G121" s="3292"/>
      <c r="H121" s="3292"/>
      <c r="I121" s="3292"/>
      <c r="J121" s="3292"/>
      <c r="K121" s="3292"/>
      <c r="L121" s="3292"/>
      <c r="M121" s="3292"/>
      <c r="N121" s="3292"/>
      <c r="O121" s="3292"/>
      <c r="P121" s="3292"/>
      <c r="Q121" s="3292"/>
      <c r="R121" s="3292"/>
      <c r="S121" s="3292"/>
      <c r="T121" s="3292"/>
      <c r="U121" s="3293"/>
      <c r="V121" s="3280" t="s">
        <v>334</v>
      </c>
      <c r="W121" s="3281"/>
      <c r="X121" s="3281"/>
      <c r="Y121" s="3282"/>
      <c r="Z121" s="3283" t="s">
        <v>335</v>
      </c>
      <c r="AA121" s="3284"/>
      <c r="AB121" s="35"/>
      <c r="AC121" s="183"/>
    </row>
    <row r="122" spans="1:29" x14ac:dyDescent="0.2">
      <c r="A122" s="179"/>
      <c r="B122" s="2847" t="s">
        <v>278</v>
      </c>
      <c r="C122" s="2988" t="s">
        <v>21</v>
      </c>
      <c r="D122" s="2847" t="s">
        <v>22</v>
      </c>
      <c r="E122" s="2847" t="s">
        <v>23</v>
      </c>
      <c r="F122" s="2847" t="s">
        <v>24</v>
      </c>
      <c r="G122" s="2847" t="s">
        <v>25</v>
      </c>
      <c r="H122" s="2847" t="s">
        <v>26</v>
      </c>
      <c r="I122" s="2847" t="s">
        <v>27</v>
      </c>
      <c r="J122" s="2847" t="s">
        <v>28</v>
      </c>
      <c r="K122" s="2847"/>
      <c r="L122" s="2988" t="s">
        <v>279</v>
      </c>
      <c r="M122" s="3273" t="s">
        <v>280</v>
      </c>
      <c r="N122" s="3274"/>
      <c r="O122" s="2847" t="s">
        <v>281</v>
      </c>
      <c r="P122" s="2847"/>
      <c r="Q122" s="2847"/>
      <c r="R122" s="2847"/>
      <c r="S122" s="2847"/>
      <c r="T122" s="2847"/>
      <c r="U122" s="2847"/>
      <c r="V122" s="2847"/>
      <c r="W122" s="2847"/>
      <c r="X122" s="2847"/>
      <c r="Y122" s="2847"/>
      <c r="Z122" s="2847"/>
      <c r="AA122" s="2988" t="s">
        <v>32</v>
      </c>
      <c r="AB122" s="35"/>
      <c r="AC122" s="183"/>
    </row>
    <row r="123" spans="1:29" x14ac:dyDescent="0.2">
      <c r="A123" s="179"/>
      <c r="B123" s="2847"/>
      <c r="C123" s="3186"/>
      <c r="D123" s="2847"/>
      <c r="E123" s="2847"/>
      <c r="F123" s="2847"/>
      <c r="G123" s="2847"/>
      <c r="H123" s="2847"/>
      <c r="I123" s="2847"/>
      <c r="J123" s="2847" t="s">
        <v>33</v>
      </c>
      <c r="K123" s="2847" t="s">
        <v>282</v>
      </c>
      <c r="L123" s="3186"/>
      <c r="M123" s="3275"/>
      <c r="N123" s="3276"/>
      <c r="O123" s="1009" t="s">
        <v>283</v>
      </c>
      <c r="P123" s="1009" t="s">
        <v>284</v>
      </c>
      <c r="Q123" s="1009" t="s">
        <v>285</v>
      </c>
      <c r="R123" s="1009" t="s">
        <v>88</v>
      </c>
      <c r="S123" s="1009" t="s">
        <v>89</v>
      </c>
      <c r="T123" s="1009" t="s">
        <v>90</v>
      </c>
      <c r="U123" s="1009" t="s">
        <v>91</v>
      </c>
      <c r="V123" s="1009" t="s">
        <v>92</v>
      </c>
      <c r="W123" s="1009" t="s">
        <v>286</v>
      </c>
      <c r="X123" s="1009" t="s">
        <v>93</v>
      </c>
      <c r="Y123" s="1009" t="s">
        <v>94</v>
      </c>
      <c r="Z123" s="1009" t="s">
        <v>95</v>
      </c>
      <c r="AA123" s="2989"/>
      <c r="AB123" s="35"/>
      <c r="AC123" s="183"/>
    </row>
    <row r="124" spans="1:29" x14ac:dyDescent="0.2">
      <c r="A124" s="179"/>
      <c r="B124" s="2847"/>
      <c r="C124" s="3186"/>
      <c r="D124" s="2847"/>
      <c r="E124" s="2847"/>
      <c r="F124" s="2847"/>
      <c r="G124" s="2847"/>
      <c r="H124" s="2847"/>
      <c r="I124" s="2847"/>
      <c r="J124" s="2847"/>
      <c r="K124" s="2847"/>
      <c r="L124" s="3186"/>
      <c r="M124" s="1122" t="s">
        <v>287</v>
      </c>
      <c r="N124" s="1123"/>
      <c r="O124" s="1095">
        <v>157</v>
      </c>
      <c r="P124" s="1095">
        <v>157</v>
      </c>
      <c r="Q124" s="1095">
        <v>157</v>
      </c>
      <c r="R124" s="1095">
        <v>159</v>
      </c>
      <c r="S124" s="1095">
        <v>159</v>
      </c>
      <c r="T124" s="1095">
        <v>159</v>
      </c>
      <c r="U124" s="1095">
        <v>159</v>
      </c>
      <c r="V124" s="1095">
        <v>159</v>
      </c>
      <c r="W124" s="1095">
        <v>159</v>
      </c>
      <c r="X124" s="1095">
        <v>159</v>
      </c>
      <c r="Y124" s="1095">
        <v>159</v>
      </c>
      <c r="Z124" s="1095">
        <v>159</v>
      </c>
      <c r="AA124" s="1196">
        <f t="shared" ref="AA124:AA153" si="18">SUM(O124:Z124)</f>
        <v>1902</v>
      </c>
      <c r="AB124" s="35"/>
      <c r="AC124" s="183"/>
    </row>
    <row r="125" spans="1:29" x14ac:dyDescent="0.2">
      <c r="A125" s="179"/>
      <c r="B125" s="2847"/>
      <c r="C125" s="2989"/>
      <c r="D125" s="2847"/>
      <c r="E125" s="2847"/>
      <c r="F125" s="2847"/>
      <c r="G125" s="2847"/>
      <c r="H125" s="2847"/>
      <c r="I125" s="2847"/>
      <c r="J125" s="2847"/>
      <c r="K125" s="2847"/>
      <c r="L125" s="2989"/>
      <c r="M125" s="1122" t="s">
        <v>34</v>
      </c>
      <c r="N125" s="1123"/>
      <c r="O125" s="1095">
        <v>145866</v>
      </c>
      <c r="P125" s="1095">
        <v>137220.54545454544</v>
      </c>
      <c r="Q125" s="1095">
        <v>158093.14545454545</v>
      </c>
      <c r="R125" s="1095">
        <v>168441.94545454544</v>
      </c>
      <c r="S125" s="1095">
        <v>169173.87878787878</v>
      </c>
      <c r="T125" s="1095">
        <v>153855.8121212121</v>
      </c>
      <c r="U125" s="1095">
        <v>163856.67878787874</v>
      </c>
      <c r="V125" s="1095">
        <v>169011.41212121211</v>
      </c>
      <c r="W125" s="1095">
        <v>149426.67878787877</v>
      </c>
      <c r="X125" s="1095">
        <v>153855.8121212121</v>
      </c>
      <c r="Y125" s="1095">
        <v>154779.47878787876</v>
      </c>
      <c r="Z125" s="1095">
        <v>170888.61212121212</v>
      </c>
      <c r="AA125" s="1196">
        <f t="shared" si="18"/>
        <v>1894469.9999999995</v>
      </c>
      <c r="AB125" s="35"/>
      <c r="AC125" s="183"/>
    </row>
    <row r="126" spans="1:29" ht="11.25" customHeight="1" x14ac:dyDescent="0.2">
      <c r="A126" s="179"/>
      <c r="B126" s="2438">
        <v>5004428</v>
      </c>
      <c r="C126" s="3297" t="s">
        <v>3036</v>
      </c>
      <c r="D126" s="3297">
        <v>5</v>
      </c>
      <c r="E126" s="3297" t="s">
        <v>288</v>
      </c>
      <c r="F126" s="3297" t="s">
        <v>313</v>
      </c>
      <c r="G126" s="3297" t="s">
        <v>329</v>
      </c>
      <c r="H126" s="3297" t="s">
        <v>337</v>
      </c>
      <c r="I126" s="3297" t="s">
        <v>338</v>
      </c>
      <c r="J126" s="3297">
        <v>1902</v>
      </c>
      <c r="K126" s="70">
        <v>237528</v>
      </c>
      <c r="L126" s="3294" t="s">
        <v>336</v>
      </c>
      <c r="M126" s="3287" t="s">
        <v>293</v>
      </c>
      <c r="N126" s="3288"/>
      <c r="O126" s="40">
        <v>19794</v>
      </c>
      <c r="P126" s="40">
        <v>19794</v>
      </c>
      <c r="Q126" s="40">
        <v>19794</v>
      </c>
      <c r="R126" s="40">
        <v>19794</v>
      </c>
      <c r="S126" s="40">
        <v>19794</v>
      </c>
      <c r="T126" s="38">
        <v>19794</v>
      </c>
      <c r="U126" s="38">
        <v>19794</v>
      </c>
      <c r="V126" s="38">
        <v>19794</v>
      </c>
      <c r="W126" s="38">
        <v>19794</v>
      </c>
      <c r="X126" s="38">
        <v>19794</v>
      </c>
      <c r="Y126" s="38">
        <v>19794</v>
      </c>
      <c r="Z126" s="38">
        <v>19794</v>
      </c>
      <c r="AA126" s="966">
        <f t="shared" si="18"/>
        <v>237528</v>
      </c>
      <c r="AB126" s="35"/>
      <c r="AC126" s="183"/>
    </row>
    <row r="127" spans="1:29" x14ac:dyDescent="0.2">
      <c r="A127" s="179"/>
      <c r="B127" s="2456"/>
      <c r="C127" s="3298"/>
      <c r="D127" s="3298"/>
      <c r="E127" s="3298"/>
      <c r="F127" s="3298"/>
      <c r="G127" s="3298"/>
      <c r="H127" s="3298"/>
      <c r="I127" s="3298"/>
      <c r="J127" s="3298"/>
      <c r="K127" s="70">
        <v>664340</v>
      </c>
      <c r="L127" s="3295"/>
      <c r="M127" s="3287" t="s">
        <v>295</v>
      </c>
      <c r="N127" s="3288"/>
      <c r="O127" s="40">
        <v>55361.666666666664</v>
      </c>
      <c r="P127" s="40">
        <v>55361.666666666664</v>
      </c>
      <c r="Q127" s="40">
        <v>55361.666666666664</v>
      </c>
      <c r="R127" s="40">
        <v>55361.666666666664</v>
      </c>
      <c r="S127" s="40">
        <v>55361.666666666664</v>
      </c>
      <c r="T127" s="38">
        <v>55361.666666666664</v>
      </c>
      <c r="U127" s="38">
        <v>55361.666666666664</v>
      </c>
      <c r="V127" s="38">
        <v>55361.666666666664</v>
      </c>
      <c r="W127" s="38">
        <v>55361.666666666664</v>
      </c>
      <c r="X127" s="38">
        <v>55361.666666666664</v>
      </c>
      <c r="Y127" s="38">
        <v>55361.666666666664</v>
      </c>
      <c r="Z127" s="38">
        <v>55361.666666666664</v>
      </c>
      <c r="AA127" s="966">
        <f t="shared" si="18"/>
        <v>664340</v>
      </c>
      <c r="AB127" s="35"/>
      <c r="AC127" s="183"/>
    </row>
    <row r="128" spans="1:29" x14ac:dyDescent="0.2">
      <c r="A128" s="179"/>
      <c r="B128" s="2456"/>
      <c r="C128" s="3298"/>
      <c r="D128" s="3298"/>
      <c r="E128" s="3298"/>
      <c r="F128" s="3298"/>
      <c r="G128" s="3298"/>
      <c r="H128" s="3298"/>
      <c r="I128" s="3298"/>
      <c r="J128" s="3298"/>
      <c r="K128" s="70">
        <v>21120</v>
      </c>
      <c r="L128" s="3295"/>
      <c r="M128" s="3287" t="s">
        <v>332</v>
      </c>
      <c r="N128" s="3288"/>
      <c r="O128" s="40">
        <v>1760</v>
      </c>
      <c r="P128" s="40">
        <v>1760</v>
      </c>
      <c r="Q128" s="40">
        <v>1760</v>
      </c>
      <c r="R128" s="40">
        <v>1760</v>
      </c>
      <c r="S128" s="40">
        <v>1760</v>
      </c>
      <c r="T128" s="38">
        <v>1760</v>
      </c>
      <c r="U128" s="38">
        <v>1760</v>
      </c>
      <c r="V128" s="38">
        <v>1760</v>
      </c>
      <c r="W128" s="38">
        <v>1760</v>
      </c>
      <c r="X128" s="38">
        <v>1760</v>
      </c>
      <c r="Y128" s="38">
        <v>1760</v>
      </c>
      <c r="Z128" s="38">
        <v>1760</v>
      </c>
      <c r="AA128" s="966">
        <f t="shared" si="18"/>
        <v>21120</v>
      </c>
      <c r="AB128" s="35"/>
      <c r="AC128" s="183"/>
    </row>
    <row r="129" spans="1:29" x14ac:dyDescent="0.2">
      <c r="A129" s="179"/>
      <c r="B129" s="2456"/>
      <c r="C129" s="3298"/>
      <c r="D129" s="3298"/>
      <c r="E129" s="3298"/>
      <c r="F129" s="3298"/>
      <c r="G129" s="3298"/>
      <c r="H129" s="3298"/>
      <c r="I129" s="3298"/>
      <c r="J129" s="3298"/>
      <c r="K129" s="70">
        <v>194094</v>
      </c>
      <c r="L129" s="3295"/>
      <c r="M129" s="3287" t="s">
        <v>296</v>
      </c>
      <c r="N129" s="3288"/>
      <c r="O129" s="40">
        <v>16174.5</v>
      </c>
      <c r="P129" s="40">
        <v>16174.5</v>
      </c>
      <c r="Q129" s="40">
        <v>16174.5</v>
      </c>
      <c r="R129" s="40">
        <v>16174.5</v>
      </c>
      <c r="S129" s="40">
        <v>16174.5</v>
      </c>
      <c r="T129" s="38">
        <v>16174.5</v>
      </c>
      <c r="U129" s="38">
        <v>16174.5</v>
      </c>
      <c r="V129" s="38">
        <v>16174.5</v>
      </c>
      <c r="W129" s="38">
        <v>16174.5</v>
      </c>
      <c r="X129" s="38">
        <v>16174.5</v>
      </c>
      <c r="Y129" s="38">
        <v>16174.5</v>
      </c>
      <c r="Z129" s="38">
        <v>16174.5</v>
      </c>
      <c r="AA129" s="966">
        <f t="shared" si="18"/>
        <v>194094</v>
      </c>
      <c r="AB129" s="35"/>
      <c r="AC129" s="183"/>
    </row>
    <row r="130" spans="1:29" x14ac:dyDescent="0.2">
      <c r="A130" s="179"/>
      <c r="B130" s="2456"/>
      <c r="C130" s="3298"/>
      <c r="D130" s="3298"/>
      <c r="E130" s="3298"/>
      <c r="F130" s="3298"/>
      <c r="G130" s="3298"/>
      <c r="H130" s="3298"/>
      <c r="I130" s="3298"/>
      <c r="J130" s="3298"/>
      <c r="K130" s="70">
        <v>76392</v>
      </c>
      <c r="L130" s="3295"/>
      <c r="M130" s="3287" t="s">
        <v>297</v>
      </c>
      <c r="N130" s="3288"/>
      <c r="O130" s="40">
        <v>6366</v>
      </c>
      <c r="P130" s="40">
        <v>6366</v>
      </c>
      <c r="Q130" s="40">
        <v>6366</v>
      </c>
      <c r="R130" s="40">
        <v>6366</v>
      </c>
      <c r="S130" s="40">
        <v>6366</v>
      </c>
      <c r="T130" s="38">
        <v>6366</v>
      </c>
      <c r="U130" s="38">
        <v>6366</v>
      </c>
      <c r="V130" s="38">
        <v>6366</v>
      </c>
      <c r="W130" s="38">
        <v>6366</v>
      </c>
      <c r="X130" s="38">
        <v>6366</v>
      </c>
      <c r="Y130" s="38">
        <v>6366</v>
      </c>
      <c r="Z130" s="38">
        <v>6366</v>
      </c>
      <c r="AA130" s="966">
        <f t="shared" si="18"/>
        <v>76392</v>
      </c>
      <c r="AB130" s="35"/>
      <c r="AC130" s="183"/>
    </row>
    <row r="131" spans="1:29" x14ac:dyDescent="0.2">
      <c r="A131" s="179"/>
      <c r="B131" s="2456"/>
      <c r="C131" s="3298"/>
      <c r="D131" s="3298"/>
      <c r="E131" s="3298"/>
      <c r="F131" s="3298"/>
      <c r="G131" s="3298"/>
      <c r="H131" s="3298"/>
      <c r="I131" s="3298"/>
      <c r="J131" s="3298"/>
      <c r="K131" s="70">
        <v>23360</v>
      </c>
      <c r="L131" s="3295"/>
      <c r="M131" s="3287" t="s">
        <v>298</v>
      </c>
      <c r="N131" s="3288"/>
      <c r="O131" s="40"/>
      <c r="P131" s="40"/>
      <c r="Q131" s="40"/>
      <c r="R131" s="40"/>
      <c r="S131" s="40"/>
      <c r="T131" s="38"/>
      <c r="U131" s="38">
        <v>11680</v>
      </c>
      <c r="V131" s="38"/>
      <c r="W131" s="38"/>
      <c r="X131" s="38"/>
      <c r="Y131" s="38"/>
      <c r="Z131" s="38">
        <v>11680</v>
      </c>
      <c r="AA131" s="966">
        <f t="shared" si="18"/>
        <v>23360</v>
      </c>
      <c r="AB131" s="35"/>
      <c r="AC131" s="183"/>
    </row>
    <row r="132" spans="1:29" x14ac:dyDescent="0.2">
      <c r="A132" s="179"/>
      <c r="B132" s="2456"/>
      <c r="C132" s="3298"/>
      <c r="D132" s="3298"/>
      <c r="E132" s="3298"/>
      <c r="F132" s="3298"/>
      <c r="G132" s="3298"/>
      <c r="H132" s="3298"/>
      <c r="I132" s="3298"/>
      <c r="J132" s="3298"/>
      <c r="K132" s="70">
        <v>16100</v>
      </c>
      <c r="L132" s="3295"/>
      <c r="M132" s="3287" t="s">
        <v>299</v>
      </c>
      <c r="N132" s="3288"/>
      <c r="O132" s="40">
        <v>16100</v>
      </c>
      <c r="P132" s="40"/>
      <c r="Q132" s="40"/>
      <c r="R132" s="40"/>
      <c r="S132" s="40"/>
      <c r="T132" s="38"/>
      <c r="U132" s="38"/>
      <c r="V132" s="38"/>
      <c r="W132" s="38"/>
      <c r="X132" s="38"/>
      <c r="Y132" s="38"/>
      <c r="Z132" s="38"/>
      <c r="AA132" s="966">
        <f t="shared" si="18"/>
        <v>16100</v>
      </c>
      <c r="AB132" s="35"/>
      <c r="AC132" s="183"/>
    </row>
    <row r="133" spans="1:29" x14ac:dyDescent="0.2">
      <c r="A133" s="179"/>
      <c r="B133" s="2456"/>
      <c r="C133" s="3298"/>
      <c r="D133" s="3298"/>
      <c r="E133" s="3298"/>
      <c r="F133" s="3298"/>
      <c r="G133" s="3298"/>
      <c r="H133" s="3298"/>
      <c r="I133" s="3298"/>
      <c r="J133" s="3298"/>
      <c r="K133" s="70">
        <v>17160</v>
      </c>
      <c r="L133" s="3295"/>
      <c r="M133" s="3287" t="s">
        <v>339</v>
      </c>
      <c r="N133" s="3288"/>
      <c r="O133" s="40">
        <v>1430</v>
      </c>
      <c r="P133" s="40">
        <v>1430</v>
      </c>
      <c r="Q133" s="40">
        <v>1430</v>
      </c>
      <c r="R133" s="40">
        <v>1430</v>
      </c>
      <c r="S133" s="40">
        <v>1430</v>
      </c>
      <c r="T133" s="38">
        <v>1430</v>
      </c>
      <c r="U133" s="38">
        <v>1430</v>
      </c>
      <c r="V133" s="38">
        <v>1430</v>
      </c>
      <c r="W133" s="38">
        <v>1430</v>
      </c>
      <c r="X133" s="38">
        <v>1430</v>
      </c>
      <c r="Y133" s="38">
        <v>1430</v>
      </c>
      <c r="Z133" s="38">
        <v>1430</v>
      </c>
      <c r="AA133" s="966">
        <f t="shared" si="18"/>
        <v>17160</v>
      </c>
      <c r="AB133" s="35"/>
      <c r="AC133" s="183"/>
    </row>
    <row r="134" spans="1:29" x14ac:dyDescent="0.2">
      <c r="A134" s="179"/>
      <c r="B134" s="2456"/>
      <c r="C134" s="3298"/>
      <c r="D134" s="3298"/>
      <c r="E134" s="3298"/>
      <c r="F134" s="3298"/>
      <c r="G134" s="3298"/>
      <c r="H134" s="3298"/>
      <c r="I134" s="3298"/>
      <c r="J134" s="3298"/>
      <c r="K134" s="70">
        <v>77233</v>
      </c>
      <c r="L134" s="3295"/>
      <c r="M134" s="3287" t="s">
        <v>300</v>
      </c>
      <c r="N134" s="3288"/>
      <c r="O134" s="40">
        <v>6436.083333333333</v>
      </c>
      <c r="P134" s="40">
        <v>6436.083333333333</v>
      </c>
      <c r="Q134" s="40">
        <v>6436.083333333333</v>
      </c>
      <c r="R134" s="40">
        <v>6436.083333333333</v>
      </c>
      <c r="S134" s="40">
        <v>6436.083333333333</v>
      </c>
      <c r="T134" s="38">
        <v>6436.083333333333</v>
      </c>
      <c r="U134" s="38">
        <v>6436.083333333333</v>
      </c>
      <c r="V134" s="38">
        <v>6436.083333333333</v>
      </c>
      <c r="W134" s="38">
        <v>6436.083333333333</v>
      </c>
      <c r="X134" s="38">
        <v>6436.083333333333</v>
      </c>
      <c r="Y134" s="38">
        <v>6436.083333333333</v>
      </c>
      <c r="Z134" s="38">
        <v>6436.083333333333</v>
      </c>
      <c r="AA134" s="966">
        <f t="shared" si="18"/>
        <v>77233</v>
      </c>
      <c r="AB134" s="35"/>
      <c r="AC134" s="183"/>
    </row>
    <row r="135" spans="1:29" x14ac:dyDescent="0.2">
      <c r="A135" s="179"/>
      <c r="B135" s="2456"/>
      <c r="C135" s="3298"/>
      <c r="D135" s="3298"/>
      <c r="E135" s="3298"/>
      <c r="F135" s="3298"/>
      <c r="G135" s="3298"/>
      <c r="H135" s="3298"/>
      <c r="I135" s="3298"/>
      <c r="J135" s="3298"/>
      <c r="K135" s="70">
        <v>1743</v>
      </c>
      <c r="L135" s="3295"/>
      <c r="M135" s="3287" t="s">
        <v>301</v>
      </c>
      <c r="N135" s="3288"/>
      <c r="O135" s="40">
        <v>145.25</v>
      </c>
      <c r="P135" s="40">
        <v>145.25</v>
      </c>
      <c r="Q135" s="40">
        <v>145.25</v>
      </c>
      <c r="R135" s="40">
        <v>145.25</v>
      </c>
      <c r="S135" s="40">
        <v>145.25</v>
      </c>
      <c r="T135" s="38">
        <v>145.25</v>
      </c>
      <c r="U135" s="38">
        <v>145.25</v>
      </c>
      <c r="V135" s="38">
        <v>145.25</v>
      </c>
      <c r="W135" s="38">
        <v>145.25</v>
      </c>
      <c r="X135" s="38">
        <v>145.25</v>
      </c>
      <c r="Y135" s="38">
        <v>145.25</v>
      </c>
      <c r="Z135" s="38">
        <v>145.25</v>
      </c>
      <c r="AA135" s="966">
        <f t="shared" si="18"/>
        <v>1743</v>
      </c>
      <c r="AB135" s="35"/>
      <c r="AC135" s="183"/>
    </row>
    <row r="136" spans="1:29" x14ac:dyDescent="0.2">
      <c r="A136" s="179"/>
      <c r="B136" s="2456"/>
      <c r="C136" s="3298"/>
      <c r="D136" s="3298"/>
      <c r="E136" s="3298"/>
      <c r="F136" s="3298"/>
      <c r="G136" s="3298"/>
      <c r="H136" s="3298"/>
      <c r="I136" s="3298"/>
      <c r="J136" s="3298"/>
      <c r="K136" s="70">
        <v>8900</v>
      </c>
      <c r="L136" s="3295"/>
      <c r="M136" s="3287" t="s">
        <v>340</v>
      </c>
      <c r="N136" s="3288"/>
      <c r="O136" s="40"/>
      <c r="P136" s="40"/>
      <c r="Q136" s="40">
        <v>4450</v>
      </c>
      <c r="R136" s="40"/>
      <c r="S136" s="40"/>
      <c r="T136" s="38"/>
      <c r="U136" s="38"/>
      <c r="V136" s="38">
        <v>4450</v>
      </c>
      <c r="W136" s="38"/>
      <c r="X136" s="38"/>
      <c r="Y136" s="38"/>
      <c r="Z136" s="38"/>
      <c r="AA136" s="966">
        <f t="shared" si="18"/>
        <v>8900</v>
      </c>
      <c r="AB136" s="35"/>
      <c r="AC136" s="183"/>
    </row>
    <row r="137" spans="1:29" x14ac:dyDescent="0.2">
      <c r="A137" s="179"/>
      <c r="B137" s="2456"/>
      <c r="C137" s="3298"/>
      <c r="D137" s="3298"/>
      <c r="E137" s="3298"/>
      <c r="F137" s="3298"/>
      <c r="G137" s="3298"/>
      <c r="H137" s="3298"/>
      <c r="I137" s="3298"/>
      <c r="J137" s="3298"/>
      <c r="K137" s="70">
        <v>25100</v>
      </c>
      <c r="L137" s="3295"/>
      <c r="M137" s="3287" t="s">
        <v>302</v>
      </c>
      <c r="N137" s="3288"/>
      <c r="O137" s="40"/>
      <c r="P137" s="40"/>
      <c r="Q137" s="40"/>
      <c r="R137" s="40"/>
      <c r="S137" s="40">
        <v>25100</v>
      </c>
      <c r="T137" s="38"/>
      <c r="U137" s="38"/>
      <c r="V137" s="38"/>
      <c r="W137" s="38"/>
      <c r="X137" s="38"/>
      <c r="Y137" s="38"/>
      <c r="Z137" s="38"/>
      <c r="AA137" s="966">
        <f t="shared" si="18"/>
        <v>25100</v>
      </c>
      <c r="AB137" s="35"/>
      <c r="AC137" s="183"/>
    </row>
    <row r="138" spans="1:29" x14ac:dyDescent="0.2">
      <c r="A138" s="179"/>
      <c r="B138" s="2456"/>
      <c r="C138" s="3298"/>
      <c r="D138" s="3298"/>
      <c r="E138" s="3298"/>
      <c r="F138" s="3298"/>
      <c r="G138" s="3298"/>
      <c r="H138" s="3298"/>
      <c r="I138" s="3298"/>
      <c r="J138" s="3298"/>
      <c r="K138" s="70">
        <v>400</v>
      </c>
      <c r="L138" s="3295"/>
      <c r="M138" s="3287" t="s">
        <v>323</v>
      </c>
      <c r="N138" s="3288"/>
      <c r="O138" s="40"/>
      <c r="P138" s="40"/>
      <c r="Q138" s="40">
        <v>400</v>
      </c>
      <c r="R138" s="40"/>
      <c r="S138" s="40"/>
      <c r="T138" s="38"/>
      <c r="U138" s="38"/>
      <c r="V138" s="38"/>
      <c r="W138" s="38"/>
      <c r="X138" s="38"/>
      <c r="Y138" s="38"/>
      <c r="Z138" s="38"/>
      <c r="AA138" s="966">
        <f t="shared" si="18"/>
        <v>400</v>
      </c>
      <c r="AB138" s="35"/>
      <c r="AC138" s="183"/>
    </row>
    <row r="139" spans="1:29" x14ac:dyDescent="0.2">
      <c r="A139" s="179"/>
      <c r="B139" s="2456"/>
      <c r="C139" s="3298"/>
      <c r="D139" s="3298"/>
      <c r="E139" s="3298"/>
      <c r="F139" s="3298"/>
      <c r="G139" s="3298"/>
      <c r="H139" s="3298"/>
      <c r="I139" s="3298"/>
      <c r="J139" s="3298"/>
      <c r="K139" s="70">
        <v>18700</v>
      </c>
      <c r="L139" s="3295"/>
      <c r="M139" s="3287" t="s">
        <v>303</v>
      </c>
      <c r="N139" s="3288"/>
      <c r="O139" s="40"/>
      <c r="P139" s="40"/>
      <c r="Q139" s="40">
        <v>1870</v>
      </c>
      <c r="R139" s="40">
        <v>1870</v>
      </c>
      <c r="S139" s="40">
        <v>1870</v>
      </c>
      <c r="T139" s="38">
        <v>1870</v>
      </c>
      <c r="U139" s="38">
        <v>1870</v>
      </c>
      <c r="V139" s="38">
        <v>1870</v>
      </c>
      <c r="W139" s="38">
        <v>1870</v>
      </c>
      <c r="X139" s="38">
        <v>1870</v>
      </c>
      <c r="Y139" s="38">
        <v>1870</v>
      </c>
      <c r="Z139" s="38">
        <v>1870</v>
      </c>
      <c r="AA139" s="966">
        <f t="shared" si="18"/>
        <v>18700</v>
      </c>
      <c r="AB139" s="35"/>
      <c r="AC139" s="183"/>
    </row>
    <row r="140" spans="1:29" x14ac:dyDescent="0.2">
      <c r="A140" s="179"/>
      <c r="B140" s="2456"/>
      <c r="C140" s="3298"/>
      <c r="D140" s="3298"/>
      <c r="E140" s="3298"/>
      <c r="F140" s="3298"/>
      <c r="G140" s="3298"/>
      <c r="H140" s="3298"/>
      <c r="I140" s="3298"/>
      <c r="J140" s="3298"/>
      <c r="K140" s="70">
        <v>5500</v>
      </c>
      <c r="L140" s="3295"/>
      <c r="M140" s="3287" t="s">
        <v>324</v>
      </c>
      <c r="N140" s="3288"/>
      <c r="O140" s="40"/>
      <c r="P140" s="40">
        <v>2750</v>
      </c>
      <c r="Q140" s="40"/>
      <c r="R140" s="40"/>
      <c r="S140" s="40"/>
      <c r="T140" s="38"/>
      <c r="U140" s="38">
        <v>2750</v>
      </c>
      <c r="V140" s="38"/>
      <c r="W140" s="38"/>
      <c r="X140" s="38"/>
      <c r="Y140" s="38"/>
      <c r="Z140" s="38"/>
      <c r="AA140" s="966">
        <f t="shared" si="18"/>
        <v>5500</v>
      </c>
      <c r="AB140" s="35"/>
      <c r="AC140" s="183"/>
    </row>
    <row r="141" spans="1:29" x14ac:dyDescent="0.2">
      <c r="A141" s="179"/>
      <c r="B141" s="2456"/>
      <c r="C141" s="3298"/>
      <c r="D141" s="3298"/>
      <c r="E141" s="3298"/>
      <c r="F141" s="3298"/>
      <c r="G141" s="3298"/>
      <c r="H141" s="3298"/>
      <c r="I141" s="3298"/>
      <c r="J141" s="3298"/>
      <c r="K141" s="70">
        <v>1000</v>
      </c>
      <c r="L141" s="3295"/>
      <c r="M141" s="3287" t="s">
        <v>341</v>
      </c>
      <c r="N141" s="3288"/>
      <c r="O141" s="40"/>
      <c r="P141" s="40"/>
      <c r="Q141" s="40">
        <v>1000</v>
      </c>
      <c r="R141" s="40"/>
      <c r="S141" s="40"/>
      <c r="T141" s="38"/>
      <c r="U141" s="38"/>
      <c r="V141" s="38"/>
      <c r="W141" s="38"/>
      <c r="X141" s="38"/>
      <c r="Y141" s="38"/>
      <c r="Z141" s="38"/>
      <c r="AA141" s="966">
        <f t="shared" si="18"/>
        <v>1000</v>
      </c>
      <c r="AB141" s="35"/>
      <c r="AC141" s="183"/>
    </row>
    <row r="142" spans="1:29" x14ac:dyDescent="0.2">
      <c r="A142" s="179"/>
      <c r="B142" s="2456"/>
      <c r="C142" s="3298"/>
      <c r="D142" s="3298"/>
      <c r="E142" s="3298"/>
      <c r="F142" s="3298"/>
      <c r="G142" s="3298"/>
      <c r="H142" s="3298"/>
      <c r="I142" s="3298"/>
      <c r="J142" s="3298"/>
      <c r="K142" s="70">
        <v>1597</v>
      </c>
      <c r="L142" s="3295"/>
      <c r="M142" s="3287" t="s">
        <v>342</v>
      </c>
      <c r="N142" s="3288"/>
      <c r="O142" s="40"/>
      <c r="P142" s="40"/>
      <c r="Q142" s="40">
        <v>1597</v>
      </c>
      <c r="R142" s="40"/>
      <c r="S142" s="40"/>
      <c r="T142" s="38"/>
      <c r="U142" s="38"/>
      <c r="V142" s="38"/>
      <c r="W142" s="38"/>
      <c r="X142" s="38"/>
      <c r="Y142" s="38"/>
      <c r="Z142" s="38"/>
      <c r="AA142" s="966">
        <f t="shared" si="18"/>
        <v>1597</v>
      </c>
      <c r="AB142" s="35"/>
      <c r="AC142" s="183"/>
    </row>
    <row r="143" spans="1:29" x14ac:dyDescent="0.2">
      <c r="A143" s="179"/>
      <c r="B143" s="2456"/>
      <c r="C143" s="3298"/>
      <c r="D143" s="3298"/>
      <c r="E143" s="3298"/>
      <c r="F143" s="3298"/>
      <c r="G143" s="3298"/>
      <c r="H143" s="3298"/>
      <c r="I143" s="3298"/>
      <c r="J143" s="3298"/>
      <c r="K143" s="70">
        <v>58000</v>
      </c>
      <c r="L143" s="3295"/>
      <c r="M143" s="3287" t="s">
        <v>343</v>
      </c>
      <c r="N143" s="3288"/>
      <c r="O143" s="40"/>
      <c r="P143" s="40"/>
      <c r="Q143" s="40"/>
      <c r="R143" s="40">
        <v>11600</v>
      </c>
      <c r="S143" s="40">
        <v>7733.333333333333</v>
      </c>
      <c r="T143" s="38">
        <v>3866.6666666666665</v>
      </c>
      <c r="U143" s="38">
        <v>7733.333333333333</v>
      </c>
      <c r="V143" s="38">
        <v>3866.6666666666665</v>
      </c>
      <c r="W143" s="38">
        <v>7733.333333333333</v>
      </c>
      <c r="X143" s="38">
        <v>3866.6666666666665</v>
      </c>
      <c r="Y143" s="38">
        <v>7733.333333333333</v>
      </c>
      <c r="Z143" s="38">
        <v>3866.6666666666665</v>
      </c>
      <c r="AA143" s="966">
        <f t="shared" si="18"/>
        <v>58000</v>
      </c>
      <c r="AB143" s="35"/>
      <c r="AC143" s="183"/>
    </row>
    <row r="144" spans="1:29" x14ac:dyDescent="0.2">
      <c r="A144" s="179"/>
      <c r="B144" s="2456"/>
      <c r="C144" s="3298"/>
      <c r="D144" s="3298"/>
      <c r="E144" s="3298"/>
      <c r="F144" s="3298"/>
      <c r="G144" s="3298"/>
      <c r="H144" s="3298"/>
      <c r="I144" s="3298"/>
      <c r="J144" s="3298"/>
      <c r="K144" s="70">
        <v>1500</v>
      </c>
      <c r="L144" s="3295"/>
      <c r="M144" s="3287" t="s">
        <v>304</v>
      </c>
      <c r="N144" s="3288"/>
      <c r="O144" s="40"/>
      <c r="P144" s="40"/>
      <c r="Q144" s="40"/>
      <c r="R144" s="40">
        <v>1500</v>
      </c>
      <c r="S144" s="40"/>
      <c r="T144" s="38"/>
      <c r="U144" s="38"/>
      <c r="V144" s="38"/>
      <c r="W144" s="38"/>
      <c r="X144" s="38"/>
      <c r="Y144" s="38"/>
      <c r="Z144" s="38"/>
      <c r="AA144" s="966">
        <f t="shared" si="18"/>
        <v>1500</v>
      </c>
      <c r="AB144" s="35"/>
      <c r="AC144" s="183"/>
    </row>
    <row r="145" spans="1:29" x14ac:dyDescent="0.2">
      <c r="A145" s="179"/>
      <c r="B145" s="2456"/>
      <c r="C145" s="3298"/>
      <c r="D145" s="3298"/>
      <c r="E145" s="3298"/>
      <c r="F145" s="3298"/>
      <c r="G145" s="3298"/>
      <c r="H145" s="3298"/>
      <c r="I145" s="3298"/>
      <c r="J145" s="3298"/>
      <c r="K145" s="70">
        <v>10718</v>
      </c>
      <c r="L145" s="3295"/>
      <c r="M145" s="3287" t="s">
        <v>305</v>
      </c>
      <c r="N145" s="3288"/>
      <c r="O145" s="40"/>
      <c r="P145" s="40"/>
      <c r="Q145" s="40">
        <v>2143.6</v>
      </c>
      <c r="R145" s="40">
        <v>1071.8</v>
      </c>
      <c r="S145" s="40"/>
      <c r="T145" s="38"/>
      <c r="U145" s="38">
        <v>1071.8</v>
      </c>
      <c r="V145" s="38">
        <v>2143.6</v>
      </c>
      <c r="W145" s="38">
        <v>1071.8</v>
      </c>
      <c r="X145" s="38"/>
      <c r="Y145" s="38">
        <v>2143.6</v>
      </c>
      <c r="Z145" s="38">
        <v>1071.8</v>
      </c>
      <c r="AA145" s="966">
        <f t="shared" si="18"/>
        <v>10717.999999999998</v>
      </c>
      <c r="AB145" s="35"/>
      <c r="AC145" s="183"/>
    </row>
    <row r="146" spans="1:29" x14ac:dyDescent="0.2">
      <c r="A146" s="179"/>
      <c r="B146" s="2456"/>
      <c r="C146" s="3298"/>
      <c r="D146" s="3298"/>
      <c r="E146" s="3298"/>
      <c r="F146" s="3298"/>
      <c r="G146" s="3298"/>
      <c r="H146" s="3298"/>
      <c r="I146" s="3298"/>
      <c r="J146" s="3298"/>
      <c r="K146" s="70">
        <v>42810</v>
      </c>
      <c r="L146" s="3295"/>
      <c r="M146" s="3287" t="s">
        <v>306</v>
      </c>
      <c r="N146" s="3288"/>
      <c r="O146" s="40"/>
      <c r="P146" s="40"/>
      <c r="Q146" s="40">
        <v>8562</v>
      </c>
      <c r="R146" s="40">
        <v>4281</v>
      </c>
      <c r="S146" s="40"/>
      <c r="T146" s="38"/>
      <c r="U146" s="38">
        <v>4281</v>
      </c>
      <c r="V146" s="38">
        <v>8562</v>
      </c>
      <c r="W146" s="38">
        <v>4281</v>
      </c>
      <c r="X146" s="38"/>
      <c r="Y146" s="38">
        <v>8562</v>
      </c>
      <c r="Z146" s="38">
        <v>4281</v>
      </c>
      <c r="AA146" s="966">
        <f t="shared" si="18"/>
        <v>42810</v>
      </c>
      <c r="AB146" s="35"/>
      <c r="AC146" s="183"/>
    </row>
    <row r="147" spans="1:29" x14ac:dyDescent="0.2">
      <c r="A147" s="179"/>
      <c r="B147" s="2456"/>
      <c r="C147" s="3298"/>
      <c r="D147" s="3298"/>
      <c r="E147" s="3298"/>
      <c r="F147" s="3298"/>
      <c r="G147" s="3298"/>
      <c r="H147" s="3298"/>
      <c r="I147" s="3298"/>
      <c r="J147" s="3298"/>
      <c r="K147" s="70">
        <v>51750</v>
      </c>
      <c r="L147" s="3295"/>
      <c r="M147" s="3287" t="s">
        <v>307</v>
      </c>
      <c r="N147" s="3288"/>
      <c r="O147" s="40"/>
      <c r="P147" s="40">
        <v>4704.545454545455</v>
      </c>
      <c r="Q147" s="40">
        <v>4704.545454545455</v>
      </c>
      <c r="R147" s="40">
        <v>4704.545454545455</v>
      </c>
      <c r="S147" s="40">
        <v>4704.545454545455</v>
      </c>
      <c r="T147" s="38">
        <v>4704.545454545455</v>
      </c>
      <c r="U147" s="38">
        <v>4704.545454545455</v>
      </c>
      <c r="V147" s="38">
        <v>4704.545454545455</v>
      </c>
      <c r="W147" s="38">
        <v>4704.545454545455</v>
      </c>
      <c r="X147" s="38">
        <v>4704.545454545455</v>
      </c>
      <c r="Y147" s="38">
        <v>4704.545454545455</v>
      </c>
      <c r="Z147" s="38">
        <v>4704.545454545455</v>
      </c>
      <c r="AA147" s="966">
        <f t="shared" si="18"/>
        <v>51750.000000000007</v>
      </c>
      <c r="AB147" s="35"/>
      <c r="AC147" s="183"/>
    </row>
    <row r="148" spans="1:29" x14ac:dyDescent="0.2">
      <c r="A148" s="179"/>
      <c r="B148" s="2456"/>
      <c r="C148" s="3298"/>
      <c r="D148" s="3298"/>
      <c r="E148" s="3298"/>
      <c r="F148" s="3298"/>
      <c r="G148" s="3298"/>
      <c r="H148" s="3298"/>
      <c r="I148" s="3298"/>
      <c r="J148" s="3298"/>
      <c r="K148" s="70">
        <v>500</v>
      </c>
      <c r="L148" s="3295"/>
      <c r="M148" s="3287" t="s">
        <v>344</v>
      </c>
      <c r="N148" s="3288"/>
      <c r="O148" s="40"/>
      <c r="P148" s="40"/>
      <c r="Q148" s="40">
        <v>500</v>
      </c>
      <c r="R148" s="40"/>
      <c r="S148" s="40"/>
      <c r="T148" s="38"/>
      <c r="U148" s="38"/>
      <c r="V148" s="38"/>
      <c r="W148" s="38"/>
      <c r="X148" s="38"/>
      <c r="Y148" s="38"/>
      <c r="Z148" s="38"/>
      <c r="AA148" s="966">
        <f t="shared" si="18"/>
        <v>500</v>
      </c>
      <c r="AB148" s="35"/>
      <c r="AC148" s="183"/>
    </row>
    <row r="149" spans="1:29" x14ac:dyDescent="0.2">
      <c r="A149" s="179"/>
      <c r="B149" s="2456"/>
      <c r="C149" s="3298"/>
      <c r="D149" s="3298"/>
      <c r="E149" s="3298"/>
      <c r="F149" s="3298"/>
      <c r="G149" s="3298"/>
      <c r="H149" s="3298"/>
      <c r="I149" s="3298"/>
      <c r="J149" s="3298"/>
      <c r="K149" s="70">
        <v>2100</v>
      </c>
      <c r="L149" s="3295"/>
      <c r="M149" s="3287" t="s">
        <v>308</v>
      </c>
      <c r="N149" s="3288"/>
      <c r="O149" s="40"/>
      <c r="P149" s="40"/>
      <c r="Q149" s="40">
        <v>2100</v>
      </c>
      <c r="R149" s="40"/>
      <c r="S149" s="40"/>
      <c r="T149" s="38"/>
      <c r="U149" s="38"/>
      <c r="V149" s="38"/>
      <c r="W149" s="38"/>
      <c r="X149" s="38"/>
      <c r="Y149" s="38"/>
      <c r="Z149" s="38"/>
      <c r="AA149" s="966">
        <f t="shared" si="18"/>
        <v>2100</v>
      </c>
      <c r="AB149" s="35"/>
      <c r="AC149" s="183"/>
    </row>
    <row r="150" spans="1:29" x14ac:dyDescent="0.2">
      <c r="A150" s="179"/>
      <c r="B150" s="2456"/>
      <c r="C150" s="3298"/>
      <c r="D150" s="3298"/>
      <c r="E150" s="3298"/>
      <c r="F150" s="3298"/>
      <c r="G150" s="3298"/>
      <c r="H150" s="3298"/>
      <c r="I150" s="3298"/>
      <c r="J150" s="3298"/>
      <c r="K150" s="70">
        <v>1000</v>
      </c>
      <c r="L150" s="3295"/>
      <c r="M150" s="3287" t="s">
        <v>345</v>
      </c>
      <c r="N150" s="3288"/>
      <c r="O150" s="40"/>
      <c r="P150" s="40"/>
      <c r="Q150" s="40">
        <v>1000</v>
      </c>
      <c r="R150" s="40"/>
      <c r="S150" s="40"/>
      <c r="T150" s="38"/>
      <c r="U150" s="38"/>
      <c r="V150" s="38"/>
      <c r="W150" s="38"/>
      <c r="X150" s="38"/>
      <c r="Y150" s="38"/>
      <c r="Z150" s="38"/>
      <c r="AA150" s="966">
        <f t="shared" si="18"/>
        <v>1000</v>
      </c>
      <c r="AB150" s="35"/>
      <c r="AC150" s="183"/>
    </row>
    <row r="151" spans="1:29" x14ac:dyDescent="0.2">
      <c r="A151" s="179"/>
      <c r="B151" s="2456"/>
      <c r="C151" s="3298"/>
      <c r="D151" s="3298"/>
      <c r="E151" s="3298"/>
      <c r="F151" s="3298"/>
      <c r="G151" s="3298"/>
      <c r="H151" s="3298"/>
      <c r="I151" s="3298"/>
      <c r="J151" s="3298"/>
      <c r="K151" s="70">
        <v>68243</v>
      </c>
      <c r="L151" s="3295"/>
      <c r="M151" s="3287" t="s">
        <v>309</v>
      </c>
      <c r="N151" s="3288"/>
      <c r="O151" s="40"/>
      <c r="P151" s="40"/>
      <c r="Q151" s="40"/>
      <c r="R151" s="40">
        <v>13648.6</v>
      </c>
      <c r="S151" s="40"/>
      <c r="T151" s="38">
        <v>13648.6</v>
      </c>
      <c r="U151" s="38"/>
      <c r="V151" s="38">
        <v>13648.6</v>
      </c>
      <c r="W151" s="38"/>
      <c r="X151" s="38">
        <v>13648.6</v>
      </c>
      <c r="Y151" s="38"/>
      <c r="Z151" s="38">
        <v>13648.6</v>
      </c>
      <c r="AA151" s="966">
        <f t="shared" si="18"/>
        <v>68243</v>
      </c>
      <c r="AB151" s="35"/>
      <c r="AC151" s="183"/>
    </row>
    <row r="152" spans="1:29" x14ac:dyDescent="0.2">
      <c r="A152" s="179"/>
      <c r="B152" s="2456"/>
      <c r="C152" s="3298"/>
      <c r="D152" s="3298"/>
      <c r="E152" s="3298"/>
      <c r="F152" s="3298"/>
      <c r="G152" s="3298"/>
      <c r="H152" s="3298"/>
      <c r="I152" s="3298"/>
      <c r="J152" s="3298"/>
      <c r="K152" s="70">
        <v>251349</v>
      </c>
      <c r="L152" s="3295"/>
      <c r="M152" s="3287" t="s">
        <v>310</v>
      </c>
      <c r="N152" s="3288"/>
      <c r="O152" s="40">
        <v>20945.75</v>
      </c>
      <c r="P152" s="40">
        <v>20945.75</v>
      </c>
      <c r="Q152" s="40">
        <v>20945.75</v>
      </c>
      <c r="R152" s="40">
        <v>20945.75</v>
      </c>
      <c r="S152" s="40">
        <v>20945.75</v>
      </c>
      <c r="T152" s="38">
        <v>20945.75</v>
      </c>
      <c r="U152" s="38">
        <v>20945.75</v>
      </c>
      <c r="V152" s="38">
        <v>20945.75</v>
      </c>
      <c r="W152" s="38">
        <v>20945.75</v>
      </c>
      <c r="X152" s="38">
        <v>20945.75</v>
      </c>
      <c r="Y152" s="38">
        <v>20945.75</v>
      </c>
      <c r="Z152" s="38">
        <v>20945.75</v>
      </c>
      <c r="AA152" s="966">
        <f t="shared" si="18"/>
        <v>251349</v>
      </c>
      <c r="AB152" s="35"/>
      <c r="AC152" s="183"/>
    </row>
    <row r="153" spans="1:29" x14ac:dyDescent="0.2">
      <c r="A153" s="179"/>
      <c r="B153" s="2450"/>
      <c r="C153" s="3299"/>
      <c r="D153" s="3299"/>
      <c r="E153" s="3299"/>
      <c r="F153" s="3299"/>
      <c r="G153" s="3299"/>
      <c r="H153" s="3299"/>
      <c r="I153" s="3299"/>
      <c r="J153" s="3299"/>
      <c r="K153" s="70">
        <v>16233</v>
      </c>
      <c r="L153" s="3296"/>
      <c r="M153" s="3287" t="s">
        <v>311</v>
      </c>
      <c r="N153" s="3288"/>
      <c r="O153" s="40">
        <v>1352.75</v>
      </c>
      <c r="P153" s="40">
        <v>1352.75</v>
      </c>
      <c r="Q153" s="40">
        <v>1352.75</v>
      </c>
      <c r="R153" s="40">
        <v>1352.75</v>
      </c>
      <c r="S153" s="40">
        <v>1352.75</v>
      </c>
      <c r="T153" s="38">
        <v>1352.75</v>
      </c>
      <c r="U153" s="38">
        <v>1352.75</v>
      </c>
      <c r="V153" s="38">
        <v>1352.75</v>
      </c>
      <c r="W153" s="38">
        <v>1352.75</v>
      </c>
      <c r="X153" s="38">
        <v>1352.75</v>
      </c>
      <c r="Y153" s="38">
        <v>1352.75</v>
      </c>
      <c r="Z153" s="38">
        <v>1352.75</v>
      </c>
      <c r="AA153" s="966">
        <f t="shared" si="18"/>
        <v>16233</v>
      </c>
      <c r="AB153" s="35"/>
      <c r="AC153" s="183"/>
    </row>
    <row r="154" spans="1:29" x14ac:dyDescent="0.2">
      <c r="A154" s="179"/>
      <c r="B154" s="99"/>
      <c r="C154" s="99"/>
      <c r="D154" s="99"/>
      <c r="E154" s="99"/>
      <c r="F154" s="99"/>
      <c r="G154" s="99"/>
      <c r="H154" s="99"/>
      <c r="I154" s="99"/>
      <c r="J154" s="99"/>
      <c r="K154" s="187"/>
      <c r="L154" s="188"/>
      <c r="M154" s="188"/>
      <c r="N154" s="188"/>
      <c r="O154" s="188"/>
      <c r="P154" s="188"/>
      <c r="Q154" s="188"/>
      <c r="R154" s="188"/>
      <c r="S154" s="188"/>
      <c r="T154" s="99"/>
      <c r="U154" s="99"/>
      <c r="V154" s="99"/>
      <c r="W154" s="99"/>
      <c r="X154" s="99"/>
      <c r="Y154" s="99"/>
      <c r="Z154" s="99"/>
      <c r="AA154" s="1197"/>
      <c r="AB154" s="35"/>
      <c r="AC154" s="183"/>
    </row>
    <row r="155" spans="1:29" x14ac:dyDescent="0.2">
      <c r="A155" s="179"/>
      <c r="B155" s="2847" t="s">
        <v>278</v>
      </c>
      <c r="C155" s="2988" t="s">
        <v>21</v>
      </c>
      <c r="D155" s="2988" t="s">
        <v>22</v>
      </c>
      <c r="E155" s="2988" t="s">
        <v>23</v>
      </c>
      <c r="F155" s="2988" t="s">
        <v>24</v>
      </c>
      <c r="G155" s="2988" t="s">
        <v>25</v>
      </c>
      <c r="H155" s="2988" t="s">
        <v>26</v>
      </c>
      <c r="I155" s="2988" t="s">
        <v>27</v>
      </c>
      <c r="J155" s="3206" t="s">
        <v>28</v>
      </c>
      <c r="K155" s="3301"/>
      <c r="L155" s="2988" t="s">
        <v>279</v>
      </c>
      <c r="M155" s="3273" t="s">
        <v>280</v>
      </c>
      <c r="N155" s="3274"/>
      <c r="O155" s="2847" t="s">
        <v>281</v>
      </c>
      <c r="P155" s="2847"/>
      <c r="Q155" s="2847"/>
      <c r="R155" s="2847"/>
      <c r="S155" s="2847"/>
      <c r="T155" s="2847"/>
      <c r="U155" s="2847"/>
      <c r="V155" s="2847"/>
      <c r="W155" s="2847"/>
      <c r="X155" s="2847"/>
      <c r="Y155" s="2847"/>
      <c r="Z155" s="2847"/>
      <c r="AA155" s="3217" t="s">
        <v>32</v>
      </c>
      <c r="AB155" s="35"/>
      <c r="AC155" s="183"/>
    </row>
    <row r="156" spans="1:29" x14ac:dyDescent="0.2">
      <c r="A156" s="179"/>
      <c r="B156" s="2847"/>
      <c r="C156" s="3186"/>
      <c r="D156" s="3186"/>
      <c r="E156" s="3186"/>
      <c r="F156" s="3186"/>
      <c r="G156" s="3186"/>
      <c r="H156" s="3186"/>
      <c r="I156" s="3186"/>
      <c r="J156" s="2988" t="s">
        <v>33</v>
      </c>
      <c r="K156" s="2988" t="s">
        <v>282</v>
      </c>
      <c r="L156" s="3186"/>
      <c r="M156" s="3275"/>
      <c r="N156" s="3276"/>
      <c r="O156" s="1009" t="s">
        <v>283</v>
      </c>
      <c r="P156" s="1009" t="s">
        <v>284</v>
      </c>
      <c r="Q156" s="1009" t="s">
        <v>285</v>
      </c>
      <c r="R156" s="1009" t="s">
        <v>88</v>
      </c>
      <c r="S156" s="1009" t="s">
        <v>89</v>
      </c>
      <c r="T156" s="1009" t="s">
        <v>90</v>
      </c>
      <c r="U156" s="1009" t="s">
        <v>91</v>
      </c>
      <c r="V156" s="1009" t="s">
        <v>92</v>
      </c>
      <c r="W156" s="1009" t="s">
        <v>286</v>
      </c>
      <c r="X156" s="1009" t="s">
        <v>93</v>
      </c>
      <c r="Y156" s="1009" t="s">
        <v>94</v>
      </c>
      <c r="Z156" s="1009" t="s">
        <v>95</v>
      </c>
      <c r="AA156" s="3218"/>
      <c r="AB156" s="35"/>
      <c r="AC156" s="183"/>
    </row>
    <row r="157" spans="1:29" x14ac:dyDescent="0.2">
      <c r="A157" s="179"/>
      <c r="B157" s="2847"/>
      <c r="C157" s="3186"/>
      <c r="D157" s="3186"/>
      <c r="E157" s="3186"/>
      <c r="F157" s="3186"/>
      <c r="G157" s="3186"/>
      <c r="H157" s="3186"/>
      <c r="I157" s="3186"/>
      <c r="J157" s="3186"/>
      <c r="K157" s="3186"/>
      <c r="L157" s="3186"/>
      <c r="M157" s="3271" t="s">
        <v>287</v>
      </c>
      <c r="N157" s="3272"/>
      <c r="O157" s="1095">
        <v>62</v>
      </c>
      <c r="P157" s="1095">
        <v>62</v>
      </c>
      <c r="Q157" s="1095">
        <v>65</v>
      </c>
      <c r="R157" s="1095">
        <v>65</v>
      </c>
      <c r="S157" s="1095">
        <v>65</v>
      </c>
      <c r="T157" s="1095">
        <v>65</v>
      </c>
      <c r="U157" s="1095">
        <v>65</v>
      </c>
      <c r="V157" s="1095">
        <v>65</v>
      </c>
      <c r="W157" s="1095">
        <v>65</v>
      </c>
      <c r="X157" s="1095">
        <v>65</v>
      </c>
      <c r="Y157" s="1095">
        <v>65</v>
      </c>
      <c r="Z157" s="1095">
        <v>65</v>
      </c>
      <c r="AA157" s="966">
        <f t="shared" ref="AA157:AA183" si="19">SUM(O157:Z157)</f>
        <v>774</v>
      </c>
      <c r="AB157" s="35"/>
      <c r="AC157" s="183"/>
    </row>
    <row r="158" spans="1:29" x14ac:dyDescent="0.2">
      <c r="A158" s="179"/>
      <c r="B158" s="2847"/>
      <c r="C158" s="2989"/>
      <c r="D158" s="2989"/>
      <c r="E158" s="2989"/>
      <c r="F158" s="2989"/>
      <c r="G158" s="2989"/>
      <c r="H158" s="2989"/>
      <c r="I158" s="2989"/>
      <c r="J158" s="2989"/>
      <c r="K158" s="2989"/>
      <c r="L158" s="2989"/>
      <c r="M158" s="3271" t="s">
        <v>34</v>
      </c>
      <c r="N158" s="3272"/>
      <c r="O158" s="46">
        <v>105252.24999999999</v>
      </c>
      <c r="P158" s="46">
        <v>95961.340909090897</v>
      </c>
      <c r="Q158" s="46">
        <v>98761.340909090897</v>
      </c>
      <c r="R158" s="46">
        <v>96641.340909090897</v>
      </c>
      <c r="S158" s="46">
        <v>104070.3409090909</v>
      </c>
      <c r="T158" s="46">
        <v>94921.340909090897</v>
      </c>
      <c r="U158" s="46">
        <v>110025.8409090909</v>
      </c>
      <c r="V158" s="46">
        <v>94921.340909090897</v>
      </c>
      <c r="W158" s="46">
        <v>94681.340909090897</v>
      </c>
      <c r="X158" s="46">
        <v>99765.840909090897</v>
      </c>
      <c r="Y158" s="46">
        <v>94681.340909090897</v>
      </c>
      <c r="Z158" s="46">
        <v>104321.3409090909</v>
      </c>
      <c r="AA158" s="966">
        <f t="shared" si="19"/>
        <v>1194005</v>
      </c>
      <c r="AB158" s="35"/>
      <c r="AC158" s="183"/>
    </row>
    <row r="159" spans="1:29" ht="11.25" customHeight="1" x14ac:dyDescent="0.2">
      <c r="A159" s="179"/>
      <c r="B159" s="2522">
        <v>5004429</v>
      </c>
      <c r="C159" s="3268" t="s">
        <v>3037</v>
      </c>
      <c r="D159" s="3300">
        <v>6</v>
      </c>
      <c r="E159" s="3300" t="s">
        <v>288</v>
      </c>
      <c r="F159" s="3300" t="s">
        <v>313</v>
      </c>
      <c r="G159" s="3300" t="s">
        <v>329</v>
      </c>
      <c r="H159" s="3300" t="s">
        <v>346</v>
      </c>
      <c r="I159" s="3300" t="s">
        <v>338</v>
      </c>
      <c r="J159" s="3300">
        <v>774</v>
      </c>
      <c r="K159" s="70">
        <v>105000</v>
      </c>
      <c r="L159" s="3294" t="s">
        <v>336</v>
      </c>
      <c r="M159" s="3287" t="s">
        <v>293</v>
      </c>
      <c r="N159" s="3288"/>
      <c r="O159" s="93">
        <v>8750</v>
      </c>
      <c r="P159" s="93">
        <v>8750</v>
      </c>
      <c r="Q159" s="93">
        <v>8750</v>
      </c>
      <c r="R159" s="93">
        <v>8750</v>
      </c>
      <c r="S159" s="93">
        <v>8750</v>
      </c>
      <c r="T159" s="67">
        <v>8750</v>
      </c>
      <c r="U159" s="67">
        <v>8750</v>
      </c>
      <c r="V159" s="67">
        <v>8750</v>
      </c>
      <c r="W159" s="67">
        <v>8750</v>
      </c>
      <c r="X159" s="67">
        <v>8750</v>
      </c>
      <c r="Y159" s="67">
        <v>8750</v>
      </c>
      <c r="Z159" s="67">
        <v>8750</v>
      </c>
      <c r="AA159" s="966">
        <f t="shared" si="19"/>
        <v>105000</v>
      </c>
      <c r="AB159" s="35"/>
      <c r="AC159" s="183"/>
    </row>
    <row r="160" spans="1:29" x14ac:dyDescent="0.2">
      <c r="A160" s="179"/>
      <c r="B160" s="2522"/>
      <c r="C160" s="3269"/>
      <c r="D160" s="3300"/>
      <c r="E160" s="3300"/>
      <c r="F160" s="3300"/>
      <c r="G160" s="3300"/>
      <c r="H160" s="3300"/>
      <c r="I160" s="3300"/>
      <c r="J160" s="3300"/>
      <c r="K160" s="70">
        <v>592928</v>
      </c>
      <c r="L160" s="3295"/>
      <c r="M160" s="3287" t="s">
        <v>295</v>
      </c>
      <c r="N160" s="3288"/>
      <c r="O160" s="93">
        <v>49410.666666666664</v>
      </c>
      <c r="P160" s="93">
        <v>49410.666666666664</v>
      </c>
      <c r="Q160" s="93">
        <v>49410.666666666664</v>
      </c>
      <c r="R160" s="93">
        <v>49410.666666666664</v>
      </c>
      <c r="S160" s="93">
        <v>49410.666666666664</v>
      </c>
      <c r="T160" s="67">
        <v>49410.666666666664</v>
      </c>
      <c r="U160" s="67">
        <v>49410.666666666664</v>
      </c>
      <c r="V160" s="67">
        <v>49410.666666666664</v>
      </c>
      <c r="W160" s="67">
        <v>49410.666666666664</v>
      </c>
      <c r="X160" s="67">
        <v>49410.666666666664</v>
      </c>
      <c r="Y160" s="67">
        <v>49410.666666666664</v>
      </c>
      <c r="Z160" s="67">
        <v>49410.666666666664</v>
      </c>
      <c r="AA160" s="966">
        <f t="shared" si="19"/>
        <v>592928</v>
      </c>
      <c r="AB160" s="35"/>
      <c r="AC160" s="183"/>
    </row>
    <row r="161" spans="1:29" x14ac:dyDescent="0.2">
      <c r="A161" s="179"/>
      <c r="B161" s="2522"/>
      <c r="C161" s="3269"/>
      <c r="D161" s="3300"/>
      <c r="E161" s="3300"/>
      <c r="F161" s="3300"/>
      <c r="G161" s="3300"/>
      <c r="H161" s="3300"/>
      <c r="I161" s="3300"/>
      <c r="J161" s="3300"/>
      <c r="K161" s="70">
        <v>90168</v>
      </c>
      <c r="L161" s="3295"/>
      <c r="M161" s="3287" t="s">
        <v>332</v>
      </c>
      <c r="N161" s="3288"/>
      <c r="O161" s="93">
        <v>7514</v>
      </c>
      <c r="P161" s="93">
        <v>7514</v>
      </c>
      <c r="Q161" s="93">
        <v>7514</v>
      </c>
      <c r="R161" s="93">
        <v>7514</v>
      </c>
      <c r="S161" s="93">
        <v>7514</v>
      </c>
      <c r="T161" s="67">
        <v>7514</v>
      </c>
      <c r="U161" s="67">
        <v>7514</v>
      </c>
      <c r="V161" s="67">
        <v>7514</v>
      </c>
      <c r="W161" s="67">
        <v>7514</v>
      </c>
      <c r="X161" s="67">
        <v>7514</v>
      </c>
      <c r="Y161" s="67">
        <v>7514</v>
      </c>
      <c r="Z161" s="67">
        <v>7514</v>
      </c>
      <c r="AA161" s="966">
        <f t="shared" si="19"/>
        <v>90168</v>
      </c>
      <c r="AB161" s="35"/>
      <c r="AC161" s="183"/>
    </row>
    <row r="162" spans="1:29" x14ac:dyDescent="0.2">
      <c r="A162" s="179"/>
      <c r="B162" s="2522"/>
      <c r="C162" s="3269"/>
      <c r="D162" s="3300"/>
      <c r="E162" s="3300"/>
      <c r="F162" s="3300"/>
      <c r="G162" s="3300"/>
      <c r="H162" s="3300"/>
      <c r="I162" s="3300"/>
      <c r="J162" s="3300"/>
      <c r="K162" s="70">
        <v>101733</v>
      </c>
      <c r="L162" s="3295"/>
      <c r="M162" s="3287" t="s">
        <v>296</v>
      </c>
      <c r="N162" s="3288"/>
      <c r="O162" s="93">
        <v>8477.75</v>
      </c>
      <c r="P162" s="93">
        <v>8477.75</v>
      </c>
      <c r="Q162" s="93">
        <v>8477.75</v>
      </c>
      <c r="R162" s="93">
        <v>8477.75</v>
      </c>
      <c r="S162" s="93">
        <v>8477.75</v>
      </c>
      <c r="T162" s="67">
        <v>8477.75</v>
      </c>
      <c r="U162" s="67">
        <v>8477.75</v>
      </c>
      <c r="V162" s="67">
        <v>8477.75</v>
      </c>
      <c r="W162" s="67">
        <v>8477.75</v>
      </c>
      <c r="X162" s="67">
        <v>8477.75</v>
      </c>
      <c r="Y162" s="67">
        <v>8477.75</v>
      </c>
      <c r="Z162" s="67">
        <v>8477.75</v>
      </c>
      <c r="AA162" s="966">
        <f t="shared" si="19"/>
        <v>101733</v>
      </c>
      <c r="AB162" s="35"/>
      <c r="AC162" s="183"/>
    </row>
    <row r="163" spans="1:29" x14ac:dyDescent="0.2">
      <c r="A163" s="179"/>
      <c r="B163" s="2522"/>
      <c r="C163" s="3269"/>
      <c r="D163" s="3300"/>
      <c r="E163" s="3300"/>
      <c r="F163" s="3300"/>
      <c r="G163" s="3300"/>
      <c r="H163" s="3300"/>
      <c r="I163" s="3300"/>
      <c r="J163" s="3300"/>
      <c r="K163" s="70">
        <v>18897</v>
      </c>
      <c r="L163" s="3295"/>
      <c r="M163" s="3287" t="s">
        <v>297</v>
      </c>
      <c r="N163" s="3288"/>
      <c r="O163" s="93">
        <v>1574.75</v>
      </c>
      <c r="P163" s="93">
        <v>1574.75</v>
      </c>
      <c r="Q163" s="93">
        <v>1574.75</v>
      </c>
      <c r="R163" s="93">
        <v>1574.75</v>
      </c>
      <c r="S163" s="93">
        <v>1574.75</v>
      </c>
      <c r="T163" s="67">
        <v>1574.75</v>
      </c>
      <c r="U163" s="67">
        <v>1574.75</v>
      </c>
      <c r="V163" s="67">
        <v>1574.75</v>
      </c>
      <c r="W163" s="67">
        <v>1574.75</v>
      </c>
      <c r="X163" s="67">
        <v>1574.75</v>
      </c>
      <c r="Y163" s="67">
        <v>1574.75</v>
      </c>
      <c r="Z163" s="67">
        <v>1574.75</v>
      </c>
      <c r="AA163" s="966">
        <f t="shared" si="19"/>
        <v>18897</v>
      </c>
      <c r="AB163" s="35"/>
      <c r="AC163" s="183"/>
    </row>
    <row r="164" spans="1:29" x14ac:dyDescent="0.2">
      <c r="A164" s="179"/>
      <c r="B164" s="2522"/>
      <c r="C164" s="3269"/>
      <c r="D164" s="3300"/>
      <c r="E164" s="3300"/>
      <c r="F164" s="3300"/>
      <c r="G164" s="3300"/>
      <c r="H164" s="3300"/>
      <c r="I164" s="3300"/>
      <c r="J164" s="3300"/>
      <c r="K164" s="70">
        <v>18800</v>
      </c>
      <c r="L164" s="3295"/>
      <c r="M164" s="3287" t="s">
        <v>298</v>
      </c>
      <c r="N164" s="3288"/>
      <c r="O164" s="93"/>
      <c r="P164" s="93"/>
      <c r="Q164" s="93"/>
      <c r="R164" s="93"/>
      <c r="S164" s="93"/>
      <c r="T164" s="67"/>
      <c r="U164" s="67">
        <v>9400</v>
      </c>
      <c r="V164" s="67"/>
      <c r="W164" s="67"/>
      <c r="X164" s="67"/>
      <c r="Y164" s="67"/>
      <c r="Z164" s="67">
        <v>9400</v>
      </c>
      <c r="AA164" s="966">
        <f t="shared" si="19"/>
        <v>18800</v>
      </c>
      <c r="AB164" s="35"/>
      <c r="AC164" s="183"/>
    </row>
    <row r="165" spans="1:29" x14ac:dyDescent="0.2">
      <c r="A165" s="179"/>
      <c r="B165" s="2522"/>
      <c r="C165" s="3269"/>
      <c r="D165" s="3300"/>
      <c r="E165" s="3300"/>
      <c r="F165" s="3300"/>
      <c r="G165" s="3300"/>
      <c r="H165" s="3300"/>
      <c r="I165" s="3300"/>
      <c r="J165" s="3300"/>
      <c r="K165" s="70">
        <v>13200</v>
      </c>
      <c r="L165" s="3295"/>
      <c r="M165" s="3287" t="s">
        <v>299</v>
      </c>
      <c r="N165" s="3288"/>
      <c r="O165" s="93">
        <v>13200</v>
      </c>
      <c r="P165" s="93"/>
      <c r="Q165" s="93"/>
      <c r="R165" s="93"/>
      <c r="S165" s="93"/>
      <c r="T165" s="67"/>
      <c r="U165" s="67"/>
      <c r="V165" s="67"/>
      <c r="W165" s="67"/>
      <c r="X165" s="67"/>
      <c r="Y165" s="67"/>
      <c r="Z165" s="67"/>
      <c r="AA165" s="966">
        <f t="shared" si="19"/>
        <v>13200</v>
      </c>
      <c r="AB165" s="35"/>
      <c r="AC165" s="183"/>
    </row>
    <row r="166" spans="1:29" x14ac:dyDescent="0.2">
      <c r="A166" s="179"/>
      <c r="B166" s="2522"/>
      <c r="C166" s="3269"/>
      <c r="D166" s="3300"/>
      <c r="E166" s="3300"/>
      <c r="F166" s="3300"/>
      <c r="G166" s="3300"/>
      <c r="H166" s="3300"/>
      <c r="I166" s="3300"/>
      <c r="J166" s="3300"/>
      <c r="K166" s="70">
        <v>45160</v>
      </c>
      <c r="L166" s="3295"/>
      <c r="M166" s="3287" t="s">
        <v>339</v>
      </c>
      <c r="N166" s="3288"/>
      <c r="O166" s="93">
        <v>3763.3333333333335</v>
      </c>
      <c r="P166" s="93">
        <v>3763.3333333333335</v>
      </c>
      <c r="Q166" s="93">
        <v>3763.3333333333335</v>
      </c>
      <c r="R166" s="93">
        <v>3763.3333333333335</v>
      </c>
      <c r="S166" s="93">
        <v>3763.3333333333335</v>
      </c>
      <c r="T166" s="67">
        <v>3763.3333333333335</v>
      </c>
      <c r="U166" s="67">
        <v>3763.3333333333335</v>
      </c>
      <c r="V166" s="67">
        <v>3763.3333333333335</v>
      </c>
      <c r="W166" s="67">
        <v>3763.3333333333335</v>
      </c>
      <c r="X166" s="67">
        <v>3763.3333333333335</v>
      </c>
      <c r="Y166" s="67">
        <v>3763.3333333333335</v>
      </c>
      <c r="Z166" s="67">
        <v>3763.3333333333335</v>
      </c>
      <c r="AA166" s="966">
        <f t="shared" si="19"/>
        <v>45160.000000000007</v>
      </c>
      <c r="AB166" s="35"/>
      <c r="AC166" s="183"/>
    </row>
    <row r="167" spans="1:29" x14ac:dyDescent="0.2">
      <c r="A167" s="179"/>
      <c r="B167" s="2522"/>
      <c r="C167" s="3269"/>
      <c r="D167" s="3300"/>
      <c r="E167" s="3300"/>
      <c r="F167" s="3300"/>
      <c r="G167" s="3300"/>
      <c r="H167" s="3300"/>
      <c r="I167" s="3300"/>
      <c r="J167" s="3300"/>
      <c r="K167" s="70">
        <v>44938</v>
      </c>
      <c r="L167" s="3295"/>
      <c r="M167" s="3287" t="s">
        <v>300</v>
      </c>
      <c r="N167" s="3288"/>
      <c r="O167" s="93">
        <v>3744.8333333333335</v>
      </c>
      <c r="P167" s="93">
        <v>3744.8333333333335</v>
      </c>
      <c r="Q167" s="93">
        <v>3744.8333333333335</v>
      </c>
      <c r="R167" s="93">
        <v>3744.8333333333335</v>
      </c>
      <c r="S167" s="93">
        <v>3744.8333333333335</v>
      </c>
      <c r="T167" s="67">
        <v>3744.8333333333335</v>
      </c>
      <c r="U167" s="67">
        <v>3744.8333333333335</v>
      </c>
      <c r="V167" s="67">
        <v>3744.8333333333335</v>
      </c>
      <c r="W167" s="67">
        <v>3744.8333333333335</v>
      </c>
      <c r="X167" s="67">
        <v>3744.8333333333335</v>
      </c>
      <c r="Y167" s="67">
        <v>3744.8333333333335</v>
      </c>
      <c r="Z167" s="67">
        <v>3744.8333333333335</v>
      </c>
      <c r="AA167" s="966">
        <f t="shared" si="19"/>
        <v>44938.000000000007</v>
      </c>
      <c r="AB167" s="35"/>
      <c r="AC167" s="183"/>
    </row>
    <row r="168" spans="1:29" x14ac:dyDescent="0.2">
      <c r="A168" s="179"/>
      <c r="B168" s="2522"/>
      <c r="C168" s="3269"/>
      <c r="D168" s="3300"/>
      <c r="E168" s="3300"/>
      <c r="F168" s="3300"/>
      <c r="G168" s="3300"/>
      <c r="H168" s="3300"/>
      <c r="I168" s="3300"/>
      <c r="J168" s="3300"/>
      <c r="K168" s="70">
        <v>1856</v>
      </c>
      <c r="L168" s="3295"/>
      <c r="M168" s="3287" t="s">
        <v>301</v>
      </c>
      <c r="N168" s="3288"/>
      <c r="O168" s="93">
        <v>154.66666666666666</v>
      </c>
      <c r="P168" s="93">
        <v>154.66666666666666</v>
      </c>
      <c r="Q168" s="93">
        <v>154.66666666666666</v>
      </c>
      <c r="R168" s="93">
        <v>154.66666666666666</v>
      </c>
      <c r="S168" s="93">
        <v>154.66666666666666</v>
      </c>
      <c r="T168" s="67">
        <v>154.66666666666666</v>
      </c>
      <c r="U168" s="67">
        <v>154.66666666666666</v>
      </c>
      <c r="V168" s="67">
        <v>154.66666666666666</v>
      </c>
      <c r="W168" s="67">
        <v>154.66666666666666</v>
      </c>
      <c r="X168" s="67">
        <v>154.66666666666666</v>
      </c>
      <c r="Y168" s="67">
        <v>154.66666666666666</v>
      </c>
      <c r="Z168" s="67">
        <v>154.66666666666666</v>
      </c>
      <c r="AA168" s="966">
        <f t="shared" si="19"/>
        <v>1856.0000000000002</v>
      </c>
      <c r="AB168" s="35"/>
      <c r="AC168" s="183"/>
    </row>
    <row r="169" spans="1:29" x14ac:dyDescent="0.2">
      <c r="A169" s="179"/>
      <c r="B169" s="2522"/>
      <c r="C169" s="3269"/>
      <c r="D169" s="3300"/>
      <c r="E169" s="3300"/>
      <c r="F169" s="3300"/>
      <c r="G169" s="3300"/>
      <c r="H169" s="3300"/>
      <c r="I169" s="3300"/>
      <c r="J169" s="3300"/>
      <c r="K169" s="70">
        <v>3500</v>
      </c>
      <c r="L169" s="3295"/>
      <c r="M169" s="3287" t="s">
        <v>302</v>
      </c>
      <c r="N169" s="3288"/>
      <c r="O169" s="93"/>
      <c r="P169" s="93"/>
      <c r="Q169" s="93"/>
      <c r="R169" s="93"/>
      <c r="S169" s="93">
        <v>3500</v>
      </c>
      <c r="T169" s="67"/>
      <c r="U169" s="67"/>
      <c r="V169" s="67"/>
      <c r="W169" s="67"/>
      <c r="X169" s="67"/>
      <c r="Y169" s="67"/>
      <c r="Z169" s="67"/>
      <c r="AA169" s="966">
        <f t="shared" si="19"/>
        <v>3500</v>
      </c>
      <c r="AB169" s="35"/>
      <c r="AC169" s="183"/>
    </row>
    <row r="170" spans="1:29" x14ac:dyDescent="0.2">
      <c r="A170" s="179"/>
      <c r="B170" s="2522"/>
      <c r="C170" s="3269"/>
      <c r="D170" s="3300"/>
      <c r="E170" s="3300"/>
      <c r="F170" s="3300"/>
      <c r="G170" s="3300"/>
      <c r="H170" s="3300"/>
      <c r="I170" s="3300"/>
      <c r="J170" s="3300"/>
      <c r="K170" s="70">
        <v>1500</v>
      </c>
      <c r="L170" s="3295"/>
      <c r="M170" s="3287" t="s">
        <v>303</v>
      </c>
      <c r="N170" s="3288"/>
      <c r="O170" s="93"/>
      <c r="P170" s="93"/>
      <c r="Q170" s="93">
        <v>1500</v>
      </c>
      <c r="R170" s="93"/>
      <c r="S170" s="93"/>
      <c r="T170" s="67"/>
      <c r="U170" s="67"/>
      <c r="V170" s="67"/>
      <c r="W170" s="67"/>
      <c r="X170" s="67"/>
      <c r="Y170" s="67"/>
      <c r="Z170" s="67"/>
      <c r="AA170" s="966">
        <f t="shared" si="19"/>
        <v>1500</v>
      </c>
      <c r="AB170" s="35"/>
      <c r="AC170" s="183"/>
    </row>
    <row r="171" spans="1:29" x14ac:dyDescent="0.2">
      <c r="A171" s="179"/>
      <c r="B171" s="2522"/>
      <c r="C171" s="3269"/>
      <c r="D171" s="3300"/>
      <c r="E171" s="3300"/>
      <c r="F171" s="3300"/>
      <c r="G171" s="3300"/>
      <c r="H171" s="3300"/>
      <c r="I171" s="3300"/>
      <c r="J171" s="3300"/>
      <c r="K171" s="70">
        <v>6000</v>
      </c>
      <c r="L171" s="3295"/>
      <c r="M171" s="3287" t="s">
        <v>324</v>
      </c>
      <c r="N171" s="3288"/>
      <c r="O171" s="93"/>
      <c r="P171" s="93">
        <v>3000</v>
      </c>
      <c r="Q171" s="93"/>
      <c r="R171" s="93"/>
      <c r="S171" s="93"/>
      <c r="T171" s="67"/>
      <c r="U171" s="67">
        <v>3000</v>
      </c>
      <c r="V171" s="67"/>
      <c r="W171" s="67"/>
      <c r="X171" s="67"/>
      <c r="Y171" s="67"/>
      <c r="Z171" s="67"/>
      <c r="AA171" s="966">
        <f t="shared" si="19"/>
        <v>6000</v>
      </c>
      <c r="AB171" s="35"/>
      <c r="AC171" s="183"/>
    </row>
    <row r="172" spans="1:29" x14ac:dyDescent="0.2">
      <c r="A172" s="179"/>
      <c r="B172" s="2522"/>
      <c r="C172" s="3269"/>
      <c r="D172" s="3300"/>
      <c r="E172" s="3300"/>
      <c r="F172" s="3300"/>
      <c r="G172" s="3300"/>
      <c r="H172" s="3300"/>
      <c r="I172" s="3300"/>
      <c r="J172" s="3300"/>
      <c r="K172" s="70">
        <v>1000</v>
      </c>
      <c r="L172" s="3295"/>
      <c r="M172" s="3287" t="s">
        <v>347</v>
      </c>
      <c r="N172" s="3288"/>
      <c r="O172" s="93"/>
      <c r="P172" s="93"/>
      <c r="Q172" s="93">
        <v>1000</v>
      </c>
      <c r="R172" s="93"/>
      <c r="S172" s="93"/>
      <c r="T172" s="67"/>
      <c r="U172" s="67"/>
      <c r="V172" s="67"/>
      <c r="W172" s="67"/>
      <c r="X172" s="67"/>
      <c r="Y172" s="67"/>
      <c r="Z172" s="67"/>
      <c r="AA172" s="966">
        <f t="shared" si="19"/>
        <v>1000</v>
      </c>
      <c r="AB172" s="35"/>
      <c r="AC172" s="183"/>
    </row>
    <row r="173" spans="1:29" x14ac:dyDescent="0.2">
      <c r="A173" s="179"/>
      <c r="B173" s="2522"/>
      <c r="C173" s="3269"/>
      <c r="D173" s="3300"/>
      <c r="E173" s="3300"/>
      <c r="F173" s="3300"/>
      <c r="G173" s="3300"/>
      <c r="H173" s="3300"/>
      <c r="I173" s="3300"/>
      <c r="J173" s="3300"/>
      <c r="K173" s="70">
        <v>200</v>
      </c>
      <c r="L173" s="3295"/>
      <c r="M173" s="3287" t="s">
        <v>342</v>
      </c>
      <c r="N173" s="3288"/>
      <c r="O173" s="93"/>
      <c r="P173" s="93"/>
      <c r="Q173" s="93">
        <v>200</v>
      </c>
      <c r="R173" s="93"/>
      <c r="S173" s="93"/>
      <c r="T173" s="67"/>
      <c r="U173" s="67"/>
      <c r="V173" s="67"/>
      <c r="W173" s="67"/>
      <c r="X173" s="67"/>
      <c r="Y173" s="67"/>
      <c r="Z173" s="67"/>
      <c r="AA173" s="966">
        <f t="shared" si="19"/>
        <v>200</v>
      </c>
      <c r="AB173" s="35"/>
      <c r="AC173" s="183"/>
    </row>
    <row r="174" spans="1:29" x14ac:dyDescent="0.2">
      <c r="A174" s="179"/>
      <c r="B174" s="2522"/>
      <c r="C174" s="3269"/>
      <c r="D174" s="3300"/>
      <c r="E174" s="3300"/>
      <c r="F174" s="3300"/>
      <c r="G174" s="3300"/>
      <c r="H174" s="3300"/>
      <c r="I174" s="3300"/>
      <c r="J174" s="3300"/>
      <c r="K174" s="70">
        <v>3800</v>
      </c>
      <c r="L174" s="3295"/>
      <c r="M174" s="3287" t="s">
        <v>348</v>
      </c>
      <c r="N174" s="3288"/>
      <c r="O174" s="93"/>
      <c r="P174" s="93"/>
      <c r="Q174" s="93">
        <v>1900</v>
      </c>
      <c r="R174" s="93"/>
      <c r="S174" s="93"/>
      <c r="T174" s="67"/>
      <c r="U174" s="67"/>
      <c r="V174" s="67"/>
      <c r="W174" s="67"/>
      <c r="X174" s="67">
        <v>1900</v>
      </c>
      <c r="Y174" s="67"/>
      <c r="Z174" s="67"/>
      <c r="AA174" s="966">
        <f t="shared" si="19"/>
        <v>3800</v>
      </c>
      <c r="AB174" s="35"/>
      <c r="AC174" s="183"/>
    </row>
    <row r="175" spans="1:29" x14ac:dyDescent="0.2">
      <c r="A175" s="179"/>
      <c r="B175" s="2522"/>
      <c r="C175" s="3269"/>
      <c r="D175" s="3300"/>
      <c r="E175" s="3300"/>
      <c r="F175" s="3300"/>
      <c r="G175" s="3300"/>
      <c r="H175" s="3300"/>
      <c r="I175" s="3300"/>
      <c r="J175" s="3300"/>
      <c r="K175" s="70">
        <v>12900</v>
      </c>
      <c r="L175" s="3295"/>
      <c r="M175" s="3287" t="s">
        <v>343</v>
      </c>
      <c r="N175" s="3288"/>
      <c r="O175" s="93"/>
      <c r="P175" s="93"/>
      <c r="Q175" s="93"/>
      <c r="R175" s="93">
        <v>2580</v>
      </c>
      <c r="S175" s="93">
        <v>1720</v>
      </c>
      <c r="T175" s="67">
        <v>860</v>
      </c>
      <c r="U175" s="67">
        <v>1720</v>
      </c>
      <c r="V175" s="67">
        <v>860</v>
      </c>
      <c r="W175" s="67">
        <v>1720</v>
      </c>
      <c r="X175" s="67">
        <v>860</v>
      </c>
      <c r="Y175" s="67">
        <v>1720</v>
      </c>
      <c r="Z175" s="67">
        <v>860</v>
      </c>
      <c r="AA175" s="966">
        <f t="shared" si="19"/>
        <v>12900</v>
      </c>
      <c r="AB175" s="35"/>
      <c r="AC175" s="183"/>
    </row>
    <row r="176" spans="1:29" x14ac:dyDescent="0.2">
      <c r="A176" s="179"/>
      <c r="B176" s="2522"/>
      <c r="C176" s="3269"/>
      <c r="D176" s="3300"/>
      <c r="E176" s="3300"/>
      <c r="F176" s="3300"/>
      <c r="G176" s="3300"/>
      <c r="H176" s="3300"/>
      <c r="I176" s="3300"/>
      <c r="J176" s="3300"/>
      <c r="K176" s="70">
        <v>500</v>
      </c>
      <c r="L176" s="3295"/>
      <c r="M176" s="3287" t="s">
        <v>304</v>
      </c>
      <c r="N176" s="3288"/>
      <c r="O176" s="93"/>
      <c r="P176" s="93"/>
      <c r="Q176" s="93">
        <v>500</v>
      </c>
      <c r="R176" s="93"/>
      <c r="S176" s="93"/>
      <c r="T176" s="67"/>
      <c r="U176" s="67"/>
      <c r="V176" s="67"/>
      <c r="W176" s="67"/>
      <c r="X176" s="67"/>
      <c r="Y176" s="67"/>
      <c r="Z176" s="67"/>
      <c r="AA176" s="966">
        <f t="shared" si="19"/>
        <v>500</v>
      </c>
      <c r="AB176" s="35"/>
      <c r="AC176" s="183"/>
    </row>
    <row r="177" spans="1:29" x14ac:dyDescent="0.2">
      <c r="A177" s="179"/>
      <c r="B177" s="2522"/>
      <c r="C177" s="3269"/>
      <c r="D177" s="3300"/>
      <c r="E177" s="3300"/>
      <c r="F177" s="3300"/>
      <c r="G177" s="3300"/>
      <c r="H177" s="3300"/>
      <c r="I177" s="3300"/>
      <c r="J177" s="3300"/>
      <c r="K177" s="70">
        <v>1200</v>
      </c>
      <c r="L177" s="3295"/>
      <c r="M177" s="3287" t="s">
        <v>305</v>
      </c>
      <c r="N177" s="3288"/>
      <c r="O177" s="93"/>
      <c r="P177" s="93"/>
      <c r="Q177" s="93"/>
      <c r="R177" s="93"/>
      <c r="S177" s="93">
        <v>600</v>
      </c>
      <c r="T177" s="67"/>
      <c r="U177" s="67">
        <v>300</v>
      </c>
      <c r="V177" s="67"/>
      <c r="W177" s="67"/>
      <c r="X177" s="67">
        <v>300</v>
      </c>
      <c r="Y177" s="67"/>
      <c r="Z177" s="67"/>
      <c r="AA177" s="966">
        <f>SUM(O177:Z177)</f>
        <v>1200</v>
      </c>
      <c r="AB177" s="35"/>
      <c r="AC177" s="183"/>
    </row>
    <row r="178" spans="1:29" x14ac:dyDescent="0.2">
      <c r="A178" s="179"/>
      <c r="B178" s="2522"/>
      <c r="C178" s="3269"/>
      <c r="D178" s="3300"/>
      <c r="E178" s="3300"/>
      <c r="F178" s="3300"/>
      <c r="G178" s="3300"/>
      <c r="H178" s="3300"/>
      <c r="I178" s="3300"/>
      <c r="J178" s="3300"/>
      <c r="K178" s="70">
        <v>10578</v>
      </c>
      <c r="L178" s="3295"/>
      <c r="M178" s="3287" t="s">
        <v>306</v>
      </c>
      <c r="N178" s="3288"/>
      <c r="O178" s="93"/>
      <c r="P178" s="93"/>
      <c r="Q178" s="93"/>
      <c r="R178" s="93"/>
      <c r="S178" s="93">
        <v>5289</v>
      </c>
      <c r="T178" s="67"/>
      <c r="U178" s="67">
        <v>2644.5</v>
      </c>
      <c r="V178" s="67"/>
      <c r="W178" s="67"/>
      <c r="X178" s="67">
        <v>2644.5</v>
      </c>
      <c r="Y178" s="67"/>
      <c r="Z178" s="67"/>
      <c r="AA178" s="966">
        <f t="shared" si="19"/>
        <v>10578</v>
      </c>
      <c r="AB178" s="35"/>
      <c r="AC178" s="183"/>
    </row>
    <row r="179" spans="1:29" x14ac:dyDescent="0.2">
      <c r="A179" s="179"/>
      <c r="B179" s="2522"/>
      <c r="C179" s="3269"/>
      <c r="D179" s="3300"/>
      <c r="E179" s="3300"/>
      <c r="F179" s="3300"/>
      <c r="G179" s="3300"/>
      <c r="H179" s="3300"/>
      <c r="I179" s="3300"/>
      <c r="J179" s="3300"/>
      <c r="K179" s="70">
        <v>10000</v>
      </c>
      <c r="L179" s="3295"/>
      <c r="M179" s="3287" t="s">
        <v>307</v>
      </c>
      <c r="N179" s="3288"/>
      <c r="O179" s="93"/>
      <c r="P179" s="93">
        <v>909.09090909090912</v>
      </c>
      <c r="Q179" s="93">
        <v>909.09090909090912</v>
      </c>
      <c r="R179" s="93">
        <v>909.09090909090912</v>
      </c>
      <c r="S179" s="93">
        <v>909.09090909090912</v>
      </c>
      <c r="T179" s="67">
        <v>909.09090909090912</v>
      </c>
      <c r="U179" s="67">
        <v>909.09090909090912</v>
      </c>
      <c r="V179" s="67">
        <v>909.09090909090912</v>
      </c>
      <c r="W179" s="67">
        <v>909.09090909090912</v>
      </c>
      <c r="X179" s="67">
        <v>909.09090909090912</v>
      </c>
      <c r="Y179" s="67">
        <v>909.09090909090912</v>
      </c>
      <c r="Z179" s="67">
        <v>909.09090909090912</v>
      </c>
      <c r="AA179" s="966">
        <f t="shared" si="19"/>
        <v>10000.000000000002</v>
      </c>
      <c r="AB179" s="35"/>
      <c r="AC179" s="183"/>
    </row>
    <row r="180" spans="1:29" x14ac:dyDescent="0.2">
      <c r="A180" s="179"/>
      <c r="B180" s="2522"/>
      <c r="C180" s="3269"/>
      <c r="D180" s="3300"/>
      <c r="E180" s="3300"/>
      <c r="F180" s="3300"/>
      <c r="G180" s="3300"/>
      <c r="H180" s="3300"/>
      <c r="I180" s="3300"/>
      <c r="J180" s="3300"/>
      <c r="K180" s="70">
        <v>700</v>
      </c>
      <c r="L180" s="3295"/>
      <c r="M180" s="3287" t="s">
        <v>349</v>
      </c>
      <c r="N180" s="3288"/>
      <c r="O180" s="93"/>
      <c r="P180" s="93"/>
      <c r="Q180" s="93">
        <v>700</v>
      </c>
      <c r="R180" s="93"/>
      <c r="S180" s="93"/>
      <c r="T180" s="67"/>
      <c r="U180" s="67"/>
      <c r="V180" s="67"/>
      <c r="W180" s="67"/>
      <c r="X180" s="67"/>
      <c r="Y180" s="67"/>
      <c r="Z180" s="67"/>
      <c r="AA180" s="966">
        <f t="shared" si="19"/>
        <v>700</v>
      </c>
      <c r="AB180" s="35"/>
      <c r="AC180" s="183"/>
    </row>
    <row r="181" spans="1:29" x14ac:dyDescent="0.2">
      <c r="A181" s="179"/>
      <c r="B181" s="2522"/>
      <c r="C181" s="3269"/>
      <c r="D181" s="3300"/>
      <c r="E181" s="3300"/>
      <c r="F181" s="3300"/>
      <c r="G181" s="3300"/>
      <c r="H181" s="3300"/>
      <c r="I181" s="3300"/>
      <c r="J181" s="3300"/>
      <c r="K181" s="70">
        <v>5500</v>
      </c>
      <c r="L181" s="3295"/>
      <c r="M181" s="3287" t="s">
        <v>309</v>
      </c>
      <c r="N181" s="3288"/>
      <c r="O181" s="93"/>
      <c r="P181" s="93"/>
      <c r="Q181" s="93"/>
      <c r="R181" s="93">
        <v>1100</v>
      </c>
      <c r="S181" s="93"/>
      <c r="T181" s="67">
        <v>1100</v>
      </c>
      <c r="U181" s="67"/>
      <c r="V181" s="67">
        <v>1100</v>
      </c>
      <c r="W181" s="67"/>
      <c r="X181" s="67">
        <v>1100</v>
      </c>
      <c r="Y181" s="67"/>
      <c r="Z181" s="67">
        <v>1100</v>
      </c>
      <c r="AA181" s="966">
        <f t="shared" si="19"/>
        <v>5500</v>
      </c>
      <c r="AB181" s="35"/>
      <c r="AC181" s="183"/>
    </row>
    <row r="182" spans="1:29" x14ac:dyDescent="0.2">
      <c r="A182" s="179"/>
      <c r="B182" s="2522"/>
      <c r="C182" s="3269"/>
      <c r="D182" s="3300"/>
      <c r="E182" s="3300"/>
      <c r="F182" s="3300"/>
      <c r="G182" s="3300"/>
      <c r="H182" s="3300"/>
      <c r="I182" s="3300"/>
      <c r="J182" s="3300"/>
      <c r="K182" s="70">
        <v>95658</v>
      </c>
      <c r="L182" s="3295"/>
      <c r="M182" s="3287" t="s">
        <v>310</v>
      </c>
      <c r="N182" s="3288"/>
      <c r="O182" s="93">
        <v>7971.5</v>
      </c>
      <c r="P182" s="93">
        <v>7971.5</v>
      </c>
      <c r="Q182" s="93">
        <v>7971.5</v>
      </c>
      <c r="R182" s="93">
        <v>7971.5</v>
      </c>
      <c r="S182" s="93">
        <v>7971.5</v>
      </c>
      <c r="T182" s="67">
        <v>7971.5</v>
      </c>
      <c r="U182" s="67">
        <v>7971.5</v>
      </c>
      <c r="V182" s="67">
        <v>7971.5</v>
      </c>
      <c r="W182" s="67">
        <v>7971.5</v>
      </c>
      <c r="X182" s="67">
        <v>7971.5</v>
      </c>
      <c r="Y182" s="67">
        <v>7971.5</v>
      </c>
      <c r="Z182" s="67">
        <v>7971.5</v>
      </c>
      <c r="AA182" s="966">
        <f t="shared" si="19"/>
        <v>95658</v>
      </c>
      <c r="AB182" s="35"/>
      <c r="AC182" s="183"/>
    </row>
    <row r="183" spans="1:29" x14ac:dyDescent="0.2">
      <c r="A183" s="179"/>
      <c r="B183" s="2522"/>
      <c r="C183" s="3270"/>
      <c r="D183" s="3300"/>
      <c r="E183" s="3300"/>
      <c r="F183" s="3300"/>
      <c r="G183" s="3300"/>
      <c r="H183" s="3300"/>
      <c r="I183" s="3300"/>
      <c r="J183" s="3300"/>
      <c r="K183" s="70">
        <v>8289</v>
      </c>
      <c r="L183" s="3296"/>
      <c r="M183" s="3287" t="s">
        <v>311</v>
      </c>
      <c r="N183" s="3288"/>
      <c r="O183" s="93">
        <v>690.75</v>
      </c>
      <c r="P183" s="93">
        <v>690.75</v>
      </c>
      <c r="Q183" s="93">
        <v>690.75</v>
      </c>
      <c r="R183" s="93">
        <v>690.75</v>
      </c>
      <c r="S183" s="93">
        <v>690.75</v>
      </c>
      <c r="T183" s="67">
        <v>690.75</v>
      </c>
      <c r="U183" s="67">
        <v>690.75</v>
      </c>
      <c r="V183" s="67">
        <v>690.75</v>
      </c>
      <c r="W183" s="67">
        <v>690.75</v>
      </c>
      <c r="X183" s="67">
        <v>690.75</v>
      </c>
      <c r="Y183" s="67">
        <v>690.75</v>
      </c>
      <c r="Z183" s="67">
        <v>690.75</v>
      </c>
      <c r="AA183" s="966">
        <f t="shared" si="19"/>
        <v>8289</v>
      </c>
      <c r="AB183" s="35"/>
      <c r="AC183" s="183"/>
    </row>
    <row r="184" spans="1:29" x14ac:dyDescent="0.2">
      <c r="A184" s="179"/>
      <c r="B184" s="1420"/>
      <c r="C184" s="99"/>
      <c r="D184" s="99"/>
      <c r="E184" s="99"/>
      <c r="F184" s="99"/>
      <c r="G184" s="99"/>
      <c r="H184" s="99"/>
      <c r="I184" s="99"/>
      <c r="J184" s="99"/>
      <c r="K184" s="187"/>
      <c r="L184" s="188"/>
      <c r="M184" s="188"/>
      <c r="N184" s="188"/>
      <c r="O184" s="188"/>
      <c r="P184" s="188"/>
      <c r="Q184" s="188"/>
      <c r="R184" s="188"/>
      <c r="S184" s="188"/>
      <c r="T184" s="99"/>
      <c r="U184" s="99"/>
      <c r="V184" s="99"/>
      <c r="W184" s="99"/>
      <c r="X184" s="99"/>
      <c r="Y184" s="99"/>
      <c r="Z184" s="99"/>
      <c r="AA184" s="189"/>
      <c r="AB184" s="35"/>
      <c r="AC184" s="183"/>
    </row>
    <row r="185" spans="1:29" x14ac:dyDescent="0.2">
      <c r="A185" s="179"/>
      <c r="B185" s="1421"/>
      <c r="C185" s="35"/>
      <c r="D185" s="35"/>
      <c r="E185" s="35"/>
      <c r="F185" s="35"/>
      <c r="G185" s="35"/>
      <c r="H185" s="35"/>
      <c r="I185" s="35"/>
      <c r="J185" s="35"/>
      <c r="K185" s="60"/>
      <c r="L185" s="60"/>
      <c r="M185" s="60"/>
      <c r="N185" s="60"/>
      <c r="O185" s="60"/>
      <c r="P185" s="60"/>
      <c r="Q185" s="60"/>
      <c r="R185" s="60"/>
      <c r="S185" s="60"/>
      <c r="T185" s="35"/>
      <c r="U185" s="35"/>
      <c r="V185" s="2974" t="s">
        <v>15</v>
      </c>
      <c r="W185" s="2975"/>
      <c r="X185" s="2975"/>
      <c r="Y185" s="2976"/>
      <c r="Z185" s="2974" t="s">
        <v>16</v>
      </c>
      <c r="AA185" s="2976"/>
      <c r="AB185" s="35"/>
      <c r="AC185" s="183"/>
    </row>
    <row r="186" spans="1:29" ht="33.75" customHeight="1" x14ac:dyDescent="0.2">
      <c r="A186" s="179"/>
      <c r="B186" s="1013" t="s">
        <v>276</v>
      </c>
      <c r="C186" s="152"/>
      <c r="D186" s="1115">
        <v>3000733</v>
      </c>
      <c r="E186" s="3277" t="s">
        <v>350</v>
      </c>
      <c r="F186" s="3278"/>
      <c r="G186" s="3278"/>
      <c r="H186" s="3278"/>
      <c r="I186" s="3278"/>
      <c r="J186" s="3278"/>
      <c r="K186" s="3278"/>
      <c r="L186" s="3278"/>
      <c r="M186" s="3278"/>
      <c r="N186" s="3278"/>
      <c r="O186" s="3278"/>
      <c r="P186" s="3278"/>
      <c r="Q186" s="3278"/>
      <c r="R186" s="3278"/>
      <c r="S186" s="3278"/>
      <c r="T186" s="3278"/>
      <c r="U186" s="3279"/>
      <c r="V186" s="3280" t="s">
        <v>351</v>
      </c>
      <c r="W186" s="3281"/>
      <c r="X186" s="3281"/>
      <c r="Y186" s="3282"/>
      <c r="Z186" s="3283" t="s">
        <v>352</v>
      </c>
      <c r="AA186" s="3284"/>
      <c r="AB186" s="35"/>
      <c r="AC186" s="183"/>
    </row>
    <row r="187" spans="1:29" x14ac:dyDescent="0.2">
      <c r="A187" s="179"/>
      <c r="B187" s="2999" t="s">
        <v>278</v>
      </c>
      <c r="C187" s="2988" t="s">
        <v>21</v>
      </c>
      <c r="D187" s="2988" t="s">
        <v>22</v>
      </c>
      <c r="E187" s="2988" t="s">
        <v>23</v>
      </c>
      <c r="F187" s="2988" t="s">
        <v>24</v>
      </c>
      <c r="G187" s="2988" t="s">
        <v>25</v>
      </c>
      <c r="H187" s="2988" t="s">
        <v>26</v>
      </c>
      <c r="I187" s="2988" t="s">
        <v>27</v>
      </c>
      <c r="J187" s="3206" t="s">
        <v>28</v>
      </c>
      <c r="K187" s="3301"/>
      <c r="L187" s="2988" t="s">
        <v>279</v>
      </c>
      <c r="M187" s="3273" t="s">
        <v>280</v>
      </c>
      <c r="N187" s="3274"/>
      <c r="O187" s="2847" t="s">
        <v>281</v>
      </c>
      <c r="P187" s="2847"/>
      <c r="Q187" s="2847"/>
      <c r="R187" s="2847"/>
      <c r="S187" s="2847"/>
      <c r="T187" s="2847"/>
      <c r="U187" s="2847"/>
      <c r="V187" s="2847"/>
      <c r="W187" s="2847"/>
      <c r="X187" s="2847"/>
      <c r="Y187" s="2847"/>
      <c r="Z187" s="2847"/>
      <c r="AA187" s="2988" t="s">
        <v>32</v>
      </c>
      <c r="AB187" s="35"/>
      <c r="AC187" s="183"/>
    </row>
    <row r="188" spans="1:29" x14ac:dyDescent="0.2">
      <c r="A188" s="179"/>
      <c r="B188" s="2999"/>
      <c r="C188" s="3186"/>
      <c r="D188" s="3186"/>
      <c r="E188" s="3186"/>
      <c r="F188" s="3186"/>
      <c r="G188" s="3186"/>
      <c r="H188" s="3186"/>
      <c r="I188" s="3186"/>
      <c r="J188" s="2988" t="s">
        <v>33</v>
      </c>
      <c r="K188" s="2988" t="s">
        <v>282</v>
      </c>
      <c r="L188" s="3186"/>
      <c r="M188" s="3275"/>
      <c r="N188" s="3276"/>
      <c r="O188" s="1009" t="s">
        <v>283</v>
      </c>
      <c r="P188" s="1009" t="s">
        <v>284</v>
      </c>
      <c r="Q188" s="1009" t="s">
        <v>285</v>
      </c>
      <c r="R188" s="1009" t="s">
        <v>88</v>
      </c>
      <c r="S188" s="1009" t="s">
        <v>89</v>
      </c>
      <c r="T188" s="1009" t="s">
        <v>90</v>
      </c>
      <c r="U188" s="1009" t="s">
        <v>91</v>
      </c>
      <c r="V188" s="1009" t="s">
        <v>92</v>
      </c>
      <c r="W188" s="1009" t="s">
        <v>286</v>
      </c>
      <c r="X188" s="1009" t="s">
        <v>93</v>
      </c>
      <c r="Y188" s="1009" t="s">
        <v>94</v>
      </c>
      <c r="Z188" s="1009" t="s">
        <v>95</v>
      </c>
      <c r="AA188" s="2989"/>
      <c r="AB188" s="35"/>
      <c r="AC188" s="183"/>
    </row>
    <row r="189" spans="1:29" x14ac:dyDescent="0.2">
      <c r="A189" s="179"/>
      <c r="B189" s="2999"/>
      <c r="C189" s="3186"/>
      <c r="D189" s="3186"/>
      <c r="E189" s="3186"/>
      <c r="F189" s="3186"/>
      <c r="G189" s="3186"/>
      <c r="H189" s="3186"/>
      <c r="I189" s="3186"/>
      <c r="J189" s="3186"/>
      <c r="K189" s="3186"/>
      <c r="L189" s="3186"/>
      <c r="M189" s="3271" t="s">
        <v>287</v>
      </c>
      <c r="N189" s="3272"/>
      <c r="O189" s="1095">
        <v>11960</v>
      </c>
      <c r="P189" s="1095">
        <v>11960</v>
      </c>
      <c r="Q189" s="1095">
        <v>11960</v>
      </c>
      <c r="R189" s="1095">
        <v>11962</v>
      </c>
      <c r="S189" s="1095">
        <v>11962</v>
      </c>
      <c r="T189" s="1095">
        <v>11962</v>
      </c>
      <c r="U189" s="1095">
        <v>11962</v>
      </c>
      <c r="V189" s="1095">
        <v>11962</v>
      </c>
      <c r="W189" s="1095">
        <v>11962</v>
      </c>
      <c r="X189" s="1095">
        <v>11962</v>
      </c>
      <c r="Y189" s="1095">
        <v>11962</v>
      </c>
      <c r="Z189" s="1095">
        <v>11962</v>
      </c>
      <c r="AA189" s="1201">
        <f t="shared" ref="AA189:AA210" si="20">SUM(O189:Z189)</f>
        <v>143538</v>
      </c>
      <c r="AB189" s="35"/>
      <c r="AC189" s="183"/>
    </row>
    <row r="190" spans="1:29" x14ac:dyDescent="0.2">
      <c r="A190" s="179"/>
      <c r="B190" s="2999"/>
      <c r="C190" s="2989"/>
      <c r="D190" s="2989"/>
      <c r="E190" s="2989"/>
      <c r="F190" s="2989"/>
      <c r="G190" s="2989"/>
      <c r="H190" s="2989"/>
      <c r="I190" s="2989"/>
      <c r="J190" s="2989"/>
      <c r="K190" s="2989"/>
      <c r="L190" s="2989"/>
      <c r="M190" s="3271" t="s">
        <v>34</v>
      </c>
      <c r="N190" s="3272"/>
      <c r="O190" s="36">
        <f>SUM(O191:O210)</f>
        <v>9297.25</v>
      </c>
      <c r="P190" s="36">
        <f t="shared" ref="P190:Z190" si="21">SUM(P191:P210)</f>
        <v>11058.977272727272</v>
      </c>
      <c r="Q190" s="36">
        <f t="shared" si="21"/>
        <v>49808.977272727272</v>
      </c>
      <c r="R190" s="36">
        <f t="shared" si="21"/>
        <v>21683.977272727276</v>
      </c>
      <c r="S190" s="36">
        <f t="shared" si="21"/>
        <v>28243.977272727276</v>
      </c>
      <c r="T190" s="36">
        <f t="shared" si="21"/>
        <v>18758.977272727276</v>
      </c>
      <c r="U190" s="36">
        <f t="shared" si="21"/>
        <v>19618.977272727276</v>
      </c>
      <c r="V190" s="36">
        <f t="shared" si="21"/>
        <v>31758.977272727276</v>
      </c>
      <c r="W190" s="36">
        <f t="shared" si="21"/>
        <v>19318.977272727276</v>
      </c>
      <c r="X190" s="36">
        <f t="shared" si="21"/>
        <v>18758.977272727276</v>
      </c>
      <c r="Y190" s="36">
        <f t="shared" si="21"/>
        <v>19318.977272727276</v>
      </c>
      <c r="Z190" s="36">
        <f t="shared" si="21"/>
        <v>19058.977272727276</v>
      </c>
      <c r="AA190" s="1201">
        <f t="shared" si="20"/>
        <v>266686</v>
      </c>
      <c r="AB190" s="35"/>
      <c r="AC190" s="183"/>
    </row>
    <row r="191" spans="1:29" ht="11.25" customHeight="1" x14ac:dyDescent="0.2">
      <c r="A191" s="1422"/>
      <c r="B191" s="2522">
        <v>5005326</v>
      </c>
      <c r="C191" s="3302" t="s">
        <v>3231</v>
      </c>
      <c r="D191" s="3297">
        <v>126</v>
      </c>
      <c r="E191" s="3297" t="s">
        <v>288</v>
      </c>
      <c r="F191" s="3297" t="s">
        <v>313</v>
      </c>
      <c r="G191" s="3297" t="s">
        <v>329</v>
      </c>
      <c r="H191" s="3297" t="s">
        <v>353</v>
      </c>
      <c r="I191" s="3297" t="s">
        <v>354</v>
      </c>
      <c r="J191" s="3297">
        <v>143538</v>
      </c>
      <c r="K191" s="70">
        <v>21120</v>
      </c>
      <c r="L191" s="3294" t="s">
        <v>336</v>
      </c>
      <c r="M191" s="3287" t="s">
        <v>295</v>
      </c>
      <c r="N191" s="3288"/>
      <c r="O191" s="40">
        <v>1760</v>
      </c>
      <c r="P191" s="40">
        <v>1760</v>
      </c>
      <c r="Q191" s="40">
        <v>1760</v>
      </c>
      <c r="R191" s="40">
        <v>1760</v>
      </c>
      <c r="S191" s="40">
        <v>1760</v>
      </c>
      <c r="T191" s="38">
        <v>1760</v>
      </c>
      <c r="U191" s="38">
        <v>1760</v>
      </c>
      <c r="V191" s="38">
        <v>1760</v>
      </c>
      <c r="W191" s="38">
        <v>1760</v>
      </c>
      <c r="X191" s="38">
        <v>1760</v>
      </c>
      <c r="Y191" s="38">
        <v>1760</v>
      </c>
      <c r="Z191" s="38">
        <v>1760</v>
      </c>
      <c r="AA191" s="966">
        <f t="shared" si="20"/>
        <v>21120</v>
      </c>
      <c r="AB191" s="35"/>
      <c r="AC191" s="183"/>
    </row>
    <row r="192" spans="1:29" x14ac:dyDescent="0.2">
      <c r="A192" s="1422"/>
      <c r="B192" s="2522"/>
      <c r="C192" s="3303"/>
      <c r="D192" s="3298"/>
      <c r="E192" s="3298"/>
      <c r="F192" s="3298"/>
      <c r="G192" s="3298"/>
      <c r="H192" s="3298"/>
      <c r="I192" s="3298"/>
      <c r="J192" s="3298"/>
      <c r="K192" s="70">
        <v>3610</v>
      </c>
      <c r="L192" s="3295"/>
      <c r="M192" s="3287" t="s">
        <v>296</v>
      </c>
      <c r="N192" s="3288"/>
      <c r="O192" s="40">
        <v>300.83333333333331</v>
      </c>
      <c r="P192" s="40">
        <v>300.83333333333331</v>
      </c>
      <c r="Q192" s="40">
        <v>300.83333333333331</v>
      </c>
      <c r="R192" s="40">
        <v>300.83333333333331</v>
      </c>
      <c r="S192" s="40">
        <v>300.83333333333331</v>
      </c>
      <c r="T192" s="38">
        <v>300.83333333333331</v>
      </c>
      <c r="U192" s="38">
        <v>300.83333333333331</v>
      </c>
      <c r="V192" s="38">
        <v>300.83333333333331</v>
      </c>
      <c r="W192" s="38">
        <v>300.83333333333331</v>
      </c>
      <c r="X192" s="38">
        <v>300.83333333333331</v>
      </c>
      <c r="Y192" s="38">
        <v>300.83333333333331</v>
      </c>
      <c r="Z192" s="38">
        <v>300.83333333333331</v>
      </c>
      <c r="AA192" s="966">
        <f t="shared" si="20"/>
        <v>3610.0000000000005</v>
      </c>
      <c r="AB192" s="35"/>
      <c r="AC192" s="183"/>
    </row>
    <row r="193" spans="1:29" x14ac:dyDescent="0.2">
      <c r="A193" s="1422"/>
      <c r="B193" s="2522"/>
      <c r="C193" s="3303"/>
      <c r="D193" s="3298"/>
      <c r="E193" s="3298"/>
      <c r="F193" s="3298"/>
      <c r="G193" s="3298"/>
      <c r="H193" s="3298"/>
      <c r="I193" s="3298"/>
      <c r="J193" s="3298"/>
      <c r="K193" s="70">
        <v>1896</v>
      </c>
      <c r="L193" s="3295"/>
      <c r="M193" s="3287" t="s">
        <v>297</v>
      </c>
      <c r="N193" s="3288"/>
      <c r="O193" s="40">
        <v>158</v>
      </c>
      <c r="P193" s="40">
        <v>158</v>
      </c>
      <c r="Q193" s="40">
        <v>158</v>
      </c>
      <c r="R193" s="40">
        <v>158</v>
      </c>
      <c r="S193" s="40">
        <v>158</v>
      </c>
      <c r="T193" s="38">
        <v>158</v>
      </c>
      <c r="U193" s="38">
        <v>158</v>
      </c>
      <c r="V193" s="38">
        <v>158</v>
      </c>
      <c r="W193" s="38">
        <v>158</v>
      </c>
      <c r="X193" s="38">
        <v>158</v>
      </c>
      <c r="Y193" s="38">
        <v>158</v>
      </c>
      <c r="Z193" s="38">
        <v>158</v>
      </c>
      <c r="AA193" s="966">
        <f t="shared" si="20"/>
        <v>1896</v>
      </c>
      <c r="AB193" s="35"/>
      <c r="AC193" s="183"/>
    </row>
    <row r="194" spans="1:29" x14ac:dyDescent="0.2">
      <c r="A194" s="1422"/>
      <c r="B194" s="2522"/>
      <c r="C194" s="3303"/>
      <c r="D194" s="3298"/>
      <c r="E194" s="3298"/>
      <c r="F194" s="3298"/>
      <c r="G194" s="3298"/>
      <c r="H194" s="3298"/>
      <c r="I194" s="3298"/>
      <c r="J194" s="3298"/>
      <c r="K194" s="70">
        <v>600</v>
      </c>
      <c r="L194" s="3295"/>
      <c r="M194" s="3287" t="s">
        <v>298</v>
      </c>
      <c r="N194" s="3288"/>
      <c r="O194" s="40"/>
      <c r="P194" s="40"/>
      <c r="Q194" s="40"/>
      <c r="R194" s="40"/>
      <c r="S194" s="40"/>
      <c r="T194" s="38"/>
      <c r="U194" s="38">
        <v>300</v>
      </c>
      <c r="V194" s="38"/>
      <c r="W194" s="38"/>
      <c r="X194" s="38"/>
      <c r="Y194" s="38"/>
      <c r="Z194" s="38">
        <v>300</v>
      </c>
      <c r="AA194" s="966">
        <f t="shared" si="20"/>
        <v>600</v>
      </c>
      <c r="AB194" s="35"/>
      <c r="AC194" s="183"/>
    </row>
    <row r="195" spans="1:29" x14ac:dyDescent="0.2">
      <c r="A195" s="1422"/>
      <c r="B195" s="2522"/>
      <c r="C195" s="3303"/>
      <c r="D195" s="3298"/>
      <c r="E195" s="3298"/>
      <c r="F195" s="3298"/>
      <c r="G195" s="3298"/>
      <c r="H195" s="3298"/>
      <c r="I195" s="3298"/>
      <c r="J195" s="3298"/>
      <c r="K195" s="70">
        <v>400</v>
      </c>
      <c r="L195" s="3295"/>
      <c r="M195" s="3287" t="s">
        <v>299</v>
      </c>
      <c r="N195" s="3288"/>
      <c r="O195" s="40">
        <v>400</v>
      </c>
      <c r="P195" s="40"/>
      <c r="Q195" s="40"/>
      <c r="R195" s="40"/>
      <c r="S195" s="40"/>
      <c r="T195" s="38"/>
      <c r="U195" s="38"/>
      <c r="V195" s="38"/>
      <c r="W195" s="38"/>
      <c r="X195" s="38"/>
      <c r="Y195" s="38"/>
      <c r="Z195" s="38"/>
      <c r="AA195" s="966">
        <f t="shared" si="20"/>
        <v>400</v>
      </c>
      <c r="AB195" s="35"/>
      <c r="AC195" s="183"/>
    </row>
    <row r="196" spans="1:29" x14ac:dyDescent="0.2">
      <c r="A196" s="1422"/>
      <c r="B196" s="2522"/>
      <c r="C196" s="3303"/>
      <c r="D196" s="3298"/>
      <c r="E196" s="3298"/>
      <c r="F196" s="3298"/>
      <c r="G196" s="3298"/>
      <c r="H196" s="3298"/>
      <c r="I196" s="3298"/>
      <c r="J196" s="3298"/>
      <c r="K196" s="70">
        <v>1290</v>
      </c>
      <c r="L196" s="3295"/>
      <c r="M196" s="3287" t="s">
        <v>300</v>
      </c>
      <c r="N196" s="3288"/>
      <c r="O196" s="40">
        <v>107.5</v>
      </c>
      <c r="P196" s="40">
        <v>107.5</v>
      </c>
      <c r="Q196" s="40">
        <v>107.5</v>
      </c>
      <c r="R196" s="40">
        <v>107.5</v>
      </c>
      <c r="S196" s="40">
        <v>107.5</v>
      </c>
      <c r="T196" s="38">
        <v>107.5</v>
      </c>
      <c r="U196" s="38">
        <v>107.5</v>
      </c>
      <c r="V196" s="38">
        <v>107.5</v>
      </c>
      <c r="W196" s="38">
        <v>107.5</v>
      </c>
      <c r="X196" s="38">
        <v>107.5</v>
      </c>
      <c r="Y196" s="38">
        <v>107.5</v>
      </c>
      <c r="Z196" s="38">
        <v>107.5</v>
      </c>
      <c r="AA196" s="966">
        <f t="shared" si="20"/>
        <v>1290</v>
      </c>
      <c r="AB196" s="35"/>
      <c r="AC196" s="183"/>
    </row>
    <row r="197" spans="1:29" x14ac:dyDescent="0.2">
      <c r="A197" s="1422"/>
      <c r="B197" s="2522"/>
      <c r="C197" s="3303"/>
      <c r="D197" s="3298"/>
      <c r="E197" s="3298"/>
      <c r="F197" s="3298"/>
      <c r="G197" s="3298"/>
      <c r="H197" s="3298"/>
      <c r="I197" s="3298"/>
      <c r="J197" s="3298"/>
      <c r="K197" s="70">
        <v>6000</v>
      </c>
      <c r="L197" s="3295"/>
      <c r="M197" s="3287" t="s">
        <v>302</v>
      </c>
      <c r="N197" s="3288"/>
      <c r="O197" s="40"/>
      <c r="P197" s="40"/>
      <c r="Q197" s="40"/>
      <c r="R197" s="40"/>
      <c r="S197" s="40">
        <v>6000</v>
      </c>
      <c r="T197" s="38"/>
      <c r="U197" s="38"/>
      <c r="V197" s="38"/>
      <c r="W197" s="38"/>
      <c r="X197" s="38"/>
      <c r="Y197" s="38"/>
      <c r="Z197" s="38"/>
      <c r="AA197" s="966">
        <f t="shared" si="20"/>
        <v>6000</v>
      </c>
      <c r="AB197" s="35"/>
      <c r="AC197" s="183"/>
    </row>
    <row r="198" spans="1:29" x14ac:dyDescent="0.2">
      <c r="A198" s="1422"/>
      <c r="B198" s="2522"/>
      <c r="C198" s="3303"/>
      <c r="D198" s="3298"/>
      <c r="E198" s="3298"/>
      <c r="F198" s="3298"/>
      <c r="G198" s="3298"/>
      <c r="H198" s="3298"/>
      <c r="I198" s="3298"/>
      <c r="J198" s="3298"/>
      <c r="K198" s="70">
        <v>500</v>
      </c>
      <c r="L198" s="3295"/>
      <c r="M198" s="3287" t="s">
        <v>303</v>
      </c>
      <c r="N198" s="3288"/>
      <c r="O198" s="40"/>
      <c r="P198" s="40"/>
      <c r="Q198" s="40">
        <v>500</v>
      </c>
      <c r="R198" s="40"/>
      <c r="S198" s="40"/>
      <c r="T198" s="38"/>
      <c r="U198" s="38"/>
      <c r="V198" s="38"/>
      <c r="W198" s="38"/>
      <c r="X198" s="38"/>
      <c r="Y198" s="38"/>
      <c r="Z198" s="38"/>
      <c r="AA198" s="966">
        <f t="shared" si="20"/>
        <v>500</v>
      </c>
      <c r="AB198" s="35"/>
      <c r="AC198" s="183"/>
    </row>
    <row r="199" spans="1:29" x14ac:dyDescent="0.2">
      <c r="A199" s="1422"/>
      <c r="B199" s="2522"/>
      <c r="C199" s="3303"/>
      <c r="D199" s="3298"/>
      <c r="E199" s="3298"/>
      <c r="F199" s="3298"/>
      <c r="G199" s="3298"/>
      <c r="H199" s="3298"/>
      <c r="I199" s="3298"/>
      <c r="J199" s="3298"/>
      <c r="K199" s="70">
        <v>500</v>
      </c>
      <c r="L199" s="3295"/>
      <c r="M199" s="3287" t="s">
        <v>324</v>
      </c>
      <c r="N199" s="3288"/>
      <c r="O199" s="40"/>
      <c r="P199" s="40">
        <v>500</v>
      </c>
      <c r="Q199" s="40"/>
      <c r="R199" s="40"/>
      <c r="S199" s="40"/>
      <c r="T199" s="38"/>
      <c r="U199" s="38"/>
      <c r="V199" s="38"/>
      <c r="W199" s="38"/>
      <c r="X199" s="38"/>
      <c r="Y199" s="38"/>
      <c r="Z199" s="38"/>
      <c r="AA199" s="966">
        <f t="shared" si="20"/>
        <v>500</v>
      </c>
      <c r="AB199" s="35"/>
      <c r="AC199" s="183"/>
    </row>
    <row r="200" spans="1:29" x14ac:dyDescent="0.2">
      <c r="A200" s="1422"/>
      <c r="B200" s="2522"/>
      <c r="C200" s="3303"/>
      <c r="D200" s="3298"/>
      <c r="E200" s="3298"/>
      <c r="F200" s="3298"/>
      <c r="G200" s="3298"/>
      <c r="H200" s="3298"/>
      <c r="I200" s="3298"/>
      <c r="J200" s="3298"/>
      <c r="K200" s="70">
        <v>14300</v>
      </c>
      <c r="L200" s="3295"/>
      <c r="M200" s="3287" t="s">
        <v>304</v>
      </c>
      <c r="N200" s="3288"/>
      <c r="O200" s="40"/>
      <c r="P200" s="40"/>
      <c r="Q200" s="40">
        <v>7150</v>
      </c>
      <c r="R200" s="40"/>
      <c r="S200" s="40"/>
      <c r="T200" s="38"/>
      <c r="U200" s="38"/>
      <c r="V200" s="38">
        <v>7150</v>
      </c>
      <c r="W200" s="38"/>
      <c r="X200" s="38"/>
      <c r="Y200" s="38"/>
      <c r="Z200" s="38"/>
      <c r="AA200" s="966">
        <f t="shared" si="20"/>
        <v>14300</v>
      </c>
      <c r="AB200" s="35"/>
      <c r="AC200" s="183"/>
    </row>
    <row r="201" spans="1:29" x14ac:dyDescent="0.2">
      <c r="A201" s="1422"/>
      <c r="B201" s="2522"/>
      <c r="C201" s="3303"/>
      <c r="D201" s="3298"/>
      <c r="E201" s="3298"/>
      <c r="F201" s="3298"/>
      <c r="G201" s="3298"/>
      <c r="H201" s="3298"/>
      <c r="I201" s="3298"/>
      <c r="J201" s="3298"/>
      <c r="K201" s="70">
        <v>2300</v>
      </c>
      <c r="L201" s="3295"/>
      <c r="M201" s="3287" t="s">
        <v>305</v>
      </c>
      <c r="N201" s="3288"/>
      <c r="O201" s="40"/>
      <c r="P201" s="40"/>
      <c r="Q201" s="40"/>
      <c r="R201" s="40">
        <v>575</v>
      </c>
      <c r="S201" s="40">
        <v>575</v>
      </c>
      <c r="T201" s="38"/>
      <c r="U201" s="38"/>
      <c r="V201" s="38">
        <v>1150</v>
      </c>
      <c r="W201" s="38"/>
      <c r="X201" s="38"/>
      <c r="Y201" s="38"/>
      <c r="Z201" s="38"/>
      <c r="AA201" s="966">
        <f t="shared" si="20"/>
        <v>2300</v>
      </c>
      <c r="AB201" s="35"/>
      <c r="AC201" s="183"/>
    </row>
    <row r="202" spans="1:29" x14ac:dyDescent="0.2">
      <c r="A202" s="1422"/>
      <c r="B202" s="2522"/>
      <c r="C202" s="3303"/>
      <c r="D202" s="3298"/>
      <c r="E202" s="3298"/>
      <c r="F202" s="3298"/>
      <c r="G202" s="3298"/>
      <c r="H202" s="3298"/>
      <c r="I202" s="3298"/>
      <c r="J202" s="3298"/>
      <c r="K202" s="70">
        <v>9400</v>
      </c>
      <c r="L202" s="3295"/>
      <c r="M202" s="3287" t="s">
        <v>306</v>
      </c>
      <c r="N202" s="3288"/>
      <c r="O202" s="40"/>
      <c r="P202" s="40"/>
      <c r="Q202" s="40"/>
      <c r="R202" s="40">
        <v>2350</v>
      </c>
      <c r="S202" s="40">
        <v>2350</v>
      </c>
      <c r="T202" s="38"/>
      <c r="U202" s="38"/>
      <c r="V202" s="38">
        <v>4700</v>
      </c>
      <c r="W202" s="38"/>
      <c r="X202" s="38"/>
      <c r="Y202" s="38"/>
      <c r="Z202" s="38"/>
      <c r="AA202" s="966">
        <f t="shared" si="20"/>
        <v>9400</v>
      </c>
      <c r="AB202" s="35"/>
      <c r="AC202" s="183"/>
    </row>
    <row r="203" spans="1:29" x14ac:dyDescent="0.2">
      <c r="A203" s="1422"/>
      <c r="B203" s="2522"/>
      <c r="C203" s="3303"/>
      <c r="D203" s="3298"/>
      <c r="E203" s="3298"/>
      <c r="F203" s="3298"/>
      <c r="G203" s="3298"/>
      <c r="H203" s="3298"/>
      <c r="I203" s="3298"/>
      <c r="J203" s="3298"/>
      <c r="K203" s="70">
        <v>18279</v>
      </c>
      <c r="L203" s="3295"/>
      <c r="M203" s="3287" t="s">
        <v>307</v>
      </c>
      <c r="N203" s="3288"/>
      <c r="O203" s="40"/>
      <c r="P203" s="40">
        <v>1661.7272727272727</v>
      </c>
      <c r="Q203" s="40">
        <v>1661.7272727272727</v>
      </c>
      <c r="R203" s="40">
        <v>1661.7272727272727</v>
      </c>
      <c r="S203" s="40">
        <v>1661.7272727272727</v>
      </c>
      <c r="T203" s="38">
        <v>1661.7272727272727</v>
      </c>
      <c r="U203" s="38">
        <v>1661.7272727272727</v>
      </c>
      <c r="V203" s="38">
        <v>1661.7272727272727</v>
      </c>
      <c r="W203" s="38">
        <v>1661.7272727272727</v>
      </c>
      <c r="X203" s="38">
        <v>1661.7272727272727</v>
      </c>
      <c r="Y203" s="38">
        <v>1661.7272727272727</v>
      </c>
      <c r="Z203" s="38">
        <v>1661.7272727272727</v>
      </c>
      <c r="AA203" s="966">
        <f t="shared" si="20"/>
        <v>18278.999999999996</v>
      </c>
      <c r="AB203" s="35"/>
      <c r="AC203" s="183"/>
    </row>
    <row r="204" spans="1:29" x14ac:dyDescent="0.2">
      <c r="A204" s="1422"/>
      <c r="B204" s="2522"/>
      <c r="C204" s="3303"/>
      <c r="D204" s="3298"/>
      <c r="E204" s="3298"/>
      <c r="F204" s="3298"/>
      <c r="G204" s="3298"/>
      <c r="H204" s="3298"/>
      <c r="I204" s="3298"/>
      <c r="J204" s="3298"/>
      <c r="K204" s="70">
        <v>6000</v>
      </c>
      <c r="L204" s="3295"/>
      <c r="M204" s="3287" t="s">
        <v>355</v>
      </c>
      <c r="N204" s="3288"/>
      <c r="O204" s="40"/>
      <c r="P204" s="40"/>
      <c r="Q204" s="40">
        <v>6000</v>
      </c>
      <c r="R204" s="40"/>
      <c r="S204" s="40"/>
      <c r="T204" s="38"/>
      <c r="U204" s="38"/>
      <c r="V204" s="38"/>
      <c r="W204" s="38"/>
      <c r="X204" s="38"/>
      <c r="Y204" s="38"/>
      <c r="Z204" s="38"/>
      <c r="AA204" s="966">
        <f t="shared" si="20"/>
        <v>6000</v>
      </c>
      <c r="AB204" s="35"/>
      <c r="AC204" s="183"/>
    </row>
    <row r="205" spans="1:29" x14ac:dyDescent="0.2">
      <c r="A205" s="1422"/>
      <c r="B205" s="2522"/>
      <c r="C205" s="3303"/>
      <c r="D205" s="3298"/>
      <c r="E205" s="3298"/>
      <c r="F205" s="3298"/>
      <c r="G205" s="3298"/>
      <c r="H205" s="3298"/>
      <c r="I205" s="3298"/>
      <c r="J205" s="3298"/>
      <c r="K205" s="70">
        <v>82000</v>
      </c>
      <c r="L205" s="3295"/>
      <c r="M205" s="3287" t="s">
        <v>356</v>
      </c>
      <c r="N205" s="3288"/>
      <c r="O205" s="40"/>
      <c r="P205" s="40"/>
      <c r="Q205" s="40">
        <v>8200</v>
      </c>
      <c r="R205" s="40">
        <v>8200</v>
      </c>
      <c r="S205" s="40">
        <v>8200</v>
      </c>
      <c r="T205" s="38">
        <v>8200</v>
      </c>
      <c r="U205" s="38">
        <v>8200</v>
      </c>
      <c r="V205" s="38">
        <v>8200</v>
      </c>
      <c r="W205" s="38">
        <v>8200</v>
      </c>
      <c r="X205" s="38">
        <v>8200</v>
      </c>
      <c r="Y205" s="38">
        <v>8200</v>
      </c>
      <c r="Z205" s="38">
        <v>8200</v>
      </c>
      <c r="AA205" s="966">
        <f t="shared" si="20"/>
        <v>82000</v>
      </c>
      <c r="AB205" s="35"/>
      <c r="AC205" s="183"/>
    </row>
    <row r="206" spans="1:29" x14ac:dyDescent="0.2">
      <c r="A206" s="1422"/>
      <c r="B206" s="2522"/>
      <c r="C206" s="3303"/>
      <c r="D206" s="3298"/>
      <c r="E206" s="3298"/>
      <c r="F206" s="3298"/>
      <c r="G206" s="3298"/>
      <c r="H206" s="3298"/>
      <c r="I206" s="3298"/>
      <c r="J206" s="3298"/>
      <c r="K206" s="70">
        <v>2800</v>
      </c>
      <c r="L206" s="3295"/>
      <c r="M206" s="3287" t="s">
        <v>309</v>
      </c>
      <c r="N206" s="3288"/>
      <c r="O206" s="40"/>
      <c r="P206" s="40"/>
      <c r="Q206" s="40">
        <v>560</v>
      </c>
      <c r="R206" s="40"/>
      <c r="S206" s="40">
        <v>560</v>
      </c>
      <c r="T206" s="38"/>
      <c r="U206" s="38">
        <v>560</v>
      </c>
      <c r="V206" s="38"/>
      <c r="W206" s="38">
        <v>560</v>
      </c>
      <c r="X206" s="38"/>
      <c r="Y206" s="38">
        <v>560</v>
      </c>
      <c r="Z206" s="38"/>
      <c r="AA206" s="966">
        <f t="shared" si="20"/>
        <v>2800</v>
      </c>
      <c r="AB206" s="35"/>
      <c r="AC206" s="183"/>
    </row>
    <row r="207" spans="1:29" x14ac:dyDescent="0.2">
      <c r="A207" s="1422"/>
      <c r="B207" s="2522"/>
      <c r="C207" s="3303"/>
      <c r="D207" s="3298"/>
      <c r="E207" s="3298"/>
      <c r="F207" s="3298"/>
      <c r="G207" s="3298"/>
      <c r="H207" s="3298"/>
      <c r="I207" s="3298"/>
      <c r="J207" s="3298"/>
      <c r="K207" s="70">
        <v>12000</v>
      </c>
      <c r="L207" s="3295"/>
      <c r="M207" s="3287" t="s">
        <v>357</v>
      </c>
      <c r="N207" s="3288"/>
      <c r="O207" s="40"/>
      <c r="P207" s="40"/>
      <c r="Q207" s="40">
        <v>12000</v>
      </c>
      <c r="R207" s="40"/>
      <c r="S207" s="40"/>
      <c r="T207" s="38"/>
      <c r="U207" s="38"/>
      <c r="V207" s="38"/>
      <c r="W207" s="38"/>
      <c r="X207" s="38"/>
      <c r="Y207" s="38"/>
      <c r="Z207" s="38"/>
      <c r="AA207" s="966">
        <f t="shared" si="20"/>
        <v>12000</v>
      </c>
      <c r="AB207" s="35"/>
      <c r="AC207" s="183"/>
    </row>
    <row r="208" spans="1:29" x14ac:dyDescent="0.2">
      <c r="A208" s="1422"/>
      <c r="B208" s="2522"/>
      <c r="C208" s="3303"/>
      <c r="D208" s="3298"/>
      <c r="E208" s="3298"/>
      <c r="F208" s="3298"/>
      <c r="G208" s="3298"/>
      <c r="H208" s="3298"/>
      <c r="I208" s="3298"/>
      <c r="J208" s="3298"/>
      <c r="K208" s="70">
        <v>4840</v>
      </c>
      <c r="L208" s="3295"/>
      <c r="M208" s="3287" t="s">
        <v>358</v>
      </c>
      <c r="N208" s="3288"/>
      <c r="O208" s="40"/>
      <c r="P208" s="40"/>
      <c r="Q208" s="40">
        <v>4840</v>
      </c>
      <c r="R208" s="40"/>
      <c r="S208" s="40"/>
      <c r="T208" s="38"/>
      <c r="U208" s="38"/>
      <c r="V208" s="38"/>
      <c r="W208" s="38"/>
      <c r="X208" s="38"/>
      <c r="Y208" s="38"/>
      <c r="Z208" s="38"/>
      <c r="AA208" s="966">
        <f t="shared" si="20"/>
        <v>4840</v>
      </c>
      <c r="AB208" s="35"/>
      <c r="AC208" s="183"/>
    </row>
    <row r="209" spans="1:29" x14ac:dyDescent="0.2">
      <c r="A209" s="1422"/>
      <c r="B209" s="2522"/>
      <c r="C209" s="3303"/>
      <c r="D209" s="3298"/>
      <c r="E209" s="3298"/>
      <c r="F209" s="3298"/>
      <c r="G209" s="3298"/>
      <c r="H209" s="3298"/>
      <c r="I209" s="3298"/>
      <c r="J209" s="3298"/>
      <c r="K209" s="70">
        <v>73956</v>
      </c>
      <c r="L209" s="3295"/>
      <c r="M209" s="3287" t="s">
        <v>310</v>
      </c>
      <c r="N209" s="3288"/>
      <c r="O209" s="40">
        <v>6163</v>
      </c>
      <c r="P209" s="40">
        <v>6163</v>
      </c>
      <c r="Q209" s="40">
        <v>6163</v>
      </c>
      <c r="R209" s="40">
        <v>6163</v>
      </c>
      <c r="S209" s="40">
        <v>6163</v>
      </c>
      <c r="T209" s="38">
        <v>6163</v>
      </c>
      <c r="U209" s="38">
        <v>6163</v>
      </c>
      <c r="V209" s="38">
        <v>6163</v>
      </c>
      <c r="W209" s="38">
        <v>6163</v>
      </c>
      <c r="X209" s="38">
        <v>6163</v>
      </c>
      <c r="Y209" s="38">
        <v>6163</v>
      </c>
      <c r="Z209" s="38">
        <v>6163</v>
      </c>
      <c r="AA209" s="966">
        <f t="shared" si="20"/>
        <v>73956</v>
      </c>
      <c r="AB209" s="35"/>
      <c r="AC209" s="183"/>
    </row>
    <row r="210" spans="1:29" x14ac:dyDescent="0.2">
      <c r="A210" s="1422"/>
      <c r="B210" s="2522"/>
      <c r="C210" s="3304"/>
      <c r="D210" s="3299"/>
      <c r="E210" s="3299"/>
      <c r="F210" s="3299"/>
      <c r="G210" s="3299"/>
      <c r="H210" s="3299"/>
      <c r="I210" s="3299"/>
      <c r="J210" s="3299"/>
      <c r="K210" s="70">
        <v>4895</v>
      </c>
      <c r="L210" s="3296"/>
      <c r="M210" s="3287" t="s">
        <v>311</v>
      </c>
      <c r="N210" s="3288"/>
      <c r="O210" s="40">
        <v>407.91666666666669</v>
      </c>
      <c r="P210" s="40">
        <v>407.91666666666669</v>
      </c>
      <c r="Q210" s="40">
        <v>407.91666666666669</v>
      </c>
      <c r="R210" s="40">
        <v>407.91666666666669</v>
      </c>
      <c r="S210" s="40">
        <v>407.91666666666669</v>
      </c>
      <c r="T210" s="38">
        <v>407.91666666666669</v>
      </c>
      <c r="U210" s="38">
        <v>407.91666666666669</v>
      </c>
      <c r="V210" s="38">
        <v>407.91666666666669</v>
      </c>
      <c r="W210" s="38">
        <v>407.91666666666669</v>
      </c>
      <c r="X210" s="38">
        <v>407.91666666666669</v>
      </c>
      <c r="Y210" s="38">
        <v>407.91666666666669</v>
      </c>
      <c r="Z210" s="38">
        <v>407.91666666666669</v>
      </c>
      <c r="AA210" s="966">
        <f t="shared" si="20"/>
        <v>4895</v>
      </c>
      <c r="AB210" s="35"/>
      <c r="AC210" s="183"/>
    </row>
    <row r="211" spans="1:29" x14ac:dyDescent="0.2">
      <c r="A211" s="1422"/>
      <c r="B211" s="1420"/>
      <c r="C211" s="99"/>
      <c r="D211" s="99"/>
      <c r="E211" s="99"/>
      <c r="F211" s="99"/>
      <c r="G211" s="99"/>
      <c r="H211" s="99"/>
      <c r="I211" s="99"/>
      <c r="J211" s="99"/>
      <c r="K211" s="187"/>
      <c r="L211" s="188"/>
      <c r="M211" s="188"/>
      <c r="N211" s="188"/>
      <c r="O211" s="188"/>
      <c r="P211" s="188"/>
      <c r="Q211" s="188"/>
      <c r="R211" s="188"/>
      <c r="S211" s="188"/>
      <c r="T211" s="99"/>
      <c r="U211" s="99"/>
      <c r="V211" s="99"/>
      <c r="W211" s="99"/>
      <c r="X211" s="99"/>
      <c r="Y211" s="99"/>
      <c r="Z211" s="99"/>
      <c r="AA211" s="189"/>
      <c r="AB211" s="35"/>
      <c r="AC211" s="183"/>
    </row>
    <row r="212" spans="1:29" x14ac:dyDescent="0.2">
      <c r="A212" s="1422"/>
      <c r="B212" s="1421"/>
      <c r="C212" s="35"/>
      <c r="D212" s="35"/>
      <c r="E212" s="35"/>
      <c r="F212" s="35"/>
      <c r="G212" s="35"/>
      <c r="H212" s="35"/>
      <c r="I212" s="35"/>
      <c r="J212" s="35"/>
      <c r="K212" s="60"/>
      <c r="L212" s="60"/>
      <c r="M212" s="60"/>
      <c r="N212" s="60"/>
      <c r="O212" s="60"/>
      <c r="P212" s="60"/>
      <c r="Q212" s="60"/>
      <c r="R212" s="60"/>
      <c r="S212" s="60"/>
      <c r="T212" s="35"/>
      <c r="U212" s="35"/>
      <c r="V212" s="2974" t="s">
        <v>15</v>
      </c>
      <c r="W212" s="2975"/>
      <c r="X212" s="2975"/>
      <c r="Y212" s="2976"/>
      <c r="Z212" s="2974" t="s">
        <v>16</v>
      </c>
      <c r="AA212" s="2976"/>
      <c r="AB212" s="35"/>
      <c r="AC212" s="183"/>
    </row>
    <row r="213" spans="1:29" ht="36.75" customHeight="1" x14ac:dyDescent="0.2">
      <c r="A213" s="1422"/>
      <c r="B213" s="1013" t="s">
        <v>276</v>
      </c>
      <c r="C213" s="1115">
        <v>3033248</v>
      </c>
      <c r="D213" s="1115"/>
      <c r="E213" s="3291" t="s">
        <v>359</v>
      </c>
      <c r="F213" s="3292"/>
      <c r="G213" s="3292"/>
      <c r="H213" s="3292"/>
      <c r="I213" s="3292"/>
      <c r="J213" s="3292"/>
      <c r="K213" s="3292"/>
      <c r="L213" s="3292"/>
      <c r="M213" s="3292"/>
      <c r="N213" s="3292"/>
      <c r="O213" s="3292"/>
      <c r="P213" s="3292"/>
      <c r="Q213" s="3292"/>
      <c r="R213" s="3292"/>
      <c r="S213" s="3292"/>
      <c r="T213" s="3292"/>
      <c r="U213" s="3293"/>
      <c r="V213" s="3305" t="s">
        <v>360</v>
      </c>
      <c r="W213" s="3306"/>
      <c r="X213" s="3306"/>
      <c r="Y213" s="3307"/>
      <c r="Z213" s="2977" t="s">
        <v>361</v>
      </c>
      <c r="AA213" s="2979"/>
      <c r="AB213" s="35"/>
      <c r="AC213" s="183"/>
    </row>
    <row r="214" spans="1:29" x14ac:dyDescent="0.2">
      <c r="A214" s="1422"/>
      <c r="B214" s="2999" t="s">
        <v>278</v>
      </c>
      <c r="C214" s="2988" t="s">
        <v>21</v>
      </c>
      <c r="D214" s="2847" t="s">
        <v>22</v>
      </c>
      <c r="E214" s="2847" t="s">
        <v>23</v>
      </c>
      <c r="F214" s="2847" t="s">
        <v>24</v>
      </c>
      <c r="G214" s="2847" t="s">
        <v>25</v>
      </c>
      <c r="H214" s="2847" t="s">
        <v>26</v>
      </c>
      <c r="I214" s="2847" t="s">
        <v>27</v>
      </c>
      <c r="J214" s="3206" t="s">
        <v>28</v>
      </c>
      <c r="K214" s="3301"/>
      <c r="L214" s="2988" t="s">
        <v>279</v>
      </c>
      <c r="M214" s="3273" t="s">
        <v>280</v>
      </c>
      <c r="N214" s="3274"/>
      <c r="O214" s="2847" t="s">
        <v>281</v>
      </c>
      <c r="P214" s="2847"/>
      <c r="Q214" s="2847"/>
      <c r="R214" s="2847"/>
      <c r="S214" s="2847"/>
      <c r="T214" s="2847"/>
      <c r="U214" s="2847"/>
      <c r="V214" s="2847"/>
      <c r="W214" s="2847"/>
      <c r="X214" s="2847"/>
      <c r="Y214" s="2847"/>
      <c r="Z214" s="2847"/>
      <c r="AA214" s="2988" t="s">
        <v>32</v>
      </c>
      <c r="AB214" s="35"/>
      <c r="AC214" s="183"/>
    </row>
    <row r="215" spans="1:29" x14ac:dyDescent="0.2">
      <c r="A215" s="1422"/>
      <c r="B215" s="2999"/>
      <c r="C215" s="3186"/>
      <c r="D215" s="2847"/>
      <c r="E215" s="2847"/>
      <c r="F215" s="2847"/>
      <c r="G215" s="2847"/>
      <c r="H215" s="2847"/>
      <c r="I215" s="2847"/>
      <c r="J215" s="2847" t="s">
        <v>33</v>
      </c>
      <c r="K215" s="2847" t="s">
        <v>282</v>
      </c>
      <c r="L215" s="3186"/>
      <c r="M215" s="3275"/>
      <c r="N215" s="3276"/>
      <c r="O215" s="1009" t="s">
        <v>283</v>
      </c>
      <c r="P215" s="1009" t="s">
        <v>284</v>
      </c>
      <c r="Q215" s="1009" t="s">
        <v>285</v>
      </c>
      <c r="R215" s="1009" t="s">
        <v>88</v>
      </c>
      <c r="S215" s="1009" t="s">
        <v>89</v>
      </c>
      <c r="T215" s="1009" t="s">
        <v>90</v>
      </c>
      <c r="U215" s="1009" t="s">
        <v>91</v>
      </c>
      <c r="V215" s="1009" t="s">
        <v>92</v>
      </c>
      <c r="W215" s="1009" t="s">
        <v>286</v>
      </c>
      <c r="X215" s="1009" t="s">
        <v>93</v>
      </c>
      <c r="Y215" s="1009" t="s">
        <v>94</v>
      </c>
      <c r="Z215" s="1009" t="s">
        <v>95</v>
      </c>
      <c r="AA215" s="2989"/>
      <c r="AB215" s="35"/>
      <c r="AC215" s="183"/>
    </row>
    <row r="216" spans="1:29" x14ac:dyDescent="0.2">
      <c r="A216" s="1422"/>
      <c r="B216" s="2999"/>
      <c r="C216" s="3186"/>
      <c r="D216" s="2847"/>
      <c r="E216" s="2847"/>
      <c r="F216" s="2847"/>
      <c r="G216" s="2847"/>
      <c r="H216" s="2847"/>
      <c r="I216" s="2847"/>
      <c r="J216" s="2847"/>
      <c r="K216" s="2847"/>
      <c r="L216" s="3186"/>
      <c r="M216" s="3271" t="s">
        <v>287</v>
      </c>
      <c r="N216" s="3272"/>
      <c r="O216" s="1095">
        <v>4</v>
      </c>
      <c r="P216" s="1095">
        <v>4</v>
      </c>
      <c r="Q216" s="1095">
        <v>4</v>
      </c>
      <c r="R216" s="1095">
        <v>6</v>
      </c>
      <c r="S216" s="1095">
        <v>6</v>
      </c>
      <c r="T216" s="1095">
        <v>6</v>
      </c>
      <c r="U216" s="1095">
        <v>6</v>
      </c>
      <c r="V216" s="1095">
        <v>6</v>
      </c>
      <c r="W216" s="1095">
        <v>6</v>
      </c>
      <c r="X216" s="1095">
        <v>6</v>
      </c>
      <c r="Y216" s="1095">
        <v>6</v>
      </c>
      <c r="Z216" s="1095">
        <v>6</v>
      </c>
      <c r="AA216" s="1196">
        <f t="shared" ref="AA216:AA235" si="22">SUM(O216:Z216)</f>
        <v>66</v>
      </c>
      <c r="AB216" s="35"/>
      <c r="AC216" s="183"/>
    </row>
    <row r="217" spans="1:29" x14ac:dyDescent="0.2">
      <c r="A217" s="1422"/>
      <c r="B217" s="2999"/>
      <c r="C217" s="2989"/>
      <c r="D217" s="2847"/>
      <c r="E217" s="2847"/>
      <c r="F217" s="2847"/>
      <c r="G217" s="2847"/>
      <c r="H217" s="2847"/>
      <c r="I217" s="2847"/>
      <c r="J217" s="2847"/>
      <c r="K217" s="2847"/>
      <c r="L217" s="2989"/>
      <c r="M217" s="3271" t="s">
        <v>34</v>
      </c>
      <c r="N217" s="3272"/>
      <c r="O217" s="36">
        <f>SUM(O218:O235)</f>
        <v>200239.5</v>
      </c>
      <c r="P217" s="36">
        <f t="shared" ref="P217:Z217" si="23">SUM(P218:P235)</f>
        <v>182395.86363636365</v>
      </c>
      <c r="Q217" s="36">
        <f t="shared" si="23"/>
        <v>188195.86363636365</v>
      </c>
      <c r="R217" s="36">
        <f t="shared" si="23"/>
        <v>189023.5303030303</v>
      </c>
      <c r="S217" s="36">
        <f t="shared" si="23"/>
        <v>194637.36363636365</v>
      </c>
      <c r="T217" s="36">
        <f t="shared" si="23"/>
        <v>182395.86363636365</v>
      </c>
      <c r="U217" s="36">
        <f t="shared" si="23"/>
        <v>198585.86363636365</v>
      </c>
      <c r="V217" s="36">
        <f t="shared" si="23"/>
        <v>192337.36363636365</v>
      </c>
      <c r="W217" s="36">
        <f t="shared" si="23"/>
        <v>184695.86363636365</v>
      </c>
      <c r="X217" s="36">
        <f t="shared" si="23"/>
        <v>182395.86363636365</v>
      </c>
      <c r="Y217" s="36">
        <f t="shared" si="23"/>
        <v>197951.19696969699</v>
      </c>
      <c r="Z217" s="36">
        <f t="shared" si="23"/>
        <v>196285.86363636365</v>
      </c>
      <c r="AA217" s="1196">
        <f t="shared" si="22"/>
        <v>2289140.0000000005</v>
      </c>
      <c r="AB217" s="35"/>
      <c r="AC217" s="183"/>
    </row>
    <row r="218" spans="1:29" ht="11.25" customHeight="1" x14ac:dyDescent="0.2">
      <c r="A218" s="1422"/>
      <c r="B218" s="2438">
        <v>5000011</v>
      </c>
      <c r="C218" s="3300" t="s">
        <v>3232</v>
      </c>
      <c r="D218" s="3300">
        <v>7</v>
      </c>
      <c r="E218" s="3300" t="s">
        <v>288</v>
      </c>
      <c r="F218" s="3300" t="s">
        <v>313</v>
      </c>
      <c r="G218" s="3300" t="s">
        <v>329</v>
      </c>
      <c r="H218" s="3300" t="s">
        <v>362</v>
      </c>
      <c r="I218" s="3300" t="s">
        <v>363</v>
      </c>
      <c r="J218" s="3300">
        <v>66</v>
      </c>
      <c r="K218" s="40">
        <v>371956</v>
      </c>
      <c r="L218" s="3308" t="s">
        <v>336</v>
      </c>
      <c r="M218" s="3287" t="s">
        <v>293</v>
      </c>
      <c r="N218" s="3288"/>
      <c r="O218" s="40">
        <v>30996.333333333332</v>
      </c>
      <c r="P218" s="40">
        <v>30996.333333333332</v>
      </c>
      <c r="Q218" s="40">
        <v>30996.333333333332</v>
      </c>
      <c r="R218" s="40">
        <v>30996.333333333332</v>
      </c>
      <c r="S218" s="40">
        <v>30996.333333333332</v>
      </c>
      <c r="T218" s="38">
        <v>30996.333333333332</v>
      </c>
      <c r="U218" s="38">
        <v>30996.333333333332</v>
      </c>
      <c r="V218" s="38">
        <v>30996.333333333332</v>
      </c>
      <c r="W218" s="38">
        <v>30996.333333333332</v>
      </c>
      <c r="X218" s="38">
        <v>30996.333333333332</v>
      </c>
      <c r="Y218" s="38">
        <v>30996.333333333332</v>
      </c>
      <c r="Z218" s="38">
        <v>30996.333333333332</v>
      </c>
      <c r="AA218" s="966">
        <f t="shared" si="22"/>
        <v>371955.99999999994</v>
      </c>
      <c r="AB218" s="35"/>
      <c r="AC218" s="183"/>
    </row>
    <row r="219" spans="1:29" x14ac:dyDescent="0.2">
      <c r="A219" s="1422"/>
      <c r="B219" s="2456"/>
      <c r="C219" s="3300"/>
      <c r="D219" s="3300"/>
      <c r="E219" s="3300"/>
      <c r="F219" s="3300"/>
      <c r="G219" s="3300"/>
      <c r="H219" s="3300"/>
      <c r="I219" s="3300"/>
      <c r="J219" s="3300"/>
      <c r="K219" s="40">
        <v>14640</v>
      </c>
      <c r="L219" s="3308"/>
      <c r="M219" s="3287" t="s">
        <v>321</v>
      </c>
      <c r="N219" s="3288"/>
      <c r="O219" s="40">
        <v>1220</v>
      </c>
      <c r="P219" s="40">
        <v>1220</v>
      </c>
      <c r="Q219" s="40">
        <v>1220</v>
      </c>
      <c r="R219" s="40">
        <v>1220</v>
      </c>
      <c r="S219" s="40">
        <v>1220</v>
      </c>
      <c r="T219" s="38">
        <v>1220</v>
      </c>
      <c r="U219" s="38">
        <v>1220</v>
      </c>
      <c r="V219" s="38">
        <v>1220</v>
      </c>
      <c r="W219" s="38">
        <v>1220</v>
      </c>
      <c r="X219" s="38">
        <v>1220</v>
      </c>
      <c r="Y219" s="38">
        <v>1220</v>
      </c>
      <c r="Z219" s="38">
        <v>1220</v>
      </c>
      <c r="AA219" s="966">
        <f t="shared" si="22"/>
        <v>14640</v>
      </c>
      <c r="AB219" s="35"/>
      <c r="AC219" s="183"/>
    </row>
    <row r="220" spans="1:29" x14ac:dyDescent="0.2">
      <c r="A220" s="1422"/>
      <c r="B220" s="2456"/>
      <c r="C220" s="3300"/>
      <c r="D220" s="3300"/>
      <c r="E220" s="3300"/>
      <c r="F220" s="3300"/>
      <c r="G220" s="3300"/>
      <c r="H220" s="3300"/>
      <c r="I220" s="3300"/>
      <c r="J220" s="3300"/>
      <c r="K220" s="40">
        <v>837780</v>
      </c>
      <c r="L220" s="3308"/>
      <c r="M220" s="3287" t="s">
        <v>295</v>
      </c>
      <c r="N220" s="3288"/>
      <c r="O220" s="40">
        <v>69815</v>
      </c>
      <c r="P220" s="40">
        <v>69815</v>
      </c>
      <c r="Q220" s="40">
        <v>69815</v>
      </c>
      <c r="R220" s="40">
        <v>69815</v>
      </c>
      <c r="S220" s="40">
        <v>69815</v>
      </c>
      <c r="T220" s="38">
        <v>69815</v>
      </c>
      <c r="U220" s="38">
        <v>69815</v>
      </c>
      <c r="V220" s="38">
        <v>69815</v>
      </c>
      <c r="W220" s="38">
        <v>69815</v>
      </c>
      <c r="X220" s="38">
        <v>69815</v>
      </c>
      <c r="Y220" s="38">
        <v>69815</v>
      </c>
      <c r="Z220" s="38">
        <v>69815</v>
      </c>
      <c r="AA220" s="966">
        <f t="shared" si="22"/>
        <v>837780</v>
      </c>
      <c r="AB220" s="35"/>
      <c r="AC220" s="183"/>
    </row>
    <row r="221" spans="1:29" x14ac:dyDescent="0.2">
      <c r="A221" s="1422"/>
      <c r="B221" s="2456"/>
      <c r="C221" s="3300"/>
      <c r="D221" s="3300"/>
      <c r="E221" s="3300"/>
      <c r="F221" s="3300"/>
      <c r="G221" s="3300"/>
      <c r="H221" s="3300"/>
      <c r="I221" s="3300"/>
      <c r="J221" s="3300"/>
      <c r="K221" s="40">
        <v>90168</v>
      </c>
      <c r="L221" s="3308"/>
      <c r="M221" s="3287" t="s">
        <v>332</v>
      </c>
      <c r="N221" s="3288"/>
      <c r="O221" s="40">
        <v>7514</v>
      </c>
      <c r="P221" s="40">
        <v>7514</v>
      </c>
      <c r="Q221" s="40">
        <v>7514</v>
      </c>
      <c r="R221" s="40">
        <v>7514</v>
      </c>
      <c r="S221" s="40">
        <v>7514</v>
      </c>
      <c r="T221" s="38">
        <v>7514</v>
      </c>
      <c r="U221" s="38">
        <v>7514</v>
      </c>
      <c r="V221" s="38">
        <v>7514</v>
      </c>
      <c r="W221" s="38">
        <v>7514</v>
      </c>
      <c r="X221" s="38">
        <v>7514</v>
      </c>
      <c r="Y221" s="38">
        <v>7514</v>
      </c>
      <c r="Z221" s="38">
        <v>7514</v>
      </c>
      <c r="AA221" s="966">
        <f t="shared" si="22"/>
        <v>90168</v>
      </c>
      <c r="AB221" s="35"/>
      <c r="AC221" s="183"/>
    </row>
    <row r="222" spans="1:29" x14ac:dyDescent="0.2">
      <c r="A222" s="1422"/>
      <c r="B222" s="2456"/>
      <c r="C222" s="3300"/>
      <c r="D222" s="3300"/>
      <c r="E222" s="3300"/>
      <c r="F222" s="3300"/>
      <c r="G222" s="3300"/>
      <c r="H222" s="3300"/>
      <c r="I222" s="3300"/>
      <c r="J222" s="3300"/>
      <c r="K222" s="40">
        <v>185768</v>
      </c>
      <c r="L222" s="3308"/>
      <c r="M222" s="3287" t="s">
        <v>296</v>
      </c>
      <c r="N222" s="3288"/>
      <c r="O222" s="40">
        <v>15480.666666666666</v>
      </c>
      <c r="P222" s="40">
        <v>15480.666666666666</v>
      </c>
      <c r="Q222" s="40">
        <v>15480.666666666666</v>
      </c>
      <c r="R222" s="40">
        <v>15480.666666666666</v>
      </c>
      <c r="S222" s="40">
        <v>15480.666666666666</v>
      </c>
      <c r="T222" s="38">
        <v>15480.666666666666</v>
      </c>
      <c r="U222" s="38">
        <v>15480.666666666666</v>
      </c>
      <c r="V222" s="38">
        <v>15480.666666666666</v>
      </c>
      <c r="W222" s="38">
        <v>15480.666666666666</v>
      </c>
      <c r="X222" s="38">
        <v>15480.666666666666</v>
      </c>
      <c r="Y222" s="38">
        <v>15480.666666666666</v>
      </c>
      <c r="Z222" s="38">
        <v>15480.666666666666</v>
      </c>
      <c r="AA222" s="966">
        <f t="shared" si="22"/>
        <v>185767.99999999997</v>
      </c>
      <c r="AB222" s="35"/>
      <c r="AC222" s="183"/>
    </row>
    <row r="223" spans="1:29" x14ac:dyDescent="0.2">
      <c r="A223" s="1422"/>
      <c r="B223" s="2456"/>
      <c r="C223" s="3300"/>
      <c r="D223" s="3300"/>
      <c r="E223" s="3300"/>
      <c r="F223" s="3300"/>
      <c r="G223" s="3300"/>
      <c r="H223" s="3300"/>
      <c r="I223" s="3300"/>
      <c r="J223" s="3300"/>
      <c r="K223" s="40">
        <v>67200</v>
      </c>
      <c r="L223" s="3308"/>
      <c r="M223" s="3287" t="s">
        <v>297</v>
      </c>
      <c r="N223" s="3288"/>
      <c r="O223" s="40">
        <v>5600</v>
      </c>
      <c r="P223" s="40">
        <v>5600</v>
      </c>
      <c r="Q223" s="40">
        <v>5600</v>
      </c>
      <c r="R223" s="40">
        <v>5600</v>
      </c>
      <c r="S223" s="40">
        <v>5600</v>
      </c>
      <c r="T223" s="38">
        <v>5600</v>
      </c>
      <c r="U223" s="38">
        <v>5600</v>
      </c>
      <c r="V223" s="38">
        <v>5600</v>
      </c>
      <c r="W223" s="38">
        <v>5600</v>
      </c>
      <c r="X223" s="38">
        <v>5600</v>
      </c>
      <c r="Y223" s="38">
        <v>5600</v>
      </c>
      <c r="Z223" s="38">
        <v>5600</v>
      </c>
      <c r="AA223" s="966">
        <f t="shared" si="22"/>
        <v>67200</v>
      </c>
      <c r="AB223" s="35"/>
      <c r="AC223" s="183"/>
    </row>
    <row r="224" spans="1:29" x14ac:dyDescent="0.2">
      <c r="A224" s="1422"/>
      <c r="B224" s="2456"/>
      <c r="C224" s="3300"/>
      <c r="D224" s="3300"/>
      <c r="E224" s="3300"/>
      <c r="F224" s="3300"/>
      <c r="G224" s="3300"/>
      <c r="H224" s="3300"/>
      <c r="I224" s="3300"/>
      <c r="J224" s="3300"/>
      <c r="K224" s="40">
        <v>27780</v>
      </c>
      <c r="L224" s="3308"/>
      <c r="M224" s="3287" t="s">
        <v>298</v>
      </c>
      <c r="N224" s="3288"/>
      <c r="O224" s="40"/>
      <c r="P224" s="40"/>
      <c r="Q224" s="40"/>
      <c r="R224" s="40"/>
      <c r="S224" s="40"/>
      <c r="T224" s="38"/>
      <c r="U224" s="38">
        <v>13890</v>
      </c>
      <c r="V224" s="38"/>
      <c r="W224" s="38"/>
      <c r="X224" s="38"/>
      <c r="Y224" s="38"/>
      <c r="Z224" s="38">
        <v>13890</v>
      </c>
      <c r="AA224" s="966">
        <f t="shared" si="22"/>
        <v>27780</v>
      </c>
      <c r="AB224" s="35"/>
      <c r="AC224" s="183"/>
    </row>
    <row r="225" spans="1:29" x14ac:dyDescent="0.2">
      <c r="A225" s="1422"/>
      <c r="B225" s="2456"/>
      <c r="C225" s="3300"/>
      <c r="D225" s="3300"/>
      <c r="E225" s="3300"/>
      <c r="F225" s="3300"/>
      <c r="G225" s="3300"/>
      <c r="H225" s="3300"/>
      <c r="I225" s="3300"/>
      <c r="J225" s="3300"/>
      <c r="K225" s="40">
        <v>18780</v>
      </c>
      <c r="L225" s="3308"/>
      <c r="M225" s="3287" t="s">
        <v>299</v>
      </c>
      <c r="N225" s="3288"/>
      <c r="O225" s="40">
        <v>18780</v>
      </c>
      <c r="P225" s="40"/>
      <c r="Q225" s="40"/>
      <c r="R225" s="40"/>
      <c r="S225" s="40"/>
      <c r="T225" s="38"/>
      <c r="U225" s="38"/>
      <c r="V225" s="38"/>
      <c r="W225" s="38"/>
      <c r="X225" s="38"/>
      <c r="Y225" s="38"/>
      <c r="Z225" s="38"/>
      <c r="AA225" s="966">
        <f t="shared" si="22"/>
        <v>18780</v>
      </c>
      <c r="AB225" s="35"/>
      <c r="AC225" s="183"/>
    </row>
    <row r="226" spans="1:29" x14ac:dyDescent="0.2">
      <c r="A226" s="1422"/>
      <c r="B226" s="2456"/>
      <c r="C226" s="3300"/>
      <c r="D226" s="3300"/>
      <c r="E226" s="3300"/>
      <c r="F226" s="3300"/>
      <c r="G226" s="3300"/>
      <c r="H226" s="3300"/>
      <c r="I226" s="3300"/>
      <c r="J226" s="3300"/>
      <c r="K226" s="40">
        <v>77768</v>
      </c>
      <c r="L226" s="3308"/>
      <c r="M226" s="3287" t="s">
        <v>300</v>
      </c>
      <c r="N226" s="3288"/>
      <c r="O226" s="40">
        <v>6480.666666666667</v>
      </c>
      <c r="P226" s="40">
        <v>6480.666666666667</v>
      </c>
      <c r="Q226" s="40">
        <v>6480.666666666667</v>
      </c>
      <c r="R226" s="40">
        <v>6480.666666666667</v>
      </c>
      <c r="S226" s="40">
        <v>6480.666666666667</v>
      </c>
      <c r="T226" s="38">
        <v>6480.666666666667</v>
      </c>
      <c r="U226" s="38">
        <v>6480.666666666667</v>
      </c>
      <c r="V226" s="38">
        <v>6480.666666666667</v>
      </c>
      <c r="W226" s="38">
        <v>6480.666666666667</v>
      </c>
      <c r="X226" s="38">
        <v>6480.666666666667</v>
      </c>
      <c r="Y226" s="38">
        <v>6480.666666666667</v>
      </c>
      <c r="Z226" s="38">
        <v>6480.666666666667</v>
      </c>
      <c r="AA226" s="966">
        <f t="shared" si="22"/>
        <v>77768</v>
      </c>
      <c r="AB226" s="35"/>
      <c r="AC226" s="183"/>
    </row>
    <row r="227" spans="1:29" x14ac:dyDescent="0.2">
      <c r="A227" s="1422"/>
      <c r="B227" s="2456"/>
      <c r="C227" s="3300"/>
      <c r="D227" s="3300"/>
      <c r="E227" s="3300"/>
      <c r="F227" s="3300"/>
      <c r="G227" s="3300"/>
      <c r="H227" s="3300"/>
      <c r="I227" s="3300"/>
      <c r="J227" s="3300"/>
      <c r="K227" s="40">
        <v>3220</v>
      </c>
      <c r="L227" s="3308"/>
      <c r="M227" s="3287" t="s">
        <v>301</v>
      </c>
      <c r="N227" s="3288"/>
      <c r="O227" s="40">
        <v>268.33333333333331</v>
      </c>
      <c r="P227" s="40">
        <v>268.33333333333331</v>
      </c>
      <c r="Q227" s="40">
        <v>268.33333333333331</v>
      </c>
      <c r="R227" s="40">
        <v>268.33333333333331</v>
      </c>
      <c r="S227" s="40">
        <v>268.33333333333331</v>
      </c>
      <c r="T227" s="38">
        <v>268.33333333333331</v>
      </c>
      <c r="U227" s="38">
        <v>268.33333333333331</v>
      </c>
      <c r="V227" s="38">
        <v>268.33333333333331</v>
      </c>
      <c r="W227" s="38">
        <v>268.33333333333331</v>
      </c>
      <c r="X227" s="38">
        <v>268.33333333333331</v>
      </c>
      <c r="Y227" s="38">
        <v>268.33333333333331</v>
      </c>
      <c r="Z227" s="38">
        <v>268.33333333333331</v>
      </c>
      <c r="AA227" s="966">
        <f t="shared" si="22"/>
        <v>3220.0000000000005</v>
      </c>
      <c r="AB227" s="35"/>
      <c r="AC227" s="183"/>
    </row>
    <row r="228" spans="1:29" x14ac:dyDescent="0.2">
      <c r="A228" s="1422"/>
      <c r="B228" s="2456"/>
      <c r="C228" s="3300"/>
      <c r="D228" s="3300"/>
      <c r="E228" s="3300"/>
      <c r="F228" s="3300"/>
      <c r="G228" s="3300"/>
      <c r="H228" s="3300"/>
      <c r="I228" s="3300"/>
      <c r="J228" s="3300"/>
      <c r="K228" s="40">
        <v>1000</v>
      </c>
      <c r="L228" s="3308"/>
      <c r="M228" s="3287" t="s">
        <v>303</v>
      </c>
      <c r="N228" s="3288"/>
      <c r="O228" s="40"/>
      <c r="P228" s="40"/>
      <c r="Q228" s="40">
        <v>1000</v>
      </c>
      <c r="R228" s="40"/>
      <c r="S228" s="40"/>
      <c r="T228" s="38"/>
      <c r="U228" s="38"/>
      <c r="V228" s="38"/>
      <c r="W228" s="38"/>
      <c r="X228" s="38"/>
      <c r="Y228" s="38"/>
      <c r="Z228" s="38"/>
      <c r="AA228" s="966">
        <f t="shared" si="22"/>
        <v>1000</v>
      </c>
      <c r="AB228" s="35"/>
      <c r="AC228" s="183"/>
    </row>
    <row r="229" spans="1:29" x14ac:dyDescent="0.2">
      <c r="A229" s="1422"/>
      <c r="B229" s="2456"/>
      <c r="C229" s="3300"/>
      <c r="D229" s="3300"/>
      <c r="E229" s="3300"/>
      <c r="F229" s="3300"/>
      <c r="G229" s="3300"/>
      <c r="H229" s="3300"/>
      <c r="I229" s="3300"/>
      <c r="J229" s="3300"/>
      <c r="K229" s="40">
        <v>766</v>
      </c>
      <c r="L229" s="3308"/>
      <c r="M229" s="3287" t="s">
        <v>305</v>
      </c>
      <c r="N229" s="3288"/>
      <c r="O229" s="40"/>
      <c r="P229" s="40"/>
      <c r="Q229" s="40"/>
      <c r="R229" s="40">
        <v>127.66666666666666</v>
      </c>
      <c r="S229" s="40">
        <v>191.5</v>
      </c>
      <c r="T229" s="38"/>
      <c r="U229" s="38"/>
      <c r="V229" s="38">
        <v>191.5</v>
      </c>
      <c r="W229" s="38"/>
      <c r="X229" s="38"/>
      <c r="Y229" s="38">
        <v>255.33333333333331</v>
      </c>
      <c r="Z229" s="38"/>
      <c r="AA229" s="966">
        <f t="shared" si="22"/>
        <v>766</v>
      </c>
      <c r="AB229" s="35"/>
      <c r="AC229" s="183"/>
    </row>
    <row r="230" spans="1:29" x14ac:dyDescent="0.2">
      <c r="A230" s="1422"/>
      <c r="B230" s="2456"/>
      <c r="C230" s="3300"/>
      <c r="D230" s="3300"/>
      <c r="E230" s="3300"/>
      <c r="F230" s="3300"/>
      <c r="G230" s="3300"/>
      <c r="H230" s="3300"/>
      <c r="I230" s="3300"/>
      <c r="J230" s="3300"/>
      <c r="K230" s="40">
        <v>39000</v>
      </c>
      <c r="L230" s="3308"/>
      <c r="M230" s="3287" t="s">
        <v>306</v>
      </c>
      <c r="N230" s="3288"/>
      <c r="O230" s="40"/>
      <c r="P230" s="40"/>
      <c r="Q230" s="40"/>
      <c r="R230" s="40">
        <v>6500</v>
      </c>
      <c r="S230" s="40">
        <v>9750</v>
      </c>
      <c r="T230" s="38"/>
      <c r="U230" s="38"/>
      <c r="V230" s="38">
        <v>9750</v>
      </c>
      <c r="W230" s="38"/>
      <c r="X230" s="38"/>
      <c r="Y230" s="38">
        <v>13000</v>
      </c>
      <c r="Z230" s="38"/>
      <c r="AA230" s="966">
        <f t="shared" si="22"/>
        <v>39000</v>
      </c>
      <c r="AB230" s="35"/>
      <c r="AC230" s="183"/>
    </row>
    <row r="231" spans="1:29" x14ac:dyDescent="0.2">
      <c r="A231" s="1422"/>
      <c r="B231" s="2456"/>
      <c r="C231" s="3300"/>
      <c r="D231" s="3300"/>
      <c r="E231" s="3300"/>
      <c r="F231" s="3300"/>
      <c r="G231" s="3300"/>
      <c r="H231" s="3300"/>
      <c r="I231" s="3300"/>
      <c r="J231" s="3300"/>
      <c r="K231" s="40">
        <v>10300</v>
      </c>
      <c r="L231" s="3308"/>
      <c r="M231" s="3287" t="s">
        <v>307</v>
      </c>
      <c r="N231" s="3288"/>
      <c r="O231" s="40"/>
      <c r="P231" s="40">
        <v>936.36363636363637</v>
      </c>
      <c r="Q231" s="40">
        <v>936.36363636363637</v>
      </c>
      <c r="R231" s="40">
        <v>936.36363636363637</v>
      </c>
      <c r="S231" s="40">
        <v>936.36363636363637</v>
      </c>
      <c r="T231" s="38">
        <v>936.36363636363637</v>
      </c>
      <c r="U231" s="38">
        <v>936.36363636363637</v>
      </c>
      <c r="V231" s="38">
        <v>936.36363636363637</v>
      </c>
      <c r="W231" s="38">
        <v>936.36363636363637</v>
      </c>
      <c r="X231" s="38">
        <v>936.36363636363637</v>
      </c>
      <c r="Y231" s="38">
        <v>936.36363636363637</v>
      </c>
      <c r="Z231" s="38">
        <v>936.36363636363637</v>
      </c>
      <c r="AA231" s="966">
        <f t="shared" si="22"/>
        <v>10299.999999999998</v>
      </c>
      <c r="AB231" s="35"/>
      <c r="AC231" s="183"/>
    </row>
    <row r="232" spans="1:29" x14ac:dyDescent="0.2">
      <c r="A232" s="1422"/>
      <c r="B232" s="2456"/>
      <c r="C232" s="3300"/>
      <c r="D232" s="3300"/>
      <c r="E232" s="3300"/>
      <c r="F232" s="3300"/>
      <c r="G232" s="3300"/>
      <c r="H232" s="3300"/>
      <c r="I232" s="3300"/>
      <c r="J232" s="3300"/>
      <c r="K232" s="40">
        <v>2500</v>
      </c>
      <c r="L232" s="3308"/>
      <c r="M232" s="3287" t="s">
        <v>308</v>
      </c>
      <c r="N232" s="3288"/>
      <c r="O232" s="40"/>
      <c r="P232" s="40"/>
      <c r="Q232" s="40">
        <v>2500</v>
      </c>
      <c r="R232" s="40"/>
      <c r="S232" s="40"/>
      <c r="T232" s="38"/>
      <c r="U232" s="38"/>
      <c r="V232" s="38"/>
      <c r="W232" s="38"/>
      <c r="X232" s="38"/>
      <c r="Y232" s="38"/>
      <c r="Z232" s="38"/>
      <c r="AA232" s="966">
        <f t="shared" si="22"/>
        <v>2500</v>
      </c>
      <c r="AB232" s="35"/>
      <c r="AC232" s="183"/>
    </row>
    <row r="233" spans="1:29" x14ac:dyDescent="0.2">
      <c r="A233" s="1422"/>
      <c r="B233" s="2456"/>
      <c r="C233" s="3300"/>
      <c r="D233" s="3300"/>
      <c r="E233" s="3300"/>
      <c r="F233" s="3300"/>
      <c r="G233" s="3300"/>
      <c r="H233" s="3300"/>
      <c r="I233" s="3300"/>
      <c r="J233" s="3300"/>
      <c r="K233" s="40">
        <v>11500</v>
      </c>
      <c r="L233" s="3308"/>
      <c r="M233" s="3287" t="s">
        <v>309</v>
      </c>
      <c r="N233" s="3288"/>
      <c r="O233" s="40"/>
      <c r="P233" s="40"/>
      <c r="Q233" s="40">
        <v>2300</v>
      </c>
      <c r="R233" s="40"/>
      <c r="S233" s="40">
        <v>2300</v>
      </c>
      <c r="T233" s="38"/>
      <c r="U233" s="38">
        <v>2300</v>
      </c>
      <c r="V233" s="38"/>
      <c r="W233" s="38">
        <v>2300</v>
      </c>
      <c r="X233" s="38"/>
      <c r="Y233" s="38">
        <v>2300</v>
      </c>
      <c r="Z233" s="38"/>
      <c r="AA233" s="966">
        <f t="shared" si="22"/>
        <v>11500</v>
      </c>
      <c r="AB233" s="35"/>
      <c r="AC233" s="183"/>
    </row>
    <row r="234" spans="1:29" x14ac:dyDescent="0.2">
      <c r="A234" s="1422"/>
      <c r="B234" s="2456"/>
      <c r="C234" s="3300"/>
      <c r="D234" s="3300"/>
      <c r="E234" s="3300"/>
      <c r="F234" s="3300"/>
      <c r="G234" s="3300"/>
      <c r="H234" s="3300"/>
      <c r="I234" s="3300"/>
      <c r="J234" s="3300"/>
      <c r="K234" s="40">
        <v>499824</v>
      </c>
      <c r="L234" s="3308"/>
      <c r="M234" s="3287" t="s">
        <v>310</v>
      </c>
      <c r="N234" s="3288"/>
      <c r="O234" s="40">
        <v>41652</v>
      </c>
      <c r="P234" s="40">
        <v>41652</v>
      </c>
      <c r="Q234" s="40">
        <v>41652</v>
      </c>
      <c r="R234" s="40">
        <v>41652</v>
      </c>
      <c r="S234" s="40">
        <v>41652</v>
      </c>
      <c r="T234" s="38">
        <v>41652</v>
      </c>
      <c r="U234" s="38">
        <v>41652</v>
      </c>
      <c r="V234" s="38">
        <v>41652</v>
      </c>
      <c r="W234" s="38">
        <v>41652</v>
      </c>
      <c r="X234" s="38">
        <v>41652</v>
      </c>
      <c r="Y234" s="38">
        <v>41652</v>
      </c>
      <c r="Z234" s="38">
        <v>41652</v>
      </c>
      <c r="AA234" s="966">
        <f t="shared" si="22"/>
        <v>499824</v>
      </c>
      <c r="AB234" s="35"/>
      <c r="AC234" s="183"/>
    </row>
    <row r="235" spans="1:29" x14ac:dyDescent="0.2">
      <c r="A235" s="1422"/>
      <c r="B235" s="2450"/>
      <c r="C235" s="3300"/>
      <c r="D235" s="3300"/>
      <c r="E235" s="3300"/>
      <c r="F235" s="3300"/>
      <c r="G235" s="3300"/>
      <c r="H235" s="3300"/>
      <c r="I235" s="3300"/>
      <c r="J235" s="3300"/>
      <c r="K235" s="40">
        <v>29190</v>
      </c>
      <c r="L235" s="3308"/>
      <c r="M235" s="3287" t="s">
        <v>311</v>
      </c>
      <c r="N235" s="3288"/>
      <c r="O235" s="40">
        <v>2432.5</v>
      </c>
      <c r="P235" s="40">
        <v>2432.5</v>
      </c>
      <c r="Q235" s="40">
        <v>2432.5</v>
      </c>
      <c r="R235" s="40">
        <v>2432.5</v>
      </c>
      <c r="S235" s="40">
        <v>2432.5</v>
      </c>
      <c r="T235" s="38">
        <v>2432.5</v>
      </c>
      <c r="U235" s="38">
        <v>2432.5</v>
      </c>
      <c r="V235" s="38">
        <v>2432.5</v>
      </c>
      <c r="W235" s="38">
        <v>2432.5</v>
      </c>
      <c r="X235" s="38">
        <v>2432.5</v>
      </c>
      <c r="Y235" s="38">
        <v>2432.5</v>
      </c>
      <c r="Z235" s="38">
        <v>2432.5</v>
      </c>
      <c r="AA235" s="966">
        <f t="shared" si="22"/>
        <v>29190</v>
      </c>
      <c r="AB235" s="35"/>
      <c r="AC235" s="183"/>
    </row>
    <row r="236" spans="1:29" x14ac:dyDescent="0.2">
      <c r="A236" s="1422"/>
      <c r="B236" s="1431"/>
      <c r="C236" s="35"/>
      <c r="D236" s="35"/>
      <c r="E236" s="35"/>
      <c r="F236" s="35"/>
      <c r="G236" s="35"/>
      <c r="H236" s="35"/>
      <c r="I236" s="35"/>
      <c r="J236" s="35"/>
      <c r="K236" s="60"/>
      <c r="L236" s="60"/>
      <c r="M236" s="60"/>
      <c r="N236" s="60"/>
      <c r="O236" s="60"/>
      <c r="P236" s="60"/>
      <c r="Q236" s="60"/>
      <c r="R236" s="60"/>
      <c r="S236" s="60"/>
      <c r="T236" s="35"/>
      <c r="U236" s="35"/>
      <c r="V236" s="35"/>
      <c r="W236" s="35"/>
      <c r="X236" s="35"/>
      <c r="Y236" s="35"/>
      <c r="Z236" s="35"/>
      <c r="AA236" s="1200"/>
      <c r="AB236" s="35"/>
      <c r="AC236" s="183"/>
    </row>
    <row r="237" spans="1:29" x14ac:dyDescent="0.2">
      <c r="A237" s="1422"/>
      <c r="B237" s="1421"/>
      <c r="C237" s="35"/>
      <c r="D237" s="35"/>
      <c r="E237" s="35"/>
      <c r="F237" s="35"/>
      <c r="G237" s="35"/>
      <c r="H237" s="35"/>
      <c r="I237" s="35"/>
      <c r="J237" s="35"/>
      <c r="K237" s="60"/>
      <c r="L237" s="60"/>
      <c r="M237" s="60"/>
      <c r="N237" s="60"/>
      <c r="O237" s="60"/>
      <c r="P237" s="60"/>
      <c r="Q237" s="60"/>
      <c r="R237" s="60"/>
      <c r="S237" s="60"/>
      <c r="T237" s="35"/>
      <c r="U237" s="35"/>
      <c r="V237" s="2974" t="s">
        <v>15</v>
      </c>
      <c r="W237" s="2975"/>
      <c r="X237" s="2975"/>
      <c r="Y237" s="2976"/>
      <c r="Z237" s="2974" t="s">
        <v>16</v>
      </c>
      <c r="AA237" s="2976"/>
      <c r="AB237" s="35"/>
      <c r="AC237" s="183"/>
    </row>
    <row r="238" spans="1:29" ht="22.5" customHeight="1" x14ac:dyDescent="0.2">
      <c r="A238" s="1422"/>
      <c r="B238" s="1013" t="s">
        <v>276</v>
      </c>
      <c r="C238" s="1115">
        <v>3033249</v>
      </c>
      <c r="D238" s="1115"/>
      <c r="E238" s="3277" t="s">
        <v>364</v>
      </c>
      <c r="F238" s="3278"/>
      <c r="G238" s="3278"/>
      <c r="H238" s="3278"/>
      <c r="I238" s="3278"/>
      <c r="J238" s="3278"/>
      <c r="K238" s="3278"/>
      <c r="L238" s="3278"/>
      <c r="M238" s="3278"/>
      <c r="N238" s="3278"/>
      <c r="O238" s="3278"/>
      <c r="P238" s="3278"/>
      <c r="Q238" s="3278"/>
      <c r="R238" s="3278"/>
      <c r="S238" s="3278"/>
      <c r="T238" s="3278"/>
      <c r="U238" s="3279"/>
      <c r="V238" s="3305" t="s">
        <v>365</v>
      </c>
      <c r="W238" s="3306"/>
      <c r="X238" s="3306"/>
      <c r="Y238" s="3307"/>
      <c r="Z238" s="3309" t="s">
        <v>366</v>
      </c>
      <c r="AA238" s="3310"/>
      <c r="AB238" s="35"/>
      <c r="AC238" s="183"/>
    </row>
    <row r="239" spans="1:29" x14ac:dyDescent="0.2">
      <c r="A239" s="1422"/>
      <c r="B239" s="2999" t="s">
        <v>278</v>
      </c>
      <c r="C239" s="2988" t="s">
        <v>21</v>
      </c>
      <c r="D239" s="2988" t="s">
        <v>22</v>
      </c>
      <c r="E239" s="2988" t="s">
        <v>23</v>
      </c>
      <c r="F239" s="2988" t="s">
        <v>24</v>
      </c>
      <c r="G239" s="2988" t="s">
        <v>25</v>
      </c>
      <c r="H239" s="2988" t="s">
        <v>26</v>
      </c>
      <c r="I239" s="2988" t="s">
        <v>27</v>
      </c>
      <c r="J239" s="3206" t="s">
        <v>28</v>
      </c>
      <c r="K239" s="3301"/>
      <c r="L239" s="2988" t="s">
        <v>279</v>
      </c>
      <c r="M239" s="3273" t="s">
        <v>280</v>
      </c>
      <c r="N239" s="3274"/>
      <c r="O239" s="2847" t="s">
        <v>281</v>
      </c>
      <c r="P239" s="2847"/>
      <c r="Q239" s="2847"/>
      <c r="R239" s="2847"/>
      <c r="S239" s="2847"/>
      <c r="T239" s="2847"/>
      <c r="U239" s="2847"/>
      <c r="V239" s="2847"/>
      <c r="W239" s="2847"/>
      <c r="X239" s="2847"/>
      <c r="Y239" s="2847"/>
      <c r="Z239" s="2847"/>
      <c r="AA239" s="2988" t="s">
        <v>32</v>
      </c>
      <c r="AB239" s="35"/>
      <c r="AC239" s="183"/>
    </row>
    <row r="240" spans="1:29" x14ac:dyDescent="0.2">
      <c r="A240" s="1422"/>
      <c r="B240" s="2999"/>
      <c r="C240" s="3186"/>
      <c r="D240" s="3186"/>
      <c r="E240" s="3186"/>
      <c r="F240" s="3186"/>
      <c r="G240" s="3186"/>
      <c r="H240" s="3186"/>
      <c r="I240" s="3186"/>
      <c r="J240" s="2988" t="s">
        <v>33</v>
      </c>
      <c r="K240" s="2988" t="s">
        <v>282</v>
      </c>
      <c r="L240" s="3186"/>
      <c r="M240" s="3275"/>
      <c r="N240" s="3276"/>
      <c r="O240" s="1009" t="s">
        <v>283</v>
      </c>
      <c r="P240" s="1009" t="s">
        <v>284</v>
      </c>
      <c r="Q240" s="1009" t="s">
        <v>285</v>
      </c>
      <c r="R240" s="1009" t="s">
        <v>88</v>
      </c>
      <c r="S240" s="1009" t="s">
        <v>89</v>
      </c>
      <c r="T240" s="1009" t="s">
        <v>90</v>
      </c>
      <c r="U240" s="1009" t="s">
        <v>91</v>
      </c>
      <c r="V240" s="1009" t="s">
        <v>92</v>
      </c>
      <c r="W240" s="1009" t="s">
        <v>286</v>
      </c>
      <c r="X240" s="1009" t="s">
        <v>93</v>
      </c>
      <c r="Y240" s="1009" t="s">
        <v>94</v>
      </c>
      <c r="Z240" s="1009" t="s">
        <v>95</v>
      </c>
      <c r="AA240" s="2989"/>
      <c r="AB240" s="35"/>
      <c r="AC240" s="183"/>
    </row>
    <row r="241" spans="1:29" x14ac:dyDescent="0.2">
      <c r="A241" s="1422"/>
      <c r="B241" s="2999"/>
      <c r="C241" s="3186"/>
      <c r="D241" s="3186"/>
      <c r="E241" s="3186"/>
      <c r="F241" s="3186"/>
      <c r="G241" s="3186"/>
      <c r="H241" s="3186"/>
      <c r="I241" s="3186"/>
      <c r="J241" s="3186"/>
      <c r="K241" s="3186"/>
      <c r="L241" s="3186"/>
      <c r="M241" s="3271" t="s">
        <v>287</v>
      </c>
      <c r="N241" s="3272"/>
      <c r="O241" s="1095">
        <v>319</v>
      </c>
      <c r="P241" s="1095">
        <v>319</v>
      </c>
      <c r="Q241" s="1095">
        <v>319</v>
      </c>
      <c r="R241" s="1095">
        <v>320</v>
      </c>
      <c r="S241" s="1095">
        <v>320</v>
      </c>
      <c r="T241" s="1095">
        <v>321</v>
      </c>
      <c r="U241" s="1095">
        <v>320</v>
      </c>
      <c r="V241" s="1095">
        <v>319</v>
      </c>
      <c r="W241" s="1095">
        <v>319</v>
      </c>
      <c r="X241" s="1095">
        <v>319</v>
      </c>
      <c r="Y241" s="1095">
        <v>319</v>
      </c>
      <c r="Z241" s="1095">
        <v>319</v>
      </c>
      <c r="AA241" s="1196">
        <f t="shared" ref="AA241:AA266" si="24">SUM(O241:Z241)</f>
        <v>3833</v>
      </c>
      <c r="AB241" s="35"/>
      <c r="AC241" s="183"/>
    </row>
    <row r="242" spans="1:29" x14ac:dyDescent="0.2">
      <c r="A242" s="1422"/>
      <c r="B242" s="2999"/>
      <c r="C242" s="2989"/>
      <c r="D242" s="2989"/>
      <c r="E242" s="2989"/>
      <c r="F242" s="2989"/>
      <c r="G242" s="2989"/>
      <c r="H242" s="2989"/>
      <c r="I242" s="2989"/>
      <c r="J242" s="2989"/>
      <c r="K242" s="2989"/>
      <c r="L242" s="2989"/>
      <c r="M242" s="3271" t="s">
        <v>34</v>
      </c>
      <c r="N242" s="3272"/>
      <c r="O242" s="36">
        <f>SUM(O243:O266)</f>
        <v>128467.16666666667</v>
      </c>
      <c r="P242" s="36">
        <f t="shared" ref="P242:Z242" si="25">SUM(P243:P266)</f>
        <v>116878.07575757576</v>
      </c>
      <c r="Q242" s="36">
        <f t="shared" si="25"/>
        <v>158552.40909090909</v>
      </c>
      <c r="R242" s="36">
        <f t="shared" si="25"/>
        <v>132980.34242424244</v>
      </c>
      <c r="S242" s="36">
        <f t="shared" si="25"/>
        <v>116878.07575757576</v>
      </c>
      <c r="T242" s="36">
        <f t="shared" si="25"/>
        <v>136427.00909090906</v>
      </c>
      <c r="U242" s="36">
        <f t="shared" si="25"/>
        <v>139382.07575757575</v>
      </c>
      <c r="V242" s="36">
        <f t="shared" si="25"/>
        <v>129980.34242424244</v>
      </c>
      <c r="W242" s="36">
        <f t="shared" si="25"/>
        <v>116878.07575757576</v>
      </c>
      <c r="X242" s="36">
        <f t="shared" si="25"/>
        <v>123533.67575757577</v>
      </c>
      <c r="Y242" s="36">
        <f t="shared" si="25"/>
        <v>116878.07575757576</v>
      </c>
      <c r="Z242" s="36">
        <f t="shared" si="25"/>
        <v>133998.67575757575</v>
      </c>
      <c r="AA242" s="1196">
        <f t="shared" si="24"/>
        <v>1550834</v>
      </c>
      <c r="AB242" s="35"/>
      <c r="AC242" s="183"/>
    </row>
    <row r="243" spans="1:29" ht="11.25" customHeight="1" x14ac:dyDescent="0.2">
      <c r="A243" s="1422"/>
      <c r="B243" s="2438">
        <v>5000012</v>
      </c>
      <c r="C243" s="3268" t="s">
        <v>3233</v>
      </c>
      <c r="D243" s="3300">
        <v>8</v>
      </c>
      <c r="E243" s="3300" t="s">
        <v>288</v>
      </c>
      <c r="F243" s="3300" t="s">
        <v>313</v>
      </c>
      <c r="G243" s="3300" t="s">
        <v>329</v>
      </c>
      <c r="H243" s="3300" t="s">
        <v>367</v>
      </c>
      <c r="I243" s="3300" t="s">
        <v>368</v>
      </c>
      <c r="J243" s="3300">
        <v>3833</v>
      </c>
      <c r="K243" s="40">
        <v>288252</v>
      </c>
      <c r="L243" s="3294" t="s">
        <v>336</v>
      </c>
      <c r="M243" s="3287" t="s">
        <v>293</v>
      </c>
      <c r="N243" s="3288"/>
      <c r="O243" s="40">
        <v>24021</v>
      </c>
      <c r="P243" s="40">
        <v>24021</v>
      </c>
      <c r="Q243" s="40">
        <v>24021</v>
      </c>
      <c r="R243" s="40">
        <v>24021</v>
      </c>
      <c r="S243" s="40">
        <v>24021</v>
      </c>
      <c r="T243" s="38">
        <v>24021</v>
      </c>
      <c r="U243" s="38">
        <v>24021</v>
      </c>
      <c r="V243" s="38">
        <v>24021</v>
      </c>
      <c r="W243" s="38">
        <v>24021</v>
      </c>
      <c r="X243" s="38">
        <v>24021</v>
      </c>
      <c r="Y243" s="38">
        <v>24021</v>
      </c>
      <c r="Z243" s="38">
        <v>24021</v>
      </c>
      <c r="AA243" s="966">
        <f t="shared" si="24"/>
        <v>288252</v>
      </c>
      <c r="AB243" s="35"/>
      <c r="AC243" s="183"/>
    </row>
    <row r="244" spans="1:29" x14ac:dyDescent="0.2">
      <c r="A244" s="1422"/>
      <c r="B244" s="2456"/>
      <c r="C244" s="3269"/>
      <c r="D244" s="3300"/>
      <c r="E244" s="3300"/>
      <c r="F244" s="3300"/>
      <c r="G244" s="3300"/>
      <c r="H244" s="3300"/>
      <c r="I244" s="3300"/>
      <c r="J244" s="3300"/>
      <c r="K244" s="40">
        <v>170780</v>
      </c>
      <c r="L244" s="3295"/>
      <c r="M244" s="3287" t="s">
        <v>321</v>
      </c>
      <c r="N244" s="3288"/>
      <c r="O244" s="40">
        <v>14231.666666666666</v>
      </c>
      <c r="P244" s="40">
        <v>14231.666666666666</v>
      </c>
      <c r="Q244" s="40">
        <v>14231.666666666666</v>
      </c>
      <c r="R244" s="40">
        <v>14231.666666666666</v>
      </c>
      <c r="S244" s="40">
        <v>14231.666666666666</v>
      </c>
      <c r="T244" s="38">
        <v>14231.666666666666</v>
      </c>
      <c r="U244" s="38">
        <v>14231.666666666666</v>
      </c>
      <c r="V244" s="38">
        <v>14231.666666666666</v>
      </c>
      <c r="W244" s="38">
        <v>14231.666666666666</v>
      </c>
      <c r="X244" s="38">
        <v>14231.666666666666</v>
      </c>
      <c r="Y244" s="38">
        <v>14231.666666666666</v>
      </c>
      <c r="Z244" s="38">
        <v>14231.666666666666</v>
      </c>
      <c r="AA244" s="966">
        <f t="shared" si="24"/>
        <v>170780</v>
      </c>
      <c r="AB244" s="35"/>
      <c r="AC244" s="183"/>
    </row>
    <row r="245" spans="1:29" x14ac:dyDescent="0.2">
      <c r="A245" s="1422"/>
      <c r="B245" s="2456"/>
      <c r="C245" s="3269"/>
      <c r="D245" s="3300"/>
      <c r="E245" s="3300"/>
      <c r="F245" s="3300"/>
      <c r="G245" s="3300"/>
      <c r="H245" s="3300"/>
      <c r="I245" s="3300"/>
      <c r="J245" s="3300"/>
      <c r="K245" s="40">
        <v>26868</v>
      </c>
      <c r="L245" s="3295"/>
      <c r="M245" s="3287" t="s">
        <v>294</v>
      </c>
      <c r="N245" s="3288"/>
      <c r="O245" s="40">
        <v>2239</v>
      </c>
      <c r="P245" s="40">
        <v>2239</v>
      </c>
      <c r="Q245" s="40">
        <v>2239</v>
      </c>
      <c r="R245" s="40">
        <v>2239</v>
      </c>
      <c r="S245" s="40">
        <v>2239</v>
      </c>
      <c r="T245" s="38">
        <v>2239</v>
      </c>
      <c r="U245" s="38">
        <v>2239</v>
      </c>
      <c r="V245" s="38">
        <v>2239</v>
      </c>
      <c r="W245" s="38">
        <v>2239</v>
      </c>
      <c r="X245" s="38">
        <v>2239</v>
      </c>
      <c r="Y245" s="38">
        <v>2239</v>
      </c>
      <c r="Z245" s="38">
        <v>2239</v>
      </c>
      <c r="AA245" s="966">
        <f t="shared" si="24"/>
        <v>26868</v>
      </c>
      <c r="AB245" s="35"/>
      <c r="AC245" s="183"/>
    </row>
    <row r="246" spans="1:29" x14ac:dyDescent="0.2">
      <c r="A246" s="1422"/>
      <c r="B246" s="2456"/>
      <c r="C246" s="3269"/>
      <c r="D246" s="3300"/>
      <c r="E246" s="3300"/>
      <c r="F246" s="3300"/>
      <c r="G246" s="3300"/>
      <c r="H246" s="3300"/>
      <c r="I246" s="3300"/>
      <c r="J246" s="3300"/>
      <c r="K246" s="40">
        <v>479528</v>
      </c>
      <c r="L246" s="3295"/>
      <c r="M246" s="3287" t="s">
        <v>295</v>
      </c>
      <c r="N246" s="3288"/>
      <c r="O246" s="40">
        <v>39960.666666666664</v>
      </c>
      <c r="P246" s="40">
        <v>39960.666666666664</v>
      </c>
      <c r="Q246" s="40">
        <v>39960.666666666664</v>
      </c>
      <c r="R246" s="40">
        <v>39960.666666666664</v>
      </c>
      <c r="S246" s="40">
        <v>39960.666666666664</v>
      </c>
      <c r="T246" s="38">
        <v>39960.666666666664</v>
      </c>
      <c r="U246" s="38">
        <v>39960.666666666664</v>
      </c>
      <c r="V246" s="38">
        <v>39960.666666666664</v>
      </c>
      <c r="W246" s="38">
        <v>39960.666666666664</v>
      </c>
      <c r="X246" s="38">
        <v>39960.666666666664</v>
      </c>
      <c r="Y246" s="38">
        <v>39960.666666666664</v>
      </c>
      <c r="Z246" s="38">
        <v>39960.666666666664</v>
      </c>
      <c r="AA246" s="966">
        <f t="shared" si="24"/>
        <v>479528.00000000006</v>
      </c>
      <c r="AB246" s="35"/>
      <c r="AC246" s="183"/>
    </row>
    <row r="247" spans="1:29" x14ac:dyDescent="0.2">
      <c r="A247" s="1422"/>
      <c r="B247" s="2456"/>
      <c r="C247" s="3269"/>
      <c r="D247" s="3300"/>
      <c r="E247" s="3300"/>
      <c r="F247" s="3300"/>
      <c r="G247" s="3300"/>
      <c r="H247" s="3300"/>
      <c r="I247" s="3300"/>
      <c r="J247" s="3300"/>
      <c r="K247" s="40">
        <v>68616</v>
      </c>
      <c r="L247" s="3295"/>
      <c r="M247" s="3287" t="s">
        <v>332</v>
      </c>
      <c r="N247" s="3288"/>
      <c r="O247" s="40">
        <v>5718</v>
      </c>
      <c r="P247" s="40">
        <v>5718</v>
      </c>
      <c r="Q247" s="40">
        <v>5718</v>
      </c>
      <c r="R247" s="40">
        <v>5718</v>
      </c>
      <c r="S247" s="40">
        <v>5718</v>
      </c>
      <c r="T247" s="38">
        <v>5718</v>
      </c>
      <c r="U247" s="38">
        <v>5718</v>
      </c>
      <c r="V247" s="38">
        <v>5718</v>
      </c>
      <c r="W247" s="38">
        <v>5718</v>
      </c>
      <c r="X247" s="38">
        <v>5718</v>
      </c>
      <c r="Y247" s="38">
        <v>5718</v>
      </c>
      <c r="Z247" s="38">
        <v>5718</v>
      </c>
      <c r="AA247" s="966">
        <f t="shared" si="24"/>
        <v>68616</v>
      </c>
      <c r="AB247" s="35"/>
      <c r="AC247" s="183"/>
    </row>
    <row r="248" spans="1:29" x14ac:dyDescent="0.2">
      <c r="A248" s="1422"/>
      <c r="B248" s="2456"/>
      <c r="C248" s="3269"/>
      <c r="D248" s="3300"/>
      <c r="E248" s="3300"/>
      <c r="F248" s="3300"/>
      <c r="G248" s="3300"/>
      <c r="H248" s="3300"/>
      <c r="I248" s="3300"/>
      <c r="J248" s="3300"/>
      <c r="K248" s="40">
        <v>191497</v>
      </c>
      <c r="L248" s="3295"/>
      <c r="M248" s="3287" t="s">
        <v>296</v>
      </c>
      <c r="N248" s="3288"/>
      <c r="O248" s="40">
        <v>15958.083333333334</v>
      </c>
      <c r="P248" s="40">
        <v>15958.083333333334</v>
      </c>
      <c r="Q248" s="40">
        <v>15958.083333333334</v>
      </c>
      <c r="R248" s="40">
        <v>15958.083333333334</v>
      </c>
      <c r="S248" s="40">
        <v>15958.083333333334</v>
      </c>
      <c r="T248" s="38">
        <v>15958.083333333334</v>
      </c>
      <c r="U248" s="38">
        <v>15958.083333333334</v>
      </c>
      <c r="V248" s="38">
        <v>15958.083333333334</v>
      </c>
      <c r="W248" s="38">
        <v>15958.083333333334</v>
      </c>
      <c r="X248" s="38">
        <v>15958.083333333334</v>
      </c>
      <c r="Y248" s="38">
        <v>15958.083333333334</v>
      </c>
      <c r="Z248" s="38">
        <v>15958.083333333334</v>
      </c>
      <c r="AA248" s="966">
        <f t="shared" si="24"/>
        <v>191497.00000000003</v>
      </c>
      <c r="AB248" s="35"/>
      <c r="AC248" s="183"/>
    </row>
    <row r="249" spans="1:29" x14ac:dyDescent="0.2">
      <c r="A249" s="1422"/>
      <c r="B249" s="2456"/>
      <c r="C249" s="3269"/>
      <c r="D249" s="3300"/>
      <c r="E249" s="3300"/>
      <c r="F249" s="3300"/>
      <c r="G249" s="3300"/>
      <c r="H249" s="3300"/>
      <c r="I249" s="3300"/>
      <c r="J249" s="3300"/>
      <c r="K249" s="40">
        <v>43212</v>
      </c>
      <c r="L249" s="3295"/>
      <c r="M249" s="3287" t="s">
        <v>297</v>
      </c>
      <c r="N249" s="3288"/>
      <c r="O249" s="40">
        <v>3601</v>
      </c>
      <c r="P249" s="40">
        <v>3601</v>
      </c>
      <c r="Q249" s="40">
        <v>3601</v>
      </c>
      <c r="R249" s="40">
        <v>3601</v>
      </c>
      <c r="S249" s="40">
        <v>3601</v>
      </c>
      <c r="T249" s="38">
        <v>3601</v>
      </c>
      <c r="U249" s="38">
        <v>3601</v>
      </c>
      <c r="V249" s="38">
        <v>3601</v>
      </c>
      <c r="W249" s="38">
        <v>3601</v>
      </c>
      <c r="X249" s="38">
        <v>3601</v>
      </c>
      <c r="Y249" s="38">
        <v>3601</v>
      </c>
      <c r="Z249" s="38">
        <v>3601</v>
      </c>
      <c r="AA249" s="966">
        <f t="shared" si="24"/>
        <v>43212</v>
      </c>
      <c r="AB249" s="35"/>
      <c r="AC249" s="183"/>
    </row>
    <row r="250" spans="1:29" x14ac:dyDescent="0.2">
      <c r="A250" s="1422"/>
      <c r="B250" s="2456"/>
      <c r="C250" s="3269"/>
      <c r="D250" s="3300"/>
      <c r="E250" s="3300"/>
      <c r="F250" s="3300"/>
      <c r="G250" s="3300"/>
      <c r="H250" s="3300"/>
      <c r="I250" s="3300"/>
      <c r="J250" s="3300"/>
      <c r="K250" s="40">
        <v>20930</v>
      </c>
      <c r="L250" s="3295"/>
      <c r="M250" s="3287" t="s">
        <v>298</v>
      </c>
      <c r="N250" s="3288"/>
      <c r="O250" s="40"/>
      <c r="P250" s="40"/>
      <c r="Q250" s="40"/>
      <c r="R250" s="40"/>
      <c r="S250" s="40"/>
      <c r="T250" s="38"/>
      <c r="U250" s="38">
        <v>10465</v>
      </c>
      <c r="V250" s="38"/>
      <c r="W250" s="38"/>
      <c r="X250" s="38"/>
      <c r="Y250" s="38"/>
      <c r="Z250" s="38">
        <v>10465</v>
      </c>
      <c r="AA250" s="966">
        <f t="shared" si="24"/>
        <v>20930</v>
      </c>
      <c r="AB250" s="35"/>
      <c r="AC250" s="183"/>
    </row>
    <row r="251" spans="1:29" x14ac:dyDescent="0.2">
      <c r="A251" s="1422"/>
      <c r="B251" s="2456"/>
      <c r="C251" s="3269"/>
      <c r="D251" s="3300"/>
      <c r="E251" s="3300"/>
      <c r="F251" s="3300"/>
      <c r="G251" s="3300"/>
      <c r="H251" s="3300"/>
      <c r="I251" s="3300"/>
      <c r="J251" s="3300"/>
      <c r="K251" s="40">
        <v>13780</v>
      </c>
      <c r="L251" s="3295"/>
      <c r="M251" s="3287" t="s">
        <v>299</v>
      </c>
      <c r="N251" s="3288"/>
      <c r="O251" s="40">
        <v>13780</v>
      </c>
      <c r="P251" s="40"/>
      <c r="Q251" s="40"/>
      <c r="R251" s="40"/>
      <c r="S251" s="40"/>
      <c r="T251" s="38"/>
      <c r="U251" s="38"/>
      <c r="V251" s="38"/>
      <c r="W251" s="38"/>
      <c r="X251" s="38"/>
      <c r="Y251" s="38"/>
      <c r="Z251" s="38"/>
      <c r="AA251" s="966">
        <f t="shared" si="24"/>
        <v>13780</v>
      </c>
      <c r="AB251" s="35"/>
      <c r="AC251" s="183"/>
    </row>
    <row r="252" spans="1:29" x14ac:dyDescent="0.2">
      <c r="A252" s="1422"/>
      <c r="B252" s="2456"/>
      <c r="C252" s="3269"/>
      <c r="D252" s="3300"/>
      <c r="E252" s="3300"/>
      <c r="F252" s="3300"/>
      <c r="G252" s="3300"/>
      <c r="H252" s="3300"/>
      <c r="I252" s="3300"/>
      <c r="J252" s="3300"/>
      <c r="K252" s="40">
        <v>56495</v>
      </c>
      <c r="L252" s="3295"/>
      <c r="M252" s="3287" t="s">
        <v>300</v>
      </c>
      <c r="N252" s="3288"/>
      <c r="O252" s="40">
        <v>4707.916666666667</v>
      </c>
      <c r="P252" s="40">
        <v>4707.916666666667</v>
      </c>
      <c r="Q252" s="40">
        <v>4707.916666666667</v>
      </c>
      <c r="R252" s="40">
        <v>4707.916666666667</v>
      </c>
      <c r="S252" s="40">
        <v>4707.916666666667</v>
      </c>
      <c r="T252" s="38">
        <v>4707.916666666667</v>
      </c>
      <c r="U252" s="38">
        <v>4707.916666666667</v>
      </c>
      <c r="V252" s="38">
        <v>4707.916666666667</v>
      </c>
      <c r="W252" s="38">
        <v>4707.916666666667</v>
      </c>
      <c r="X252" s="38">
        <v>4707.916666666667</v>
      </c>
      <c r="Y252" s="38">
        <v>4707.916666666667</v>
      </c>
      <c r="Z252" s="38">
        <v>4707.916666666667</v>
      </c>
      <c r="AA252" s="966">
        <f t="shared" si="24"/>
        <v>56494.999999999993</v>
      </c>
      <c r="AB252" s="35"/>
      <c r="AC252" s="183"/>
    </row>
    <row r="253" spans="1:29" x14ac:dyDescent="0.2">
      <c r="A253" s="1422"/>
      <c r="B253" s="2456"/>
      <c r="C253" s="3269"/>
      <c r="D253" s="3300"/>
      <c r="E253" s="3300"/>
      <c r="F253" s="3300"/>
      <c r="G253" s="3300"/>
      <c r="H253" s="3300"/>
      <c r="I253" s="3300"/>
      <c r="J253" s="3300"/>
      <c r="K253" s="40">
        <v>2417</v>
      </c>
      <c r="L253" s="3295"/>
      <c r="M253" s="3287" t="s">
        <v>301</v>
      </c>
      <c r="N253" s="3288"/>
      <c r="O253" s="40">
        <v>201.41666666666666</v>
      </c>
      <c r="P253" s="40">
        <v>201.41666666666666</v>
      </c>
      <c r="Q253" s="40">
        <v>201.41666666666666</v>
      </c>
      <c r="R253" s="40">
        <v>201.41666666666666</v>
      </c>
      <c r="S253" s="40">
        <v>201.41666666666666</v>
      </c>
      <c r="T253" s="38">
        <v>201.41666666666666</v>
      </c>
      <c r="U253" s="38">
        <v>201.41666666666666</v>
      </c>
      <c r="V253" s="38">
        <v>201.41666666666666</v>
      </c>
      <c r="W253" s="38">
        <v>201.41666666666666</v>
      </c>
      <c r="X253" s="38">
        <v>201.41666666666666</v>
      </c>
      <c r="Y253" s="38">
        <v>201.41666666666666</v>
      </c>
      <c r="Z253" s="38">
        <v>201.41666666666666</v>
      </c>
      <c r="AA253" s="966">
        <f t="shared" si="24"/>
        <v>2417</v>
      </c>
      <c r="AB253" s="35"/>
      <c r="AC253" s="183"/>
    </row>
    <row r="254" spans="1:29" x14ac:dyDescent="0.2">
      <c r="A254" s="1422"/>
      <c r="B254" s="2456"/>
      <c r="C254" s="3269"/>
      <c r="D254" s="3300"/>
      <c r="E254" s="3300"/>
      <c r="F254" s="3300"/>
      <c r="G254" s="3300"/>
      <c r="H254" s="3300"/>
      <c r="I254" s="3300"/>
      <c r="J254" s="3300"/>
      <c r="K254" s="40">
        <v>8000</v>
      </c>
      <c r="L254" s="3295"/>
      <c r="M254" s="3287" t="s">
        <v>340</v>
      </c>
      <c r="N254" s="3288"/>
      <c r="O254" s="40"/>
      <c r="P254" s="40"/>
      <c r="Q254" s="40">
        <v>8000</v>
      </c>
      <c r="R254" s="40"/>
      <c r="S254" s="40"/>
      <c r="T254" s="38"/>
      <c r="U254" s="38"/>
      <c r="V254" s="38"/>
      <c r="W254" s="38"/>
      <c r="X254" s="38"/>
      <c r="Y254" s="38"/>
      <c r="Z254" s="38"/>
      <c r="AA254" s="966">
        <f t="shared" si="24"/>
        <v>8000</v>
      </c>
      <c r="AB254" s="35"/>
      <c r="AC254" s="183"/>
    </row>
    <row r="255" spans="1:29" x14ac:dyDescent="0.2">
      <c r="A255" s="1422"/>
      <c r="B255" s="2456"/>
      <c r="C255" s="3269"/>
      <c r="D255" s="3300"/>
      <c r="E255" s="3300"/>
      <c r="F255" s="3300"/>
      <c r="G255" s="3300"/>
      <c r="H255" s="3300"/>
      <c r="I255" s="3300"/>
      <c r="J255" s="3300"/>
      <c r="K255" s="40">
        <v>3000</v>
      </c>
      <c r="L255" s="3295"/>
      <c r="M255" s="3287" t="s">
        <v>303</v>
      </c>
      <c r="N255" s="3288"/>
      <c r="O255" s="40"/>
      <c r="P255" s="40"/>
      <c r="Q255" s="40">
        <v>3000</v>
      </c>
      <c r="R255" s="40"/>
      <c r="S255" s="40"/>
      <c r="T255" s="38"/>
      <c r="U255" s="38"/>
      <c r="V255" s="38"/>
      <c r="W255" s="38"/>
      <c r="X255" s="38"/>
      <c r="Y255" s="38"/>
      <c r="Z255" s="38"/>
      <c r="AA255" s="966">
        <f t="shared" si="24"/>
        <v>3000</v>
      </c>
      <c r="AB255" s="35"/>
      <c r="AC255" s="183"/>
    </row>
    <row r="256" spans="1:29" x14ac:dyDescent="0.2">
      <c r="A256" s="1422"/>
      <c r="B256" s="2456"/>
      <c r="C256" s="3269"/>
      <c r="D256" s="3300"/>
      <c r="E256" s="3300"/>
      <c r="F256" s="3300"/>
      <c r="G256" s="3300"/>
      <c r="H256" s="3300"/>
      <c r="I256" s="3300"/>
      <c r="J256" s="3300"/>
      <c r="K256" s="40">
        <v>1242</v>
      </c>
      <c r="L256" s="3295"/>
      <c r="M256" s="3287" t="s">
        <v>324</v>
      </c>
      <c r="N256" s="3288"/>
      <c r="O256" s="40"/>
      <c r="P256" s="40"/>
      <c r="Q256" s="40">
        <v>1242</v>
      </c>
      <c r="R256" s="40"/>
      <c r="S256" s="40"/>
      <c r="T256" s="38"/>
      <c r="U256" s="38"/>
      <c r="V256" s="38"/>
      <c r="W256" s="38"/>
      <c r="X256" s="38"/>
      <c r="Y256" s="38"/>
      <c r="Z256" s="38"/>
      <c r="AA256" s="966">
        <f t="shared" si="24"/>
        <v>1242</v>
      </c>
      <c r="AB256" s="35"/>
      <c r="AC256" s="183"/>
    </row>
    <row r="257" spans="1:29" x14ac:dyDescent="0.2">
      <c r="A257" s="1422"/>
      <c r="B257" s="2456"/>
      <c r="C257" s="3269"/>
      <c r="D257" s="3300"/>
      <c r="E257" s="3300"/>
      <c r="F257" s="3300"/>
      <c r="G257" s="3300"/>
      <c r="H257" s="3300"/>
      <c r="I257" s="3300"/>
      <c r="J257" s="3300"/>
      <c r="K257" s="40">
        <v>3000</v>
      </c>
      <c r="L257" s="3295"/>
      <c r="M257" s="3287" t="s">
        <v>304</v>
      </c>
      <c r="N257" s="3288"/>
      <c r="O257" s="40"/>
      <c r="P257" s="40"/>
      <c r="Q257" s="40"/>
      <c r="R257" s="40">
        <v>3000</v>
      </c>
      <c r="S257" s="40"/>
      <c r="T257" s="38"/>
      <c r="U257" s="38"/>
      <c r="V257" s="38"/>
      <c r="W257" s="38"/>
      <c r="X257" s="38"/>
      <c r="Y257" s="38"/>
      <c r="Z257" s="38"/>
      <c r="AA257" s="966">
        <f t="shared" si="24"/>
        <v>3000</v>
      </c>
      <c r="AB257" s="35"/>
      <c r="AC257" s="183"/>
    </row>
    <row r="258" spans="1:29" x14ac:dyDescent="0.2">
      <c r="A258" s="1422"/>
      <c r="B258" s="2456"/>
      <c r="C258" s="3269"/>
      <c r="D258" s="3300"/>
      <c r="E258" s="3300"/>
      <c r="F258" s="3300"/>
      <c r="G258" s="3300"/>
      <c r="H258" s="3300"/>
      <c r="I258" s="3300"/>
      <c r="J258" s="3300"/>
      <c r="K258" s="40">
        <v>1140</v>
      </c>
      <c r="L258" s="3295"/>
      <c r="M258" s="3287" t="s">
        <v>305</v>
      </c>
      <c r="N258" s="3288"/>
      <c r="O258" s="40"/>
      <c r="P258" s="40"/>
      <c r="Q258" s="40">
        <v>380</v>
      </c>
      <c r="R258" s="40">
        <v>190</v>
      </c>
      <c r="S258" s="40"/>
      <c r="T258" s="38">
        <v>380</v>
      </c>
      <c r="U258" s="38"/>
      <c r="V258" s="38">
        <v>190</v>
      </c>
      <c r="W258" s="38"/>
      <c r="X258" s="38"/>
      <c r="Y258" s="38"/>
      <c r="Z258" s="38"/>
      <c r="AA258" s="966">
        <f t="shared" si="24"/>
        <v>1140</v>
      </c>
      <c r="AB258" s="35"/>
      <c r="AC258" s="183"/>
    </row>
    <row r="259" spans="1:29" x14ac:dyDescent="0.2">
      <c r="A259" s="1422"/>
      <c r="B259" s="2456"/>
      <c r="C259" s="3269"/>
      <c r="D259" s="3300"/>
      <c r="E259" s="3300"/>
      <c r="F259" s="3300"/>
      <c r="G259" s="3300"/>
      <c r="H259" s="3300"/>
      <c r="I259" s="3300"/>
      <c r="J259" s="3300"/>
      <c r="K259" s="40">
        <v>37540</v>
      </c>
      <c r="L259" s="3295"/>
      <c r="M259" s="3287" t="s">
        <v>306</v>
      </c>
      <c r="N259" s="3288"/>
      <c r="O259" s="40"/>
      <c r="P259" s="40"/>
      <c r="Q259" s="40">
        <v>12513.333333333332</v>
      </c>
      <c r="R259" s="40">
        <v>6256.6666666666661</v>
      </c>
      <c r="S259" s="40"/>
      <c r="T259" s="38">
        <v>12513.333333333332</v>
      </c>
      <c r="U259" s="38"/>
      <c r="V259" s="38">
        <v>6256.6666666666661</v>
      </c>
      <c r="W259" s="38"/>
      <c r="X259" s="38"/>
      <c r="Y259" s="38"/>
      <c r="Z259" s="38"/>
      <c r="AA259" s="966">
        <f t="shared" si="24"/>
        <v>37540</v>
      </c>
      <c r="AB259" s="35"/>
      <c r="AC259" s="183"/>
    </row>
    <row r="260" spans="1:29" x14ac:dyDescent="0.2">
      <c r="A260" s="1422"/>
      <c r="B260" s="2456"/>
      <c r="C260" s="3269"/>
      <c r="D260" s="3300"/>
      <c r="E260" s="3300"/>
      <c r="F260" s="3300"/>
      <c r="G260" s="3300"/>
      <c r="H260" s="3300"/>
      <c r="I260" s="3300"/>
      <c r="J260" s="3300"/>
      <c r="K260" s="40">
        <v>24100</v>
      </c>
      <c r="L260" s="3295"/>
      <c r="M260" s="3287" t="s">
        <v>307</v>
      </c>
      <c r="N260" s="3288"/>
      <c r="O260" s="40"/>
      <c r="P260" s="40">
        <v>2190.909090909091</v>
      </c>
      <c r="Q260" s="40">
        <v>2190.909090909091</v>
      </c>
      <c r="R260" s="40">
        <v>2190.909090909091</v>
      </c>
      <c r="S260" s="40">
        <v>2190.909090909091</v>
      </c>
      <c r="T260" s="38">
        <v>2190.909090909091</v>
      </c>
      <c r="U260" s="38">
        <v>2190.909090909091</v>
      </c>
      <c r="V260" s="38">
        <v>2190.909090909091</v>
      </c>
      <c r="W260" s="38">
        <v>2190.909090909091</v>
      </c>
      <c r="X260" s="38">
        <v>2190.909090909091</v>
      </c>
      <c r="Y260" s="38">
        <v>2190.909090909091</v>
      </c>
      <c r="Z260" s="38">
        <v>2190.909090909091</v>
      </c>
      <c r="AA260" s="966">
        <f t="shared" si="24"/>
        <v>24100.000000000007</v>
      </c>
      <c r="AB260" s="35"/>
      <c r="AC260" s="183"/>
    </row>
    <row r="261" spans="1:29" x14ac:dyDescent="0.2">
      <c r="A261" s="1422"/>
      <c r="B261" s="2456"/>
      <c r="C261" s="3269"/>
      <c r="D261" s="3300"/>
      <c r="E261" s="3300"/>
      <c r="F261" s="3300"/>
      <c r="G261" s="3300"/>
      <c r="H261" s="3300"/>
      <c r="I261" s="3300"/>
      <c r="J261" s="3300"/>
      <c r="K261" s="40">
        <v>24078</v>
      </c>
      <c r="L261" s="3295"/>
      <c r="M261" s="3287" t="s">
        <v>355</v>
      </c>
      <c r="N261" s="3288"/>
      <c r="O261" s="40"/>
      <c r="P261" s="40"/>
      <c r="Q261" s="40">
        <v>12039</v>
      </c>
      <c r="R261" s="40"/>
      <c r="S261" s="40"/>
      <c r="T261" s="38"/>
      <c r="U261" s="38">
        <v>12039</v>
      </c>
      <c r="V261" s="38"/>
      <c r="W261" s="38"/>
      <c r="X261" s="38"/>
      <c r="Y261" s="38"/>
      <c r="Z261" s="38"/>
      <c r="AA261" s="966">
        <f t="shared" si="24"/>
        <v>24078</v>
      </c>
      <c r="AB261" s="35"/>
      <c r="AC261" s="183"/>
    </row>
    <row r="262" spans="1:29" x14ac:dyDescent="0.2">
      <c r="A262" s="1422"/>
      <c r="B262" s="2456"/>
      <c r="C262" s="3269"/>
      <c r="D262" s="3300"/>
      <c r="E262" s="3300"/>
      <c r="F262" s="3300"/>
      <c r="G262" s="3300"/>
      <c r="H262" s="3300"/>
      <c r="I262" s="3300"/>
      <c r="J262" s="3300"/>
      <c r="K262" s="40">
        <v>1500</v>
      </c>
      <c r="L262" s="3295"/>
      <c r="M262" s="3287" t="s">
        <v>308</v>
      </c>
      <c r="N262" s="3288"/>
      <c r="O262" s="40"/>
      <c r="P262" s="40"/>
      <c r="Q262" s="40">
        <v>1500</v>
      </c>
      <c r="R262" s="40"/>
      <c r="S262" s="40"/>
      <c r="T262" s="38"/>
      <c r="U262" s="38"/>
      <c r="V262" s="38"/>
      <c r="W262" s="38"/>
      <c r="X262" s="38"/>
      <c r="Y262" s="38"/>
      <c r="Z262" s="38"/>
      <c r="AA262" s="966">
        <f t="shared" si="24"/>
        <v>1500</v>
      </c>
      <c r="AB262" s="35"/>
      <c r="AC262" s="183"/>
    </row>
    <row r="263" spans="1:29" x14ac:dyDescent="0.2">
      <c r="A263" s="1422"/>
      <c r="B263" s="2456"/>
      <c r="C263" s="3269"/>
      <c r="D263" s="3300"/>
      <c r="E263" s="3300"/>
      <c r="F263" s="3300"/>
      <c r="G263" s="3300"/>
      <c r="H263" s="3300"/>
      <c r="I263" s="3300"/>
      <c r="J263" s="3300"/>
      <c r="K263" s="40">
        <v>33278</v>
      </c>
      <c r="L263" s="3295"/>
      <c r="M263" s="3287" t="s">
        <v>309</v>
      </c>
      <c r="N263" s="3288"/>
      <c r="O263" s="40"/>
      <c r="P263" s="40"/>
      <c r="Q263" s="40"/>
      <c r="R263" s="40">
        <v>6655.6</v>
      </c>
      <c r="S263" s="40"/>
      <c r="T263" s="38">
        <v>6655.6</v>
      </c>
      <c r="U263" s="38"/>
      <c r="V263" s="38">
        <v>6655.6</v>
      </c>
      <c r="W263" s="38"/>
      <c r="X263" s="38">
        <v>6655.6</v>
      </c>
      <c r="Y263" s="38"/>
      <c r="Z263" s="38">
        <v>6655.6</v>
      </c>
      <c r="AA263" s="966">
        <f t="shared" si="24"/>
        <v>33278</v>
      </c>
      <c r="AB263" s="35"/>
      <c r="AC263" s="183"/>
    </row>
    <row r="264" spans="1:29" x14ac:dyDescent="0.2">
      <c r="A264" s="1422"/>
      <c r="B264" s="2456"/>
      <c r="C264" s="3269"/>
      <c r="D264" s="3300"/>
      <c r="E264" s="3300"/>
      <c r="F264" s="3300"/>
      <c r="G264" s="3300"/>
      <c r="H264" s="3300"/>
      <c r="I264" s="3300"/>
      <c r="J264" s="3300"/>
      <c r="K264" s="40">
        <v>3000</v>
      </c>
      <c r="L264" s="3295"/>
      <c r="M264" s="3287" t="s">
        <v>358</v>
      </c>
      <c r="N264" s="3288"/>
      <c r="O264" s="40"/>
      <c r="P264" s="40"/>
      <c r="Q264" s="40">
        <v>3000</v>
      </c>
      <c r="R264" s="40"/>
      <c r="S264" s="40"/>
      <c r="T264" s="38"/>
      <c r="U264" s="38"/>
      <c r="V264" s="38"/>
      <c r="W264" s="38"/>
      <c r="X264" s="38"/>
      <c r="Y264" s="38"/>
      <c r="Z264" s="38"/>
      <c r="AA264" s="966">
        <f t="shared" si="24"/>
        <v>3000</v>
      </c>
      <c r="AB264" s="35"/>
      <c r="AC264" s="183"/>
    </row>
    <row r="265" spans="1:29" x14ac:dyDescent="0.2">
      <c r="A265" s="1422"/>
      <c r="B265" s="2456"/>
      <c r="C265" s="3269"/>
      <c r="D265" s="3300"/>
      <c r="E265" s="3300"/>
      <c r="F265" s="3300"/>
      <c r="G265" s="3300"/>
      <c r="H265" s="3300"/>
      <c r="I265" s="3300"/>
      <c r="J265" s="3300"/>
      <c r="K265" s="40">
        <v>44718</v>
      </c>
      <c r="L265" s="3295"/>
      <c r="M265" s="3287" t="s">
        <v>310</v>
      </c>
      <c r="N265" s="3288"/>
      <c r="O265" s="40">
        <v>3726.5</v>
      </c>
      <c r="P265" s="40">
        <v>3726.5</v>
      </c>
      <c r="Q265" s="40">
        <v>3726.5</v>
      </c>
      <c r="R265" s="40">
        <v>3726.5</v>
      </c>
      <c r="S265" s="40">
        <v>3726.5</v>
      </c>
      <c r="T265" s="38">
        <v>3726.5</v>
      </c>
      <c r="U265" s="38">
        <v>3726.5</v>
      </c>
      <c r="V265" s="38">
        <v>3726.5</v>
      </c>
      <c r="W265" s="38">
        <v>3726.5</v>
      </c>
      <c r="X265" s="38">
        <v>3726.5</v>
      </c>
      <c r="Y265" s="38">
        <v>3726.5</v>
      </c>
      <c r="Z265" s="38">
        <v>3726.5</v>
      </c>
      <c r="AA265" s="966">
        <f t="shared" si="24"/>
        <v>44718</v>
      </c>
      <c r="AB265" s="35"/>
      <c r="AC265" s="183"/>
    </row>
    <row r="266" spans="1:29" x14ac:dyDescent="0.2">
      <c r="A266" s="1422"/>
      <c r="B266" s="2450"/>
      <c r="C266" s="3270"/>
      <c r="D266" s="3300"/>
      <c r="E266" s="3300"/>
      <c r="F266" s="3300"/>
      <c r="G266" s="3300"/>
      <c r="H266" s="3300"/>
      <c r="I266" s="3300"/>
      <c r="J266" s="3300"/>
      <c r="K266" s="40">
        <v>3863</v>
      </c>
      <c r="L266" s="3296"/>
      <c r="M266" s="3287" t="s">
        <v>311</v>
      </c>
      <c r="N266" s="3288"/>
      <c r="O266" s="40">
        <v>321.91666666666669</v>
      </c>
      <c r="P266" s="40">
        <v>321.91666666666669</v>
      </c>
      <c r="Q266" s="40">
        <v>321.91666666666669</v>
      </c>
      <c r="R266" s="40">
        <v>321.91666666666669</v>
      </c>
      <c r="S266" s="40">
        <v>321.91666666666669</v>
      </c>
      <c r="T266" s="38">
        <v>321.91666666666669</v>
      </c>
      <c r="U266" s="38">
        <v>321.91666666666669</v>
      </c>
      <c r="V266" s="38">
        <v>321.91666666666669</v>
      </c>
      <c r="W266" s="38">
        <v>321.91666666666669</v>
      </c>
      <c r="X266" s="38">
        <v>321.91666666666669</v>
      </c>
      <c r="Y266" s="38">
        <v>321.91666666666669</v>
      </c>
      <c r="Z266" s="38">
        <v>321.91666666666669</v>
      </c>
      <c r="AA266" s="40">
        <f t="shared" si="24"/>
        <v>3862.9999999999995</v>
      </c>
      <c r="AB266" s="35"/>
      <c r="AC266" s="183"/>
    </row>
    <row r="267" spans="1:29" x14ac:dyDescent="0.2">
      <c r="A267" s="1422"/>
      <c r="B267" s="1431"/>
      <c r="C267" s="35"/>
      <c r="D267" s="35"/>
      <c r="E267" s="35"/>
      <c r="F267" s="35"/>
      <c r="G267" s="35"/>
      <c r="H267" s="35"/>
      <c r="I267" s="35"/>
      <c r="J267" s="35"/>
      <c r="K267" s="60"/>
      <c r="L267" s="60"/>
      <c r="M267" s="60"/>
      <c r="N267" s="60"/>
      <c r="O267" s="60"/>
      <c r="P267" s="60"/>
      <c r="Q267" s="60"/>
      <c r="R267" s="60"/>
      <c r="S267" s="60"/>
      <c r="T267" s="35"/>
      <c r="U267" s="35"/>
      <c r="V267" s="35"/>
      <c r="W267" s="35"/>
      <c r="X267" s="35"/>
      <c r="Y267" s="35"/>
      <c r="Z267" s="35"/>
      <c r="AA267" s="180"/>
      <c r="AB267" s="35"/>
      <c r="AC267" s="183"/>
    </row>
    <row r="268" spans="1:29" x14ac:dyDescent="0.2">
      <c r="A268" s="1422"/>
      <c r="B268" s="1421"/>
      <c r="C268" s="35"/>
      <c r="D268" s="35"/>
      <c r="E268" s="35"/>
      <c r="F268" s="35"/>
      <c r="G268" s="35"/>
      <c r="H268" s="35"/>
      <c r="I268" s="35"/>
      <c r="J268" s="35"/>
      <c r="K268" s="60"/>
      <c r="L268" s="60"/>
      <c r="M268" s="60"/>
      <c r="N268" s="60"/>
      <c r="O268" s="60"/>
      <c r="P268" s="60"/>
      <c r="Q268" s="60"/>
      <c r="R268" s="60"/>
      <c r="S268" s="60"/>
      <c r="T268" s="35"/>
      <c r="U268" s="71"/>
      <c r="V268" s="2922" t="s">
        <v>15</v>
      </c>
      <c r="W268" s="2922"/>
      <c r="X268" s="2922"/>
      <c r="Y268" s="2922"/>
      <c r="Z268" s="2974" t="s">
        <v>16</v>
      </c>
      <c r="AA268" s="2976"/>
      <c r="AB268" s="35"/>
      <c r="AC268" s="183"/>
    </row>
    <row r="269" spans="1:29" ht="22.5" customHeight="1" x14ac:dyDescent="0.2">
      <c r="A269" s="1422"/>
      <c r="B269" s="1013" t="s">
        <v>276</v>
      </c>
      <c r="C269" s="1115">
        <v>3033250</v>
      </c>
      <c r="D269" s="1115"/>
      <c r="E269" s="3277" t="s">
        <v>369</v>
      </c>
      <c r="F269" s="3278"/>
      <c r="G269" s="3278"/>
      <c r="H269" s="3278"/>
      <c r="I269" s="3278"/>
      <c r="J269" s="3278"/>
      <c r="K269" s="3278"/>
      <c r="L269" s="3278"/>
      <c r="M269" s="3278"/>
      <c r="N269" s="3278"/>
      <c r="O269" s="3278"/>
      <c r="P269" s="3278"/>
      <c r="Q269" s="3278"/>
      <c r="R269" s="3278"/>
      <c r="S269" s="3278"/>
      <c r="T269" s="3278"/>
      <c r="U269" s="3279"/>
      <c r="V269" s="3305" t="s">
        <v>370</v>
      </c>
      <c r="W269" s="3306"/>
      <c r="X269" s="3306"/>
      <c r="Y269" s="3307"/>
      <c r="Z269" s="3309" t="s">
        <v>371</v>
      </c>
      <c r="AA269" s="3310"/>
      <c r="AB269" s="35"/>
      <c r="AC269" s="183"/>
    </row>
    <row r="270" spans="1:29" x14ac:dyDescent="0.2">
      <c r="A270" s="1422"/>
      <c r="B270" s="2999" t="s">
        <v>278</v>
      </c>
      <c r="C270" s="2988" t="s">
        <v>21</v>
      </c>
      <c r="D270" s="2847" t="s">
        <v>22</v>
      </c>
      <c r="E270" s="2847" t="s">
        <v>23</v>
      </c>
      <c r="F270" s="2847" t="s">
        <v>24</v>
      </c>
      <c r="G270" s="2847" t="s">
        <v>25</v>
      </c>
      <c r="H270" s="2847" t="s">
        <v>26</v>
      </c>
      <c r="I270" s="2847" t="s">
        <v>27</v>
      </c>
      <c r="J270" s="2847" t="s">
        <v>28</v>
      </c>
      <c r="K270" s="2847"/>
      <c r="L270" s="2988" t="s">
        <v>279</v>
      </c>
      <c r="M270" s="3273" t="s">
        <v>280</v>
      </c>
      <c r="N270" s="3274"/>
      <c r="O270" s="2847" t="s">
        <v>281</v>
      </c>
      <c r="P270" s="2847"/>
      <c r="Q270" s="2847"/>
      <c r="R270" s="2847"/>
      <c r="S270" s="2847"/>
      <c r="T270" s="2847"/>
      <c r="U270" s="2847"/>
      <c r="V270" s="2847"/>
      <c r="W270" s="2847"/>
      <c r="X270" s="2847"/>
      <c r="Y270" s="2847"/>
      <c r="Z270" s="2847"/>
      <c r="AA270" s="2988" t="s">
        <v>32</v>
      </c>
      <c r="AB270" s="35"/>
      <c r="AC270" s="183"/>
    </row>
    <row r="271" spans="1:29" x14ac:dyDescent="0.2">
      <c r="A271" s="1422"/>
      <c r="B271" s="2999"/>
      <c r="C271" s="3186"/>
      <c r="D271" s="2847"/>
      <c r="E271" s="2847"/>
      <c r="F271" s="2847"/>
      <c r="G271" s="2847"/>
      <c r="H271" s="2847"/>
      <c r="I271" s="2847"/>
      <c r="J271" s="2847" t="s">
        <v>33</v>
      </c>
      <c r="K271" s="2847" t="s">
        <v>282</v>
      </c>
      <c r="L271" s="3186"/>
      <c r="M271" s="3275"/>
      <c r="N271" s="3276"/>
      <c r="O271" s="1009" t="s">
        <v>283</v>
      </c>
      <c r="P271" s="1009" t="s">
        <v>284</v>
      </c>
      <c r="Q271" s="1009" t="s">
        <v>285</v>
      </c>
      <c r="R271" s="1009" t="s">
        <v>88</v>
      </c>
      <c r="S271" s="1009" t="s">
        <v>89</v>
      </c>
      <c r="T271" s="1009" t="s">
        <v>90</v>
      </c>
      <c r="U271" s="1009" t="s">
        <v>91</v>
      </c>
      <c r="V271" s="1009" t="s">
        <v>92</v>
      </c>
      <c r="W271" s="1009" t="s">
        <v>286</v>
      </c>
      <c r="X271" s="1009" t="s">
        <v>93</v>
      </c>
      <c r="Y271" s="1009" t="s">
        <v>94</v>
      </c>
      <c r="Z271" s="1009" t="s">
        <v>95</v>
      </c>
      <c r="AA271" s="2989"/>
      <c r="AB271" s="35"/>
      <c r="AC271" s="183"/>
    </row>
    <row r="272" spans="1:29" x14ac:dyDescent="0.2">
      <c r="A272" s="1422"/>
      <c r="B272" s="2999"/>
      <c r="C272" s="3186"/>
      <c r="D272" s="2847"/>
      <c r="E272" s="2847"/>
      <c r="F272" s="2847"/>
      <c r="G272" s="2847"/>
      <c r="H272" s="2847"/>
      <c r="I272" s="2847"/>
      <c r="J272" s="2847"/>
      <c r="K272" s="2847"/>
      <c r="L272" s="3186"/>
      <c r="M272" s="3271" t="s">
        <v>287</v>
      </c>
      <c r="N272" s="3272"/>
      <c r="O272" s="1095"/>
      <c r="P272" s="1095"/>
      <c r="Q272" s="1095">
        <v>308</v>
      </c>
      <c r="R272" s="1095">
        <v>311</v>
      </c>
      <c r="S272" s="1095">
        <v>311</v>
      </c>
      <c r="T272" s="1095">
        <v>311</v>
      </c>
      <c r="U272" s="1095">
        <v>311</v>
      </c>
      <c r="V272" s="1095">
        <v>311</v>
      </c>
      <c r="W272" s="1095">
        <v>311</v>
      </c>
      <c r="X272" s="1095">
        <v>311</v>
      </c>
      <c r="Y272" s="1095">
        <v>311</v>
      </c>
      <c r="Z272" s="1095">
        <v>311</v>
      </c>
      <c r="AA272" s="1196">
        <f t="shared" ref="AA272:AA289" si="26">SUM(O272:Z272)</f>
        <v>3107</v>
      </c>
      <c r="AB272" s="35"/>
      <c r="AC272" s="183"/>
    </row>
    <row r="273" spans="1:29" x14ac:dyDescent="0.2">
      <c r="A273" s="1422"/>
      <c r="B273" s="2999"/>
      <c r="C273" s="2989"/>
      <c r="D273" s="2847"/>
      <c r="E273" s="2847"/>
      <c r="F273" s="2847"/>
      <c r="G273" s="2847"/>
      <c r="H273" s="2847"/>
      <c r="I273" s="2847"/>
      <c r="J273" s="2847"/>
      <c r="K273" s="2847"/>
      <c r="L273" s="2989"/>
      <c r="M273" s="3271" t="s">
        <v>34</v>
      </c>
      <c r="N273" s="3272"/>
      <c r="O273" s="1095">
        <v>137279.33333333334</v>
      </c>
      <c r="P273" s="1095">
        <v>122323.51515151518</v>
      </c>
      <c r="Q273" s="1095">
        <v>126341.11515151519</v>
      </c>
      <c r="R273" s="1095">
        <v>127823.51515151518</v>
      </c>
      <c r="S273" s="1095">
        <v>127591.11515151519</v>
      </c>
      <c r="T273" s="1095">
        <v>122323.51515151518</v>
      </c>
      <c r="U273" s="1095">
        <v>135781.11515151517</v>
      </c>
      <c r="V273" s="1095">
        <v>126073.51515151518</v>
      </c>
      <c r="W273" s="1095">
        <v>123841.11515151519</v>
      </c>
      <c r="X273" s="1095">
        <v>122323.51515151518</v>
      </c>
      <c r="Y273" s="1095">
        <v>128841.11515151519</v>
      </c>
      <c r="Z273" s="1095">
        <v>134263.51515151517</v>
      </c>
      <c r="AA273" s="1196">
        <f t="shared" si="26"/>
        <v>1534806.0000000002</v>
      </c>
      <c r="AB273" s="35"/>
      <c r="AC273" s="183"/>
    </row>
    <row r="274" spans="1:29" ht="11.25" customHeight="1" x14ac:dyDescent="0.2">
      <c r="A274" s="1422"/>
      <c r="B274" s="2438">
        <v>5000013</v>
      </c>
      <c r="C274" s="3268" t="s">
        <v>3038</v>
      </c>
      <c r="D274" s="3268">
        <v>9</v>
      </c>
      <c r="E274" s="3268" t="s">
        <v>288</v>
      </c>
      <c r="F274" s="3268" t="s">
        <v>313</v>
      </c>
      <c r="G274" s="3268" t="s">
        <v>329</v>
      </c>
      <c r="H274" s="3268" t="s">
        <v>372</v>
      </c>
      <c r="I274" s="3268" t="s">
        <v>373</v>
      </c>
      <c r="J274" s="3268">
        <v>3107</v>
      </c>
      <c r="K274" s="40">
        <v>332241</v>
      </c>
      <c r="L274" s="3294" t="s">
        <v>336</v>
      </c>
      <c r="M274" s="3287" t="s">
        <v>293</v>
      </c>
      <c r="N274" s="3288"/>
      <c r="O274" s="40">
        <v>27686.75</v>
      </c>
      <c r="P274" s="40">
        <v>27686.75</v>
      </c>
      <c r="Q274" s="40">
        <v>27686.75</v>
      </c>
      <c r="R274" s="40">
        <v>27686.75</v>
      </c>
      <c r="S274" s="40">
        <v>27686.75</v>
      </c>
      <c r="T274" s="38">
        <v>27686.75</v>
      </c>
      <c r="U274" s="38">
        <v>27686.75</v>
      </c>
      <c r="V274" s="38">
        <v>27686.75</v>
      </c>
      <c r="W274" s="38">
        <v>27686.75</v>
      </c>
      <c r="X274" s="38">
        <v>27686.75</v>
      </c>
      <c r="Y274" s="38">
        <v>27686.75</v>
      </c>
      <c r="Z274" s="38">
        <v>27686.75</v>
      </c>
      <c r="AA274" s="966">
        <f t="shared" si="26"/>
        <v>332241</v>
      </c>
      <c r="AB274" s="35"/>
      <c r="AC274" s="183"/>
    </row>
    <row r="275" spans="1:29" x14ac:dyDescent="0.2">
      <c r="A275" s="1422"/>
      <c r="B275" s="2456"/>
      <c r="C275" s="3269"/>
      <c r="D275" s="3269"/>
      <c r="E275" s="3269"/>
      <c r="F275" s="3269"/>
      <c r="G275" s="3269"/>
      <c r="H275" s="3269"/>
      <c r="I275" s="3269"/>
      <c r="J275" s="3269"/>
      <c r="K275" s="40">
        <v>606124</v>
      </c>
      <c r="L275" s="3295"/>
      <c r="M275" s="3287" t="s">
        <v>295</v>
      </c>
      <c r="N275" s="3288"/>
      <c r="O275" s="40">
        <v>50510.333333333336</v>
      </c>
      <c r="P275" s="40">
        <v>50510.333333333336</v>
      </c>
      <c r="Q275" s="40">
        <v>50510.333333333336</v>
      </c>
      <c r="R275" s="40">
        <v>50510.333333333336</v>
      </c>
      <c r="S275" s="40">
        <v>50510.333333333336</v>
      </c>
      <c r="T275" s="38">
        <v>50510.333333333336</v>
      </c>
      <c r="U275" s="38">
        <v>50510.333333333336</v>
      </c>
      <c r="V275" s="38">
        <v>50510.333333333336</v>
      </c>
      <c r="W275" s="38">
        <v>50510.333333333336</v>
      </c>
      <c r="X275" s="38">
        <v>50510.333333333336</v>
      </c>
      <c r="Y275" s="38">
        <v>50510.333333333336</v>
      </c>
      <c r="Z275" s="38">
        <v>50510.333333333336</v>
      </c>
      <c r="AA275" s="966">
        <f t="shared" si="26"/>
        <v>606124</v>
      </c>
      <c r="AB275" s="35"/>
      <c r="AC275" s="183"/>
    </row>
    <row r="276" spans="1:29" x14ac:dyDescent="0.2">
      <c r="A276" s="1422"/>
      <c r="B276" s="2456"/>
      <c r="C276" s="3269"/>
      <c r="D276" s="3269"/>
      <c r="E276" s="3269"/>
      <c r="F276" s="3269"/>
      <c r="G276" s="3269"/>
      <c r="H276" s="3269"/>
      <c r="I276" s="3269"/>
      <c r="J276" s="3269"/>
      <c r="K276" s="40">
        <v>170423</v>
      </c>
      <c r="L276" s="3295"/>
      <c r="M276" s="3287" t="s">
        <v>296</v>
      </c>
      <c r="N276" s="3288"/>
      <c r="O276" s="40">
        <v>14201.916666666666</v>
      </c>
      <c r="P276" s="40">
        <v>14201.916666666666</v>
      </c>
      <c r="Q276" s="40">
        <v>14201.916666666666</v>
      </c>
      <c r="R276" s="40">
        <v>14201.916666666666</v>
      </c>
      <c r="S276" s="40">
        <v>14201.916666666666</v>
      </c>
      <c r="T276" s="38">
        <v>14201.916666666666</v>
      </c>
      <c r="U276" s="38">
        <v>14201.916666666666</v>
      </c>
      <c r="V276" s="38">
        <v>14201.916666666666</v>
      </c>
      <c r="W276" s="38">
        <v>14201.916666666666</v>
      </c>
      <c r="X276" s="38">
        <v>14201.916666666666</v>
      </c>
      <c r="Y276" s="38">
        <v>14201.916666666666</v>
      </c>
      <c r="Z276" s="38">
        <v>14201.916666666666</v>
      </c>
      <c r="AA276" s="966">
        <f t="shared" si="26"/>
        <v>170423</v>
      </c>
      <c r="AB276" s="35"/>
      <c r="AC276" s="183"/>
    </row>
    <row r="277" spans="1:29" x14ac:dyDescent="0.2">
      <c r="A277" s="1422"/>
      <c r="B277" s="2456"/>
      <c r="C277" s="3269"/>
      <c r="D277" s="3269"/>
      <c r="E277" s="3269"/>
      <c r="F277" s="3269"/>
      <c r="G277" s="3269"/>
      <c r="H277" s="3269"/>
      <c r="I277" s="3269"/>
      <c r="J277" s="3269"/>
      <c r="K277" s="40">
        <v>64062</v>
      </c>
      <c r="L277" s="3295"/>
      <c r="M277" s="3287" t="s">
        <v>297</v>
      </c>
      <c r="N277" s="3288"/>
      <c r="O277" s="40">
        <v>5338.5</v>
      </c>
      <c r="P277" s="40">
        <v>5338.5</v>
      </c>
      <c r="Q277" s="40">
        <v>5338.5</v>
      </c>
      <c r="R277" s="40">
        <v>5338.5</v>
      </c>
      <c r="S277" s="40">
        <v>5338.5</v>
      </c>
      <c r="T277" s="38">
        <v>5338.5</v>
      </c>
      <c r="U277" s="38">
        <v>5338.5</v>
      </c>
      <c r="V277" s="38">
        <v>5338.5</v>
      </c>
      <c r="W277" s="38">
        <v>5338.5</v>
      </c>
      <c r="X277" s="38">
        <v>5338.5</v>
      </c>
      <c r="Y277" s="38">
        <v>5338.5</v>
      </c>
      <c r="Z277" s="38">
        <v>5338.5</v>
      </c>
      <c r="AA277" s="966">
        <f t="shared" si="26"/>
        <v>64062</v>
      </c>
      <c r="AB277" s="35"/>
      <c r="AC277" s="183"/>
    </row>
    <row r="278" spans="1:29" x14ac:dyDescent="0.2">
      <c r="A278" s="1422"/>
      <c r="B278" s="2456"/>
      <c r="C278" s="3269"/>
      <c r="D278" s="3269"/>
      <c r="E278" s="3269"/>
      <c r="F278" s="3269"/>
      <c r="G278" s="3269"/>
      <c r="H278" s="3269"/>
      <c r="I278" s="3269"/>
      <c r="J278" s="3269"/>
      <c r="K278" s="40">
        <v>23880</v>
      </c>
      <c r="L278" s="3295"/>
      <c r="M278" s="3287" t="s">
        <v>298</v>
      </c>
      <c r="N278" s="3288"/>
      <c r="O278" s="40"/>
      <c r="P278" s="40"/>
      <c r="Q278" s="40"/>
      <c r="R278" s="40"/>
      <c r="S278" s="40"/>
      <c r="T278" s="38"/>
      <c r="U278" s="38">
        <v>11940</v>
      </c>
      <c r="V278" s="38"/>
      <c r="W278" s="38"/>
      <c r="X278" s="38"/>
      <c r="Y278" s="38"/>
      <c r="Z278" s="38">
        <v>11940</v>
      </c>
      <c r="AA278" s="966">
        <f t="shared" si="26"/>
        <v>23880</v>
      </c>
      <c r="AB278" s="35"/>
      <c r="AC278" s="183"/>
    </row>
    <row r="279" spans="1:29" x14ac:dyDescent="0.2">
      <c r="A279" s="1422"/>
      <c r="B279" s="2456"/>
      <c r="C279" s="3269"/>
      <c r="D279" s="3269"/>
      <c r="E279" s="3269"/>
      <c r="F279" s="3269"/>
      <c r="G279" s="3269"/>
      <c r="H279" s="3269"/>
      <c r="I279" s="3269"/>
      <c r="J279" s="3269"/>
      <c r="K279" s="40">
        <v>15800</v>
      </c>
      <c r="L279" s="3295"/>
      <c r="M279" s="3287" t="s">
        <v>299</v>
      </c>
      <c r="N279" s="3288"/>
      <c r="O279" s="40">
        <v>15800</v>
      </c>
      <c r="P279" s="40"/>
      <c r="Q279" s="40"/>
      <c r="R279" s="40"/>
      <c r="S279" s="40"/>
      <c r="T279" s="38"/>
      <c r="U279" s="38"/>
      <c r="V279" s="38"/>
      <c r="W279" s="38"/>
      <c r="X279" s="38"/>
      <c r="Y279" s="38"/>
      <c r="Z279" s="38"/>
      <c r="AA279" s="966">
        <f t="shared" si="26"/>
        <v>15800</v>
      </c>
      <c r="AB279" s="35"/>
      <c r="AC279" s="183"/>
    </row>
    <row r="280" spans="1:29" x14ac:dyDescent="0.2">
      <c r="A280" s="1422"/>
      <c r="B280" s="2456"/>
      <c r="C280" s="3269"/>
      <c r="D280" s="3269"/>
      <c r="E280" s="3269"/>
      <c r="F280" s="3269"/>
      <c r="G280" s="3269"/>
      <c r="H280" s="3269"/>
      <c r="I280" s="3269"/>
      <c r="J280" s="3269"/>
      <c r="K280" s="40">
        <v>57740</v>
      </c>
      <c r="L280" s="3295"/>
      <c r="M280" s="3287" t="s">
        <v>339</v>
      </c>
      <c r="N280" s="3288"/>
      <c r="O280" s="40">
        <v>4811.666666666667</v>
      </c>
      <c r="P280" s="40">
        <v>4811.666666666667</v>
      </c>
      <c r="Q280" s="40">
        <v>4811.666666666667</v>
      </c>
      <c r="R280" s="40">
        <v>4811.666666666667</v>
      </c>
      <c r="S280" s="40">
        <v>4811.666666666667</v>
      </c>
      <c r="T280" s="38">
        <v>4811.666666666667</v>
      </c>
      <c r="U280" s="38">
        <v>4811.666666666667</v>
      </c>
      <c r="V280" s="38">
        <v>4811.666666666667</v>
      </c>
      <c r="W280" s="38">
        <v>4811.666666666667</v>
      </c>
      <c r="X280" s="38">
        <v>4811.666666666667</v>
      </c>
      <c r="Y280" s="38">
        <v>4811.666666666667</v>
      </c>
      <c r="Z280" s="38">
        <v>4811.666666666667</v>
      </c>
      <c r="AA280" s="966">
        <f t="shared" si="26"/>
        <v>57739.999999999993</v>
      </c>
      <c r="AB280" s="35"/>
      <c r="AC280" s="183"/>
    </row>
    <row r="281" spans="1:29" x14ac:dyDescent="0.2">
      <c r="A281" s="1422"/>
      <c r="B281" s="2456"/>
      <c r="C281" s="3269"/>
      <c r="D281" s="3269"/>
      <c r="E281" s="3269"/>
      <c r="F281" s="3269"/>
      <c r="G281" s="3269"/>
      <c r="H281" s="3269"/>
      <c r="I281" s="3269"/>
      <c r="J281" s="3269"/>
      <c r="K281" s="40">
        <v>57955</v>
      </c>
      <c r="L281" s="3295"/>
      <c r="M281" s="3287" t="s">
        <v>300</v>
      </c>
      <c r="N281" s="3288"/>
      <c r="O281" s="40">
        <v>4829.583333333333</v>
      </c>
      <c r="P281" s="40">
        <v>4829.583333333333</v>
      </c>
      <c r="Q281" s="40">
        <v>4829.583333333333</v>
      </c>
      <c r="R281" s="40">
        <v>4829.583333333333</v>
      </c>
      <c r="S281" s="40">
        <v>4829.583333333333</v>
      </c>
      <c r="T281" s="38">
        <v>4829.583333333333</v>
      </c>
      <c r="U281" s="38">
        <v>4829.583333333333</v>
      </c>
      <c r="V281" s="38">
        <v>4829.583333333333</v>
      </c>
      <c r="W281" s="38">
        <v>4829.583333333333</v>
      </c>
      <c r="X281" s="38">
        <v>4829.583333333333</v>
      </c>
      <c r="Y281" s="38">
        <v>4829.583333333333</v>
      </c>
      <c r="Z281" s="38">
        <v>4829.583333333333</v>
      </c>
      <c r="AA281" s="966">
        <f t="shared" si="26"/>
        <v>57955.000000000007</v>
      </c>
      <c r="AB281" s="35"/>
      <c r="AC281" s="183"/>
    </row>
    <row r="282" spans="1:29" x14ac:dyDescent="0.2">
      <c r="A282" s="1422"/>
      <c r="B282" s="2456"/>
      <c r="C282" s="3269"/>
      <c r="D282" s="3269"/>
      <c r="E282" s="3269"/>
      <c r="F282" s="3269"/>
      <c r="G282" s="3269"/>
      <c r="H282" s="3269"/>
      <c r="I282" s="3269"/>
      <c r="J282" s="3269"/>
      <c r="K282" s="40">
        <v>2249</v>
      </c>
      <c r="L282" s="3295"/>
      <c r="M282" s="3287" t="s">
        <v>301</v>
      </c>
      <c r="N282" s="3288"/>
      <c r="O282" s="40">
        <v>187.41666666666666</v>
      </c>
      <c r="P282" s="40">
        <v>187.41666666666666</v>
      </c>
      <c r="Q282" s="40">
        <v>187.41666666666666</v>
      </c>
      <c r="R282" s="40">
        <v>187.41666666666666</v>
      </c>
      <c r="S282" s="40">
        <v>187.41666666666666</v>
      </c>
      <c r="T282" s="38">
        <v>187.41666666666666</v>
      </c>
      <c r="U282" s="38">
        <v>187.41666666666666</v>
      </c>
      <c r="V282" s="38">
        <v>187.41666666666666</v>
      </c>
      <c r="W282" s="38">
        <v>187.41666666666666</v>
      </c>
      <c r="X282" s="38">
        <v>187.41666666666666</v>
      </c>
      <c r="Y282" s="38">
        <v>187.41666666666666</v>
      </c>
      <c r="Z282" s="38">
        <v>187.41666666666666</v>
      </c>
      <c r="AA282" s="966">
        <f t="shared" si="26"/>
        <v>2249</v>
      </c>
      <c r="AB282" s="35"/>
      <c r="AC282" s="183"/>
    </row>
    <row r="283" spans="1:29" x14ac:dyDescent="0.2">
      <c r="A283" s="1422"/>
      <c r="B283" s="2456"/>
      <c r="C283" s="3269"/>
      <c r="D283" s="3269"/>
      <c r="E283" s="3269"/>
      <c r="F283" s="3269"/>
      <c r="G283" s="3269"/>
      <c r="H283" s="3269"/>
      <c r="I283" s="3269"/>
      <c r="J283" s="3269"/>
      <c r="K283" s="40">
        <v>2500</v>
      </c>
      <c r="L283" s="3295"/>
      <c r="M283" s="3287" t="s">
        <v>303</v>
      </c>
      <c r="N283" s="3288"/>
      <c r="O283" s="40"/>
      <c r="P283" s="40"/>
      <c r="Q283" s="40">
        <v>2500</v>
      </c>
      <c r="R283" s="40"/>
      <c r="S283" s="40"/>
      <c r="T283" s="38"/>
      <c r="U283" s="38"/>
      <c r="V283" s="38"/>
      <c r="W283" s="38"/>
      <c r="X283" s="38"/>
      <c r="Y283" s="38"/>
      <c r="Z283" s="38"/>
      <c r="AA283" s="966">
        <f t="shared" si="26"/>
        <v>2500</v>
      </c>
      <c r="AB283" s="35"/>
      <c r="AC283" s="183"/>
    </row>
    <row r="284" spans="1:29" x14ac:dyDescent="0.2">
      <c r="A284" s="1422"/>
      <c r="B284" s="2456"/>
      <c r="C284" s="3269"/>
      <c r="D284" s="3269"/>
      <c r="E284" s="3269"/>
      <c r="F284" s="3269"/>
      <c r="G284" s="3269"/>
      <c r="H284" s="3269"/>
      <c r="I284" s="3269"/>
      <c r="J284" s="3269"/>
      <c r="K284" s="40">
        <v>15000</v>
      </c>
      <c r="L284" s="3295"/>
      <c r="M284" s="3287" t="s">
        <v>306</v>
      </c>
      <c r="N284" s="3288"/>
      <c r="O284" s="40"/>
      <c r="P284" s="40"/>
      <c r="Q284" s="40"/>
      <c r="R284" s="40">
        <v>2500</v>
      </c>
      <c r="S284" s="40">
        <v>3750</v>
      </c>
      <c r="T284" s="38"/>
      <c r="U284" s="38"/>
      <c r="V284" s="38">
        <v>3750</v>
      </c>
      <c r="W284" s="38"/>
      <c r="X284" s="38"/>
      <c r="Y284" s="38">
        <v>5000</v>
      </c>
      <c r="Z284" s="38"/>
      <c r="AA284" s="966">
        <f t="shared" si="26"/>
        <v>15000</v>
      </c>
      <c r="AB284" s="35"/>
      <c r="AC284" s="183"/>
    </row>
    <row r="285" spans="1:29" x14ac:dyDescent="0.2">
      <c r="A285" s="1422"/>
      <c r="B285" s="2456"/>
      <c r="C285" s="3269"/>
      <c r="D285" s="3269"/>
      <c r="E285" s="3269"/>
      <c r="F285" s="3269"/>
      <c r="G285" s="3269"/>
      <c r="H285" s="3269"/>
      <c r="I285" s="3269"/>
      <c r="J285" s="3269"/>
      <c r="K285" s="40">
        <v>9286</v>
      </c>
      <c r="L285" s="3295"/>
      <c r="M285" s="3287" t="s">
        <v>307</v>
      </c>
      <c r="N285" s="3288"/>
      <c r="O285" s="40"/>
      <c r="P285" s="40">
        <v>844.18181818181813</v>
      </c>
      <c r="Q285" s="40">
        <v>844.18181818181813</v>
      </c>
      <c r="R285" s="40">
        <v>844.18181818181813</v>
      </c>
      <c r="S285" s="40">
        <v>844.18181818181813</v>
      </c>
      <c r="T285" s="38">
        <v>844.18181818181813</v>
      </c>
      <c r="U285" s="38">
        <v>844.18181818181813</v>
      </c>
      <c r="V285" s="38">
        <v>844.18181818181813</v>
      </c>
      <c r="W285" s="38">
        <v>844.18181818181813</v>
      </c>
      <c r="X285" s="38">
        <v>844.18181818181813</v>
      </c>
      <c r="Y285" s="38">
        <v>844.18181818181813</v>
      </c>
      <c r="Z285" s="38">
        <v>844.18181818181813</v>
      </c>
      <c r="AA285" s="966">
        <f t="shared" si="26"/>
        <v>9286</v>
      </c>
      <c r="AB285" s="35"/>
      <c r="AC285" s="183"/>
    </row>
    <row r="286" spans="1:29" x14ac:dyDescent="0.2">
      <c r="A286" s="1422"/>
      <c r="B286" s="2456"/>
      <c r="C286" s="3269"/>
      <c r="D286" s="3269"/>
      <c r="E286" s="3269"/>
      <c r="F286" s="3269"/>
      <c r="G286" s="3269"/>
      <c r="H286" s="3269"/>
      <c r="I286" s="3269"/>
      <c r="J286" s="3269"/>
      <c r="K286" s="40">
        <v>3000</v>
      </c>
      <c r="L286" s="3295"/>
      <c r="M286" s="3287" t="s">
        <v>308</v>
      </c>
      <c r="N286" s="3288"/>
      <c r="O286" s="40"/>
      <c r="P286" s="40"/>
      <c r="Q286" s="40"/>
      <c r="R286" s="40">
        <v>3000</v>
      </c>
      <c r="S286" s="40"/>
      <c r="T286" s="38"/>
      <c r="U286" s="38"/>
      <c r="V286" s="38"/>
      <c r="W286" s="38"/>
      <c r="X286" s="38"/>
      <c r="Y286" s="38"/>
      <c r="Z286" s="38"/>
      <c r="AA286" s="966">
        <f t="shared" si="26"/>
        <v>3000</v>
      </c>
      <c r="AB286" s="35"/>
      <c r="AC286" s="183"/>
    </row>
    <row r="287" spans="1:29" x14ac:dyDescent="0.2">
      <c r="A287" s="1422"/>
      <c r="B287" s="2456"/>
      <c r="C287" s="3269"/>
      <c r="D287" s="3269"/>
      <c r="E287" s="3269"/>
      <c r="F287" s="3269"/>
      <c r="G287" s="3269"/>
      <c r="H287" s="3269"/>
      <c r="I287" s="3269"/>
      <c r="J287" s="3269"/>
      <c r="K287" s="40">
        <v>7588</v>
      </c>
      <c r="L287" s="3295"/>
      <c r="M287" s="3287" t="s">
        <v>309</v>
      </c>
      <c r="N287" s="3288"/>
      <c r="O287" s="40"/>
      <c r="P287" s="40"/>
      <c r="Q287" s="40">
        <v>1517.6</v>
      </c>
      <c r="R287" s="40"/>
      <c r="S287" s="40">
        <v>1517.6</v>
      </c>
      <c r="T287" s="38"/>
      <c r="U287" s="38">
        <v>1517.6</v>
      </c>
      <c r="V287" s="38"/>
      <c r="W287" s="38">
        <v>1517.6</v>
      </c>
      <c r="X287" s="38"/>
      <c r="Y287" s="38">
        <v>1517.6</v>
      </c>
      <c r="Z287" s="38"/>
      <c r="AA287" s="966">
        <f t="shared" si="26"/>
        <v>7588</v>
      </c>
      <c r="AB287" s="35"/>
      <c r="AC287" s="183"/>
    </row>
    <row r="288" spans="1:29" x14ac:dyDescent="0.2">
      <c r="A288" s="1422"/>
      <c r="B288" s="2456"/>
      <c r="C288" s="3269"/>
      <c r="D288" s="3269"/>
      <c r="E288" s="3269"/>
      <c r="F288" s="3269"/>
      <c r="G288" s="3269"/>
      <c r="H288" s="3269"/>
      <c r="I288" s="3269"/>
      <c r="J288" s="3269"/>
      <c r="K288" s="40">
        <v>156900</v>
      </c>
      <c r="L288" s="3295"/>
      <c r="M288" s="3287" t="s">
        <v>310</v>
      </c>
      <c r="N288" s="3288"/>
      <c r="O288" s="40">
        <v>13075</v>
      </c>
      <c r="P288" s="40">
        <v>13075</v>
      </c>
      <c r="Q288" s="40">
        <v>13075</v>
      </c>
      <c r="R288" s="40">
        <v>13075</v>
      </c>
      <c r="S288" s="40">
        <v>13075</v>
      </c>
      <c r="T288" s="38">
        <v>13075</v>
      </c>
      <c r="U288" s="38">
        <v>13075</v>
      </c>
      <c r="V288" s="38">
        <v>13075</v>
      </c>
      <c r="W288" s="38">
        <v>13075</v>
      </c>
      <c r="X288" s="38">
        <v>13075</v>
      </c>
      <c r="Y288" s="38">
        <v>13075</v>
      </c>
      <c r="Z288" s="38">
        <v>13075</v>
      </c>
      <c r="AA288" s="966">
        <f t="shared" si="26"/>
        <v>156900</v>
      </c>
      <c r="AB288" s="35"/>
      <c r="AC288" s="183"/>
    </row>
    <row r="289" spans="1:29" x14ac:dyDescent="0.2">
      <c r="A289" s="1422"/>
      <c r="B289" s="2450"/>
      <c r="C289" s="3270"/>
      <c r="D289" s="3270"/>
      <c r="E289" s="3270"/>
      <c r="F289" s="3270"/>
      <c r="G289" s="3270"/>
      <c r="H289" s="3270"/>
      <c r="I289" s="3270"/>
      <c r="J289" s="3270"/>
      <c r="K289" s="40">
        <v>10058</v>
      </c>
      <c r="L289" s="3296"/>
      <c r="M289" s="3287" t="s">
        <v>311</v>
      </c>
      <c r="N289" s="3288"/>
      <c r="O289" s="40">
        <v>838.16666666666663</v>
      </c>
      <c r="P289" s="40">
        <v>838.16666666666663</v>
      </c>
      <c r="Q289" s="40">
        <v>838.16666666666663</v>
      </c>
      <c r="R289" s="40">
        <v>838.16666666666663</v>
      </c>
      <c r="S289" s="40">
        <v>838.16666666666663</v>
      </c>
      <c r="T289" s="38">
        <v>838.16666666666663</v>
      </c>
      <c r="U289" s="38">
        <v>838.16666666666663</v>
      </c>
      <c r="V289" s="38">
        <v>838.16666666666663</v>
      </c>
      <c r="W289" s="38">
        <v>838.16666666666663</v>
      </c>
      <c r="X289" s="38">
        <v>838.16666666666663</v>
      </c>
      <c r="Y289" s="38">
        <v>838.16666666666663</v>
      </c>
      <c r="Z289" s="38">
        <v>838.16666666666663</v>
      </c>
      <c r="AA289" s="966">
        <f t="shared" si="26"/>
        <v>10058</v>
      </c>
      <c r="AB289" s="35"/>
      <c r="AC289" s="183"/>
    </row>
    <row r="290" spans="1:29" x14ac:dyDescent="0.2">
      <c r="A290" s="1422"/>
      <c r="B290" s="1419"/>
      <c r="C290" s="35"/>
      <c r="D290" s="35"/>
      <c r="E290" s="35"/>
      <c r="F290" s="35"/>
      <c r="G290" s="35"/>
      <c r="H290" s="35"/>
      <c r="I290" s="35"/>
      <c r="J290" s="35"/>
      <c r="K290" s="60"/>
      <c r="L290" s="60"/>
      <c r="M290" s="60"/>
      <c r="N290" s="60"/>
      <c r="O290" s="60"/>
      <c r="P290" s="60"/>
      <c r="Q290" s="60"/>
      <c r="R290" s="60"/>
      <c r="S290" s="60"/>
      <c r="T290" s="35"/>
      <c r="U290" s="35"/>
      <c r="V290" s="35"/>
      <c r="W290" s="35"/>
      <c r="X290" s="35"/>
      <c r="Y290" s="35"/>
      <c r="Z290" s="35"/>
      <c r="AA290" s="180"/>
      <c r="AB290" s="35"/>
      <c r="AC290" s="183"/>
    </row>
    <row r="291" spans="1:29" x14ac:dyDescent="0.2">
      <c r="A291" s="1422"/>
      <c r="B291" s="1419"/>
      <c r="C291" s="35"/>
      <c r="D291" s="35"/>
      <c r="E291" s="35"/>
      <c r="F291" s="35"/>
      <c r="G291" s="35"/>
      <c r="H291" s="35"/>
      <c r="I291" s="35"/>
      <c r="J291" s="35"/>
      <c r="K291" s="60"/>
      <c r="L291" s="60"/>
      <c r="M291" s="60"/>
      <c r="N291" s="60"/>
      <c r="O291" s="60"/>
      <c r="P291" s="60"/>
      <c r="Q291" s="60"/>
      <c r="R291" s="60"/>
      <c r="S291" s="60"/>
      <c r="T291" s="35"/>
      <c r="U291" s="2974" t="s">
        <v>15</v>
      </c>
      <c r="V291" s="2975"/>
      <c r="W291" s="2975"/>
      <c r="X291" s="2975"/>
      <c r="Y291" s="2976"/>
      <c r="Z291" s="2974" t="s">
        <v>16</v>
      </c>
      <c r="AA291" s="2976"/>
      <c r="AB291" s="35"/>
      <c r="AC291" s="183"/>
    </row>
    <row r="292" spans="1:29" ht="23.25" customHeight="1" thickBot="1" x14ac:dyDescent="0.25">
      <c r="A292" s="1422"/>
      <c r="B292" s="1013" t="s">
        <v>276</v>
      </c>
      <c r="C292" s="152"/>
      <c r="D292" s="1115">
        <v>3033251</v>
      </c>
      <c r="E292" s="3277" t="s">
        <v>374</v>
      </c>
      <c r="F292" s="3278"/>
      <c r="G292" s="3278"/>
      <c r="H292" s="3278"/>
      <c r="I292" s="3278"/>
      <c r="J292" s="3278"/>
      <c r="K292" s="3278"/>
      <c r="L292" s="3278"/>
      <c r="M292" s="3278"/>
      <c r="N292" s="3278"/>
      <c r="O292" s="3278"/>
      <c r="P292" s="3278"/>
      <c r="Q292" s="3278"/>
      <c r="R292" s="3278"/>
      <c r="S292" s="3278"/>
      <c r="T292" s="3279"/>
      <c r="U292" s="3322" t="s">
        <v>375</v>
      </c>
      <c r="V292" s="3323"/>
      <c r="W292" s="3323"/>
      <c r="X292" s="3323"/>
      <c r="Y292" s="3324"/>
      <c r="Z292" s="2922" t="s">
        <v>376</v>
      </c>
      <c r="AA292" s="2922"/>
      <c r="AB292" s="35"/>
      <c r="AC292" s="183"/>
    </row>
    <row r="293" spans="1:29" x14ac:dyDescent="0.2">
      <c r="A293" s="1422"/>
      <c r="B293" s="3325" t="s">
        <v>278</v>
      </c>
      <c r="C293" s="3313" t="s">
        <v>21</v>
      </c>
      <c r="D293" s="2847" t="s">
        <v>22</v>
      </c>
      <c r="E293" s="2847" t="s">
        <v>23</v>
      </c>
      <c r="F293" s="2847" t="s">
        <v>24</v>
      </c>
      <c r="G293" s="2847" t="s">
        <v>25</v>
      </c>
      <c r="H293" s="2847" t="s">
        <v>26</v>
      </c>
      <c r="I293" s="2847" t="s">
        <v>27</v>
      </c>
      <c r="J293" s="3000" t="s">
        <v>28</v>
      </c>
      <c r="K293" s="3143"/>
      <c r="L293" s="2989" t="s">
        <v>279</v>
      </c>
      <c r="M293" s="3316" t="s">
        <v>280</v>
      </c>
      <c r="N293" s="3317"/>
      <c r="O293" s="3319" t="s">
        <v>281</v>
      </c>
      <c r="P293" s="3143"/>
      <c r="Q293" s="3143"/>
      <c r="R293" s="3143"/>
      <c r="S293" s="3143"/>
      <c r="T293" s="3143"/>
      <c r="U293" s="3320"/>
      <c r="V293" s="3320"/>
      <c r="W293" s="3320"/>
      <c r="X293" s="3320"/>
      <c r="Y293" s="3320"/>
      <c r="Z293" s="3321"/>
      <c r="AA293" s="3311" t="s">
        <v>32</v>
      </c>
      <c r="AB293" s="35"/>
      <c r="AC293" s="183"/>
    </row>
    <row r="294" spans="1:29" x14ac:dyDescent="0.2">
      <c r="A294" s="1422"/>
      <c r="B294" s="3325"/>
      <c r="C294" s="3313"/>
      <c r="D294" s="2847"/>
      <c r="E294" s="2847"/>
      <c r="F294" s="2847"/>
      <c r="G294" s="2847"/>
      <c r="H294" s="2847"/>
      <c r="I294" s="2847"/>
      <c r="J294" s="2988" t="s">
        <v>33</v>
      </c>
      <c r="K294" s="2986" t="s">
        <v>282</v>
      </c>
      <c r="L294" s="2847"/>
      <c r="M294" s="3275"/>
      <c r="N294" s="3318"/>
      <c r="O294" s="72" t="s">
        <v>283</v>
      </c>
      <c r="P294" s="1009" t="s">
        <v>284</v>
      </c>
      <c r="Q294" s="1009" t="s">
        <v>285</v>
      </c>
      <c r="R294" s="1009" t="s">
        <v>88</v>
      </c>
      <c r="S294" s="1009" t="s">
        <v>89</v>
      </c>
      <c r="T294" s="1009" t="s">
        <v>90</v>
      </c>
      <c r="U294" s="1009" t="s">
        <v>91</v>
      </c>
      <c r="V294" s="1009" t="s">
        <v>92</v>
      </c>
      <c r="W294" s="1009" t="s">
        <v>286</v>
      </c>
      <c r="X294" s="1009" t="s">
        <v>93</v>
      </c>
      <c r="Y294" s="1009" t="s">
        <v>94</v>
      </c>
      <c r="Z294" s="73" t="s">
        <v>95</v>
      </c>
      <c r="AA294" s="3312"/>
      <c r="AB294" s="35"/>
      <c r="AC294" s="183"/>
    </row>
    <row r="295" spans="1:29" ht="12" thickBot="1" x14ac:dyDescent="0.25">
      <c r="A295" s="1422"/>
      <c r="B295" s="3325"/>
      <c r="C295" s="3313"/>
      <c r="D295" s="2847"/>
      <c r="E295" s="2847"/>
      <c r="F295" s="2847"/>
      <c r="G295" s="2847"/>
      <c r="H295" s="2847"/>
      <c r="I295" s="2847"/>
      <c r="J295" s="3186"/>
      <c r="K295" s="3313"/>
      <c r="L295" s="2847"/>
      <c r="M295" s="3273" t="s">
        <v>287</v>
      </c>
      <c r="N295" s="3314"/>
      <c r="O295" s="74">
        <v>6923</v>
      </c>
      <c r="P295" s="75">
        <v>6925</v>
      </c>
      <c r="Q295" s="75">
        <v>6925</v>
      </c>
      <c r="R295" s="75">
        <v>6925</v>
      </c>
      <c r="S295" s="75">
        <v>6925</v>
      </c>
      <c r="T295" s="75">
        <v>6925</v>
      </c>
      <c r="U295" s="75">
        <v>6925</v>
      </c>
      <c r="V295" s="75">
        <v>6925</v>
      </c>
      <c r="W295" s="75">
        <v>6925</v>
      </c>
      <c r="X295" s="75">
        <v>6925</v>
      </c>
      <c r="Y295" s="75">
        <v>6925</v>
      </c>
      <c r="Z295" s="76">
        <v>6925</v>
      </c>
      <c r="AA295" s="40">
        <f t="shared" ref="AA295:AA322" si="27">SUM(O295:Z295)</f>
        <v>83098</v>
      </c>
      <c r="AB295" s="35"/>
      <c r="AC295" s="183"/>
    </row>
    <row r="296" spans="1:29" x14ac:dyDescent="0.2">
      <c r="A296" s="1422"/>
      <c r="B296" s="3325"/>
      <c r="C296" s="3000"/>
      <c r="D296" s="2847"/>
      <c r="E296" s="2847"/>
      <c r="F296" s="2847"/>
      <c r="G296" s="2847"/>
      <c r="H296" s="2847"/>
      <c r="I296" s="2847"/>
      <c r="J296" s="2989"/>
      <c r="K296" s="3000"/>
      <c r="L296" s="2847"/>
      <c r="M296" s="3275" t="s">
        <v>34</v>
      </c>
      <c r="N296" s="3315"/>
      <c r="O296" s="1198">
        <f>SUM(O297:O322)</f>
        <v>186818.99999999997</v>
      </c>
      <c r="P296" s="1198">
        <f t="shared" ref="P296:Z296" si="28">SUM(P297:P322)</f>
        <v>195051.18181818179</v>
      </c>
      <c r="Q296" s="1198">
        <f t="shared" si="28"/>
        <v>251877.84848484845</v>
      </c>
      <c r="R296" s="1198">
        <f t="shared" si="28"/>
        <v>226841.18181818179</v>
      </c>
      <c r="S296" s="1198">
        <f t="shared" si="28"/>
        <v>220112.18181818179</v>
      </c>
      <c r="T296" s="1198">
        <f t="shared" si="28"/>
        <v>238308.84848484845</v>
      </c>
      <c r="U296" s="1198">
        <f t="shared" si="28"/>
        <v>228061.18181818179</v>
      </c>
      <c r="V296" s="1198">
        <f t="shared" si="28"/>
        <v>236181.18181818179</v>
      </c>
      <c r="W296" s="1198">
        <f t="shared" si="28"/>
        <v>247648.84848484845</v>
      </c>
      <c r="X296" s="1198">
        <f t="shared" si="28"/>
        <v>217501.18181818179</v>
      </c>
      <c r="Y296" s="1198">
        <f t="shared" si="28"/>
        <v>222181.18181818179</v>
      </c>
      <c r="Z296" s="1198">
        <f t="shared" si="28"/>
        <v>242061.18181818179</v>
      </c>
      <c r="AA296" s="51">
        <f t="shared" si="27"/>
        <v>2712644.9999999995</v>
      </c>
      <c r="AB296" s="35"/>
      <c r="AC296" s="183"/>
    </row>
    <row r="297" spans="1:29" ht="11.25" customHeight="1" x14ac:dyDescent="0.2">
      <c r="A297" s="1422"/>
      <c r="B297" s="2522">
        <v>5000014</v>
      </c>
      <c r="C297" s="3268" t="s">
        <v>3039</v>
      </c>
      <c r="D297" s="3300">
        <v>10</v>
      </c>
      <c r="E297" s="3300" t="s">
        <v>288</v>
      </c>
      <c r="F297" s="3300" t="s">
        <v>313</v>
      </c>
      <c r="G297" s="3300" t="s">
        <v>329</v>
      </c>
      <c r="H297" s="3300" t="s">
        <v>378</v>
      </c>
      <c r="I297" s="3300" t="s">
        <v>379</v>
      </c>
      <c r="J297" s="3300">
        <v>83098</v>
      </c>
      <c r="K297" s="40">
        <v>651449</v>
      </c>
      <c r="L297" s="3294" t="s">
        <v>377</v>
      </c>
      <c r="M297" s="3287" t="s">
        <v>293</v>
      </c>
      <c r="N297" s="3288"/>
      <c r="O297" s="40">
        <v>54287.416666666664</v>
      </c>
      <c r="P297" s="40">
        <v>54287.416666666664</v>
      </c>
      <c r="Q297" s="40">
        <v>54287.416666666664</v>
      </c>
      <c r="R297" s="40">
        <v>54287.416666666664</v>
      </c>
      <c r="S297" s="40">
        <v>54287.416666666664</v>
      </c>
      <c r="T297" s="38">
        <v>54287.416666666664</v>
      </c>
      <c r="U297" s="38">
        <v>54287.416666666664</v>
      </c>
      <c r="V297" s="38">
        <v>54287.416666666664</v>
      </c>
      <c r="W297" s="38">
        <v>54287.416666666664</v>
      </c>
      <c r="X297" s="38">
        <v>54287.416666666664</v>
      </c>
      <c r="Y297" s="38">
        <v>54287.416666666664</v>
      </c>
      <c r="Z297" s="38">
        <v>54287.416666666664</v>
      </c>
      <c r="AA297" s="40">
        <f t="shared" si="27"/>
        <v>651449</v>
      </c>
      <c r="AB297" s="35"/>
      <c r="AC297" s="183"/>
    </row>
    <row r="298" spans="1:29" x14ac:dyDescent="0.2">
      <c r="A298" s="1422"/>
      <c r="B298" s="2522"/>
      <c r="C298" s="3269"/>
      <c r="D298" s="3300"/>
      <c r="E298" s="3300"/>
      <c r="F298" s="3300"/>
      <c r="G298" s="3300"/>
      <c r="H298" s="3300"/>
      <c r="I298" s="3300"/>
      <c r="J298" s="3300"/>
      <c r="K298" s="40">
        <v>156656</v>
      </c>
      <c r="L298" s="3295"/>
      <c r="M298" s="3287" t="s">
        <v>321</v>
      </c>
      <c r="N298" s="3288"/>
      <c r="O298" s="40">
        <v>13054.666666666666</v>
      </c>
      <c r="P298" s="40">
        <v>13054.666666666666</v>
      </c>
      <c r="Q298" s="40">
        <v>13054.666666666666</v>
      </c>
      <c r="R298" s="40">
        <v>13054.666666666666</v>
      </c>
      <c r="S298" s="40">
        <v>13054.666666666666</v>
      </c>
      <c r="T298" s="38">
        <v>13054.666666666666</v>
      </c>
      <c r="U298" s="38">
        <v>13054.666666666666</v>
      </c>
      <c r="V298" s="38">
        <v>13054.666666666666</v>
      </c>
      <c r="W298" s="38">
        <v>13054.666666666666</v>
      </c>
      <c r="X298" s="38">
        <v>13054.666666666666</v>
      </c>
      <c r="Y298" s="38">
        <v>13054.666666666666</v>
      </c>
      <c r="Z298" s="38">
        <v>13054.666666666666</v>
      </c>
      <c r="AA298" s="966">
        <f t="shared" si="27"/>
        <v>156656</v>
      </c>
      <c r="AB298" s="35"/>
      <c r="AC298" s="183"/>
    </row>
    <row r="299" spans="1:29" x14ac:dyDescent="0.2">
      <c r="A299" s="1422"/>
      <c r="B299" s="2522"/>
      <c r="C299" s="3269"/>
      <c r="D299" s="3300"/>
      <c r="E299" s="3300"/>
      <c r="F299" s="3300"/>
      <c r="G299" s="3300"/>
      <c r="H299" s="3300"/>
      <c r="I299" s="3300"/>
      <c r="J299" s="3300"/>
      <c r="K299" s="40">
        <v>415471</v>
      </c>
      <c r="L299" s="3295"/>
      <c r="M299" s="3287" t="s">
        <v>295</v>
      </c>
      <c r="N299" s="3288"/>
      <c r="O299" s="40">
        <v>34622.583333333336</v>
      </c>
      <c r="P299" s="40">
        <v>34622.583333333336</v>
      </c>
      <c r="Q299" s="40">
        <v>34622.583333333336</v>
      </c>
      <c r="R299" s="40">
        <v>34622.583333333336</v>
      </c>
      <c r="S299" s="40">
        <v>34622.583333333336</v>
      </c>
      <c r="T299" s="38">
        <v>34622.583333333336</v>
      </c>
      <c r="U299" s="38">
        <v>34622.583333333336</v>
      </c>
      <c r="V299" s="38">
        <v>34622.583333333336</v>
      </c>
      <c r="W299" s="38">
        <v>34622.583333333336</v>
      </c>
      <c r="X299" s="38">
        <v>34622.583333333336</v>
      </c>
      <c r="Y299" s="38">
        <v>34622.583333333336</v>
      </c>
      <c r="Z299" s="38">
        <v>34622.583333333336</v>
      </c>
      <c r="AA299" s="966">
        <f t="shared" si="27"/>
        <v>415470.99999999994</v>
      </c>
      <c r="AB299" s="35"/>
      <c r="AC299" s="183"/>
    </row>
    <row r="300" spans="1:29" x14ac:dyDescent="0.2">
      <c r="A300" s="1422"/>
      <c r="B300" s="2522"/>
      <c r="C300" s="3269"/>
      <c r="D300" s="3300"/>
      <c r="E300" s="3300"/>
      <c r="F300" s="3300"/>
      <c r="G300" s="3300"/>
      <c r="H300" s="3300"/>
      <c r="I300" s="3300"/>
      <c r="J300" s="3300"/>
      <c r="K300" s="40">
        <v>21120</v>
      </c>
      <c r="L300" s="3295"/>
      <c r="M300" s="3287" t="s">
        <v>332</v>
      </c>
      <c r="N300" s="3288"/>
      <c r="O300" s="40">
        <v>1760</v>
      </c>
      <c r="P300" s="40">
        <v>1760</v>
      </c>
      <c r="Q300" s="40">
        <v>1760</v>
      </c>
      <c r="R300" s="40">
        <v>1760</v>
      </c>
      <c r="S300" s="40">
        <v>1760</v>
      </c>
      <c r="T300" s="38">
        <v>1760</v>
      </c>
      <c r="U300" s="38">
        <v>1760</v>
      </c>
      <c r="V300" s="38">
        <v>1760</v>
      </c>
      <c r="W300" s="38">
        <v>1760</v>
      </c>
      <c r="X300" s="38">
        <v>1760</v>
      </c>
      <c r="Y300" s="38">
        <v>1760</v>
      </c>
      <c r="Z300" s="38">
        <v>1760</v>
      </c>
      <c r="AA300" s="966">
        <f t="shared" si="27"/>
        <v>21120</v>
      </c>
      <c r="AB300" s="35"/>
      <c r="AC300" s="183"/>
    </row>
    <row r="301" spans="1:29" x14ac:dyDescent="0.2">
      <c r="A301" s="1422"/>
      <c r="B301" s="2522"/>
      <c r="C301" s="3269"/>
      <c r="D301" s="3300"/>
      <c r="E301" s="3300"/>
      <c r="F301" s="3300"/>
      <c r="G301" s="3300"/>
      <c r="H301" s="3300"/>
      <c r="I301" s="3300"/>
      <c r="J301" s="3300"/>
      <c r="K301" s="40">
        <v>221853</v>
      </c>
      <c r="L301" s="3295"/>
      <c r="M301" s="3287" t="s">
        <v>296</v>
      </c>
      <c r="N301" s="3288"/>
      <c r="O301" s="40">
        <v>18487.75</v>
      </c>
      <c r="P301" s="40">
        <v>18487.75</v>
      </c>
      <c r="Q301" s="40">
        <v>18487.75</v>
      </c>
      <c r="R301" s="40">
        <v>18487.75</v>
      </c>
      <c r="S301" s="40">
        <v>18487.75</v>
      </c>
      <c r="T301" s="38">
        <v>18487.75</v>
      </c>
      <c r="U301" s="38">
        <v>18487.75</v>
      </c>
      <c r="V301" s="38">
        <v>18487.75</v>
      </c>
      <c r="W301" s="38">
        <v>18487.75</v>
      </c>
      <c r="X301" s="38">
        <v>18487.75</v>
      </c>
      <c r="Y301" s="38">
        <v>18487.75</v>
      </c>
      <c r="Z301" s="38">
        <v>18487.75</v>
      </c>
      <c r="AA301" s="966">
        <f t="shared" si="27"/>
        <v>221853</v>
      </c>
      <c r="AB301" s="35"/>
      <c r="AC301" s="183"/>
    </row>
    <row r="302" spans="1:29" x14ac:dyDescent="0.2">
      <c r="A302" s="1422"/>
      <c r="B302" s="2522"/>
      <c r="C302" s="3269"/>
      <c r="D302" s="3300"/>
      <c r="E302" s="3300"/>
      <c r="F302" s="3300"/>
      <c r="G302" s="3300"/>
      <c r="H302" s="3300"/>
      <c r="I302" s="3300"/>
      <c r="J302" s="3300"/>
      <c r="K302" s="40">
        <v>75840</v>
      </c>
      <c r="L302" s="3295"/>
      <c r="M302" s="3287" t="s">
        <v>297</v>
      </c>
      <c r="N302" s="3288"/>
      <c r="O302" s="40">
        <v>6320</v>
      </c>
      <c r="P302" s="40">
        <v>6320</v>
      </c>
      <c r="Q302" s="40">
        <v>6320</v>
      </c>
      <c r="R302" s="40">
        <v>6320</v>
      </c>
      <c r="S302" s="40">
        <v>6320</v>
      </c>
      <c r="T302" s="38">
        <v>6320</v>
      </c>
      <c r="U302" s="38">
        <v>6320</v>
      </c>
      <c r="V302" s="38">
        <v>6320</v>
      </c>
      <c r="W302" s="38">
        <v>6320</v>
      </c>
      <c r="X302" s="38">
        <v>6320</v>
      </c>
      <c r="Y302" s="38">
        <v>6320</v>
      </c>
      <c r="Z302" s="38">
        <v>6320</v>
      </c>
      <c r="AA302" s="966">
        <f t="shared" si="27"/>
        <v>75840</v>
      </c>
      <c r="AB302" s="35"/>
      <c r="AC302" s="183"/>
    </row>
    <row r="303" spans="1:29" x14ac:dyDescent="0.2">
      <c r="A303" s="1422"/>
      <c r="B303" s="2522"/>
      <c r="C303" s="3269"/>
      <c r="D303" s="3300"/>
      <c r="E303" s="3300"/>
      <c r="F303" s="3300"/>
      <c r="G303" s="3300"/>
      <c r="H303" s="3300"/>
      <c r="I303" s="3300"/>
      <c r="J303" s="3300"/>
      <c r="K303" s="40">
        <v>30440</v>
      </c>
      <c r="L303" s="3295"/>
      <c r="M303" s="3287" t="s">
        <v>298</v>
      </c>
      <c r="N303" s="3288"/>
      <c r="O303" s="40"/>
      <c r="P303" s="40"/>
      <c r="Q303" s="40"/>
      <c r="R303" s="40"/>
      <c r="S303" s="40"/>
      <c r="T303" s="38"/>
      <c r="U303" s="38">
        <v>15220</v>
      </c>
      <c r="V303" s="38"/>
      <c r="W303" s="38"/>
      <c r="X303" s="38"/>
      <c r="Y303" s="38"/>
      <c r="Z303" s="38">
        <v>15220</v>
      </c>
      <c r="AA303" s="966">
        <f t="shared" si="27"/>
        <v>30440</v>
      </c>
      <c r="AB303" s="35"/>
      <c r="AC303" s="183"/>
    </row>
    <row r="304" spans="1:29" x14ac:dyDescent="0.2">
      <c r="A304" s="1422"/>
      <c r="B304" s="2522"/>
      <c r="C304" s="3269"/>
      <c r="D304" s="3300"/>
      <c r="E304" s="3300"/>
      <c r="F304" s="3300"/>
      <c r="G304" s="3300"/>
      <c r="H304" s="3300"/>
      <c r="I304" s="3300"/>
      <c r="J304" s="3300"/>
      <c r="K304" s="40">
        <v>19600</v>
      </c>
      <c r="L304" s="3295"/>
      <c r="M304" s="3287" t="s">
        <v>299</v>
      </c>
      <c r="N304" s="3288"/>
      <c r="O304" s="40">
        <v>19600</v>
      </c>
      <c r="P304" s="40"/>
      <c r="Q304" s="40"/>
      <c r="R304" s="40"/>
      <c r="S304" s="40"/>
      <c r="T304" s="38"/>
      <c r="U304" s="38"/>
      <c r="V304" s="38"/>
      <c r="W304" s="38"/>
      <c r="X304" s="38"/>
      <c r="Y304" s="38"/>
      <c r="Z304" s="38"/>
      <c r="AA304" s="966">
        <f t="shared" si="27"/>
        <v>19600</v>
      </c>
      <c r="AB304" s="35"/>
      <c r="AC304" s="183"/>
    </row>
    <row r="305" spans="1:29" x14ac:dyDescent="0.2">
      <c r="A305" s="1422"/>
      <c r="B305" s="2522"/>
      <c r="C305" s="3269"/>
      <c r="D305" s="3300"/>
      <c r="E305" s="3300"/>
      <c r="F305" s="3300"/>
      <c r="G305" s="3300"/>
      <c r="H305" s="3300"/>
      <c r="I305" s="3300"/>
      <c r="J305" s="3300"/>
      <c r="K305" s="40">
        <v>34050</v>
      </c>
      <c r="L305" s="3295"/>
      <c r="M305" s="3287" t="s">
        <v>339</v>
      </c>
      <c r="N305" s="3288"/>
      <c r="O305" s="40">
        <v>2837.5</v>
      </c>
      <c r="P305" s="40">
        <v>2837.5</v>
      </c>
      <c r="Q305" s="40">
        <v>2837.5</v>
      </c>
      <c r="R305" s="40">
        <v>2837.5</v>
      </c>
      <c r="S305" s="40">
        <v>2837.5</v>
      </c>
      <c r="T305" s="38">
        <v>2837.5</v>
      </c>
      <c r="U305" s="38">
        <v>2837.5</v>
      </c>
      <c r="V305" s="38">
        <v>2837.5</v>
      </c>
      <c r="W305" s="38">
        <v>2837.5</v>
      </c>
      <c r="X305" s="38">
        <v>2837.5</v>
      </c>
      <c r="Y305" s="38">
        <v>2837.5</v>
      </c>
      <c r="Z305" s="38">
        <v>2837.5</v>
      </c>
      <c r="AA305" s="966">
        <f t="shared" si="27"/>
        <v>34050</v>
      </c>
      <c r="AB305" s="35"/>
      <c r="AC305" s="183"/>
    </row>
    <row r="306" spans="1:29" x14ac:dyDescent="0.2">
      <c r="A306" s="1422"/>
      <c r="B306" s="2522"/>
      <c r="C306" s="3269"/>
      <c r="D306" s="3300"/>
      <c r="E306" s="3300"/>
      <c r="F306" s="3300"/>
      <c r="G306" s="3300"/>
      <c r="H306" s="3300"/>
      <c r="I306" s="3300"/>
      <c r="J306" s="3300"/>
      <c r="K306" s="40">
        <v>92906</v>
      </c>
      <c r="L306" s="3295"/>
      <c r="M306" s="3287" t="s">
        <v>300</v>
      </c>
      <c r="N306" s="3288"/>
      <c r="O306" s="40">
        <v>7742.166666666667</v>
      </c>
      <c r="P306" s="40">
        <v>7742.166666666667</v>
      </c>
      <c r="Q306" s="40">
        <v>7742.166666666667</v>
      </c>
      <c r="R306" s="40">
        <v>7742.166666666667</v>
      </c>
      <c r="S306" s="40">
        <v>7742.166666666667</v>
      </c>
      <c r="T306" s="38">
        <v>7742.166666666667</v>
      </c>
      <c r="U306" s="38">
        <v>7742.166666666667</v>
      </c>
      <c r="V306" s="38">
        <v>7742.166666666667</v>
      </c>
      <c r="W306" s="38">
        <v>7742.166666666667</v>
      </c>
      <c r="X306" s="38">
        <v>7742.166666666667</v>
      </c>
      <c r="Y306" s="38">
        <v>7742.166666666667</v>
      </c>
      <c r="Z306" s="38">
        <v>7742.166666666667</v>
      </c>
      <c r="AA306" s="966">
        <f t="shared" si="27"/>
        <v>92906.000000000015</v>
      </c>
      <c r="AB306" s="35"/>
      <c r="AC306" s="183"/>
    </row>
    <row r="307" spans="1:29" x14ac:dyDescent="0.2">
      <c r="A307" s="1422"/>
      <c r="B307" s="2522"/>
      <c r="C307" s="3269"/>
      <c r="D307" s="3300"/>
      <c r="E307" s="3300"/>
      <c r="F307" s="3300"/>
      <c r="G307" s="3300"/>
      <c r="H307" s="3300"/>
      <c r="I307" s="3300"/>
      <c r="J307" s="3300"/>
      <c r="K307" s="40">
        <v>1182</v>
      </c>
      <c r="L307" s="3295"/>
      <c r="M307" s="3287" t="s">
        <v>301</v>
      </c>
      <c r="N307" s="3288"/>
      <c r="O307" s="40">
        <v>98.5</v>
      </c>
      <c r="P307" s="40">
        <v>98.5</v>
      </c>
      <c r="Q307" s="40">
        <v>98.5</v>
      </c>
      <c r="R307" s="40">
        <v>98.5</v>
      </c>
      <c r="S307" s="40">
        <v>98.5</v>
      </c>
      <c r="T307" s="38">
        <v>98.5</v>
      </c>
      <c r="U307" s="38">
        <v>98.5</v>
      </c>
      <c r="V307" s="38">
        <v>98.5</v>
      </c>
      <c r="W307" s="38">
        <v>98.5</v>
      </c>
      <c r="X307" s="38">
        <v>98.5</v>
      </c>
      <c r="Y307" s="38">
        <v>98.5</v>
      </c>
      <c r="Z307" s="38">
        <v>98.5</v>
      </c>
      <c r="AA307" s="966">
        <f t="shared" si="27"/>
        <v>1182</v>
      </c>
      <c r="AB307" s="35"/>
      <c r="AC307" s="183"/>
    </row>
    <row r="308" spans="1:29" x14ac:dyDescent="0.2">
      <c r="A308" s="1422"/>
      <c r="B308" s="2522"/>
      <c r="C308" s="3269"/>
      <c r="D308" s="3300"/>
      <c r="E308" s="3300"/>
      <c r="F308" s="3300"/>
      <c r="G308" s="3300"/>
      <c r="H308" s="3300"/>
      <c r="I308" s="3300"/>
      <c r="J308" s="3300"/>
      <c r="K308" s="40">
        <v>45999</v>
      </c>
      <c r="L308" s="3295"/>
      <c r="M308" s="3287" t="s">
        <v>380</v>
      </c>
      <c r="N308" s="3288"/>
      <c r="O308" s="40">
        <v>3833.25</v>
      </c>
      <c r="P308" s="40">
        <v>3833.25</v>
      </c>
      <c r="Q308" s="40">
        <v>3833.25</v>
      </c>
      <c r="R308" s="40">
        <v>3833.25</v>
      </c>
      <c r="S308" s="40">
        <v>3833.25</v>
      </c>
      <c r="T308" s="38">
        <v>3833.25</v>
      </c>
      <c r="U308" s="38">
        <v>3833.25</v>
      </c>
      <c r="V308" s="38">
        <v>3833.25</v>
      </c>
      <c r="W308" s="38">
        <v>3833.25</v>
      </c>
      <c r="X308" s="38">
        <v>3833.25</v>
      </c>
      <c r="Y308" s="38">
        <v>3833.25</v>
      </c>
      <c r="Z308" s="38">
        <v>3833.25</v>
      </c>
      <c r="AA308" s="966">
        <f t="shared" si="27"/>
        <v>45999</v>
      </c>
      <c r="AB308" s="35"/>
      <c r="AC308" s="183"/>
    </row>
    <row r="309" spans="1:29" x14ac:dyDescent="0.2">
      <c r="A309" s="1422"/>
      <c r="B309" s="2522"/>
      <c r="C309" s="3269"/>
      <c r="D309" s="3300"/>
      <c r="E309" s="3300"/>
      <c r="F309" s="3300"/>
      <c r="G309" s="3300"/>
      <c r="H309" s="3300"/>
      <c r="I309" s="3300"/>
      <c r="J309" s="3300"/>
      <c r="K309" s="40">
        <v>2611</v>
      </c>
      <c r="L309" s="3295"/>
      <c r="M309" s="3287" t="s">
        <v>302</v>
      </c>
      <c r="N309" s="3288"/>
      <c r="O309" s="40"/>
      <c r="P309" s="40"/>
      <c r="Q309" s="40"/>
      <c r="R309" s="40"/>
      <c r="S309" s="40">
        <v>2611</v>
      </c>
      <c r="T309" s="38"/>
      <c r="U309" s="38"/>
      <c r="V309" s="38"/>
      <c r="W309" s="38"/>
      <c r="X309" s="38"/>
      <c r="Y309" s="38"/>
      <c r="Z309" s="38"/>
      <c r="AA309" s="966">
        <f t="shared" si="27"/>
        <v>2611</v>
      </c>
      <c r="AB309" s="35"/>
      <c r="AC309" s="183"/>
    </row>
    <row r="310" spans="1:29" x14ac:dyDescent="0.2">
      <c r="A310" s="1422"/>
      <c r="B310" s="2522"/>
      <c r="C310" s="3269"/>
      <c r="D310" s="3300"/>
      <c r="E310" s="3300"/>
      <c r="F310" s="3300"/>
      <c r="G310" s="3300"/>
      <c r="H310" s="3300"/>
      <c r="I310" s="3300"/>
      <c r="J310" s="3300"/>
      <c r="K310" s="40">
        <v>34500</v>
      </c>
      <c r="L310" s="3295"/>
      <c r="M310" s="3287" t="s">
        <v>303</v>
      </c>
      <c r="N310" s="3288"/>
      <c r="O310" s="40"/>
      <c r="P310" s="40"/>
      <c r="Q310" s="40">
        <v>3450</v>
      </c>
      <c r="R310" s="40">
        <v>3450</v>
      </c>
      <c r="S310" s="40">
        <v>3450</v>
      </c>
      <c r="T310" s="38">
        <v>3450</v>
      </c>
      <c r="U310" s="38">
        <v>3450</v>
      </c>
      <c r="V310" s="38">
        <v>3450</v>
      </c>
      <c r="W310" s="38">
        <v>3450</v>
      </c>
      <c r="X310" s="38">
        <v>3450</v>
      </c>
      <c r="Y310" s="38">
        <v>3450</v>
      </c>
      <c r="Z310" s="38">
        <v>3450</v>
      </c>
      <c r="AA310" s="966">
        <f t="shared" si="27"/>
        <v>34500</v>
      </c>
      <c r="AB310" s="35"/>
      <c r="AC310" s="183"/>
    </row>
    <row r="311" spans="1:29" x14ac:dyDescent="0.2">
      <c r="A311" s="1422"/>
      <c r="B311" s="2522"/>
      <c r="C311" s="3269"/>
      <c r="D311" s="3300"/>
      <c r="E311" s="3300"/>
      <c r="F311" s="3300"/>
      <c r="G311" s="3300"/>
      <c r="H311" s="3300"/>
      <c r="I311" s="3300"/>
      <c r="J311" s="3300"/>
      <c r="K311" s="40">
        <v>50000</v>
      </c>
      <c r="L311" s="3295"/>
      <c r="M311" s="3287" t="s">
        <v>381</v>
      </c>
      <c r="N311" s="3288"/>
      <c r="O311" s="40"/>
      <c r="P311" s="40"/>
      <c r="Q311" s="40">
        <v>5000</v>
      </c>
      <c r="R311" s="40">
        <v>5000</v>
      </c>
      <c r="S311" s="40">
        <v>5000</v>
      </c>
      <c r="T311" s="38">
        <v>5000</v>
      </c>
      <c r="U311" s="38">
        <v>5000</v>
      </c>
      <c r="V311" s="38">
        <v>5000</v>
      </c>
      <c r="W311" s="38">
        <v>5000</v>
      </c>
      <c r="X311" s="38">
        <v>5000</v>
      </c>
      <c r="Y311" s="38">
        <v>5000</v>
      </c>
      <c r="Z311" s="38">
        <v>5000</v>
      </c>
      <c r="AA311" s="966">
        <f t="shared" si="27"/>
        <v>50000</v>
      </c>
      <c r="AB311" s="35"/>
      <c r="AC311" s="183"/>
    </row>
    <row r="312" spans="1:29" x14ac:dyDescent="0.2">
      <c r="A312" s="1422"/>
      <c r="B312" s="2522"/>
      <c r="C312" s="3269"/>
      <c r="D312" s="3300"/>
      <c r="E312" s="3300"/>
      <c r="F312" s="3300"/>
      <c r="G312" s="3300"/>
      <c r="H312" s="3300"/>
      <c r="I312" s="3300"/>
      <c r="J312" s="3300"/>
      <c r="K312" s="40">
        <v>34223</v>
      </c>
      <c r="L312" s="3295"/>
      <c r="M312" s="3287" t="s">
        <v>304</v>
      </c>
      <c r="N312" s="3288"/>
      <c r="O312" s="40"/>
      <c r="P312" s="40"/>
      <c r="Q312" s="40">
        <v>11407.666666666666</v>
      </c>
      <c r="R312" s="40"/>
      <c r="S312" s="40"/>
      <c r="T312" s="38">
        <v>11407.666666666666</v>
      </c>
      <c r="U312" s="38"/>
      <c r="V312" s="38"/>
      <c r="W312" s="38">
        <v>11407.666666666666</v>
      </c>
      <c r="X312" s="38"/>
      <c r="Y312" s="38"/>
      <c r="Z312" s="38"/>
      <c r="AA312" s="966">
        <f t="shared" si="27"/>
        <v>34223</v>
      </c>
      <c r="AB312" s="35"/>
      <c r="AC312" s="183"/>
    </row>
    <row r="313" spans="1:29" x14ac:dyDescent="0.2">
      <c r="A313" s="1422"/>
      <c r="B313" s="2522"/>
      <c r="C313" s="3269"/>
      <c r="D313" s="3300"/>
      <c r="E313" s="3300"/>
      <c r="F313" s="3300"/>
      <c r="G313" s="3300"/>
      <c r="H313" s="3300"/>
      <c r="I313" s="3300"/>
      <c r="J313" s="3300"/>
      <c r="K313" s="40">
        <v>12240</v>
      </c>
      <c r="L313" s="3295"/>
      <c r="M313" s="3287" t="s">
        <v>305</v>
      </c>
      <c r="N313" s="3288"/>
      <c r="O313" s="40"/>
      <c r="P313" s="40"/>
      <c r="Q313" s="40">
        <v>2448</v>
      </c>
      <c r="R313" s="40">
        <v>1224</v>
      </c>
      <c r="S313" s="40"/>
      <c r="T313" s="38"/>
      <c r="U313" s="38">
        <v>1224</v>
      </c>
      <c r="V313" s="38">
        <v>2448</v>
      </c>
      <c r="W313" s="38">
        <v>1224</v>
      </c>
      <c r="X313" s="38"/>
      <c r="Y313" s="38">
        <v>2448</v>
      </c>
      <c r="Z313" s="38">
        <v>1224</v>
      </c>
      <c r="AA313" s="966">
        <f t="shared" si="27"/>
        <v>12240</v>
      </c>
      <c r="AB313" s="35"/>
      <c r="AC313" s="183"/>
    </row>
    <row r="314" spans="1:29" x14ac:dyDescent="0.2">
      <c r="A314" s="1422"/>
      <c r="B314" s="2522"/>
      <c r="C314" s="3269"/>
      <c r="D314" s="3300"/>
      <c r="E314" s="3300"/>
      <c r="F314" s="3300"/>
      <c r="G314" s="3300"/>
      <c r="H314" s="3300"/>
      <c r="I314" s="3300"/>
      <c r="J314" s="3300"/>
      <c r="K314" s="40">
        <v>81160</v>
      </c>
      <c r="L314" s="3295"/>
      <c r="M314" s="3287" t="s">
        <v>306</v>
      </c>
      <c r="N314" s="3288"/>
      <c r="O314" s="40"/>
      <c r="P314" s="40"/>
      <c r="Q314" s="40">
        <v>16232</v>
      </c>
      <c r="R314" s="40">
        <v>8116</v>
      </c>
      <c r="S314" s="40"/>
      <c r="T314" s="38"/>
      <c r="U314" s="38">
        <v>8116</v>
      </c>
      <c r="V314" s="38">
        <v>16232</v>
      </c>
      <c r="W314" s="38">
        <v>8116</v>
      </c>
      <c r="X314" s="38"/>
      <c r="Y314" s="38">
        <v>16232</v>
      </c>
      <c r="Z314" s="38">
        <v>8116</v>
      </c>
      <c r="AA314" s="966">
        <f t="shared" si="27"/>
        <v>81160</v>
      </c>
      <c r="AB314" s="35"/>
      <c r="AC314" s="183"/>
    </row>
    <row r="315" spans="1:29" x14ac:dyDescent="0.2">
      <c r="A315" s="1422"/>
      <c r="B315" s="2522"/>
      <c r="C315" s="3269"/>
      <c r="D315" s="3300"/>
      <c r="E315" s="3300"/>
      <c r="F315" s="3300"/>
      <c r="G315" s="3300"/>
      <c r="H315" s="3300"/>
      <c r="I315" s="3300"/>
      <c r="J315" s="3300"/>
      <c r="K315" s="40">
        <v>306154</v>
      </c>
      <c r="L315" s="3295"/>
      <c r="M315" s="3287" t="s">
        <v>307</v>
      </c>
      <c r="N315" s="3288"/>
      <c r="O315" s="40"/>
      <c r="P315" s="40">
        <v>27832.18181818182</v>
      </c>
      <c r="Q315" s="40">
        <v>27832.18181818182</v>
      </c>
      <c r="R315" s="40">
        <v>27832.18181818182</v>
      </c>
      <c r="S315" s="40">
        <v>27832.18181818182</v>
      </c>
      <c r="T315" s="38">
        <v>27832.18181818182</v>
      </c>
      <c r="U315" s="38">
        <v>27832.18181818182</v>
      </c>
      <c r="V315" s="38">
        <v>27832.18181818182</v>
      </c>
      <c r="W315" s="38">
        <v>27832.18181818182</v>
      </c>
      <c r="X315" s="38">
        <v>27832.18181818182</v>
      </c>
      <c r="Y315" s="38">
        <v>27832.18181818182</v>
      </c>
      <c r="Z315" s="38">
        <v>27832.18181818182</v>
      </c>
      <c r="AA315" s="966">
        <f t="shared" si="27"/>
        <v>306154</v>
      </c>
      <c r="AB315" s="35"/>
      <c r="AC315" s="183"/>
    </row>
    <row r="316" spans="1:29" x14ac:dyDescent="0.2">
      <c r="A316" s="1422"/>
      <c r="B316" s="2522"/>
      <c r="C316" s="3269"/>
      <c r="D316" s="3300"/>
      <c r="E316" s="3300"/>
      <c r="F316" s="3300"/>
      <c r="G316" s="3300"/>
      <c r="H316" s="3300"/>
      <c r="I316" s="3300"/>
      <c r="J316" s="3300"/>
      <c r="K316" s="40">
        <v>3500</v>
      </c>
      <c r="L316" s="3295"/>
      <c r="M316" s="3287" t="s">
        <v>355</v>
      </c>
      <c r="N316" s="3288"/>
      <c r="O316" s="40"/>
      <c r="P316" s="40"/>
      <c r="Q316" s="40">
        <v>3500</v>
      </c>
      <c r="R316" s="40"/>
      <c r="S316" s="40"/>
      <c r="T316" s="38"/>
      <c r="U316" s="38"/>
      <c r="V316" s="38"/>
      <c r="W316" s="38"/>
      <c r="X316" s="38"/>
      <c r="Y316" s="38"/>
      <c r="Z316" s="38"/>
      <c r="AA316" s="966">
        <f t="shared" si="27"/>
        <v>3500</v>
      </c>
      <c r="AB316" s="35"/>
      <c r="AC316" s="183"/>
    </row>
    <row r="317" spans="1:29" x14ac:dyDescent="0.2">
      <c r="A317" s="1422"/>
      <c r="B317" s="2522"/>
      <c r="C317" s="3269"/>
      <c r="D317" s="3300"/>
      <c r="E317" s="3300"/>
      <c r="F317" s="3300"/>
      <c r="G317" s="3300"/>
      <c r="H317" s="3300"/>
      <c r="I317" s="3300"/>
      <c r="J317" s="3300"/>
      <c r="K317" s="40">
        <v>28200</v>
      </c>
      <c r="L317" s="3295"/>
      <c r="M317" s="3287" t="s">
        <v>308</v>
      </c>
      <c r="N317" s="3288"/>
      <c r="O317" s="40"/>
      <c r="P317" s="40"/>
      <c r="Q317" s="40">
        <v>9400</v>
      </c>
      <c r="R317" s="40"/>
      <c r="S317" s="40"/>
      <c r="T317" s="38">
        <v>9400</v>
      </c>
      <c r="U317" s="38"/>
      <c r="V317" s="38"/>
      <c r="W317" s="38">
        <v>9400</v>
      </c>
      <c r="X317" s="38"/>
      <c r="Y317" s="38"/>
      <c r="Z317" s="38"/>
      <c r="AA317" s="966">
        <f t="shared" si="27"/>
        <v>28200</v>
      </c>
      <c r="AB317" s="35"/>
      <c r="AC317" s="183"/>
    </row>
    <row r="318" spans="1:29" x14ac:dyDescent="0.2">
      <c r="A318" s="1422"/>
      <c r="B318" s="2522"/>
      <c r="C318" s="3269"/>
      <c r="D318" s="3300"/>
      <c r="E318" s="3300"/>
      <c r="F318" s="3300"/>
      <c r="G318" s="3300"/>
      <c r="H318" s="3300"/>
      <c r="I318" s="3300"/>
      <c r="J318" s="3300"/>
      <c r="K318" s="40">
        <v>98000</v>
      </c>
      <c r="L318" s="3295"/>
      <c r="M318" s="3287" t="s">
        <v>309</v>
      </c>
      <c r="N318" s="3288"/>
      <c r="O318" s="40"/>
      <c r="P318" s="40"/>
      <c r="Q318" s="40"/>
      <c r="R318" s="40">
        <v>14000</v>
      </c>
      <c r="S318" s="40">
        <v>14000</v>
      </c>
      <c r="T318" s="38">
        <v>14000</v>
      </c>
      <c r="U318" s="38"/>
      <c r="V318" s="38">
        <v>14000</v>
      </c>
      <c r="W318" s="38">
        <v>14000</v>
      </c>
      <c r="X318" s="38">
        <v>14000</v>
      </c>
      <c r="Y318" s="38"/>
      <c r="Z318" s="38">
        <v>14000</v>
      </c>
      <c r="AA318" s="966">
        <f t="shared" si="27"/>
        <v>98000</v>
      </c>
      <c r="AB318" s="35"/>
      <c r="AC318" s="183"/>
    </row>
    <row r="319" spans="1:29" x14ac:dyDescent="0.2">
      <c r="A319" s="1422"/>
      <c r="B319" s="2522"/>
      <c r="C319" s="3269"/>
      <c r="D319" s="3300"/>
      <c r="E319" s="3300"/>
      <c r="F319" s="3300"/>
      <c r="G319" s="3300"/>
      <c r="H319" s="3300"/>
      <c r="I319" s="3300"/>
      <c r="J319" s="3300"/>
      <c r="K319" s="40">
        <v>5000</v>
      </c>
      <c r="L319" s="3295"/>
      <c r="M319" s="3287" t="s">
        <v>382</v>
      </c>
      <c r="N319" s="3288"/>
      <c r="O319" s="40"/>
      <c r="P319" s="40"/>
      <c r="Q319" s="40">
        <v>5000</v>
      </c>
      <c r="R319" s="40"/>
      <c r="S319" s="40"/>
      <c r="T319" s="38"/>
      <c r="U319" s="38"/>
      <c r="V319" s="38"/>
      <c r="W319" s="38"/>
      <c r="X319" s="38"/>
      <c r="Y319" s="38"/>
      <c r="Z319" s="38"/>
      <c r="AA319" s="966">
        <f t="shared" si="27"/>
        <v>5000</v>
      </c>
      <c r="AB319" s="35"/>
      <c r="AC319" s="183"/>
    </row>
    <row r="320" spans="1:29" x14ac:dyDescent="0.2">
      <c r="A320" s="1422"/>
      <c r="B320" s="2522"/>
      <c r="C320" s="3269"/>
      <c r="D320" s="3300"/>
      <c r="E320" s="3300"/>
      <c r="F320" s="3300"/>
      <c r="G320" s="3300"/>
      <c r="H320" s="3300"/>
      <c r="I320" s="3300"/>
      <c r="J320" s="3300"/>
      <c r="K320" s="40">
        <v>389</v>
      </c>
      <c r="L320" s="3295"/>
      <c r="M320" s="3287" t="s">
        <v>358</v>
      </c>
      <c r="N320" s="3288"/>
      <c r="O320" s="40"/>
      <c r="P320" s="40"/>
      <c r="Q320" s="40">
        <v>389</v>
      </c>
      <c r="R320" s="40"/>
      <c r="S320" s="40"/>
      <c r="T320" s="38"/>
      <c r="U320" s="38"/>
      <c r="V320" s="38"/>
      <c r="W320" s="38"/>
      <c r="X320" s="38"/>
      <c r="Y320" s="38"/>
      <c r="Z320" s="38"/>
      <c r="AA320" s="966">
        <f t="shared" si="27"/>
        <v>389</v>
      </c>
      <c r="AB320" s="35"/>
      <c r="AC320" s="183"/>
    </row>
    <row r="321" spans="1:29" x14ac:dyDescent="0.2">
      <c r="A321" s="1422"/>
      <c r="B321" s="2522"/>
      <c r="C321" s="3269"/>
      <c r="D321" s="3300"/>
      <c r="E321" s="3300"/>
      <c r="F321" s="3300"/>
      <c r="G321" s="3300"/>
      <c r="H321" s="3300"/>
      <c r="I321" s="3300"/>
      <c r="J321" s="3300"/>
      <c r="K321" s="40">
        <v>261309</v>
      </c>
      <c r="L321" s="3295"/>
      <c r="M321" s="3287" t="s">
        <v>310</v>
      </c>
      <c r="N321" s="3288"/>
      <c r="O321" s="40">
        <v>21775.75</v>
      </c>
      <c r="P321" s="40">
        <v>21775.75</v>
      </c>
      <c r="Q321" s="40">
        <v>21775.75</v>
      </c>
      <c r="R321" s="40">
        <v>21775.75</v>
      </c>
      <c r="S321" s="40">
        <v>21775.75</v>
      </c>
      <c r="T321" s="38">
        <v>21775.75</v>
      </c>
      <c r="U321" s="38">
        <v>21775.75</v>
      </c>
      <c r="V321" s="38">
        <v>21775.75</v>
      </c>
      <c r="W321" s="38">
        <v>21775.75</v>
      </c>
      <c r="X321" s="38">
        <v>21775.75</v>
      </c>
      <c r="Y321" s="38">
        <v>21775.75</v>
      </c>
      <c r="Z321" s="38">
        <v>21775.75</v>
      </c>
      <c r="AA321" s="966">
        <f t="shared" si="27"/>
        <v>261309</v>
      </c>
      <c r="AB321" s="35"/>
      <c r="AC321" s="183"/>
    </row>
    <row r="322" spans="1:29" x14ac:dyDescent="0.2">
      <c r="A322" s="1422"/>
      <c r="B322" s="2522"/>
      <c r="C322" s="3270"/>
      <c r="D322" s="3300"/>
      <c r="E322" s="3300"/>
      <c r="F322" s="3300"/>
      <c r="G322" s="3300"/>
      <c r="H322" s="3300"/>
      <c r="I322" s="3300"/>
      <c r="J322" s="3300"/>
      <c r="K322" s="40">
        <v>28793</v>
      </c>
      <c r="L322" s="3296"/>
      <c r="M322" s="3287" t="s">
        <v>311</v>
      </c>
      <c r="N322" s="3288"/>
      <c r="O322" s="40">
        <v>2399.4166666666665</v>
      </c>
      <c r="P322" s="40">
        <v>2399.4166666666665</v>
      </c>
      <c r="Q322" s="40">
        <v>2399.4166666666665</v>
      </c>
      <c r="R322" s="40">
        <v>2399.4166666666665</v>
      </c>
      <c r="S322" s="40">
        <v>2399.4166666666665</v>
      </c>
      <c r="T322" s="38">
        <v>2399.4166666666665</v>
      </c>
      <c r="U322" s="38">
        <v>2399.4166666666665</v>
      </c>
      <c r="V322" s="38">
        <v>2399.4166666666665</v>
      </c>
      <c r="W322" s="38">
        <v>2399.4166666666665</v>
      </c>
      <c r="X322" s="38">
        <v>2399.4166666666665</v>
      </c>
      <c r="Y322" s="38">
        <v>2399.4166666666665</v>
      </c>
      <c r="Z322" s="38">
        <v>2399.4166666666665</v>
      </c>
      <c r="AA322" s="966">
        <f t="shared" si="27"/>
        <v>28793.000000000004</v>
      </c>
      <c r="AB322" s="35"/>
      <c r="AC322" s="183"/>
    </row>
    <row r="323" spans="1:29" x14ac:dyDescent="0.2">
      <c r="A323" s="1422"/>
      <c r="B323" s="1418"/>
      <c r="C323" s="99"/>
      <c r="D323" s="99"/>
      <c r="E323" s="99"/>
      <c r="F323" s="99"/>
      <c r="G323" s="99"/>
      <c r="H323" s="99"/>
      <c r="I323" s="99"/>
      <c r="J323" s="99"/>
      <c r="K323" s="188">
        <f>SUM(K297:K322)</f>
        <v>2712645</v>
      </c>
      <c r="L323" s="188"/>
      <c r="M323" s="188"/>
      <c r="N323" s="188"/>
      <c r="O323" s="188"/>
      <c r="P323" s="188"/>
      <c r="Q323" s="188"/>
      <c r="R323" s="188"/>
      <c r="S323" s="188"/>
      <c r="T323" s="99"/>
      <c r="U323" s="99"/>
      <c r="V323" s="99"/>
      <c r="W323" s="99"/>
      <c r="X323" s="99"/>
      <c r="Y323" s="99"/>
      <c r="Z323" s="99"/>
      <c r="AA323" s="189"/>
      <c r="AB323" s="35"/>
      <c r="AC323" s="183"/>
    </row>
    <row r="324" spans="1:29" x14ac:dyDescent="0.2">
      <c r="A324" s="1422"/>
      <c r="B324" s="1419"/>
      <c r="C324" s="35"/>
      <c r="D324" s="35"/>
      <c r="E324" s="35"/>
      <c r="F324" s="35"/>
      <c r="G324" s="35"/>
      <c r="H324" s="35"/>
      <c r="I324" s="35"/>
      <c r="J324" s="35"/>
      <c r="K324" s="60"/>
      <c r="L324" s="60"/>
      <c r="M324" s="60"/>
      <c r="N324" s="60"/>
      <c r="O324" s="60"/>
      <c r="P324" s="60"/>
      <c r="Q324" s="60"/>
      <c r="R324" s="60"/>
      <c r="S324" s="60"/>
      <c r="T324" s="35"/>
      <c r="U324" s="2974" t="s">
        <v>15</v>
      </c>
      <c r="V324" s="2975"/>
      <c r="W324" s="2975"/>
      <c r="X324" s="2975"/>
      <c r="Y324" s="2976"/>
      <c r="Z324" s="2974" t="s">
        <v>16</v>
      </c>
      <c r="AA324" s="2976"/>
      <c r="AB324" s="35"/>
      <c r="AC324" s="183"/>
    </row>
    <row r="325" spans="1:29" ht="22.5" customHeight="1" x14ac:dyDescent="0.2">
      <c r="A325" s="1422"/>
      <c r="B325" s="1013" t="s">
        <v>276</v>
      </c>
      <c r="C325" s="152"/>
      <c r="D325" s="1115">
        <v>3033254</v>
      </c>
      <c r="E325" s="3277" t="s">
        <v>383</v>
      </c>
      <c r="F325" s="3278"/>
      <c r="G325" s="3278"/>
      <c r="H325" s="3278"/>
      <c r="I325" s="3278"/>
      <c r="J325" s="3278"/>
      <c r="K325" s="3278"/>
      <c r="L325" s="3278"/>
      <c r="M325" s="3278"/>
      <c r="N325" s="3278"/>
      <c r="O325" s="3278"/>
      <c r="P325" s="3278"/>
      <c r="Q325" s="3278"/>
      <c r="R325" s="3278"/>
      <c r="S325" s="3278"/>
      <c r="T325" s="3279"/>
      <c r="U325" s="3019" t="s">
        <v>384</v>
      </c>
      <c r="V325" s="3328"/>
      <c r="W325" s="3328"/>
      <c r="X325" s="3328"/>
      <c r="Y325" s="3020"/>
      <c r="Z325" s="3233" t="s">
        <v>385</v>
      </c>
      <c r="AA325" s="3233"/>
      <c r="AB325" s="35"/>
      <c r="AC325" s="183"/>
    </row>
    <row r="326" spans="1:29" x14ac:dyDescent="0.2">
      <c r="A326" s="1422"/>
      <c r="B326" s="2999" t="s">
        <v>278</v>
      </c>
      <c r="C326" s="2988" t="s">
        <v>21</v>
      </c>
      <c r="D326" s="2847" t="s">
        <v>22</v>
      </c>
      <c r="E326" s="2847" t="s">
        <v>23</v>
      </c>
      <c r="F326" s="2847" t="s">
        <v>24</v>
      </c>
      <c r="G326" s="2847" t="s">
        <v>25</v>
      </c>
      <c r="H326" s="2847" t="s">
        <v>26</v>
      </c>
      <c r="I326" s="2847" t="s">
        <v>27</v>
      </c>
      <c r="J326" s="1017" t="s">
        <v>28</v>
      </c>
      <c r="K326" s="1017"/>
      <c r="L326" s="2988" t="s">
        <v>279</v>
      </c>
      <c r="M326" s="3273" t="s">
        <v>280</v>
      </c>
      <c r="N326" s="3274"/>
      <c r="O326" s="2847" t="s">
        <v>281</v>
      </c>
      <c r="P326" s="2847"/>
      <c r="Q326" s="2847"/>
      <c r="R326" s="2847"/>
      <c r="S326" s="2847"/>
      <c r="T326" s="2847"/>
      <c r="U326" s="2847"/>
      <c r="V326" s="2847"/>
      <c r="W326" s="2847"/>
      <c r="X326" s="2847"/>
      <c r="Y326" s="2847"/>
      <c r="Z326" s="2847"/>
      <c r="AA326" s="2988" t="s">
        <v>32</v>
      </c>
      <c r="AB326" s="35"/>
      <c r="AC326" s="183"/>
    </row>
    <row r="327" spans="1:29" x14ac:dyDescent="0.2">
      <c r="A327" s="1422"/>
      <c r="B327" s="2999"/>
      <c r="C327" s="3186"/>
      <c r="D327" s="2847"/>
      <c r="E327" s="2847"/>
      <c r="F327" s="2847"/>
      <c r="G327" s="2847"/>
      <c r="H327" s="2847"/>
      <c r="I327" s="2847"/>
      <c r="J327" s="2988" t="s">
        <v>33</v>
      </c>
      <c r="K327" s="2988" t="s">
        <v>282</v>
      </c>
      <c r="L327" s="3186"/>
      <c r="M327" s="3275"/>
      <c r="N327" s="3276"/>
      <c r="O327" s="1009" t="s">
        <v>283</v>
      </c>
      <c r="P327" s="1009" t="s">
        <v>284</v>
      </c>
      <c r="Q327" s="1009" t="s">
        <v>285</v>
      </c>
      <c r="R327" s="1009" t="s">
        <v>88</v>
      </c>
      <c r="S327" s="1009" t="s">
        <v>89</v>
      </c>
      <c r="T327" s="1009" t="s">
        <v>90</v>
      </c>
      <c r="U327" s="1009" t="s">
        <v>91</v>
      </c>
      <c r="V327" s="1009" t="s">
        <v>92</v>
      </c>
      <c r="W327" s="1009" t="s">
        <v>286</v>
      </c>
      <c r="X327" s="1009" t="s">
        <v>93</v>
      </c>
      <c r="Y327" s="1009" t="s">
        <v>94</v>
      </c>
      <c r="Z327" s="1009" t="s">
        <v>95</v>
      </c>
      <c r="AA327" s="2989"/>
      <c r="AB327" s="35"/>
      <c r="AC327" s="183"/>
    </row>
    <row r="328" spans="1:29" x14ac:dyDescent="0.2">
      <c r="A328" s="1422"/>
      <c r="B328" s="2999"/>
      <c r="C328" s="3186"/>
      <c r="D328" s="2847"/>
      <c r="E328" s="2847"/>
      <c r="F328" s="2847"/>
      <c r="G328" s="2847"/>
      <c r="H328" s="2847"/>
      <c r="I328" s="2847"/>
      <c r="J328" s="3186"/>
      <c r="K328" s="3186"/>
      <c r="L328" s="3186"/>
      <c r="M328" s="3326" t="s">
        <v>287</v>
      </c>
      <c r="N328" s="3327"/>
      <c r="O328" s="1095">
        <v>8102</v>
      </c>
      <c r="P328" s="1095">
        <v>8102</v>
      </c>
      <c r="Q328" s="1095">
        <v>8102</v>
      </c>
      <c r="R328" s="1095">
        <v>8102</v>
      </c>
      <c r="S328" s="1095">
        <v>8102</v>
      </c>
      <c r="T328" s="1095">
        <v>8102</v>
      </c>
      <c r="U328" s="1095">
        <v>8102</v>
      </c>
      <c r="V328" s="1095">
        <v>8102</v>
      </c>
      <c r="W328" s="1095">
        <v>8102</v>
      </c>
      <c r="X328" s="1095">
        <v>8102</v>
      </c>
      <c r="Y328" s="1095">
        <v>8102</v>
      </c>
      <c r="Z328" s="1095">
        <v>8102</v>
      </c>
      <c r="AA328" s="40">
        <f t="shared" ref="AA328:AA365" si="29">SUM(O328:Z328)</f>
        <v>97224</v>
      </c>
      <c r="AB328" s="35"/>
      <c r="AC328" s="183"/>
    </row>
    <row r="329" spans="1:29" x14ac:dyDescent="0.2">
      <c r="A329" s="1422"/>
      <c r="B329" s="2999"/>
      <c r="C329" s="2989"/>
      <c r="D329" s="2847"/>
      <c r="E329" s="2847"/>
      <c r="F329" s="2847"/>
      <c r="G329" s="2847"/>
      <c r="H329" s="2847"/>
      <c r="I329" s="2847"/>
      <c r="J329" s="2989"/>
      <c r="K329" s="2989"/>
      <c r="L329" s="2989"/>
      <c r="M329" s="3326" t="s">
        <v>34</v>
      </c>
      <c r="N329" s="3327"/>
      <c r="O329" s="1095">
        <v>721214.49999999988</v>
      </c>
      <c r="P329" s="1095">
        <v>612263.12878787867</v>
      </c>
      <c r="Q329" s="1095">
        <v>659340.46212121204</v>
      </c>
      <c r="R329" s="1095">
        <v>643101.92878787871</v>
      </c>
      <c r="S329" s="1095">
        <v>649681.66212121199</v>
      </c>
      <c r="T329" s="1095">
        <v>638577.72878787876</v>
      </c>
      <c r="U329" s="1095">
        <v>711327.66212121199</v>
      </c>
      <c r="V329" s="1095">
        <v>623127.39545454539</v>
      </c>
      <c r="W329" s="1095">
        <v>648564.99545454537</v>
      </c>
      <c r="X329" s="1095">
        <v>625972.39545454539</v>
      </c>
      <c r="Y329" s="1095">
        <v>632237.66212121199</v>
      </c>
      <c r="Z329" s="1095">
        <v>685968.39545454539</v>
      </c>
      <c r="AA329" s="1196">
        <f t="shared" si="29"/>
        <v>7851377.916666666</v>
      </c>
      <c r="AB329" s="35"/>
      <c r="AC329" s="183"/>
    </row>
    <row r="330" spans="1:29" ht="11.25" customHeight="1" x14ac:dyDescent="0.2">
      <c r="A330" s="1422"/>
      <c r="B330" s="2522">
        <v>5000017</v>
      </c>
      <c r="C330" s="3268" t="s">
        <v>3714</v>
      </c>
      <c r="D330" s="3268">
        <v>11</v>
      </c>
      <c r="E330" s="3268" t="s">
        <v>288</v>
      </c>
      <c r="F330" s="3268" t="s">
        <v>386</v>
      </c>
      <c r="G330" s="3268" t="s">
        <v>387</v>
      </c>
      <c r="H330" s="3268" t="s">
        <v>388</v>
      </c>
      <c r="I330" s="3268" t="s">
        <v>389</v>
      </c>
      <c r="J330" s="3268">
        <v>97224</v>
      </c>
      <c r="K330" s="40">
        <v>2702542</v>
      </c>
      <c r="L330" s="3294" t="s">
        <v>377</v>
      </c>
      <c r="M330" s="3287" t="s">
        <v>293</v>
      </c>
      <c r="N330" s="3288"/>
      <c r="O330" s="40">
        <v>225211.83333333334</v>
      </c>
      <c r="P330" s="40">
        <v>225211.83333333334</v>
      </c>
      <c r="Q330" s="40">
        <v>225211.83333333334</v>
      </c>
      <c r="R330" s="40">
        <v>225211.83333333334</v>
      </c>
      <c r="S330" s="40">
        <v>225211.83333333334</v>
      </c>
      <c r="T330" s="38">
        <v>225211.83333333334</v>
      </c>
      <c r="U330" s="38">
        <v>225211.83333333334</v>
      </c>
      <c r="V330" s="38">
        <v>225211.83333333334</v>
      </c>
      <c r="W330" s="38">
        <v>225211.83333333334</v>
      </c>
      <c r="X330" s="38">
        <v>225211.83333333334</v>
      </c>
      <c r="Y330" s="38">
        <v>225211.83333333334</v>
      </c>
      <c r="Z330" s="38">
        <v>225211.83333333334</v>
      </c>
      <c r="AA330" s="966">
        <f t="shared" si="29"/>
        <v>2702542</v>
      </c>
      <c r="AB330" s="35"/>
      <c r="AC330" s="183"/>
    </row>
    <row r="331" spans="1:29" x14ac:dyDescent="0.2">
      <c r="A331" s="1422"/>
      <c r="B331" s="2522"/>
      <c r="C331" s="3269"/>
      <c r="D331" s="3269"/>
      <c r="E331" s="3269"/>
      <c r="F331" s="3269"/>
      <c r="G331" s="3269"/>
      <c r="H331" s="3269"/>
      <c r="I331" s="3269"/>
      <c r="J331" s="3269"/>
      <c r="K331" s="40">
        <v>26868</v>
      </c>
      <c r="L331" s="3295"/>
      <c r="M331" s="3287" t="s">
        <v>321</v>
      </c>
      <c r="N331" s="3288"/>
      <c r="O331" s="40">
        <v>2239</v>
      </c>
      <c r="P331" s="40">
        <v>2239</v>
      </c>
      <c r="Q331" s="40">
        <v>2239</v>
      </c>
      <c r="R331" s="40">
        <v>2239</v>
      </c>
      <c r="S331" s="40">
        <v>2239</v>
      </c>
      <c r="T331" s="38">
        <v>2239</v>
      </c>
      <c r="U331" s="38">
        <v>2239</v>
      </c>
      <c r="V331" s="38">
        <v>2239</v>
      </c>
      <c r="W331" s="38">
        <v>2239</v>
      </c>
      <c r="X331" s="38">
        <v>2239</v>
      </c>
      <c r="Y331" s="38">
        <v>2239</v>
      </c>
      <c r="Z331" s="38">
        <v>2239</v>
      </c>
      <c r="AA331" s="966">
        <f t="shared" si="29"/>
        <v>26868</v>
      </c>
      <c r="AB331" s="35"/>
      <c r="AC331" s="183"/>
    </row>
    <row r="332" spans="1:29" x14ac:dyDescent="0.2">
      <c r="A332" s="1422"/>
      <c r="B332" s="2522"/>
      <c r="C332" s="3269"/>
      <c r="D332" s="3269"/>
      <c r="E332" s="3269"/>
      <c r="F332" s="3269"/>
      <c r="G332" s="3269"/>
      <c r="H332" s="3269"/>
      <c r="I332" s="3269"/>
      <c r="J332" s="3269"/>
      <c r="K332" s="40">
        <v>80604</v>
      </c>
      <c r="L332" s="3295"/>
      <c r="M332" s="3287" t="s">
        <v>294</v>
      </c>
      <c r="N332" s="3288"/>
      <c r="O332" s="40">
        <v>6717</v>
      </c>
      <c r="P332" s="40">
        <v>6717</v>
      </c>
      <c r="Q332" s="40">
        <v>6717</v>
      </c>
      <c r="R332" s="40">
        <v>6717</v>
      </c>
      <c r="S332" s="40">
        <v>6717</v>
      </c>
      <c r="T332" s="38">
        <v>6717</v>
      </c>
      <c r="U332" s="38">
        <v>6717</v>
      </c>
      <c r="V332" s="38">
        <v>6717</v>
      </c>
      <c r="W332" s="38">
        <v>6717</v>
      </c>
      <c r="X332" s="38">
        <v>6717</v>
      </c>
      <c r="Y332" s="38">
        <v>6717</v>
      </c>
      <c r="Z332" s="38">
        <v>6717</v>
      </c>
      <c r="AA332" s="966">
        <f t="shared" si="29"/>
        <v>80604</v>
      </c>
      <c r="AB332" s="35"/>
      <c r="AC332" s="183"/>
    </row>
    <row r="333" spans="1:29" x14ac:dyDescent="0.2">
      <c r="A333" s="1422"/>
      <c r="B333" s="2522"/>
      <c r="C333" s="3269"/>
      <c r="D333" s="3269"/>
      <c r="E333" s="3269"/>
      <c r="F333" s="3269"/>
      <c r="G333" s="3269"/>
      <c r="H333" s="3269"/>
      <c r="I333" s="3269"/>
      <c r="J333" s="3269"/>
      <c r="K333" s="40">
        <v>2298021</v>
      </c>
      <c r="L333" s="3295"/>
      <c r="M333" s="3287" t="s">
        <v>295</v>
      </c>
      <c r="N333" s="3288"/>
      <c r="O333" s="40">
        <v>191501.75</v>
      </c>
      <c r="P333" s="40">
        <v>191501.75</v>
      </c>
      <c r="Q333" s="40">
        <v>191501.75</v>
      </c>
      <c r="R333" s="40">
        <v>191501.75</v>
      </c>
      <c r="S333" s="40">
        <v>191501.75</v>
      </c>
      <c r="T333" s="38">
        <v>191501.75</v>
      </c>
      <c r="U333" s="38">
        <v>191501.75</v>
      </c>
      <c r="V333" s="38">
        <v>191501.75</v>
      </c>
      <c r="W333" s="38">
        <v>191501.75</v>
      </c>
      <c r="X333" s="38">
        <v>191501.75</v>
      </c>
      <c r="Y333" s="38">
        <v>191501.75</v>
      </c>
      <c r="Z333" s="38">
        <v>191501.75</v>
      </c>
      <c r="AA333" s="966">
        <f t="shared" si="29"/>
        <v>2298021</v>
      </c>
      <c r="AB333" s="35"/>
      <c r="AC333" s="183"/>
    </row>
    <row r="334" spans="1:29" x14ac:dyDescent="0.2">
      <c r="A334" s="1422"/>
      <c r="B334" s="2522"/>
      <c r="C334" s="3269"/>
      <c r="D334" s="3269"/>
      <c r="E334" s="3269"/>
      <c r="F334" s="3269"/>
      <c r="G334" s="3269"/>
      <c r="H334" s="3269"/>
      <c r="I334" s="3269"/>
      <c r="J334" s="3269"/>
      <c r="K334" s="40">
        <v>63360</v>
      </c>
      <c r="L334" s="3295"/>
      <c r="M334" s="3287" t="s">
        <v>332</v>
      </c>
      <c r="N334" s="3288"/>
      <c r="O334" s="40">
        <v>5280</v>
      </c>
      <c r="P334" s="40">
        <v>5280</v>
      </c>
      <c r="Q334" s="40">
        <v>5280</v>
      </c>
      <c r="R334" s="40">
        <v>5280</v>
      </c>
      <c r="S334" s="40">
        <v>5280</v>
      </c>
      <c r="T334" s="38">
        <v>5280</v>
      </c>
      <c r="U334" s="38">
        <v>5280</v>
      </c>
      <c r="V334" s="38">
        <v>5280</v>
      </c>
      <c r="W334" s="38">
        <v>5280</v>
      </c>
      <c r="X334" s="38">
        <v>5280</v>
      </c>
      <c r="Y334" s="38">
        <v>5280</v>
      </c>
      <c r="Z334" s="38">
        <v>5280</v>
      </c>
      <c r="AA334" s="966">
        <f t="shared" si="29"/>
        <v>63360</v>
      </c>
      <c r="AB334" s="35"/>
      <c r="AC334" s="183"/>
    </row>
    <row r="335" spans="1:29" x14ac:dyDescent="0.2">
      <c r="A335" s="1422"/>
      <c r="B335" s="2522"/>
      <c r="C335" s="3269"/>
      <c r="D335" s="3269"/>
      <c r="E335" s="3269"/>
      <c r="F335" s="3269"/>
      <c r="G335" s="3269"/>
      <c r="H335" s="3269"/>
      <c r="I335" s="3269"/>
      <c r="J335" s="3269"/>
      <c r="K335" s="40">
        <v>1029399</v>
      </c>
      <c r="L335" s="3295"/>
      <c r="M335" s="3287" t="s">
        <v>296</v>
      </c>
      <c r="N335" s="3288"/>
      <c r="O335" s="40">
        <v>85783.25</v>
      </c>
      <c r="P335" s="40">
        <v>85783.25</v>
      </c>
      <c r="Q335" s="40">
        <v>85783.25</v>
      </c>
      <c r="R335" s="40">
        <v>85783.25</v>
      </c>
      <c r="S335" s="40">
        <v>85783.25</v>
      </c>
      <c r="T335" s="38">
        <v>85783.25</v>
      </c>
      <c r="U335" s="38">
        <v>85783.25</v>
      </c>
      <c r="V335" s="38">
        <v>85783.25</v>
      </c>
      <c r="W335" s="38">
        <v>85783.25</v>
      </c>
      <c r="X335" s="38">
        <v>85783.25</v>
      </c>
      <c r="Y335" s="38">
        <v>85783.25</v>
      </c>
      <c r="Z335" s="38">
        <v>85783.25</v>
      </c>
      <c r="AA335" s="966">
        <f t="shared" si="29"/>
        <v>1029399</v>
      </c>
      <c r="AB335" s="35"/>
      <c r="AC335" s="183"/>
    </row>
    <row r="336" spans="1:29" x14ac:dyDescent="0.2">
      <c r="A336" s="1422"/>
      <c r="B336" s="2522"/>
      <c r="C336" s="3269"/>
      <c r="D336" s="3269"/>
      <c r="E336" s="3269"/>
      <c r="F336" s="3269"/>
      <c r="G336" s="3269"/>
      <c r="H336" s="3269"/>
      <c r="I336" s="3269"/>
      <c r="J336" s="3269"/>
      <c r="K336" s="40">
        <v>614264</v>
      </c>
      <c r="L336" s="3295"/>
      <c r="M336" s="3287" t="s">
        <v>297</v>
      </c>
      <c r="N336" s="3288"/>
      <c r="O336" s="40">
        <v>51188.666666666664</v>
      </c>
      <c r="P336" s="40">
        <v>51188.666666666664</v>
      </c>
      <c r="Q336" s="40">
        <v>51188.666666666664</v>
      </c>
      <c r="R336" s="40">
        <v>51188.666666666664</v>
      </c>
      <c r="S336" s="40">
        <v>51188.666666666664</v>
      </c>
      <c r="T336" s="38">
        <v>51188.666666666664</v>
      </c>
      <c r="U336" s="38">
        <v>51188.666666666664</v>
      </c>
      <c r="V336" s="38">
        <v>51188.666666666664</v>
      </c>
      <c r="W336" s="38">
        <v>51188.666666666664</v>
      </c>
      <c r="X336" s="38">
        <v>51188.666666666664</v>
      </c>
      <c r="Y336" s="38">
        <v>51188.666666666664</v>
      </c>
      <c r="Z336" s="38">
        <v>51188.666666666664</v>
      </c>
      <c r="AA336" s="966">
        <f t="shared" si="29"/>
        <v>614264</v>
      </c>
      <c r="AB336" s="35"/>
      <c r="AC336" s="183"/>
    </row>
    <row r="337" spans="1:29" x14ac:dyDescent="0.2">
      <c r="A337" s="1422"/>
      <c r="B337" s="2522"/>
      <c r="C337" s="3269"/>
      <c r="D337" s="3269"/>
      <c r="E337" s="3269"/>
      <c r="F337" s="3269"/>
      <c r="G337" s="3269"/>
      <c r="H337" s="3269"/>
      <c r="I337" s="3269"/>
      <c r="J337" s="3269"/>
      <c r="K337" s="40">
        <v>127436</v>
      </c>
      <c r="L337" s="3295"/>
      <c r="M337" s="3287" t="s">
        <v>298</v>
      </c>
      <c r="N337" s="3288"/>
      <c r="O337" s="40"/>
      <c r="P337" s="40"/>
      <c r="Q337" s="40"/>
      <c r="R337" s="40"/>
      <c r="S337" s="40"/>
      <c r="T337" s="38"/>
      <c r="U337" s="38">
        <v>63718</v>
      </c>
      <c r="V337" s="38"/>
      <c r="W337" s="38"/>
      <c r="X337" s="38"/>
      <c r="Y337" s="38"/>
      <c r="Z337" s="38">
        <v>63718</v>
      </c>
      <c r="AA337" s="966">
        <f t="shared" si="29"/>
        <v>127436</v>
      </c>
      <c r="AB337" s="35"/>
      <c r="AC337" s="183"/>
    </row>
    <row r="338" spans="1:29" x14ac:dyDescent="0.2">
      <c r="A338" s="1422"/>
      <c r="B338" s="2522"/>
      <c r="C338" s="3269"/>
      <c r="D338" s="3269"/>
      <c r="E338" s="3269"/>
      <c r="F338" s="3269"/>
      <c r="G338" s="3269"/>
      <c r="H338" s="3269"/>
      <c r="I338" s="3269"/>
      <c r="J338" s="3269"/>
      <c r="K338" s="40">
        <v>84400</v>
      </c>
      <c r="L338" s="3295"/>
      <c r="M338" s="3287" t="s">
        <v>299</v>
      </c>
      <c r="N338" s="3288"/>
      <c r="O338" s="40">
        <v>84400</v>
      </c>
      <c r="P338" s="40"/>
      <c r="Q338" s="40"/>
      <c r="R338" s="40"/>
      <c r="S338" s="40"/>
      <c r="T338" s="38"/>
      <c r="U338" s="38"/>
      <c r="V338" s="38"/>
      <c r="W338" s="38"/>
      <c r="X338" s="38"/>
      <c r="Y338" s="38"/>
      <c r="Z338" s="38"/>
      <c r="AA338" s="966">
        <f t="shared" si="29"/>
        <v>84400</v>
      </c>
      <c r="AB338" s="35"/>
      <c r="AC338" s="183"/>
    </row>
    <row r="339" spans="1:29" x14ac:dyDescent="0.2">
      <c r="A339" s="1422"/>
      <c r="B339" s="2522"/>
      <c r="C339" s="3269"/>
      <c r="D339" s="3269"/>
      <c r="E339" s="3269"/>
      <c r="F339" s="3269"/>
      <c r="G339" s="3269"/>
      <c r="H339" s="3269"/>
      <c r="I339" s="3269"/>
      <c r="J339" s="3269"/>
      <c r="K339" s="40">
        <v>35000</v>
      </c>
      <c r="L339" s="3295"/>
      <c r="M339" s="3287" t="s">
        <v>339</v>
      </c>
      <c r="N339" s="3288"/>
      <c r="O339" s="40">
        <v>2916.6666666666665</v>
      </c>
      <c r="P339" s="40">
        <v>2916.6666666666665</v>
      </c>
      <c r="Q339" s="40">
        <v>2916.6666666666665</v>
      </c>
      <c r="R339" s="40">
        <v>2916.6666666666665</v>
      </c>
      <c r="S339" s="40">
        <v>2916.6666666666665</v>
      </c>
      <c r="T339" s="38">
        <v>2916.6666666666665</v>
      </c>
      <c r="U339" s="38">
        <v>2916.6666666666665</v>
      </c>
      <c r="V339" s="38">
        <v>2916.6666666666665</v>
      </c>
      <c r="W339" s="38">
        <v>2916.6666666666665</v>
      </c>
      <c r="X339" s="38">
        <v>2916.6666666666665</v>
      </c>
      <c r="Y339" s="38">
        <v>2916.6666666666665</v>
      </c>
      <c r="Z339" s="38">
        <v>2916.6666666666665</v>
      </c>
      <c r="AA339" s="966">
        <f t="shared" si="29"/>
        <v>35000.000000000007</v>
      </c>
      <c r="AB339" s="35"/>
      <c r="AC339" s="183"/>
    </row>
    <row r="340" spans="1:29" x14ac:dyDescent="0.2">
      <c r="A340" s="1422"/>
      <c r="B340" s="2522"/>
      <c r="C340" s="3269"/>
      <c r="D340" s="3269"/>
      <c r="E340" s="3269"/>
      <c r="F340" s="3269"/>
      <c r="G340" s="3269"/>
      <c r="H340" s="3269"/>
      <c r="I340" s="3269"/>
      <c r="J340" s="3269"/>
      <c r="K340" s="40">
        <v>335138</v>
      </c>
      <c r="L340" s="3295"/>
      <c r="M340" s="3287" t="s">
        <v>300</v>
      </c>
      <c r="N340" s="3288"/>
      <c r="O340" s="40">
        <v>27928.166666666668</v>
      </c>
      <c r="P340" s="40">
        <v>27928.166666666668</v>
      </c>
      <c r="Q340" s="40">
        <v>27928.166666666668</v>
      </c>
      <c r="R340" s="40">
        <v>27928.166666666668</v>
      </c>
      <c r="S340" s="40">
        <v>27928.166666666668</v>
      </c>
      <c r="T340" s="38">
        <v>27928.166666666668</v>
      </c>
      <c r="U340" s="38">
        <v>27928.166666666668</v>
      </c>
      <c r="V340" s="38">
        <v>27928.166666666668</v>
      </c>
      <c r="W340" s="38">
        <v>27928.166666666668</v>
      </c>
      <c r="X340" s="38">
        <v>27928.166666666668</v>
      </c>
      <c r="Y340" s="38">
        <v>27928.166666666668</v>
      </c>
      <c r="Z340" s="38">
        <v>27928.166666666668</v>
      </c>
      <c r="AA340" s="966">
        <f t="shared" si="29"/>
        <v>335138</v>
      </c>
      <c r="AB340" s="35"/>
      <c r="AC340" s="183"/>
    </row>
    <row r="341" spans="1:29" x14ac:dyDescent="0.2">
      <c r="A341" s="1422"/>
      <c r="B341" s="2522"/>
      <c r="C341" s="3269"/>
      <c r="D341" s="3269"/>
      <c r="E341" s="3269"/>
      <c r="F341" s="3269"/>
      <c r="G341" s="3269"/>
      <c r="H341" s="3269"/>
      <c r="I341" s="3269"/>
      <c r="J341" s="3269"/>
      <c r="K341" s="40">
        <v>10107</v>
      </c>
      <c r="L341" s="3295"/>
      <c r="M341" s="3287" t="s">
        <v>301</v>
      </c>
      <c r="N341" s="3288"/>
      <c r="O341" s="40">
        <v>842.25</v>
      </c>
      <c r="P341" s="40">
        <v>842.25</v>
      </c>
      <c r="Q341" s="40">
        <v>842.25</v>
      </c>
      <c r="R341" s="40">
        <v>842.25</v>
      </c>
      <c r="S341" s="40">
        <v>842.25</v>
      </c>
      <c r="T341" s="38">
        <v>842.25</v>
      </c>
      <c r="U341" s="38">
        <v>842.25</v>
      </c>
      <c r="V341" s="38">
        <v>842.25</v>
      </c>
      <c r="W341" s="38">
        <v>842.25</v>
      </c>
      <c r="X341" s="38">
        <v>842.25</v>
      </c>
      <c r="Y341" s="38">
        <v>842.25</v>
      </c>
      <c r="Z341" s="38">
        <v>842.25</v>
      </c>
      <c r="AA341" s="966">
        <f t="shared" si="29"/>
        <v>10107</v>
      </c>
      <c r="AB341" s="35"/>
      <c r="AC341" s="183"/>
    </row>
    <row r="342" spans="1:29" x14ac:dyDescent="0.2">
      <c r="A342" s="1422"/>
      <c r="B342" s="2522"/>
      <c r="C342" s="3269"/>
      <c r="D342" s="3269"/>
      <c r="E342" s="3269"/>
      <c r="F342" s="3269"/>
      <c r="G342" s="3269"/>
      <c r="H342" s="3269"/>
      <c r="I342" s="3269"/>
      <c r="J342" s="3269"/>
      <c r="K342" s="40">
        <v>3000</v>
      </c>
      <c r="L342" s="3295"/>
      <c r="M342" s="3287" t="s">
        <v>380</v>
      </c>
      <c r="N342" s="3288"/>
      <c r="O342" s="40">
        <v>1500</v>
      </c>
      <c r="P342" s="40"/>
      <c r="Q342" s="40"/>
      <c r="R342" s="40"/>
      <c r="S342" s="40"/>
      <c r="T342" s="38"/>
      <c r="U342" s="38">
        <v>1500</v>
      </c>
      <c r="V342" s="38"/>
      <c r="W342" s="38"/>
      <c r="X342" s="38"/>
      <c r="Y342" s="38"/>
      <c r="Z342" s="38"/>
      <c r="AA342" s="966">
        <f t="shared" si="29"/>
        <v>3000</v>
      </c>
      <c r="AB342" s="35"/>
      <c r="AC342" s="183"/>
    </row>
    <row r="343" spans="1:29" x14ac:dyDescent="0.2">
      <c r="A343" s="1422"/>
      <c r="B343" s="2522"/>
      <c r="C343" s="3269"/>
      <c r="D343" s="3269"/>
      <c r="E343" s="3269"/>
      <c r="F343" s="3269"/>
      <c r="G343" s="3269"/>
      <c r="H343" s="3269"/>
      <c r="I343" s="3269"/>
      <c r="J343" s="3269"/>
      <c r="K343" s="40">
        <v>10000</v>
      </c>
      <c r="L343" s="3295"/>
      <c r="M343" s="3287" t="s">
        <v>302</v>
      </c>
      <c r="N343" s="3288"/>
      <c r="O343" s="40"/>
      <c r="P343" s="40"/>
      <c r="Q343" s="40"/>
      <c r="R343" s="40"/>
      <c r="S343" s="40">
        <v>10000</v>
      </c>
      <c r="T343" s="38"/>
      <c r="U343" s="38"/>
      <c r="V343" s="38"/>
      <c r="W343" s="38"/>
      <c r="X343" s="38"/>
      <c r="Y343" s="38"/>
      <c r="Z343" s="38"/>
      <c r="AA343" s="966">
        <f t="shared" si="29"/>
        <v>10000</v>
      </c>
      <c r="AB343" s="35"/>
      <c r="AC343" s="183"/>
    </row>
    <row r="344" spans="1:29" x14ac:dyDescent="0.2">
      <c r="A344" s="1422"/>
      <c r="B344" s="2522"/>
      <c r="C344" s="3269"/>
      <c r="D344" s="3269"/>
      <c r="E344" s="3269"/>
      <c r="F344" s="3269"/>
      <c r="G344" s="3269"/>
      <c r="H344" s="3269"/>
      <c r="I344" s="3269"/>
      <c r="J344" s="3269"/>
      <c r="K344" s="40">
        <v>5200</v>
      </c>
      <c r="L344" s="3295"/>
      <c r="M344" s="3287" t="s">
        <v>390</v>
      </c>
      <c r="N344" s="3288"/>
      <c r="O344" s="40"/>
      <c r="P344" s="40"/>
      <c r="Q344" s="40">
        <v>5200</v>
      </c>
      <c r="R344" s="40"/>
      <c r="S344" s="40"/>
      <c r="T344" s="38"/>
      <c r="U344" s="38"/>
      <c r="V344" s="38"/>
      <c r="W344" s="38"/>
      <c r="X344" s="38"/>
      <c r="Y344" s="38"/>
      <c r="Z344" s="38"/>
      <c r="AA344" s="966">
        <f t="shared" si="29"/>
        <v>5200</v>
      </c>
      <c r="AB344" s="35"/>
      <c r="AC344" s="183"/>
    </row>
    <row r="345" spans="1:29" x14ac:dyDescent="0.2">
      <c r="A345" s="1422"/>
      <c r="B345" s="2522"/>
      <c r="C345" s="3269"/>
      <c r="D345" s="3269"/>
      <c r="E345" s="3269"/>
      <c r="F345" s="3269"/>
      <c r="G345" s="3269"/>
      <c r="H345" s="3269"/>
      <c r="I345" s="3269"/>
      <c r="J345" s="3269"/>
      <c r="K345" s="40">
        <v>7300</v>
      </c>
      <c r="L345" s="3295"/>
      <c r="M345" s="3287" t="s">
        <v>303</v>
      </c>
      <c r="N345" s="3288"/>
      <c r="O345" s="40"/>
      <c r="P345" s="40"/>
      <c r="Q345" s="40">
        <v>3650</v>
      </c>
      <c r="R345" s="40"/>
      <c r="S345" s="40"/>
      <c r="T345" s="38"/>
      <c r="U345" s="38">
        <v>3650</v>
      </c>
      <c r="V345" s="38"/>
      <c r="W345" s="38"/>
      <c r="X345" s="38"/>
      <c r="Y345" s="38"/>
      <c r="Z345" s="38"/>
      <c r="AA345" s="966">
        <f t="shared" si="29"/>
        <v>7300</v>
      </c>
      <c r="AB345" s="35"/>
      <c r="AC345" s="183"/>
    </row>
    <row r="346" spans="1:29" x14ac:dyDescent="0.2">
      <c r="A346" s="1422"/>
      <c r="B346" s="2522"/>
      <c r="C346" s="3269"/>
      <c r="D346" s="3269"/>
      <c r="E346" s="3269"/>
      <c r="F346" s="3269"/>
      <c r="G346" s="3269"/>
      <c r="H346" s="3269"/>
      <c r="I346" s="3269"/>
      <c r="J346" s="3269"/>
      <c r="K346" s="40">
        <v>139200</v>
      </c>
      <c r="L346" s="3295"/>
      <c r="M346" s="3287" t="s">
        <v>324</v>
      </c>
      <c r="N346" s="3288"/>
      <c r="O346" s="40"/>
      <c r="P346" s="40">
        <v>12654.545454545454</v>
      </c>
      <c r="Q346" s="40">
        <v>12654.545454545454</v>
      </c>
      <c r="R346" s="40">
        <v>12654.545454545454</v>
      </c>
      <c r="S346" s="40">
        <v>12654.545454545454</v>
      </c>
      <c r="T346" s="38">
        <v>12654.545454545454</v>
      </c>
      <c r="U346" s="38">
        <v>12654.545454545454</v>
      </c>
      <c r="V346" s="38">
        <v>12654.545454545454</v>
      </c>
      <c r="W346" s="38">
        <v>12654.545454545454</v>
      </c>
      <c r="X346" s="38">
        <v>12654.545454545454</v>
      </c>
      <c r="Y346" s="38">
        <v>12654.545454545454</v>
      </c>
      <c r="Z346" s="38">
        <v>12654.545454545454</v>
      </c>
      <c r="AA346" s="966">
        <f t="shared" si="29"/>
        <v>139200</v>
      </c>
      <c r="AB346" s="35"/>
      <c r="AC346" s="183"/>
    </row>
    <row r="347" spans="1:29" x14ac:dyDescent="0.2">
      <c r="A347" s="1422"/>
      <c r="B347" s="2522"/>
      <c r="C347" s="3269"/>
      <c r="D347" s="3269"/>
      <c r="E347" s="3269"/>
      <c r="F347" s="3269"/>
      <c r="G347" s="3269"/>
      <c r="H347" s="3269"/>
      <c r="I347" s="3269"/>
      <c r="J347" s="3269"/>
      <c r="K347" s="40">
        <v>8000</v>
      </c>
      <c r="L347" s="3295"/>
      <c r="M347" s="3287" t="s">
        <v>391</v>
      </c>
      <c r="N347" s="3288"/>
      <c r="O347" s="40"/>
      <c r="P347" s="40"/>
      <c r="Q347" s="40">
        <v>8000</v>
      </c>
      <c r="R347" s="40"/>
      <c r="S347" s="40"/>
      <c r="T347" s="38"/>
      <c r="U347" s="38"/>
      <c r="V347" s="38"/>
      <c r="W347" s="38"/>
      <c r="X347" s="38"/>
      <c r="Y347" s="38"/>
      <c r="Z347" s="38"/>
      <c r="AA347" s="966">
        <f t="shared" si="29"/>
        <v>8000</v>
      </c>
      <c r="AB347" s="35"/>
      <c r="AC347" s="183"/>
    </row>
    <row r="348" spans="1:29" x14ac:dyDescent="0.2">
      <c r="A348" s="1422"/>
      <c r="B348" s="2522"/>
      <c r="C348" s="3269"/>
      <c r="D348" s="3269"/>
      <c r="E348" s="3269"/>
      <c r="F348" s="3269"/>
      <c r="G348" s="3269"/>
      <c r="H348" s="3269"/>
      <c r="I348" s="3269"/>
      <c r="J348" s="3269"/>
      <c r="K348" s="40">
        <v>2000</v>
      </c>
      <c r="L348" s="3295"/>
      <c r="M348" s="3287" t="s">
        <v>342</v>
      </c>
      <c r="N348" s="3288"/>
      <c r="O348" s="40"/>
      <c r="P348" s="40"/>
      <c r="Q348" s="40">
        <v>2000</v>
      </c>
      <c r="R348" s="40"/>
      <c r="S348" s="40"/>
      <c r="T348" s="38"/>
      <c r="U348" s="38"/>
      <c r="V348" s="38"/>
      <c r="W348" s="38"/>
      <c r="X348" s="38"/>
      <c r="Y348" s="38"/>
      <c r="Z348" s="38"/>
      <c r="AA348" s="966">
        <f t="shared" si="29"/>
        <v>2000</v>
      </c>
      <c r="AB348" s="35"/>
      <c r="AC348" s="183"/>
    </row>
    <row r="349" spans="1:29" x14ac:dyDescent="0.2">
      <c r="A349" s="1422"/>
      <c r="B349" s="2522"/>
      <c r="C349" s="3269"/>
      <c r="D349" s="3269"/>
      <c r="E349" s="3269"/>
      <c r="F349" s="3269"/>
      <c r="G349" s="3269"/>
      <c r="H349" s="3269"/>
      <c r="I349" s="3269"/>
      <c r="J349" s="3269"/>
      <c r="K349" s="40">
        <v>13000</v>
      </c>
      <c r="L349" s="3295"/>
      <c r="M349" s="3287" t="s">
        <v>392</v>
      </c>
      <c r="N349" s="3288"/>
      <c r="O349" s="40"/>
      <c r="P349" s="40"/>
      <c r="Q349" s="40">
        <v>6500</v>
      </c>
      <c r="R349" s="40"/>
      <c r="S349" s="40"/>
      <c r="T349" s="38"/>
      <c r="U349" s="38">
        <v>6500</v>
      </c>
      <c r="V349" s="38"/>
      <c r="W349" s="38"/>
      <c r="X349" s="38"/>
      <c r="Y349" s="38"/>
      <c r="Z349" s="38"/>
      <c r="AA349" s="966">
        <f t="shared" si="29"/>
        <v>13000</v>
      </c>
      <c r="AB349" s="35"/>
      <c r="AC349" s="183"/>
    </row>
    <row r="350" spans="1:29" x14ac:dyDescent="0.2">
      <c r="A350" s="1422"/>
      <c r="B350" s="2522"/>
      <c r="C350" s="3269"/>
      <c r="D350" s="3269"/>
      <c r="E350" s="3269"/>
      <c r="F350" s="3269"/>
      <c r="G350" s="3269"/>
      <c r="H350" s="3269"/>
      <c r="I350" s="3269"/>
      <c r="J350" s="3269"/>
      <c r="K350" s="40">
        <v>5100</v>
      </c>
      <c r="L350" s="3295"/>
      <c r="M350" s="3287" t="s">
        <v>348</v>
      </c>
      <c r="N350" s="3288"/>
      <c r="O350" s="40"/>
      <c r="P350" s="40"/>
      <c r="Q350" s="40">
        <v>5100</v>
      </c>
      <c r="R350" s="40"/>
      <c r="S350" s="40"/>
      <c r="T350" s="38"/>
      <c r="U350" s="38"/>
      <c r="V350" s="38"/>
      <c r="W350" s="38"/>
      <c r="X350" s="38"/>
      <c r="Y350" s="38"/>
      <c r="Z350" s="38"/>
      <c r="AA350" s="966">
        <f t="shared" si="29"/>
        <v>5100</v>
      </c>
      <c r="AB350" s="35"/>
      <c r="AC350" s="183"/>
    </row>
    <row r="351" spans="1:29" x14ac:dyDescent="0.2">
      <c r="A351" s="1422"/>
      <c r="B351" s="2522"/>
      <c r="C351" s="3269"/>
      <c r="D351" s="3269"/>
      <c r="E351" s="3269"/>
      <c r="F351" s="3269"/>
      <c r="G351" s="3269"/>
      <c r="H351" s="3269"/>
      <c r="I351" s="3269"/>
      <c r="J351" s="3269"/>
      <c r="K351" s="40">
        <v>1754</v>
      </c>
      <c r="L351" s="3295"/>
      <c r="M351" s="3287" t="s">
        <v>393</v>
      </c>
      <c r="N351" s="3288"/>
      <c r="O351" s="40"/>
      <c r="P351" s="40"/>
      <c r="Q351" s="40"/>
      <c r="R351" s="40">
        <v>877</v>
      </c>
      <c r="S351" s="40"/>
      <c r="T351" s="38"/>
      <c r="U351" s="38"/>
      <c r="V351" s="38">
        <v>877</v>
      </c>
      <c r="W351" s="38"/>
      <c r="X351" s="38"/>
      <c r="Y351" s="38"/>
      <c r="Z351" s="38"/>
      <c r="AA351" s="966">
        <f t="shared" si="29"/>
        <v>1754</v>
      </c>
      <c r="AB351" s="35"/>
      <c r="AC351" s="183"/>
    </row>
    <row r="352" spans="1:29" x14ac:dyDescent="0.2">
      <c r="A352" s="1422"/>
      <c r="B352" s="2522"/>
      <c r="C352" s="3269"/>
      <c r="D352" s="3269"/>
      <c r="E352" s="3269"/>
      <c r="F352" s="3269"/>
      <c r="G352" s="3269"/>
      <c r="H352" s="3269"/>
      <c r="I352" s="3269"/>
      <c r="J352" s="3269"/>
      <c r="K352" s="40">
        <v>149809</v>
      </c>
      <c r="L352" s="3295"/>
      <c r="M352" s="3287" t="s">
        <v>343</v>
      </c>
      <c r="N352" s="3288"/>
      <c r="O352" s="40"/>
      <c r="P352" s="40"/>
      <c r="Q352" s="40"/>
      <c r="R352" s="40">
        <v>29961.800000000003</v>
      </c>
      <c r="S352" s="40">
        <v>19974.533333333333</v>
      </c>
      <c r="T352" s="38">
        <v>9987.2666666666664</v>
      </c>
      <c r="U352" s="38">
        <v>19974.533333333333</v>
      </c>
      <c r="V352" s="38">
        <v>9987.2666666666664</v>
      </c>
      <c r="W352" s="38">
        <v>19974.533333333333</v>
      </c>
      <c r="X352" s="38">
        <v>9987.2666666666664</v>
      </c>
      <c r="Y352" s="38">
        <v>19974.533333333333</v>
      </c>
      <c r="Z352" s="38">
        <v>9987.2666666666664</v>
      </c>
      <c r="AA352" s="966">
        <f t="shared" si="29"/>
        <v>149808.99999999997</v>
      </c>
      <c r="AB352" s="35"/>
      <c r="AC352" s="183"/>
    </row>
    <row r="353" spans="1:29" x14ac:dyDescent="0.2">
      <c r="A353" s="1422"/>
      <c r="B353" s="2522"/>
      <c r="C353" s="3269"/>
      <c r="D353" s="3269"/>
      <c r="E353" s="3269"/>
      <c r="F353" s="3269"/>
      <c r="G353" s="3269"/>
      <c r="H353" s="3269"/>
      <c r="I353" s="3269"/>
      <c r="J353" s="3269"/>
      <c r="K353" s="40">
        <v>300</v>
      </c>
      <c r="L353" s="3295"/>
      <c r="M353" s="3287" t="s">
        <v>381</v>
      </c>
      <c r="N353" s="3288"/>
      <c r="O353" s="40"/>
      <c r="P353" s="40"/>
      <c r="Q353" s="40">
        <v>300</v>
      </c>
      <c r="R353" s="40"/>
      <c r="S353" s="40"/>
      <c r="T353" s="38"/>
      <c r="U353" s="38"/>
      <c r="V353" s="38"/>
      <c r="W353" s="38"/>
      <c r="X353" s="38"/>
      <c r="Y353" s="38"/>
      <c r="Z353" s="38"/>
      <c r="AA353" s="966">
        <f t="shared" si="29"/>
        <v>300</v>
      </c>
      <c r="AB353" s="35"/>
      <c r="AC353" s="183"/>
    </row>
    <row r="354" spans="1:29" x14ac:dyDescent="0.2">
      <c r="A354" s="1422"/>
      <c r="B354" s="2522"/>
      <c r="C354" s="3269"/>
      <c r="D354" s="3269"/>
      <c r="E354" s="3269"/>
      <c r="F354" s="3269"/>
      <c r="G354" s="3269"/>
      <c r="H354" s="3269"/>
      <c r="I354" s="3269"/>
      <c r="J354" s="3269"/>
      <c r="K354" s="40">
        <v>48982</v>
      </c>
      <c r="L354" s="3295"/>
      <c r="M354" s="3287" t="s">
        <v>304</v>
      </c>
      <c r="N354" s="3288"/>
      <c r="O354" s="40"/>
      <c r="P354" s="40"/>
      <c r="Q354" s="40">
        <v>16327.333333333334</v>
      </c>
      <c r="R354" s="40"/>
      <c r="S354" s="40"/>
      <c r="T354" s="38">
        <v>16327.333333333334</v>
      </c>
      <c r="U354" s="38"/>
      <c r="V354" s="38"/>
      <c r="W354" s="38">
        <v>16327.333333333334</v>
      </c>
      <c r="X354" s="38"/>
      <c r="Y354" s="38"/>
      <c r="Z354" s="38"/>
      <c r="AA354" s="966">
        <f t="shared" si="29"/>
        <v>48982</v>
      </c>
      <c r="AB354" s="35"/>
      <c r="AC354" s="183"/>
    </row>
    <row r="355" spans="1:29" x14ac:dyDescent="0.2">
      <c r="A355" s="1422"/>
      <c r="B355" s="2522"/>
      <c r="C355" s="3269"/>
      <c r="D355" s="3269"/>
      <c r="E355" s="3269"/>
      <c r="F355" s="3269"/>
      <c r="G355" s="3269"/>
      <c r="H355" s="3269"/>
      <c r="I355" s="3269"/>
      <c r="J355" s="3269"/>
      <c r="K355" s="40">
        <v>14888</v>
      </c>
      <c r="L355" s="3295"/>
      <c r="M355" s="3287" t="s">
        <v>305</v>
      </c>
      <c r="N355" s="3288"/>
      <c r="O355" s="40"/>
      <c r="P355" s="40"/>
      <c r="Q355" s="40"/>
      <c r="R355" s="40"/>
      <c r="S355" s="40">
        <v>7444</v>
      </c>
      <c r="T355" s="38"/>
      <c r="U355" s="38">
        <v>3722</v>
      </c>
      <c r="V355" s="38"/>
      <c r="W355" s="38"/>
      <c r="X355" s="38">
        <v>3722</v>
      </c>
      <c r="Y355" s="38"/>
      <c r="Z355" s="38"/>
      <c r="AA355" s="966">
        <f t="shared" si="29"/>
        <v>14888</v>
      </c>
      <c r="AB355" s="35"/>
      <c r="AC355" s="183"/>
    </row>
    <row r="356" spans="1:29" x14ac:dyDescent="0.2">
      <c r="A356" s="1422"/>
      <c r="B356" s="2522"/>
      <c r="C356" s="3269"/>
      <c r="D356" s="3269"/>
      <c r="E356" s="3269"/>
      <c r="F356" s="3269"/>
      <c r="G356" s="3269"/>
      <c r="H356" s="3269"/>
      <c r="I356" s="3269"/>
      <c r="J356" s="3269"/>
      <c r="K356" s="40">
        <v>51800</v>
      </c>
      <c r="L356" s="3295"/>
      <c r="M356" s="3287" t="s">
        <v>306</v>
      </c>
      <c r="N356" s="3288"/>
      <c r="O356" s="40"/>
      <c r="P356" s="40"/>
      <c r="Q356" s="40"/>
      <c r="R356" s="40"/>
      <c r="S356" s="40">
        <v>25900</v>
      </c>
      <c r="T356" s="38"/>
      <c r="U356" s="38">
        <v>12950</v>
      </c>
      <c r="V356" s="38"/>
      <c r="W356" s="38"/>
      <c r="X356" s="38">
        <v>12950</v>
      </c>
      <c r="Y356" s="38"/>
      <c r="Z356" s="38"/>
      <c r="AA356" s="966">
        <f t="shared" si="29"/>
        <v>51800</v>
      </c>
      <c r="AB356" s="35"/>
      <c r="AC356" s="183"/>
    </row>
    <row r="357" spans="1:29" x14ac:dyDescent="0.2">
      <c r="A357" s="1422"/>
      <c r="B357" s="2522"/>
      <c r="C357" s="3269"/>
      <c r="D357" s="3269"/>
      <c r="E357" s="3269"/>
      <c r="F357" s="3269"/>
      <c r="G357" s="3269"/>
      <c r="H357" s="3269"/>
      <c r="I357" s="3269"/>
      <c r="J357" s="3269"/>
      <c r="K357" s="40">
        <v>25200</v>
      </c>
      <c r="L357" s="3295"/>
      <c r="M357" s="3287" t="s">
        <v>307</v>
      </c>
      <c r="N357" s="3288"/>
      <c r="O357" s="40"/>
      <c r="P357" s="40">
        <v>2290.909090909091</v>
      </c>
      <c r="Q357" s="40">
        <v>2290.909090909091</v>
      </c>
      <c r="R357" s="40">
        <v>2290.909090909091</v>
      </c>
      <c r="S357" s="40">
        <v>2290.909090909091</v>
      </c>
      <c r="T357" s="38">
        <v>2290.909090909091</v>
      </c>
      <c r="U357" s="38">
        <v>2290.909090909091</v>
      </c>
      <c r="V357" s="38">
        <v>2290.909090909091</v>
      </c>
      <c r="W357" s="38">
        <v>2290.909090909091</v>
      </c>
      <c r="X357" s="38">
        <v>2290.909090909091</v>
      </c>
      <c r="Y357" s="38">
        <v>2290.909090909091</v>
      </c>
      <c r="Z357" s="38">
        <v>2290.909090909091</v>
      </c>
      <c r="AA357" s="966">
        <f t="shared" si="29"/>
        <v>25200.000000000007</v>
      </c>
      <c r="AB357" s="35"/>
      <c r="AC357" s="183"/>
    </row>
    <row r="358" spans="1:29" x14ac:dyDescent="0.2">
      <c r="A358" s="1422"/>
      <c r="B358" s="2522"/>
      <c r="C358" s="3269"/>
      <c r="D358" s="3269"/>
      <c r="E358" s="3269"/>
      <c r="F358" s="3269"/>
      <c r="G358" s="3269"/>
      <c r="H358" s="3269"/>
      <c r="I358" s="3269"/>
      <c r="J358" s="3269"/>
      <c r="K358" s="40">
        <v>3000</v>
      </c>
      <c r="L358" s="3295"/>
      <c r="M358" s="3287" t="s">
        <v>394</v>
      </c>
      <c r="N358" s="3288"/>
      <c r="O358" s="40"/>
      <c r="P358" s="40"/>
      <c r="Q358" s="40">
        <v>3000</v>
      </c>
      <c r="R358" s="40"/>
      <c r="S358" s="40"/>
      <c r="T358" s="38"/>
      <c r="U358" s="38"/>
      <c r="V358" s="38"/>
      <c r="W358" s="38"/>
      <c r="X358" s="38"/>
      <c r="Y358" s="38"/>
      <c r="Z358" s="38"/>
      <c r="AA358" s="966">
        <f t="shared" si="29"/>
        <v>3000</v>
      </c>
      <c r="AB358" s="35"/>
      <c r="AC358" s="183"/>
    </row>
    <row r="359" spans="1:29" x14ac:dyDescent="0.2">
      <c r="A359" s="1422"/>
      <c r="B359" s="2522"/>
      <c r="C359" s="3269"/>
      <c r="D359" s="3269"/>
      <c r="E359" s="3269"/>
      <c r="F359" s="3269"/>
      <c r="G359" s="3269"/>
      <c r="H359" s="3269"/>
      <c r="I359" s="3269"/>
      <c r="J359" s="3269"/>
      <c r="K359" s="40">
        <v>4500</v>
      </c>
      <c r="L359" s="3295"/>
      <c r="M359" s="3287" t="s">
        <v>308</v>
      </c>
      <c r="N359" s="3288"/>
      <c r="O359" s="40"/>
      <c r="P359" s="40"/>
      <c r="Q359" s="40">
        <v>4500</v>
      </c>
      <c r="R359" s="40"/>
      <c r="S359" s="40"/>
      <c r="T359" s="38"/>
      <c r="U359" s="38"/>
      <c r="V359" s="38"/>
      <c r="W359" s="38"/>
      <c r="X359" s="38"/>
      <c r="Y359" s="38"/>
      <c r="Z359" s="38"/>
      <c r="AA359" s="966">
        <f t="shared" si="29"/>
        <v>4500</v>
      </c>
      <c r="AB359" s="35"/>
      <c r="AC359" s="183"/>
    </row>
    <row r="360" spans="1:29" x14ac:dyDescent="0.2">
      <c r="A360" s="1422"/>
      <c r="B360" s="2522"/>
      <c r="C360" s="3269"/>
      <c r="D360" s="3269"/>
      <c r="E360" s="3269"/>
      <c r="F360" s="3269"/>
      <c r="G360" s="3269"/>
      <c r="H360" s="3269"/>
      <c r="I360" s="3269"/>
      <c r="J360" s="3269"/>
      <c r="K360" s="40">
        <v>11000</v>
      </c>
      <c r="L360" s="3295"/>
      <c r="M360" s="3287" t="s">
        <v>395</v>
      </c>
      <c r="N360" s="3288"/>
      <c r="O360" s="40"/>
      <c r="P360" s="40"/>
      <c r="Q360" s="40">
        <v>5500</v>
      </c>
      <c r="R360" s="40"/>
      <c r="S360" s="40"/>
      <c r="T360" s="38"/>
      <c r="U360" s="38"/>
      <c r="V360" s="38"/>
      <c r="W360" s="38"/>
      <c r="X360" s="38">
        <v>5500</v>
      </c>
      <c r="Y360" s="38"/>
      <c r="Z360" s="38"/>
      <c r="AA360" s="966">
        <f t="shared" si="29"/>
        <v>11000</v>
      </c>
      <c r="AB360" s="35"/>
      <c r="AC360" s="183"/>
    </row>
    <row r="361" spans="1:29" x14ac:dyDescent="0.2">
      <c r="A361" s="1422"/>
      <c r="B361" s="2522"/>
      <c r="C361" s="3269"/>
      <c r="D361" s="3269"/>
      <c r="E361" s="3269"/>
      <c r="F361" s="3269"/>
      <c r="G361" s="3269"/>
      <c r="H361" s="3269"/>
      <c r="I361" s="3269"/>
      <c r="J361" s="3269"/>
      <c r="K361" s="40">
        <v>500</v>
      </c>
      <c r="L361" s="3295"/>
      <c r="M361" s="3287" t="s">
        <v>396</v>
      </c>
      <c r="N361" s="3288"/>
      <c r="O361" s="40"/>
      <c r="P361" s="40"/>
      <c r="Q361" s="40">
        <v>500</v>
      </c>
      <c r="R361" s="40"/>
      <c r="S361" s="40"/>
      <c r="T361" s="38"/>
      <c r="U361" s="38"/>
      <c r="V361" s="38"/>
      <c r="W361" s="38"/>
      <c r="X361" s="38"/>
      <c r="Y361" s="38"/>
      <c r="Z361" s="38"/>
      <c r="AA361" s="966">
        <f t="shared" si="29"/>
        <v>500</v>
      </c>
      <c r="AB361" s="35"/>
      <c r="AC361" s="183"/>
    </row>
    <row r="362" spans="1:29" x14ac:dyDescent="0.2">
      <c r="A362" s="1422"/>
      <c r="B362" s="2522"/>
      <c r="C362" s="3269"/>
      <c r="D362" s="3269"/>
      <c r="E362" s="3269"/>
      <c r="F362" s="3269"/>
      <c r="G362" s="3269"/>
      <c r="H362" s="3269"/>
      <c r="I362" s="3269"/>
      <c r="J362" s="3269"/>
      <c r="K362" s="40">
        <v>28000</v>
      </c>
      <c r="L362" s="3295"/>
      <c r="M362" s="3287" t="s">
        <v>309</v>
      </c>
      <c r="N362" s="3288"/>
      <c r="O362" s="40"/>
      <c r="P362" s="40"/>
      <c r="Q362" s="40"/>
      <c r="R362" s="40">
        <v>5600</v>
      </c>
      <c r="S362" s="40"/>
      <c r="T362" s="38">
        <v>5600</v>
      </c>
      <c r="U362" s="38"/>
      <c r="V362" s="38">
        <v>5600</v>
      </c>
      <c r="W362" s="38"/>
      <c r="X362" s="38">
        <v>5600</v>
      </c>
      <c r="Y362" s="38"/>
      <c r="Z362" s="38">
        <v>5600</v>
      </c>
      <c r="AA362" s="966">
        <f t="shared" si="29"/>
        <v>28000</v>
      </c>
      <c r="AB362" s="35"/>
      <c r="AC362" s="183"/>
    </row>
    <row r="363" spans="1:29" x14ac:dyDescent="0.2">
      <c r="A363" s="1422"/>
      <c r="B363" s="2522"/>
      <c r="C363" s="3269"/>
      <c r="D363" s="3269"/>
      <c r="E363" s="3269"/>
      <c r="F363" s="3269"/>
      <c r="G363" s="3269"/>
      <c r="H363" s="3269"/>
      <c r="I363" s="3269"/>
      <c r="J363" s="3269"/>
      <c r="K363" s="40">
        <v>3425927</v>
      </c>
      <c r="L363" s="3295"/>
      <c r="M363" s="3287" t="s">
        <v>310</v>
      </c>
      <c r="N363" s="3288"/>
      <c r="O363" s="40"/>
      <c r="P363" s="40"/>
      <c r="Q363" s="40">
        <v>342592.7</v>
      </c>
      <c r="R363" s="40">
        <v>342592.7</v>
      </c>
      <c r="S363" s="40">
        <v>342592.7</v>
      </c>
      <c r="T363" s="38">
        <v>342592.7</v>
      </c>
      <c r="U363" s="38">
        <v>342592.7</v>
      </c>
      <c r="V363" s="38">
        <v>342592.7</v>
      </c>
      <c r="W363" s="38">
        <v>342592.7</v>
      </c>
      <c r="X363" s="38">
        <v>342592.7</v>
      </c>
      <c r="Y363" s="38">
        <v>342592.7</v>
      </c>
      <c r="Z363" s="38">
        <v>342592.7</v>
      </c>
      <c r="AA363" s="966">
        <f t="shared" si="29"/>
        <v>3425927.0000000005</v>
      </c>
      <c r="AB363" s="35"/>
      <c r="AC363" s="183"/>
    </row>
    <row r="364" spans="1:29" x14ac:dyDescent="0.2">
      <c r="A364" s="1422"/>
      <c r="B364" s="2522"/>
      <c r="C364" s="3269"/>
      <c r="D364" s="3269"/>
      <c r="E364" s="3269"/>
      <c r="F364" s="3269"/>
      <c r="G364" s="3269"/>
      <c r="H364" s="3269"/>
      <c r="I364" s="3269"/>
      <c r="J364" s="3269"/>
      <c r="K364" s="40">
        <v>195797</v>
      </c>
      <c r="L364" s="3295"/>
      <c r="M364" s="3287" t="s">
        <v>311</v>
      </c>
      <c r="N364" s="3288"/>
      <c r="O364" s="40">
        <v>16316.416666666666</v>
      </c>
      <c r="P364" s="40">
        <v>16316.416666666666</v>
      </c>
      <c r="Q364" s="40">
        <v>16316.416666666666</v>
      </c>
      <c r="R364" s="40">
        <v>16316.416666666666</v>
      </c>
      <c r="S364" s="40">
        <v>16316.416666666666</v>
      </c>
      <c r="T364" s="38">
        <v>16316.416666666666</v>
      </c>
      <c r="U364" s="38">
        <v>16316.416666666666</v>
      </c>
      <c r="V364" s="38">
        <v>16316.416666666666</v>
      </c>
      <c r="W364" s="38">
        <v>16316.416666666666</v>
      </c>
      <c r="X364" s="38">
        <v>16316.416666666666</v>
      </c>
      <c r="Y364" s="38">
        <v>16316.416666666666</v>
      </c>
      <c r="Z364" s="38">
        <v>16316.416666666666</v>
      </c>
      <c r="AA364" s="966">
        <f t="shared" si="29"/>
        <v>195796.99999999997</v>
      </c>
      <c r="AB364" s="35"/>
      <c r="AC364" s="183"/>
    </row>
    <row r="365" spans="1:29" x14ac:dyDescent="0.2">
      <c r="A365" s="1422"/>
      <c r="B365" s="2522"/>
      <c r="C365" s="3270"/>
      <c r="D365" s="3270"/>
      <c r="E365" s="3270"/>
      <c r="F365" s="3270"/>
      <c r="G365" s="3270"/>
      <c r="H365" s="3270"/>
      <c r="I365" s="3270"/>
      <c r="J365" s="3270"/>
      <c r="K365" s="40">
        <v>232674</v>
      </c>
      <c r="L365" s="3296"/>
      <c r="M365" s="3287" t="s">
        <v>397</v>
      </c>
      <c r="N365" s="3288"/>
      <c r="O365" s="40">
        <v>19389.5</v>
      </c>
      <c r="P365" s="40">
        <v>19389.5</v>
      </c>
      <c r="Q365" s="40">
        <v>19389.5</v>
      </c>
      <c r="R365" s="40">
        <v>19389.5</v>
      </c>
      <c r="S365" s="40">
        <v>19389.5</v>
      </c>
      <c r="T365" s="38">
        <v>19389.5</v>
      </c>
      <c r="U365" s="38">
        <v>19389.5</v>
      </c>
      <c r="V365" s="38">
        <v>19389.5</v>
      </c>
      <c r="W365" s="38">
        <v>19389.5</v>
      </c>
      <c r="X365" s="38">
        <v>19389.5</v>
      </c>
      <c r="Y365" s="38">
        <v>19389.5</v>
      </c>
      <c r="Z365" s="38">
        <v>19389.5</v>
      </c>
      <c r="AA365" s="966">
        <f t="shared" si="29"/>
        <v>232674</v>
      </c>
      <c r="AB365" s="35"/>
      <c r="AC365" s="183"/>
    </row>
    <row r="366" spans="1:29" x14ac:dyDescent="0.2">
      <c r="A366" s="1422"/>
      <c r="B366" s="1418"/>
      <c r="C366" s="99"/>
      <c r="D366" s="99"/>
      <c r="E366" s="99"/>
      <c r="F366" s="99"/>
      <c r="G366" s="99"/>
      <c r="H366" s="99"/>
      <c r="I366" s="99"/>
      <c r="J366" s="99"/>
      <c r="K366" s="188"/>
      <c r="L366" s="188"/>
      <c r="M366" s="188"/>
      <c r="N366" s="188"/>
      <c r="O366" s="188"/>
      <c r="P366" s="188"/>
      <c r="Q366" s="188"/>
      <c r="R366" s="188"/>
      <c r="S366" s="188"/>
      <c r="T366" s="99"/>
      <c r="U366" s="99"/>
      <c r="V366" s="99"/>
      <c r="W366" s="99"/>
      <c r="X366" s="99"/>
      <c r="Y366" s="99"/>
      <c r="Z366" s="99"/>
      <c r="AA366" s="1197"/>
      <c r="AB366" s="35"/>
      <c r="AC366" s="183"/>
    </row>
    <row r="367" spans="1:29" x14ac:dyDescent="0.2">
      <c r="A367" s="1422"/>
      <c r="B367" s="1419"/>
      <c r="C367" s="35"/>
      <c r="D367" s="35"/>
      <c r="E367" s="35"/>
      <c r="F367" s="35"/>
      <c r="G367" s="35"/>
      <c r="H367" s="35"/>
      <c r="I367" s="35"/>
      <c r="J367" s="35"/>
      <c r="K367" s="60"/>
      <c r="L367" s="60"/>
      <c r="M367" s="60"/>
      <c r="N367" s="60"/>
      <c r="O367" s="60"/>
      <c r="P367" s="60"/>
      <c r="Q367" s="60"/>
      <c r="R367" s="60"/>
      <c r="S367" s="60"/>
      <c r="T367" s="35"/>
      <c r="U367" s="2974" t="s">
        <v>15</v>
      </c>
      <c r="V367" s="2975"/>
      <c r="W367" s="2975"/>
      <c r="X367" s="2975"/>
      <c r="Y367" s="2976"/>
      <c r="Z367" s="2974" t="s">
        <v>16</v>
      </c>
      <c r="AA367" s="2976"/>
      <c r="AB367" s="35"/>
      <c r="AC367" s="183"/>
    </row>
    <row r="368" spans="1:29" x14ac:dyDescent="0.2">
      <c r="A368" s="1422"/>
      <c r="B368" s="1029" t="s">
        <v>276</v>
      </c>
      <c r="C368" s="190"/>
      <c r="D368" s="1076">
        <v>3033255</v>
      </c>
      <c r="E368" s="3329" t="s">
        <v>398</v>
      </c>
      <c r="F368" s="3329"/>
      <c r="G368" s="3329"/>
      <c r="H368" s="3329"/>
      <c r="I368" s="35"/>
      <c r="J368" s="35"/>
      <c r="K368" s="60"/>
      <c r="L368" s="60"/>
      <c r="M368" s="60"/>
      <c r="N368" s="60"/>
      <c r="O368" s="60"/>
      <c r="P368" s="60"/>
      <c r="Q368" s="60"/>
      <c r="R368" s="60"/>
      <c r="S368" s="60"/>
      <c r="T368" s="35"/>
      <c r="U368" s="3019" t="s">
        <v>399</v>
      </c>
      <c r="V368" s="3328"/>
      <c r="W368" s="3328"/>
      <c r="X368" s="3328"/>
      <c r="Y368" s="3020"/>
      <c r="Z368" s="3233" t="s">
        <v>400</v>
      </c>
      <c r="AA368" s="3233"/>
      <c r="AB368" s="35"/>
      <c r="AC368" s="183"/>
    </row>
    <row r="369" spans="1:29" x14ac:dyDescent="0.2">
      <c r="A369" s="1422"/>
      <c r="B369" s="2999" t="s">
        <v>278</v>
      </c>
      <c r="C369" s="2988" t="s">
        <v>21</v>
      </c>
      <c r="D369" s="2988" t="s">
        <v>22</v>
      </c>
      <c r="E369" s="2988" t="s">
        <v>23</v>
      </c>
      <c r="F369" s="2988" t="s">
        <v>24</v>
      </c>
      <c r="G369" s="2988" t="s">
        <v>25</v>
      </c>
      <c r="H369" s="2988" t="s">
        <v>26</v>
      </c>
      <c r="I369" s="2988" t="s">
        <v>27</v>
      </c>
      <c r="J369" s="3206" t="s">
        <v>28</v>
      </c>
      <c r="K369" s="3301"/>
      <c r="L369" s="2988" t="s">
        <v>279</v>
      </c>
      <c r="M369" s="3273" t="s">
        <v>280</v>
      </c>
      <c r="N369" s="3274"/>
      <c r="O369" s="2847" t="s">
        <v>281</v>
      </c>
      <c r="P369" s="2847"/>
      <c r="Q369" s="2847"/>
      <c r="R369" s="2847"/>
      <c r="S369" s="2847"/>
      <c r="T369" s="2847"/>
      <c r="U369" s="2847"/>
      <c r="V369" s="2847"/>
      <c r="W369" s="2847"/>
      <c r="X369" s="2847"/>
      <c r="Y369" s="2847"/>
      <c r="Z369" s="2847"/>
      <c r="AA369" s="2988" t="s">
        <v>32</v>
      </c>
      <c r="AB369" s="35"/>
      <c r="AC369" s="183"/>
    </row>
    <row r="370" spans="1:29" x14ac:dyDescent="0.2">
      <c r="A370" s="1422"/>
      <c r="B370" s="2999"/>
      <c r="C370" s="3186"/>
      <c r="D370" s="3186"/>
      <c r="E370" s="3186"/>
      <c r="F370" s="3186"/>
      <c r="G370" s="3186"/>
      <c r="H370" s="3186"/>
      <c r="I370" s="3186"/>
      <c r="J370" s="2988" t="s">
        <v>33</v>
      </c>
      <c r="K370" s="2988" t="s">
        <v>282</v>
      </c>
      <c r="L370" s="3186"/>
      <c r="M370" s="3275"/>
      <c r="N370" s="3276"/>
      <c r="O370" s="1009" t="s">
        <v>283</v>
      </c>
      <c r="P370" s="1009" t="s">
        <v>284</v>
      </c>
      <c r="Q370" s="1009" t="s">
        <v>285</v>
      </c>
      <c r="R370" s="1009" t="s">
        <v>88</v>
      </c>
      <c r="S370" s="1009" t="s">
        <v>89</v>
      </c>
      <c r="T370" s="1009" t="s">
        <v>90</v>
      </c>
      <c r="U370" s="1009" t="s">
        <v>91</v>
      </c>
      <c r="V370" s="1009" t="s">
        <v>92</v>
      </c>
      <c r="W370" s="1009" t="s">
        <v>286</v>
      </c>
      <c r="X370" s="1009" t="s">
        <v>93</v>
      </c>
      <c r="Y370" s="1009" t="s">
        <v>94</v>
      </c>
      <c r="Z370" s="1009" t="s">
        <v>95</v>
      </c>
      <c r="AA370" s="2989"/>
      <c r="AB370" s="35"/>
      <c r="AC370" s="183"/>
    </row>
    <row r="371" spans="1:29" x14ac:dyDescent="0.2">
      <c r="A371" s="1422"/>
      <c r="B371" s="2999"/>
      <c r="C371" s="3186"/>
      <c r="D371" s="3186"/>
      <c r="E371" s="3186"/>
      <c r="F371" s="3186"/>
      <c r="G371" s="3186"/>
      <c r="H371" s="3186"/>
      <c r="I371" s="3186"/>
      <c r="J371" s="3186"/>
      <c r="K371" s="3186"/>
      <c r="L371" s="3186"/>
      <c r="M371" s="3271" t="s">
        <v>287</v>
      </c>
      <c r="N371" s="3272"/>
      <c r="O371" s="1095">
        <v>3830</v>
      </c>
      <c r="P371" s="1095">
        <v>3831</v>
      </c>
      <c r="Q371" s="1095">
        <v>3831</v>
      </c>
      <c r="R371" s="1095">
        <v>3831</v>
      </c>
      <c r="S371" s="1095">
        <v>3831</v>
      </c>
      <c r="T371" s="1095">
        <v>3831</v>
      </c>
      <c r="U371" s="1095">
        <v>3831</v>
      </c>
      <c r="V371" s="1095">
        <v>3831</v>
      </c>
      <c r="W371" s="1095">
        <v>3831</v>
      </c>
      <c r="X371" s="1095">
        <v>3831</v>
      </c>
      <c r="Y371" s="1095">
        <v>3831</v>
      </c>
      <c r="Z371" s="1095">
        <v>3831</v>
      </c>
      <c r="AA371" s="1196">
        <f t="shared" ref="AA371:AA405" si="30">SUM(O371:Z371)</f>
        <v>45971</v>
      </c>
      <c r="AB371" s="35"/>
      <c r="AC371" s="183"/>
    </row>
    <row r="372" spans="1:29" x14ac:dyDescent="0.2">
      <c r="A372" s="1422"/>
      <c r="B372" s="2999"/>
      <c r="C372" s="2989"/>
      <c r="D372" s="2989"/>
      <c r="E372" s="2989"/>
      <c r="F372" s="2989"/>
      <c r="G372" s="2989"/>
      <c r="H372" s="2989"/>
      <c r="I372" s="2989"/>
      <c r="J372" s="2989"/>
      <c r="K372" s="2989"/>
      <c r="L372" s="2989"/>
      <c r="M372" s="3271" t="s">
        <v>34</v>
      </c>
      <c r="N372" s="3272"/>
      <c r="O372" s="1095">
        <v>501432.41666666669</v>
      </c>
      <c r="P372" s="1095">
        <v>482430.59848484851</v>
      </c>
      <c r="Q372" s="1095">
        <v>1182727.9651515151</v>
      </c>
      <c r="R372" s="1095">
        <v>1331833.1318181816</v>
      </c>
      <c r="S372" s="1095">
        <v>1324287.8818181816</v>
      </c>
      <c r="T372" s="1095">
        <v>1248584.6318181816</v>
      </c>
      <c r="U372" s="1095">
        <v>1285474.6318181816</v>
      </c>
      <c r="V372" s="1095">
        <v>1212001.2151515151</v>
      </c>
      <c r="W372" s="1095">
        <v>1237835.2984848483</v>
      </c>
      <c r="X372" s="1095">
        <v>1177824.9651515151</v>
      </c>
      <c r="Y372" s="1095">
        <v>1268870.2984848486</v>
      </c>
      <c r="Z372" s="1095">
        <v>1216530.9651515151</v>
      </c>
      <c r="AA372" s="2224">
        <f t="shared" si="30"/>
        <v>13469834</v>
      </c>
      <c r="AB372" s="35"/>
      <c r="AC372" s="183"/>
    </row>
    <row r="373" spans="1:29" ht="11.25" customHeight="1" x14ac:dyDescent="0.2">
      <c r="A373" s="1422"/>
      <c r="B373" s="2522">
        <v>5000018</v>
      </c>
      <c r="C373" s="3268" t="s">
        <v>3715</v>
      </c>
      <c r="D373" s="3268">
        <v>12</v>
      </c>
      <c r="E373" s="3268" t="s">
        <v>401</v>
      </c>
      <c r="F373" s="3268" t="s">
        <v>386</v>
      </c>
      <c r="G373" s="3268" t="s">
        <v>387</v>
      </c>
      <c r="H373" s="3268" t="s">
        <v>402</v>
      </c>
      <c r="I373" s="3268" t="s">
        <v>403</v>
      </c>
      <c r="J373" s="3268">
        <v>45971</v>
      </c>
      <c r="K373" s="40">
        <v>2644066</v>
      </c>
      <c r="L373" s="3294" t="s">
        <v>377</v>
      </c>
      <c r="M373" s="3287" t="s">
        <v>293</v>
      </c>
      <c r="N373" s="3288"/>
      <c r="O373" s="40">
        <v>220338.83333333334</v>
      </c>
      <c r="P373" s="40">
        <v>220338.83333333334</v>
      </c>
      <c r="Q373" s="40">
        <v>220338.83333333334</v>
      </c>
      <c r="R373" s="40">
        <v>220338.83333333334</v>
      </c>
      <c r="S373" s="40">
        <v>220338.83333333334</v>
      </c>
      <c r="T373" s="38">
        <v>220338.83333333334</v>
      </c>
      <c r="U373" s="38">
        <v>220338.83333333334</v>
      </c>
      <c r="V373" s="38">
        <v>220338.83333333334</v>
      </c>
      <c r="W373" s="38">
        <v>220338.83333333334</v>
      </c>
      <c r="X373" s="38">
        <v>220338.83333333334</v>
      </c>
      <c r="Y373" s="38">
        <v>220338.83333333334</v>
      </c>
      <c r="Z373" s="38">
        <v>220338.83333333334</v>
      </c>
      <c r="AA373" s="966">
        <f t="shared" si="30"/>
        <v>2644066</v>
      </c>
      <c r="AB373" s="35"/>
      <c r="AC373" s="183"/>
    </row>
    <row r="374" spans="1:29" x14ac:dyDescent="0.2">
      <c r="A374" s="1422"/>
      <c r="B374" s="2522"/>
      <c r="C374" s="3269"/>
      <c r="D374" s="3269"/>
      <c r="E374" s="3269"/>
      <c r="F374" s="3269"/>
      <c r="G374" s="3269"/>
      <c r="H374" s="3269"/>
      <c r="I374" s="3269"/>
      <c r="J374" s="3269"/>
      <c r="K374" s="40">
        <v>53736</v>
      </c>
      <c r="L374" s="3295"/>
      <c r="M374" s="3287" t="s">
        <v>321</v>
      </c>
      <c r="N374" s="3288"/>
      <c r="O374" s="40">
        <v>4478</v>
      </c>
      <c r="P374" s="40">
        <v>4478</v>
      </c>
      <c r="Q374" s="40">
        <v>4478</v>
      </c>
      <c r="R374" s="40">
        <v>4478</v>
      </c>
      <c r="S374" s="40">
        <v>4478</v>
      </c>
      <c r="T374" s="38">
        <v>4478</v>
      </c>
      <c r="U374" s="38">
        <v>4478</v>
      </c>
      <c r="V374" s="38">
        <v>4478</v>
      </c>
      <c r="W374" s="38">
        <v>4478</v>
      </c>
      <c r="X374" s="38">
        <v>4478</v>
      </c>
      <c r="Y374" s="38">
        <v>4478</v>
      </c>
      <c r="Z374" s="38">
        <v>4478</v>
      </c>
      <c r="AA374" s="966">
        <f t="shared" si="30"/>
        <v>53736</v>
      </c>
      <c r="AB374" s="35"/>
      <c r="AC374" s="183"/>
    </row>
    <row r="375" spans="1:29" x14ac:dyDescent="0.2">
      <c r="A375" s="1422"/>
      <c r="B375" s="2522"/>
      <c r="C375" s="3269"/>
      <c r="D375" s="3269"/>
      <c r="E375" s="3269"/>
      <c r="F375" s="3269"/>
      <c r="G375" s="3269"/>
      <c r="H375" s="3269"/>
      <c r="I375" s="3269"/>
      <c r="J375" s="3269"/>
      <c r="K375" s="40">
        <v>53736</v>
      </c>
      <c r="L375" s="3295"/>
      <c r="M375" s="3287" t="s">
        <v>294</v>
      </c>
      <c r="N375" s="3288"/>
      <c r="O375" s="40">
        <v>4478</v>
      </c>
      <c r="P375" s="40">
        <v>4478</v>
      </c>
      <c r="Q375" s="40">
        <v>4478</v>
      </c>
      <c r="R375" s="40">
        <v>4478</v>
      </c>
      <c r="S375" s="40">
        <v>4478</v>
      </c>
      <c r="T375" s="38">
        <v>4478</v>
      </c>
      <c r="U375" s="38">
        <v>4478</v>
      </c>
      <c r="V375" s="38">
        <v>4478</v>
      </c>
      <c r="W375" s="38">
        <v>4478</v>
      </c>
      <c r="X375" s="38">
        <v>4478</v>
      </c>
      <c r="Y375" s="38">
        <v>4478</v>
      </c>
      <c r="Z375" s="38">
        <v>4478</v>
      </c>
      <c r="AA375" s="966">
        <f t="shared" si="30"/>
        <v>53736</v>
      </c>
      <c r="AB375" s="35"/>
      <c r="AC375" s="183"/>
    </row>
    <row r="376" spans="1:29" x14ac:dyDescent="0.2">
      <c r="A376" s="1422"/>
      <c r="B376" s="2522"/>
      <c r="C376" s="3269"/>
      <c r="D376" s="3269"/>
      <c r="E376" s="3269"/>
      <c r="F376" s="3269"/>
      <c r="G376" s="3269"/>
      <c r="H376" s="3269"/>
      <c r="I376" s="3269"/>
      <c r="J376" s="3269"/>
      <c r="K376" s="40">
        <v>761322</v>
      </c>
      <c r="L376" s="3295"/>
      <c r="M376" s="3287" t="s">
        <v>295</v>
      </c>
      <c r="N376" s="3288"/>
      <c r="O376" s="40">
        <v>63443.5</v>
      </c>
      <c r="P376" s="40">
        <v>63443.5</v>
      </c>
      <c r="Q376" s="40">
        <v>63443.5</v>
      </c>
      <c r="R376" s="40">
        <v>63443.5</v>
      </c>
      <c r="S376" s="40">
        <v>63443.5</v>
      </c>
      <c r="T376" s="38">
        <v>63443.5</v>
      </c>
      <c r="U376" s="38">
        <v>63443.5</v>
      </c>
      <c r="V376" s="38">
        <v>63443.5</v>
      </c>
      <c r="W376" s="38">
        <v>63443.5</v>
      </c>
      <c r="X376" s="38">
        <v>63443.5</v>
      </c>
      <c r="Y376" s="38">
        <v>63443.5</v>
      </c>
      <c r="Z376" s="38">
        <v>63443.5</v>
      </c>
      <c r="AA376" s="966">
        <f t="shared" si="30"/>
        <v>761322</v>
      </c>
      <c r="AB376" s="35"/>
      <c r="AC376" s="183"/>
    </row>
    <row r="377" spans="1:29" x14ac:dyDescent="0.2">
      <c r="A377" s="1422"/>
      <c r="B377" s="2522"/>
      <c r="C377" s="3269"/>
      <c r="D377" s="3269"/>
      <c r="E377" s="3269"/>
      <c r="F377" s="3269"/>
      <c r="G377" s="3269"/>
      <c r="H377" s="3269"/>
      <c r="I377" s="3269"/>
      <c r="J377" s="3269"/>
      <c r="K377" s="40">
        <v>737877</v>
      </c>
      <c r="L377" s="3295"/>
      <c r="M377" s="3287" t="s">
        <v>296</v>
      </c>
      <c r="N377" s="3288"/>
      <c r="O377" s="40">
        <v>61489.75</v>
      </c>
      <c r="P377" s="40">
        <v>61489.75</v>
      </c>
      <c r="Q377" s="40">
        <v>61489.75</v>
      </c>
      <c r="R377" s="40">
        <v>61489.75</v>
      </c>
      <c r="S377" s="40">
        <v>61489.75</v>
      </c>
      <c r="T377" s="38">
        <v>61489.75</v>
      </c>
      <c r="U377" s="38">
        <v>61489.75</v>
      </c>
      <c r="V377" s="38">
        <v>61489.75</v>
      </c>
      <c r="W377" s="38">
        <v>61489.75</v>
      </c>
      <c r="X377" s="38">
        <v>61489.75</v>
      </c>
      <c r="Y377" s="38">
        <v>61489.75</v>
      </c>
      <c r="Z377" s="38">
        <v>61489.75</v>
      </c>
      <c r="AA377" s="966">
        <f t="shared" si="30"/>
        <v>737877</v>
      </c>
      <c r="AB377" s="35"/>
      <c r="AC377" s="183"/>
    </row>
    <row r="378" spans="1:29" x14ac:dyDescent="0.2">
      <c r="A378" s="1422"/>
      <c r="B378" s="2522"/>
      <c r="C378" s="3269"/>
      <c r="D378" s="3269"/>
      <c r="E378" s="3269"/>
      <c r="F378" s="3269"/>
      <c r="G378" s="3269"/>
      <c r="H378" s="3269"/>
      <c r="I378" s="3269"/>
      <c r="J378" s="3269"/>
      <c r="K378" s="40">
        <v>332352</v>
      </c>
      <c r="L378" s="3295"/>
      <c r="M378" s="3287" t="s">
        <v>297</v>
      </c>
      <c r="N378" s="3288"/>
      <c r="O378" s="40">
        <v>27696</v>
      </c>
      <c r="P378" s="40">
        <v>27696</v>
      </c>
      <c r="Q378" s="40">
        <v>27696</v>
      </c>
      <c r="R378" s="40">
        <v>27696</v>
      </c>
      <c r="S378" s="40">
        <v>27696</v>
      </c>
      <c r="T378" s="38">
        <v>27696</v>
      </c>
      <c r="U378" s="38">
        <v>27696</v>
      </c>
      <c r="V378" s="38">
        <v>27696</v>
      </c>
      <c r="W378" s="38">
        <v>27696</v>
      </c>
      <c r="X378" s="38">
        <v>27696</v>
      </c>
      <c r="Y378" s="38">
        <v>27696</v>
      </c>
      <c r="Z378" s="38">
        <v>27696</v>
      </c>
      <c r="AA378" s="966">
        <f t="shared" si="30"/>
        <v>332352</v>
      </c>
      <c r="AB378" s="35"/>
      <c r="AC378" s="183"/>
    </row>
    <row r="379" spans="1:29" x14ac:dyDescent="0.2">
      <c r="A379" s="1422"/>
      <c r="B379" s="2522"/>
      <c r="C379" s="3269"/>
      <c r="D379" s="3269"/>
      <c r="E379" s="3269"/>
      <c r="F379" s="3269"/>
      <c r="G379" s="3269"/>
      <c r="H379" s="3269"/>
      <c r="I379" s="3269"/>
      <c r="J379" s="3269"/>
      <c r="K379" s="40">
        <v>77412</v>
      </c>
      <c r="L379" s="3295"/>
      <c r="M379" s="3287" t="s">
        <v>298</v>
      </c>
      <c r="N379" s="3288"/>
      <c r="O379" s="40"/>
      <c r="P379" s="40"/>
      <c r="Q379" s="40"/>
      <c r="R379" s="40"/>
      <c r="S379" s="40"/>
      <c r="T379" s="38"/>
      <c r="U379" s="38">
        <v>38706</v>
      </c>
      <c r="V379" s="38"/>
      <c r="W379" s="38"/>
      <c r="X379" s="38"/>
      <c r="Y379" s="38"/>
      <c r="Z379" s="38">
        <v>38706</v>
      </c>
      <c r="AA379" s="966">
        <f t="shared" si="30"/>
        <v>77412</v>
      </c>
      <c r="AB379" s="35"/>
      <c r="AC379" s="183"/>
    </row>
    <row r="380" spans="1:29" x14ac:dyDescent="0.2">
      <c r="A380" s="1422"/>
      <c r="B380" s="2522"/>
      <c r="C380" s="3269"/>
      <c r="D380" s="3269"/>
      <c r="E380" s="3269"/>
      <c r="F380" s="3269"/>
      <c r="G380" s="3269"/>
      <c r="H380" s="3269"/>
      <c r="I380" s="3269"/>
      <c r="J380" s="3269"/>
      <c r="K380" s="40">
        <v>51000</v>
      </c>
      <c r="L380" s="3295"/>
      <c r="M380" s="3287" t="s">
        <v>299</v>
      </c>
      <c r="N380" s="3288"/>
      <c r="O380" s="40">
        <v>51000</v>
      </c>
      <c r="P380" s="40"/>
      <c r="Q380" s="40"/>
      <c r="R380" s="40"/>
      <c r="S380" s="40"/>
      <c r="T380" s="38"/>
      <c r="U380" s="38"/>
      <c r="V380" s="38"/>
      <c r="W380" s="38"/>
      <c r="X380" s="38"/>
      <c r="Y380" s="38"/>
      <c r="Z380" s="38"/>
      <c r="AA380" s="966">
        <f t="shared" si="30"/>
        <v>51000</v>
      </c>
      <c r="AB380" s="35"/>
      <c r="AC380" s="183"/>
    </row>
    <row r="381" spans="1:29" x14ac:dyDescent="0.2">
      <c r="A381" s="1422"/>
      <c r="B381" s="2522"/>
      <c r="C381" s="3269"/>
      <c r="D381" s="3269"/>
      <c r="E381" s="3269"/>
      <c r="F381" s="3269"/>
      <c r="G381" s="3269"/>
      <c r="H381" s="3269"/>
      <c r="I381" s="3269"/>
      <c r="J381" s="3269"/>
      <c r="K381" s="40">
        <v>50000</v>
      </c>
      <c r="L381" s="3295"/>
      <c r="M381" s="3287" t="s">
        <v>339</v>
      </c>
      <c r="N381" s="3288"/>
      <c r="O381" s="40">
        <v>4166.666666666667</v>
      </c>
      <c r="P381" s="40">
        <v>4166.666666666667</v>
      </c>
      <c r="Q381" s="40">
        <v>4166.666666666667</v>
      </c>
      <c r="R381" s="40">
        <v>4166.666666666667</v>
      </c>
      <c r="S381" s="40">
        <v>4166.666666666667</v>
      </c>
      <c r="T381" s="38">
        <v>4166.666666666667</v>
      </c>
      <c r="U381" s="38">
        <v>4166.666666666667</v>
      </c>
      <c r="V381" s="38">
        <v>4166.666666666667</v>
      </c>
      <c r="W381" s="38">
        <v>4166.666666666667</v>
      </c>
      <c r="X381" s="38">
        <v>4166.666666666667</v>
      </c>
      <c r="Y381" s="38">
        <v>4166.666666666667</v>
      </c>
      <c r="Z381" s="38">
        <v>4166.666666666667</v>
      </c>
      <c r="AA381" s="966">
        <f t="shared" si="30"/>
        <v>49999.999999999993</v>
      </c>
      <c r="AB381" s="35"/>
      <c r="AC381" s="183"/>
    </row>
    <row r="382" spans="1:29" x14ac:dyDescent="0.2">
      <c r="A382" s="1422"/>
      <c r="B382" s="2522"/>
      <c r="C382" s="3269"/>
      <c r="D382" s="3269"/>
      <c r="E382" s="3269"/>
      <c r="F382" s="3269"/>
      <c r="G382" s="3269"/>
      <c r="H382" s="3269"/>
      <c r="I382" s="3269"/>
      <c r="J382" s="3269"/>
      <c r="K382" s="40">
        <v>218734</v>
      </c>
      <c r="L382" s="3295"/>
      <c r="M382" s="3287" t="s">
        <v>300</v>
      </c>
      <c r="N382" s="3288"/>
      <c r="O382" s="40">
        <v>18227.833333333332</v>
      </c>
      <c r="P382" s="40">
        <v>18227.833333333332</v>
      </c>
      <c r="Q382" s="40">
        <v>18227.833333333332</v>
      </c>
      <c r="R382" s="40">
        <v>18227.833333333332</v>
      </c>
      <c r="S382" s="40">
        <v>18227.833333333332</v>
      </c>
      <c r="T382" s="38">
        <v>18227.833333333332</v>
      </c>
      <c r="U382" s="38">
        <v>18227.833333333332</v>
      </c>
      <c r="V382" s="38">
        <v>18227.833333333332</v>
      </c>
      <c r="W382" s="38">
        <v>18227.833333333332</v>
      </c>
      <c r="X382" s="38">
        <v>18227.833333333332</v>
      </c>
      <c r="Y382" s="38">
        <v>18227.833333333332</v>
      </c>
      <c r="Z382" s="38">
        <v>18227.833333333332</v>
      </c>
      <c r="AA382" s="966">
        <f t="shared" si="30"/>
        <v>218734.00000000003</v>
      </c>
      <c r="AB382" s="35"/>
      <c r="AC382" s="183"/>
    </row>
    <row r="383" spans="1:29" x14ac:dyDescent="0.2">
      <c r="A383" s="1422"/>
      <c r="B383" s="2522"/>
      <c r="C383" s="3269"/>
      <c r="D383" s="3269"/>
      <c r="E383" s="3269"/>
      <c r="F383" s="3269"/>
      <c r="G383" s="3269"/>
      <c r="H383" s="3269"/>
      <c r="I383" s="3269"/>
      <c r="J383" s="3269"/>
      <c r="K383" s="40">
        <v>9762</v>
      </c>
      <c r="L383" s="3295"/>
      <c r="M383" s="3287" t="s">
        <v>301</v>
      </c>
      <c r="N383" s="3288"/>
      <c r="O383" s="40">
        <v>813.5</v>
      </c>
      <c r="P383" s="40">
        <v>813.5</v>
      </c>
      <c r="Q383" s="40">
        <v>813.5</v>
      </c>
      <c r="R383" s="40">
        <v>813.5</v>
      </c>
      <c r="S383" s="40">
        <v>813.5</v>
      </c>
      <c r="T383" s="38">
        <v>813.5</v>
      </c>
      <c r="U383" s="38">
        <v>813.5</v>
      </c>
      <c r="V383" s="38">
        <v>813.5</v>
      </c>
      <c r="W383" s="38">
        <v>813.5</v>
      </c>
      <c r="X383" s="38">
        <v>813.5</v>
      </c>
      <c r="Y383" s="38">
        <v>813.5</v>
      </c>
      <c r="Z383" s="38">
        <v>813.5</v>
      </c>
      <c r="AA383" s="966">
        <f t="shared" si="30"/>
        <v>9762</v>
      </c>
      <c r="AB383" s="35"/>
      <c r="AC383" s="183"/>
    </row>
    <row r="384" spans="1:29" x14ac:dyDescent="0.2">
      <c r="A384" s="1422"/>
      <c r="B384" s="2522"/>
      <c r="C384" s="3269"/>
      <c r="D384" s="3269"/>
      <c r="E384" s="3269"/>
      <c r="F384" s="3269"/>
      <c r="G384" s="3269"/>
      <c r="H384" s="3269"/>
      <c r="I384" s="3269"/>
      <c r="J384" s="3269"/>
      <c r="K384" s="40">
        <v>36000</v>
      </c>
      <c r="L384" s="3295"/>
      <c r="M384" s="3287" t="s">
        <v>340</v>
      </c>
      <c r="N384" s="3288"/>
      <c r="O384" s="40"/>
      <c r="P384" s="40"/>
      <c r="Q384" s="40">
        <v>36000</v>
      </c>
      <c r="R384" s="40"/>
      <c r="S384" s="40"/>
      <c r="T384" s="38"/>
      <c r="U384" s="38"/>
      <c r="V384" s="38"/>
      <c r="W384" s="38"/>
      <c r="X384" s="38"/>
      <c r="Y384" s="38"/>
      <c r="Z384" s="38"/>
      <c r="AA384" s="966">
        <f t="shared" si="30"/>
        <v>36000</v>
      </c>
      <c r="AB384" s="35"/>
      <c r="AC384" s="183"/>
    </row>
    <row r="385" spans="1:29" x14ac:dyDescent="0.2">
      <c r="A385" s="1422"/>
      <c r="B385" s="2522"/>
      <c r="C385" s="3269"/>
      <c r="D385" s="3269"/>
      <c r="E385" s="3269"/>
      <c r="F385" s="3269"/>
      <c r="G385" s="3269"/>
      <c r="H385" s="3269"/>
      <c r="I385" s="3269"/>
      <c r="J385" s="3269"/>
      <c r="K385" s="40">
        <v>129386</v>
      </c>
      <c r="L385" s="3295"/>
      <c r="M385" s="3287" t="s">
        <v>302</v>
      </c>
      <c r="N385" s="3288"/>
      <c r="O385" s="40"/>
      <c r="P385" s="40"/>
      <c r="Q385" s="40"/>
      <c r="R385" s="40"/>
      <c r="S385" s="40">
        <v>64693</v>
      </c>
      <c r="T385" s="38">
        <v>64693</v>
      </c>
      <c r="U385" s="38"/>
      <c r="V385" s="38"/>
      <c r="W385" s="38"/>
      <c r="X385" s="38"/>
      <c r="Y385" s="38"/>
      <c r="Z385" s="38"/>
      <c r="AA385" s="966">
        <f t="shared" si="30"/>
        <v>129386</v>
      </c>
      <c r="AB385" s="35"/>
      <c r="AC385" s="183"/>
    </row>
    <row r="386" spans="1:29" x14ac:dyDescent="0.2">
      <c r="A386" s="1422"/>
      <c r="B386" s="2522"/>
      <c r="C386" s="3269"/>
      <c r="D386" s="3269"/>
      <c r="E386" s="3269"/>
      <c r="F386" s="3269"/>
      <c r="G386" s="3269"/>
      <c r="H386" s="3269"/>
      <c r="I386" s="3269"/>
      <c r="J386" s="3269"/>
      <c r="K386" s="40">
        <v>2000</v>
      </c>
      <c r="L386" s="3295"/>
      <c r="M386" s="3287" t="s">
        <v>322</v>
      </c>
      <c r="N386" s="3288"/>
      <c r="O386" s="40"/>
      <c r="P386" s="40"/>
      <c r="Q386" s="40">
        <v>2000</v>
      </c>
      <c r="R386" s="40"/>
      <c r="S386" s="40"/>
      <c r="T386" s="38"/>
      <c r="U386" s="38"/>
      <c r="V386" s="38"/>
      <c r="W386" s="38"/>
      <c r="X386" s="38"/>
      <c r="Y386" s="38"/>
      <c r="Z386" s="38"/>
      <c r="AA386" s="966">
        <f t="shared" si="30"/>
        <v>2000</v>
      </c>
      <c r="AB386" s="35"/>
      <c r="AC386" s="183"/>
    </row>
    <row r="387" spans="1:29" x14ac:dyDescent="0.2">
      <c r="A387" s="1422"/>
      <c r="B387" s="2522"/>
      <c r="C387" s="3269"/>
      <c r="D387" s="3269"/>
      <c r="E387" s="3269"/>
      <c r="F387" s="3269"/>
      <c r="G387" s="3269"/>
      <c r="H387" s="3269"/>
      <c r="I387" s="3269"/>
      <c r="J387" s="3269"/>
      <c r="K387" s="40">
        <v>53900</v>
      </c>
      <c r="L387" s="3295"/>
      <c r="M387" s="3287" t="s">
        <v>303</v>
      </c>
      <c r="N387" s="3288"/>
      <c r="O387" s="40"/>
      <c r="P387" s="40"/>
      <c r="Q387" s="40">
        <v>5390</v>
      </c>
      <c r="R387" s="40">
        <v>5390</v>
      </c>
      <c r="S387" s="40">
        <v>5390</v>
      </c>
      <c r="T387" s="38">
        <v>5390</v>
      </c>
      <c r="U387" s="38">
        <v>5390</v>
      </c>
      <c r="V387" s="38">
        <v>5390</v>
      </c>
      <c r="W387" s="38">
        <v>5390</v>
      </c>
      <c r="X387" s="38">
        <v>5390</v>
      </c>
      <c r="Y387" s="38">
        <v>5390</v>
      </c>
      <c r="Z387" s="38">
        <v>5390</v>
      </c>
      <c r="AA387" s="966">
        <f t="shared" si="30"/>
        <v>53900</v>
      </c>
      <c r="AB387" s="35"/>
      <c r="AC387" s="183"/>
    </row>
    <row r="388" spans="1:29" x14ac:dyDescent="0.2">
      <c r="A388" s="1422"/>
      <c r="B388" s="2522"/>
      <c r="C388" s="3269"/>
      <c r="D388" s="3269"/>
      <c r="E388" s="3269"/>
      <c r="F388" s="3269"/>
      <c r="G388" s="3269"/>
      <c r="H388" s="3269"/>
      <c r="I388" s="3269"/>
      <c r="J388" s="3269"/>
      <c r="K388" s="40">
        <v>138675</v>
      </c>
      <c r="L388" s="3295"/>
      <c r="M388" s="3287" t="s">
        <v>324</v>
      </c>
      <c r="N388" s="3288"/>
      <c r="O388" s="40"/>
      <c r="P388" s="40">
        <v>12606.818181818182</v>
      </c>
      <c r="Q388" s="40">
        <v>12606.818181818182</v>
      </c>
      <c r="R388" s="40">
        <v>12606.818181818182</v>
      </c>
      <c r="S388" s="40">
        <v>12606.818181818182</v>
      </c>
      <c r="T388" s="38">
        <v>12606.818181818182</v>
      </c>
      <c r="U388" s="38">
        <v>12606.818181818182</v>
      </c>
      <c r="V388" s="38">
        <v>12606.818181818182</v>
      </c>
      <c r="W388" s="38">
        <v>12606.818181818182</v>
      </c>
      <c r="X388" s="38">
        <v>12606.818181818182</v>
      </c>
      <c r="Y388" s="38">
        <v>12606.818181818182</v>
      </c>
      <c r="Z388" s="38">
        <v>12606.818181818182</v>
      </c>
      <c r="AA388" s="966">
        <f t="shared" si="30"/>
        <v>138674.99999999997</v>
      </c>
      <c r="AB388" s="35"/>
      <c r="AC388" s="183"/>
    </row>
    <row r="389" spans="1:29" x14ac:dyDescent="0.2">
      <c r="A389" s="1422"/>
      <c r="B389" s="2522"/>
      <c r="C389" s="3269"/>
      <c r="D389" s="3269"/>
      <c r="E389" s="3269"/>
      <c r="F389" s="3269"/>
      <c r="G389" s="3269"/>
      <c r="H389" s="3269"/>
      <c r="I389" s="3269"/>
      <c r="J389" s="3269"/>
      <c r="K389" s="40">
        <v>4500</v>
      </c>
      <c r="L389" s="3295"/>
      <c r="M389" s="3287" t="s">
        <v>393</v>
      </c>
      <c r="N389" s="3288"/>
      <c r="O389" s="40"/>
      <c r="P389" s="40"/>
      <c r="Q389" s="40"/>
      <c r="R389" s="40">
        <v>2250</v>
      </c>
      <c r="S389" s="40"/>
      <c r="T389" s="38"/>
      <c r="U389" s="38"/>
      <c r="V389" s="38">
        <v>2250</v>
      </c>
      <c r="W389" s="38"/>
      <c r="X389" s="38"/>
      <c r="Y389" s="38"/>
      <c r="Z389" s="38"/>
      <c r="AA389" s="966">
        <f t="shared" si="30"/>
        <v>4500</v>
      </c>
      <c r="AB389" s="35"/>
      <c r="AC389" s="183"/>
    </row>
    <row r="390" spans="1:29" x14ac:dyDescent="0.2">
      <c r="A390" s="1422"/>
      <c r="B390" s="2522"/>
      <c r="C390" s="3269"/>
      <c r="D390" s="3269"/>
      <c r="E390" s="3269"/>
      <c r="F390" s="3269"/>
      <c r="G390" s="3269"/>
      <c r="H390" s="3269"/>
      <c r="I390" s="3269"/>
      <c r="J390" s="3269"/>
      <c r="K390" s="40">
        <v>999055</v>
      </c>
      <c r="L390" s="3295"/>
      <c r="M390" s="3287" t="s">
        <v>343</v>
      </c>
      <c r="N390" s="3288"/>
      <c r="O390" s="40"/>
      <c r="P390" s="40"/>
      <c r="Q390" s="40"/>
      <c r="R390" s="40">
        <v>199811</v>
      </c>
      <c r="S390" s="40">
        <v>133207.33333333334</v>
      </c>
      <c r="T390" s="38">
        <v>66603.666666666672</v>
      </c>
      <c r="U390" s="38">
        <v>133207.33333333334</v>
      </c>
      <c r="V390" s="38">
        <v>66603.666666666672</v>
      </c>
      <c r="W390" s="38">
        <v>133207.33333333334</v>
      </c>
      <c r="X390" s="38">
        <v>66603.666666666672</v>
      </c>
      <c r="Y390" s="38">
        <v>133207.33333333334</v>
      </c>
      <c r="Z390" s="38">
        <v>66603.666666666672</v>
      </c>
      <c r="AA390" s="966">
        <f t="shared" si="30"/>
        <v>999055</v>
      </c>
      <c r="AB390" s="35"/>
      <c r="AC390" s="183"/>
    </row>
    <row r="391" spans="1:29" x14ac:dyDescent="0.2">
      <c r="A391" s="1422"/>
      <c r="B391" s="2522"/>
      <c r="C391" s="3269"/>
      <c r="D391" s="3269"/>
      <c r="E391" s="3269"/>
      <c r="F391" s="3269"/>
      <c r="G391" s="3269"/>
      <c r="H391" s="3269"/>
      <c r="I391" s="3269"/>
      <c r="J391" s="3269"/>
      <c r="K391" s="40">
        <v>8200</v>
      </c>
      <c r="L391" s="3295"/>
      <c r="M391" s="3287" t="s">
        <v>381</v>
      </c>
      <c r="N391" s="3288"/>
      <c r="O391" s="40"/>
      <c r="P391" s="40"/>
      <c r="Q391" s="40">
        <v>4100</v>
      </c>
      <c r="R391" s="40"/>
      <c r="S391" s="40"/>
      <c r="T391" s="38"/>
      <c r="U391" s="38"/>
      <c r="V391" s="38">
        <v>4100</v>
      </c>
      <c r="W391" s="38"/>
      <c r="X391" s="38"/>
      <c r="Y391" s="38"/>
      <c r="Z391" s="38"/>
      <c r="AA391" s="966">
        <f t="shared" si="30"/>
        <v>8200</v>
      </c>
      <c r="AB391" s="35"/>
      <c r="AC391" s="183"/>
    </row>
    <row r="392" spans="1:29" x14ac:dyDescent="0.2">
      <c r="A392" s="1422"/>
      <c r="B392" s="2522"/>
      <c r="C392" s="3269"/>
      <c r="D392" s="3269"/>
      <c r="E392" s="3269"/>
      <c r="F392" s="3269"/>
      <c r="G392" s="3269"/>
      <c r="H392" s="3269"/>
      <c r="I392" s="3269"/>
      <c r="J392" s="3269"/>
      <c r="K392" s="40">
        <v>165000</v>
      </c>
      <c r="L392" s="3295"/>
      <c r="M392" s="3287" t="s">
        <v>304</v>
      </c>
      <c r="N392" s="3288"/>
      <c r="O392" s="40"/>
      <c r="P392" s="40"/>
      <c r="Q392" s="40">
        <v>16500</v>
      </c>
      <c r="R392" s="40">
        <v>16500</v>
      </c>
      <c r="S392" s="40">
        <v>16500</v>
      </c>
      <c r="T392" s="38">
        <v>16500</v>
      </c>
      <c r="U392" s="38">
        <v>16500</v>
      </c>
      <c r="V392" s="38">
        <v>16500</v>
      </c>
      <c r="W392" s="38">
        <v>16500</v>
      </c>
      <c r="X392" s="38">
        <v>16500</v>
      </c>
      <c r="Y392" s="38">
        <v>16500</v>
      </c>
      <c r="Z392" s="38">
        <v>16500</v>
      </c>
      <c r="AA392" s="966">
        <f t="shared" si="30"/>
        <v>165000</v>
      </c>
      <c r="AB392" s="35"/>
      <c r="AC392" s="183"/>
    </row>
    <row r="393" spans="1:29" x14ac:dyDescent="0.2">
      <c r="A393" s="1422"/>
      <c r="B393" s="2522"/>
      <c r="C393" s="3269"/>
      <c r="D393" s="3269"/>
      <c r="E393" s="3269"/>
      <c r="F393" s="3269"/>
      <c r="G393" s="3269"/>
      <c r="H393" s="3269"/>
      <c r="I393" s="3269"/>
      <c r="J393" s="3269"/>
      <c r="K393" s="40">
        <v>12757</v>
      </c>
      <c r="L393" s="3295"/>
      <c r="M393" s="3287" t="s">
        <v>305</v>
      </c>
      <c r="N393" s="3288"/>
      <c r="O393" s="40"/>
      <c r="P393" s="40"/>
      <c r="Q393" s="40"/>
      <c r="R393" s="40">
        <v>2126.1666666666665</v>
      </c>
      <c r="S393" s="40">
        <v>3189.25</v>
      </c>
      <c r="T393" s="38"/>
      <c r="U393" s="38"/>
      <c r="V393" s="38">
        <v>3189.25</v>
      </c>
      <c r="W393" s="38"/>
      <c r="X393" s="38"/>
      <c r="Y393" s="38">
        <v>4252.333333333333</v>
      </c>
      <c r="Z393" s="38"/>
      <c r="AA393" s="966">
        <f t="shared" si="30"/>
        <v>12757</v>
      </c>
      <c r="AB393" s="35"/>
      <c r="AC393" s="183"/>
    </row>
    <row r="394" spans="1:29" x14ac:dyDescent="0.2">
      <c r="A394" s="1422"/>
      <c r="B394" s="2522"/>
      <c r="C394" s="3269"/>
      <c r="D394" s="3269"/>
      <c r="E394" s="3269"/>
      <c r="F394" s="3269"/>
      <c r="G394" s="3269"/>
      <c r="H394" s="3269"/>
      <c r="I394" s="3269"/>
      <c r="J394" s="3269"/>
      <c r="K394" s="40">
        <v>98548</v>
      </c>
      <c r="L394" s="3295"/>
      <c r="M394" s="3287" t="s">
        <v>306</v>
      </c>
      <c r="N394" s="3288"/>
      <c r="O394" s="40"/>
      <c r="P394" s="40"/>
      <c r="Q394" s="40"/>
      <c r="R394" s="40">
        <v>16424.666666666664</v>
      </c>
      <c r="S394" s="40">
        <v>24637</v>
      </c>
      <c r="T394" s="38"/>
      <c r="U394" s="38"/>
      <c r="V394" s="38">
        <v>24637</v>
      </c>
      <c r="W394" s="38"/>
      <c r="X394" s="38"/>
      <c r="Y394" s="38">
        <v>32849.333333333328</v>
      </c>
      <c r="Z394" s="38"/>
      <c r="AA394" s="966">
        <f t="shared" si="30"/>
        <v>98547.999999999985</v>
      </c>
      <c r="AB394" s="35"/>
      <c r="AC394" s="183"/>
    </row>
    <row r="395" spans="1:29" x14ac:dyDescent="0.2">
      <c r="A395" s="1422"/>
      <c r="B395" s="2522"/>
      <c r="C395" s="3269"/>
      <c r="D395" s="3269"/>
      <c r="E395" s="3269"/>
      <c r="F395" s="3269"/>
      <c r="G395" s="3269"/>
      <c r="H395" s="3269"/>
      <c r="I395" s="3269"/>
      <c r="J395" s="3269"/>
      <c r="K395" s="40">
        <v>213305</v>
      </c>
      <c r="L395" s="3295"/>
      <c r="M395" s="3287" t="s">
        <v>307</v>
      </c>
      <c r="N395" s="3288"/>
      <c r="O395" s="40"/>
      <c r="P395" s="40">
        <v>19391.363636363636</v>
      </c>
      <c r="Q395" s="40">
        <v>19391.363636363636</v>
      </c>
      <c r="R395" s="40">
        <v>19391.363636363636</v>
      </c>
      <c r="S395" s="40">
        <v>19391.363636363636</v>
      </c>
      <c r="T395" s="38">
        <v>19391.363636363636</v>
      </c>
      <c r="U395" s="38">
        <v>19391.363636363636</v>
      </c>
      <c r="V395" s="38">
        <v>19391.363636363636</v>
      </c>
      <c r="W395" s="38">
        <v>19391.363636363636</v>
      </c>
      <c r="X395" s="38">
        <v>19391.363636363636</v>
      </c>
      <c r="Y395" s="38">
        <v>19391.363636363636</v>
      </c>
      <c r="Z395" s="38">
        <v>19391.363636363636</v>
      </c>
      <c r="AA395" s="966">
        <f t="shared" si="30"/>
        <v>213305.00000000003</v>
      </c>
      <c r="AB395" s="35"/>
      <c r="AC395" s="183"/>
    </row>
    <row r="396" spans="1:29" x14ac:dyDescent="0.2">
      <c r="A396" s="1422"/>
      <c r="B396" s="2522"/>
      <c r="C396" s="3269"/>
      <c r="D396" s="3269"/>
      <c r="E396" s="3269"/>
      <c r="F396" s="3269"/>
      <c r="G396" s="3269"/>
      <c r="H396" s="3269"/>
      <c r="I396" s="3269"/>
      <c r="J396" s="3269"/>
      <c r="K396" s="40">
        <v>3000</v>
      </c>
      <c r="L396" s="3295"/>
      <c r="M396" s="3287" t="s">
        <v>344</v>
      </c>
      <c r="N396" s="3288"/>
      <c r="O396" s="40"/>
      <c r="P396" s="40"/>
      <c r="Q396" s="40">
        <v>3000</v>
      </c>
      <c r="R396" s="40"/>
      <c r="S396" s="40"/>
      <c r="T396" s="38"/>
      <c r="U396" s="38"/>
      <c r="V396" s="38"/>
      <c r="W396" s="38"/>
      <c r="X396" s="38"/>
      <c r="Y396" s="38"/>
      <c r="Z396" s="38"/>
      <c r="AA396" s="966">
        <f t="shared" si="30"/>
        <v>3000</v>
      </c>
      <c r="AB396" s="35"/>
      <c r="AC396" s="183"/>
    </row>
    <row r="397" spans="1:29" x14ac:dyDescent="0.2">
      <c r="A397" s="1422"/>
      <c r="B397" s="2522"/>
      <c r="C397" s="3269"/>
      <c r="D397" s="3269"/>
      <c r="E397" s="3269"/>
      <c r="F397" s="3269"/>
      <c r="G397" s="3269"/>
      <c r="H397" s="3269"/>
      <c r="I397" s="3269"/>
      <c r="J397" s="3269"/>
      <c r="K397" s="40">
        <v>10000</v>
      </c>
      <c r="L397" s="3295"/>
      <c r="M397" s="3287" t="s">
        <v>355</v>
      </c>
      <c r="N397" s="3288"/>
      <c r="O397" s="40"/>
      <c r="P397" s="40"/>
      <c r="Q397" s="40">
        <v>10000</v>
      </c>
      <c r="R397" s="40"/>
      <c r="S397" s="40"/>
      <c r="T397" s="38"/>
      <c r="U397" s="38"/>
      <c r="V397" s="38"/>
      <c r="W397" s="38"/>
      <c r="X397" s="38"/>
      <c r="Y397" s="38"/>
      <c r="Z397" s="38"/>
      <c r="AA397" s="966">
        <f t="shared" si="30"/>
        <v>10000</v>
      </c>
      <c r="AB397" s="35"/>
      <c r="AC397" s="183"/>
    </row>
    <row r="398" spans="1:29" x14ac:dyDescent="0.2">
      <c r="A398" s="1422"/>
      <c r="B398" s="2522"/>
      <c r="C398" s="3269"/>
      <c r="D398" s="3269"/>
      <c r="E398" s="3269"/>
      <c r="F398" s="3269"/>
      <c r="G398" s="3269"/>
      <c r="H398" s="3269"/>
      <c r="I398" s="3269"/>
      <c r="J398" s="3269"/>
      <c r="K398" s="40">
        <v>30000</v>
      </c>
      <c r="L398" s="3295"/>
      <c r="M398" s="3287" t="s">
        <v>356</v>
      </c>
      <c r="N398" s="3288"/>
      <c r="O398" s="40"/>
      <c r="P398" s="40"/>
      <c r="Q398" s="40">
        <v>15000</v>
      </c>
      <c r="R398" s="40"/>
      <c r="S398" s="40"/>
      <c r="T398" s="38"/>
      <c r="U398" s="38">
        <v>15000</v>
      </c>
      <c r="V398" s="38"/>
      <c r="W398" s="38"/>
      <c r="X398" s="38"/>
      <c r="Y398" s="38"/>
      <c r="Z398" s="38"/>
      <c r="AA398" s="966">
        <f t="shared" si="30"/>
        <v>30000</v>
      </c>
      <c r="AB398" s="35"/>
      <c r="AC398" s="183"/>
    </row>
    <row r="399" spans="1:29" x14ac:dyDescent="0.2">
      <c r="A399" s="1422"/>
      <c r="B399" s="2522"/>
      <c r="C399" s="3269"/>
      <c r="D399" s="3269"/>
      <c r="E399" s="3269"/>
      <c r="F399" s="3269"/>
      <c r="G399" s="3269"/>
      <c r="H399" s="3269"/>
      <c r="I399" s="3269"/>
      <c r="J399" s="3269"/>
      <c r="K399" s="40">
        <v>18200</v>
      </c>
      <c r="L399" s="3295"/>
      <c r="M399" s="3287" t="s">
        <v>308</v>
      </c>
      <c r="N399" s="3288"/>
      <c r="O399" s="40"/>
      <c r="P399" s="40"/>
      <c r="Q399" s="40">
        <v>6066.666666666667</v>
      </c>
      <c r="R399" s="40"/>
      <c r="S399" s="40"/>
      <c r="T399" s="38">
        <v>6066.666666666667</v>
      </c>
      <c r="U399" s="38"/>
      <c r="V399" s="38"/>
      <c r="W399" s="38">
        <v>6066.666666666667</v>
      </c>
      <c r="X399" s="38"/>
      <c r="Y399" s="38"/>
      <c r="Z399" s="38"/>
      <c r="AA399" s="966">
        <f t="shared" si="30"/>
        <v>18200</v>
      </c>
      <c r="AB399" s="35"/>
      <c r="AC399" s="183"/>
    </row>
    <row r="400" spans="1:29" x14ac:dyDescent="0.2">
      <c r="A400" s="1422"/>
      <c r="B400" s="2522"/>
      <c r="C400" s="3269"/>
      <c r="D400" s="3269"/>
      <c r="E400" s="3269"/>
      <c r="F400" s="3269"/>
      <c r="G400" s="3269"/>
      <c r="H400" s="3269"/>
      <c r="I400" s="3269"/>
      <c r="J400" s="3269"/>
      <c r="K400" s="40">
        <v>4000</v>
      </c>
      <c r="L400" s="3295"/>
      <c r="M400" s="3287" t="s">
        <v>349</v>
      </c>
      <c r="N400" s="3288"/>
      <c r="O400" s="40"/>
      <c r="P400" s="40"/>
      <c r="Q400" s="40">
        <v>4000</v>
      </c>
      <c r="R400" s="40"/>
      <c r="S400" s="40"/>
      <c r="T400" s="38"/>
      <c r="U400" s="38"/>
      <c r="V400" s="38"/>
      <c r="W400" s="38"/>
      <c r="X400" s="38"/>
      <c r="Y400" s="38"/>
      <c r="Z400" s="38"/>
      <c r="AA400" s="966">
        <f t="shared" si="30"/>
        <v>4000</v>
      </c>
      <c r="AB400" s="35"/>
      <c r="AC400" s="183"/>
    </row>
    <row r="401" spans="1:29" x14ac:dyDescent="0.2">
      <c r="A401" s="1422"/>
      <c r="B401" s="2522"/>
      <c r="C401" s="3269"/>
      <c r="D401" s="3269"/>
      <c r="E401" s="3269"/>
      <c r="F401" s="3269"/>
      <c r="G401" s="3269"/>
      <c r="H401" s="3269"/>
      <c r="I401" s="3269"/>
      <c r="J401" s="3269"/>
      <c r="K401" s="40">
        <v>63300</v>
      </c>
      <c r="L401" s="3295"/>
      <c r="M401" s="3287" t="s">
        <v>309</v>
      </c>
      <c r="N401" s="3288"/>
      <c r="O401" s="40"/>
      <c r="P401" s="40"/>
      <c r="Q401" s="40"/>
      <c r="R401" s="40">
        <v>12660</v>
      </c>
      <c r="S401" s="40"/>
      <c r="T401" s="38">
        <v>12660</v>
      </c>
      <c r="U401" s="38"/>
      <c r="V401" s="38">
        <v>12660</v>
      </c>
      <c r="W401" s="38"/>
      <c r="X401" s="38">
        <v>12660</v>
      </c>
      <c r="Y401" s="38"/>
      <c r="Z401" s="38">
        <v>12660</v>
      </c>
      <c r="AA401" s="966">
        <f t="shared" si="30"/>
        <v>63300</v>
      </c>
      <c r="AB401" s="35"/>
      <c r="AC401" s="183"/>
    </row>
    <row r="402" spans="1:29" x14ac:dyDescent="0.2">
      <c r="A402" s="1422"/>
      <c r="B402" s="2522"/>
      <c r="C402" s="3269"/>
      <c r="D402" s="3269"/>
      <c r="E402" s="3269"/>
      <c r="F402" s="3269"/>
      <c r="G402" s="3269"/>
      <c r="H402" s="3269"/>
      <c r="I402" s="3269"/>
      <c r="J402" s="3269"/>
      <c r="K402" s="40">
        <v>4000</v>
      </c>
      <c r="L402" s="3295"/>
      <c r="M402" s="3287" t="s">
        <v>382</v>
      </c>
      <c r="N402" s="3288"/>
      <c r="O402" s="40"/>
      <c r="P402" s="40"/>
      <c r="Q402" s="40">
        <v>4000</v>
      </c>
      <c r="R402" s="40"/>
      <c r="S402" s="40"/>
      <c r="T402" s="38"/>
      <c r="U402" s="38"/>
      <c r="V402" s="38"/>
      <c r="W402" s="38"/>
      <c r="X402" s="38"/>
      <c r="Y402" s="38"/>
      <c r="Z402" s="38"/>
      <c r="AA402" s="966">
        <f t="shared" si="30"/>
        <v>4000</v>
      </c>
      <c r="AB402" s="35"/>
      <c r="AC402" s="183"/>
    </row>
    <row r="403" spans="1:29" x14ac:dyDescent="0.2">
      <c r="A403" s="1422"/>
      <c r="B403" s="2522"/>
      <c r="C403" s="3269"/>
      <c r="D403" s="3269"/>
      <c r="E403" s="3269"/>
      <c r="F403" s="3269"/>
      <c r="G403" s="3269"/>
      <c r="H403" s="3269"/>
      <c r="I403" s="3269"/>
      <c r="J403" s="3269"/>
      <c r="K403" s="40">
        <v>5942407</v>
      </c>
      <c r="L403" s="3295"/>
      <c r="M403" s="3287" t="s">
        <v>310</v>
      </c>
      <c r="N403" s="3288"/>
      <c r="O403" s="40"/>
      <c r="P403" s="40"/>
      <c r="Q403" s="40">
        <v>594240.69999999995</v>
      </c>
      <c r="R403" s="40">
        <v>594240.69999999995</v>
      </c>
      <c r="S403" s="40">
        <v>594240.69999999995</v>
      </c>
      <c r="T403" s="38">
        <v>594240.69999999995</v>
      </c>
      <c r="U403" s="38">
        <v>594240.69999999995</v>
      </c>
      <c r="V403" s="38">
        <v>594240.69999999995</v>
      </c>
      <c r="W403" s="38">
        <v>594240.69999999995</v>
      </c>
      <c r="X403" s="38">
        <v>594240.69999999995</v>
      </c>
      <c r="Y403" s="38">
        <v>594240.69999999995</v>
      </c>
      <c r="Z403" s="38">
        <v>594240.69999999995</v>
      </c>
      <c r="AA403" s="966">
        <f t="shared" si="30"/>
        <v>5942407.0000000009</v>
      </c>
      <c r="AB403" s="35"/>
      <c r="AC403" s="183"/>
    </row>
    <row r="404" spans="1:29" x14ac:dyDescent="0.2">
      <c r="A404" s="1422"/>
      <c r="B404" s="2522"/>
      <c r="C404" s="3269"/>
      <c r="D404" s="3269"/>
      <c r="E404" s="3269"/>
      <c r="F404" s="3269"/>
      <c r="G404" s="3269"/>
      <c r="H404" s="3269"/>
      <c r="I404" s="3269"/>
      <c r="J404" s="3269"/>
      <c r="K404" s="40">
        <v>359700</v>
      </c>
      <c r="L404" s="3295"/>
      <c r="M404" s="3287" t="s">
        <v>311</v>
      </c>
      <c r="N404" s="3288"/>
      <c r="O404" s="40">
        <v>29975</v>
      </c>
      <c r="P404" s="40">
        <v>29975</v>
      </c>
      <c r="Q404" s="40">
        <v>29975</v>
      </c>
      <c r="R404" s="40">
        <v>29975</v>
      </c>
      <c r="S404" s="40">
        <v>29975</v>
      </c>
      <c r="T404" s="38">
        <v>29975</v>
      </c>
      <c r="U404" s="38">
        <v>29975</v>
      </c>
      <c r="V404" s="38">
        <v>29975</v>
      </c>
      <c r="W404" s="38">
        <v>29975</v>
      </c>
      <c r="X404" s="38">
        <v>29975</v>
      </c>
      <c r="Y404" s="38">
        <v>29975</v>
      </c>
      <c r="Z404" s="38">
        <v>29975</v>
      </c>
      <c r="AA404" s="966">
        <f t="shared" si="30"/>
        <v>359700</v>
      </c>
      <c r="AB404" s="35"/>
      <c r="AC404" s="183"/>
    </row>
    <row r="405" spans="1:29" x14ac:dyDescent="0.2">
      <c r="A405" s="1422"/>
      <c r="B405" s="2522"/>
      <c r="C405" s="3270"/>
      <c r="D405" s="3270"/>
      <c r="E405" s="3270"/>
      <c r="F405" s="3270"/>
      <c r="G405" s="3270"/>
      <c r="H405" s="3270"/>
      <c r="I405" s="3270"/>
      <c r="J405" s="3270"/>
      <c r="K405" s="40">
        <v>183904</v>
      </c>
      <c r="L405" s="3296"/>
      <c r="M405" s="3287" t="s">
        <v>397</v>
      </c>
      <c r="N405" s="3288"/>
      <c r="O405" s="40">
        <v>15325.333333333334</v>
      </c>
      <c r="P405" s="40">
        <v>15325.333333333334</v>
      </c>
      <c r="Q405" s="40">
        <v>15325.333333333334</v>
      </c>
      <c r="R405" s="40">
        <v>15325.333333333334</v>
      </c>
      <c r="S405" s="40">
        <v>15325.333333333334</v>
      </c>
      <c r="T405" s="38">
        <v>15325.333333333334</v>
      </c>
      <c r="U405" s="38">
        <v>15325.333333333334</v>
      </c>
      <c r="V405" s="38">
        <v>15325.333333333334</v>
      </c>
      <c r="W405" s="38">
        <v>15325.333333333334</v>
      </c>
      <c r="X405" s="38">
        <v>15325.333333333334</v>
      </c>
      <c r="Y405" s="38">
        <v>15325.333333333334</v>
      </c>
      <c r="Z405" s="38">
        <v>15325.333333333334</v>
      </c>
      <c r="AA405" s="966">
        <f t="shared" si="30"/>
        <v>183904.00000000003</v>
      </c>
      <c r="AB405" s="35"/>
      <c r="AC405" s="183"/>
    </row>
    <row r="406" spans="1:29" x14ac:dyDescent="0.2">
      <c r="A406" s="1422"/>
      <c r="B406" s="1418"/>
      <c r="C406" s="99"/>
      <c r="D406" s="99"/>
      <c r="E406" s="99"/>
      <c r="F406" s="99"/>
      <c r="G406" s="99"/>
      <c r="H406" s="99"/>
      <c r="I406" s="99"/>
      <c r="J406" s="99"/>
      <c r="K406" s="188"/>
      <c r="L406" s="188"/>
      <c r="M406" s="188"/>
      <c r="N406" s="188"/>
      <c r="O406" s="188"/>
      <c r="P406" s="188"/>
      <c r="Q406" s="188"/>
      <c r="R406" s="188"/>
      <c r="S406" s="188"/>
      <c r="T406" s="99"/>
      <c r="U406" s="99"/>
      <c r="V406" s="99"/>
      <c r="W406" s="99"/>
      <c r="X406" s="99"/>
      <c r="Y406" s="99"/>
      <c r="Z406" s="99"/>
      <c r="AA406" s="189"/>
      <c r="AB406" s="35"/>
      <c r="AC406" s="183"/>
    </row>
    <row r="407" spans="1:29" x14ac:dyDescent="0.2">
      <c r="A407" s="1422"/>
      <c r="B407" s="1419"/>
      <c r="C407" s="35"/>
      <c r="D407" s="35"/>
      <c r="E407" s="35"/>
      <c r="F407" s="35"/>
      <c r="G407" s="35"/>
      <c r="H407" s="35"/>
      <c r="I407" s="35"/>
      <c r="J407" s="35"/>
      <c r="K407" s="60"/>
      <c r="L407" s="60"/>
      <c r="M407" s="60"/>
      <c r="N407" s="60"/>
      <c r="O407" s="60"/>
      <c r="P407" s="60"/>
      <c r="Q407" s="60"/>
      <c r="R407" s="60"/>
      <c r="S407" s="60"/>
      <c r="T407" s="35"/>
      <c r="U407" s="2974" t="s">
        <v>15</v>
      </c>
      <c r="V407" s="2975"/>
      <c r="W407" s="2975"/>
      <c r="X407" s="2975"/>
      <c r="Y407" s="2976"/>
      <c r="Z407" s="2974" t="s">
        <v>16</v>
      </c>
      <c r="AA407" s="2976"/>
      <c r="AB407" s="35"/>
      <c r="AC407" s="183"/>
    </row>
    <row r="408" spans="1:29" ht="24.75" customHeight="1" x14ac:dyDescent="0.2">
      <c r="A408" s="1422"/>
      <c r="B408" s="1137" t="s">
        <v>276</v>
      </c>
      <c r="C408" s="153"/>
      <c r="D408" s="1116">
        <v>3033256</v>
      </c>
      <c r="E408" s="3277" t="s">
        <v>404</v>
      </c>
      <c r="F408" s="3278"/>
      <c r="G408" s="3278"/>
      <c r="H408" s="3278"/>
      <c r="I408" s="3278"/>
      <c r="J408" s="3278"/>
      <c r="K408" s="3278"/>
      <c r="L408" s="3278"/>
      <c r="M408" s="3278"/>
      <c r="N408" s="3278"/>
      <c r="O408" s="3278"/>
      <c r="P408" s="3278"/>
      <c r="Q408" s="3278"/>
      <c r="R408" s="3278"/>
      <c r="S408" s="3278"/>
      <c r="T408" s="3279"/>
      <c r="U408" s="3019" t="s">
        <v>405</v>
      </c>
      <c r="V408" s="3328"/>
      <c r="W408" s="3328"/>
      <c r="X408" s="3328"/>
      <c r="Y408" s="3020"/>
      <c r="Z408" s="3233" t="s">
        <v>406</v>
      </c>
      <c r="AA408" s="3233"/>
      <c r="AB408" s="35"/>
      <c r="AC408" s="183"/>
    </row>
    <row r="409" spans="1:29" x14ac:dyDescent="0.2">
      <c r="A409" s="1422"/>
      <c r="B409" s="2999" t="s">
        <v>278</v>
      </c>
      <c r="C409" s="2988" t="s">
        <v>21</v>
      </c>
      <c r="D409" s="2847" t="s">
        <v>22</v>
      </c>
      <c r="E409" s="2847" t="s">
        <v>23</v>
      </c>
      <c r="F409" s="2847" t="s">
        <v>24</v>
      </c>
      <c r="G409" s="2847" t="s">
        <v>25</v>
      </c>
      <c r="H409" s="2847" t="s">
        <v>26</v>
      </c>
      <c r="I409" s="2847" t="s">
        <v>27</v>
      </c>
      <c r="J409" s="3206" t="s">
        <v>28</v>
      </c>
      <c r="K409" s="3301"/>
      <c r="L409" s="2988" t="s">
        <v>279</v>
      </c>
      <c r="M409" s="3273" t="s">
        <v>280</v>
      </c>
      <c r="N409" s="3274"/>
      <c r="O409" s="2847" t="s">
        <v>281</v>
      </c>
      <c r="P409" s="2847"/>
      <c r="Q409" s="2847"/>
      <c r="R409" s="2847"/>
      <c r="S409" s="2847"/>
      <c r="T409" s="2847"/>
      <c r="U409" s="2847"/>
      <c r="V409" s="2847"/>
      <c r="W409" s="2847"/>
      <c r="X409" s="2847"/>
      <c r="Y409" s="2847"/>
      <c r="Z409" s="2847"/>
      <c r="AA409" s="2988" t="s">
        <v>32</v>
      </c>
      <c r="AB409" s="35"/>
      <c r="AC409" s="183"/>
    </row>
    <row r="410" spans="1:29" x14ac:dyDescent="0.2">
      <c r="A410" s="1422"/>
      <c r="B410" s="2999"/>
      <c r="C410" s="3186"/>
      <c r="D410" s="2847"/>
      <c r="E410" s="2847"/>
      <c r="F410" s="2847"/>
      <c r="G410" s="2847"/>
      <c r="H410" s="2847"/>
      <c r="I410" s="2847"/>
      <c r="J410" s="2988" t="s">
        <v>33</v>
      </c>
      <c r="K410" s="2988" t="s">
        <v>282</v>
      </c>
      <c r="L410" s="3186"/>
      <c r="M410" s="3275"/>
      <c r="N410" s="3276"/>
      <c r="O410" s="1009" t="s">
        <v>283</v>
      </c>
      <c r="P410" s="1009" t="s">
        <v>284</v>
      </c>
      <c r="Q410" s="1009" t="s">
        <v>285</v>
      </c>
      <c r="R410" s="1009" t="s">
        <v>88</v>
      </c>
      <c r="S410" s="1009" t="s">
        <v>89</v>
      </c>
      <c r="T410" s="1009" t="s">
        <v>90</v>
      </c>
      <c r="U410" s="1009" t="s">
        <v>91</v>
      </c>
      <c r="V410" s="1009" t="s">
        <v>92</v>
      </c>
      <c r="W410" s="1009" t="s">
        <v>286</v>
      </c>
      <c r="X410" s="1009" t="s">
        <v>93</v>
      </c>
      <c r="Y410" s="1009" t="s">
        <v>94</v>
      </c>
      <c r="Z410" s="1009" t="s">
        <v>95</v>
      </c>
      <c r="AA410" s="2989"/>
      <c r="AB410" s="35"/>
      <c r="AC410" s="183"/>
    </row>
    <row r="411" spans="1:29" x14ac:dyDescent="0.2">
      <c r="A411" s="1422"/>
      <c r="B411" s="2999"/>
      <c r="C411" s="3186"/>
      <c r="D411" s="2847"/>
      <c r="E411" s="2847"/>
      <c r="F411" s="2847"/>
      <c r="G411" s="2847"/>
      <c r="H411" s="2847"/>
      <c r="I411" s="2847"/>
      <c r="J411" s="3186"/>
      <c r="K411" s="3186"/>
      <c r="L411" s="3186"/>
      <c r="M411" s="3271" t="s">
        <v>287</v>
      </c>
      <c r="N411" s="3272"/>
      <c r="O411" s="1095">
        <v>6290</v>
      </c>
      <c r="P411" s="1095">
        <v>6289</v>
      </c>
      <c r="Q411" s="1095">
        <v>6288</v>
      </c>
      <c r="R411" s="1095">
        <v>6288</v>
      </c>
      <c r="S411" s="1095">
        <v>6288</v>
      </c>
      <c r="T411" s="1095">
        <v>6288</v>
      </c>
      <c r="U411" s="1095">
        <v>6288</v>
      </c>
      <c r="V411" s="1095">
        <v>6288</v>
      </c>
      <c r="W411" s="1095">
        <v>6288</v>
      </c>
      <c r="X411" s="1095">
        <v>6288</v>
      </c>
      <c r="Y411" s="1095">
        <v>6288</v>
      </c>
      <c r="Z411" s="1095">
        <v>6288</v>
      </c>
      <c r="AA411" s="1196">
        <f t="shared" ref="AA411:AA437" si="31">SUM(O411:Z411)</f>
        <v>75459</v>
      </c>
      <c r="AB411" s="35"/>
      <c r="AC411" s="183"/>
    </row>
    <row r="412" spans="1:29" x14ac:dyDescent="0.2">
      <c r="A412" s="1422"/>
      <c r="B412" s="2999"/>
      <c r="C412" s="2989"/>
      <c r="D412" s="2847"/>
      <c r="E412" s="2847"/>
      <c r="F412" s="2847"/>
      <c r="G412" s="2847"/>
      <c r="H412" s="2847"/>
      <c r="I412" s="2847"/>
      <c r="J412" s="2989"/>
      <c r="K412" s="2989"/>
      <c r="L412" s="2989"/>
      <c r="M412" s="3271" t="s">
        <v>34</v>
      </c>
      <c r="N412" s="3272"/>
      <c r="O412" s="36">
        <f>SUM(O413:O437)</f>
        <v>203049.91666666669</v>
      </c>
      <c r="P412" s="36">
        <f t="shared" ref="P412:Z412" si="32">SUM(P413:P437)</f>
        <v>165863.55303030304</v>
      </c>
      <c r="Q412" s="36">
        <f t="shared" si="32"/>
        <v>206543.38636363635</v>
      </c>
      <c r="R412" s="36">
        <f t="shared" si="32"/>
        <v>250549.55303030304</v>
      </c>
      <c r="S412" s="36">
        <f t="shared" si="32"/>
        <v>205410.38636363635</v>
      </c>
      <c r="T412" s="36">
        <f t="shared" si="32"/>
        <v>205593.71969696967</v>
      </c>
      <c r="U412" s="36">
        <f t="shared" si="32"/>
        <v>231196.71969696967</v>
      </c>
      <c r="V412" s="36">
        <f t="shared" si="32"/>
        <v>250482.88636363635</v>
      </c>
      <c r="W412" s="36">
        <f t="shared" si="32"/>
        <v>205410.38636363635</v>
      </c>
      <c r="X412" s="36">
        <f t="shared" si="32"/>
        <v>205160.38636363635</v>
      </c>
      <c r="Y412" s="36">
        <f t="shared" si="32"/>
        <v>205193.71969696967</v>
      </c>
      <c r="Z412" s="36">
        <f t="shared" si="32"/>
        <v>229163.38636363635</v>
      </c>
      <c r="AA412" s="1196">
        <f t="shared" si="31"/>
        <v>2563617.9999999995</v>
      </c>
      <c r="AB412" s="35"/>
      <c r="AC412" s="183"/>
    </row>
    <row r="413" spans="1:29" ht="11.25" customHeight="1" x14ac:dyDescent="0.2">
      <c r="A413" s="1422"/>
      <c r="B413" s="2522">
        <v>5000019</v>
      </c>
      <c r="C413" s="3268" t="s">
        <v>3040</v>
      </c>
      <c r="D413" s="3268">
        <v>13</v>
      </c>
      <c r="E413" s="3268" t="s">
        <v>407</v>
      </c>
      <c r="F413" s="3268" t="s">
        <v>386</v>
      </c>
      <c r="G413" s="3268" t="s">
        <v>387</v>
      </c>
      <c r="H413" s="3268" t="s">
        <v>337</v>
      </c>
      <c r="I413" s="3268" t="s">
        <v>408</v>
      </c>
      <c r="J413" s="3268">
        <v>75459</v>
      </c>
      <c r="K413" s="40">
        <v>8409</v>
      </c>
      <c r="L413" s="2431" t="s">
        <v>377</v>
      </c>
      <c r="M413" s="3287" t="s">
        <v>319</v>
      </c>
      <c r="N413" s="3288"/>
      <c r="O413" s="40">
        <v>700.75</v>
      </c>
      <c r="P413" s="40">
        <v>700.75</v>
      </c>
      <c r="Q413" s="40">
        <v>700.75</v>
      </c>
      <c r="R413" s="40">
        <v>700.75</v>
      </c>
      <c r="S413" s="40">
        <v>700.75</v>
      </c>
      <c r="T413" s="38">
        <v>700.75</v>
      </c>
      <c r="U413" s="38">
        <v>700.75</v>
      </c>
      <c r="V413" s="38">
        <v>700.75</v>
      </c>
      <c r="W413" s="38">
        <v>700.75</v>
      </c>
      <c r="X413" s="38">
        <v>700.75</v>
      </c>
      <c r="Y413" s="38">
        <v>700.75</v>
      </c>
      <c r="Z413" s="38">
        <v>700.75</v>
      </c>
      <c r="AA413" s="966">
        <f t="shared" si="31"/>
        <v>8409</v>
      </c>
      <c r="AB413" s="35"/>
      <c r="AC413" s="183"/>
    </row>
    <row r="414" spans="1:29" x14ac:dyDescent="0.2">
      <c r="A414" s="1422"/>
      <c r="B414" s="2522"/>
      <c r="C414" s="3269"/>
      <c r="D414" s="3269"/>
      <c r="E414" s="3269"/>
      <c r="F414" s="3269"/>
      <c r="G414" s="3269"/>
      <c r="H414" s="3269"/>
      <c r="I414" s="3269"/>
      <c r="J414" s="3269"/>
      <c r="K414" s="40">
        <v>8409</v>
      </c>
      <c r="L414" s="2432"/>
      <c r="M414" s="3287" t="s">
        <v>320</v>
      </c>
      <c r="N414" s="3288"/>
      <c r="O414" s="40">
        <v>700.75</v>
      </c>
      <c r="P414" s="40">
        <v>700.75</v>
      </c>
      <c r="Q414" s="40">
        <v>700.75</v>
      </c>
      <c r="R414" s="40">
        <v>700.75</v>
      </c>
      <c r="S414" s="40">
        <v>700.75</v>
      </c>
      <c r="T414" s="38">
        <v>700.75</v>
      </c>
      <c r="U414" s="38">
        <v>700.75</v>
      </c>
      <c r="V414" s="38">
        <v>700.75</v>
      </c>
      <c r="W414" s="38">
        <v>700.75</v>
      </c>
      <c r="X414" s="38">
        <v>700.75</v>
      </c>
      <c r="Y414" s="38">
        <v>700.75</v>
      </c>
      <c r="Z414" s="38">
        <v>700.75</v>
      </c>
      <c r="AA414" s="966">
        <f t="shared" si="31"/>
        <v>8409</v>
      </c>
      <c r="AB414" s="35"/>
      <c r="AC414" s="183"/>
    </row>
    <row r="415" spans="1:29" x14ac:dyDescent="0.2">
      <c r="A415" s="1422"/>
      <c r="B415" s="2522"/>
      <c r="C415" s="3269"/>
      <c r="D415" s="3269"/>
      <c r="E415" s="3269"/>
      <c r="F415" s="3269"/>
      <c r="G415" s="3269"/>
      <c r="H415" s="3269"/>
      <c r="I415" s="3269"/>
      <c r="J415" s="3269"/>
      <c r="K415" s="40">
        <v>39298</v>
      </c>
      <c r="L415" s="2432"/>
      <c r="M415" s="3287" t="s">
        <v>409</v>
      </c>
      <c r="N415" s="3288"/>
      <c r="O415" s="40">
        <v>3274.8333333333335</v>
      </c>
      <c r="P415" s="40">
        <v>3274.8333333333335</v>
      </c>
      <c r="Q415" s="40">
        <v>3274.8333333333335</v>
      </c>
      <c r="R415" s="40">
        <v>3274.8333333333335</v>
      </c>
      <c r="S415" s="40">
        <v>3274.8333333333335</v>
      </c>
      <c r="T415" s="38">
        <v>3274.8333333333335</v>
      </c>
      <c r="U415" s="38">
        <v>3274.8333333333335</v>
      </c>
      <c r="V415" s="38">
        <v>3274.8333333333335</v>
      </c>
      <c r="W415" s="38">
        <v>3274.8333333333335</v>
      </c>
      <c r="X415" s="38">
        <v>3274.8333333333335</v>
      </c>
      <c r="Y415" s="38">
        <v>3274.8333333333335</v>
      </c>
      <c r="Z415" s="38">
        <v>3274.8333333333335</v>
      </c>
      <c r="AA415" s="966">
        <f t="shared" si="31"/>
        <v>39298</v>
      </c>
      <c r="AB415" s="35"/>
      <c r="AC415" s="183"/>
    </row>
    <row r="416" spans="1:29" x14ac:dyDescent="0.2">
      <c r="A416" s="1422"/>
      <c r="B416" s="2522"/>
      <c r="C416" s="3269"/>
      <c r="D416" s="3269"/>
      <c r="E416" s="3269"/>
      <c r="F416" s="3269"/>
      <c r="G416" s="3269"/>
      <c r="H416" s="3269"/>
      <c r="I416" s="3269"/>
      <c r="J416" s="3269"/>
      <c r="K416" s="40">
        <v>445000</v>
      </c>
      <c r="L416" s="2432"/>
      <c r="M416" s="3287" t="s">
        <v>293</v>
      </c>
      <c r="N416" s="3288"/>
      <c r="O416" s="40">
        <v>37083.333333333336</v>
      </c>
      <c r="P416" s="40">
        <v>37083.333333333336</v>
      </c>
      <c r="Q416" s="40">
        <v>37083.333333333336</v>
      </c>
      <c r="R416" s="40">
        <v>37083.333333333336</v>
      </c>
      <c r="S416" s="40">
        <v>37083.333333333336</v>
      </c>
      <c r="T416" s="38">
        <v>37083.333333333336</v>
      </c>
      <c r="U416" s="38">
        <v>37083.333333333336</v>
      </c>
      <c r="V416" s="38">
        <v>37083.333333333336</v>
      </c>
      <c r="W416" s="38">
        <v>37083.333333333336</v>
      </c>
      <c r="X416" s="38">
        <v>37083.333333333336</v>
      </c>
      <c r="Y416" s="38">
        <v>37083.333333333336</v>
      </c>
      <c r="Z416" s="38">
        <v>37083.333333333336</v>
      </c>
      <c r="AA416" s="966">
        <f t="shared" si="31"/>
        <v>444999.99999999994</v>
      </c>
      <c r="AB416" s="35"/>
      <c r="AC416" s="183"/>
    </row>
    <row r="417" spans="1:29" x14ac:dyDescent="0.2">
      <c r="A417" s="1422"/>
      <c r="B417" s="2522"/>
      <c r="C417" s="3269"/>
      <c r="D417" s="3269"/>
      <c r="E417" s="3269"/>
      <c r="F417" s="3269"/>
      <c r="G417" s="3269"/>
      <c r="H417" s="3269"/>
      <c r="I417" s="3269"/>
      <c r="J417" s="3269"/>
      <c r="K417" s="40">
        <v>116188</v>
      </c>
      <c r="L417" s="2432"/>
      <c r="M417" s="3287" t="s">
        <v>321</v>
      </c>
      <c r="N417" s="3288"/>
      <c r="O417" s="40">
        <v>9682.3333333333339</v>
      </c>
      <c r="P417" s="40">
        <v>9682.3333333333339</v>
      </c>
      <c r="Q417" s="40">
        <v>9682.3333333333339</v>
      </c>
      <c r="R417" s="40">
        <v>9682.3333333333339</v>
      </c>
      <c r="S417" s="40">
        <v>9682.3333333333339</v>
      </c>
      <c r="T417" s="38">
        <v>9682.3333333333339</v>
      </c>
      <c r="U417" s="38">
        <v>9682.3333333333339</v>
      </c>
      <c r="V417" s="38">
        <v>9682.3333333333339</v>
      </c>
      <c r="W417" s="38">
        <v>9682.3333333333339</v>
      </c>
      <c r="X417" s="38">
        <v>9682.3333333333339</v>
      </c>
      <c r="Y417" s="38">
        <v>9682.3333333333339</v>
      </c>
      <c r="Z417" s="38">
        <v>9682.3333333333339</v>
      </c>
      <c r="AA417" s="966">
        <f t="shared" si="31"/>
        <v>116187.99999999999</v>
      </c>
      <c r="AB417" s="35"/>
      <c r="AC417" s="183"/>
    </row>
    <row r="418" spans="1:29" x14ac:dyDescent="0.2">
      <c r="A418" s="1422"/>
      <c r="B418" s="2522"/>
      <c r="C418" s="3269"/>
      <c r="D418" s="3269"/>
      <c r="E418" s="3269"/>
      <c r="F418" s="3269"/>
      <c r="G418" s="3269"/>
      <c r="H418" s="3269"/>
      <c r="I418" s="3269"/>
      <c r="J418" s="3269"/>
      <c r="K418" s="40">
        <v>492153</v>
      </c>
      <c r="L418" s="2432"/>
      <c r="M418" s="3287" t="s">
        <v>295</v>
      </c>
      <c r="N418" s="3288"/>
      <c r="O418" s="40">
        <v>41012.75</v>
      </c>
      <c r="P418" s="40">
        <v>41012.75</v>
      </c>
      <c r="Q418" s="40">
        <v>41012.75</v>
      </c>
      <c r="R418" s="40">
        <v>41012.75</v>
      </c>
      <c r="S418" s="40">
        <v>41012.75</v>
      </c>
      <c r="T418" s="38">
        <v>41012.75</v>
      </c>
      <c r="U418" s="38">
        <v>41012.75</v>
      </c>
      <c r="V418" s="38">
        <v>41012.75</v>
      </c>
      <c r="W418" s="38">
        <v>41012.75</v>
      </c>
      <c r="X418" s="38">
        <v>41012.75</v>
      </c>
      <c r="Y418" s="38">
        <v>41012.75</v>
      </c>
      <c r="Z418" s="38">
        <v>41012.75</v>
      </c>
      <c r="AA418" s="966">
        <f t="shared" si="31"/>
        <v>492153</v>
      </c>
      <c r="AB418" s="35"/>
      <c r="AC418" s="183"/>
    </row>
    <row r="419" spans="1:29" x14ac:dyDescent="0.2">
      <c r="A419" s="1422"/>
      <c r="B419" s="2522"/>
      <c r="C419" s="3269"/>
      <c r="D419" s="3269"/>
      <c r="E419" s="3269"/>
      <c r="F419" s="3269"/>
      <c r="G419" s="3269"/>
      <c r="H419" s="3269"/>
      <c r="I419" s="3269"/>
      <c r="J419" s="3269"/>
      <c r="K419" s="40">
        <v>44438</v>
      </c>
      <c r="L419" s="2432"/>
      <c r="M419" s="3287" t="s">
        <v>332</v>
      </c>
      <c r="N419" s="3288"/>
      <c r="O419" s="40">
        <v>3703.1666666666665</v>
      </c>
      <c r="P419" s="40">
        <v>3703.1666666666665</v>
      </c>
      <c r="Q419" s="40">
        <v>3703.1666666666665</v>
      </c>
      <c r="R419" s="40">
        <v>3703.1666666666665</v>
      </c>
      <c r="S419" s="40">
        <v>3703.1666666666665</v>
      </c>
      <c r="T419" s="38">
        <v>3703.1666666666665</v>
      </c>
      <c r="U419" s="38">
        <v>3703.1666666666665</v>
      </c>
      <c r="V419" s="38">
        <v>3703.1666666666665</v>
      </c>
      <c r="W419" s="38">
        <v>3703.1666666666665</v>
      </c>
      <c r="X419" s="38">
        <v>3703.1666666666665</v>
      </c>
      <c r="Y419" s="38">
        <v>3703.1666666666665</v>
      </c>
      <c r="Z419" s="38">
        <v>3703.1666666666665</v>
      </c>
      <c r="AA419" s="966">
        <f t="shared" si="31"/>
        <v>44437.999999999993</v>
      </c>
      <c r="AB419" s="35"/>
      <c r="AC419" s="183"/>
    </row>
    <row r="420" spans="1:29" x14ac:dyDescent="0.2">
      <c r="A420" s="1422"/>
      <c r="B420" s="2522"/>
      <c r="C420" s="3269"/>
      <c r="D420" s="3269"/>
      <c r="E420" s="3269"/>
      <c r="F420" s="3269"/>
      <c r="G420" s="3269"/>
      <c r="H420" s="3269"/>
      <c r="I420" s="3269"/>
      <c r="J420" s="3269"/>
      <c r="K420" s="40">
        <v>237823</v>
      </c>
      <c r="L420" s="2432"/>
      <c r="M420" s="3287" t="s">
        <v>296</v>
      </c>
      <c r="N420" s="3288"/>
      <c r="O420" s="40">
        <v>19818.583333333332</v>
      </c>
      <c r="P420" s="40">
        <v>19818.583333333332</v>
      </c>
      <c r="Q420" s="40">
        <v>19818.583333333332</v>
      </c>
      <c r="R420" s="40">
        <v>19818.583333333332</v>
      </c>
      <c r="S420" s="40">
        <v>19818.583333333332</v>
      </c>
      <c r="T420" s="38">
        <v>19818.583333333332</v>
      </c>
      <c r="U420" s="38">
        <v>19818.583333333332</v>
      </c>
      <c r="V420" s="38">
        <v>19818.583333333332</v>
      </c>
      <c r="W420" s="38">
        <v>19818.583333333332</v>
      </c>
      <c r="X420" s="38">
        <v>19818.583333333332</v>
      </c>
      <c r="Y420" s="38">
        <v>19818.583333333332</v>
      </c>
      <c r="Z420" s="38">
        <v>19818.583333333332</v>
      </c>
      <c r="AA420" s="966">
        <f t="shared" si="31"/>
        <v>237823.00000000003</v>
      </c>
      <c r="AB420" s="35"/>
      <c r="AC420" s="183"/>
    </row>
    <row r="421" spans="1:29" x14ac:dyDescent="0.2">
      <c r="A421" s="1422"/>
      <c r="B421" s="2522"/>
      <c r="C421" s="3269"/>
      <c r="D421" s="3269"/>
      <c r="E421" s="3269"/>
      <c r="F421" s="3269"/>
      <c r="G421" s="3269"/>
      <c r="H421" s="3269"/>
      <c r="I421" s="3269"/>
      <c r="J421" s="3269"/>
      <c r="K421" s="40">
        <v>74417</v>
      </c>
      <c r="L421" s="2432"/>
      <c r="M421" s="3287" t="s">
        <v>297</v>
      </c>
      <c r="N421" s="3288"/>
      <c r="O421" s="40">
        <v>6201.416666666667</v>
      </c>
      <c r="P421" s="40">
        <v>6201.416666666667</v>
      </c>
      <c r="Q421" s="40">
        <v>6201.416666666667</v>
      </c>
      <c r="R421" s="40">
        <v>6201.416666666667</v>
      </c>
      <c r="S421" s="40">
        <v>6201.416666666667</v>
      </c>
      <c r="T421" s="38">
        <v>6201.416666666667</v>
      </c>
      <c r="U421" s="38">
        <v>6201.416666666667</v>
      </c>
      <c r="V421" s="38">
        <v>6201.416666666667</v>
      </c>
      <c r="W421" s="38">
        <v>6201.416666666667</v>
      </c>
      <c r="X421" s="38">
        <v>6201.416666666667</v>
      </c>
      <c r="Y421" s="38">
        <v>6201.416666666667</v>
      </c>
      <c r="Z421" s="38">
        <v>6201.416666666667</v>
      </c>
      <c r="AA421" s="966">
        <f t="shared" si="31"/>
        <v>74417</v>
      </c>
      <c r="AB421" s="35"/>
      <c r="AC421" s="183"/>
    </row>
    <row r="422" spans="1:29" x14ac:dyDescent="0.2">
      <c r="A422" s="1422"/>
      <c r="B422" s="2522"/>
      <c r="C422" s="3269"/>
      <c r="D422" s="3269"/>
      <c r="E422" s="3269"/>
      <c r="F422" s="3269"/>
      <c r="G422" s="3269"/>
      <c r="H422" s="3269"/>
      <c r="I422" s="3269"/>
      <c r="J422" s="3269"/>
      <c r="K422" s="40">
        <v>48006</v>
      </c>
      <c r="L422" s="2432"/>
      <c r="M422" s="3287" t="s">
        <v>298</v>
      </c>
      <c r="N422" s="3288"/>
      <c r="O422" s="40"/>
      <c r="P422" s="40"/>
      <c r="Q422" s="40"/>
      <c r="R422" s="40"/>
      <c r="S422" s="40"/>
      <c r="T422" s="38"/>
      <c r="U422" s="38">
        <v>24003</v>
      </c>
      <c r="V422" s="38"/>
      <c r="W422" s="38"/>
      <c r="X422" s="38"/>
      <c r="Y422" s="38"/>
      <c r="Z422" s="38">
        <v>24003</v>
      </c>
      <c r="AA422" s="966">
        <f t="shared" si="31"/>
        <v>48006</v>
      </c>
      <c r="AB422" s="35"/>
      <c r="AC422" s="183"/>
    </row>
    <row r="423" spans="1:29" x14ac:dyDescent="0.2">
      <c r="A423" s="1422"/>
      <c r="B423" s="2522"/>
      <c r="C423" s="3269"/>
      <c r="D423" s="3269"/>
      <c r="E423" s="3269"/>
      <c r="F423" s="3269"/>
      <c r="G423" s="3269"/>
      <c r="H423" s="3269"/>
      <c r="I423" s="3269"/>
      <c r="J423" s="3269"/>
      <c r="K423" s="40">
        <v>39550</v>
      </c>
      <c r="L423" s="2432"/>
      <c r="M423" s="3287" t="s">
        <v>299</v>
      </c>
      <c r="N423" s="3288"/>
      <c r="O423" s="40">
        <v>39550</v>
      </c>
      <c r="P423" s="40"/>
      <c r="Q423" s="40"/>
      <c r="R423" s="40"/>
      <c r="S423" s="40"/>
      <c r="T423" s="38"/>
      <c r="U423" s="38"/>
      <c r="V423" s="38"/>
      <c r="W423" s="38"/>
      <c r="X423" s="38"/>
      <c r="Y423" s="38"/>
      <c r="Z423" s="38"/>
      <c r="AA423" s="966">
        <f t="shared" si="31"/>
        <v>39550</v>
      </c>
      <c r="AB423" s="35"/>
      <c r="AC423" s="183"/>
    </row>
    <row r="424" spans="1:29" x14ac:dyDescent="0.2">
      <c r="A424" s="1422"/>
      <c r="B424" s="2522"/>
      <c r="C424" s="3269"/>
      <c r="D424" s="3269"/>
      <c r="E424" s="3269"/>
      <c r="F424" s="3269"/>
      <c r="G424" s="3269"/>
      <c r="H424" s="3269"/>
      <c r="I424" s="3269"/>
      <c r="J424" s="3269"/>
      <c r="K424" s="40">
        <v>124251</v>
      </c>
      <c r="L424" s="2432"/>
      <c r="M424" s="3287" t="s">
        <v>300</v>
      </c>
      <c r="N424" s="3288"/>
      <c r="O424" s="40">
        <v>10354.25</v>
      </c>
      <c r="P424" s="40">
        <v>10354.25</v>
      </c>
      <c r="Q424" s="40">
        <v>10354.25</v>
      </c>
      <c r="R424" s="40">
        <v>10354.25</v>
      </c>
      <c r="S424" s="40">
        <v>10354.25</v>
      </c>
      <c r="T424" s="38">
        <v>10354.25</v>
      </c>
      <c r="U424" s="38">
        <v>10354.25</v>
      </c>
      <c r="V424" s="38">
        <v>10354.25</v>
      </c>
      <c r="W424" s="38">
        <v>10354.25</v>
      </c>
      <c r="X424" s="38">
        <v>10354.25</v>
      </c>
      <c r="Y424" s="38">
        <v>10354.25</v>
      </c>
      <c r="Z424" s="38">
        <v>10354.25</v>
      </c>
      <c r="AA424" s="966">
        <f t="shared" si="31"/>
        <v>124251</v>
      </c>
      <c r="AB424" s="35"/>
      <c r="AC424" s="183"/>
    </row>
    <row r="425" spans="1:29" x14ac:dyDescent="0.2">
      <c r="A425" s="1422"/>
      <c r="B425" s="2522"/>
      <c r="C425" s="3269"/>
      <c r="D425" s="3269"/>
      <c r="E425" s="3269"/>
      <c r="F425" s="3269"/>
      <c r="G425" s="3269"/>
      <c r="H425" s="3269"/>
      <c r="I425" s="3269"/>
      <c r="J425" s="3269"/>
      <c r="K425" s="40">
        <v>1686</v>
      </c>
      <c r="L425" s="2432"/>
      <c r="M425" s="3287" t="s">
        <v>301</v>
      </c>
      <c r="N425" s="3288"/>
      <c r="O425" s="40">
        <v>140.5</v>
      </c>
      <c r="P425" s="40">
        <v>140.5</v>
      </c>
      <c r="Q425" s="40">
        <v>140.5</v>
      </c>
      <c r="R425" s="40">
        <v>140.5</v>
      </c>
      <c r="S425" s="40">
        <v>140.5</v>
      </c>
      <c r="T425" s="38">
        <v>140.5</v>
      </c>
      <c r="U425" s="38">
        <v>140.5</v>
      </c>
      <c r="V425" s="38">
        <v>140.5</v>
      </c>
      <c r="W425" s="38">
        <v>140.5</v>
      </c>
      <c r="X425" s="38">
        <v>140.5</v>
      </c>
      <c r="Y425" s="38">
        <v>140.5</v>
      </c>
      <c r="Z425" s="38">
        <v>140.5</v>
      </c>
      <c r="AA425" s="966">
        <f t="shared" si="31"/>
        <v>1686</v>
      </c>
      <c r="AB425" s="35"/>
      <c r="AC425" s="183"/>
    </row>
    <row r="426" spans="1:29" x14ac:dyDescent="0.2">
      <c r="A426" s="1422"/>
      <c r="B426" s="2522"/>
      <c r="C426" s="3269"/>
      <c r="D426" s="3269"/>
      <c r="E426" s="3269"/>
      <c r="F426" s="3269"/>
      <c r="G426" s="3269"/>
      <c r="H426" s="3269"/>
      <c r="I426" s="3269"/>
      <c r="J426" s="3269"/>
      <c r="K426" s="40">
        <v>500</v>
      </c>
      <c r="L426" s="2432"/>
      <c r="M426" s="3287" t="s">
        <v>303</v>
      </c>
      <c r="N426" s="3288"/>
      <c r="O426" s="40"/>
      <c r="P426" s="40"/>
      <c r="Q426" s="40">
        <v>500</v>
      </c>
      <c r="R426" s="40"/>
      <c r="S426" s="40"/>
      <c r="T426" s="38"/>
      <c r="U426" s="38"/>
      <c r="V426" s="38"/>
      <c r="W426" s="38"/>
      <c r="X426" s="38"/>
      <c r="Y426" s="38"/>
      <c r="Z426" s="38"/>
      <c r="AA426" s="966">
        <f t="shared" si="31"/>
        <v>500</v>
      </c>
      <c r="AB426" s="35"/>
      <c r="AC426" s="183"/>
    </row>
    <row r="427" spans="1:29" x14ac:dyDescent="0.2">
      <c r="A427" s="1422"/>
      <c r="B427" s="2522"/>
      <c r="C427" s="3269"/>
      <c r="D427" s="3269"/>
      <c r="E427" s="3269"/>
      <c r="F427" s="3269"/>
      <c r="G427" s="3269"/>
      <c r="H427" s="3269"/>
      <c r="I427" s="3269"/>
      <c r="J427" s="3269"/>
      <c r="K427" s="40">
        <v>4000</v>
      </c>
      <c r="L427" s="2432"/>
      <c r="M427" s="3287" t="s">
        <v>324</v>
      </c>
      <c r="N427" s="3288"/>
      <c r="O427" s="40"/>
      <c r="P427" s="40">
        <v>2000</v>
      </c>
      <c r="Q427" s="40"/>
      <c r="R427" s="40"/>
      <c r="S427" s="40"/>
      <c r="T427" s="38"/>
      <c r="U427" s="38">
        <v>2000</v>
      </c>
      <c r="V427" s="38"/>
      <c r="W427" s="38"/>
      <c r="X427" s="38"/>
      <c r="Y427" s="38"/>
      <c r="Z427" s="38"/>
      <c r="AA427" s="966">
        <f t="shared" si="31"/>
        <v>4000</v>
      </c>
      <c r="AB427" s="35"/>
      <c r="AC427" s="183"/>
    </row>
    <row r="428" spans="1:29" x14ac:dyDescent="0.2">
      <c r="A428" s="1422"/>
      <c r="B428" s="2522"/>
      <c r="C428" s="3269"/>
      <c r="D428" s="3269"/>
      <c r="E428" s="3269"/>
      <c r="F428" s="3269"/>
      <c r="G428" s="3269"/>
      <c r="H428" s="3269"/>
      <c r="I428" s="3269"/>
      <c r="J428" s="3269"/>
      <c r="K428" s="40">
        <v>90645</v>
      </c>
      <c r="L428" s="2432"/>
      <c r="M428" s="3287" t="s">
        <v>393</v>
      </c>
      <c r="N428" s="3288"/>
      <c r="O428" s="40"/>
      <c r="P428" s="40"/>
      <c r="Q428" s="40"/>
      <c r="R428" s="40">
        <v>45322.5</v>
      </c>
      <c r="S428" s="40"/>
      <c r="T428" s="38"/>
      <c r="U428" s="38"/>
      <c r="V428" s="38">
        <v>45322.5</v>
      </c>
      <c r="W428" s="38"/>
      <c r="X428" s="38"/>
      <c r="Y428" s="38"/>
      <c r="Z428" s="38"/>
      <c r="AA428" s="966">
        <f t="shared" si="31"/>
        <v>90645</v>
      </c>
      <c r="AB428" s="35"/>
      <c r="AC428" s="183"/>
    </row>
    <row r="429" spans="1:29" x14ac:dyDescent="0.2">
      <c r="A429" s="1422"/>
      <c r="B429" s="2522"/>
      <c r="C429" s="3269"/>
      <c r="D429" s="3269"/>
      <c r="E429" s="3269"/>
      <c r="F429" s="3269"/>
      <c r="G429" s="3269"/>
      <c r="H429" s="3269"/>
      <c r="I429" s="3269"/>
      <c r="J429" s="3269"/>
      <c r="K429" s="40">
        <v>500</v>
      </c>
      <c r="L429" s="2432"/>
      <c r="M429" s="3287" t="s">
        <v>343</v>
      </c>
      <c r="N429" s="3288"/>
      <c r="O429" s="40"/>
      <c r="P429" s="40"/>
      <c r="Q429" s="40"/>
      <c r="R429" s="40">
        <v>100</v>
      </c>
      <c r="S429" s="40">
        <v>66.666666666666671</v>
      </c>
      <c r="T429" s="38">
        <v>33.333333333333336</v>
      </c>
      <c r="U429" s="38">
        <v>66.666666666666671</v>
      </c>
      <c r="V429" s="38">
        <v>33.333333333333336</v>
      </c>
      <c r="W429" s="38">
        <v>66.666666666666671</v>
      </c>
      <c r="X429" s="38">
        <v>33.333333333333336</v>
      </c>
      <c r="Y429" s="38">
        <v>66.666666666666671</v>
      </c>
      <c r="Z429" s="38">
        <v>33.333333333333336</v>
      </c>
      <c r="AA429" s="966">
        <f t="shared" si="31"/>
        <v>500</v>
      </c>
      <c r="AB429" s="35"/>
      <c r="AC429" s="183"/>
    </row>
    <row r="430" spans="1:29" x14ac:dyDescent="0.2">
      <c r="A430" s="1422"/>
      <c r="B430" s="2522"/>
      <c r="C430" s="3269"/>
      <c r="D430" s="3269"/>
      <c r="E430" s="3269"/>
      <c r="F430" s="3269"/>
      <c r="G430" s="3269"/>
      <c r="H430" s="3269"/>
      <c r="I430" s="3269"/>
      <c r="J430" s="3269"/>
      <c r="K430" s="40">
        <v>24323</v>
      </c>
      <c r="L430" s="2432"/>
      <c r="M430" s="3287" t="s">
        <v>304</v>
      </c>
      <c r="N430" s="3288"/>
      <c r="O430" s="40"/>
      <c r="P430" s="40"/>
      <c r="Q430" s="40">
        <v>2432.3000000000002</v>
      </c>
      <c r="R430" s="40">
        <v>2432.3000000000002</v>
      </c>
      <c r="S430" s="40">
        <v>2432.3000000000002</v>
      </c>
      <c r="T430" s="38">
        <v>2432.3000000000002</v>
      </c>
      <c r="U430" s="38">
        <v>2432.3000000000002</v>
      </c>
      <c r="V430" s="38">
        <v>2432.3000000000002</v>
      </c>
      <c r="W430" s="38">
        <v>2432.3000000000002</v>
      </c>
      <c r="X430" s="38">
        <v>2432.3000000000002</v>
      </c>
      <c r="Y430" s="38">
        <v>2432.3000000000002</v>
      </c>
      <c r="Z430" s="38">
        <v>2432.3000000000002</v>
      </c>
      <c r="AA430" s="966">
        <f t="shared" si="31"/>
        <v>24322.999999999996</v>
      </c>
      <c r="AB430" s="35"/>
      <c r="AC430" s="183"/>
    </row>
    <row r="431" spans="1:29" x14ac:dyDescent="0.2">
      <c r="A431" s="1422"/>
      <c r="B431" s="2522"/>
      <c r="C431" s="3269"/>
      <c r="D431" s="3269"/>
      <c r="E431" s="3269"/>
      <c r="F431" s="3269"/>
      <c r="G431" s="3269"/>
      <c r="H431" s="3269"/>
      <c r="I431" s="3269"/>
      <c r="J431" s="3269"/>
      <c r="K431" s="40">
        <v>500</v>
      </c>
      <c r="L431" s="2432"/>
      <c r="M431" s="3287" t="s">
        <v>305</v>
      </c>
      <c r="N431" s="3288"/>
      <c r="O431" s="40"/>
      <c r="P431" s="40"/>
      <c r="Q431" s="40">
        <v>166.66666666666666</v>
      </c>
      <c r="R431" s="40"/>
      <c r="S431" s="40">
        <v>83.333333333333329</v>
      </c>
      <c r="T431" s="38">
        <v>166.66666666666666</v>
      </c>
      <c r="U431" s="38"/>
      <c r="V431" s="38"/>
      <c r="W431" s="38">
        <v>83.333333333333329</v>
      </c>
      <c r="X431" s="38"/>
      <c r="Y431" s="38"/>
      <c r="Z431" s="38"/>
      <c r="AA431" s="966">
        <f t="shared" si="31"/>
        <v>499.99999999999994</v>
      </c>
      <c r="AB431" s="35"/>
      <c r="AC431" s="183"/>
    </row>
    <row r="432" spans="1:29" x14ac:dyDescent="0.2">
      <c r="A432" s="1422"/>
      <c r="B432" s="2522"/>
      <c r="C432" s="3269"/>
      <c r="D432" s="3269"/>
      <c r="E432" s="3269"/>
      <c r="F432" s="3269"/>
      <c r="G432" s="3269"/>
      <c r="H432" s="3269"/>
      <c r="I432" s="3269"/>
      <c r="J432" s="3269"/>
      <c r="K432" s="40">
        <v>800</v>
      </c>
      <c r="L432" s="2432"/>
      <c r="M432" s="3287" t="s">
        <v>306</v>
      </c>
      <c r="N432" s="3288"/>
      <c r="O432" s="40"/>
      <c r="P432" s="40"/>
      <c r="Q432" s="40">
        <v>266.66666666666663</v>
      </c>
      <c r="R432" s="40"/>
      <c r="S432" s="40">
        <v>133.33333333333331</v>
      </c>
      <c r="T432" s="38">
        <v>266.66666666666663</v>
      </c>
      <c r="U432" s="38"/>
      <c r="V432" s="38"/>
      <c r="W432" s="38">
        <v>133.33333333333331</v>
      </c>
      <c r="X432" s="38"/>
      <c r="Y432" s="38"/>
      <c r="Z432" s="38"/>
      <c r="AA432" s="966">
        <f t="shared" si="31"/>
        <v>799.99999999999977</v>
      </c>
      <c r="AB432" s="35"/>
      <c r="AC432" s="183"/>
    </row>
    <row r="433" spans="1:29" x14ac:dyDescent="0.2">
      <c r="A433" s="1422"/>
      <c r="B433" s="2522"/>
      <c r="C433" s="3269"/>
      <c r="D433" s="3269"/>
      <c r="E433" s="3269"/>
      <c r="F433" s="3269"/>
      <c r="G433" s="3269"/>
      <c r="H433" s="3269"/>
      <c r="I433" s="3269"/>
      <c r="J433" s="3269"/>
      <c r="K433" s="40">
        <v>4000</v>
      </c>
      <c r="L433" s="2432"/>
      <c r="M433" s="3287" t="s">
        <v>307</v>
      </c>
      <c r="N433" s="3288"/>
      <c r="O433" s="40"/>
      <c r="P433" s="40">
        <v>363.63636363636363</v>
      </c>
      <c r="Q433" s="40">
        <v>363.63636363636363</v>
      </c>
      <c r="R433" s="40">
        <v>363.63636363636363</v>
      </c>
      <c r="S433" s="40">
        <v>363.63636363636363</v>
      </c>
      <c r="T433" s="38">
        <v>363.63636363636363</v>
      </c>
      <c r="U433" s="38">
        <v>363.63636363636363</v>
      </c>
      <c r="V433" s="38">
        <v>363.63636363636363</v>
      </c>
      <c r="W433" s="38">
        <v>363.63636363636363</v>
      </c>
      <c r="X433" s="38">
        <v>363.63636363636363</v>
      </c>
      <c r="Y433" s="38">
        <v>363.63636363636363</v>
      </c>
      <c r="Z433" s="38">
        <v>363.63636363636363</v>
      </c>
      <c r="AA433" s="966">
        <f t="shared" si="31"/>
        <v>3999.9999999999991</v>
      </c>
      <c r="AB433" s="35"/>
      <c r="AC433" s="183"/>
    </row>
    <row r="434" spans="1:29" x14ac:dyDescent="0.2">
      <c r="A434" s="1422"/>
      <c r="B434" s="2522"/>
      <c r="C434" s="3269"/>
      <c r="D434" s="3269"/>
      <c r="E434" s="3269"/>
      <c r="F434" s="3269"/>
      <c r="G434" s="3269"/>
      <c r="H434" s="3269"/>
      <c r="I434" s="3269"/>
      <c r="J434" s="3269"/>
      <c r="K434" s="40">
        <v>483</v>
      </c>
      <c r="L434" s="2432"/>
      <c r="M434" s="3287" t="s">
        <v>308</v>
      </c>
      <c r="N434" s="3288"/>
      <c r="O434" s="40"/>
      <c r="P434" s="40"/>
      <c r="Q434" s="40">
        <v>483</v>
      </c>
      <c r="R434" s="40"/>
      <c r="S434" s="40"/>
      <c r="T434" s="38"/>
      <c r="U434" s="38"/>
      <c r="V434" s="38"/>
      <c r="W434" s="38"/>
      <c r="X434" s="38"/>
      <c r="Y434" s="38"/>
      <c r="Z434" s="38"/>
      <c r="AA434" s="966">
        <f t="shared" si="31"/>
        <v>483</v>
      </c>
      <c r="AB434" s="35"/>
      <c r="AC434" s="183"/>
    </row>
    <row r="435" spans="1:29" x14ac:dyDescent="0.2">
      <c r="A435" s="1422"/>
      <c r="B435" s="2522"/>
      <c r="C435" s="3269"/>
      <c r="D435" s="3269"/>
      <c r="E435" s="3269"/>
      <c r="F435" s="3269"/>
      <c r="G435" s="3269"/>
      <c r="H435" s="3269"/>
      <c r="I435" s="3269"/>
      <c r="J435" s="3269"/>
      <c r="K435" s="40">
        <v>388312</v>
      </c>
      <c r="L435" s="2432"/>
      <c r="M435" s="3287" t="s">
        <v>382</v>
      </c>
      <c r="N435" s="3288"/>
      <c r="O435" s="40"/>
      <c r="P435" s="40"/>
      <c r="Q435" s="40">
        <v>38831.199999999997</v>
      </c>
      <c r="R435" s="40">
        <v>38831.199999999997</v>
      </c>
      <c r="S435" s="40">
        <v>38831.199999999997</v>
      </c>
      <c r="T435" s="38">
        <v>38831.199999999997</v>
      </c>
      <c r="U435" s="38">
        <v>38831.199999999997</v>
      </c>
      <c r="V435" s="38">
        <v>38831.199999999997</v>
      </c>
      <c r="W435" s="38">
        <v>38831.199999999997</v>
      </c>
      <c r="X435" s="38">
        <v>38831.199999999997</v>
      </c>
      <c r="Y435" s="38">
        <v>38831.199999999997</v>
      </c>
      <c r="Z435" s="38">
        <v>38831.199999999997</v>
      </c>
      <c r="AA435" s="966">
        <f t="shared" si="31"/>
        <v>388312.00000000006</v>
      </c>
      <c r="AB435" s="35"/>
      <c r="AC435" s="183"/>
    </row>
    <row r="436" spans="1:29" x14ac:dyDescent="0.2">
      <c r="A436" s="1422"/>
      <c r="B436" s="2522"/>
      <c r="C436" s="3269"/>
      <c r="D436" s="3269"/>
      <c r="E436" s="3269"/>
      <c r="F436" s="3269"/>
      <c r="G436" s="3269"/>
      <c r="H436" s="3269"/>
      <c r="I436" s="3269"/>
      <c r="J436" s="3269"/>
      <c r="K436" s="40">
        <v>346836</v>
      </c>
      <c r="L436" s="2432"/>
      <c r="M436" s="3287" t="s">
        <v>310</v>
      </c>
      <c r="N436" s="3288"/>
      <c r="O436" s="40">
        <v>28903</v>
      </c>
      <c r="P436" s="40">
        <v>28903</v>
      </c>
      <c r="Q436" s="40">
        <v>28903</v>
      </c>
      <c r="R436" s="40">
        <v>28903</v>
      </c>
      <c r="S436" s="40">
        <v>28903</v>
      </c>
      <c r="T436" s="38">
        <v>28903</v>
      </c>
      <c r="U436" s="38">
        <v>28903</v>
      </c>
      <c r="V436" s="38">
        <v>28903</v>
      </c>
      <c r="W436" s="38">
        <v>28903</v>
      </c>
      <c r="X436" s="38">
        <v>28903</v>
      </c>
      <c r="Y436" s="38">
        <v>28903</v>
      </c>
      <c r="Z436" s="38">
        <v>28903</v>
      </c>
      <c r="AA436" s="966">
        <f t="shared" si="31"/>
        <v>346836</v>
      </c>
      <c r="AB436" s="35"/>
      <c r="AC436" s="183"/>
    </row>
    <row r="437" spans="1:29" x14ac:dyDescent="0.2">
      <c r="A437" s="1422"/>
      <c r="B437" s="2522"/>
      <c r="C437" s="3270"/>
      <c r="D437" s="3270"/>
      <c r="E437" s="3270"/>
      <c r="F437" s="3270"/>
      <c r="G437" s="3270"/>
      <c r="H437" s="3270"/>
      <c r="I437" s="3270"/>
      <c r="J437" s="3270"/>
      <c r="K437" s="40">
        <v>23091</v>
      </c>
      <c r="L437" s="2437"/>
      <c r="M437" s="3287" t="s">
        <v>311</v>
      </c>
      <c r="N437" s="3288"/>
      <c r="O437" s="40">
        <v>1924.25</v>
      </c>
      <c r="P437" s="40">
        <v>1924.25</v>
      </c>
      <c r="Q437" s="40">
        <v>1924.25</v>
      </c>
      <c r="R437" s="40">
        <v>1924.25</v>
      </c>
      <c r="S437" s="40">
        <v>1924.25</v>
      </c>
      <c r="T437" s="38">
        <v>1924.25</v>
      </c>
      <c r="U437" s="38">
        <v>1924.25</v>
      </c>
      <c r="V437" s="38">
        <v>1924.25</v>
      </c>
      <c r="W437" s="38">
        <v>1924.25</v>
      </c>
      <c r="X437" s="38">
        <v>1924.25</v>
      </c>
      <c r="Y437" s="38">
        <v>1924.25</v>
      </c>
      <c r="Z437" s="38">
        <v>1924.25</v>
      </c>
      <c r="AA437" s="966">
        <f t="shared" si="31"/>
        <v>23091</v>
      </c>
      <c r="AB437" s="35"/>
      <c r="AC437" s="183"/>
    </row>
    <row r="438" spans="1:29" x14ac:dyDescent="0.2">
      <c r="A438" s="1422"/>
      <c r="B438" s="1418"/>
      <c r="C438" s="99"/>
      <c r="D438" s="99"/>
      <c r="E438" s="99"/>
      <c r="F438" s="99"/>
      <c r="G438" s="99"/>
      <c r="H438" s="99"/>
      <c r="I438" s="99"/>
      <c r="J438" s="99"/>
      <c r="K438" s="188"/>
      <c r="L438" s="188"/>
      <c r="M438" s="188"/>
      <c r="N438" s="188"/>
      <c r="O438" s="188"/>
      <c r="P438" s="188"/>
      <c r="Q438" s="188"/>
      <c r="R438" s="188"/>
      <c r="S438" s="188"/>
      <c r="T438" s="99"/>
      <c r="U438" s="99"/>
      <c r="V438" s="99"/>
      <c r="W438" s="99"/>
      <c r="X438" s="99"/>
      <c r="Y438" s="99"/>
      <c r="Z438" s="99"/>
      <c r="AA438" s="189"/>
      <c r="AB438" s="35"/>
      <c r="AC438" s="183"/>
    </row>
    <row r="439" spans="1:29" x14ac:dyDescent="0.2">
      <c r="A439" s="1422"/>
      <c r="B439" s="1419"/>
      <c r="C439" s="35"/>
      <c r="D439" s="35"/>
      <c r="E439" s="35"/>
      <c r="F439" s="35"/>
      <c r="G439" s="35"/>
      <c r="H439" s="35"/>
      <c r="I439" s="35"/>
      <c r="J439" s="35"/>
      <c r="K439" s="60"/>
      <c r="L439" s="60"/>
      <c r="M439" s="60"/>
      <c r="N439" s="60"/>
      <c r="O439" s="60"/>
      <c r="P439" s="60"/>
      <c r="Q439" s="60"/>
      <c r="R439" s="60"/>
      <c r="S439" s="60"/>
      <c r="T439" s="35"/>
      <c r="U439" s="2974" t="s">
        <v>15</v>
      </c>
      <c r="V439" s="2975"/>
      <c r="W439" s="2975"/>
      <c r="X439" s="2975"/>
      <c r="Y439" s="2976"/>
      <c r="Z439" s="2974" t="s">
        <v>16</v>
      </c>
      <c r="AA439" s="2976"/>
      <c r="AB439" s="35"/>
      <c r="AC439" s="183"/>
    </row>
    <row r="440" spans="1:29" ht="22.5" customHeight="1" x14ac:dyDescent="0.2">
      <c r="A440" s="1422"/>
      <c r="B440" s="1423" t="s">
        <v>276</v>
      </c>
      <c r="C440" s="158"/>
      <c r="D440" s="1115">
        <v>3033311</v>
      </c>
      <c r="E440" s="3277" t="s">
        <v>410</v>
      </c>
      <c r="F440" s="3278"/>
      <c r="G440" s="3278"/>
      <c r="H440" s="3278"/>
      <c r="I440" s="3278"/>
      <c r="J440" s="3278"/>
      <c r="K440" s="3278"/>
      <c r="L440" s="3278"/>
      <c r="M440" s="3278"/>
      <c r="N440" s="3278"/>
      <c r="O440" s="3278"/>
      <c r="P440" s="3278"/>
      <c r="Q440" s="3278"/>
      <c r="R440" s="3278"/>
      <c r="S440" s="3278"/>
      <c r="T440" s="3279"/>
      <c r="U440" s="3019" t="s">
        <v>411</v>
      </c>
      <c r="V440" s="3328"/>
      <c r="W440" s="3328"/>
      <c r="X440" s="3328"/>
      <c r="Y440" s="3020"/>
      <c r="Z440" s="3233" t="s">
        <v>412</v>
      </c>
      <c r="AA440" s="3233"/>
      <c r="AB440" s="35"/>
      <c r="AC440" s="183"/>
    </row>
    <row r="441" spans="1:29" x14ac:dyDescent="0.2">
      <c r="A441" s="1422"/>
      <c r="B441" s="2999" t="s">
        <v>278</v>
      </c>
      <c r="C441" s="2988" t="s">
        <v>21</v>
      </c>
      <c r="D441" s="2988" t="s">
        <v>22</v>
      </c>
      <c r="E441" s="2988" t="s">
        <v>23</v>
      </c>
      <c r="F441" s="2988" t="s">
        <v>24</v>
      </c>
      <c r="G441" s="2988" t="s">
        <v>25</v>
      </c>
      <c r="H441" s="2988" t="s">
        <v>26</v>
      </c>
      <c r="I441" s="2988" t="s">
        <v>27</v>
      </c>
      <c r="J441" s="3206" t="s">
        <v>28</v>
      </c>
      <c r="K441" s="3301"/>
      <c r="L441" s="2988" t="s">
        <v>279</v>
      </c>
      <c r="M441" s="3273" t="s">
        <v>280</v>
      </c>
      <c r="N441" s="3274"/>
      <c r="O441" s="2847" t="s">
        <v>281</v>
      </c>
      <c r="P441" s="2847"/>
      <c r="Q441" s="2847"/>
      <c r="R441" s="2847"/>
      <c r="S441" s="2847"/>
      <c r="T441" s="2847"/>
      <c r="U441" s="2847"/>
      <c r="V441" s="2847"/>
      <c r="W441" s="2847"/>
      <c r="X441" s="2847"/>
      <c r="Y441" s="2847"/>
      <c r="Z441" s="2847"/>
      <c r="AA441" s="2988" t="s">
        <v>32</v>
      </c>
      <c r="AB441" s="35"/>
      <c r="AC441" s="183"/>
    </row>
    <row r="442" spans="1:29" x14ac:dyDescent="0.2">
      <c r="A442" s="1422"/>
      <c r="B442" s="2999"/>
      <c r="C442" s="3186"/>
      <c r="D442" s="3186"/>
      <c r="E442" s="3186"/>
      <c r="F442" s="3186"/>
      <c r="G442" s="3186"/>
      <c r="H442" s="3186"/>
      <c r="I442" s="3186"/>
      <c r="J442" s="2988" t="s">
        <v>33</v>
      </c>
      <c r="K442" s="2988" t="s">
        <v>282</v>
      </c>
      <c r="L442" s="3186"/>
      <c r="M442" s="3275"/>
      <c r="N442" s="3276"/>
      <c r="O442" s="1009" t="s">
        <v>283</v>
      </c>
      <c r="P442" s="1009" t="s">
        <v>284</v>
      </c>
      <c r="Q442" s="1009" t="s">
        <v>285</v>
      </c>
      <c r="R442" s="1009" t="s">
        <v>88</v>
      </c>
      <c r="S442" s="1009" t="s">
        <v>89</v>
      </c>
      <c r="T442" s="1009" t="s">
        <v>90</v>
      </c>
      <c r="U442" s="1009" t="s">
        <v>91</v>
      </c>
      <c r="V442" s="1009" t="s">
        <v>92</v>
      </c>
      <c r="W442" s="1009" t="s">
        <v>286</v>
      </c>
      <c r="X442" s="1009" t="s">
        <v>93</v>
      </c>
      <c r="Y442" s="1009" t="s">
        <v>94</v>
      </c>
      <c r="Z442" s="1009" t="s">
        <v>95</v>
      </c>
      <c r="AA442" s="2989"/>
      <c r="AB442" s="35"/>
      <c r="AC442" s="183"/>
    </row>
    <row r="443" spans="1:29" x14ac:dyDescent="0.2">
      <c r="A443" s="1422"/>
      <c r="B443" s="2999"/>
      <c r="C443" s="3186"/>
      <c r="D443" s="3186"/>
      <c r="E443" s="3186"/>
      <c r="F443" s="3186"/>
      <c r="G443" s="3186"/>
      <c r="H443" s="3186"/>
      <c r="I443" s="3186"/>
      <c r="J443" s="3186"/>
      <c r="K443" s="3186"/>
      <c r="L443" s="3186"/>
      <c r="M443" s="3271" t="s">
        <v>287</v>
      </c>
      <c r="N443" s="3272"/>
      <c r="O443" s="1095">
        <v>10476</v>
      </c>
      <c r="P443" s="1095">
        <v>10476</v>
      </c>
      <c r="Q443" s="1095">
        <v>10478</v>
      </c>
      <c r="R443" s="1095">
        <v>10478</v>
      </c>
      <c r="S443" s="1095">
        <v>10476</v>
      </c>
      <c r="T443" s="1095">
        <v>10477</v>
      </c>
      <c r="U443" s="1095">
        <v>10476</v>
      </c>
      <c r="V443" s="1095">
        <v>10476</v>
      </c>
      <c r="W443" s="1095">
        <v>10476</v>
      </c>
      <c r="X443" s="1095">
        <v>10476</v>
      </c>
      <c r="Y443" s="1095">
        <v>10476</v>
      </c>
      <c r="Z443" s="1095">
        <v>10476</v>
      </c>
      <c r="AA443" s="1196">
        <f t="shared" ref="AA443:AA467" si="33">SUM(O443:Z443)</f>
        <v>125717</v>
      </c>
      <c r="AB443" s="35"/>
      <c r="AC443" s="183"/>
    </row>
    <row r="444" spans="1:29" x14ac:dyDescent="0.2">
      <c r="A444" s="1422"/>
      <c r="B444" s="2999"/>
      <c r="C444" s="2989"/>
      <c r="D444" s="2989"/>
      <c r="E444" s="2989"/>
      <c r="F444" s="2989"/>
      <c r="G444" s="2989"/>
      <c r="H444" s="2989"/>
      <c r="I444" s="2989"/>
      <c r="J444" s="2989"/>
      <c r="K444" s="2989"/>
      <c r="L444" s="3186"/>
      <c r="M444" s="3271" t="s">
        <v>34</v>
      </c>
      <c r="N444" s="3272"/>
      <c r="O444" s="36">
        <v>440569.75</v>
      </c>
      <c r="P444" s="36">
        <v>366082.25</v>
      </c>
      <c r="Q444" s="36">
        <v>377418.15</v>
      </c>
      <c r="R444" s="36">
        <v>370880.75</v>
      </c>
      <c r="S444" s="36">
        <v>371632.48333333334</v>
      </c>
      <c r="T444" s="36">
        <v>366337.41666666669</v>
      </c>
      <c r="U444" s="36">
        <v>425194.48333333334</v>
      </c>
      <c r="V444" s="36">
        <v>373966.41666666669</v>
      </c>
      <c r="W444" s="36">
        <v>371632.48333333334</v>
      </c>
      <c r="X444" s="36">
        <v>366337.41666666669</v>
      </c>
      <c r="Y444" s="36">
        <v>371632.48333333334</v>
      </c>
      <c r="Z444" s="36">
        <v>418707.91666666669</v>
      </c>
      <c r="AA444" s="1196">
        <f t="shared" si="33"/>
        <v>4620392</v>
      </c>
      <c r="AB444" s="35"/>
      <c r="AC444" s="183"/>
    </row>
    <row r="445" spans="1:29" ht="11.25" customHeight="1" x14ac:dyDescent="0.2">
      <c r="A445" s="1422"/>
      <c r="B445" s="2522">
        <v>5000027</v>
      </c>
      <c r="C445" s="3268" t="s">
        <v>3041</v>
      </c>
      <c r="D445" s="3268">
        <v>14</v>
      </c>
      <c r="E445" s="3268" t="s">
        <v>407</v>
      </c>
      <c r="F445" s="3268" t="s">
        <v>386</v>
      </c>
      <c r="G445" s="3268" t="s">
        <v>387</v>
      </c>
      <c r="H445" s="3268" t="s">
        <v>413</v>
      </c>
      <c r="I445" s="3268" t="s">
        <v>414</v>
      </c>
      <c r="J445" s="3268">
        <v>125717</v>
      </c>
      <c r="K445" s="40">
        <v>1576474</v>
      </c>
      <c r="L445" s="3295" t="s">
        <v>377</v>
      </c>
      <c r="M445" s="3287" t="s">
        <v>293</v>
      </c>
      <c r="N445" s="3288"/>
      <c r="O445" s="40">
        <v>131372.83333333334</v>
      </c>
      <c r="P445" s="40">
        <v>131372.83333333334</v>
      </c>
      <c r="Q445" s="40">
        <v>131372.83333333334</v>
      </c>
      <c r="R445" s="40">
        <v>131372.83333333334</v>
      </c>
      <c r="S445" s="40">
        <v>131372.83333333334</v>
      </c>
      <c r="T445" s="38">
        <v>131372.83333333334</v>
      </c>
      <c r="U445" s="38">
        <v>131372.83333333334</v>
      </c>
      <c r="V445" s="38">
        <v>131372.83333333334</v>
      </c>
      <c r="W445" s="38">
        <v>131372.83333333334</v>
      </c>
      <c r="X445" s="38">
        <v>131372.83333333334</v>
      </c>
      <c r="Y445" s="38">
        <v>131372.83333333334</v>
      </c>
      <c r="Z445" s="38">
        <v>131372.83333333334</v>
      </c>
      <c r="AA445" s="966">
        <f t="shared" si="33"/>
        <v>1576473.9999999998</v>
      </c>
      <c r="AB445" s="35"/>
      <c r="AC445" s="183"/>
    </row>
    <row r="446" spans="1:29" x14ac:dyDescent="0.2">
      <c r="A446" s="1422"/>
      <c r="B446" s="2522"/>
      <c r="C446" s="3269"/>
      <c r="D446" s="3269"/>
      <c r="E446" s="3269"/>
      <c r="F446" s="3269"/>
      <c r="G446" s="3269"/>
      <c r="H446" s="3269"/>
      <c r="I446" s="3269"/>
      <c r="J446" s="3269"/>
      <c r="K446" s="40">
        <v>56856</v>
      </c>
      <c r="L446" s="3295"/>
      <c r="M446" s="3287" t="s">
        <v>321</v>
      </c>
      <c r="N446" s="3288"/>
      <c r="O446" s="40">
        <v>4738</v>
      </c>
      <c r="P446" s="40">
        <v>4738</v>
      </c>
      <c r="Q446" s="40">
        <v>4738</v>
      </c>
      <c r="R446" s="40">
        <v>4738</v>
      </c>
      <c r="S446" s="40">
        <v>4738</v>
      </c>
      <c r="T446" s="38">
        <v>4738</v>
      </c>
      <c r="U446" s="38">
        <v>4738</v>
      </c>
      <c r="V446" s="38">
        <v>4738</v>
      </c>
      <c r="W446" s="38">
        <v>4738</v>
      </c>
      <c r="X446" s="38">
        <v>4738</v>
      </c>
      <c r="Y446" s="38">
        <v>4738</v>
      </c>
      <c r="Z446" s="38">
        <v>4738</v>
      </c>
      <c r="AA446" s="966">
        <f t="shared" si="33"/>
        <v>56856</v>
      </c>
      <c r="AB446" s="35"/>
      <c r="AC446" s="183"/>
    </row>
    <row r="447" spans="1:29" x14ac:dyDescent="0.2">
      <c r="A447" s="1422"/>
      <c r="B447" s="2522"/>
      <c r="C447" s="3269"/>
      <c r="D447" s="3269"/>
      <c r="E447" s="3269"/>
      <c r="F447" s="3269"/>
      <c r="G447" s="3269"/>
      <c r="H447" s="3269"/>
      <c r="I447" s="3269"/>
      <c r="J447" s="3269"/>
      <c r="K447" s="40">
        <v>1306687</v>
      </c>
      <c r="L447" s="3295"/>
      <c r="M447" s="3287" t="s">
        <v>295</v>
      </c>
      <c r="N447" s="3288"/>
      <c r="O447" s="40">
        <v>108890.58333333333</v>
      </c>
      <c r="P447" s="40">
        <v>108890.58333333333</v>
      </c>
      <c r="Q447" s="40">
        <v>108890.58333333333</v>
      </c>
      <c r="R447" s="40">
        <v>108890.58333333333</v>
      </c>
      <c r="S447" s="40">
        <v>108890.58333333333</v>
      </c>
      <c r="T447" s="38">
        <v>108890.58333333333</v>
      </c>
      <c r="U447" s="38">
        <v>108890.58333333333</v>
      </c>
      <c r="V447" s="38">
        <v>108890.58333333333</v>
      </c>
      <c r="W447" s="38">
        <v>108890.58333333333</v>
      </c>
      <c r="X447" s="38">
        <v>108890.58333333333</v>
      </c>
      <c r="Y447" s="38">
        <v>108890.58333333333</v>
      </c>
      <c r="Z447" s="38">
        <v>108890.58333333333</v>
      </c>
      <c r="AA447" s="966">
        <f t="shared" si="33"/>
        <v>1306687</v>
      </c>
      <c r="AB447" s="35"/>
      <c r="AC447" s="183"/>
    </row>
    <row r="448" spans="1:29" x14ac:dyDescent="0.2">
      <c r="A448" s="1422"/>
      <c r="B448" s="2522"/>
      <c r="C448" s="3269"/>
      <c r="D448" s="3269"/>
      <c r="E448" s="3269"/>
      <c r="F448" s="3269"/>
      <c r="G448" s="3269"/>
      <c r="H448" s="3269"/>
      <c r="I448" s="3269"/>
      <c r="J448" s="3269"/>
      <c r="K448" s="40">
        <v>53729</v>
      </c>
      <c r="L448" s="3295"/>
      <c r="M448" s="3287" t="s">
        <v>332</v>
      </c>
      <c r="N448" s="3288"/>
      <c r="O448" s="40">
        <v>4477.416666666667</v>
      </c>
      <c r="P448" s="40">
        <v>4477.416666666667</v>
      </c>
      <c r="Q448" s="40">
        <v>4477.416666666667</v>
      </c>
      <c r="R448" s="40">
        <v>4477.416666666667</v>
      </c>
      <c r="S448" s="40">
        <v>4477.416666666667</v>
      </c>
      <c r="T448" s="38">
        <v>4477.416666666667</v>
      </c>
      <c r="U448" s="38">
        <v>4477.416666666667</v>
      </c>
      <c r="V448" s="38">
        <v>4477.416666666667</v>
      </c>
      <c r="W448" s="38">
        <v>4477.416666666667</v>
      </c>
      <c r="X448" s="38">
        <v>4477.416666666667</v>
      </c>
      <c r="Y448" s="38">
        <v>4477.416666666667</v>
      </c>
      <c r="Z448" s="38">
        <v>4477.416666666667</v>
      </c>
      <c r="AA448" s="966">
        <f t="shared" si="33"/>
        <v>53728.999999999993</v>
      </c>
      <c r="AB448" s="35"/>
      <c r="AC448" s="183"/>
    </row>
    <row r="449" spans="1:29" x14ac:dyDescent="0.2">
      <c r="A449" s="1422"/>
      <c r="B449" s="2522"/>
      <c r="C449" s="3269"/>
      <c r="D449" s="3269"/>
      <c r="E449" s="3269"/>
      <c r="F449" s="3269"/>
      <c r="G449" s="3269"/>
      <c r="H449" s="3269"/>
      <c r="I449" s="3269"/>
      <c r="J449" s="3269"/>
      <c r="K449" s="40">
        <v>542206</v>
      </c>
      <c r="L449" s="3295"/>
      <c r="M449" s="3287" t="s">
        <v>296</v>
      </c>
      <c r="N449" s="3288"/>
      <c r="O449" s="40">
        <v>45183.833333333336</v>
      </c>
      <c r="P449" s="40">
        <v>45183.833333333336</v>
      </c>
      <c r="Q449" s="40">
        <v>45183.833333333336</v>
      </c>
      <c r="R449" s="40">
        <v>45183.833333333336</v>
      </c>
      <c r="S449" s="40">
        <v>45183.833333333336</v>
      </c>
      <c r="T449" s="38">
        <v>45183.833333333336</v>
      </c>
      <c r="U449" s="38">
        <v>45183.833333333336</v>
      </c>
      <c r="V449" s="38">
        <v>45183.833333333336</v>
      </c>
      <c r="W449" s="38">
        <v>45183.833333333336</v>
      </c>
      <c r="X449" s="38">
        <v>45183.833333333336</v>
      </c>
      <c r="Y449" s="38">
        <v>45183.833333333336</v>
      </c>
      <c r="Z449" s="38">
        <v>45183.833333333336</v>
      </c>
      <c r="AA449" s="966">
        <f t="shared" si="33"/>
        <v>542205.99999999988</v>
      </c>
      <c r="AB449" s="35"/>
      <c r="AC449" s="183"/>
    </row>
    <row r="450" spans="1:29" x14ac:dyDescent="0.2">
      <c r="A450" s="1422"/>
      <c r="B450" s="2522"/>
      <c r="C450" s="3269"/>
      <c r="D450" s="3269"/>
      <c r="E450" s="3269"/>
      <c r="F450" s="3269"/>
      <c r="G450" s="3269"/>
      <c r="H450" s="3269"/>
      <c r="I450" s="3269"/>
      <c r="J450" s="3269"/>
      <c r="K450" s="40">
        <v>265212</v>
      </c>
      <c r="L450" s="3295"/>
      <c r="M450" s="3287" t="s">
        <v>297</v>
      </c>
      <c r="N450" s="3288"/>
      <c r="O450" s="40">
        <v>22101</v>
      </c>
      <c r="P450" s="40">
        <v>22101</v>
      </c>
      <c r="Q450" s="40">
        <v>22101</v>
      </c>
      <c r="R450" s="40">
        <v>22101</v>
      </c>
      <c r="S450" s="40">
        <v>22101</v>
      </c>
      <c r="T450" s="38">
        <v>22101</v>
      </c>
      <c r="U450" s="38">
        <v>22101</v>
      </c>
      <c r="V450" s="38">
        <v>22101</v>
      </c>
      <c r="W450" s="38">
        <v>22101</v>
      </c>
      <c r="X450" s="38">
        <v>22101</v>
      </c>
      <c r="Y450" s="38">
        <v>22101</v>
      </c>
      <c r="Z450" s="38">
        <v>22101</v>
      </c>
      <c r="AA450" s="966">
        <f t="shared" si="33"/>
        <v>265212</v>
      </c>
      <c r="AB450" s="35"/>
      <c r="AC450" s="183"/>
    </row>
    <row r="451" spans="1:29" x14ac:dyDescent="0.2">
      <c r="A451" s="1422"/>
      <c r="B451" s="2522"/>
      <c r="C451" s="3269"/>
      <c r="D451" s="3269"/>
      <c r="E451" s="3269"/>
      <c r="F451" s="3269"/>
      <c r="G451" s="3269"/>
      <c r="H451" s="3269"/>
      <c r="I451" s="3269"/>
      <c r="J451" s="3269"/>
      <c r="K451" s="40">
        <v>104741</v>
      </c>
      <c r="L451" s="3295"/>
      <c r="M451" s="3287" t="s">
        <v>298</v>
      </c>
      <c r="N451" s="3288"/>
      <c r="O451" s="40"/>
      <c r="P451" s="40"/>
      <c r="Q451" s="40"/>
      <c r="R451" s="40"/>
      <c r="S451" s="40"/>
      <c r="T451" s="38"/>
      <c r="U451" s="38">
        <v>52370.5</v>
      </c>
      <c r="V451" s="38"/>
      <c r="W451" s="38"/>
      <c r="X451" s="38"/>
      <c r="Y451" s="38"/>
      <c r="Z451" s="38">
        <v>52370.5</v>
      </c>
      <c r="AA451" s="966">
        <f t="shared" si="33"/>
        <v>104741</v>
      </c>
      <c r="AB451" s="35"/>
      <c r="AC451" s="183"/>
    </row>
    <row r="452" spans="1:29" x14ac:dyDescent="0.2">
      <c r="A452" s="1422"/>
      <c r="B452" s="2522"/>
      <c r="C452" s="3269"/>
      <c r="D452" s="3269"/>
      <c r="E452" s="3269"/>
      <c r="F452" s="3269"/>
      <c r="G452" s="3269"/>
      <c r="H452" s="3269"/>
      <c r="I452" s="3269"/>
      <c r="J452" s="3269"/>
      <c r="K452" s="40">
        <v>76270</v>
      </c>
      <c r="L452" s="3295"/>
      <c r="M452" s="3287" t="s">
        <v>299</v>
      </c>
      <c r="N452" s="3288"/>
      <c r="O452" s="40">
        <v>76270</v>
      </c>
      <c r="P452" s="40"/>
      <c r="Q452" s="40"/>
      <c r="R452" s="40"/>
      <c r="S452" s="40"/>
      <c r="T452" s="38"/>
      <c r="U452" s="38"/>
      <c r="V452" s="38"/>
      <c r="W452" s="38"/>
      <c r="X452" s="38"/>
      <c r="Y452" s="38"/>
      <c r="Z452" s="38"/>
      <c r="AA452" s="966">
        <f t="shared" si="33"/>
        <v>76270</v>
      </c>
      <c r="AB452" s="35"/>
      <c r="AC452" s="183"/>
    </row>
    <row r="453" spans="1:29" x14ac:dyDescent="0.2">
      <c r="A453" s="1422"/>
      <c r="B453" s="2522"/>
      <c r="C453" s="3269"/>
      <c r="D453" s="3269"/>
      <c r="E453" s="3269"/>
      <c r="F453" s="3269"/>
      <c r="G453" s="3269"/>
      <c r="H453" s="3269"/>
      <c r="I453" s="3269"/>
      <c r="J453" s="3269"/>
      <c r="K453" s="40">
        <v>35460</v>
      </c>
      <c r="L453" s="3295"/>
      <c r="M453" s="3287" t="s">
        <v>339</v>
      </c>
      <c r="N453" s="3288"/>
      <c r="O453" s="40">
        <v>2955</v>
      </c>
      <c r="P453" s="40">
        <v>2955</v>
      </c>
      <c r="Q453" s="40">
        <v>2955</v>
      </c>
      <c r="R453" s="40">
        <v>2955</v>
      </c>
      <c r="S453" s="40">
        <v>2955</v>
      </c>
      <c r="T453" s="38">
        <v>2955</v>
      </c>
      <c r="U453" s="38">
        <v>2955</v>
      </c>
      <c r="V453" s="38">
        <v>2955</v>
      </c>
      <c r="W453" s="38">
        <v>2955</v>
      </c>
      <c r="X453" s="38">
        <v>2955</v>
      </c>
      <c r="Y453" s="38">
        <v>2955</v>
      </c>
      <c r="Z453" s="38">
        <v>2955</v>
      </c>
      <c r="AA453" s="966">
        <f t="shared" si="33"/>
        <v>35460</v>
      </c>
      <c r="AB453" s="35"/>
      <c r="AC453" s="183"/>
    </row>
    <row r="454" spans="1:29" x14ac:dyDescent="0.2">
      <c r="A454" s="1422"/>
      <c r="B454" s="2522"/>
      <c r="C454" s="3269"/>
      <c r="D454" s="3269"/>
      <c r="E454" s="3269"/>
      <c r="F454" s="3269"/>
      <c r="G454" s="3269"/>
      <c r="H454" s="3269"/>
      <c r="I454" s="3269"/>
      <c r="J454" s="3269"/>
      <c r="K454" s="40">
        <v>211716</v>
      </c>
      <c r="L454" s="3295"/>
      <c r="M454" s="3287" t="s">
        <v>300</v>
      </c>
      <c r="N454" s="3288"/>
      <c r="O454" s="40">
        <v>17643</v>
      </c>
      <c r="P454" s="40">
        <v>17643</v>
      </c>
      <c r="Q454" s="40">
        <v>17643</v>
      </c>
      <c r="R454" s="40">
        <v>17643</v>
      </c>
      <c r="S454" s="40">
        <v>17643</v>
      </c>
      <c r="T454" s="38">
        <v>17643</v>
      </c>
      <c r="U454" s="38">
        <v>17643</v>
      </c>
      <c r="V454" s="38">
        <v>17643</v>
      </c>
      <c r="W454" s="38">
        <v>17643</v>
      </c>
      <c r="X454" s="38">
        <v>17643</v>
      </c>
      <c r="Y454" s="38">
        <v>17643</v>
      </c>
      <c r="Z454" s="38">
        <v>17643</v>
      </c>
      <c r="AA454" s="966">
        <f t="shared" si="33"/>
        <v>211716</v>
      </c>
      <c r="AB454" s="35"/>
      <c r="AC454" s="183"/>
    </row>
    <row r="455" spans="1:29" x14ac:dyDescent="0.2">
      <c r="A455" s="1422"/>
      <c r="B455" s="2522"/>
      <c r="C455" s="3269"/>
      <c r="D455" s="3269"/>
      <c r="E455" s="3269"/>
      <c r="F455" s="3269"/>
      <c r="G455" s="3269"/>
      <c r="H455" s="3269"/>
      <c r="I455" s="3269"/>
      <c r="J455" s="3269"/>
      <c r="K455" s="40">
        <v>6298</v>
      </c>
      <c r="L455" s="3295"/>
      <c r="M455" s="3287" t="s">
        <v>301</v>
      </c>
      <c r="N455" s="3288"/>
      <c r="O455" s="40">
        <v>524.83333333333337</v>
      </c>
      <c r="P455" s="40">
        <v>524.83333333333337</v>
      </c>
      <c r="Q455" s="40">
        <v>524.83333333333337</v>
      </c>
      <c r="R455" s="40">
        <v>524.83333333333337</v>
      </c>
      <c r="S455" s="40">
        <v>524.83333333333337</v>
      </c>
      <c r="T455" s="38">
        <v>524.83333333333337</v>
      </c>
      <c r="U455" s="38">
        <v>524.83333333333337</v>
      </c>
      <c r="V455" s="38">
        <v>524.83333333333337</v>
      </c>
      <c r="W455" s="38">
        <v>524.83333333333337</v>
      </c>
      <c r="X455" s="38">
        <v>524.83333333333337</v>
      </c>
      <c r="Y455" s="38">
        <v>524.83333333333337</v>
      </c>
      <c r="Z455" s="38">
        <v>524.83333333333337</v>
      </c>
      <c r="AA455" s="966">
        <f t="shared" si="33"/>
        <v>6297.9999999999991</v>
      </c>
      <c r="AB455" s="35"/>
      <c r="AC455" s="183"/>
    </row>
    <row r="456" spans="1:29" x14ac:dyDescent="0.2">
      <c r="A456" s="1422"/>
      <c r="B456" s="2522"/>
      <c r="C456" s="3269"/>
      <c r="D456" s="3269"/>
      <c r="E456" s="3269"/>
      <c r="F456" s="3269"/>
      <c r="G456" s="3269"/>
      <c r="H456" s="3269"/>
      <c r="I456" s="3269"/>
      <c r="J456" s="3269"/>
      <c r="K456" s="40">
        <v>500</v>
      </c>
      <c r="L456" s="3295"/>
      <c r="M456" s="3287" t="s">
        <v>380</v>
      </c>
      <c r="N456" s="3288"/>
      <c r="O456" s="40">
        <v>500</v>
      </c>
      <c r="P456" s="40"/>
      <c r="Q456" s="40"/>
      <c r="R456" s="40"/>
      <c r="S456" s="40"/>
      <c r="T456" s="38"/>
      <c r="U456" s="38"/>
      <c r="V456" s="38"/>
      <c r="W456" s="38"/>
      <c r="X456" s="38"/>
      <c r="Y456" s="38"/>
      <c r="Z456" s="38"/>
      <c r="AA456" s="966">
        <f t="shared" si="33"/>
        <v>500</v>
      </c>
      <c r="AB456" s="35"/>
      <c r="AC456" s="183"/>
    </row>
    <row r="457" spans="1:29" x14ac:dyDescent="0.2">
      <c r="A457" s="1422"/>
      <c r="B457" s="2522"/>
      <c r="C457" s="3269"/>
      <c r="D457" s="3269"/>
      <c r="E457" s="3269"/>
      <c r="F457" s="3269"/>
      <c r="G457" s="3269"/>
      <c r="H457" s="3269"/>
      <c r="I457" s="3269"/>
      <c r="J457" s="3269"/>
      <c r="K457" s="40">
        <v>1300</v>
      </c>
      <c r="L457" s="3295"/>
      <c r="M457" s="3287" t="s">
        <v>303</v>
      </c>
      <c r="N457" s="3288"/>
      <c r="O457" s="40"/>
      <c r="P457" s="40"/>
      <c r="Q457" s="40">
        <v>1300</v>
      </c>
      <c r="R457" s="40"/>
      <c r="S457" s="40"/>
      <c r="T457" s="38"/>
      <c r="U457" s="38"/>
      <c r="V457" s="38"/>
      <c r="W457" s="38"/>
      <c r="X457" s="38"/>
      <c r="Y457" s="38"/>
      <c r="Z457" s="38"/>
      <c r="AA457" s="966">
        <f t="shared" si="33"/>
        <v>1300</v>
      </c>
      <c r="AB457" s="35"/>
      <c r="AC457" s="183"/>
    </row>
    <row r="458" spans="1:29" x14ac:dyDescent="0.2">
      <c r="A458" s="1422"/>
      <c r="B458" s="2522"/>
      <c r="C458" s="3269"/>
      <c r="D458" s="3269"/>
      <c r="E458" s="3269"/>
      <c r="F458" s="3269"/>
      <c r="G458" s="3269"/>
      <c r="H458" s="3269"/>
      <c r="I458" s="3269"/>
      <c r="J458" s="3269"/>
      <c r="K458" s="40">
        <v>2383</v>
      </c>
      <c r="L458" s="3295"/>
      <c r="M458" s="3287" t="s">
        <v>324</v>
      </c>
      <c r="N458" s="3288"/>
      <c r="O458" s="40"/>
      <c r="P458" s="40">
        <v>1191.5</v>
      </c>
      <c r="Q458" s="40"/>
      <c r="R458" s="40"/>
      <c r="S458" s="40"/>
      <c r="T458" s="38"/>
      <c r="U458" s="38">
        <v>1191.5</v>
      </c>
      <c r="V458" s="38"/>
      <c r="W458" s="38"/>
      <c r="X458" s="38"/>
      <c r="Y458" s="38"/>
      <c r="Z458" s="38"/>
      <c r="AA458" s="966">
        <f t="shared" si="33"/>
        <v>2383</v>
      </c>
      <c r="AB458" s="35"/>
      <c r="AC458" s="183"/>
    </row>
    <row r="459" spans="1:29" x14ac:dyDescent="0.2">
      <c r="A459" s="1422"/>
      <c r="B459" s="2522"/>
      <c r="C459" s="3269"/>
      <c r="D459" s="3269"/>
      <c r="E459" s="3269"/>
      <c r="F459" s="3269"/>
      <c r="G459" s="3269"/>
      <c r="H459" s="3269"/>
      <c r="I459" s="3269"/>
      <c r="J459" s="3269"/>
      <c r="K459" s="40">
        <v>500</v>
      </c>
      <c r="L459" s="3295"/>
      <c r="M459" s="3287" t="s">
        <v>393</v>
      </c>
      <c r="N459" s="3288"/>
      <c r="O459" s="40"/>
      <c r="P459" s="40"/>
      <c r="Q459" s="40"/>
      <c r="R459" s="40">
        <v>250</v>
      </c>
      <c r="S459" s="40"/>
      <c r="T459" s="38"/>
      <c r="U459" s="38"/>
      <c r="V459" s="38">
        <v>250</v>
      </c>
      <c r="W459" s="38"/>
      <c r="X459" s="38"/>
      <c r="Y459" s="38"/>
      <c r="Z459" s="38"/>
      <c r="AA459" s="966">
        <f t="shared" si="33"/>
        <v>500</v>
      </c>
      <c r="AB459" s="35"/>
      <c r="AC459" s="183"/>
    </row>
    <row r="460" spans="1:29" x14ac:dyDescent="0.2">
      <c r="A460" s="1422"/>
      <c r="B460" s="2522"/>
      <c r="C460" s="3269"/>
      <c r="D460" s="3269"/>
      <c r="E460" s="3269"/>
      <c r="F460" s="3269"/>
      <c r="G460" s="3269"/>
      <c r="H460" s="3269"/>
      <c r="I460" s="3269"/>
      <c r="J460" s="3269"/>
      <c r="K460" s="40">
        <v>21700</v>
      </c>
      <c r="L460" s="3295"/>
      <c r="M460" s="3287" t="s">
        <v>343</v>
      </c>
      <c r="N460" s="3288"/>
      <c r="O460" s="40"/>
      <c r="P460" s="40"/>
      <c r="Q460" s="40"/>
      <c r="R460" s="40">
        <v>4340</v>
      </c>
      <c r="S460" s="40">
        <v>2893.3333333333335</v>
      </c>
      <c r="T460" s="38">
        <v>1446.6666666666667</v>
      </c>
      <c r="U460" s="38">
        <v>2893.3333333333335</v>
      </c>
      <c r="V460" s="38">
        <v>1446.6666666666667</v>
      </c>
      <c r="W460" s="38">
        <v>2893.3333333333335</v>
      </c>
      <c r="X460" s="38">
        <v>1446.6666666666667</v>
      </c>
      <c r="Y460" s="38">
        <v>2893.3333333333335</v>
      </c>
      <c r="Z460" s="38">
        <v>1446.6666666666667</v>
      </c>
      <c r="AA460" s="966">
        <f t="shared" si="33"/>
        <v>21700</v>
      </c>
      <c r="AB460" s="35"/>
      <c r="AC460" s="183"/>
    </row>
    <row r="461" spans="1:29" x14ac:dyDescent="0.2">
      <c r="A461" s="1422"/>
      <c r="B461" s="2522"/>
      <c r="C461" s="3269"/>
      <c r="D461" s="3269"/>
      <c r="E461" s="3269"/>
      <c r="F461" s="3269"/>
      <c r="G461" s="3269"/>
      <c r="H461" s="3269"/>
      <c r="I461" s="3269"/>
      <c r="J461" s="3269"/>
      <c r="K461" s="40">
        <v>3000</v>
      </c>
      <c r="L461" s="3295"/>
      <c r="M461" s="3287" t="s">
        <v>304</v>
      </c>
      <c r="N461" s="3288"/>
      <c r="O461" s="40"/>
      <c r="P461" s="40"/>
      <c r="Q461" s="40">
        <v>1500</v>
      </c>
      <c r="R461" s="40"/>
      <c r="S461" s="40"/>
      <c r="T461" s="38"/>
      <c r="U461" s="38"/>
      <c r="V461" s="38">
        <v>1500</v>
      </c>
      <c r="W461" s="38"/>
      <c r="X461" s="38"/>
      <c r="Y461" s="38"/>
      <c r="Z461" s="38"/>
      <c r="AA461" s="966">
        <f t="shared" si="33"/>
        <v>3000</v>
      </c>
      <c r="AB461" s="35"/>
      <c r="AC461" s="183"/>
    </row>
    <row r="462" spans="1:29" x14ac:dyDescent="0.2">
      <c r="A462" s="1422"/>
      <c r="B462" s="2522"/>
      <c r="C462" s="3269"/>
      <c r="D462" s="3269"/>
      <c r="E462" s="3269"/>
      <c r="F462" s="3269"/>
      <c r="G462" s="3269"/>
      <c r="H462" s="3269"/>
      <c r="I462" s="3269"/>
      <c r="J462" s="3269"/>
      <c r="K462" s="40">
        <v>11758</v>
      </c>
      <c r="L462" s="3295"/>
      <c r="M462" s="3287" t="s">
        <v>415</v>
      </c>
      <c r="N462" s="3288"/>
      <c r="O462" s="40"/>
      <c r="P462" s="40"/>
      <c r="Q462" s="40">
        <v>5879</v>
      </c>
      <c r="R462" s="40"/>
      <c r="S462" s="40"/>
      <c r="T462" s="38"/>
      <c r="U462" s="38"/>
      <c r="V462" s="38">
        <v>5879</v>
      </c>
      <c r="W462" s="38"/>
      <c r="X462" s="38"/>
      <c r="Y462" s="38"/>
      <c r="Z462" s="38"/>
      <c r="AA462" s="966">
        <f t="shared" si="33"/>
        <v>11758</v>
      </c>
      <c r="AB462" s="35"/>
      <c r="AC462" s="183"/>
    </row>
    <row r="463" spans="1:29" x14ac:dyDescent="0.2">
      <c r="A463" s="1422"/>
      <c r="B463" s="2522"/>
      <c r="C463" s="3269"/>
      <c r="D463" s="3269"/>
      <c r="E463" s="3269"/>
      <c r="F463" s="3269"/>
      <c r="G463" s="3269"/>
      <c r="H463" s="3269"/>
      <c r="I463" s="3269"/>
      <c r="J463" s="3269"/>
      <c r="K463" s="40">
        <v>12001</v>
      </c>
      <c r="L463" s="3295"/>
      <c r="M463" s="3287" t="s">
        <v>307</v>
      </c>
      <c r="N463" s="3288"/>
      <c r="O463" s="40"/>
      <c r="P463" s="40">
        <v>1091</v>
      </c>
      <c r="Q463" s="40">
        <v>1091</v>
      </c>
      <c r="R463" s="40">
        <v>1091</v>
      </c>
      <c r="S463" s="40">
        <v>1091</v>
      </c>
      <c r="T463" s="38">
        <v>1091</v>
      </c>
      <c r="U463" s="38">
        <v>1091</v>
      </c>
      <c r="V463" s="38">
        <v>1091</v>
      </c>
      <c r="W463" s="38">
        <v>1091</v>
      </c>
      <c r="X463" s="38">
        <v>1091</v>
      </c>
      <c r="Y463" s="38">
        <v>1091</v>
      </c>
      <c r="Z463" s="38">
        <v>1091</v>
      </c>
      <c r="AA463" s="966">
        <f t="shared" si="33"/>
        <v>12001</v>
      </c>
      <c r="AB463" s="35"/>
      <c r="AC463" s="183"/>
    </row>
    <row r="464" spans="1:29" x14ac:dyDescent="0.2">
      <c r="A464" s="1422"/>
      <c r="B464" s="2522"/>
      <c r="C464" s="3269"/>
      <c r="D464" s="3269"/>
      <c r="E464" s="3269"/>
      <c r="F464" s="3269"/>
      <c r="G464" s="3269"/>
      <c r="H464" s="3269"/>
      <c r="I464" s="3269"/>
      <c r="J464" s="3269"/>
      <c r="K464" s="40">
        <v>1400</v>
      </c>
      <c r="L464" s="3295"/>
      <c r="M464" s="3287" t="s">
        <v>308</v>
      </c>
      <c r="N464" s="3288"/>
      <c r="O464" s="40"/>
      <c r="P464" s="40"/>
      <c r="Q464" s="40"/>
      <c r="R464" s="40">
        <v>1400</v>
      </c>
      <c r="S464" s="40"/>
      <c r="T464" s="38"/>
      <c r="U464" s="38"/>
      <c r="V464" s="38"/>
      <c r="W464" s="38"/>
      <c r="X464" s="38"/>
      <c r="Y464" s="38"/>
      <c r="Z464" s="38"/>
      <c r="AA464" s="966">
        <f t="shared" si="33"/>
        <v>1400</v>
      </c>
      <c r="AB464" s="35"/>
      <c r="AC464" s="183"/>
    </row>
    <row r="465" spans="1:29" x14ac:dyDescent="0.2">
      <c r="A465" s="1422"/>
      <c r="B465" s="2522"/>
      <c r="C465" s="3269"/>
      <c r="D465" s="3269"/>
      <c r="E465" s="3269"/>
      <c r="F465" s="3269"/>
      <c r="G465" s="3269"/>
      <c r="H465" s="3269"/>
      <c r="I465" s="3269"/>
      <c r="J465" s="3269"/>
      <c r="K465" s="40">
        <v>19242</v>
      </c>
      <c r="L465" s="3295"/>
      <c r="M465" s="3287" t="s">
        <v>309</v>
      </c>
      <c r="N465" s="3288"/>
      <c r="O465" s="40"/>
      <c r="P465" s="40"/>
      <c r="Q465" s="40">
        <v>3848.4</v>
      </c>
      <c r="R465" s="40"/>
      <c r="S465" s="40">
        <v>3848.4</v>
      </c>
      <c r="T465" s="38"/>
      <c r="U465" s="38">
        <v>3848.4</v>
      </c>
      <c r="V465" s="38"/>
      <c r="W465" s="38">
        <v>3848.4</v>
      </c>
      <c r="X465" s="38"/>
      <c r="Y465" s="38">
        <v>3848.4</v>
      </c>
      <c r="Z465" s="38"/>
      <c r="AA465" s="966">
        <f t="shared" si="33"/>
        <v>19242</v>
      </c>
      <c r="AB465" s="35"/>
      <c r="AC465" s="183"/>
    </row>
    <row r="466" spans="1:29" x14ac:dyDescent="0.2">
      <c r="A466" s="1422"/>
      <c r="B466" s="2522"/>
      <c r="C466" s="3269"/>
      <c r="D466" s="3269"/>
      <c r="E466" s="3269"/>
      <c r="F466" s="3269"/>
      <c r="G466" s="3269"/>
      <c r="H466" s="3269"/>
      <c r="I466" s="3269"/>
      <c r="J466" s="3269"/>
      <c r="K466" s="40">
        <v>291456</v>
      </c>
      <c r="L466" s="3295"/>
      <c r="M466" s="3287" t="s">
        <v>310</v>
      </c>
      <c r="N466" s="3288"/>
      <c r="O466" s="40">
        <v>24288</v>
      </c>
      <c r="P466" s="40">
        <v>24288</v>
      </c>
      <c r="Q466" s="40">
        <v>24288</v>
      </c>
      <c r="R466" s="40">
        <v>24288</v>
      </c>
      <c r="S466" s="40">
        <v>24288</v>
      </c>
      <c r="T466" s="38">
        <v>24288</v>
      </c>
      <c r="U466" s="38">
        <v>24288</v>
      </c>
      <c r="V466" s="38">
        <v>24288</v>
      </c>
      <c r="W466" s="38">
        <v>24288</v>
      </c>
      <c r="X466" s="38">
        <v>24288</v>
      </c>
      <c r="Y466" s="38">
        <v>24288</v>
      </c>
      <c r="Z466" s="38">
        <v>24288</v>
      </c>
      <c r="AA466" s="966">
        <f t="shared" si="33"/>
        <v>291456</v>
      </c>
      <c r="AB466" s="35"/>
      <c r="AC466" s="183"/>
    </row>
    <row r="467" spans="1:29" x14ac:dyDescent="0.2">
      <c r="A467" s="1422"/>
      <c r="B467" s="2522"/>
      <c r="C467" s="3270"/>
      <c r="D467" s="3270"/>
      <c r="E467" s="3270"/>
      <c r="F467" s="3270"/>
      <c r="G467" s="3270"/>
      <c r="H467" s="3270"/>
      <c r="I467" s="3270"/>
      <c r="J467" s="3270"/>
      <c r="K467" s="40">
        <v>19503</v>
      </c>
      <c r="L467" s="3296"/>
      <c r="M467" s="3287" t="s">
        <v>311</v>
      </c>
      <c r="N467" s="3288"/>
      <c r="O467" s="40">
        <v>1625.25</v>
      </c>
      <c r="P467" s="40">
        <v>1625.25</v>
      </c>
      <c r="Q467" s="40">
        <v>1625.25</v>
      </c>
      <c r="R467" s="40">
        <v>1625.25</v>
      </c>
      <c r="S467" s="40">
        <v>1625.25</v>
      </c>
      <c r="T467" s="38">
        <v>1625.25</v>
      </c>
      <c r="U467" s="38">
        <v>1625.25</v>
      </c>
      <c r="V467" s="38">
        <v>1625.25</v>
      </c>
      <c r="W467" s="38">
        <v>1625.25</v>
      </c>
      <c r="X467" s="38">
        <v>1625.25</v>
      </c>
      <c r="Y467" s="38">
        <v>1625.25</v>
      </c>
      <c r="Z467" s="38">
        <v>1625.25</v>
      </c>
      <c r="AA467" s="966">
        <f t="shared" si="33"/>
        <v>19503</v>
      </c>
      <c r="AB467" s="35"/>
      <c r="AC467" s="183"/>
    </row>
    <row r="468" spans="1:29" x14ac:dyDescent="0.2">
      <c r="A468" s="1422"/>
      <c r="B468" s="1418"/>
      <c r="C468" s="99"/>
      <c r="D468" s="99"/>
      <c r="E468" s="99"/>
      <c r="F468" s="99"/>
      <c r="G468" s="99"/>
      <c r="H468" s="99"/>
      <c r="I468" s="99"/>
      <c r="J468" s="99"/>
      <c r="K468" s="188">
        <f>SUM(K445:K467)</f>
        <v>4620392</v>
      </c>
      <c r="L468" s="188"/>
      <c r="M468" s="188"/>
      <c r="N468" s="188"/>
      <c r="O468" s="188"/>
      <c r="P468" s="188"/>
      <c r="Q468" s="188"/>
      <c r="R468" s="188"/>
      <c r="S468" s="188"/>
      <c r="T468" s="99"/>
      <c r="U468" s="99"/>
      <c r="V468" s="99"/>
      <c r="W468" s="99"/>
      <c r="X468" s="99"/>
      <c r="Y468" s="99"/>
      <c r="Z468" s="99"/>
      <c r="AA468" s="189"/>
      <c r="AB468" s="35"/>
      <c r="AC468" s="183"/>
    </row>
    <row r="469" spans="1:29" x14ac:dyDescent="0.2">
      <c r="A469" s="1422"/>
      <c r="B469" s="1419"/>
      <c r="C469" s="35"/>
      <c r="D469" s="35"/>
      <c r="E469" s="35"/>
      <c r="F469" s="35"/>
      <c r="G469" s="35"/>
      <c r="H469" s="35"/>
      <c r="I469" s="35"/>
      <c r="J469" s="35"/>
      <c r="K469" s="60"/>
      <c r="L469" s="60"/>
      <c r="M469" s="60"/>
      <c r="N469" s="60"/>
      <c r="O469" s="60"/>
      <c r="P469" s="60"/>
      <c r="Q469" s="60"/>
      <c r="R469" s="60"/>
      <c r="S469" s="60"/>
      <c r="T469" s="35"/>
      <c r="U469" s="2974" t="s">
        <v>15</v>
      </c>
      <c r="V469" s="2975"/>
      <c r="W469" s="2975"/>
      <c r="X469" s="2975"/>
      <c r="Y469" s="2976"/>
      <c r="Z469" s="2974" t="s">
        <v>16</v>
      </c>
      <c r="AA469" s="2976"/>
      <c r="AB469" s="35"/>
      <c r="AC469" s="183"/>
    </row>
    <row r="470" spans="1:29" ht="22.5" customHeight="1" x14ac:dyDescent="0.2">
      <c r="A470" s="1422"/>
      <c r="B470" s="1014" t="s">
        <v>276</v>
      </c>
      <c r="C470" s="1087"/>
      <c r="D470" s="1115">
        <v>3033312</v>
      </c>
      <c r="E470" s="3277" t="s">
        <v>416</v>
      </c>
      <c r="F470" s="3278"/>
      <c r="G470" s="3278"/>
      <c r="H470" s="3278"/>
      <c r="I470" s="3278"/>
      <c r="J470" s="3278"/>
      <c r="K470" s="3278"/>
      <c r="L470" s="3278"/>
      <c r="M470" s="3278"/>
      <c r="N470" s="3278"/>
      <c r="O470" s="3278"/>
      <c r="P470" s="3278"/>
      <c r="Q470" s="3278"/>
      <c r="R470" s="3278"/>
      <c r="S470" s="3278"/>
      <c r="T470" s="3279"/>
      <c r="U470" s="3019" t="s">
        <v>417</v>
      </c>
      <c r="V470" s="3328"/>
      <c r="W470" s="3328"/>
      <c r="X470" s="3328"/>
      <c r="Y470" s="3020"/>
      <c r="Z470" s="3233" t="s">
        <v>418</v>
      </c>
      <c r="AA470" s="3233"/>
      <c r="AB470" s="35"/>
      <c r="AC470" s="183"/>
    </row>
    <row r="471" spans="1:29" x14ac:dyDescent="0.2">
      <c r="A471" s="1422"/>
      <c r="B471" s="2999" t="s">
        <v>278</v>
      </c>
      <c r="C471" s="2988" t="s">
        <v>21</v>
      </c>
      <c r="D471" s="2988" t="s">
        <v>22</v>
      </c>
      <c r="E471" s="2988" t="s">
        <v>23</v>
      </c>
      <c r="F471" s="2988" t="s">
        <v>24</v>
      </c>
      <c r="G471" s="2988" t="s">
        <v>25</v>
      </c>
      <c r="H471" s="2988" t="s">
        <v>26</v>
      </c>
      <c r="I471" s="2988" t="s">
        <v>27</v>
      </c>
      <c r="J471" s="3206" t="s">
        <v>28</v>
      </c>
      <c r="K471" s="3301"/>
      <c r="L471" s="2988" t="s">
        <v>279</v>
      </c>
      <c r="M471" s="3273" t="s">
        <v>280</v>
      </c>
      <c r="N471" s="3274"/>
      <c r="O471" s="2847" t="s">
        <v>281</v>
      </c>
      <c r="P471" s="2847"/>
      <c r="Q471" s="2847"/>
      <c r="R471" s="2847"/>
      <c r="S471" s="2847"/>
      <c r="T471" s="2847"/>
      <c r="U471" s="2847"/>
      <c r="V471" s="2847"/>
      <c r="W471" s="2847"/>
      <c r="X471" s="2847"/>
      <c r="Y471" s="2847"/>
      <c r="Z471" s="2847"/>
      <c r="AA471" s="2988" t="s">
        <v>32</v>
      </c>
      <c r="AB471" s="35"/>
      <c r="AC471" s="183"/>
    </row>
    <row r="472" spans="1:29" x14ac:dyDescent="0.2">
      <c r="A472" s="1422"/>
      <c r="B472" s="2999"/>
      <c r="C472" s="3186"/>
      <c r="D472" s="3186"/>
      <c r="E472" s="3186"/>
      <c r="F472" s="3186"/>
      <c r="G472" s="3186"/>
      <c r="H472" s="3186"/>
      <c r="I472" s="3186"/>
      <c r="J472" s="2988" t="s">
        <v>33</v>
      </c>
      <c r="K472" s="2988" t="s">
        <v>282</v>
      </c>
      <c r="L472" s="3186"/>
      <c r="M472" s="3275"/>
      <c r="N472" s="3276"/>
      <c r="O472" s="1009" t="s">
        <v>283</v>
      </c>
      <c r="P472" s="1009" t="s">
        <v>284</v>
      </c>
      <c r="Q472" s="1009" t="s">
        <v>285</v>
      </c>
      <c r="R472" s="1009" t="s">
        <v>88</v>
      </c>
      <c r="S472" s="1009" t="s">
        <v>89</v>
      </c>
      <c r="T472" s="1009" t="s">
        <v>90</v>
      </c>
      <c r="U472" s="1009" t="s">
        <v>91</v>
      </c>
      <c r="V472" s="1009" t="s">
        <v>92</v>
      </c>
      <c r="W472" s="1009" t="s">
        <v>286</v>
      </c>
      <c r="X472" s="1009" t="s">
        <v>93</v>
      </c>
      <c r="Y472" s="1009" t="s">
        <v>94</v>
      </c>
      <c r="Z472" s="1009" t="s">
        <v>95</v>
      </c>
      <c r="AA472" s="2989"/>
      <c r="AB472" s="35"/>
      <c r="AC472" s="183"/>
    </row>
    <row r="473" spans="1:29" x14ac:dyDescent="0.2">
      <c r="A473" s="1422"/>
      <c r="B473" s="2999"/>
      <c r="C473" s="3186"/>
      <c r="D473" s="3186"/>
      <c r="E473" s="3186"/>
      <c r="F473" s="3186"/>
      <c r="G473" s="3186"/>
      <c r="H473" s="3186"/>
      <c r="I473" s="3186"/>
      <c r="J473" s="3186"/>
      <c r="K473" s="3186"/>
      <c r="L473" s="3186"/>
      <c r="M473" s="3271" t="s">
        <v>287</v>
      </c>
      <c r="N473" s="3272"/>
      <c r="O473" s="1095">
        <v>1844</v>
      </c>
      <c r="P473" s="1095">
        <v>1844</v>
      </c>
      <c r="Q473" s="1095">
        <v>1846</v>
      </c>
      <c r="R473" s="1095">
        <v>1846</v>
      </c>
      <c r="S473" s="1095">
        <v>1846</v>
      </c>
      <c r="T473" s="1095">
        <v>1846</v>
      </c>
      <c r="U473" s="1095">
        <v>1846</v>
      </c>
      <c r="V473" s="1095">
        <v>1846</v>
      </c>
      <c r="W473" s="1095">
        <v>1846</v>
      </c>
      <c r="X473" s="1095">
        <v>1846</v>
      </c>
      <c r="Y473" s="1095">
        <v>1846</v>
      </c>
      <c r="Z473" s="1095">
        <v>1846</v>
      </c>
      <c r="AA473" s="1196">
        <f t="shared" ref="AA473:AA499" si="34">SUM(O473:Z473)</f>
        <v>22148</v>
      </c>
      <c r="AB473" s="35"/>
      <c r="AC473" s="183"/>
    </row>
    <row r="474" spans="1:29" x14ac:dyDescent="0.2">
      <c r="A474" s="1422"/>
      <c r="B474" s="2999"/>
      <c r="C474" s="2989"/>
      <c r="D474" s="2989"/>
      <c r="E474" s="2989"/>
      <c r="F474" s="2989"/>
      <c r="G474" s="2989"/>
      <c r="H474" s="2989"/>
      <c r="I474" s="2989"/>
      <c r="J474" s="2989"/>
      <c r="K474" s="2989"/>
      <c r="L474" s="2989"/>
      <c r="M474" s="3271" t="s">
        <v>34</v>
      </c>
      <c r="N474" s="3272"/>
      <c r="O474" s="1095">
        <v>277396.83333333337</v>
      </c>
      <c r="P474" s="1095">
        <v>245774.10606060608</v>
      </c>
      <c r="Q474" s="1095">
        <v>260258.10606060608</v>
      </c>
      <c r="R474" s="1095">
        <v>252831.90606060607</v>
      </c>
      <c r="S474" s="1095">
        <v>260241.97272727275</v>
      </c>
      <c r="T474" s="1095">
        <v>247608.0393939394</v>
      </c>
      <c r="U474" s="1095">
        <v>283515.97272727278</v>
      </c>
      <c r="V474" s="1095">
        <v>253314.0393939394</v>
      </c>
      <c r="W474" s="1095">
        <v>256741.97272727275</v>
      </c>
      <c r="X474" s="1095">
        <v>249358.0393939394</v>
      </c>
      <c r="Y474" s="1095">
        <v>256741.97272727275</v>
      </c>
      <c r="Z474" s="1095">
        <v>271382.03939393943</v>
      </c>
      <c r="AA474" s="1196">
        <f t="shared" si="34"/>
        <v>3115165.0000000005</v>
      </c>
      <c r="AB474" s="35"/>
      <c r="AC474" s="183"/>
    </row>
    <row r="475" spans="1:29" ht="11.25" customHeight="1" x14ac:dyDescent="0.2">
      <c r="A475" s="1422"/>
      <c r="B475" s="2522">
        <v>5000028</v>
      </c>
      <c r="C475" s="3268" t="s">
        <v>3042</v>
      </c>
      <c r="D475" s="3268">
        <v>15</v>
      </c>
      <c r="E475" s="3268" t="s">
        <v>407</v>
      </c>
      <c r="F475" s="3268" t="s">
        <v>386</v>
      </c>
      <c r="G475" s="3268" t="s">
        <v>387</v>
      </c>
      <c r="H475" s="3268" t="s">
        <v>419</v>
      </c>
      <c r="I475" s="3268" t="s">
        <v>414</v>
      </c>
      <c r="J475" s="3268">
        <v>22148</v>
      </c>
      <c r="K475" s="40">
        <v>624588</v>
      </c>
      <c r="L475" s="3294" t="s">
        <v>377</v>
      </c>
      <c r="M475" s="3287" t="s">
        <v>293</v>
      </c>
      <c r="N475" s="3288"/>
      <c r="O475" s="40">
        <v>52049</v>
      </c>
      <c r="P475" s="40">
        <v>52049</v>
      </c>
      <c r="Q475" s="40">
        <v>52049</v>
      </c>
      <c r="R475" s="40">
        <v>52049</v>
      </c>
      <c r="S475" s="40">
        <v>52049</v>
      </c>
      <c r="T475" s="38">
        <v>52049</v>
      </c>
      <c r="U475" s="38">
        <v>52049</v>
      </c>
      <c r="V475" s="38">
        <v>52049</v>
      </c>
      <c r="W475" s="38">
        <v>52049</v>
      </c>
      <c r="X475" s="38">
        <v>52049</v>
      </c>
      <c r="Y475" s="38">
        <v>52049</v>
      </c>
      <c r="Z475" s="38">
        <v>52049</v>
      </c>
      <c r="AA475" s="966">
        <f t="shared" si="34"/>
        <v>624588</v>
      </c>
      <c r="AB475" s="35"/>
      <c r="AC475" s="183"/>
    </row>
    <row r="476" spans="1:29" x14ac:dyDescent="0.2">
      <c r="A476" s="1422"/>
      <c r="B476" s="2522"/>
      <c r="C476" s="3269"/>
      <c r="D476" s="3269"/>
      <c r="E476" s="3269"/>
      <c r="F476" s="3269"/>
      <c r="G476" s="3269"/>
      <c r="H476" s="3269"/>
      <c r="I476" s="3269"/>
      <c r="J476" s="3269"/>
      <c r="K476" s="40">
        <v>104458</v>
      </c>
      <c r="L476" s="3295"/>
      <c r="M476" s="3287" t="s">
        <v>321</v>
      </c>
      <c r="N476" s="3288"/>
      <c r="O476" s="40">
        <v>8704.8333333333339</v>
      </c>
      <c r="P476" s="40">
        <v>8704.8333333333339</v>
      </c>
      <c r="Q476" s="40">
        <v>8704.8333333333339</v>
      </c>
      <c r="R476" s="40">
        <v>8704.8333333333339</v>
      </c>
      <c r="S476" s="40">
        <v>8704.8333333333339</v>
      </c>
      <c r="T476" s="38">
        <v>8704.8333333333339</v>
      </c>
      <c r="U476" s="38">
        <v>8704.8333333333339</v>
      </c>
      <c r="V476" s="38">
        <v>8704.8333333333339</v>
      </c>
      <c r="W476" s="38">
        <v>8704.8333333333339</v>
      </c>
      <c r="X476" s="38">
        <v>8704.8333333333339</v>
      </c>
      <c r="Y476" s="38">
        <v>8704.8333333333339</v>
      </c>
      <c r="Z476" s="38">
        <v>8704.8333333333339</v>
      </c>
      <c r="AA476" s="966">
        <f t="shared" si="34"/>
        <v>104457.99999999999</v>
      </c>
      <c r="AB476" s="35"/>
      <c r="AC476" s="183"/>
    </row>
    <row r="477" spans="1:29" x14ac:dyDescent="0.2">
      <c r="A477" s="1422"/>
      <c r="B477" s="2522"/>
      <c r="C477" s="3269"/>
      <c r="D477" s="3269"/>
      <c r="E477" s="3269"/>
      <c r="F477" s="3269"/>
      <c r="G477" s="3269"/>
      <c r="H477" s="3269"/>
      <c r="I477" s="3269"/>
      <c r="J477" s="3269"/>
      <c r="K477" s="40">
        <v>190236</v>
      </c>
      <c r="L477" s="3295"/>
      <c r="M477" s="3287" t="s">
        <v>294</v>
      </c>
      <c r="N477" s="3288"/>
      <c r="O477" s="40">
        <v>15853</v>
      </c>
      <c r="P477" s="40">
        <v>15853</v>
      </c>
      <c r="Q477" s="40">
        <v>15853</v>
      </c>
      <c r="R477" s="40">
        <v>15853</v>
      </c>
      <c r="S477" s="40">
        <v>15853</v>
      </c>
      <c r="T477" s="38">
        <v>15853</v>
      </c>
      <c r="U477" s="38">
        <v>15853</v>
      </c>
      <c r="V477" s="38">
        <v>15853</v>
      </c>
      <c r="W477" s="38">
        <v>15853</v>
      </c>
      <c r="X477" s="38">
        <v>15853</v>
      </c>
      <c r="Y477" s="38">
        <v>15853</v>
      </c>
      <c r="Z477" s="38">
        <v>15853</v>
      </c>
      <c r="AA477" s="966">
        <f t="shared" si="34"/>
        <v>190236</v>
      </c>
      <c r="AB477" s="35"/>
      <c r="AC477" s="183"/>
    </row>
    <row r="478" spans="1:29" x14ac:dyDescent="0.2">
      <c r="A478" s="1422"/>
      <c r="B478" s="2522"/>
      <c r="C478" s="3269"/>
      <c r="D478" s="3269"/>
      <c r="E478" s="3269"/>
      <c r="F478" s="3269"/>
      <c r="G478" s="3269"/>
      <c r="H478" s="3269"/>
      <c r="I478" s="3269"/>
      <c r="J478" s="3269"/>
      <c r="K478" s="40">
        <v>1140789</v>
      </c>
      <c r="L478" s="3295"/>
      <c r="M478" s="3287" t="s">
        <v>295</v>
      </c>
      <c r="N478" s="3288"/>
      <c r="O478" s="40">
        <v>95065.75</v>
      </c>
      <c r="P478" s="40">
        <v>95065.75</v>
      </c>
      <c r="Q478" s="40">
        <v>95065.75</v>
      </c>
      <c r="R478" s="40">
        <v>95065.75</v>
      </c>
      <c r="S478" s="40">
        <v>95065.75</v>
      </c>
      <c r="T478" s="38">
        <v>95065.75</v>
      </c>
      <c r="U478" s="38">
        <v>95065.75</v>
      </c>
      <c r="V478" s="38">
        <v>95065.75</v>
      </c>
      <c r="W478" s="38">
        <v>95065.75</v>
      </c>
      <c r="X478" s="38">
        <v>95065.75</v>
      </c>
      <c r="Y478" s="38">
        <v>95065.75</v>
      </c>
      <c r="Z478" s="38">
        <v>95065.75</v>
      </c>
      <c r="AA478" s="966">
        <f t="shared" si="34"/>
        <v>1140789</v>
      </c>
      <c r="AB478" s="35"/>
      <c r="AC478" s="183"/>
    </row>
    <row r="479" spans="1:29" x14ac:dyDescent="0.2">
      <c r="A479" s="1422"/>
      <c r="B479" s="2522"/>
      <c r="C479" s="3269"/>
      <c r="D479" s="3269"/>
      <c r="E479" s="3269"/>
      <c r="F479" s="3269"/>
      <c r="G479" s="3269"/>
      <c r="H479" s="3269"/>
      <c r="I479" s="3269"/>
      <c r="J479" s="3269"/>
      <c r="K479" s="40">
        <v>21120</v>
      </c>
      <c r="L479" s="3295"/>
      <c r="M479" s="3287" t="s">
        <v>332</v>
      </c>
      <c r="N479" s="3288"/>
      <c r="O479" s="40">
        <v>1760</v>
      </c>
      <c r="P479" s="40">
        <v>1760</v>
      </c>
      <c r="Q479" s="40">
        <v>1760</v>
      </c>
      <c r="R479" s="40">
        <v>1760</v>
      </c>
      <c r="S479" s="40">
        <v>1760</v>
      </c>
      <c r="T479" s="38">
        <v>1760</v>
      </c>
      <c r="U479" s="38">
        <v>1760</v>
      </c>
      <c r="V479" s="38">
        <v>1760</v>
      </c>
      <c r="W479" s="38">
        <v>1760</v>
      </c>
      <c r="X479" s="38">
        <v>1760</v>
      </c>
      <c r="Y479" s="38">
        <v>1760</v>
      </c>
      <c r="Z479" s="38">
        <v>1760</v>
      </c>
      <c r="AA479" s="966">
        <f t="shared" si="34"/>
        <v>21120</v>
      </c>
      <c r="AB479" s="35"/>
      <c r="AC479" s="183"/>
    </row>
    <row r="480" spans="1:29" x14ac:dyDescent="0.2">
      <c r="A480" s="1422"/>
      <c r="B480" s="2522"/>
      <c r="C480" s="3269"/>
      <c r="D480" s="3269"/>
      <c r="E480" s="3269"/>
      <c r="F480" s="3269"/>
      <c r="G480" s="3269"/>
      <c r="H480" s="3269"/>
      <c r="I480" s="3269"/>
      <c r="J480" s="3269"/>
      <c r="K480" s="40">
        <v>398092</v>
      </c>
      <c r="L480" s="3295"/>
      <c r="M480" s="3287" t="s">
        <v>296</v>
      </c>
      <c r="N480" s="3288"/>
      <c r="O480" s="40">
        <v>33174.333333333336</v>
      </c>
      <c r="P480" s="40">
        <v>33174.333333333336</v>
      </c>
      <c r="Q480" s="40">
        <v>33174.333333333336</v>
      </c>
      <c r="R480" s="40">
        <v>33174.333333333336</v>
      </c>
      <c r="S480" s="40">
        <v>33174.333333333336</v>
      </c>
      <c r="T480" s="38">
        <v>33174.333333333336</v>
      </c>
      <c r="U480" s="38">
        <v>33174.333333333336</v>
      </c>
      <c r="V480" s="38">
        <v>33174.333333333336</v>
      </c>
      <c r="W480" s="38">
        <v>33174.333333333336</v>
      </c>
      <c r="X480" s="38">
        <v>33174.333333333336</v>
      </c>
      <c r="Y480" s="38">
        <v>33174.333333333336</v>
      </c>
      <c r="Z480" s="38">
        <v>33174.333333333336</v>
      </c>
      <c r="AA480" s="966">
        <f t="shared" si="34"/>
        <v>398091.99999999994</v>
      </c>
      <c r="AB480" s="35"/>
      <c r="AC480" s="183"/>
    </row>
    <row r="481" spans="1:29" x14ac:dyDescent="0.2">
      <c r="A481" s="1422"/>
      <c r="B481" s="2522"/>
      <c r="C481" s="3269"/>
      <c r="D481" s="3269"/>
      <c r="E481" s="3269"/>
      <c r="F481" s="3269"/>
      <c r="G481" s="3269"/>
      <c r="H481" s="3269"/>
      <c r="I481" s="3269"/>
      <c r="J481" s="3269"/>
      <c r="K481" s="40">
        <v>104016</v>
      </c>
      <c r="L481" s="3295"/>
      <c r="M481" s="3287" t="s">
        <v>297</v>
      </c>
      <c r="N481" s="3288"/>
      <c r="O481" s="40">
        <v>8668</v>
      </c>
      <c r="P481" s="40">
        <v>8668</v>
      </c>
      <c r="Q481" s="40">
        <v>8668</v>
      </c>
      <c r="R481" s="40">
        <v>8668</v>
      </c>
      <c r="S481" s="40">
        <v>8668</v>
      </c>
      <c r="T481" s="38">
        <v>8668</v>
      </c>
      <c r="U481" s="38">
        <v>8668</v>
      </c>
      <c r="V481" s="38">
        <v>8668</v>
      </c>
      <c r="W481" s="38">
        <v>8668</v>
      </c>
      <c r="X481" s="38">
        <v>8668</v>
      </c>
      <c r="Y481" s="38">
        <v>8668</v>
      </c>
      <c r="Z481" s="38">
        <v>8668</v>
      </c>
      <c r="AA481" s="966">
        <f t="shared" si="34"/>
        <v>104016</v>
      </c>
      <c r="AB481" s="35"/>
      <c r="AC481" s="183"/>
    </row>
    <row r="482" spans="1:29" x14ac:dyDescent="0.2">
      <c r="A482" s="1422"/>
      <c r="B482" s="2522"/>
      <c r="C482" s="3269"/>
      <c r="D482" s="3269"/>
      <c r="E482" s="3269"/>
      <c r="F482" s="3269"/>
      <c r="G482" s="3269"/>
      <c r="H482" s="3269"/>
      <c r="I482" s="3269"/>
      <c r="J482" s="3269"/>
      <c r="K482" s="40">
        <v>47548</v>
      </c>
      <c r="L482" s="3295"/>
      <c r="M482" s="3287" t="s">
        <v>298</v>
      </c>
      <c r="N482" s="3288"/>
      <c r="O482" s="40"/>
      <c r="P482" s="40"/>
      <c r="Q482" s="40"/>
      <c r="R482" s="40"/>
      <c r="S482" s="40"/>
      <c r="T482" s="38"/>
      <c r="U482" s="38">
        <v>23774</v>
      </c>
      <c r="V482" s="38"/>
      <c r="W482" s="38"/>
      <c r="X482" s="38"/>
      <c r="Y482" s="38"/>
      <c r="Z482" s="38">
        <v>23774</v>
      </c>
      <c r="AA482" s="966">
        <f t="shared" si="34"/>
        <v>47548</v>
      </c>
      <c r="AB482" s="35"/>
      <c r="AC482" s="183"/>
    </row>
    <row r="483" spans="1:29" x14ac:dyDescent="0.2">
      <c r="A483" s="1422"/>
      <c r="B483" s="2522"/>
      <c r="C483" s="3269"/>
      <c r="D483" s="3269"/>
      <c r="E483" s="3269"/>
      <c r="F483" s="3269"/>
      <c r="G483" s="3269"/>
      <c r="H483" s="3269"/>
      <c r="I483" s="3269"/>
      <c r="J483" s="3269"/>
      <c r="K483" s="40">
        <v>31400</v>
      </c>
      <c r="L483" s="3295"/>
      <c r="M483" s="3287" t="s">
        <v>299</v>
      </c>
      <c r="N483" s="3288"/>
      <c r="O483" s="40">
        <v>31400</v>
      </c>
      <c r="P483" s="40"/>
      <c r="Q483" s="40"/>
      <c r="R483" s="40"/>
      <c r="S483" s="40"/>
      <c r="T483" s="38"/>
      <c r="U483" s="38"/>
      <c r="V483" s="38"/>
      <c r="W483" s="38"/>
      <c r="X483" s="38"/>
      <c r="Y483" s="38"/>
      <c r="Z483" s="38"/>
      <c r="AA483" s="966">
        <f t="shared" si="34"/>
        <v>31400</v>
      </c>
      <c r="AB483" s="35"/>
      <c r="AC483" s="183"/>
    </row>
    <row r="484" spans="1:29" x14ac:dyDescent="0.2">
      <c r="A484" s="1422"/>
      <c r="B484" s="2522"/>
      <c r="C484" s="3269"/>
      <c r="D484" s="3269"/>
      <c r="E484" s="3269"/>
      <c r="F484" s="3269"/>
      <c r="G484" s="3269"/>
      <c r="H484" s="3269"/>
      <c r="I484" s="3269"/>
      <c r="J484" s="3269"/>
      <c r="K484" s="40">
        <v>128403</v>
      </c>
      <c r="L484" s="3295"/>
      <c r="M484" s="3287" t="s">
        <v>300</v>
      </c>
      <c r="N484" s="3288"/>
      <c r="O484" s="40">
        <v>10700.25</v>
      </c>
      <c r="P484" s="40">
        <v>10700.25</v>
      </c>
      <c r="Q484" s="40">
        <v>10700.25</v>
      </c>
      <c r="R484" s="40">
        <v>10700.25</v>
      </c>
      <c r="S484" s="40">
        <v>10700.25</v>
      </c>
      <c r="T484" s="38">
        <v>10700.25</v>
      </c>
      <c r="U484" s="38">
        <v>10700.25</v>
      </c>
      <c r="V484" s="38">
        <v>10700.25</v>
      </c>
      <c r="W484" s="38">
        <v>10700.25</v>
      </c>
      <c r="X484" s="38">
        <v>10700.25</v>
      </c>
      <c r="Y484" s="38">
        <v>10700.25</v>
      </c>
      <c r="Z484" s="38">
        <v>10700.25</v>
      </c>
      <c r="AA484" s="966">
        <f t="shared" si="34"/>
        <v>128403</v>
      </c>
      <c r="AB484" s="35"/>
      <c r="AC484" s="183"/>
    </row>
    <row r="485" spans="1:29" x14ac:dyDescent="0.2">
      <c r="A485" s="1422"/>
      <c r="B485" s="2522"/>
      <c r="C485" s="3269"/>
      <c r="D485" s="3269"/>
      <c r="E485" s="3269"/>
      <c r="F485" s="3269"/>
      <c r="G485" s="3269"/>
      <c r="H485" s="3269"/>
      <c r="I485" s="3269"/>
      <c r="J485" s="3269"/>
      <c r="K485" s="40">
        <v>4277</v>
      </c>
      <c r="L485" s="3295"/>
      <c r="M485" s="3287" t="s">
        <v>301</v>
      </c>
      <c r="N485" s="3288"/>
      <c r="O485" s="40">
        <v>356.41666666666669</v>
      </c>
      <c r="P485" s="40">
        <v>356.41666666666669</v>
      </c>
      <c r="Q485" s="40">
        <v>356.41666666666669</v>
      </c>
      <c r="R485" s="40">
        <v>356.41666666666669</v>
      </c>
      <c r="S485" s="40">
        <v>356.41666666666669</v>
      </c>
      <c r="T485" s="38">
        <v>356.41666666666669</v>
      </c>
      <c r="U485" s="38">
        <v>356.41666666666669</v>
      </c>
      <c r="V485" s="38">
        <v>356.41666666666669</v>
      </c>
      <c r="W485" s="38">
        <v>356.41666666666669</v>
      </c>
      <c r="X485" s="38">
        <v>356.41666666666669</v>
      </c>
      <c r="Y485" s="38">
        <v>356.41666666666669</v>
      </c>
      <c r="Z485" s="38">
        <v>356.41666666666669</v>
      </c>
      <c r="AA485" s="966">
        <f t="shared" si="34"/>
        <v>4276.9999999999991</v>
      </c>
      <c r="AB485" s="35"/>
      <c r="AC485" s="183"/>
    </row>
    <row r="486" spans="1:29" x14ac:dyDescent="0.2">
      <c r="A486" s="1422"/>
      <c r="B486" s="2522"/>
      <c r="C486" s="3269"/>
      <c r="D486" s="3269"/>
      <c r="E486" s="3269"/>
      <c r="F486" s="3269"/>
      <c r="G486" s="3269"/>
      <c r="H486" s="3269"/>
      <c r="I486" s="3269"/>
      <c r="J486" s="3269"/>
      <c r="K486" s="40">
        <v>2500</v>
      </c>
      <c r="L486" s="3295"/>
      <c r="M486" s="3287" t="s">
        <v>380</v>
      </c>
      <c r="N486" s="3288"/>
      <c r="O486" s="40">
        <v>1250</v>
      </c>
      <c r="P486" s="40"/>
      <c r="Q486" s="40"/>
      <c r="R486" s="40"/>
      <c r="S486" s="40"/>
      <c r="T486" s="38"/>
      <c r="U486" s="38">
        <v>1250</v>
      </c>
      <c r="V486" s="38"/>
      <c r="W486" s="38"/>
      <c r="X486" s="38"/>
      <c r="Y486" s="38"/>
      <c r="Z486" s="38"/>
      <c r="AA486" s="966">
        <f t="shared" si="34"/>
        <v>2500</v>
      </c>
      <c r="AB486" s="35"/>
      <c r="AC486" s="183"/>
    </row>
    <row r="487" spans="1:29" x14ac:dyDescent="0.2">
      <c r="A487" s="1422"/>
      <c r="B487" s="2522"/>
      <c r="C487" s="3269"/>
      <c r="D487" s="3269"/>
      <c r="E487" s="3269"/>
      <c r="F487" s="3269"/>
      <c r="G487" s="3269"/>
      <c r="H487" s="3269"/>
      <c r="I487" s="3269"/>
      <c r="J487" s="3269"/>
      <c r="K487" s="40">
        <v>234</v>
      </c>
      <c r="L487" s="3295"/>
      <c r="M487" s="3287" t="s">
        <v>303</v>
      </c>
      <c r="N487" s="3288"/>
      <c r="O487" s="40"/>
      <c r="P487" s="40"/>
      <c r="Q487" s="40">
        <v>234</v>
      </c>
      <c r="R487" s="40"/>
      <c r="S487" s="40"/>
      <c r="T487" s="38"/>
      <c r="U487" s="38"/>
      <c r="V487" s="38"/>
      <c r="W487" s="38"/>
      <c r="X487" s="38"/>
      <c r="Y487" s="38"/>
      <c r="Z487" s="38"/>
      <c r="AA487" s="966">
        <f t="shared" si="34"/>
        <v>234</v>
      </c>
      <c r="AB487" s="35"/>
      <c r="AC487" s="183"/>
    </row>
    <row r="488" spans="1:29" x14ac:dyDescent="0.2">
      <c r="A488" s="1422"/>
      <c r="B488" s="2522"/>
      <c r="C488" s="3269"/>
      <c r="D488" s="3269"/>
      <c r="E488" s="3269"/>
      <c r="F488" s="3269"/>
      <c r="G488" s="3269"/>
      <c r="H488" s="3269"/>
      <c r="I488" s="3269"/>
      <c r="J488" s="3269"/>
      <c r="K488" s="40">
        <v>300</v>
      </c>
      <c r="L488" s="3295"/>
      <c r="M488" s="3287" t="s">
        <v>324</v>
      </c>
      <c r="N488" s="3288"/>
      <c r="O488" s="40"/>
      <c r="P488" s="40">
        <v>300</v>
      </c>
      <c r="Q488" s="40"/>
      <c r="R488" s="40"/>
      <c r="S488" s="40"/>
      <c r="T488" s="38"/>
      <c r="U488" s="38"/>
      <c r="V488" s="38"/>
      <c r="W488" s="38"/>
      <c r="X488" s="38"/>
      <c r="Y488" s="38"/>
      <c r="Z488" s="38"/>
      <c r="AA488" s="966">
        <f t="shared" si="34"/>
        <v>300</v>
      </c>
      <c r="AB488" s="35"/>
      <c r="AC488" s="183"/>
    </row>
    <row r="489" spans="1:29" x14ac:dyDescent="0.2">
      <c r="A489" s="1422"/>
      <c r="B489" s="2522"/>
      <c r="C489" s="3269"/>
      <c r="D489" s="3269"/>
      <c r="E489" s="3269"/>
      <c r="F489" s="3269"/>
      <c r="G489" s="3269"/>
      <c r="H489" s="3269"/>
      <c r="I489" s="3269"/>
      <c r="J489" s="3269"/>
      <c r="K489" s="40">
        <v>1000</v>
      </c>
      <c r="L489" s="3295"/>
      <c r="M489" s="3287" t="s">
        <v>420</v>
      </c>
      <c r="N489" s="3288"/>
      <c r="O489" s="40"/>
      <c r="P489" s="40"/>
      <c r="Q489" s="40">
        <v>1000</v>
      </c>
      <c r="R489" s="40"/>
      <c r="S489" s="40"/>
      <c r="T489" s="38"/>
      <c r="U489" s="38"/>
      <c r="V489" s="38"/>
      <c r="W489" s="38"/>
      <c r="X489" s="38"/>
      <c r="Y489" s="38"/>
      <c r="Z489" s="38"/>
      <c r="AA489" s="966">
        <f t="shared" si="34"/>
        <v>1000</v>
      </c>
      <c r="AB489" s="35"/>
      <c r="AC489" s="183"/>
    </row>
    <row r="490" spans="1:29" x14ac:dyDescent="0.2">
      <c r="A490" s="1422"/>
      <c r="B490" s="2522"/>
      <c r="C490" s="3269"/>
      <c r="D490" s="3269"/>
      <c r="E490" s="3269"/>
      <c r="F490" s="3269"/>
      <c r="G490" s="3269"/>
      <c r="H490" s="3269"/>
      <c r="I490" s="3269"/>
      <c r="J490" s="3269"/>
      <c r="K490" s="40">
        <v>1912</v>
      </c>
      <c r="L490" s="3295"/>
      <c r="M490" s="3287" t="s">
        <v>393</v>
      </c>
      <c r="N490" s="3288"/>
      <c r="O490" s="40"/>
      <c r="P490" s="40"/>
      <c r="Q490" s="40"/>
      <c r="R490" s="40">
        <v>956</v>
      </c>
      <c r="S490" s="40"/>
      <c r="T490" s="38"/>
      <c r="U490" s="38"/>
      <c r="V490" s="38">
        <v>956</v>
      </c>
      <c r="W490" s="38"/>
      <c r="X490" s="38"/>
      <c r="Y490" s="38"/>
      <c r="Z490" s="38"/>
      <c r="AA490" s="966">
        <f t="shared" si="34"/>
        <v>1912</v>
      </c>
      <c r="AB490" s="35"/>
      <c r="AC490" s="183"/>
    </row>
    <row r="491" spans="1:29" x14ac:dyDescent="0.2">
      <c r="A491" s="1422"/>
      <c r="B491" s="2522"/>
      <c r="C491" s="3269"/>
      <c r="D491" s="3269"/>
      <c r="E491" s="3269"/>
      <c r="F491" s="3269"/>
      <c r="G491" s="3269"/>
      <c r="H491" s="3269"/>
      <c r="I491" s="3269"/>
      <c r="J491" s="3269"/>
      <c r="K491" s="40">
        <v>32009</v>
      </c>
      <c r="L491" s="3295"/>
      <c r="M491" s="3287" t="s">
        <v>343</v>
      </c>
      <c r="N491" s="3288"/>
      <c r="O491" s="40"/>
      <c r="P491" s="40"/>
      <c r="Q491" s="40"/>
      <c r="R491" s="40">
        <v>6401.8</v>
      </c>
      <c r="S491" s="40">
        <v>4267.8666666666668</v>
      </c>
      <c r="T491" s="38">
        <v>2133.9333333333334</v>
      </c>
      <c r="U491" s="38">
        <v>4267.8666666666668</v>
      </c>
      <c r="V491" s="38">
        <v>2133.9333333333334</v>
      </c>
      <c r="W491" s="38">
        <v>4267.8666666666668</v>
      </c>
      <c r="X491" s="38">
        <v>2133.9333333333334</v>
      </c>
      <c r="Y491" s="38">
        <v>4267.8666666666668</v>
      </c>
      <c r="Z491" s="38">
        <v>2133.9333333333334</v>
      </c>
      <c r="AA491" s="966">
        <f t="shared" si="34"/>
        <v>32009.000000000007</v>
      </c>
      <c r="AB491" s="35"/>
      <c r="AC491" s="183"/>
    </row>
    <row r="492" spans="1:29" x14ac:dyDescent="0.2">
      <c r="A492" s="1422"/>
      <c r="B492" s="2522"/>
      <c r="C492" s="3269"/>
      <c r="D492" s="3269"/>
      <c r="E492" s="3269"/>
      <c r="F492" s="3269"/>
      <c r="G492" s="3269"/>
      <c r="H492" s="3269"/>
      <c r="I492" s="3269"/>
      <c r="J492" s="3269"/>
      <c r="K492" s="40">
        <v>9500</v>
      </c>
      <c r="L492" s="3295"/>
      <c r="M492" s="3287" t="s">
        <v>304</v>
      </c>
      <c r="N492" s="3288"/>
      <c r="O492" s="40"/>
      <c r="P492" s="40"/>
      <c r="Q492" s="40">
        <v>4750</v>
      </c>
      <c r="R492" s="40"/>
      <c r="S492" s="40"/>
      <c r="T492" s="38"/>
      <c r="U492" s="38"/>
      <c r="V492" s="38">
        <v>4750</v>
      </c>
      <c r="W492" s="38"/>
      <c r="X492" s="38"/>
      <c r="Y492" s="38"/>
      <c r="Z492" s="38"/>
      <c r="AA492" s="966">
        <f t="shared" si="34"/>
        <v>9500</v>
      </c>
      <c r="AB492" s="35"/>
      <c r="AC492" s="183"/>
    </row>
    <row r="493" spans="1:29" x14ac:dyDescent="0.2">
      <c r="A493" s="1422"/>
      <c r="B493" s="2522"/>
      <c r="C493" s="3269"/>
      <c r="D493" s="3269"/>
      <c r="E493" s="3269"/>
      <c r="F493" s="3269"/>
      <c r="G493" s="3269"/>
      <c r="H493" s="3269"/>
      <c r="I493" s="3269"/>
      <c r="J493" s="3269"/>
      <c r="K493" s="40">
        <v>2000</v>
      </c>
      <c r="L493" s="3295"/>
      <c r="M493" s="3287" t="s">
        <v>305</v>
      </c>
      <c r="N493" s="3288"/>
      <c r="O493" s="40"/>
      <c r="P493" s="40"/>
      <c r="Q493" s="40"/>
      <c r="R493" s="40"/>
      <c r="S493" s="40">
        <v>1000</v>
      </c>
      <c r="T493" s="38"/>
      <c r="U493" s="38">
        <v>500</v>
      </c>
      <c r="V493" s="38"/>
      <c r="W493" s="38"/>
      <c r="X493" s="38">
        <v>500</v>
      </c>
      <c r="Y493" s="38"/>
      <c r="Z493" s="38"/>
      <c r="AA493" s="966">
        <f t="shared" si="34"/>
        <v>2000</v>
      </c>
      <c r="AB493" s="35"/>
      <c r="AC493" s="183"/>
    </row>
    <row r="494" spans="1:29" x14ac:dyDescent="0.2">
      <c r="A494" s="1422"/>
      <c r="B494" s="2522"/>
      <c r="C494" s="3269"/>
      <c r="D494" s="3269"/>
      <c r="E494" s="3269"/>
      <c r="F494" s="3269"/>
      <c r="G494" s="3269"/>
      <c r="H494" s="3269"/>
      <c r="I494" s="3269"/>
      <c r="J494" s="3269"/>
      <c r="K494" s="40">
        <v>5000</v>
      </c>
      <c r="L494" s="3295"/>
      <c r="M494" s="3287" t="s">
        <v>306</v>
      </c>
      <c r="N494" s="3288"/>
      <c r="O494" s="40"/>
      <c r="P494" s="40"/>
      <c r="Q494" s="40"/>
      <c r="R494" s="40"/>
      <c r="S494" s="40">
        <v>2500</v>
      </c>
      <c r="T494" s="38"/>
      <c r="U494" s="38">
        <v>1250</v>
      </c>
      <c r="V494" s="38"/>
      <c r="W494" s="38"/>
      <c r="X494" s="38">
        <v>1250</v>
      </c>
      <c r="Y494" s="38"/>
      <c r="Z494" s="38"/>
      <c r="AA494" s="966">
        <f t="shared" si="34"/>
        <v>5000</v>
      </c>
      <c r="AB494" s="35"/>
      <c r="AC494" s="183"/>
    </row>
    <row r="495" spans="1:29" x14ac:dyDescent="0.2">
      <c r="A495" s="1422"/>
      <c r="B495" s="2522"/>
      <c r="C495" s="3269"/>
      <c r="D495" s="3269"/>
      <c r="E495" s="3269"/>
      <c r="F495" s="3269"/>
      <c r="G495" s="3269"/>
      <c r="H495" s="3269"/>
      <c r="I495" s="3269"/>
      <c r="J495" s="3269"/>
      <c r="K495" s="40">
        <v>8000</v>
      </c>
      <c r="L495" s="3295"/>
      <c r="M495" s="3287" t="s">
        <v>307</v>
      </c>
      <c r="N495" s="3288"/>
      <c r="O495" s="40"/>
      <c r="P495" s="40">
        <v>727.27272727272725</v>
      </c>
      <c r="Q495" s="40">
        <v>727.27272727272725</v>
      </c>
      <c r="R495" s="40">
        <v>727.27272727272725</v>
      </c>
      <c r="S495" s="40">
        <v>727.27272727272725</v>
      </c>
      <c r="T495" s="38">
        <v>727.27272727272725</v>
      </c>
      <c r="U495" s="38">
        <v>727.27272727272725</v>
      </c>
      <c r="V495" s="38">
        <v>727.27272727272725</v>
      </c>
      <c r="W495" s="38">
        <v>727.27272727272725</v>
      </c>
      <c r="X495" s="38">
        <v>727.27272727272725</v>
      </c>
      <c r="Y495" s="38">
        <v>727.27272727272725</v>
      </c>
      <c r="Z495" s="38">
        <v>727.27272727272725</v>
      </c>
      <c r="AA495" s="966">
        <f t="shared" si="34"/>
        <v>7999.9999999999982</v>
      </c>
      <c r="AB495" s="35"/>
      <c r="AC495" s="183"/>
    </row>
    <row r="496" spans="1:29" x14ac:dyDescent="0.2">
      <c r="A496" s="1422"/>
      <c r="B496" s="2522"/>
      <c r="C496" s="3269"/>
      <c r="D496" s="3269"/>
      <c r="E496" s="3269"/>
      <c r="F496" s="3269"/>
      <c r="G496" s="3269"/>
      <c r="H496" s="3269"/>
      <c r="I496" s="3269"/>
      <c r="J496" s="3269"/>
      <c r="K496" s="40">
        <v>1800</v>
      </c>
      <c r="L496" s="3295"/>
      <c r="M496" s="3287" t="s">
        <v>308</v>
      </c>
      <c r="N496" s="3288"/>
      <c r="O496" s="40"/>
      <c r="P496" s="40"/>
      <c r="Q496" s="40">
        <v>1800</v>
      </c>
      <c r="R496" s="40"/>
      <c r="S496" s="40"/>
      <c r="T496" s="38"/>
      <c r="U496" s="38"/>
      <c r="V496" s="38"/>
      <c r="W496" s="38"/>
      <c r="X496" s="38"/>
      <c r="Y496" s="38"/>
      <c r="Z496" s="38"/>
      <c r="AA496" s="966">
        <f t="shared" si="34"/>
        <v>1800</v>
      </c>
      <c r="AB496" s="35"/>
      <c r="AC496" s="183"/>
    </row>
    <row r="497" spans="1:29" x14ac:dyDescent="0.2">
      <c r="A497" s="1422"/>
      <c r="B497" s="2522"/>
      <c r="C497" s="3269"/>
      <c r="D497" s="3269"/>
      <c r="E497" s="3269"/>
      <c r="F497" s="3269"/>
      <c r="G497" s="3269"/>
      <c r="H497" s="3269"/>
      <c r="I497" s="3269"/>
      <c r="J497" s="3269"/>
      <c r="K497" s="40">
        <v>35000</v>
      </c>
      <c r="L497" s="3295"/>
      <c r="M497" s="3287" t="s">
        <v>309</v>
      </c>
      <c r="N497" s="3288"/>
      <c r="O497" s="40"/>
      <c r="P497" s="40"/>
      <c r="Q497" s="40">
        <v>7000</v>
      </c>
      <c r="R497" s="40"/>
      <c r="S497" s="40">
        <v>7000</v>
      </c>
      <c r="T497" s="38"/>
      <c r="U497" s="38">
        <v>7000</v>
      </c>
      <c r="V497" s="38"/>
      <c r="W497" s="38">
        <v>7000</v>
      </c>
      <c r="X497" s="38"/>
      <c r="Y497" s="38">
        <v>7000</v>
      </c>
      <c r="Z497" s="38"/>
      <c r="AA497" s="966">
        <f t="shared" si="34"/>
        <v>35000</v>
      </c>
      <c r="AB497" s="35"/>
      <c r="AC497" s="183"/>
    </row>
    <row r="498" spans="1:29" x14ac:dyDescent="0.2">
      <c r="A498" s="1422"/>
      <c r="B498" s="2522"/>
      <c r="C498" s="3269"/>
      <c r="D498" s="3269"/>
      <c r="E498" s="3269"/>
      <c r="F498" s="3269"/>
      <c r="G498" s="3269"/>
      <c r="H498" s="3269"/>
      <c r="I498" s="3269"/>
      <c r="J498" s="3269"/>
      <c r="K498" s="40">
        <v>205807</v>
      </c>
      <c r="L498" s="3295"/>
      <c r="M498" s="3287" t="s">
        <v>310</v>
      </c>
      <c r="N498" s="3288"/>
      <c r="O498" s="40">
        <v>17150.583333333332</v>
      </c>
      <c r="P498" s="40">
        <v>17150.583333333332</v>
      </c>
      <c r="Q498" s="40">
        <v>17150.583333333332</v>
      </c>
      <c r="R498" s="40">
        <v>17150.583333333332</v>
      </c>
      <c r="S498" s="40">
        <v>17150.583333333332</v>
      </c>
      <c r="T498" s="38">
        <v>17150.583333333332</v>
      </c>
      <c r="U498" s="38">
        <v>17150.583333333332</v>
      </c>
      <c r="V498" s="38">
        <v>17150.583333333332</v>
      </c>
      <c r="W498" s="38">
        <v>17150.583333333332</v>
      </c>
      <c r="X498" s="38">
        <v>17150.583333333332</v>
      </c>
      <c r="Y498" s="38">
        <v>17150.583333333332</v>
      </c>
      <c r="Z498" s="38">
        <v>17150.583333333332</v>
      </c>
      <c r="AA498" s="966">
        <f t="shared" si="34"/>
        <v>205807.00000000003</v>
      </c>
      <c r="AB498" s="35"/>
      <c r="AC498" s="183"/>
    </row>
    <row r="499" spans="1:29" x14ac:dyDescent="0.2">
      <c r="A499" s="1422"/>
      <c r="B499" s="2522"/>
      <c r="C499" s="3270"/>
      <c r="D499" s="3270"/>
      <c r="E499" s="3270"/>
      <c r="F499" s="3270"/>
      <c r="G499" s="3270"/>
      <c r="H499" s="3270"/>
      <c r="I499" s="3270"/>
      <c r="J499" s="3270"/>
      <c r="K499" s="40">
        <v>15176</v>
      </c>
      <c r="L499" s="3296"/>
      <c r="M499" s="3287" t="s">
        <v>311</v>
      </c>
      <c r="N499" s="3288"/>
      <c r="O499" s="40">
        <v>1264.6666666666667</v>
      </c>
      <c r="P499" s="40">
        <v>1264.6666666666667</v>
      </c>
      <c r="Q499" s="40">
        <v>1264.6666666666667</v>
      </c>
      <c r="R499" s="40">
        <v>1264.6666666666667</v>
      </c>
      <c r="S499" s="40">
        <v>1264.6666666666667</v>
      </c>
      <c r="T499" s="38">
        <v>1264.6666666666667</v>
      </c>
      <c r="U499" s="38">
        <v>1264.6666666666667</v>
      </c>
      <c r="V499" s="38">
        <v>1264.6666666666667</v>
      </c>
      <c r="W499" s="38">
        <v>1264.6666666666667</v>
      </c>
      <c r="X499" s="38">
        <v>1264.6666666666667</v>
      </c>
      <c r="Y499" s="38">
        <v>1264.6666666666667</v>
      </c>
      <c r="Z499" s="38">
        <v>1264.6666666666667</v>
      </c>
      <c r="AA499" s="966">
        <f t="shared" si="34"/>
        <v>15175.999999999998</v>
      </c>
      <c r="AB499" s="35"/>
      <c r="AC499" s="183"/>
    </row>
    <row r="500" spans="1:29" x14ac:dyDescent="0.2">
      <c r="A500" s="1422"/>
      <c r="B500" s="1419"/>
      <c r="C500" s="35"/>
      <c r="D500" s="35"/>
      <c r="E500" s="35"/>
      <c r="F500" s="35"/>
      <c r="G500" s="35"/>
      <c r="H500" s="35"/>
      <c r="I500" s="35"/>
      <c r="J500" s="35"/>
      <c r="K500" s="60"/>
      <c r="L500" s="60"/>
      <c r="M500" s="60"/>
      <c r="N500" s="60"/>
      <c r="O500" s="60"/>
      <c r="P500" s="60"/>
      <c r="Q500" s="60"/>
      <c r="R500" s="60"/>
      <c r="S500" s="60"/>
      <c r="T500" s="35"/>
      <c r="U500" s="2974" t="s">
        <v>15</v>
      </c>
      <c r="V500" s="2975"/>
      <c r="W500" s="2975"/>
      <c r="X500" s="2975"/>
      <c r="Y500" s="2976"/>
      <c r="Z500" s="2974" t="s">
        <v>16</v>
      </c>
      <c r="AA500" s="2976"/>
      <c r="AB500" s="35"/>
      <c r="AC500" s="183"/>
    </row>
    <row r="501" spans="1:29" ht="22.5" customHeight="1" x14ac:dyDescent="0.2">
      <c r="A501" s="1422"/>
      <c r="B501" s="1013" t="s">
        <v>276</v>
      </c>
      <c r="C501" s="152"/>
      <c r="D501" s="1116">
        <v>3033313</v>
      </c>
      <c r="E501" s="3277" t="s">
        <v>421</v>
      </c>
      <c r="F501" s="3278"/>
      <c r="G501" s="3278"/>
      <c r="H501" s="3278"/>
      <c r="I501" s="3278"/>
      <c r="J501" s="3278"/>
      <c r="K501" s="3278"/>
      <c r="L501" s="3278"/>
      <c r="M501" s="3278"/>
      <c r="N501" s="3278"/>
      <c r="O501" s="3278"/>
      <c r="P501" s="3278"/>
      <c r="Q501" s="3278"/>
      <c r="R501" s="3278"/>
      <c r="S501" s="3278"/>
      <c r="T501" s="3279"/>
      <c r="U501" s="3019" t="s">
        <v>422</v>
      </c>
      <c r="V501" s="3328"/>
      <c r="W501" s="3328"/>
      <c r="X501" s="3328"/>
      <c r="Y501" s="3020"/>
      <c r="Z501" s="3233" t="s">
        <v>418</v>
      </c>
      <c r="AA501" s="3233"/>
      <c r="AB501" s="35"/>
      <c r="AC501" s="183"/>
    </row>
    <row r="502" spans="1:29" x14ac:dyDescent="0.2">
      <c r="A502" s="1422"/>
      <c r="B502" s="2999" t="s">
        <v>278</v>
      </c>
      <c r="C502" s="2988" t="s">
        <v>21</v>
      </c>
      <c r="D502" s="2988" t="s">
        <v>22</v>
      </c>
      <c r="E502" s="2988" t="s">
        <v>23</v>
      </c>
      <c r="F502" s="2988" t="s">
        <v>24</v>
      </c>
      <c r="G502" s="2988" t="s">
        <v>25</v>
      </c>
      <c r="H502" s="2988" t="s">
        <v>26</v>
      </c>
      <c r="I502" s="2988" t="s">
        <v>27</v>
      </c>
      <c r="J502" s="3206" t="s">
        <v>28</v>
      </c>
      <c r="K502" s="3301"/>
      <c r="L502" s="2988" t="s">
        <v>279</v>
      </c>
      <c r="M502" s="3273" t="s">
        <v>280</v>
      </c>
      <c r="N502" s="3274"/>
      <c r="O502" s="2847" t="s">
        <v>281</v>
      </c>
      <c r="P502" s="2847"/>
      <c r="Q502" s="2847"/>
      <c r="R502" s="2847"/>
      <c r="S502" s="2847"/>
      <c r="T502" s="2847"/>
      <c r="U502" s="2847"/>
      <c r="V502" s="2847"/>
      <c r="W502" s="2847"/>
      <c r="X502" s="2847"/>
      <c r="Y502" s="2847"/>
      <c r="Z502" s="2847"/>
      <c r="AA502" s="2988" t="s">
        <v>32</v>
      </c>
      <c r="AB502" s="35"/>
      <c r="AC502" s="183"/>
    </row>
    <row r="503" spans="1:29" x14ac:dyDescent="0.2">
      <c r="A503" s="1422"/>
      <c r="B503" s="2999"/>
      <c r="C503" s="3186"/>
      <c r="D503" s="3186"/>
      <c r="E503" s="3186"/>
      <c r="F503" s="3186"/>
      <c r="G503" s="3186"/>
      <c r="H503" s="3186"/>
      <c r="I503" s="3186"/>
      <c r="J503" s="2988" t="s">
        <v>33</v>
      </c>
      <c r="K503" s="2988" t="s">
        <v>282</v>
      </c>
      <c r="L503" s="3186"/>
      <c r="M503" s="3275"/>
      <c r="N503" s="3276"/>
      <c r="O503" s="1009" t="s">
        <v>283</v>
      </c>
      <c r="P503" s="1009" t="s">
        <v>284</v>
      </c>
      <c r="Q503" s="1009" t="s">
        <v>285</v>
      </c>
      <c r="R503" s="1009" t="s">
        <v>88</v>
      </c>
      <c r="S503" s="1009" t="s">
        <v>89</v>
      </c>
      <c r="T503" s="1009" t="s">
        <v>90</v>
      </c>
      <c r="U503" s="1009" t="s">
        <v>91</v>
      </c>
      <c r="V503" s="1009" t="s">
        <v>92</v>
      </c>
      <c r="W503" s="1009" t="s">
        <v>286</v>
      </c>
      <c r="X503" s="1009" t="s">
        <v>93</v>
      </c>
      <c r="Y503" s="1009" t="s">
        <v>94</v>
      </c>
      <c r="Z503" s="1009" t="s">
        <v>95</v>
      </c>
      <c r="AA503" s="2989"/>
      <c r="AB503" s="35"/>
      <c r="AC503" s="183"/>
    </row>
    <row r="504" spans="1:29" x14ac:dyDescent="0.2">
      <c r="A504" s="1422"/>
      <c r="B504" s="2999"/>
      <c r="C504" s="3186"/>
      <c r="D504" s="3186"/>
      <c r="E504" s="3186"/>
      <c r="F504" s="3186"/>
      <c r="G504" s="3186"/>
      <c r="H504" s="3186"/>
      <c r="I504" s="3186"/>
      <c r="J504" s="3186"/>
      <c r="K504" s="3186"/>
      <c r="L504" s="3186"/>
      <c r="M504" s="3271" t="s">
        <v>287</v>
      </c>
      <c r="N504" s="3272"/>
      <c r="O504" s="1095">
        <v>335</v>
      </c>
      <c r="P504" s="1095">
        <v>335</v>
      </c>
      <c r="Q504" s="1095">
        <v>335</v>
      </c>
      <c r="R504" s="1095">
        <v>336</v>
      </c>
      <c r="S504" s="1095">
        <v>335</v>
      </c>
      <c r="T504" s="1095">
        <v>335</v>
      </c>
      <c r="U504" s="1095">
        <v>335</v>
      </c>
      <c r="V504" s="1095">
        <v>335</v>
      </c>
      <c r="W504" s="1095">
        <v>335</v>
      </c>
      <c r="X504" s="1095">
        <v>335</v>
      </c>
      <c r="Y504" s="1095">
        <v>335</v>
      </c>
      <c r="Z504" s="1095">
        <v>335</v>
      </c>
      <c r="AA504" s="1196">
        <f t="shared" ref="AA504:AA527" si="35">SUM(O504:Z504)</f>
        <v>4021</v>
      </c>
      <c r="AB504" s="35"/>
      <c r="AC504" s="183"/>
    </row>
    <row r="505" spans="1:29" x14ac:dyDescent="0.2">
      <c r="A505" s="1422"/>
      <c r="B505" s="2999"/>
      <c r="C505" s="2989"/>
      <c r="D505" s="2989"/>
      <c r="E505" s="2989"/>
      <c r="F505" s="2989"/>
      <c r="G505" s="2989"/>
      <c r="H505" s="2989"/>
      <c r="I505" s="2989"/>
      <c r="J505" s="2989"/>
      <c r="K505" s="2989"/>
      <c r="L505" s="2989"/>
      <c r="M505" s="3271" t="s">
        <v>34</v>
      </c>
      <c r="N505" s="3272"/>
      <c r="O505" s="1095">
        <v>420283.16666666669</v>
      </c>
      <c r="P505" s="1095">
        <v>387268.16666666669</v>
      </c>
      <c r="Q505" s="1095">
        <v>394296.46666666667</v>
      </c>
      <c r="R505" s="1095">
        <v>439044.3666666667</v>
      </c>
      <c r="S505" s="1095">
        <v>413469.73333333334</v>
      </c>
      <c r="T505" s="1095">
        <v>403785.60000000003</v>
      </c>
      <c r="U505" s="1095">
        <v>440732.23333333334</v>
      </c>
      <c r="V505" s="1095">
        <v>414176.10000000003</v>
      </c>
      <c r="W505" s="1095">
        <v>413469.73333333334</v>
      </c>
      <c r="X505" s="1095">
        <v>401035.60000000003</v>
      </c>
      <c r="Y505" s="1095">
        <v>413469.73333333334</v>
      </c>
      <c r="Z505" s="1095">
        <v>426123.10000000003</v>
      </c>
      <c r="AA505" s="1196">
        <f t="shared" si="35"/>
        <v>4967154</v>
      </c>
      <c r="AB505" s="35"/>
      <c r="AC505" s="183"/>
    </row>
    <row r="506" spans="1:29" ht="11.25" customHeight="1" x14ac:dyDescent="0.2">
      <c r="A506" s="1422"/>
      <c r="B506" s="2522">
        <v>5000029</v>
      </c>
      <c r="C506" s="3268" t="s">
        <v>3043</v>
      </c>
      <c r="D506" s="3268">
        <v>16</v>
      </c>
      <c r="E506" s="3268" t="s">
        <v>407</v>
      </c>
      <c r="F506" s="3268" t="s">
        <v>386</v>
      </c>
      <c r="G506" s="3268" t="s">
        <v>423</v>
      </c>
      <c r="H506" s="3268" t="s">
        <v>424</v>
      </c>
      <c r="I506" s="3268" t="s">
        <v>414</v>
      </c>
      <c r="J506" s="3268">
        <v>4021</v>
      </c>
      <c r="K506" s="40">
        <v>35409</v>
      </c>
      <c r="L506" s="3294" t="s">
        <v>377</v>
      </c>
      <c r="M506" s="3287" t="s">
        <v>319</v>
      </c>
      <c r="N506" s="3288"/>
      <c r="O506" s="40">
        <v>2950.75</v>
      </c>
      <c r="P506" s="40">
        <v>2950.75</v>
      </c>
      <c r="Q506" s="40">
        <v>2950.75</v>
      </c>
      <c r="R506" s="40">
        <v>2950.75</v>
      </c>
      <c r="S506" s="40">
        <v>2950.75</v>
      </c>
      <c r="T506" s="38">
        <v>2950.75</v>
      </c>
      <c r="U506" s="38">
        <v>2950.75</v>
      </c>
      <c r="V506" s="38">
        <v>2950.75</v>
      </c>
      <c r="W506" s="38">
        <v>2950.75</v>
      </c>
      <c r="X506" s="38">
        <v>2950.75</v>
      </c>
      <c r="Y506" s="38">
        <v>2950.75</v>
      </c>
      <c r="Z506" s="38">
        <v>2950.75</v>
      </c>
      <c r="AA506" s="966">
        <f t="shared" si="35"/>
        <v>35409</v>
      </c>
      <c r="AB506" s="35"/>
      <c r="AC506" s="183"/>
    </row>
    <row r="507" spans="1:29" x14ac:dyDescent="0.2">
      <c r="A507" s="1422"/>
      <c r="B507" s="2522"/>
      <c r="C507" s="3269"/>
      <c r="D507" s="3269"/>
      <c r="E507" s="3269"/>
      <c r="F507" s="3269"/>
      <c r="G507" s="3269"/>
      <c r="H507" s="3269"/>
      <c r="I507" s="3269"/>
      <c r="J507" s="3269"/>
      <c r="K507" s="40">
        <v>75898</v>
      </c>
      <c r="L507" s="3295"/>
      <c r="M507" s="3287" t="s">
        <v>409</v>
      </c>
      <c r="N507" s="3288"/>
      <c r="O507" s="40">
        <v>6324.833333333333</v>
      </c>
      <c r="P507" s="40">
        <v>6324.833333333333</v>
      </c>
      <c r="Q507" s="40">
        <v>6324.833333333333</v>
      </c>
      <c r="R507" s="40">
        <v>6324.833333333333</v>
      </c>
      <c r="S507" s="40">
        <v>6324.833333333333</v>
      </c>
      <c r="T507" s="38">
        <v>6324.833333333333</v>
      </c>
      <c r="U507" s="38">
        <v>6324.833333333333</v>
      </c>
      <c r="V507" s="38">
        <v>6324.833333333333</v>
      </c>
      <c r="W507" s="38">
        <v>6324.833333333333</v>
      </c>
      <c r="X507" s="38">
        <v>6324.833333333333</v>
      </c>
      <c r="Y507" s="38">
        <v>6324.833333333333</v>
      </c>
      <c r="Z507" s="38">
        <v>6324.833333333333</v>
      </c>
      <c r="AA507" s="966">
        <f t="shared" si="35"/>
        <v>75898</v>
      </c>
      <c r="AB507" s="35"/>
      <c r="AC507" s="183"/>
    </row>
    <row r="508" spans="1:29" x14ac:dyDescent="0.2">
      <c r="A508" s="1422"/>
      <c r="B508" s="2522"/>
      <c r="C508" s="3269"/>
      <c r="D508" s="3269"/>
      <c r="E508" s="3269"/>
      <c r="F508" s="3269"/>
      <c r="G508" s="3269"/>
      <c r="H508" s="3269"/>
      <c r="I508" s="3269"/>
      <c r="J508" s="3269"/>
      <c r="K508" s="40">
        <v>2195107</v>
      </c>
      <c r="L508" s="3295"/>
      <c r="M508" s="3287" t="s">
        <v>293</v>
      </c>
      <c r="N508" s="3288"/>
      <c r="O508" s="40">
        <v>182925.58333333334</v>
      </c>
      <c r="P508" s="40">
        <v>182925.58333333334</v>
      </c>
      <c r="Q508" s="40">
        <v>182925.58333333334</v>
      </c>
      <c r="R508" s="40">
        <v>182925.58333333334</v>
      </c>
      <c r="S508" s="40">
        <v>182925.58333333334</v>
      </c>
      <c r="T508" s="38">
        <v>182925.58333333334</v>
      </c>
      <c r="U508" s="38">
        <v>182925.58333333334</v>
      </c>
      <c r="V508" s="38">
        <v>182925.58333333334</v>
      </c>
      <c r="W508" s="38">
        <v>182925.58333333334</v>
      </c>
      <c r="X508" s="38">
        <v>182925.58333333334</v>
      </c>
      <c r="Y508" s="38">
        <v>182925.58333333334</v>
      </c>
      <c r="Z508" s="38">
        <v>182925.58333333334</v>
      </c>
      <c r="AA508" s="966">
        <f t="shared" si="35"/>
        <v>2195106.9999999995</v>
      </c>
      <c r="AB508" s="35"/>
      <c r="AC508" s="183"/>
    </row>
    <row r="509" spans="1:29" x14ac:dyDescent="0.2">
      <c r="A509" s="1422"/>
      <c r="B509" s="2522"/>
      <c r="C509" s="3269"/>
      <c r="D509" s="3269"/>
      <c r="E509" s="3269"/>
      <c r="F509" s="3269"/>
      <c r="G509" s="3269"/>
      <c r="H509" s="3269"/>
      <c r="I509" s="3269"/>
      <c r="J509" s="3269"/>
      <c r="K509" s="40">
        <v>140580</v>
      </c>
      <c r="L509" s="3295"/>
      <c r="M509" s="3287" t="s">
        <v>321</v>
      </c>
      <c r="N509" s="3288"/>
      <c r="O509" s="40">
        <v>11715</v>
      </c>
      <c r="P509" s="40">
        <v>11715</v>
      </c>
      <c r="Q509" s="40">
        <v>11715</v>
      </c>
      <c r="R509" s="40">
        <v>11715</v>
      </c>
      <c r="S509" s="40">
        <v>11715</v>
      </c>
      <c r="T509" s="38">
        <v>11715</v>
      </c>
      <c r="U509" s="38">
        <v>11715</v>
      </c>
      <c r="V509" s="38">
        <v>11715</v>
      </c>
      <c r="W509" s="38">
        <v>11715</v>
      </c>
      <c r="X509" s="38">
        <v>11715</v>
      </c>
      <c r="Y509" s="38">
        <v>11715</v>
      </c>
      <c r="Z509" s="38">
        <v>11715</v>
      </c>
      <c r="AA509" s="966">
        <f t="shared" si="35"/>
        <v>140580</v>
      </c>
      <c r="AB509" s="35"/>
      <c r="AC509" s="183"/>
    </row>
    <row r="510" spans="1:29" x14ac:dyDescent="0.2">
      <c r="A510" s="1422"/>
      <c r="B510" s="2522"/>
      <c r="C510" s="3269"/>
      <c r="D510" s="3269"/>
      <c r="E510" s="3269"/>
      <c r="F510" s="3269"/>
      <c r="G510" s="3269"/>
      <c r="H510" s="3269"/>
      <c r="I510" s="3269"/>
      <c r="J510" s="3269"/>
      <c r="K510" s="40">
        <v>677148</v>
      </c>
      <c r="L510" s="3295"/>
      <c r="M510" s="3287" t="s">
        <v>295</v>
      </c>
      <c r="N510" s="3288"/>
      <c r="O510" s="40">
        <v>56429</v>
      </c>
      <c r="P510" s="40">
        <v>56429</v>
      </c>
      <c r="Q510" s="40">
        <v>56429</v>
      </c>
      <c r="R510" s="40">
        <v>56429</v>
      </c>
      <c r="S510" s="40">
        <v>56429</v>
      </c>
      <c r="T510" s="38">
        <v>56429</v>
      </c>
      <c r="U510" s="38">
        <v>56429</v>
      </c>
      <c r="V510" s="38">
        <v>56429</v>
      </c>
      <c r="W510" s="38">
        <v>56429</v>
      </c>
      <c r="X510" s="38">
        <v>56429</v>
      </c>
      <c r="Y510" s="38">
        <v>56429</v>
      </c>
      <c r="Z510" s="38">
        <v>56429</v>
      </c>
      <c r="AA510" s="966">
        <f t="shared" si="35"/>
        <v>677148</v>
      </c>
      <c r="AB510" s="35"/>
      <c r="AC510" s="183"/>
    </row>
    <row r="511" spans="1:29" x14ac:dyDescent="0.2">
      <c r="A511" s="1422"/>
      <c r="B511" s="2522"/>
      <c r="C511" s="3269"/>
      <c r="D511" s="3269"/>
      <c r="E511" s="3269"/>
      <c r="F511" s="3269"/>
      <c r="G511" s="3269"/>
      <c r="H511" s="3269"/>
      <c r="I511" s="3269"/>
      <c r="J511" s="3269"/>
      <c r="K511" s="40">
        <v>20688</v>
      </c>
      <c r="L511" s="3295"/>
      <c r="M511" s="3287" t="s">
        <v>332</v>
      </c>
      <c r="N511" s="3288"/>
      <c r="O511" s="40">
        <v>1724</v>
      </c>
      <c r="P511" s="40">
        <v>1724</v>
      </c>
      <c r="Q511" s="40">
        <v>1724</v>
      </c>
      <c r="R511" s="40">
        <v>1724</v>
      </c>
      <c r="S511" s="40">
        <v>1724</v>
      </c>
      <c r="T511" s="38">
        <v>1724</v>
      </c>
      <c r="U511" s="38">
        <v>1724</v>
      </c>
      <c r="V511" s="38">
        <v>1724</v>
      </c>
      <c r="W511" s="38">
        <v>1724</v>
      </c>
      <c r="X511" s="38">
        <v>1724</v>
      </c>
      <c r="Y511" s="38">
        <v>1724</v>
      </c>
      <c r="Z511" s="38">
        <v>1724</v>
      </c>
      <c r="AA511" s="966">
        <f t="shared" si="35"/>
        <v>20688</v>
      </c>
      <c r="AB511" s="35"/>
      <c r="AC511" s="183"/>
    </row>
    <row r="512" spans="1:29" x14ac:dyDescent="0.2">
      <c r="A512" s="1422"/>
      <c r="B512" s="2522"/>
      <c r="C512" s="3269"/>
      <c r="D512" s="3269"/>
      <c r="E512" s="3269"/>
      <c r="F512" s="3269"/>
      <c r="G512" s="3269"/>
      <c r="H512" s="3269"/>
      <c r="I512" s="3269"/>
      <c r="J512" s="3269"/>
      <c r="K512" s="40">
        <v>650419</v>
      </c>
      <c r="L512" s="3295"/>
      <c r="M512" s="3287" t="s">
        <v>296</v>
      </c>
      <c r="N512" s="3288"/>
      <c r="O512" s="40">
        <v>54201.583333333336</v>
      </c>
      <c r="P512" s="40">
        <v>54201.583333333336</v>
      </c>
      <c r="Q512" s="40">
        <v>54201.583333333336</v>
      </c>
      <c r="R512" s="40">
        <v>54201.583333333336</v>
      </c>
      <c r="S512" s="40">
        <v>54201.583333333336</v>
      </c>
      <c r="T512" s="38">
        <v>54201.583333333336</v>
      </c>
      <c r="U512" s="38">
        <v>54201.583333333336</v>
      </c>
      <c r="V512" s="38">
        <v>54201.583333333336</v>
      </c>
      <c r="W512" s="38">
        <v>54201.583333333336</v>
      </c>
      <c r="X512" s="38">
        <v>54201.583333333336</v>
      </c>
      <c r="Y512" s="38">
        <v>54201.583333333336</v>
      </c>
      <c r="Z512" s="38">
        <v>54201.583333333336</v>
      </c>
      <c r="AA512" s="966">
        <f t="shared" si="35"/>
        <v>650419</v>
      </c>
      <c r="AB512" s="35"/>
      <c r="AC512" s="183"/>
    </row>
    <row r="513" spans="1:29" x14ac:dyDescent="0.2">
      <c r="A513" s="1422"/>
      <c r="B513" s="2522"/>
      <c r="C513" s="3269"/>
      <c r="D513" s="3269"/>
      <c r="E513" s="3269"/>
      <c r="F513" s="3269"/>
      <c r="G513" s="3269"/>
      <c r="H513" s="3269"/>
      <c r="I513" s="3269"/>
      <c r="J513" s="3269"/>
      <c r="K513" s="40">
        <v>190198</v>
      </c>
      <c r="L513" s="3295"/>
      <c r="M513" s="3287" t="s">
        <v>297</v>
      </c>
      <c r="N513" s="3288"/>
      <c r="O513" s="40">
        <v>15849.833333333334</v>
      </c>
      <c r="P513" s="40">
        <v>15849.833333333334</v>
      </c>
      <c r="Q513" s="40">
        <v>15849.833333333334</v>
      </c>
      <c r="R513" s="40">
        <v>15849.833333333334</v>
      </c>
      <c r="S513" s="40">
        <v>15849.833333333334</v>
      </c>
      <c r="T513" s="38">
        <v>15849.833333333334</v>
      </c>
      <c r="U513" s="38">
        <v>15849.833333333334</v>
      </c>
      <c r="V513" s="38">
        <v>15849.833333333334</v>
      </c>
      <c r="W513" s="38">
        <v>15849.833333333334</v>
      </c>
      <c r="X513" s="38">
        <v>15849.833333333334</v>
      </c>
      <c r="Y513" s="38">
        <v>15849.833333333334</v>
      </c>
      <c r="Z513" s="38">
        <v>15849.833333333334</v>
      </c>
      <c r="AA513" s="966">
        <f t="shared" si="35"/>
        <v>190198.00000000003</v>
      </c>
      <c r="AB513" s="35"/>
      <c r="AC513" s="183"/>
    </row>
    <row r="514" spans="1:29" x14ac:dyDescent="0.2">
      <c r="A514" s="1422"/>
      <c r="B514" s="2522"/>
      <c r="C514" s="3269"/>
      <c r="D514" s="3269"/>
      <c r="E514" s="3269"/>
      <c r="F514" s="3269"/>
      <c r="G514" s="3269"/>
      <c r="H514" s="3269"/>
      <c r="I514" s="3269"/>
      <c r="J514" s="3269"/>
      <c r="K514" s="40">
        <v>50175</v>
      </c>
      <c r="L514" s="3295"/>
      <c r="M514" s="3287" t="s">
        <v>298</v>
      </c>
      <c r="N514" s="3288"/>
      <c r="O514" s="40"/>
      <c r="P514" s="40"/>
      <c r="Q514" s="40"/>
      <c r="R514" s="40"/>
      <c r="S514" s="40"/>
      <c r="T514" s="38"/>
      <c r="U514" s="38">
        <v>25087.5</v>
      </c>
      <c r="V514" s="38"/>
      <c r="W514" s="38"/>
      <c r="X514" s="38"/>
      <c r="Y514" s="38"/>
      <c r="Z514" s="38">
        <v>25087.5</v>
      </c>
      <c r="AA514" s="966">
        <f t="shared" si="35"/>
        <v>50175</v>
      </c>
      <c r="AB514" s="35"/>
      <c r="AC514" s="183"/>
    </row>
    <row r="515" spans="1:29" x14ac:dyDescent="0.2">
      <c r="A515" s="1422"/>
      <c r="B515" s="2522"/>
      <c r="C515" s="3269"/>
      <c r="D515" s="3269"/>
      <c r="E515" s="3269"/>
      <c r="F515" s="3269"/>
      <c r="G515" s="3269"/>
      <c r="H515" s="3269"/>
      <c r="I515" s="3269"/>
      <c r="J515" s="3269"/>
      <c r="K515" s="40">
        <v>32440</v>
      </c>
      <c r="L515" s="3295"/>
      <c r="M515" s="3287" t="s">
        <v>299</v>
      </c>
      <c r="N515" s="3288"/>
      <c r="O515" s="40">
        <v>32440</v>
      </c>
      <c r="P515" s="40"/>
      <c r="Q515" s="40"/>
      <c r="R515" s="40"/>
      <c r="S515" s="40"/>
      <c r="T515" s="38"/>
      <c r="U515" s="38"/>
      <c r="V515" s="38"/>
      <c r="W515" s="38"/>
      <c r="X515" s="38"/>
      <c r="Y515" s="38"/>
      <c r="Z515" s="38"/>
      <c r="AA515" s="966">
        <f t="shared" si="35"/>
        <v>32440</v>
      </c>
      <c r="AB515" s="35"/>
      <c r="AC515" s="183"/>
    </row>
    <row r="516" spans="1:29" x14ac:dyDescent="0.2">
      <c r="A516" s="1422"/>
      <c r="B516" s="2522"/>
      <c r="C516" s="3269"/>
      <c r="D516" s="3269"/>
      <c r="E516" s="3269"/>
      <c r="F516" s="3269"/>
      <c r="G516" s="3269"/>
      <c r="H516" s="3269"/>
      <c r="I516" s="3269"/>
      <c r="J516" s="3269"/>
      <c r="K516" s="40">
        <v>179696</v>
      </c>
      <c r="L516" s="3295"/>
      <c r="M516" s="3287" t="s">
        <v>300</v>
      </c>
      <c r="N516" s="3288"/>
      <c r="O516" s="40">
        <v>14974.666666666666</v>
      </c>
      <c r="P516" s="40">
        <v>14974.666666666666</v>
      </c>
      <c r="Q516" s="40">
        <v>14974.666666666666</v>
      </c>
      <c r="R516" s="40">
        <v>14974.666666666666</v>
      </c>
      <c r="S516" s="40">
        <v>14974.666666666666</v>
      </c>
      <c r="T516" s="38">
        <v>14974.666666666666</v>
      </c>
      <c r="U516" s="38">
        <v>14974.666666666666</v>
      </c>
      <c r="V516" s="38">
        <v>14974.666666666666</v>
      </c>
      <c r="W516" s="38">
        <v>14974.666666666666</v>
      </c>
      <c r="X516" s="38">
        <v>14974.666666666666</v>
      </c>
      <c r="Y516" s="38">
        <v>14974.666666666666</v>
      </c>
      <c r="Z516" s="38">
        <v>14974.666666666666</v>
      </c>
      <c r="AA516" s="966">
        <f t="shared" si="35"/>
        <v>179695.99999999997</v>
      </c>
      <c r="AB516" s="35"/>
      <c r="AC516" s="183"/>
    </row>
    <row r="517" spans="1:29" x14ac:dyDescent="0.2">
      <c r="A517" s="1422"/>
      <c r="B517" s="2522"/>
      <c r="C517" s="3269"/>
      <c r="D517" s="3269"/>
      <c r="E517" s="3269"/>
      <c r="F517" s="3269"/>
      <c r="G517" s="3269"/>
      <c r="H517" s="3269"/>
      <c r="I517" s="3269"/>
      <c r="J517" s="3269"/>
      <c r="K517" s="40">
        <v>4476</v>
      </c>
      <c r="L517" s="3295"/>
      <c r="M517" s="3287" t="s">
        <v>301</v>
      </c>
      <c r="N517" s="3288"/>
      <c r="O517" s="40">
        <v>373</v>
      </c>
      <c r="P517" s="40">
        <v>373</v>
      </c>
      <c r="Q517" s="40">
        <v>373</v>
      </c>
      <c r="R517" s="40">
        <v>373</v>
      </c>
      <c r="S517" s="40">
        <v>373</v>
      </c>
      <c r="T517" s="38">
        <v>373</v>
      </c>
      <c r="U517" s="38">
        <v>373</v>
      </c>
      <c r="V517" s="38">
        <v>373</v>
      </c>
      <c r="W517" s="38">
        <v>373</v>
      </c>
      <c r="X517" s="38">
        <v>373</v>
      </c>
      <c r="Y517" s="38">
        <v>373</v>
      </c>
      <c r="Z517" s="38">
        <v>373</v>
      </c>
      <c r="AA517" s="966">
        <f t="shared" si="35"/>
        <v>4476</v>
      </c>
      <c r="AB517" s="35"/>
      <c r="AC517" s="183"/>
    </row>
    <row r="518" spans="1:29" x14ac:dyDescent="0.2">
      <c r="A518" s="1422"/>
      <c r="B518" s="2522"/>
      <c r="C518" s="3269"/>
      <c r="D518" s="3269"/>
      <c r="E518" s="3269"/>
      <c r="F518" s="3269"/>
      <c r="G518" s="3269"/>
      <c r="H518" s="3269"/>
      <c r="I518" s="3269"/>
      <c r="J518" s="3269"/>
      <c r="K518" s="40">
        <v>5500</v>
      </c>
      <c r="L518" s="3295"/>
      <c r="M518" s="3287" t="s">
        <v>380</v>
      </c>
      <c r="N518" s="3288"/>
      <c r="O518" s="40">
        <v>2750</v>
      </c>
      <c r="P518" s="40"/>
      <c r="Q518" s="40"/>
      <c r="R518" s="40"/>
      <c r="S518" s="40"/>
      <c r="T518" s="38">
        <v>2750</v>
      </c>
      <c r="U518" s="38"/>
      <c r="V518" s="38"/>
      <c r="W518" s="38"/>
      <c r="X518" s="38"/>
      <c r="Y518" s="38"/>
      <c r="Z518" s="38"/>
      <c r="AA518" s="966">
        <f t="shared" si="35"/>
        <v>5500</v>
      </c>
      <c r="AB518" s="35"/>
      <c r="AC518" s="183"/>
    </row>
    <row r="519" spans="1:29" x14ac:dyDescent="0.2">
      <c r="A519" s="1422"/>
      <c r="B519" s="2522"/>
      <c r="C519" s="3269"/>
      <c r="D519" s="3269"/>
      <c r="E519" s="3269"/>
      <c r="F519" s="3269"/>
      <c r="G519" s="3269"/>
      <c r="H519" s="3269"/>
      <c r="I519" s="3269"/>
      <c r="J519" s="3269"/>
      <c r="K519" s="40">
        <v>1950</v>
      </c>
      <c r="L519" s="3295"/>
      <c r="M519" s="3287" t="s">
        <v>303</v>
      </c>
      <c r="N519" s="3288"/>
      <c r="O519" s="40"/>
      <c r="P519" s="40"/>
      <c r="Q519" s="40">
        <v>1950</v>
      </c>
      <c r="R519" s="40"/>
      <c r="S519" s="40"/>
      <c r="T519" s="38"/>
      <c r="U519" s="38"/>
      <c r="V519" s="38"/>
      <c r="W519" s="38"/>
      <c r="X519" s="38"/>
      <c r="Y519" s="38"/>
      <c r="Z519" s="38"/>
      <c r="AA519" s="966">
        <f t="shared" si="35"/>
        <v>1950</v>
      </c>
      <c r="AB519" s="35"/>
      <c r="AC519" s="183"/>
    </row>
    <row r="520" spans="1:29" x14ac:dyDescent="0.2">
      <c r="A520" s="1422"/>
      <c r="B520" s="2522"/>
      <c r="C520" s="3269"/>
      <c r="D520" s="3269"/>
      <c r="E520" s="3269"/>
      <c r="F520" s="3269"/>
      <c r="G520" s="3269"/>
      <c r="H520" s="3269"/>
      <c r="I520" s="3269"/>
      <c r="J520" s="3269"/>
      <c r="K520" s="40">
        <v>4350</v>
      </c>
      <c r="L520" s="3295"/>
      <c r="M520" s="3287" t="s">
        <v>324</v>
      </c>
      <c r="N520" s="3288"/>
      <c r="O520" s="40"/>
      <c r="P520" s="40">
        <v>2175</v>
      </c>
      <c r="Q520" s="40"/>
      <c r="R520" s="40"/>
      <c r="S520" s="40"/>
      <c r="T520" s="38"/>
      <c r="U520" s="38">
        <v>2175</v>
      </c>
      <c r="V520" s="38"/>
      <c r="W520" s="38"/>
      <c r="X520" s="38"/>
      <c r="Y520" s="38"/>
      <c r="Z520" s="38"/>
      <c r="AA520" s="966">
        <f t="shared" si="35"/>
        <v>4350</v>
      </c>
      <c r="AB520" s="35"/>
      <c r="AC520" s="183"/>
    </row>
    <row r="521" spans="1:29" x14ac:dyDescent="0.2">
      <c r="A521" s="1422"/>
      <c r="B521" s="2522"/>
      <c r="C521" s="3269"/>
      <c r="D521" s="3269"/>
      <c r="E521" s="3269"/>
      <c r="F521" s="3269"/>
      <c r="G521" s="3269"/>
      <c r="H521" s="3269"/>
      <c r="I521" s="3269"/>
      <c r="J521" s="3269"/>
      <c r="K521" s="40">
        <v>26281</v>
      </c>
      <c r="L521" s="3295"/>
      <c r="M521" s="3287" t="s">
        <v>393</v>
      </c>
      <c r="N521" s="3288"/>
      <c r="O521" s="40"/>
      <c r="P521" s="40"/>
      <c r="Q521" s="40"/>
      <c r="R521" s="40">
        <v>13140.5</v>
      </c>
      <c r="S521" s="40"/>
      <c r="T521" s="38"/>
      <c r="U521" s="38"/>
      <c r="V521" s="38">
        <v>13140.5</v>
      </c>
      <c r="W521" s="38"/>
      <c r="X521" s="38"/>
      <c r="Y521" s="38"/>
      <c r="Z521" s="38"/>
      <c r="AA521" s="966">
        <f t="shared" si="35"/>
        <v>26281</v>
      </c>
      <c r="AB521" s="35"/>
      <c r="AC521" s="183"/>
    </row>
    <row r="522" spans="1:29" x14ac:dyDescent="0.2">
      <c r="A522" s="1422"/>
      <c r="B522" s="2522"/>
      <c r="C522" s="3269"/>
      <c r="D522" s="3269"/>
      <c r="E522" s="3269"/>
      <c r="F522" s="3269"/>
      <c r="G522" s="3269"/>
      <c r="H522" s="3269"/>
      <c r="I522" s="3269"/>
      <c r="J522" s="3269"/>
      <c r="K522" s="40">
        <v>186512</v>
      </c>
      <c r="L522" s="3295"/>
      <c r="M522" s="3287" t="s">
        <v>343</v>
      </c>
      <c r="N522" s="3288"/>
      <c r="O522" s="40"/>
      <c r="P522" s="40"/>
      <c r="Q522" s="40"/>
      <c r="R522" s="40">
        <v>37302.400000000001</v>
      </c>
      <c r="S522" s="40">
        <v>24868.266666666666</v>
      </c>
      <c r="T522" s="38">
        <v>12434.133333333333</v>
      </c>
      <c r="U522" s="38">
        <v>24868.266666666666</v>
      </c>
      <c r="V522" s="38">
        <v>12434.133333333333</v>
      </c>
      <c r="W522" s="38">
        <v>24868.266666666666</v>
      </c>
      <c r="X522" s="38">
        <v>12434.133333333333</v>
      </c>
      <c r="Y522" s="38">
        <v>24868.266666666666</v>
      </c>
      <c r="Z522" s="38">
        <v>12434.133333333333</v>
      </c>
      <c r="AA522" s="966">
        <f t="shared" si="35"/>
        <v>186512</v>
      </c>
      <c r="AB522" s="35"/>
      <c r="AC522" s="183"/>
    </row>
    <row r="523" spans="1:29" x14ac:dyDescent="0.2">
      <c r="A523" s="1422"/>
      <c r="B523" s="2522"/>
      <c r="C523" s="3269"/>
      <c r="D523" s="3269"/>
      <c r="E523" s="3269"/>
      <c r="F523" s="3269"/>
      <c r="G523" s="3269"/>
      <c r="H523" s="3269"/>
      <c r="I523" s="3269"/>
      <c r="J523" s="3269"/>
      <c r="K523" s="40">
        <v>350</v>
      </c>
      <c r="L523" s="3295"/>
      <c r="M523" s="3287" t="s">
        <v>308</v>
      </c>
      <c r="N523" s="3288"/>
      <c r="O523" s="40"/>
      <c r="P523" s="40"/>
      <c r="Q523" s="40">
        <v>350</v>
      </c>
      <c r="R523" s="40"/>
      <c r="S523" s="40"/>
      <c r="T523" s="38"/>
      <c r="U523" s="38"/>
      <c r="V523" s="38"/>
      <c r="W523" s="38"/>
      <c r="X523" s="38"/>
      <c r="Y523" s="38"/>
      <c r="Z523" s="38"/>
      <c r="AA523" s="966">
        <f t="shared" si="35"/>
        <v>350</v>
      </c>
      <c r="AB523" s="35"/>
      <c r="AC523" s="183"/>
    </row>
    <row r="524" spans="1:29" x14ac:dyDescent="0.2">
      <c r="A524" s="1422"/>
      <c r="B524" s="2522"/>
      <c r="C524" s="3269"/>
      <c r="D524" s="3269"/>
      <c r="E524" s="3269"/>
      <c r="F524" s="3269"/>
      <c r="G524" s="3269"/>
      <c r="H524" s="3269"/>
      <c r="I524" s="3269"/>
      <c r="J524" s="3269"/>
      <c r="K524" s="40">
        <v>35083</v>
      </c>
      <c r="L524" s="3295"/>
      <c r="M524" s="3287" t="s">
        <v>425</v>
      </c>
      <c r="N524" s="3288"/>
      <c r="O524" s="40"/>
      <c r="P524" s="40"/>
      <c r="Q524" s="40">
        <v>3508.3</v>
      </c>
      <c r="R524" s="40">
        <v>3508.3</v>
      </c>
      <c r="S524" s="40">
        <v>3508.3</v>
      </c>
      <c r="T524" s="38">
        <v>3508.3</v>
      </c>
      <c r="U524" s="38">
        <v>3508.3</v>
      </c>
      <c r="V524" s="38">
        <v>3508.3</v>
      </c>
      <c r="W524" s="38">
        <v>3508.3</v>
      </c>
      <c r="X524" s="38">
        <v>3508.3</v>
      </c>
      <c r="Y524" s="38">
        <v>3508.3</v>
      </c>
      <c r="Z524" s="38">
        <v>3508.3</v>
      </c>
      <c r="AA524" s="966">
        <f t="shared" si="35"/>
        <v>35083</v>
      </c>
      <c r="AB524" s="35"/>
      <c r="AC524" s="183"/>
    </row>
    <row r="525" spans="1:29" x14ac:dyDescent="0.2">
      <c r="A525" s="1422"/>
      <c r="B525" s="2522"/>
      <c r="C525" s="3269"/>
      <c r="D525" s="3269"/>
      <c r="E525" s="3269"/>
      <c r="F525" s="3269"/>
      <c r="G525" s="3269"/>
      <c r="H525" s="3269"/>
      <c r="I525" s="3269"/>
      <c r="J525" s="3269"/>
      <c r="K525" s="40">
        <v>3395</v>
      </c>
      <c r="L525" s="3295"/>
      <c r="M525" s="3287" t="s">
        <v>395</v>
      </c>
      <c r="N525" s="3288"/>
      <c r="O525" s="40"/>
      <c r="P525" s="40"/>
      <c r="Q525" s="40">
        <v>3395</v>
      </c>
      <c r="R525" s="40"/>
      <c r="S525" s="40"/>
      <c r="T525" s="38"/>
      <c r="U525" s="38"/>
      <c r="V525" s="38"/>
      <c r="W525" s="38"/>
      <c r="X525" s="38"/>
      <c r="Y525" s="38"/>
      <c r="Z525" s="38"/>
      <c r="AA525" s="966">
        <f t="shared" si="35"/>
        <v>3395</v>
      </c>
      <c r="AB525" s="35"/>
      <c r="AC525" s="183"/>
    </row>
    <row r="526" spans="1:29" x14ac:dyDescent="0.2">
      <c r="A526" s="1422"/>
      <c r="B526" s="2522"/>
      <c r="C526" s="3269"/>
      <c r="D526" s="3269"/>
      <c r="E526" s="3269"/>
      <c r="F526" s="3269"/>
      <c r="G526" s="3269"/>
      <c r="H526" s="3269"/>
      <c r="I526" s="3269"/>
      <c r="J526" s="3269"/>
      <c r="K526" s="40">
        <v>423020</v>
      </c>
      <c r="L526" s="3295"/>
      <c r="M526" s="3287" t="s">
        <v>310</v>
      </c>
      <c r="N526" s="3288"/>
      <c r="O526" s="40">
        <v>35251.666666666664</v>
      </c>
      <c r="P526" s="40">
        <v>35251.666666666664</v>
      </c>
      <c r="Q526" s="40">
        <v>35251.666666666664</v>
      </c>
      <c r="R526" s="40">
        <v>35251.666666666664</v>
      </c>
      <c r="S526" s="40">
        <v>35251.666666666664</v>
      </c>
      <c r="T526" s="38">
        <v>35251.666666666664</v>
      </c>
      <c r="U526" s="38">
        <v>35251.666666666664</v>
      </c>
      <c r="V526" s="38">
        <v>35251.666666666664</v>
      </c>
      <c r="W526" s="38">
        <v>35251.666666666664</v>
      </c>
      <c r="X526" s="38">
        <v>35251.666666666664</v>
      </c>
      <c r="Y526" s="38">
        <v>35251.666666666664</v>
      </c>
      <c r="Z526" s="38">
        <v>35251.666666666664</v>
      </c>
      <c r="AA526" s="966">
        <f t="shared" si="35"/>
        <v>423020.00000000006</v>
      </c>
      <c r="AB526" s="35"/>
      <c r="AC526" s="183"/>
    </row>
    <row r="527" spans="1:29" x14ac:dyDescent="0.2">
      <c r="A527" s="1422"/>
      <c r="B527" s="2522"/>
      <c r="C527" s="3270"/>
      <c r="D527" s="3270"/>
      <c r="E527" s="3270"/>
      <c r="F527" s="3270"/>
      <c r="G527" s="3270"/>
      <c r="H527" s="3270"/>
      <c r="I527" s="3270"/>
      <c r="J527" s="3270"/>
      <c r="K527" s="40">
        <v>28479</v>
      </c>
      <c r="L527" s="3296"/>
      <c r="M527" s="3287" t="s">
        <v>311</v>
      </c>
      <c r="N527" s="3288"/>
      <c r="O527" s="40">
        <v>2373.25</v>
      </c>
      <c r="P527" s="40">
        <v>2373.25</v>
      </c>
      <c r="Q527" s="40">
        <v>2373.25</v>
      </c>
      <c r="R527" s="40">
        <v>2373.25</v>
      </c>
      <c r="S527" s="40">
        <v>2373.25</v>
      </c>
      <c r="T527" s="38">
        <v>2373.25</v>
      </c>
      <c r="U527" s="38">
        <v>2373.25</v>
      </c>
      <c r="V527" s="38">
        <v>2373.25</v>
      </c>
      <c r="W527" s="38">
        <v>2373.25</v>
      </c>
      <c r="X527" s="38">
        <v>2373.25</v>
      </c>
      <c r="Y527" s="38">
        <v>2373.25</v>
      </c>
      <c r="Z527" s="38">
        <v>2373.25</v>
      </c>
      <c r="AA527" s="966">
        <f t="shared" si="35"/>
        <v>28479</v>
      </c>
      <c r="AB527" s="35"/>
      <c r="AC527" s="183"/>
    </row>
    <row r="528" spans="1:29" x14ac:dyDescent="0.2">
      <c r="A528" s="1422"/>
      <c r="B528" s="1418"/>
      <c r="C528" s="99"/>
      <c r="D528" s="99"/>
      <c r="E528" s="99"/>
      <c r="F528" s="99"/>
      <c r="G528" s="99"/>
      <c r="H528" s="99"/>
      <c r="I528" s="99"/>
      <c r="J528" s="99"/>
      <c r="K528" s="188">
        <f>SUM(K506:K527)</f>
        <v>4967154</v>
      </c>
      <c r="L528" s="188"/>
      <c r="M528" s="188"/>
      <c r="N528" s="188"/>
      <c r="O528" s="188"/>
      <c r="P528" s="188"/>
      <c r="Q528" s="188"/>
      <c r="R528" s="188"/>
      <c r="S528" s="188"/>
      <c r="T528" s="99"/>
      <c r="U528" s="99"/>
      <c r="V528" s="99"/>
      <c r="W528" s="99"/>
      <c r="X528" s="99"/>
      <c r="Y528" s="99"/>
      <c r="Z528" s="99"/>
      <c r="AA528" s="189"/>
      <c r="AB528" s="35"/>
      <c r="AC528" s="183"/>
    </row>
    <row r="529" spans="1:29" x14ac:dyDescent="0.2">
      <c r="A529" s="1422"/>
      <c r="B529" s="1419"/>
      <c r="C529" s="35"/>
      <c r="D529" s="35"/>
      <c r="E529" s="35"/>
      <c r="F529" s="35"/>
      <c r="G529" s="35"/>
      <c r="H529" s="35"/>
      <c r="I529" s="35"/>
      <c r="J529" s="35"/>
      <c r="K529" s="60"/>
      <c r="L529" s="60"/>
      <c r="M529" s="60"/>
      <c r="N529" s="60"/>
      <c r="O529" s="60"/>
      <c r="P529" s="60"/>
      <c r="Q529" s="60"/>
      <c r="R529" s="60"/>
      <c r="S529" s="60"/>
      <c r="T529" s="35"/>
      <c r="U529" s="2974" t="s">
        <v>15</v>
      </c>
      <c r="V529" s="2975"/>
      <c r="W529" s="2975"/>
      <c r="X529" s="2975"/>
      <c r="Y529" s="2976"/>
      <c r="Z529" s="2974" t="s">
        <v>16</v>
      </c>
      <c r="AA529" s="2976"/>
      <c r="AB529" s="35"/>
      <c r="AC529" s="183"/>
    </row>
    <row r="530" spans="1:29" ht="22.5" customHeight="1" x14ac:dyDescent="0.2">
      <c r="A530" s="1422"/>
      <c r="B530" s="1013" t="s">
        <v>276</v>
      </c>
      <c r="C530" s="152"/>
      <c r="D530" s="1115">
        <v>3033314</v>
      </c>
      <c r="E530" s="3277" t="s">
        <v>426</v>
      </c>
      <c r="F530" s="3278"/>
      <c r="G530" s="3278"/>
      <c r="H530" s="3278"/>
      <c r="I530" s="3278"/>
      <c r="J530" s="3278"/>
      <c r="K530" s="3278"/>
      <c r="L530" s="3278"/>
      <c r="M530" s="3278"/>
      <c r="N530" s="3278"/>
      <c r="O530" s="3278"/>
      <c r="P530" s="3278"/>
      <c r="Q530" s="3278"/>
      <c r="R530" s="3278"/>
      <c r="S530" s="3278"/>
      <c r="T530" s="3279"/>
      <c r="U530" s="3019" t="s">
        <v>427</v>
      </c>
      <c r="V530" s="3328"/>
      <c r="W530" s="3328"/>
      <c r="X530" s="3328"/>
      <c r="Y530" s="3020"/>
      <c r="Z530" s="3233" t="s">
        <v>412</v>
      </c>
      <c r="AA530" s="3233"/>
      <c r="AB530" s="35"/>
      <c r="AC530" s="183"/>
    </row>
    <row r="531" spans="1:29" x14ac:dyDescent="0.2">
      <c r="A531" s="1422"/>
      <c r="B531" s="2999" t="s">
        <v>278</v>
      </c>
      <c r="C531" s="2988" t="s">
        <v>21</v>
      </c>
      <c r="D531" s="2988" t="s">
        <v>22</v>
      </c>
      <c r="E531" s="2988" t="s">
        <v>23</v>
      </c>
      <c r="F531" s="2988" t="s">
        <v>24</v>
      </c>
      <c r="G531" s="2988" t="s">
        <v>25</v>
      </c>
      <c r="H531" s="2988" t="s">
        <v>26</v>
      </c>
      <c r="I531" s="2988" t="s">
        <v>27</v>
      </c>
      <c r="J531" s="1017" t="s">
        <v>28</v>
      </c>
      <c r="K531" s="1017"/>
      <c r="L531" s="2988" t="s">
        <v>279</v>
      </c>
      <c r="M531" s="3273" t="s">
        <v>280</v>
      </c>
      <c r="N531" s="3274"/>
      <c r="O531" s="2847" t="s">
        <v>281</v>
      </c>
      <c r="P531" s="2847"/>
      <c r="Q531" s="2847"/>
      <c r="R531" s="2847"/>
      <c r="S531" s="2847"/>
      <c r="T531" s="2847"/>
      <c r="U531" s="2847"/>
      <c r="V531" s="2847"/>
      <c r="W531" s="2847"/>
      <c r="X531" s="2847"/>
      <c r="Y531" s="2847"/>
      <c r="Z531" s="2847"/>
      <c r="AA531" s="2988" t="s">
        <v>32</v>
      </c>
      <c r="AB531" s="35"/>
      <c r="AC531" s="183"/>
    </row>
    <row r="532" spans="1:29" x14ac:dyDescent="0.2">
      <c r="A532" s="1422"/>
      <c r="B532" s="2999"/>
      <c r="C532" s="3186"/>
      <c r="D532" s="3186"/>
      <c r="E532" s="3186"/>
      <c r="F532" s="3186"/>
      <c r="G532" s="3186"/>
      <c r="H532" s="3186"/>
      <c r="I532" s="3186"/>
      <c r="J532" s="2988" t="s">
        <v>33</v>
      </c>
      <c r="K532" s="2988" t="s">
        <v>282</v>
      </c>
      <c r="L532" s="3186"/>
      <c r="M532" s="3275"/>
      <c r="N532" s="3276"/>
      <c r="O532" s="1009" t="s">
        <v>283</v>
      </c>
      <c r="P532" s="1009" t="s">
        <v>284</v>
      </c>
      <c r="Q532" s="1009" t="s">
        <v>285</v>
      </c>
      <c r="R532" s="1009" t="s">
        <v>88</v>
      </c>
      <c r="S532" s="1009" t="s">
        <v>89</v>
      </c>
      <c r="T532" s="1009" t="s">
        <v>90</v>
      </c>
      <c r="U532" s="1009" t="s">
        <v>91</v>
      </c>
      <c r="V532" s="1009" t="s">
        <v>92</v>
      </c>
      <c r="W532" s="1009" t="s">
        <v>286</v>
      </c>
      <c r="X532" s="1009" t="s">
        <v>93</v>
      </c>
      <c r="Y532" s="1009" t="s">
        <v>94</v>
      </c>
      <c r="Z532" s="1009" t="s">
        <v>95</v>
      </c>
      <c r="AA532" s="2989"/>
      <c r="AB532" s="35"/>
      <c r="AC532" s="183"/>
    </row>
    <row r="533" spans="1:29" x14ac:dyDescent="0.2">
      <c r="A533" s="1422"/>
      <c r="B533" s="2999"/>
      <c r="C533" s="3186"/>
      <c r="D533" s="3186"/>
      <c r="E533" s="3186"/>
      <c r="F533" s="3186"/>
      <c r="G533" s="3186"/>
      <c r="H533" s="3186"/>
      <c r="I533" s="3186"/>
      <c r="J533" s="3186"/>
      <c r="K533" s="3186"/>
      <c r="L533" s="3186"/>
      <c r="M533" s="3271" t="s">
        <v>287</v>
      </c>
      <c r="N533" s="3272"/>
      <c r="O533" s="1095">
        <v>50</v>
      </c>
      <c r="P533" s="1095">
        <v>50</v>
      </c>
      <c r="Q533" s="1095">
        <v>51</v>
      </c>
      <c r="R533" s="1095">
        <v>51</v>
      </c>
      <c r="S533" s="1095">
        <v>51</v>
      </c>
      <c r="T533" s="1095">
        <v>51</v>
      </c>
      <c r="U533" s="1095">
        <v>51</v>
      </c>
      <c r="V533" s="1095">
        <v>51</v>
      </c>
      <c r="W533" s="1095">
        <v>51</v>
      </c>
      <c r="X533" s="1095">
        <v>51</v>
      </c>
      <c r="Y533" s="1095">
        <v>51</v>
      </c>
      <c r="Z533" s="1095">
        <v>51</v>
      </c>
      <c r="AA533" s="1196">
        <f t="shared" ref="AA533:AA552" si="36">SUM(O533:Z533)</f>
        <v>610</v>
      </c>
      <c r="AB533" s="35"/>
      <c r="AC533" s="183"/>
    </row>
    <row r="534" spans="1:29" x14ac:dyDescent="0.2">
      <c r="A534" s="1422"/>
      <c r="B534" s="2999"/>
      <c r="C534" s="2989"/>
      <c r="D534" s="2989"/>
      <c r="E534" s="2989"/>
      <c r="F534" s="2989"/>
      <c r="G534" s="2989"/>
      <c r="H534" s="2989"/>
      <c r="I534" s="2989"/>
      <c r="J534" s="2989"/>
      <c r="K534" s="2989"/>
      <c r="L534" s="2989"/>
      <c r="M534" s="3271" t="s">
        <v>34</v>
      </c>
      <c r="N534" s="3272"/>
      <c r="O534" s="46">
        <v>179897.75</v>
      </c>
      <c r="P534" s="46">
        <v>168657.75</v>
      </c>
      <c r="Q534" s="46">
        <v>179857.75</v>
      </c>
      <c r="R534" s="46">
        <v>183435.55</v>
      </c>
      <c r="S534" s="46">
        <v>180883.61666666667</v>
      </c>
      <c r="T534" s="46">
        <v>179570.68333333332</v>
      </c>
      <c r="U534" s="46">
        <v>193839.11666666667</v>
      </c>
      <c r="V534" s="46">
        <v>180809.68333333332</v>
      </c>
      <c r="W534" s="46">
        <v>180883.61666666667</v>
      </c>
      <c r="X534" s="46">
        <v>179570.68333333332</v>
      </c>
      <c r="Y534" s="46">
        <v>180883.61666666667</v>
      </c>
      <c r="Z534" s="46">
        <v>190126.18333333332</v>
      </c>
      <c r="AA534" s="1196">
        <f t="shared" si="36"/>
        <v>2178416</v>
      </c>
      <c r="AB534" s="35"/>
      <c r="AC534" s="183"/>
    </row>
    <row r="535" spans="1:29" ht="11.25" customHeight="1" x14ac:dyDescent="0.2">
      <c r="A535" s="1422"/>
      <c r="B535" s="2522">
        <v>5000030</v>
      </c>
      <c r="C535" s="3268" t="s">
        <v>3044</v>
      </c>
      <c r="D535" s="3268">
        <v>17</v>
      </c>
      <c r="E535" s="3268" t="s">
        <v>288</v>
      </c>
      <c r="F535" s="3268" t="s">
        <v>386</v>
      </c>
      <c r="G535" s="3268" t="s">
        <v>423</v>
      </c>
      <c r="H535" s="3268" t="s">
        <v>428</v>
      </c>
      <c r="I535" s="3268" t="s">
        <v>414</v>
      </c>
      <c r="J535" s="3268">
        <v>610</v>
      </c>
      <c r="K535" s="40">
        <v>732828</v>
      </c>
      <c r="L535" s="3294" t="s">
        <v>377</v>
      </c>
      <c r="M535" s="3287" t="s">
        <v>293</v>
      </c>
      <c r="N535" s="3288"/>
      <c r="O535" s="40">
        <v>61069</v>
      </c>
      <c r="P535" s="40">
        <v>61069</v>
      </c>
      <c r="Q535" s="40">
        <v>61069</v>
      </c>
      <c r="R535" s="40">
        <v>61069</v>
      </c>
      <c r="S535" s="40">
        <v>61069</v>
      </c>
      <c r="T535" s="38">
        <v>61069</v>
      </c>
      <c r="U535" s="38">
        <v>61069</v>
      </c>
      <c r="V535" s="38">
        <v>61069</v>
      </c>
      <c r="W535" s="38">
        <v>61069</v>
      </c>
      <c r="X535" s="38">
        <v>61069</v>
      </c>
      <c r="Y535" s="38">
        <v>61069</v>
      </c>
      <c r="Z535" s="38">
        <v>61069</v>
      </c>
      <c r="AA535" s="966">
        <f t="shared" si="36"/>
        <v>732828</v>
      </c>
      <c r="AB535" s="35"/>
      <c r="AC535" s="183"/>
    </row>
    <row r="536" spans="1:29" x14ac:dyDescent="0.2">
      <c r="A536" s="1422"/>
      <c r="B536" s="2522"/>
      <c r="C536" s="3269"/>
      <c r="D536" s="3269"/>
      <c r="E536" s="3269"/>
      <c r="F536" s="3269"/>
      <c r="G536" s="3269"/>
      <c r="H536" s="3269"/>
      <c r="I536" s="3269"/>
      <c r="J536" s="3269"/>
      <c r="K536" s="40">
        <v>180049</v>
      </c>
      <c r="L536" s="3295"/>
      <c r="M536" s="3287" t="s">
        <v>321</v>
      </c>
      <c r="N536" s="3288"/>
      <c r="O536" s="40">
        <v>15004.083333333334</v>
      </c>
      <c r="P536" s="40">
        <v>15004.083333333334</v>
      </c>
      <c r="Q536" s="40">
        <v>15004.083333333334</v>
      </c>
      <c r="R536" s="40">
        <v>15004.083333333334</v>
      </c>
      <c r="S536" s="40">
        <v>15004.083333333334</v>
      </c>
      <c r="T536" s="38">
        <v>15004.083333333334</v>
      </c>
      <c r="U536" s="38">
        <v>15004.083333333334</v>
      </c>
      <c r="V536" s="38">
        <v>15004.083333333334</v>
      </c>
      <c r="W536" s="38">
        <v>15004.083333333334</v>
      </c>
      <c r="X536" s="38">
        <v>15004.083333333334</v>
      </c>
      <c r="Y536" s="38">
        <v>15004.083333333334</v>
      </c>
      <c r="Z536" s="38">
        <v>15004.083333333334</v>
      </c>
      <c r="AA536" s="966">
        <f t="shared" si="36"/>
        <v>180049.00000000003</v>
      </c>
      <c r="AB536" s="35"/>
      <c r="AC536" s="183"/>
    </row>
    <row r="537" spans="1:29" x14ac:dyDescent="0.2">
      <c r="A537" s="1422"/>
      <c r="B537" s="2522"/>
      <c r="C537" s="3269"/>
      <c r="D537" s="3269"/>
      <c r="E537" s="3269"/>
      <c r="F537" s="3269"/>
      <c r="G537" s="3269"/>
      <c r="H537" s="3269"/>
      <c r="I537" s="3269"/>
      <c r="J537" s="3269"/>
      <c r="K537" s="40">
        <v>355392</v>
      </c>
      <c r="L537" s="3295"/>
      <c r="M537" s="3287" t="s">
        <v>295</v>
      </c>
      <c r="N537" s="3288"/>
      <c r="O537" s="40">
        <v>29616</v>
      </c>
      <c r="P537" s="40">
        <v>29616</v>
      </c>
      <c r="Q537" s="40">
        <v>29616</v>
      </c>
      <c r="R537" s="40">
        <v>29616</v>
      </c>
      <c r="S537" s="40">
        <v>29616</v>
      </c>
      <c r="T537" s="38">
        <v>29616</v>
      </c>
      <c r="U537" s="38">
        <v>29616</v>
      </c>
      <c r="V537" s="38">
        <v>29616</v>
      </c>
      <c r="W537" s="38">
        <v>29616</v>
      </c>
      <c r="X537" s="38">
        <v>29616</v>
      </c>
      <c r="Y537" s="38">
        <v>29616</v>
      </c>
      <c r="Z537" s="38">
        <v>29616</v>
      </c>
      <c r="AA537" s="966">
        <f t="shared" si="36"/>
        <v>355392</v>
      </c>
      <c r="AB537" s="35"/>
      <c r="AC537" s="183"/>
    </row>
    <row r="538" spans="1:29" x14ac:dyDescent="0.2">
      <c r="A538" s="1422"/>
      <c r="B538" s="2522"/>
      <c r="C538" s="3269"/>
      <c r="D538" s="3269"/>
      <c r="E538" s="3269"/>
      <c r="F538" s="3269"/>
      <c r="G538" s="3269"/>
      <c r="H538" s="3269"/>
      <c r="I538" s="3269"/>
      <c r="J538" s="3269"/>
      <c r="K538" s="40">
        <v>317651</v>
      </c>
      <c r="L538" s="3295"/>
      <c r="M538" s="3287" t="s">
        <v>296</v>
      </c>
      <c r="N538" s="3288"/>
      <c r="O538" s="40">
        <v>26470.916666666668</v>
      </c>
      <c r="P538" s="40">
        <v>26470.916666666668</v>
      </c>
      <c r="Q538" s="40">
        <v>26470.916666666668</v>
      </c>
      <c r="R538" s="40">
        <v>26470.916666666668</v>
      </c>
      <c r="S538" s="40">
        <v>26470.916666666668</v>
      </c>
      <c r="T538" s="38">
        <v>26470.916666666668</v>
      </c>
      <c r="U538" s="38">
        <v>26470.916666666668</v>
      </c>
      <c r="V538" s="38">
        <v>26470.916666666668</v>
      </c>
      <c r="W538" s="38">
        <v>26470.916666666668</v>
      </c>
      <c r="X538" s="38">
        <v>26470.916666666668</v>
      </c>
      <c r="Y538" s="38">
        <v>26470.916666666668</v>
      </c>
      <c r="Z538" s="38">
        <v>26470.916666666668</v>
      </c>
      <c r="AA538" s="966">
        <f t="shared" si="36"/>
        <v>317651</v>
      </c>
      <c r="AB538" s="35"/>
      <c r="AC538" s="183"/>
    </row>
    <row r="539" spans="1:29" x14ac:dyDescent="0.2">
      <c r="A539" s="1422"/>
      <c r="B539" s="2522"/>
      <c r="C539" s="3269"/>
      <c r="D539" s="3269"/>
      <c r="E539" s="3269"/>
      <c r="F539" s="3269"/>
      <c r="G539" s="3269"/>
      <c r="H539" s="3269"/>
      <c r="I539" s="3269"/>
      <c r="J539" s="3269"/>
      <c r="K539" s="40">
        <v>98652</v>
      </c>
      <c r="L539" s="3295"/>
      <c r="M539" s="3287" t="s">
        <v>297</v>
      </c>
      <c r="N539" s="3288"/>
      <c r="O539" s="40">
        <v>8221</v>
      </c>
      <c r="P539" s="40">
        <v>8221</v>
      </c>
      <c r="Q539" s="40">
        <v>8221</v>
      </c>
      <c r="R539" s="40">
        <v>8221</v>
      </c>
      <c r="S539" s="40">
        <v>8221</v>
      </c>
      <c r="T539" s="38">
        <v>8221</v>
      </c>
      <c r="U539" s="38">
        <v>8221</v>
      </c>
      <c r="V539" s="38">
        <v>8221</v>
      </c>
      <c r="W539" s="38">
        <v>8221</v>
      </c>
      <c r="X539" s="38">
        <v>8221</v>
      </c>
      <c r="Y539" s="38">
        <v>8221</v>
      </c>
      <c r="Z539" s="38">
        <v>8221</v>
      </c>
      <c r="AA539" s="966">
        <f t="shared" si="36"/>
        <v>98652</v>
      </c>
      <c r="AB539" s="35"/>
      <c r="AC539" s="183"/>
    </row>
    <row r="540" spans="1:29" x14ac:dyDescent="0.2">
      <c r="A540" s="1422"/>
      <c r="B540" s="2522"/>
      <c r="C540" s="3269"/>
      <c r="D540" s="3269"/>
      <c r="E540" s="3269"/>
      <c r="F540" s="3269"/>
      <c r="G540" s="3269"/>
      <c r="H540" s="3269"/>
      <c r="I540" s="3269"/>
      <c r="J540" s="3269"/>
      <c r="K540" s="40">
        <v>21111</v>
      </c>
      <c r="L540" s="3295"/>
      <c r="M540" s="3287" t="s">
        <v>298</v>
      </c>
      <c r="N540" s="3288"/>
      <c r="O540" s="40"/>
      <c r="P540" s="40"/>
      <c r="Q540" s="40"/>
      <c r="R540" s="40"/>
      <c r="S540" s="40"/>
      <c r="T540" s="38"/>
      <c r="U540" s="38">
        <v>10555.5</v>
      </c>
      <c r="V540" s="38"/>
      <c r="W540" s="38"/>
      <c r="X540" s="38"/>
      <c r="Y540" s="38"/>
      <c r="Z540" s="38">
        <v>10555.5</v>
      </c>
      <c r="AA540" s="966">
        <f t="shared" si="36"/>
        <v>21111</v>
      </c>
      <c r="AB540" s="35"/>
      <c r="AC540" s="183"/>
    </row>
    <row r="541" spans="1:29" x14ac:dyDescent="0.2">
      <c r="A541" s="1422"/>
      <c r="B541" s="2522"/>
      <c r="C541" s="3269"/>
      <c r="D541" s="3269"/>
      <c r="E541" s="3269"/>
      <c r="F541" s="3269"/>
      <c r="G541" s="3269"/>
      <c r="H541" s="3269"/>
      <c r="I541" s="3269"/>
      <c r="J541" s="3269"/>
      <c r="K541" s="40">
        <v>13640</v>
      </c>
      <c r="L541" s="3295"/>
      <c r="M541" s="3287" t="s">
        <v>299</v>
      </c>
      <c r="N541" s="3288"/>
      <c r="O541" s="40">
        <v>13640</v>
      </c>
      <c r="P541" s="40"/>
      <c r="Q541" s="40"/>
      <c r="R541" s="40"/>
      <c r="S541" s="40"/>
      <c r="T541" s="38"/>
      <c r="U541" s="38"/>
      <c r="V541" s="38"/>
      <c r="W541" s="38"/>
      <c r="X541" s="38"/>
      <c r="Y541" s="38"/>
      <c r="Z541" s="38"/>
      <c r="AA541" s="966">
        <f t="shared" si="36"/>
        <v>13640</v>
      </c>
      <c r="AB541" s="35"/>
      <c r="AC541" s="183"/>
    </row>
    <row r="542" spans="1:29" x14ac:dyDescent="0.2">
      <c r="A542" s="1422"/>
      <c r="B542" s="2522"/>
      <c r="C542" s="3269"/>
      <c r="D542" s="3269"/>
      <c r="E542" s="3269"/>
      <c r="F542" s="3269"/>
      <c r="G542" s="3269"/>
      <c r="H542" s="3269"/>
      <c r="I542" s="3269"/>
      <c r="J542" s="3269"/>
      <c r="K542" s="40">
        <v>76710</v>
      </c>
      <c r="L542" s="3295"/>
      <c r="M542" s="3287" t="s">
        <v>300</v>
      </c>
      <c r="N542" s="3288"/>
      <c r="O542" s="40">
        <v>6392.5</v>
      </c>
      <c r="P542" s="40">
        <v>6392.5</v>
      </c>
      <c r="Q542" s="40">
        <v>6392.5</v>
      </c>
      <c r="R542" s="40">
        <v>6392.5</v>
      </c>
      <c r="S542" s="40">
        <v>6392.5</v>
      </c>
      <c r="T542" s="38">
        <v>6392.5</v>
      </c>
      <c r="U542" s="38">
        <v>6392.5</v>
      </c>
      <c r="V542" s="38">
        <v>6392.5</v>
      </c>
      <c r="W542" s="38">
        <v>6392.5</v>
      </c>
      <c r="X542" s="38">
        <v>6392.5</v>
      </c>
      <c r="Y542" s="38">
        <v>6392.5</v>
      </c>
      <c r="Z542" s="38">
        <v>6392.5</v>
      </c>
      <c r="AA542" s="966">
        <f t="shared" si="36"/>
        <v>76710</v>
      </c>
      <c r="AB542" s="35"/>
      <c r="AC542" s="183"/>
    </row>
    <row r="543" spans="1:29" x14ac:dyDescent="0.2">
      <c r="A543" s="1422"/>
      <c r="B543" s="2522"/>
      <c r="C543" s="3269"/>
      <c r="D543" s="3269"/>
      <c r="E543" s="3269"/>
      <c r="F543" s="3269"/>
      <c r="G543" s="3269"/>
      <c r="H543" s="3269"/>
      <c r="I543" s="3269"/>
      <c r="J543" s="3269"/>
      <c r="K543" s="40">
        <v>1284</v>
      </c>
      <c r="L543" s="3295"/>
      <c r="M543" s="3287" t="s">
        <v>301</v>
      </c>
      <c r="N543" s="3288"/>
      <c r="O543" s="40">
        <v>107</v>
      </c>
      <c r="P543" s="40">
        <v>107</v>
      </c>
      <c r="Q543" s="40">
        <v>107</v>
      </c>
      <c r="R543" s="40">
        <v>107</v>
      </c>
      <c r="S543" s="40">
        <v>107</v>
      </c>
      <c r="T543" s="38">
        <v>107</v>
      </c>
      <c r="U543" s="38">
        <v>107</v>
      </c>
      <c r="V543" s="38">
        <v>107</v>
      </c>
      <c r="W543" s="38">
        <v>107</v>
      </c>
      <c r="X543" s="38">
        <v>107</v>
      </c>
      <c r="Y543" s="38">
        <v>107</v>
      </c>
      <c r="Z543" s="38">
        <v>107</v>
      </c>
      <c r="AA543" s="966">
        <f t="shared" si="36"/>
        <v>1284</v>
      </c>
      <c r="AB543" s="35"/>
      <c r="AC543" s="183"/>
    </row>
    <row r="544" spans="1:29" x14ac:dyDescent="0.2">
      <c r="A544" s="1422"/>
      <c r="B544" s="2522"/>
      <c r="C544" s="3269"/>
      <c r="D544" s="3269"/>
      <c r="E544" s="3269"/>
      <c r="F544" s="3269"/>
      <c r="G544" s="3269"/>
      <c r="H544" s="3269"/>
      <c r="I544" s="3269"/>
      <c r="J544" s="3269"/>
      <c r="K544" s="40">
        <v>400</v>
      </c>
      <c r="L544" s="3295"/>
      <c r="M544" s="3287" t="s">
        <v>303</v>
      </c>
      <c r="N544" s="3288"/>
      <c r="O544" s="40"/>
      <c r="P544" s="40"/>
      <c r="Q544" s="40">
        <v>400</v>
      </c>
      <c r="R544" s="40"/>
      <c r="S544" s="40"/>
      <c r="T544" s="38"/>
      <c r="U544" s="38"/>
      <c r="V544" s="38"/>
      <c r="W544" s="38"/>
      <c r="X544" s="38"/>
      <c r="Y544" s="38"/>
      <c r="Z544" s="38"/>
      <c r="AA544" s="966">
        <f t="shared" si="36"/>
        <v>400</v>
      </c>
      <c r="AB544" s="35"/>
      <c r="AC544" s="183"/>
    </row>
    <row r="545" spans="1:29" x14ac:dyDescent="0.2">
      <c r="A545" s="1422"/>
      <c r="B545" s="2522"/>
      <c r="C545" s="3269"/>
      <c r="D545" s="3269"/>
      <c r="E545" s="3269"/>
      <c r="F545" s="3269"/>
      <c r="G545" s="3269"/>
      <c r="H545" s="3269"/>
      <c r="I545" s="3269"/>
      <c r="J545" s="3269"/>
      <c r="K545" s="40">
        <v>4800</v>
      </c>
      <c r="L545" s="3295"/>
      <c r="M545" s="3287" t="s">
        <v>324</v>
      </c>
      <c r="N545" s="3288"/>
      <c r="O545" s="40"/>
      <c r="P545" s="40">
        <v>2400</v>
      </c>
      <c r="Q545" s="40"/>
      <c r="R545" s="40"/>
      <c r="S545" s="40"/>
      <c r="T545" s="38"/>
      <c r="U545" s="38">
        <v>2400</v>
      </c>
      <c r="V545" s="38"/>
      <c r="W545" s="38"/>
      <c r="X545" s="38"/>
      <c r="Y545" s="38"/>
      <c r="Z545" s="38"/>
      <c r="AA545" s="966">
        <f t="shared" si="36"/>
        <v>4800</v>
      </c>
      <c r="AB545" s="35"/>
      <c r="AC545" s="183"/>
    </row>
    <row r="546" spans="1:29" x14ac:dyDescent="0.2">
      <c r="A546" s="1422"/>
      <c r="B546" s="2522"/>
      <c r="C546" s="3269"/>
      <c r="D546" s="3269"/>
      <c r="E546" s="3269"/>
      <c r="F546" s="3269"/>
      <c r="G546" s="3269"/>
      <c r="H546" s="3269"/>
      <c r="I546" s="3269"/>
      <c r="J546" s="3269"/>
      <c r="K546" s="40">
        <v>2478</v>
      </c>
      <c r="L546" s="3295"/>
      <c r="M546" s="3287" t="s">
        <v>393</v>
      </c>
      <c r="N546" s="3288"/>
      <c r="O546" s="40"/>
      <c r="P546" s="40"/>
      <c r="Q546" s="40"/>
      <c r="R546" s="40">
        <v>1239</v>
      </c>
      <c r="S546" s="40"/>
      <c r="T546" s="38"/>
      <c r="U546" s="38"/>
      <c r="V546" s="38">
        <v>1239</v>
      </c>
      <c r="W546" s="38"/>
      <c r="X546" s="38"/>
      <c r="Y546" s="38"/>
      <c r="Z546" s="38"/>
      <c r="AA546" s="966">
        <f t="shared" si="36"/>
        <v>2478</v>
      </c>
      <c r="AB546" s="35"/>
      <c r="AC546" s="183"/>
    </row>
    <row r="547" spans="1:29" x14ac:dyDescent="0.2">
      <c r="A547" s="1422"/>
      <c r="B547" s="2522"/>
      <c r="C547" s="3269"/>
      <c r="D547" s="3269"/>
      <c r="E547" s="3269"/>
      <c r="F547" s="3269"/>
      <c r="G547" s="3269"/>
      <c r="H547" s="3269"/>
      <c r="I547" s="3269"/>
      <c r="J547" s="3269"/>
      <c r="K547" s="40">
        <v>19694</v>
      </c>
      <c r="L547" s="3295"/>
      <c r="M547" s="3287" t="s">
        <v>343</v>
      </c>
      <c r="N547" s="3288"/>
      <c r="O547" s="40"/>
      <c r="P547" s="40"/>
      <c r="Q547" s="40"/>
      <c r="R547" s="40">
        <v>3938.8</v>
      </c>
      <c r="S547" s="40">
        <v>2625.8666666666668</v>
      </c>
      <c r="T547" s="38">
        <v>1312.9333333333334</v>
      </c>
      <c r="U547" s="38">
        <v>2625.8666666666668</v>
      </c>
      <c r="V547" s="38">
        <v>1312.9333333333334</v>
      </c>
      <c r="W547" s="38">
        <v>2625.8666666666668</v>
      </c>
      <c r="X547" s="38">
        <v>1312.9333333333334</v>
      </c>
      <c r="Y547" s="38">
        <v>2625.8666666666668</v>
      </c>
      <c r="Z547" s="38">
        <v>1312.9333333333334</v>
      </c>
      <c r="AA547" s="966">
        <f t="shared" si="36"/>
        <v>19694</v>
      </c>
      <c r="AB547" s="35"/>
      <c r="AC547" s="183"/>
    </row>
    <row r="548" spans="1:29" x14ac:dyDescent="0.2">
      <c r="A548" s="1422"/>
      <c r="B548" s="2522"/>
      <c r="C548" s="3269"/>
      <c r="D548" s="3269"/>
      <c r="E548" s="3269"/>
      <c r="F548" s="3269"/>
      <c r="G548" s="3269"/>
      <c r="H548" s="3269"/>
      <c r="I548" s="3269"/>
      <c r="J548" s="3269"/>
      <c r="K548" s="40">
        <v>1000</v>
      </c>
      <c r="L548" s="3295"/>
      <c r="M548" s="3287" t="s">
        <v>304</v>
      </c>
      <c r="N548" s="3288"/>
      <c r="O548" s="40"/>
      <c r="P548" s="40"/>
      <c r="Q548" s="40">
        <v>1000</v>
      </c>
      <c r="R548" s="40"/>
      <c r="S548" s="40"/>
      <c r="T548" s="38"/>
      <c r="U548" s="38"/>
      <c r="V548" s="38"/>
      <c r="W548" s="38"/>
      <c r="X548" s="38"/>
      <c r="Y548" s="38"/>
      <c r="Z548" s="38"/>
      <c r="AA548" s="966">
        <f t="shared" si="36"/>
        <v>1000</v>
      </c>
      <c r="AB548" s="35"/>
      <c r="AC548" s="183"/>
    </row>
    <row r="549" spans="1:29" x14ac:dyDescent="0.2">
      <c r="A549" s="1422"/>
      <c r="B549" s="2522"/>
      <c r="C549" s="3269"/>
      <c r="D549" s="3269"/>
      <c r="E549" s="3269"/>
      <c r="F549" s="3269"/>
      <c r="G549" s="3269"/>
      <c r="H549" s="3269"/>
      <c r="I549" s="3269"/>
      <c r="J549" s="3269"/>
      <c r="K549" s="40">
        <v>200</v>
      </c>
      <c r="L549" s="3295"/>
      <c r="M549" s="3287" t="s">
        <v>308</v>
      </c>
      <c r="N549" s="3288"/>
      <c r="O549" s="40"/>
      <c r="P549" s="40"/>
      <c r="Q549" s="40">
        <v>200</v>
      </c>
      <c r="R549" s="40"/>
      <c r="S549" s="40"/>
      <c r="T549" s="38"/>
      <c r="U549" s="38"/>
      <c r="V549" s="38"/>
      <c r="W549" s="38"/>
      <c r="X549" s="38"/>
      <c r="Y549" s="38"/>
      <c r="Z549" s="38"/>
      <c r="AA549" s="966">
        <f t="shared" si="36"/>
        <v>200</v>
      </c>
      <c r="AB549" s="35"/>
      <c r="AC549" s="183"/>
    </row>
    <row r="550" spans="1:29" x14ac:dyDescent="0.2">
      <c r="A550" s="1422"/>
      <c r="B550" s="2522"/>
      <c r="C550" s="3269"/>
      <c r="D550" s="3269"/>
      <c r="E550" s="3269"/>
      <c r="F550" s="3269"/>
      <c r="G550" s="3269"/>
      <c r="H550" s="3269"/>
      <c r="I550" s="3269"/>
      <c r="J550" s="3269"/>
      <c r="K550" s="40">
        <v>120000</v>
      </c>
      <c r="L550" s="3295"/>
      <c r="M550" s="3287" t="s">
        <v>429</v>
      </c>
      <c r="N550" s="3288"/>
      <c r="O550" s="40"/>
      <c r="P550" s="40"/>
      <c r="Q550" s="40">
        <v>12000</v>
      </c>
      <c r="R550" s="40">
        <v>12000</v>
      </c>
      <c r="S550" s="40">
        <v>12000</v>
      </c>
      <c r="T550" s="38">
        <v>12000</v>
      </c>
      <c r="U550" s="38">
        <v>12000</v>
      </c>
      <c r="V550" s="38">
        <v>12000</v>
      </c>
      <c r="W550" s="38">
        <v>12000</v>
      </c>
      <c r="X550" s="38">
        <v>12000</v>
      </c>
      <c r="Y550" s="38">
        <v>12000</v>
      </c>
      <c r="Z550" s="38">
        <v>12000</v>
      </c>
      <c r="AA550" s="966">
        <f t="shared" si="36"/>
        <v>120000</v>
      </c>
      <c r="AB550" s="35"/>
      <c r="AC550" s="183"/>
    </row>
    <row r="551" spans="1:29" x14ac:dyDescent="0.2">
      <c r="A551" s="1422"/>
      <c r="B551" s="2522"/>
      <c r="C551" s="3269"/>
      <c r="D551" s="3269"/>
      <c r="E551" s="3269"/>
      <c r="F551" s="3269"/>
      <c r="G551" s="3269"/>
      <c r="H551" s="3269"/>
      <c r="I551" s="3269"/>
      <c r="J551" s="3269"/>
      <c r="K551" s="40">
        <v>213193</v>
      </c>
      <c r="L551" s="3295"/>
      <c r="M551" s="3287" t="s">
        <v>310</v>
      </c>
      <c r="N551" s="3288"/>
      <c r="O551" s="40">
        <v>17766.083333333332</v>
      </c>
      <c r="P551" s="40">
        <v>17766.083333333332</v>
      </c>
      <c r="Q551" s="40">
        <v>17766.083333333332</v>
      </c>
      <c r="R551" s="40">
        <v>17766.083333333332</v>
      </c>
      <c r="S551" s="40">
        <v>17766.083333333332</v>
      </c>
      <c r="T551" s="38">
        <v>17766.083333333332</v>
      </c>
      <c r="U551" s="38">
        <v>17766.083333333332</v>
      </c>
      <c r="V551" s="38">
        <v>17766.083333333332</v>
      </c>
      <c r="W551" s="38">
        <v>17766.083333333332</v>
      </c>
      <c r="X551" s="38">
        <v>17766.083333333332</v>
      </c>
      <c r="Y551" s="38">
        <v>17766.083333333332</v>
      </c>
      <c r="Z551" s="38">
        <v>17766.083333333332</v>
      </c>
      <c r="AA551" s="966">
        <f t="shared" si="36"/>
        <v>213193.00000000003</v>
      </c>
      <c r="AB551" s="35"/>
      <c r="AC551" s="183"/>
    </row>
    <row r="552" spans="1:29" x14ac:dyDescent="0.2">
      <c r="A552" s="1422"/>
      <c r="B552" s="2522"/>
      <c r="C552" s="3270"/>
      <c r="D552" s="3270"/>
      <c r="E552" s="3270"/>
      <c r="F552" s="3270"/>
      <c r="G552" s="3270"/>
      <c r="H552" s="3270"/>
      <c r="I552" s="3270"/>
      <c r="J552" s="3270"/>
      <c r="K552" s="40">
        <v>19334</v>
      </c>
      <c r="L552" s="3296"/>
      <c r="M552" s="3287" t="s">
        <v>311</v>
      </c>
      <c r="N552" s="3288"/>
      <c r="O552" s="40">
        <v>1611.1666666666667</v>
      </c>
      <c r="P552" s="40">
        <v>1611.1666666666667</v>
      </c>
      <c r="Q552" s="40">
        <v>1611.1666666666667</v>
      </c>
      <c r="R552" s="40">
        <v>1611.1666666666667</v>
      </c>
      <c r="S552" s="40">
        <v>1611.1666666666667</v>
      </c>
      <c r="T552" s="38">
        <v>1611.1666666666667</v>
      </c>
      <c r="U552" s="38">
        <v>1611.1666666666667</v>
      </c>
      <c r="V552" s="38">
        <v>1611.1666666666667</v>
      </c>
      <c r="W552" s="38">
        <v>1611.1666666666667</v>
      </c>
      <c r="X552" s="38">
        <v>1611.1666666666667</v>
      </c>
      <c r="Y552" s="38">
        <v>1611.1666666666667</v>
      </c>
      <c r="Z552" s="38">
        <v>1611.1666666666667</v>
      </c>
      <c r="AA552" s="966">
        <f t="shared" si="36"/>
        <v>19334</v>
      </c>
      <c r="AB552" s="35"/>
      <c r="AC552" s="183"/>
    </row>
    <row r="553" spans="1:29" x14ac:dyDescent="0.2">
      <c r="A553" s="1422"/>
      <c r="B553" s="1419"/>
      <c r="C553" s="35"/>
      <c r="D553" s="35"/>
      <c r="E553" s="35"/>
      <c r="F553" s="35"/>
      <c r="G553" s="35"/>
      <c r="H553" s="35"/>
      <c r="I553" s="35"/>
      <c r="J553" s="35"/>
      <c r="K553" s="60">
        <f>SUM(K535:K552)</f>
        <v>2178416</v>
      </c>
      <c r="L553" s="60"/>
      <c r="M553" s="60"/>
      <c r="N553" s="60"/>
      <c r="O553" s="60"/>
      <c r="P553" s="60"/>
      <c r="Q553" s="60"/>
      <c r="R553" s="60"/>
      <c r="S553" s="60"/>
      <c r="T553" s="35"/>
      <c r="U553" s="35"/>
      <c r="V553" s="35"/>
      <c r="W553" s="35"/>
      <c r="X553" s="35"/>
      <c r="Y553" s="35"/>
      <c r="Z553" s="35"/>
      <c r="AA553" s="180"/>
      <c r="AB553" s="35"/>
      <c r="AC553" s="183"/>
    </row>
    <row r="554" spans="1:29" x14ac:dyDescent="0.2">
      <c r="A554" s="1422"/>
      <c r="B554" s="1419"/>
      <c r="C554" s="35"/>
      <c r="D554" s="35"/>
      <c r="E554" s="35"/>
      <c r="F554" s="35"/>
      <c r="G554" s="35"/>
      <c r="H554" s="35"/>
      <c r="I554" s="35"/>
      <c r="J554" s="35"/>
      <c r="K554" s="60"/>
      <c r="L554" s="60"/>
      <c r="M554" s="60"/>
      <c r="N554" s="60"/>
      <c r="O554" s="60"/>
      <c r="P554" s="60"/>
      <c r="Q554" s="60"/>
      <c r="R554" s="60"/>
      <c r="S554" s="60"/>
      <c r="T554" s="35"/>
      <c r="U554" s="2974" t="s">
        <v>15</v>
      </c>
      <c r="V554" s="2975"/>
      <c r="W554" s="2975"/>
      <c r="X554" s="2975"/>
      <c r="Y554" s="2976"/>
      <c r="Z554" s="2974" t="s">
        <v>16</v>
      </c>
      <c r="AA554" s="2976"/>
      <c r="AB554" s="35"/>
      <c r="AC554" s="183"/>
    </row>
    <row r="555" spans="1:29" ht="22.5" customHeight="1" x14ac:dyDescent="0.2">
      <c r="A555" s="1422"/>
      <c r="B555" s="1013" t="s">
        <v>276</v>
      </c>
      <c r="C555" s="152"/>
      <c r="D555" s="1115">
        <v>3033315</v>
      </c>
      <c r="E555" s="3277" t="s">
        <v>430</v>
      </c>
      <c r="F555" s="3278"/>
      <c r="G555" s="3278"/>
      <c r="H555" s="3278"/>
      <c r="I555" s="3278"/>
      <c r="J555" s="3278"/>
      <c r="K555" s="3278"/>
      <c r="L555" s="3278"/>
      <c r="M555" s="3278"/>
      <c r="N555" s="3278"/>
      <c r="O555" s="3278"/>
      <c r="P555" s="3278"/>
      <c r="Q555" s="3278"/>
      <c r="R555" s="3278"/>
      <c r="S555" s="3278"/>
      <c r="T555" s="3279"/>
      <c r="U555" s="3019" t="s">
        <v>431</v>
      </c>
      <c r="V555" s="3328"/>
      <c r="W555" s="3328"/>
      <c r="X555" s="3328"/>
      <c r="Y555" s="3020"/>
      <c r="Z555" s="3233" t="s">
        <v>418</v>
      </c>
      <c r="AA555" s="3233"/>
      <c r="AB555" s="35"/>
      <c r="AC555" s="183"/>
    </row>
    <row r="556" spans="1:29" x14ac:dyDescent="0.2">
      <c r="A556" s="1422"/>
      <c r="B556" s="2999" t="s">
        <v>278</v>
      </c>
      <c r="C556" s="2988" t="s">
        <v>21</v>
      </c>
      <c r="D556" s="2988" t="s">
        <v>22</v>
      </c>
      <c r="E556" s="2988" t="s">
        <v>23</v>
      </c>
      <c r="F556" s="2988" t="s">
        <v>24</v>
      </c>
      <c r="G556" s="2988" t="s">
        <v>25</v>
      </c>
      <c r="H556" s="2988" t="s">
        <v>26</v>
      </c>
      <c r="I556" s="2988" t="s">
        <v>27</v>
      </c>
      <c r="J556" s="3206" t="s">
        <v>28</v>
      </c>
      <c r="K556" s="3301"/>
      <c r="L556" s="2988" t="s">
        <v>279</v>
      </c>
      <c r="M556" s="3273" t="s">
        <v>280</v>
      </c>
      <c r="N556" s="3274"/>
      <c r="O556" s="2847" t="s">
        <v>281</v>
      </c>
      <c r="P556" s="2847"/>
      <c r="Q556" s="2847"/>
      <c r="R556" s="2847"/>
      <c r="S556" s="2847"/>
      <c r="T556" s="2847"/>
      <c r="U556" s="2847"/>
      <c r="V556" s="2847"/>
      <c r="W556" s="2847"/>
      <c r="X556" s="2847"/>
      <c r="Y556" s="2847"/>
      <c r="Z556" s="2847"/>
      <c r="AA556" s="2988" t="s">
        <v>32</v>
      </c>
      <c r="AB556" s="35"/>
      <c r="AC556" s="183"/>
    </row>
    <row r="557" spans="1:29" x14ac:dyDescent="0.2">
      <c r="A557" s="1422"/>
      <c r="B557" s="2999"/>
      <c r="C557" s="3186"/>
      <c r="D557" s="3186"/>
      <c r="E557" s="3186"/>
      <c r="F557" s="3186"/>
      <c r="G557" s="3186"/>
      <c r="H557" s="3186"/>
      <c r="I557" s="3186"/>
      <c r="J557" s="2988" t="s">
        <v>33</v>
      </c>
      <c r="K557" s="2988" t="s">
        <v>282</v>
      </c>
      <c r="L557" s="3186"/>
      <c r="M557" s="3275"/>
      <c r="N557" s="3276"/>
      <c r="O557" s="1009" t="s">
        <v>283</v>
      </c>
      <c r="P557" s="1009" t="s">
        <v>284</v>
      </c>
      <c r="Q557" s="1009" t="s">
        <v>285</v>
      </c>
      <c r="R557" s="1009" t="s">
        <v>88</v>
      </c>
      <c r="S557" s="1009" t="s">
        <v>89</v>
      </c>
      <c r="T557" s="1009" t="s">
        <v>90</v>
      </c>
      <c r="U557" s="1009" t="s">
        <v>91</v>
      </c>
      <c r="V557" s="1009" t="s">
        <v>92</v>
      </c>
      <c r="W557" s="1009" t="s">
        <v>286</v>
      </c>
      <c r="X557" s="1009" t="s">
        <v>93</v>
      </c>
      <c r="Y557" s="1009" t="s">
        <v>94</v>
      </c>
      <c r="Z557" s="1009" t="s">
        <v>95</v>
      </c>
      <c r="AA557" s="2989"/>
      <c r="AB557" s="35"/>
      <c r="AC557" s="183"/>
    </row>
    <row r="558" spans="1:29" x14ac:dyDescent="0.2">
      <c r="A558" s="1422"/>
      <c r="B558" s="2999"/>
      <c r="C558" s="3186"/>
      <c r="D558" s="3186"/>
      <c r="E558" s="3186"/>
      <c r="F558" s="3186"/>
      <c r="G558" s="3186"/>
      <c r="H558" s="3186"/>
      <c r="I558" s="3186"/>
      <c r="J558" s="3186"/>
      <c r="K558" s="3186"/>
      <c r="L558" s="3186"/>
      <c r="M558" s="3271" t="s">
        <v>287</v>
      </c>
      <c r="N558" s="3272"/>
      <c r="O558" s="1095">
        <v>2624</v>
      </c>
      <c r="P558" s="1095">
        <v>2624</v>
      </c>
      <c r="Q558" s="1095">
        <v>2624</v>
      </c>
      <c r="R558" s="1095">
        <v>2624</v>
      </c>
      <c r="S558" s="1095">
        <v>2624</v>
      </c>
      <c r="T558" s="1095">
        <v>2624</v>
      </c>
      <c r="U558" s="1095">
        <v>2624</v>
      </c>
      <c r="V558" s="1095">
        <v>2624</v>
      </c>
      <c r="W558" s="1095">
        <v>2624</v>
      </c>
      <c r="X558" s="1095">
        <v>2624</v>
      </c>
      <c r="Y558" s="1095">
        <v>2624</v>
      </c>
      <c r="Z558" s="1095">
        <v>2624</v>
      </c>
      <c r="AA558" s="1196">
        <f t="shared" ref="AA558:AA581" si="37">SUM(O558:Z558)</f>
        <v>31488</v>
      </c>
      <c r="AB558" s="35"/>
      <c r="AC558" s="183"/>
    </row>
    <row r="559" spans="1:29" x14ac:dyDescent="0.2">
      <c r="A559" s="1422"/>
      <c r="B559" s="2999"/>
      <c r="C559" s="2989"/>
      <c r="D559" s="2989"/>
      <c r="E559" s="2989"/>
      <c r="F559" s="2989"/>
      <c r="G559" s="2989"/>
      <c r="H559" s="2989"/>
      <c r="I559" s="2989"/>
      <c r="J559" s="2989"/>
      <c r="K559" s="2989"/>
      <c r="L559" s="2989"/>
      <c r="M559" s="3271" t="s">
        <v>34</v>
      </c>
      <c r="N559" s="3272"/>
      <c r="O559" s="46">
        <v>349409.33333333331</v>
      </c>
      <c r="P559" s="46">
        <v>325426.33333333331</v>
      </c>
      <c r="Q559" s="46">
        <v>324876.33333333331</v>
      </c>
      <c r="R559" s="46">
        <v>332022.83333333337</v>
      </c>
      <c r="S559" s="46">
        <v>325476.33333333331</v>
      </c>
      <c r="T559" s="46">
        <v>329476.33333333337</v>
      </c>
      <c r="U559" s="46">
        <v>344442.33333333331</v>
      </c>
      <c r="V559" s="46">
        <v>329622.83333333337</v>
      </c>
      <c r="W559" s="46">
        <v>325476.33333333331</v>
      </c>
      <c r="X559" s="46">
        <v>328976.33333333331</v>
      </c>
      <c r="Y559" s="46">
        <v>325476.33333333331</v>
      </c>
      <c r="Z559" s="46">
        <v>346992.33333333331</v>
      </c>
      <c r="AA559" s="1196">
        <f t="shared" si="37"/>
        <v>3987674.0000000009</v>
      </c>
      <c r="AB559" s="35"/>
      <c r="AC559" s="183"/>
    </row>
    <row r="560" spans="1:29" ht="11.25" customHeight="1" x14ac:dyDescent="0.2">
      <c r="A560" s="1422"/>
      <c r="B560" s="2522">
        <v>5000031</v>
      </c>
      <c r="C560" s="3268" t="s">
        <v>3045</v>
      </c>
      <c r="D560" s="3268">
        <v>18</v>
      </c>
      <c r="E560" s="3268" t="s">
        <v>407</v>
      </c>
      <c r="F560" s="3268" t="s">
        <v>386</v>
      </c>
      <c r="G560" s="3268" t="s">
        <v>387</v>
      </c>
      <c r="H560" s="3268" t="s">
        <v>432</v>
      </c>
      <c r="I560" s="3268" t="s">
        <v>414</v>
      </c>
      <c r="J560" s="3268">
        <v>31488</v>
      </c>
      <c r="K560" s="40">
        <v>19511</v>
      </c>
      <c r="L560" s="3294" t="s">
        <v>377</v>
      </c>
      <c r="M560" s="3287" t="s">
        <v>319</v>
      </c>
      <c r="N560" s="3288"/>
      <c r="O560" s="40">
        <v>1625.9166666666667</v>
      </c>
      <c r="P560" s="40">
        <v>1625.9166666666667</v>
      </c>
      <c r="Q560" s="40">
        <v>1625.9166666666667</v>
      </c>
      <c r="R560" s="40">
        <v>1625.9166666666667</v>
      </c>
      <c r="S560" s="40">
        <v>1625.9166666666667</v>
      </c>
      <c r="T560" s="38">
        <v>1625.9166666666667</v>
      </c>
      <c r="U560" s="38">
        <v>1625.9166666666667</v>
      </c>
      <c r="V560" s="38">
        <v>1625.9166666666667</v>
      </c>
      <c r="W560" s="38">
        <v>1625.9166666666667</v>
      </c>
      <c r="X560" s="38">
        <v>1625.9166666666667</v>
      </c>
      <c r="Y560" s="38">
        <v>1625.9166666666667</v>
      </c>
      <c r="Z560" s="38">
        <v>1625.9166666666667</v>
      </c>
      <c r="AA560" s="966">
        <f t="shared" si="37"/>
        <v>19511</v>
      </c>
      <c r="AB560" s="35"/>
      <c r="AC560" s="183"/>
    </row>
    <row r="561" spans="1:29" x14ac:dyDescent="0.2">
      <c r="A561" s="1422"/>
      <c r="B561" s="2522"/>
      <c r="C561" s="3269"/>
      <c r="D561" s="3269"/>
      <c r="E561" s="3269"/>
      <c r="F561" s="3269"/>
      <c r="G561" s="3269"/>
      <c r="H561" s="3269"/>
      <c r="I561" s="3269"/>
      <c r="J561" s="3269"/>
      <c r="K561" s="40">
        <v>35186</v>
      </c>
      <c r="L561" s="3295"/>
      <c r="M561" s="3287" t="s">
        <v>409</v>
      </c>
      <c r="N561" s="3288"/>
      <c r="O561" s="40">
        <v>2932.1666666666665</v>
      </c>
      <c r="P561" s="40">
        <v>2932.1666666666665</v>
      </c>
      <c r="Q561" s="40">
        <v>2932.1666666666665</v>
      </c>
      <c r="R561" s="40">
        <v>2932.1666666666665</v>
      </c>
      <c r="S561" s="40">
        <v>2932.1666666666665</v>
      </c>
      <c r="T561" s="38">
        <v>2932.1666666666665</v>
      </c>
      <c r="U561" s="38">
        <v>2932.1666666666665</v>
      </c>
      <c r="V561" s="38">
        <v>2932.1666666666665</v>
      </c>
      <c r="W561" s="38">
        <v>2932.1666666666665</v>
      </c>
      <c r="X561" s="38">
        <v>2932.1666666666665</v>
      </c>
      <c r="Y561" s="38">
        <v>2932.1666666666665</v>
      </c>
      <c r="Z561" s="38">
        <v>2932.1666666666665</v>
      </c>
      <c r="AA561" s="966">
        <f t="shared" si="37"/>
        <v>35186.000000000007</v>
      </c>
      <c r="AB561" s="35"/>
      <c r="AC561" s="183"/>
    </row>
    <row r="562" spans="1:29" x14ac:dyDescent="0.2">
      <c r="A562" s="1422"/>
      <c r="B562" s="2522"/>
      <c r="C562" s="3269"/>
      <c r="D562" s="3269"/>
      <c r="E562" s="3269"/>
      <c r="F562" s="3269"/>
      <c r="G562" s="3269"/>
      <c r="H562" s="3269"/>
      <c r="I562" s="3269"/>
      <c r="J562" s="3269"/>
      <c r="K562" s="40">
        <v>1554385</v>
      </c>
      <c r="L562" s="3295"/>
      <c r="M562" s="3287" t="s">
        <v>293</v>
      </c>
      <c r="N562" s="3288"/>
      <c r="O562" s="40">
        <v>129532.08333333333</v>
      </c>
      <c r="P562" s="40">
        <v>129532.08333333333</v>
      </c>
      <c r="Q562" s="40">
        <v>129532.08333333333</v>
      </c>
      <c r="R562" s="40">
        <v>129532.08333333333</v>
      </c>
      <c r="S562" s="40">
        <v>129532.08333333333</v>
      </c>
      <c r="T562" s="38">
        <v>129532.08333333333</v>
      </c>
      <c r="U562" s="38">
        <v>129532.08333333333</v>
      </c>
      <c r="V562" s="38">
        <v>129532.08333333333</v>
      </c>
      <c r="W562" s="38">
        <v>129532.08333333333</v>
      </c>
      <c r="X562" s="38">
        <v>129532.08333333333</v>
      </c>
      <c r="Y562" s="38">
        <v>129532.08333333333</v>
      </c>
      <c r="Z562" s="38">
        <v>129532.08333333333</v>
      </c>
      <c r="AA562" s="966">
        <f t="shared" si="37"/>
        <v>1554384.9999999998</v>
      </c>
      <c r="AB562" s="35"/>
      <c r="AC562" s="183"/>
    </row>
    <row r="563" spans="1:29" x14ac:dyDescent="0.2">
      <c r="A563" s="1422"/>
      <c r="B563" s="2522"/>
      <c r="C563" s="3269"/>
      <c r="D563" s="3269"/>
      <c r="E563" s="3269"/>
      <c r="F563" s="3269"/>
      <c r="G563" s="3269"/>
      <c r="H563" s="3269"/>
      <c r="I563" s="3269"/>
      <c r="J563" s="3269"/>
      <c r="K563" s="40">
        <v>81684</v>
      </c>
      <c r="L563" s="3295"/>
      <c r="M563" s="3287" t="s">
        <v>321</v>
      </c>
      <c r="N563" s="3288"/>
      <c r="O563" s="40">
        <v>6807</v>
      </c>
      <c r="P563" s="40">
        <v>6807</v>
      </c>
      <c r="Q563" s="40">
        <v>6807</v>
      </c>
      <c r="R563" s="40">
        <v>6807</v>
      </c>
      <c r="S563" s="40">
        <v>6807</v>
      </c>
      <c r="T563" s="38">
        <v>6807</v>
      </c>
      <c r="U563" s="38">
        <v>6807</v>
      </c>
      <c r="V563" s="38">
        <v>6807</v>
      </c>
      <c r="W563" s="38">
        <v>6807</v>
      </c>
      <c r="X563" s="38">
        <v>6807</v>
      </c>
      <c r="Y563" s="38">
        <v>6807</v>
      </c>
      <c r="Z563" s="38">
        <v>6807</v>
      </c>
      <c r="AA563" s="966">
        <f t="shared" si="37"/>
        <v>81684</v>
      </c>
      <c r="AB563" s="35"/>
      <c r="AC563" s="183"/>
    </row>
    <row r="564" spans="1:29" x14ac:dyDescent="0.2">
      <c r="A564" s="1422"/>
      <c r="B564" s="2522"/>
      <c r="C564" s="3269"/>
      <c r="D564" s="3269"/>
      <c r="E564" s="3269"/>
      <c r="F564" s="3269"/>
      <c r="G564" s="3269"/>
      <c r="H564" s="3269"/>
      <c r="I564" s="3269"/>
      <c r="J564" s="3269"/>
      <c r="K564" s="40">
        <v>109632</v>
      </c>
      <c r="L564" s="3295"/>
      <c r="M564" s="3287" t="s">
        <v>294</v>
      </c>
      <c r="N564" s="3288"/>
      <c r="O564" s="40">
        <v>9136</v>
      </c>
      <c r="P564" s="40">
        <v>9136</v>
      </c>
      <c r="Q564" s="40">
        <v>9136</v>
      </c>
      <c r="R564" s="40">
        <v>9136</v>
      </c>
      <c r="S564" s="40">
        <v>9136</v>
      </c>
      <c r="T564" s="38">
        <v>9136</v>
      </c>
      <c r="U564" s="38">
        <v>9136</v>
      </c>
      <c r="V564" s="38">
        <v>9136</v>
      </c>
      <c r="W564" s="38">
        <v>9136</v>
      </c>
      <c r="X564" s="38">
        <v>9136</v>
      </c>
      <c r="Y564" s="38">
        <v>9136</v>
      </c>
      <c r="Z564" s="38">
        <v>9136</v>
      </c>
      <c r="AA564" s="966">
        <f t="shared" si="37"/>
        <v>109632</v>
      </c>
      <c r="AB564" s="35"/>
      <c r="AC564" s="183"/>
    </row>
    <row r="565" spans="1:29" x14ac:dyDescent="0.2">
      <c r="A565" s="1422"/>
      <c r="B565" s="2522"/>
      <c r="C565" s="3269"/>
      <c r="D565" s="3269"/>
      <c r="E565" s="3269"/>
      <c r="F565" s="3269"/>
      <c r="G565" s="3269"/>
      <c r="H565" s="3269"/>
      <c r="I565" s="3269"/>
      <c r="J565" s="3269"/>
      <c r="K565" s="40">
        <v>575820</v>
      </c>
      <c r="L565" s="3295"/>
      <c r="M565" s="3287" t="s">
        <v>295</v>
      </c>
      <c r="N565" s="3288"/>
      <c r="O565" s="40">
        <v>47985</v>
      </c>
      <c r="P565" s="40">
        <v>47985</v>
      </c>
      <c r="Q565" s="40">
        <v>47985</v>
      </c>
      <c r="R565" s="40">
        <v>47985</v>
      </c>
      <c r="S565" s="40">
        <v>47985</v>
      </c>
      <c r="T565" s="38">
        <v>47985</v>
      </c>
      <c r="U565" s="38">
        <v>47985</v>
      </c>
      <c r="V565" s="38">
        <v>47985</v>
      </c>
      <c r="W565" s="38">
        <v>47985</v>
      </c>
      <c r="X565" s="38">
        <v>47985</v>
      </c>
      <c r="Y565" s="38">
        <v>47985</v>
      </c>
      <c r="Z565" s="38">
        <v>47985</v>
      </c>
      <c r="AA565" s="966">
        <f t="shared" si="37"/>
        <v>575820</v>
      </c>
      <c r="AB565" s="35"/>
      <c r="AC565" s="183"/>
    </row>
    <row r="566" spans="1:29" x14ac:dyDescent="0.2">
      <c r="A566" s="1422"/>
      <c r="B566" s="2522"/>
      <c r="C566" s="3269"/>
      <c r="D566" s="3269"/>
      <c r="E566" s="3269"/>
      <c r="F566" s="3269"/>
      <c r="G566" s="3269"/>
      <c r="H566" s="3269"/>
      <c r="I566" s="3269"/>
      <c r="J566" s="3269"/>
      <c r="K566" s="40">
        <v>454825</v>
      </c>
      <c r="L566" s="3295"/>
      <c r="M566" s="3287" t="s">
        <v>296</v>
      </c>
      <c r="N566" s="3288"/>
      <c r="O566" s="40">
        <v>37902.083333333336</v>
      </c>
      <c r="P566" s="40">
        <v>37902.083333333336</v>
      </c>
      <c r="Q566" s="40">
        <v>37902.083333333336</v>
      </c>
      <c r="R566" s="40">
        <v>37902.083333333336</v>
      </c>
      <c r="S566" s="40">
        <v>37902.083333333336</v>
      </c>
      <c r="T566" s="38">
        <v>37902.083333333336</v>
      </c>
      <c r="U566" s="38">
        <v>37902.083333333336</v>
      </c>
      <c r="V566" s="38">
        <v>37902.083333333336</v>
      </c>
      <c r="W566" s="38">
        <v>37902.083333333336</v>
      </c>
      <c r="X566" s="38">
        <v>37902.083333333336</v>
      </c>
      <c r="Y566" s="38">
        <v>37902.083333333336</v>
      </c>
      <c r="Z566" s="38">
        <v>37902.083333333336</v>
      </c>
      <c r="AA566" s="966">
        <f t="shared" si="37"/>
        <v>454824.99999999994</v>
      </c>
      <c r="AB566" s="35"/>
      <c r="AC566" s="183"/>
    </row>
    <row r="567" spans="1:29" x14ac:dyDescent="0.2">
      <c r="A567" s="1422"/>
      <c r="B567" s="2522"/>
      <c r="C567" s="3269"/>
      <c r="D567" s="3269"/>
      <c r="E567" s="3269"/>
      <c r="F567" s="3269"/>
      <c r="G567" s="3269"/>
      <c r="H567" s="3269"/>
      <c r="I567" s="3269"/>
      <c r="J567" s="3269"/>
      <c r="K567" s="40">
        <v>113268</v>
      </c>
      <c r="L567" s="3295"/>
      <c r="M567" s="3287" t="s">
        <v>297</v>
      </c>
      <c r="N567" s="3288"/>
      <c r="O567" s="40">
        <v>9439</v>
      </c>
      <c r="P567" s="40">
        <v>9439</v>
      </c>
      <c r="Q567" s="40">
        <v>9439</v>
      </c>
      <c r="R567" s="40">
        <v>9439</v>
      </c>
      <c r="S567" s="40">
        <v>9439</v>
      </c>
      <c r="T567" s="38">
        <v>9439</v>
      </c>
      <c r="U567" s="38">
        <v>9439</v>
      </c>
      <c r="V567" s="38">
        <v>9439</v>
      </c>
      <c r="W567" s="38">
        <v>9439</v>
      </c>
      <c r="X567" s="38">
        <v>9439</v>
      </c>
      <c r="Y567" s="38">
        <v>9439</v>
      </c>
      <c r="Z567" s="38">
        <v>9439</v>
      </c>
      <c r="AA567" s="966">
        <f t="shared" si="37"/>
        <v>113268</v>
      </c>
      <c r="AB567" s="35"/>
      <c r="AC567" s="183"/>
    </row>
    <row r="568" spans="1:29" x14ac:dyDescent="0.2">
      <c r="A568" s="1422"/>
      <c r="B568" s="2522"/>
      <c r="C568" s="3269"/>
      <c r="D568" s="3269"/>
      <c r="E568" s="3269"/>
      <c r="F568" s="3269"/>
      <c r="G568" s="3269"/>
      <c r="H568" s="3269"/>
      <c r="I568" s="3269"/>
      <c r="J568" s="3269"/>
      <c r="K568" s="40">
        <v>36032</v>
      </c>
      <c r="L568" s="3295"/>
      <c r="M568" s="3287" t="s">
        <v>298</v>
      </c>
      <c r="N568" s="3288"/>
      <c r="O568" s="40"/>
      <c r="P568" s="40"/>
      <c r="Q568" s="40"/>
      <c r="R568" s="40"/>
      <c r="S568" s="40"/>
      <c r="T568" s="38"/>
      <c r="U568" s="38">
        <v>18016</v>
      </c>
      <c r="V568" s="38"/>
      <c r="W568" s="38"/>
      <c r="X568" s="38"/>
      <c r="Y568" s="38"/>
      <c r="Z568" s="38">
        <v>18016</v>
      </c>
      <c r="AA568" s="966">
        <f t="shared" si="37"/>
        <v>36032</v>
      </c>
      <c r="AB568" s="35"/>
      <c r="AC568" s="183"/>
    </row>
    <row r="569" spans="1:29" x14ac:dyDescent="0.2">
      <c r="A569" s="1422"/>
      <c r="B569" s="2522"/>
      <c r="C569" s="3269"/>
      <c r="D569" s="3269"/>
      <c r="E569" s="3269"/>
      <c r="F569" s="3269"/>
      <c r="G569" s="3269"/>
      <c r="H569" s="3269"/>
      <c r="I569" s="3269"/>
      <c r="J569" s="3269"/>
      <c r="K569" s="40">
        <v>23640</v>
      </c>
      <c r="L569" s="3295"/>
      <c r="M569" s="3287" t="s">
        <v>299</v>
      </c>
      <c r="N569" s="3288"/>
      <c r="O569" s="40">
        <v>23640</v>
      </c>
      <c r="P569" s="40"/>
      <c r="Q569" s="40"/>
      <c r="R569" s="40"/>
      <c r="S569" s="40"/>
      <c r="T569" s="38"/>
      <c r="U569" s="38"/>
      <c r="V569" s="38"/>
      <c r="W569" s="38"/>
      <c r="X569" s="38"/>
      <c r="Y569" s="38"/>
      <c r="Z569" s="38"/>
      <c r="AA569" s="966">
        <f t="shared" si="37"/>
        <v>23640</v>
      </c>
      <c r="AB569" s="35"/>
      <c r="AC569" s="183"/>
    </row>
    <row r="570" spans="1:29" x14ac:dyDescent="0.2">
      <c r="A570" s="1422"/>
      <c r="B570" s="2522"/>
      <c r="C570" s="3269"/>
      <c r="D570" s="3269"/>
      <c r="E570" s="3269"/>
      <c r="F570" s="3269"/>
      <c r="G570" s="3269"/>
      <c r="H570" s="3269"/>
      <c r="I570" s="3269"/>
      <c r="J570" s="3269"/>
      <c r="K570" s="40">
        <v>139242</v>
      </c>
      <c r="L570" s="3295"/>
      <c r="M570" s="3287" t="s">
        <v>300</v>
      </c>
      <c r="N570" s="3288"/>
      <c r="O570" s="40">
        <v>11603.5</v>
      </c>
      <c r="P570" s="40">
        <v>11603.5</v>
      </c>
      <c r="Q570" s="40">
        <v>11603.5</v>
      </c>
      <c r="R570" s="40">
        <v>11603.5</v>
      </c>
      <c r="S570" s="40">
        <v>11603.5</v>
      </c>
      <c r="T570" s="38">
        <v>11603.5</v>
      </c>
      <c r="U570" s="38">
        <v>11603.5</v>
      </c>
      <c r="V570" s="38">
        <v>11603.5</v>
      </c>
      <c r="W570" s="38">
        <v>11603.5</v>
      </c>
      <c r="X570" s="38">
        <v>11603.5</v>
      </c>
      <c r="Y570" s="38">
        <v>11603.5</v>
      </c>
      <c r="Z570" s="38">
        <v>11603.5</v>
      </c>
      <c r="AA570" s="966">
        <f t="shared" si="37"/>
        <v>139242</v>
      </c>
      <c r="AB570" s="35"/>
      <c r="AC570" s="183"/>
    </row>
    <row r="571" spans="1:29" x14ac:dyDescent="0.2">
      <c r="A571" s="1422"/>
      <c r="B571" s="2522"/>
      <c r="C571" s="3269"/>
      <c r="D571" s="3269"/>
      <c r="E571" s="3269"/>
      <c r="F571" s="3269"/>
      <c r="G571" s="3269"/>
      <c r="H571" s="3269"/>
      <c r="I571" s="3269"/>
      <c r="J571" s="3269"/>
      <c r="K571" s="40">
        <v>5905</v>
      </c>
      <c r="L571" s="3295"/>
      <c r="M571" s="3287" t="s">
        <v>301</v>
      </c>
      <c r="N571" s="3288"/>
      <c r="O571" s="40">
        <v>492.08333333333331</v>
      </c>
      <c r="P571" s="40">
        <v>492.08333333333331</v>
      </c>
      <c r="Q571" s="40">
        <v>492.08333333333331</v>
      </c>
      <c r="R571" s="40">
        <v>492.08333333333331</v>
      </c>
      <c r="S571" s="40">
        <v>492.08333333333331</v>
      </c>
      <c r="T571" s="38">
        <v>492.08333333333331</v>
      </c>
      <c r="U571" s="38">
        <v>492.08333333333331</v>
      </c>
      <c r="V571" s="38">
        <v>492.08333333333331</v>
      </c>
      <c r="W571" s="38">
        <v>492.08333333333331</v>
      </c>
      <c r="X571" s="38">
        <v>492.08333333333331</v>
      </c>
      <c r="Y571" s="38">
        <v>492.08333333333331</v>
      </c>
      <c r="Z571" s="38">
        <v>492.08333333333331</v>
      </c>
      <c r="AA571" s="966">
        <f t="shared" si="37"/>
        <v>5904.9999999999991</v>
      </c>
      <c r="AB571" s="35"/>
      <c r="AC571" s="183"/>
    </row>
    <row r="572" spans="1:29" x14ac:dyDescent="0.2">
      <c r="A572" s="1422"/>
      <c r="B572" s="2522"/>
      <c r="C572" s="3269"/>
      <c r="D572" s="3269"/>
      <c r="E572" s="3269"/>
      <c r="F572" s="3269"/>
      <c r="G572" s="3269"/>
      <c r="H572" s="3269"/>
      <c r="I572" s="3269"/>
      <c r="J572" s="3269"/>
      <c r="K572" s="40">
        <v>1293</v>
      </c>
      <c r="L572" s="3295"/>
      <c r="M572" s="3287" t="s">
        <v>380</v>
      </c>
      <c r="N572" s="3288"/>
      <c r="O572" s="40">
        <v>1293</v>
      </c>
      <c r="P572" s="40"/>
      <c r="Q572" s="40"/>
      <c r="R572" s="40"/>
      <c r="S572" s="40"/>
      <c r="T572" s="38"/>
      <c r="U572" s="38"/>
      <c r="V572" s="38"/>
      <c r="W572" s="38"/>
      <c r="X572" s="38"/>
      <c r="Y572" s="38"/>
      <c r="Z572" s="38"/>
      <c r="AA572" s="966">
        <f t="shared" si="37"/>
        <v>1293</v>
      </c>
      <c r="AB572" s="35"/>
      <c r="AC572" s="183"/>
    </row>
    <row r="573" spans="1:29" x14ac:dyDescent="0.2">
      <c r="A573" s="1422"/>
      <c r="B573" s="2522"/>
      <c r="C573" s="3269"/>
      <c r="D573" s="3269"/>
      <c r="E573" s="3269"/>
      <c r="F573" s="3269"/>
      <c r="G573" s="3269"/>
      <c r="H573" s="3269"/>
      <c r="I573" s="3269"/>
      <c r="J573" s="3269"/>
      <c r="K573" s="40">
        <v>400</v>
      </c>
      <c r="L573" s="3295"/>
      <c r="M573" s="3287" t="s">
        <v>303</v>
      </c>
      <c r="N573" s="3288"/>
      <c r="O573" s="40"/>
      <c r="P573" s="40"/>
      <c r="Q573" s="40">
        <v>400</v>
      </c>
      <c r="R573" s="40"/>
      <c r="S573" s="40"/>
      <c r="T573" s="38"/>
      <c r="U573" s="38"/>
      <c r="V573" s="38"/>
      <c r="W573" s="38"/>
      <c r="X573" s="38"/>
      <c r="Y573" s="38"/>
      <c r="Z573" s="38"/>
      <c r="AA573" s="966">
        <f t="shared" si="37"/>
        <v>400</v>
      </c>
      <c r="AB573" s="35"/>
      <c r="AC573" s="183"/>
    </row>
    <row r="574" spans="1:29" x14ac:dyDescent="0.2">
      <c r="A574" s="1422"/>
      <c r="B574" s="2522"/>
      <c r="C574" s="3269"/>
      <c r="D574" s="3269"/>
      <c r="E574" s="3269"/>
      <c r="F574" s="3269"/>
      <c r="G574" s="3269"/>
      <c r="H574" s="3269"/>
      <c r="I574" s="3269"/>
      <c r="J574" s="3269"/>
      <c r="K574" s="40">
        <v>1900</v>
      </c>
      <c r="L574" s="3295"/>
      <c r="M574" s="3287" t="s">
        <v>324</v>
      </c>
      <c r="N574" s="3288"/>
      <c r="O574" s="40"/>
      <c r="P574" s="40">
        <v>950</v>
      </c>
      <c r="Q574" s="40"/>
      <c r="R574" s="40"/>
      <c r="S574" s="40"/>
      <c r="T574" s="38"/>
      <c r="U574" s="38">
        <v>950</v>
      </c>
      <c r="V574" s="38"/>
      <c r="W574" s="38"/>
      <c r="X574" s="38"/>
      <c r="Y574" s="38"/>
      <c r="Z574" s="38"/>
      <c r="AA574" s="966">
        <f t="shared" si="37"/>
        <v>1900</v>
      </c>
      <c r="AB574" s="35"/>
      <c r="AC574" s="183"/>
    </row>
    <row r="575" spans="1:29" x14ac:dyDescent="0.2">
      <c r="A575" s="1422"/>
      <c r="B575" s="2522"/>
      <c r="C575" s="3269"/>
      <c r="D575" s="3269"/>
      <c r="E575" s="3269"/>
      <c r="F575" s="3269"/>
      <c r="G575" s="3269"/>
      <c r="H575" s="3269"/>
      <c r="I575" s="3269"/>
      <c r="J575" s="3269"/>
      <c r="K575" s="40">
        <v>1293</v>
      </c>
      <c r="L575" s="3295"/>
      <c r="M575" s="3287" t="s">
        <v>393</v>
      </c>
      <c r="N575" s="3288"/>
      <c r="O575" s="40"/>
      <c r="P575" s="40"/>
      <c r="Q575" s="40"/>
      <c r="R575" s="40">
        <v>646.5</v>
      </c>
      <c r="S575" s="40"/>
      <c r="T575" s="38"/>
      <c r="U575" s="38"/>
      <c r="V575" s="38">
        <v>646.5</v>
      </c>
      <c r="W575" s="38"/>
      <c r="X575" s="38"/>
      <c r="Y575" s="38"/>
      <c r="Z575" s="38"/>
      <c r="AA575" s="966">
        <f t="shared" si="37"/>
        <v>1293</v>
      </c>
      <c r="AB575" s="35"/>
      <c r="AC575" s="183"/>
    </row>
    <row r="576" spans="1:29" x14ac:dyDescent="0.2">
      <c r="A576" s="1422"/>
      <c r="B576" s="2522"/>
      <c r="C576" s="3269"/>
      <c r="D576" s="3269"/>
      <c r="E576" s="3269"/>
      <c r="F576" s="3269"/>
      <c r="G576" s="3269"/>
      <c r="H576" s="3269"/>
      <c r="I576" s="3269"/>
      <c r="J576" s="3269"/>
      <c r="K576" s="40">
        <v>7500</v>
      </c>
      <c r="L576" s="3295"/>
      <c r="M576" s="3287" t="s">
        <v>343</v>
      </c>
      <c r="N576" s="3288"/>
      <c r="O576" s="40"/>
      <c r="P576" s="40"/>
      <c r="Q576" s="40"/>
      <c r="R576" s="40">
        <v>1000</v>
      </c>
      <c r="S576" s="40">
        <v>1000</v>
      </c>
      <c r="T576" s="38">
        <v>1000</v>
      </c>
      <c r="U576" s="38">
        <v>1000</v>
      </c>
      <c r="V576" s="38">
        <v>500</v>
      </c>
      <c r="W576" s="38">
        <v>1000</v>
      </c>
      <c r="X576" s="38">
        <v>500</v>
      </c>
      <c r="Y576" s="38">
        <v>1000</v>
      </c>
      <c r="Z576" s="38">
        <v>500</v>
      </c>
      <c r="AA576" s="966">
        <f t="shared" si="37"/>
        <v>7500</v>
      </c>
      <c r="AB576" s="35"/>
      <c r="AC576" s="183"/>
    </row>
    <row r="577" spans="1:29" x14ac:dyDescent="0.2">
      <c r="A577" s="1422"/>
      <c r="B577" s="2522"/>
      <c r="C577" s="3269"/>
      <c r="D577" s="3269"/>
      <c r="E577" s="3269"/>
      <c r="F577" s="3269"/>
      <c r="G577" s="3269"/>
      <c r="H577" s="3269"/>
      <c r="I577" s="3269"/>
      <c r="J577" s="3269"/>
      <c r="K577" s="40">
        <v>1500</v>
      </c>
      <c r="L577" s="3295"/>
      <c r="M577" s="3287" t="s">
        <v>304</v>
      </c>
      <c r="N577" s="3288"/>
      <c r="O577" s="40"/>
      <c r="P577" s="40"/>
      <c r="Q577" s="40"/>
      <c r="R577" s="40">
        <v>1500</v>
      </c>
      <c r="S577" s="40"/>
      <c r="T577" s="38"/>
      <c r="U577" s="38"/>
      <c r="V577" s="38"/>
      <c r="W577" s="38"/>
      <c r="X577" s="38"/>
      <c r="Y577" s="38"/>
      <c r="Z577" s="38"/>
      <c r="AA577" s="966">
        <f t="shared" si="37"/>
        <v>1500</v>
      </c>
      <c r="AB577" s="35"/>
      <c r="AC577" s="183"/>
    </row>
    <row r="578" spans="1:29" x14ac:dyDescent="0.2">
      <c r="A578" s="1422"/>
      <c r="B578" s="2522"/>
      <c r="C578" s="3269"/>
      <c r="D578" s="3269"/>
      <c r="E578" s="3269"/>
      <c r="F578" s="3269"/>
      <c r="G578" s="3269"/>
      <c r="H578" s="3269"/>
      <c r="I578" s="3269"/>
      <c r="J578" s="3269"/>
      <c r="K578" s="40">
        <v>400</v>
      </c>
      <c r="L578" s="3295"/>
      <c r="M578" s="3287" t="s">
        <v>308</v>
      </c>
      <c r="N578" s="3288"/>
      <c r="O578" s="40"/>
      <c r="P578" s="40"/>
      <c r="Q578" s="40"/>
      <c r="R578" s="40">
        <v>400</v>
      </c>
      <c r="S578" s="40"/>
      <c r="T578" s="38"/>
      <c r="U578" s="38"/>
      <c r="V578" s="38"/>
      <c r="W578" s="38"/>
      <c r="X578" s="38"/>
      <c r="Y578" s="38"/>
      <c r="Z578" s="38"/>
      <c r="AA578" s="966">
        <f t="shared" si="37"/>
        <v>400</v>
      </c>
      <c r="AB578" s="35"/>
      <c r="AC578" s="183"/>
    </row>
    <row r="579" spans="1:29" x14ac:dyDescent="0.2">
      <c r="A579" s="1422"/>
      <c r="B579" s="2522"/>
      <c r="C579" s="3269"/>
      <c r="D579" s="3269"/>
      <c r="E579" s="3269"/>
      <c r="F579" s="3269"/>
      <c r="G579" s="3269"/>
      <c r="H579" s="3269"/>
      <c r="I579" s="3269"/>
      <c r="J579" s="3269"/>
      <c r="K579" s="40">
        <v>20000</v>
      </c>
      <c r="L579" s="3295"/>
      <c r="M579" s="3287" t="s">
        <v>309</v>
      </c>
      <c r="N579" s="3288"/>
      <c r="O579" s="40"/>
      <c r="P579" s="40"/>
      <c r="Q579" s="40"/>
      <c r="R579" s="40">
        <v>4000</v>
      </c>
      <c r="S579" s="40"/>
      <c r="T579" s="38">
        <v>4000</v>
      </c>
      <c r="U579" s="38"/>
      <c r="V579" s="38">
        <v>4000</v>
      </c>
      <c r="W579" s="38"/>
      <c r="X579" s="38">
        <v>4000</v>
      </c>
      <c r="Y579" s="38"/>
      <c r="Z579" s="38">
        <v>4000</v>
      </c>
      <c r="AA579" s="966">
        <f t="shared" si="37"/>
        <v>20000</v>
      </c>
      <c r="AB579" s="35"/>
      <c r="AC579" s="183"/>
    </row>
    <row r="580" spans="1:29" x14ac:dyDescent="0.2">
      <c r="A580" s="1422"/>
      <c r="B580" s="2522"/>
      <c r="C580" s="3269"/>
      <c r="D580" s="3269"/>
      <c r="E580" s="3269"/>
      <c r="F580" s="3269"/>
      <c r="G580" s="3269"/>
      <c r="H580" s="3269"/>
      <c r="I580" s="3269"/>
      <c r="J580" s="3269"/>
      <c r="K580" s="40">
        <v>757778</v>
      </c>
      <c r="L580" s="3295"/>
      <c r="M580" s="3287" t="s">
        <v>310</v>
      </c>
      <c r="N580" s="3288"/>
      <c r="O580" s="40">
        <v>63148.166666666664</v>
      </c>
      <c r="P580" s="40">
        <v>63148.166666666664</v>
      </c>
      <c r="Q580" s="40">
        <v>63148.166666666664</v>
      </c>
      <c r="R580" s="40">
        <v>63148.166666666664</v>
      </c>
      <c r="S580" s="40">
        <v>63148.166666666664</v>
      </c>
      <c r="T580" s="38">
        <v>63148.166666666664</v>
      </c>
      <c r="U580" s="38">
        <v>63148.166666666664</v>
      </c>
      <c r="V580" s="38">
        <v>63148.166666666664</v>
      </c>
      <c r="W580" s="38">
        <v>63148.166666666664</v>
      </c>
      <c r="X580" s="38">
        <v>63148.166666666664</v>
      </c>
      <c r="Y580" s="38">
        <v>63148.166666666664</v>
      </c>
      <c r="Z580" s="38">
        <v>63148.166666666664</v>
      </c>
      <c r="AA580" s="966">
        <f t="shared" si="37"/>
        <v>757777.99999999988</v>
      </c>
      <c r="AB580" s="35"/>
      <c r="AC580" s="183"/>
    </row>
    <row r="581" spans="1:29" x14ac:dyDescent="0.2">
      <c r="A581" s="1422"/>
      <c r="B581" s="2522"/>
      <c r="C581" s="3270"/>
      <c r="D581" s="3270"/>
      <c r="E581" s="3270"/>
      <c r="F581" s="3270"/>
      <c r="G581" s="3270"/>
      <c r="H581" s="3270"/>
      <c r="I581" s="3270"/>
      <c r="J581" s="3270"/>
      <c r="K581" s="40">
        <v>46480</v>
      </c>
      <c r="L581" s="3296"/>
      <c r="M581" s="3287" t="s">
        <v>311</v>
      </c>
      <c r="N581" s="3288"/>
      <c r="O581" s="40">
        <v>3873.3333333333335</v>
      </c>
      <c r="P581" s="40">
        <v>3873.3333333333335</v>
      </c>
      <c r="Q581" s="40">
        <v>3873.3333333333335</v>
      </c>
      <c r="R581" s="40">
        <v>3873.3333333333335</v>
      </c>
      <c r="S581" s="40">
        <v>3873.3333333333335</v>
      </c>
      <c r="T581" s="38">
        <v>3873.3333333333335</v>
      </c>
      <c r="U581" s="38">
        <v>3873.3333333333335</v>
      </c>
      <c r="V581" s="38">
        <v>3873.3333333333335</v>
      </c>
      <c r="W581" s="38">
        <v>3873.3333333333335</v>
      </c>
      <c r="X581" s="38">
        <v>3873.3333333333335</v>
      </c>
      <c r="Y581" s="38">
        <v>3873.3333333333335</v>
      </c>
      <c r="Z581" s="38">
        <v>3873.3333333333335</v>
      </c>
      <c r="AA581" s="966">
        <f t="shared" si="37"/>
        <v>46480.000000000007</v>
      </c>
      <c r="AB581" s="35"/>
      <c r="AC581" s="183"/>
    </row>
    <row r="582" spans="1:29" x14ac:dyDescent="0.2">
      <c r="A582" s="1422"/>
      <c r="B582" s="1418"/>
      <c r="C582" s="99"/>
      <c r="D582" s="99"/>
      <c r="E582" s="99"/>
      <c r="F582" s="99"/>
      <c r="G582" s="99"/>
      <c r="H582" s="99"/>
      <c r="I582" s="99"/>
      <c r="J582" s="99"/>
      <c r="K582" s="188">
        <f>SUM(K560:K581)</f>
        <v>3987674</v>
      </c>
      <c r="L582" s="188"/>
      <c r="M582" s="188"/>
      <c r="N582" s="188"/>
      <c r="O582" s="188"/>
      <c r="P582" s="188"/>
      <c r="Q582" s="188"/>
      <c r="R582" s="188"/>
      <c r="S582" s="188"/>
      <c r="T582" s="99"/>
      <c r="U582" s="99"/>
      <c r="V582" s="99"/>
      <c r="W582" s="99"/>
      <c r="X582" s="99"/>
      <c r="Y582" s="99"/>
      <c r="Z582" s="99"/>
      <c r="AA582" s="1197"/>
      <c r="AB582" s="35"/>
      <c r="AC582" s="183"/>
    </row>
    <row r="583" spans="1:29" x14ac:dyDescent="0.2">
      <c r="A583" s="1422"/>
      <c r="B583" s="1419"/>
      <c r="C583" s="35"/>
      <c r="D583" s="35"/>
      <c r="E583" s="35"/>
      <c r="F583" s="35"/>
      <c r="G583" s="35"/>
      <c r="H583" s="35"/>
      <c r="I583" s="35"/>
      <c r="J583" s="35"/>
      <c r="K583" s="60"/>
      <c r="L583" s="60"/>
      <c r="M583" s="60"/>
      <c r="N583" s="60"/>
      <c r="O583" s="60"/>
      <c r="P583" s="60"/>
      <c r="Q583" s="60"/>
      <c r="R583" s="60"/>
      <c r="S583" s="60"/>
      <c r="T583" s="35"/>
      <c r="U583" s="2974" t="s">
        <v>15</v>
      </c>
      <c r="V583" s="2975"/>
      <c r="W583" s="2975"/>
      <c r="X583" s="2975"/>
      <c r="Y583" s="2976"/>
      <c r="Z583" s="2974" t="s">
        <v>16</v>
      </c>
      <c r="AA583" s="2976"/>
      <c r="AB583" s="35"/>
      <c r="AC583" s="183"/>
    </row>
    <row r="584" spans="1:29" ht="22.5" customHeight="1" x14ac:dyDescent="0.2">
      <c r="A584" s="1422"/>
      <c r="B584" s="1013" t="s">
        <v>276</v>
      </c>
      <c r="C584" s="1087"/>
      <c r="D584" s="1115">
        <v>3033317</v>
      </c>
      <c r="E584" s="3277" t="s">
        <v>433</v>
      </c>
      <c r="F584" s="3278"/>
      <c r="G584" s="3278"/>
      <c r="H584" s="3278"/>
      <c r="I584" s="3278"/>
      <c r="J584" s="3278"/>
      <c r="K584" s="3278"/>
      <c r="L584" s="3278"/>
      <c r="M584" s="3278"/>
      <c r="N584" s="3278"/>
      <c r="O584" s="3278"/>
      <c r="P584" s="3278"/>
      <c r="Q584" s="3278"/>
      <c r="R584" s="3278"/>
      <c r="S584" s="3278"/>
      <c r="T584" s="3279"/>
      <c r="U584" s="3019" t="s">
        <v>434</v>
      </c>
      <c r="V584" s="3328"/>
      <c r="W584" s="3328"/>
      <c r="X584" s="3328"/>
      <c r="Y584" s="3020"/>
      <c r="Z584" s="2974" t="s">
        <v>435</v>
      </c>
      <c r="AA584" s="2976"/>
      <c r="AB584" s="35"/>
      <c r="AC584" s="183"/>
    </row>
    <row r="585" spans="1:29" x14ac:dyDescent="0.2">
      <c r="A585" s="1422"/>
      <c r="B585" s="2999" t="s">
        <v>278</v>
      </c>
      <c r="C585" s="2988" t="s">
        <v>21</v>
      </c>
      <c r="D585" s="2988" t="s">
        <v>22</v>
      </c>
      <c r="E585" s="2988" t="s">
        <v>23</v>
      </c>
      <c r="F585" s="2988" t="s">
        <v>24</v>
      </c>
      <c r="G585" s="2988" t="s">
        <v>25</v>
      </c>
      <c r="H585" s="2988" t="s">
        <v>26</v>
      </c>
      <c r="I585" s="2988" t="s">
        <v>27</v>
      </c>
      <c r="J585" s="3206" t="s">
        <v>28</v>
      </c>
      <c r="K585" s="3301"/>
      <c r="L585" s="2988" t="s">
        <v>279</v>
      </c>
      <c r="M585" s="3273" t="s">
        <v>280</v>
      </c>
      <c r="N585" s="3274"/>
      <c r="O585" s="2847" t="s">
        <v>281</v>
      </c>
      <c r="P585" s="2847"/>
      <c r="Q585" s="2847"/>
      <c r="R585" s="2847"/>
      <c r="S585" s="2847"/>
      <c r="T585" s="2847"/>
      <c r="U585" s="2847"/>
      <c r="V585" s="2847"/>
      <c r="W585" s="2847"/>
      <c r="X585" s="2847"/>
      <c r="Y585" s="2847"/>
      <c r="Z585" s="2847"/>
      <c r="AA585" s="2988" t="s">
        <v>32</v>
      </c>
      <c r="AB585" s="35"/>
      <c r="AC585" s="183"/>
    </row>
    <row r="586" spans="1:29" x14ac:dyDescent="0.2">
      <c r="A586" s="1422"/>
      <c r="B586" s="2999"/>
      <c r="C586" s="3186"/>
      <c r="D586" s="3186"/>
      <c r="E586" s="3186"/>
      <c r="F586" s="3186"/>
      <c r="G586" s="3186"/>
      <c r="H586" s="3186"/>
      <c r="I586" s="3186"/>
      <c r="J586" s="2988" t="s">
        <v>33</v>
      </c>
      <c r="K586" s="2988" t="s">
        <v>282</v>
      </c>
      <c r="L586" s="3186"/>
      <c r="M586" s="3275"/>
      <c r="N586" s="3276"/>
      <c r="O586" s="1009" t="s">
        <v>283</v>
      </c>
      <c r="P586" s="1009" t="s">
        <v>284</v>
      </c>
      <c r="Q586" s="1009" t="s">
        <v>285</v>
      </c>
      <c r="R586" s="1009" t="s">
        <v>88</v>
      </c>
      <c r="S586" s="1009" t="s">
        <v>89</v>
      </c>
      <c r="T586" s="1009" t="s">
        <v>90</v>
      </c>
      <c r="U586" s="1009" t="s">
        <v>91</v>
      </c>
      <c r="V586" s="1009" t="s">
        <v>92</v>
      </c>
      <c r="W586" s="1009" t="s">
        <v>286</v>
      </c>
      <c r="X586" s="1009" t="s">
        <v>93</v>
      </c>
      <c r="Y586" s="1009" t="s">
        <v>94</v>
      </c>
      <c r="Z586" s="1009" t="s">
        <v>95</v>
      </c>
      <c r="AA586" s="2989"/>
      <c r="AB586" s="35"/>
      <c r="AC586" s="183"/>
    </row>
    <row r="587" spans="1:29" x14ac:dyDescent="0.2">
      <c r="A587" s="1422"/>
      <c r="B587" s="2999"/>
      <c r="C587" s="3186"/>
      <c r="D587" s="3186"/>
      <c r="E587" s="3186"/>
      <c r="F587" s="3186"/>
      <c r="G587" s="3186"/>
      <c r="H587" s="3186"/>
      <c r="I587" s="3186"/>
      <c r="J587" s="3186"/>
      <c r="K587" s="3186"/>
      <c r="L587" s="3186"/>
      <c r="M587" s="3271" t="s">
        <v>287</v>
      </c>
      <c r="N587" s="3272"/>
      <c r="O587" s="1095">
        <v>2446</v>
      </c>
      <c r="P587" s="1095">
        <v>2446</v>
      </c>
      <c r="Q587" s="1095">
        <v>2446</v>
      </c>
      <c r="R587" s="1095">
        <v>2446</v>
      </c>
      <c r="S587" s="1095">
        <v>2446</v>
      </c>
      <c r="T587" s="1095">
        <v>2446</v>
      </c>
      <c r="U587" s="1095">
        <v>2446</v>
      </c>
      <c r="V587" s="1095">
        <v>2446</v>
      </c>
      <c r="W587" s="1095">
        <v>2446</v>
      </c>
      <c r="X587" s="1095">
        <v>2446</v>
      </c>
      <c r="Y587" s="1095">
        <v>2446</v>
      </c>
      <c r="Z587" s="1095">
        <v>2446</v>
      </c>
      <c r="AA587" s="1196">
        <f t="shared" ref="AA587:AA607" si="38">SUM(O587:Z587)</f>
        <v>29352</v>
      </c>
      <c r="AB587" s="35"/>
      <c r="AC587" s="183"/>
    </row>
    <row r="588" spans="1:29" x14ac:dyDescent="0.2">
      <c r="A588" s="1422"/>
      <c r="B588" s="2999"/>
      <c r="C588" s="2989"/>
      <c r="D588" s="2989"/>
      <c r="E588" s="2989"/>
      <c r="F588" s="2989"/>
      <c r="G588" s="2989"/>
      <c r="H588" s="2989"/>
      <c r="I588" s="2989"/>
      <c r="J588" s="2989"/>
      <c r="K588" s="2989"/>
      <c r="L588" s="2989"/>
      <c r="M588" s="3271" t="s">
        <v>34</v>
      </c>
      <c r="N588" s="3272"/>
      <c r="O588" s="46">
        <v>251836.5</v>
      </c>
      <c r="P588" s="46">
        <v>211909.22727272726</v>
      </c>
      <c r="Q588" s="46">
        <v>222392.56060606061</v>
      </c>
      <c r="R588" s="46">
        <v>216251.22727272726</v>
      </c>
      <c r="S588" s="46">
        <v>213169.89393939392</v>
      </c>
      <c r="T588" s="46">
        <v>220797.89393939395</v>
      </c>
      <c r="U588" s="46">
        <v>237853.89393939392</v>
      </c>
      <c r="V588" s="46">
        <v>214840.56060606061</v>
      </c>
      <c r="W588" s="46">
        <v>221503.22727272726</v>
      </c>
      <c r="X588" s="46">
        <v>212464.56060606061</v>
      </c>
      <c r="Y588" s="46">
        <v>213169.89393939392</v>
      </c>
      <c r="Z588" s="46">
        <v>237148.56060606061</v>
      </c>
      <c r="AA588" s="1196">
        <f t="shared" si="38"/>
        <v>2673338.0000000005</v>
      </c>
      <c r="AB588" s="35"/>
      <c r="AC588" s="183"/>
    </row>
    <row r="589" spans="1:29" ht="11.25" customHeight="1" x14ac:dyDescent="0.2">
      <c r="A589" s="1422"/>
      <c r="B589" s="2522">
        <v>5000032</v>
      </c>
      <c r="C589" s="3268" t="s">
        <v>3046</v>
      </c>
      <c r="D589" s="3268">
        <v>19</v>
      </c>
      <c r="E589" s="3268" t="s">
        <v>407</v>
      </c>
      <c r="F589" s="3268" t="s">
        <v>386</v>
      </c>
      <c r="G589" s="3268" t="s">
        <v>387</v>
      </c>
      <c r="H589" s="3268" t="s">
        <v>436</v>
      </c>
      <c r="I589" s="3268" t="s">
        <v>437</v>
      </c>
      <c r="J589" s="3268">
        <v>29352</v>
      </c>
      <c r="K589" s="40">
        <v>1034426</v>
      </c>
      <c r="L589" s="3294" t="s">
        <v>377</v>
      </c>
      <c r="M589" s="3287" t="s">
        <v>293</v>
      </c>
      <c r="N589" s="3288"/>
      <c r="O589" s="40">
        <v>86202.166666666672</v>
      </c>
      <c r="P589" s="40">
        <v>86202.166666666672</v>
      </c>
      <c r="Q589" s="40">
        <v>86202.166666666672</v>
      </c>
      <c r="R589" s="40">
        <v>86202.166666666672</v>
      </c>
      <c r="S589" s="40">
        <v>86202.166666666672</v>
      </c>
      <c r="T589" s="38">
        <v>86202.166666666672</v>
      </c>
      <c r="U589" s="38">
        <v>86202.166666666672</v>
      </c>
      <c r="V589" s="38">
        <v>86202.166666666672</v>
      </c>
      <c r="W589" s="38">
        <v>86202.166666666672</v>
      </c>
      <c r="X589" s="38">
        <v>86202.166666666672</v>
      </c>
      <c r="Y589" s="38">
        <v>86202.166666666672</v>
      </c>
      <c r="Z589" s="38">
        <v>86202.166666666672</v>
      </c>
      <c r="AA589" s="966">
        <f t="shared" si="38"/>
        <v>1034425.9999999999</v>
      </c>
      <c r="AB589" s="35"/>
      <c r="AC589" s="183"/>
    </row>
    <row r="590" spans="1:29" x14ac:dyDescent="0.2">
      <c r="A590" s="1422"/>
      <c r="B590" s="2522"/>
      <c r="C590" s="3269"/>
      <c r="D590" s="3269"/>
      <c r="E590" s="3269"/>
      <c r="F590" s="3269"/>
      <c r="G590" s="3269"/>
      <c r="H590" s="3269"/>
      <c r="I590" s="3269"/>
      <c r="J590" s="3269"/>
      <c r="K590" s="40">
        <v>243354</v>
      </c>
      <c r="L590" s="3295"/>
      <c r="M590" s="3287" t="s">
        <v>321</v>
      </c>
      <c r="N590" s="3288"/>
      <c r="O590" s="40">
        <v>20279.5</v>
      </c>
      <c r="P590" s="40">
        <v>20279.5</v>
      </c>
      <c r="Q590" s="40">
        <v>20279.5</v>
      </c>
      <c r="R590" s="40">
        <v>20279.5</v>
      </c>
      <c r="S590" s="40">
        <v>20279.5</v>
      </c>
      <c r="T590" s="38">
        <v>20279.5</v>
      </c>
      <c r="U590" s="38">
        <v>20279.5</v>
      </c>
      <c r="V590" s="38">
        <v>20279.5</v>
      </c>
      <c r="W590" s="38">
        <v>20279.5</v>
      </c>
      <c r="X590" s="38">
        <v>20279.5</v>
      </c>
      <c r="Y590" s="38">
        <v>20279.5</v>
      </c>
      <c r="Z590" s="38">
        <v>20279.5</v>
      </c>
      <c r="AA590" s="966">
        <f t="shared" si="38"/>
        <v>243354</v>
      </c>
      <c r="AB590" s="35"/>
      <c r="AC590" s="183"/>
    </row>
    <row r="591" spans="1:29" x14ac:dyDescent="0.2">
      <c r="A591" s="1422"/>
      <c r="B591" s="2522"/>
      <c r="C591" s="3269"/>
      <c r="D591" s="3269"/>
      <c r="E591" s="3269"/>
      <c r="F591" s="3269"/>
      <c r="G591" s="3269"/>
      <c r="H591" s="3269"/>
      <c r="I591" s="3269"/>
      <c r="J591" s="3269"/>
      <c r="K591" s="40">
        <v>302024</v>
      </c>
      <c r="L591" s="3295"/>
      <c r="M591" s="3287" t="s">
        <v>295</v>
      </c>
      <c r="N591" s="3288"/>
      <c r="O591" s="40">
        <v>25168.666666666668</v>
      </c>
      <c r="P591" s="40">
        <v>25168.666666666668</v>
      </c>
      <c r="Q591" s="40">
        <v>25168.666666666668</v>
      </c>
      <c r="R591" s="40">
        <v>25168.666666666668</v>
      </c>
      <c r="S591" s="40">
        <v>25168.666666666668</v>
      </c>
      <c r="T591" s="38">
        <v>25168.666666666668</v>
      </c>
      <c r="U591" s="38">
        <v>25168.666666666668</v>
      </c>
      <c r="V591" s="38">
        <v>25168.666666666668</v>
      </c>
      <c r="W591" s="38">
        <v>25168.666666666668</v>
      </c>
      <c r="X591" s="38">
        <v>25168.666666666668</v>
      </c>
      <c r="Y591" s="38">
        <v>25168.666666666668</v>
      </c>
      <c r="Z591" s="38">
        <v>25168.666666666668</v>
      </c>
      <c r="AA591" s="966">
        <f t="shared" si="38"/>
        <v>302024</v>
      </c>
      <c r="AB591" s="35"/>
      <c r="AC591" s="183"/>
    </row>
    <row r="592" spans="1:29" x14ac:dyDescent="0.2">
      <c r="A592" s="1422"/>
      <c r="B592" s="2522"/>
      <c r="C592" s="3269"/>
      <c r="D592" s="3269"/>
      <c r="E592" s="3269"/>
      <c r="F592" s="3269"/>
      <c r="G592" s="3269"/>
      <c r="H592" s="3269"/>
      <c r="I592" s="3269"/>
      <c r="J592" s="3269"/>
      <c r="K592" s="40">
        <v>23750</v>
      </c>
      <c r="L592" s="3295"/>
      <c r="M592" s="3287" t="s">
        <v>332</v>
      </c>
      <c r="N592" s="3288"/>
      <c r="O592" s="40">
        <v>1979.1666666666667</v>
      </c>
      <c r="P592" s="40">
        <v>1979.1666666666667</v>
      </c>
      <c r="Q592" s="40">
        <v>1979.1666666666667</v>
      </c>
      <c r="R592" s="40">
        <v>1979.1666666666667</v>
      </c>
      <c r="S592" s="40">
        <v>1979.1666666666667</v>
      </c>
      <c r="T592" s="38">
        <v>1979.1666666666667</v>
      </c>
      <c r="U592" s="38">
        <v>1979.1666666666667</v>
      </c>
      <c r="V592" s="38">
        <v>1979.1666666666667</v>
      </c>
      <c r="W592" s="38">
        <v>1979.1666666666667</v>
      </c>
      <c r="X592" s="38">
        <v>1979.1666666666667</v>
      </c>
      <c r="Y592" s="38">
        <v>1979.1666666666667</v>
      </c>
      <c r="Z592" s="38">
        <v>1979.1666666666667</v>
      </c>
      <c r="AA592" s="966">
        <f t="shared" si="38"/>
        <v>23750.000000000004</v>
      </c>
      <c r="AB592" s="35"/>
      <c r="AC592" s="183"/>
    </row>
    <row r="593" spans="1:29" x14ac:dyDescent="0.2">
      <c r="A593" s="1422"/>
      <c r="B593" s="2522"/>
      <c r="C593" s="3269"/>
      <c r="D593" s="3269"/>
      <c r="E593" s="3269"/>
      <c r="F593" s="3269"/>
      <c r="G593" s="3269"/>
      <c r="H593" s="3269"/>
      <c r="I593" s="3269"/>
      <c r="J593" s="3269"/>
      <c r="K593" s="40">
        <v>402649</v>
      </c>
      <c r="L593" s="3295"/>
      <c r="M593" s="3287" t="s">
        <v>296</v>
      </c>
      <c r="N593" s="3288"/>
      <c r="O593" s="40">
        <v>33554.083333333336</v>
      </c>
      <c r="P593" s="40">
        <v>33554.083333333336</v>
      </c>
      <c r="Q593" s="40">
        <v>33554.083333333336</v>
      </c>
      <c r="R593" s="40">
        <v>33554.083333333336</v>
      </c>
      <c r="S593" s="40">
        <v>33554.083333333336</v>
      </c>
      <c r="T593" s="38">
        <v>33554.083333333336</v>
      </c>
      <c r="U593" s="38">
        <v>33554.083333333336</v>
      </c>
      <c r="V593" s="38">
        <v>33554.083333333336</v>
      </c>
      <c r="W593" s="38">
        <v>33554.083333333336</v>
      </c>
      <c r="X593" s="38">
        <v>33554.083333333336</v>
      </c>
      <c r="Y593" s="38">
        <v>33554.083333333336</v>
      </c>
      <c r="Z593" s="38">
        <v>33554.083333333336</v>
      </c>
      <c r="AA593" s="966">
        <f t="shared" si="38"/>
        <v>402648.99999999994</v>
      </c>
      <c r="AB593" s="35"/>
      <c r="AC593" s="183"/>
    </row>
    <row r="594" spans="1:29" x14ac:dyDescent="0.2">
      <c r="A594" s="1422"/>
      <c r="B594" s="2522"/>
      <c r="C594" s="3269"/>
      <c r="D594" s="3269"/>
      <c r="E594" s="3269"/>
      <c r="F594" s="3269"/>
      <c r="G594" s="3269"/>
      <c r="H594" s="3269"/>
      <c r="I594" s="3269"/>
      <c r="J594" s="3269"/>
      <c r="K594" s="40">
        <v>39060</v>
      </c>
      <c r="L594" s="3295"/>
      <c r="M594" s="3287" t="s">
        <v>297</v>
      </c>
      <c r="N594" s="3288"/>
      <c r="O594" s="40">
        <v>3255</v>
      </c>
      <c r="P594" s="40">
        <v>3255</v>
      </c>
      <c r="Q594" s="40">
        <v>3255</v>
      </c>
      <c r="R594" s="40">
        <v>3255</v>
      </c>
      <c r="S594" s="40">
        <v>3255</v>
      </c>
      <c r="T594" s="38">
        <v>3255</v>
      </c>
      <c r="U594" s="38">
        <v>3255</v>
      </c>
      <c r="V594" s="38">
        <v>3255</v>
      </c>
      <c r="W594" s="38">
        <v>3255</v>
      </c>
      <c r="X594" s="38">
        <v>3255</v>
      </c>
      <c r="Y594" s="38">
        <v>3255</v>
      </c>
      <c r="Z594" s="38">
        <v>3255</v>
      </c>
      <c r="AA594" s="966">
        <f t="shared" si="38"/>
        <v>39060</v>
      </c>
      <c r="AB594" s="35"/>
      <c r="AC594" s="183"/>
    </row>
    <row r="595" spans="1:29" x14ac:dyDescent="0.2">
      <c r="A595" s="1422"/>
      <c r="B595" s="2522"/>
      <c r="C595" s="3269"/>
      <c r="D595" s="3269"/>
      <c r="E595" s="3269"/>
      <c r="F595" s="3269"/>
      <c r="G595" s="3269"/>
      <c r="H595" s="3269"/>
      <c r="I595" s="3269"/>
      <c r="J595" s="3269"/>
      <c r="K595" s="40">
        <v>49368</v>
      </c>
      <c r="L595" s="3295"/>
      <c r="M595" s="3287" t="s">
        <v>298</v>
      </c>
      <c r="N595" s="3288"/>
      <c r="O595" s="40"/>
      <c r="P595" s="40"/>
      <c r="Q595" s="40"/>
      <c r="R595" s="40"/>
      <c r="S595" s="40"/>
      <c r="T595" s="38"/>
      <c r="U595" s="38">
        <v>24684</v>
      </c>
      <c r="V595" s="38"/>
      <c r="W595" s="38"/>
      <c r="X595" s="38"/>
      <c r="Y595" s="38"/>
      <c r="Z595" s="38">
        <v>24684</v>
      </c>
      <c r="AA595" s="966">
        <f t="shared" si="38"/>
        <v>49368</v>
      </c>
      <c r="AB595" s="35"/>
      <c r="AC595" s="183"/>
    </row>
    <row r="596" spans="1:29" x14ac:dyDescent="0.2">
      <c r="A596" s="1422"/>
      <c r="B596" s="2522"/>
      <c r="C596" s="3269"/>
      <c r="D596" s="3269"/>
      <c r="E596" s="3269"/>
      <c r="F596" s="3269"/>
      <c r="G596" s="3269"/>
      <c r="H596" s="3269"/>
      <c r="I596" s="3269"/>
      <c r="J596" s="3269"/>
      <c r="K596" s="40">
        <v>40350</v>
      </c>
      <c r="L596" s="3295"/>
      <c r="M596" s="3287" t="s">
        <v>299</v>
      </c>
      <c r="N596" s="3288"/>
      <c r="O596" s="40">
        <v>40350</v>
      </c>
      <c r="P596" s="40"/>
      <c r="Q596" s="40"/>
      <c r="R596" s="40"/>
      <c r="S596" s="40"/>
      <c r="T596" s="38"/>
      <c r="U596" s="38"/>
      <c r="V596" s="38"/>
      <c r="W596" s="38"/>
      <c r="X596" s="38"/>
      <c r="Y596" s="38"/>
      <c r="Z596" s="38"/>
      <c r="AA596" s="966">
        <f t="shared" si="38"/>
        <v>40350</v>
      </c>
      <c r="AB596" s="35"/>
      <c r="AC596" s="183"/>
    </row>
    <row r="597" spans="1:29" x14ac:dyDescent="0.2">
      <c r="A597" s="1422"/>
      <c r="B597" s="2522"/>
      <c r="C597" s="3269"/>
      <c r="D597" s="3269"/>
      <c r="E597" s="3269"/>
      <c r="F597" s="3269"/>
      <c r="G597" s="3269"/>
      <c r="H597" s="3269"/>
      <c r="I597" s="3269"/>
      <c r="J597" s="3269"/>
      <c r="K597" s="40">
        <v>131350</v>
      </c>
      <c r="L597" s="3295"/>
      <c r="M597" s="3287" t="s">
        <v>300</v>
      </c>
      <c r="N597" s="3288"/>
      <c r="O597" s="40">
        <v>10945.833333333334</v>
      </c>
      <c r="P597" s="40">
        <v>10945.833333333334</v>
      </c>
      <c r="Q597" s="40">
        <v>10945.833333333334</v>
      </c>
      <c r="R597" s="40">
        <v>10945.833333333334</v>
      </c>
      <c r="S597" s="40">
        <v>10945.833333333334</v>
      </c>
      <c r="T597" s="38">
        <v>10945.833333333334</v>
      </c>
      <c r="U597" s="38">
        <v>10945.833333333334</v>
      </c>
      <c r="V597" s="38">
        <v>10945.833333333334</v>
      </c>
      <c r="W597" s="38">
        <v>10945.833333333334</v>
      </c>
      <c r="X597" s="38">
        <v>10945.833333333334</v>
      </c>
      <c r="Y597" s="38">
        <v>10945.833333333334</v>
      </c>
      <c r="Z597" s="38">
        <v>10945.833333333334</v>
      </c>
      <c r="AA597" s="966">
        <f t="shared" si="38"/>
        <v>131349.99999999997</v>
      </c>
      <c r="AB597" s="35"/>
      <c r="AC597" s="183"/>
    </row>
    <row r="598" spans="1:29" x14ac:dyDescent="0.2">
      <c r="A598" s="1422"/>
      <c r="B598" s="2522"/>
      <c r="C598" s="3269"/>
      <c r="D598" s="3269"/>
      <c r="E598" s="3269"/>
      <c r="F598" s="3269"/>
      <c r="G598" s="3269"/>
      <c r="H598" s="3269"/>
      <c r="I598" s="3269"/>
      <c r="J598" s="3269"/>
      <c r="K598" s="40">
        <v>2277</v>
      </c>
      <c r="L598" s="3295"/>
      <c r="M598" s="3287" t="s">
        <v>301</v>
      </c>
      <c r="N598" s="3288"/>
      <c r="O598" s="40">
        <v>189.75</v>
      </c>
      <c r="P598" s="40">
        <v>189.75</v>
      </c>
      <c r="Q598" s="40">
        <v>189.75</v>
      </c>
      <c r="R598" s="40">
        <v>189.75</v>
      </c>
      <c r="S598" s="40">
        <v>189.75</v>
      </c>
      <c r="T598" s="38">
        <v>189.75</v>
      </c>
      <c r="U598" s="38">
        <v>189.75</v>
      </c>
      <c r="V598" s="38">
        <v>189.75</v>
      </c>
      <c r="W598" s="38">
        <v>189.75</v>
      </c>
      <c r="X598" s="38">
        <v>189.75</v>
      </c>
      <c r="Y598" s="38">
        <v>189.75</v>
      </c>
      <c r="Z598" s="38">
        <v>189.75</v>
      </c>
      <c r="AA598" s="966">
        <f t="shared" si="38"/>
        <v>2277</v>
      </c>
      <c r="AB598" s="35"/>
      <c r="AC598" s="183"/>
    </row>
    <row r="599" spans="1:29" x14ac:dyDescent="0.2">
      <c r="A599" s="1422"/>
      <c r="B599" s="2522"/>
      <c r="C599" s="3269"/>
      <c r="D599" s="3269"/>
      <c r="E599" s="3269"/>
      <c r="F599" s="3269"/>
      <c r="G599" s="3269"/>
      <c r="H599" s="3269"/>
      <c r="I599" s="3269"/>
      <c r="J599" s="3269"/>
      <c r="K599" s="40">
        <v>200</v>
      </c>
      <c r="L599" s="3295"/>
      <c r="M599" s="3287" t="s">
        <v>303</v>
      </c>
      <c r="N599" s="3288"/>
      <c r="O599" s="40"/>
      <c r="P599" s="40"/>
      <c r="Q599" s="40">
        <v>200</v>
      </c>
      <c r="R599" s="40"/>
      <c r="S599" s="40"/>
      <c r="T599" s="38"/>
      <c r="U599" s="38"/>
      <c r="V599" s="38"/>
      <c r="W599" s="38"/>
      <c r="X599" s="38"/>
      <c r="Y599" s="38"/>
      <c r="Z599" s="38"/>
      <c r="AA599" s="966">
        <f t="shared" si="38"/>
        <v>200</v>
      </c>
      <c r="AB599" s="35"/>
      <c r="AC599" s="183"/>
    </row>
    <row r="600" spans="1:29" x14ac:dyDescent="0.2">
      <c r="A600" s="1422"/>
      <c r="B600" s="2522"/>
      <c r="C600" s="3269"/>
      <c r="D600" s="3269"/>
      <c r="E600" s="3269"/>
      <c r="F600" s="3269"/>
      <c r="G600" s="3269"/>
      <c r="H600" s="3269"/>
      <c r="I600" s="3269"/>
      <c r="J600" s="3269"/>
      <c r="K600" s="40">
        <v>150</v>
      </c>
      <c r="L600" s="3295"/>
      <c r="M600" s="3287" t="s">
        <v>324</v>
      </c>
      <c r="N600" s="3288"/>
      <c r="O600" s="40"/>
      <c r="P600" s="40">
        <v>150</v>
      </c>
      <c r="Q600" s="40"/>
      <c r="R600" s="40"/>
      <c r="S600" s="40"/>
      <c r="T600" s="38"/>
      <c r="U600" s="38"/>
      <c r="V600" s="38"/>
      <c r="W600" s="38"/>
      <c r="X600" s="38"/>
      <c r="Y600" s="38"/>
      <c r="Z600" s="38"/>
      <c r="AA600" s="966">
        <f t="shared" si="38"/>
        <v>150</v>
      </c>
      <c r="AB600" s="35"/>
      <c r="AC600" s="183"/>
    </row>
    <row r="601" spans="1:29" x14ac:dyDescent="0.2">
      <c r="A601" s="1422"/>
      <c r="B601" s="2522"/>
      <c r="C601" s="3269"/>
      <c r="D601" s="3269"/>
      <c r="E601" s="3269"/>
      <c r="F601" s="3269"/>
      <c r="G601" s="3269"/>
      <c r="H601" s="3269"/>
      <c r="I601" s="3269"/>
      <c r="J601" s="3269"/>
      <c r="K601" s="40">
        <v>4752</v>
      </c>
      <c r="L601" s="3295"/>
      <c r="M601" s="3287" t="s">
        <v>393</v>
      </c>
      <c r="N601" s="3288"/>
      <c r="O601" s="40"/>
      <c r="P601" s="40"/>
      <c r="Q601" s="40"/>
      <c r="R601" s="40">
        <v>2376</v>
      </c>
      <c r="S601" s="40"/>
      <c r="T601" s="38"/>
      <c r="U601" s="38"/>
      <c r="V601" s="38">
        <v>2376</v>
      </c>
      <c r="W601" s="38"/>
      <c r="X601" s="38"/>
      <c r="Y601" s="38"/>
      <c r="Z601" s="38"/>
      <c r="AA601" s="966">
        <f t="shared" si="38"/>
        <v>4752</v>
      </c>
      <c r="AB601" s="35"/>
      <c r="AC601" s="183"/>
    </row>
    <row r="602" spans="1:29" x14ac:dyDescent="0.2">
      <c r="A602" s="1422"/>
      <c r="B602" s="2522"/>
      <c r="C602" s="3269"/>
      <c r="D602" s="3269"/>
      <c r="E602" s="3269"/>
      <c r="F602" s="3269"/>
      <c r="G602" s="3269"/>
      <c r="H602" s="3269"/>
      <c r="I602" s="3269"/>
      <c r="J602" s="3269"/>
      <c r="K602" s="40">
        <v>10580</v>
      </c>
      <c r="L602" s="3295"/>
      <c r="M602" s="3287" t="s">
        <v>343</v>
      </c>
      <c r="N602" s="3288"/>
      <c r="O602" s="40"/>
      <c r="P602" s="40"/>
      <c r="Q602" s="40"/>
      <c r="R602" s="40">
        <v>2116</v>
      </c>
      <c r="S602" s="40">
        <v>1410.6666666666667</v>
      </c>
      <c r="T602" s="38">
        <v>705.33333333333337</v>
      </c>
      <c r="U602" s="38">
        <v>1410.6666666666667</v>
      </c>
      <c r="V602" s="38">
        <v>705.33333333333337</v>
      </c>
      <c r="W602" s="38">
        <v>1410.6666666666667</v>
      </c>
      <c r="X602" s="38">
        <v>705.33333333333337</v>
      </c>
      <c r="Y602" s="38">
        <v>1410.6666666666667</v>
      </c>
      <c r="Z602" s="38">
        <v>705.33333333333337</v>
      </c>
      <c r="AA602" s="966">
        <f t="shared" si="38"/>
        <v>10580</v>
      </c>
      <c r="AB602" s="35"/>
      <c r="AC602" s="183"/>
    </row>
    <row r="603" spans="1:29" x14ac:dyDescent="0.2">
      <c r="A603" s="1422"/>
      <c r="B603" s="2522"/>
      <c r="C603" s="3269"/>
      <c r="D603" s="3269"/>
      <c r="E603" s="3269"/>
      <c r="F603" s="3269"/>
      <c r="G603" s="3269"/>
      <c r="H603" s="3269"/>
      <c r="I603" s="3269"/>
      <c r="J603" s="3269"/>
      <c r="K603" s="40">
        <v>25000</v>
      </c>
      <c r="L603" s="3295"/>
      <c r="M603" s="3287" t="s">
        <v>304</v>
      </c>
      <c r="N603" s="3288"/>
      <c r="O603" s="40"/>
      <c r="P603" s="40"/>
      <c r="Q603" s="40">
        <v>8333.3333333333339</v>
      </c>
      <c r="R603" s="40"/>
      <c r="S603" s="40"/>
      <c r="T603" s="38">
        <v>8333.3333333333339</v>
      </c>
      <c r="U603" s="38"/>
      <c r="V603" s="38"/>
      <c r="W603" s="38">
        <v>8333.3333333333339</v>
      </c>
      <c r="X603" s="38"/>
      <c r="Y603" s="38"/>
      <c r="Z603" s="38"/>
      <c r="AA603" s="966">
        <f t="shared" si="38"/>
        <v>25000</v>
      </c>
      <c r="AB603" s="35"/>
      <c r="AC603" s="183"/>
    </row>
    <row r="604" spans="1:29" x14ac:dyDescent="0.2">
      <c r="A604" s="1422"/>
      <c r="B604" s="2522"/>
      <c r="C604" s="3269"/>
      <c r="D604" s="3269"/>
      <c r="E604" s="3269"/>
      <c r="F604" s="3269"/>
      <c r="G604" s="3269"/>
      <c r="H604" s="3269"/>
      <c r="I604" s="3269"/>
      <c r="J604" s="3269"/>
      <c r="K604" s="40">
        <v>3000</v>
      </c>
      <c r="L604" s="3295"/>
      <c r="M604" s="3287" t="s">
        <v>307</v>
      </c>
      <c r="N604" s="3288"/>
      <c r="O604" s="40"/>
      <c r="P604" s="40">
        <v>272.72727272727275</v>
      </c>
      <c r="Q604" s="40">
        <v>272.72727272727275</v>
      </c>
      <c r="R604" s="40">
        <v>272.72727272727275</v>
      </c>
      <c r="S604" s="40">
        <v>272.72727272727275</v>
      </c>
      <c r="T604" s="38">
        <v>272.72727272727275</v>
      </c>
      <c r="U604" s="38">
        <v>272.72727272727275</v>
      </c>
      <c r="V604" s="38">
        <v>272.72727272727275</v>
      </c>
      <c r="W604" s="38">
        <v>272.72727272727275</v>
      </c>
      <c r="X604" s="38">
        <v>272.72727272727275</v>
      </c>
      <c r="Y604" s="38">
        <v>272.72727272727275</v>
      </c>
      <c r="Z604" s="38">
        <v>272.72727272727275</v>
      </c>
      <c r="AA604" s="966">
        <f t="shared" si="38"/>
        <v>3000.0000000000009</v>
      </c>
      <c r="AB604" s="35"/>
      <c r="AC604" s="183"/>
    </row>
    <row r="605" spans="1:29" x14ac:dyDescent="0.2">
      <c r="A605" s="1422"/>
      <c r="B605" s="2522"/>
      <c r="C605" s="3269"/>
      <c r="D605" s="3269"/>
      <c r="E605" s="3269"/>
      <c r="F605" s="3269"/>
      <c r="G605" s="3269"/>
      <c r="H605" s="3269"/>
      <c r="I605" s="3269"/>
      <c r="J605" s="3269"/>
      <c r="K605" s="40">
        <v>2100</v>
      </c>
      <c r="L605" s="3295"/>
      <c r="M605" s="3287" t="s">
        <v>308</v>
      </c>
      <c r="N605" s="3288"/>
      <c r="O605" s="40"/>
      <c r="P605" s="40"/>
      <c r="Q605" s="40">
        <v>2100</v>
      </c>
      <c r="R605" s="40"/>
      <c r="S605" s="40"/>
      <c r="T605" s="38"/>
      <c r="U605" s="38"/>
      <c r="V605" s="38"/>
      <c r="W605" s="38"/>
      <c r="X605" s="38"/>
      <c r="Y605" s="38"/>
      <c r="Z605" s="38"/>
      <c r="AA605" s="966">
        <f t="shared" si="38"/>
        <v>2100</v>
      </c>
      <c r="AB605" s="35"/>
      <c r="AC605" s="183"/>
    </row>
    <row r="606" spans="1:29" x14ac:dyDescent="0.2">
      <c r="A606" s="1422"/>
      <c r="B606" s="2522"/>
      <c r="C606" s="3269"/>
      <c r="D606" s="3269"/>
      <c r="E606" s="3269"/>
      <c r="F606" s="3269"/>
      <c r="G606" s="3269"/>
      <c r="H606" s="3269"/>
      <c r="I606" s="3269"/>
      <c r="J606" s="3269"/>
      <c r="K606" s="40">
        <v>337226</v>
      </c>
      <c r="L606" s="3295"/>
      <c r="M606" s="3287" t="s">
        <v>310</v>
      </c>
      <c r="N606" s="3288"/>
      <c r="O606" s="40">
        <v>28102.166666666668</v>
      </c>
      <c r="P606" s="40">
        <v>28102.166666666668</v>
      </c>
      <c r="Q606" s="40">
        <v>28102.166666666668</v>
      </c>
      <c r="R606" s="40">
        <v>28102.166666666668</v>
      </c>
      <c r="S606" s="40">
        <v>28102.166666666668</v>
      </c>
      <c r="T606" s="38">
        <v>28102.166666666668</v>
      </c>
      <c r="U606" s="38">
        <v>28102.166666666668</v>
      </c>
      <c r="V606" s="38">
        <v>28102.166666666668</v>
      </c>
      <c r="W606" s="38">
        <v>28102.166666666668</v>
      </c>
      <c r="X606" s="38">
        <v>28102.166666666668</v>
      </c>
      <c r="Y606" s="38">
        <v>28102.166666666668</v>
      </c>
      <c r="Z606" s="38">
        <v>28102.166666666668</v>
      </c>
      <c r="AA606" s="966">
        <f t="shared" si="38"/>
        <v>337226</v>
      </c>
      <c r="AB606" s="35"/>
      <c r="AC606" s="183"/>
    </row>
    <row r="607" spans="1:29" x14ac:dyDescent="0.2">
      <c r="A607" s="1422"/>
      <c r="B607" s="2522"/>
      <c r="C607" s="3270"/>
      <c r="D607" s="3270"/>
      <c r="E607" s="3270"/>
      <c r="F607" s="3270"/>
      <c r="G607" s="3270"/>
      <c r="H607" s="3270"/>
      <c r="I607" s="3270"/>
      <c r="J607" s="3270"/>
      <c r="K607" s="40">
        <v>21722</v>
      </c>
      <c r="L607" s="3296"/>
      <c r="M607" s="3287" t="s">
        <v>311</v>
      </c>
      <c r="N607" s="3288"/>
      <c r="O607" s="40">
        <v>1810.1666666666667</v>
      </c>
      <c r="P607" s="40">
        <v>1810.1666666666667</v>
      </c>
      <c r="Q607" s="40">
        <v>1810.1666666666667</v>
      </c>
      <c r="R607" s="40">
        <v>1810.1666666666667</v>
      </c>
      <c r="S607" s="40">
        <v>1810.1666666666667</v>
      </c>
      <c r="T607" s="38">
        <v>1810.1666666666667</v>
      </c>
      <c r="U607" s="38">
        <v>1810.1666666666667</v>
      </c>
      <c r="V607" s="38">
        <v>1810.1666666666667</v>
      </c>
      <c r="W607" s="38">
        <v>1810.1666666666667</v>
      </c>
      <c r="X607" s="38">
        <v>1810.1666666666667</v>
      </c>
      <c r="Y607" s="38">
        <v>1810.1666666666667</v>
      </c>
      <c r="Z607" s="38">
        <v>1810.1666666666667</v>
      </c>
      <c r="AA607" s="966">
        <f t="shared" si="38"/>
        <v>21722</v>
      </c>
      <c r="AB607" s="35"/>
      <c r="AC607" s="183"/>
    </row>
    <row r="608" spans="1:29" x14ac:dyDescent="0.2">
      <c r="A608" s="1422"/>
      <c r="B608" s="1418"/>
      <c r="C608" s="99"/>
      <c r="D608" s="99"/>
      <c r="E608" s="99"/>
      <c r="F608" s="99"/>
      <c r="G608" s="99"/>
      <c r="H608" s="99"/>
      <c r="I608" s="99"/>
      <c r="J608" s="99"/>
      <c r="K608" s="188">
        <f>SUM(K589:K607)</f>
        <v>2673338</v>
      </c>
      <c r="L608" s="188"/>
      <c r="M608" s="188"/>
      <c r="N608" s="188"/>
      <c r="O608" s="188"/>
      <c r="P608" s="188"/>
      <c r="Q608" s="188"/>
      <c r="R608" s="188"/>
      <c r="S608" s="188"/>
      <c r="T608" s="99"/>
      <c r="U608" s="99"/>
      <c r="V608" s="99"/>
      <c r="W608" s="99"/>
      <c r="X608" s="99"/>
      <c r="Y608" s="99"/>
      <c r="Z608" s="99"/>
      <c r="AA608" s="189"/>
      <c r="AB608" s="35"/>
      <c r="AC608" s="183"/>
    </row>
    <row r="609" spans="1:29" x14ac:dyDescent="0.2">
      <c r="A609" s="1422"/>
      <c r="B609" s="1419"/>
      <c r="C609" s="35"/>
      <c r="D609" s="35"/>
      <c r="E609" s="35"/>
      <c r="F609" s="35"/>
      <c r="G609" s="35"/>
      <c r="H609" s="35"/>
      <c r="I609" s="35"/>
      <c r="J609" s="35"/>
      <c r="K609" s="60"/>
      <c r="L609" s="60"/>
      <c r="M609" s="60"/>
      <c r="N609" s="60"/>
      <c r="O609" s="60"/>
      <c r="P609" s="60"/>
      <c r="Q609" s="60"/>
      <c r="R609" s="60"/>
      <c r="S609" s="60"/>
      <c r="T609" s="35"/>
      <c r="U609" s="2974" t="s">
        <v>15</v>
      </c>
      <c r="V609" s="2975"/>
      <c r="W609" s="2975"/>
      <c r="X609" s="2975"/>
      <c r="Y609" s="2976"/>
      <c r="Z609" s="2974" t="s">
        <v>16</v>
      </c>
      <c r="AA609" s="2976"/>
      <c r="AB609" s="35"/>
      <c r="AC609" s="183"/>
    </row>
    <row r="610" spans="1:29" ht="22.5" customHeight="1" x14ac:dyDescent="0.2">
      <c r="A610" s="1422"/>
      <c r="B610" s="1013" t="s">
        <v>276</v>
      </c>
      <c r="C610" s="152"/>
      <c r="D610" s="1115">
        <v>3033414</v>
      </c>
      <c r="E610" s="3277" t="s">
        <v>438</v>
      </c>
      <c r="F610" s="3278"/>
      <c r="G610" s="3278"/>
      <c r="H610" s="3278"/>
      <c r="I610" s="3278"/>
      <c r="J610" s="3278"/>
      <c r="K610" s="3278"/>
      <c r="L610" s="3278"/>
      <c r="M610" s="3278"/>
      <c r="N610" s="3278"/>
      <c r="O610" s="3278"/>
      <c r="P610" s="3278"/>
      <c r="Q610" s="3278"/>
      <c r="R610" s="3278"/>
      <c r="S610" s="3278"/>
      <c r="T610" s="3279"/>
      <c r="U610" s="3019" t="s">
        <v>439</v>
      </c>
      <c r="V610" s="3328"/>
      <c r="W610" s="3328"/>
      <c r="X610" s="3328"/>
      <c r="Y610" s="3020"/>
      <c r="Z610" s="3233" t="s">
        <v>418</v>
      </c>
      <c r="AA610" s="3233"/>
      <c r="AB610" s="35"/>
      <c r="AC610" s="183"/>
    </row>
    <row r="611" spans="1:29" x14ac:dyDescent="0.2">
      <c r="A611" s="1422"/>
      <c r="B611" s="2999" t="s">
        <v>278</v>
      </c>
      <c r="C611" s="2988" t="s">
        <v>21</v>
      </c>
      <c r="D611" s="2988" t="s">
        <v>22</v>
      </c>
      <c r="E611" s="2988" t="s">
        <v>23</v>
      </c>
      <c r="F611" s="2988" t="s">
        <v>24</v>
      </c>
      <c r="G611" s="2988" t="s">
        <v>25</v>
      </c>
      <c r="H611" s="2988" t="s">
        <v>26</v>
      </c>
      <c r="I611" s="2988" t="s">
        <v>27</v>
      </c>
      <c r="J611" s="3206" t="s">
        <v>28</v>
      </c>
      <c r="K611" s="3301"/>
      <c r="L611" s="2988" t="s">
        <v>279</v>
      </c>
      <c r="M611" s="3273" t="s">
        <v>280</v>
      </c>
      <c r="N611" s="3274"/>
      <c r="O611" s="2847" t="s">
        <v>281</v>
      </c>
      <c r="P611" s="2847"/>
      <c r="Q611" s="2847"/>
      <c r="R611" s="2847"/>
      <c r="S611" s="2847"/>
      <c r="T611" s="2847"/>
      <c r="U611" s="2847"/>
      <c r="V611" s="2847"/>
      <c r="W611" s="2847"/>
      <c r="X611" s="2847"/>
      <c r="Y611" s="2847"/>
      <c r="Z611" s="2847"/>
      <c r="AA611" s="2988" t="s">
        <v>32</v>
      </c>
      <c r="AB611" s="35"/>
      <c r="AC611" s="183"/>
    </row>
    <row r="612" spans="1:29" x14ac:dyDescent="0.2">
      <c r="A612" s="1422"/>
      <c r="B612" s="2999"/>
      <c r="C612" s="3186"/>
      <c r="D612" s="3186"/>
      <c r="E612" s="3186"/>
      <c r="F612" s="3186"/>
      <c r="G612" s="3186"/>
      <c r="H612" s="3186"/>
      <c r="I612" s="3186"/>
      <c r="J612" s="2988" t="s">
        <v>33</v>
      </c>
      <c r="K612" s="2988" t="s">
        <v>282</v>
      </c>
      <c r="L612" s="3186"/>
      <c r="M612" s="3275"/>
      <c r="N612" s="3276"/>
      <c r="O612" s="1009" t="s">
        <v>283</v>
      </c>
      <c r="P612" s="1009" t="s">
        <v>284</v>
      </c>
      <c r="Q612" s="1009" t="s">
        <v>285</v>
      </c>
      <c r="R612" s="1009" t="s">
        <v>88</v>
      </c>
      <c r="S612" s="1009" t="s">
        <v>89</v>
      </c>
      <c r="T612" s="1009" t="s">
        <v>90</v>
      </c>
      <c r="U612" s="1009" t="s">
        <v>91</v>
      </c>
      <c r="V612" s="1009" t="s">
        <v>92</v>
      </c>
      <c r="W612" s="1009" t="s">
        <v>286</v>
      </c>
      <c r="X612" s="1009" t="s">
        <v>93</v>
      </c>
      <c r="Y612" s="1009" t="s">
        <v>94</v>
      </c>
      <c r="Z612" s="1009" t="s">
        <v>95</v>
      </c>
      <c r="AA612" s="2989"/>
      <c r="AB612" s="35"/>
      <c r="AC612" s="183"/>
    </row>
    <row r="613" spans="1:29" x14ac:dyDescent="0.2">
      <c r="A613" s="1422"/>
      <c r="B613" s="2999"/>
      <c r="C613" s="3186"/>
      <c r="D613" s="3186"/>
      <c r="E613" s="3186"/>
      <c r="F613" s="3186"/>
      <c r="G613" s="3186"/>
      <c r="H613" s="3186"/>
      <c r="I613" s="3186"/>
      <c r="J613" s="3186"/>
      <c r="K613" s="3186"/>
      <c r="L613" s="3186"/>
      <c r="M613" s="3271" t="s">
        <v>287</v>
      </c>
      <c r="N613" s="3272"/>
      <c r="O613" s="1095">
        <v>2283</v>
      </c>
      <c r="P613" s="1095">
        <v>2284</v>
      </c>
      <c r="Q613" s="1095">
        <v>2286</v>
      </c>
      <c r="R613" s="1095">
        <v>2286</v>
      </c>
      <c r="S613" s="1095">
        <v>2286</v>
      </c>
      <c r="T613" s="1095">
        <v>2286</v>
      </c>
      <c r="U613" s="1095">
        <v>2286</v>
      </c>
      <c r="V613" s="1095">
        <v>2286</v>
      </c>
      <c r="W613" s="1095">
        <v>2286</v>
      </c>
      <c r="X613" s="1095">
        <v>2286</v>
      </c>
      <c r="Y613" s="1095">
        <v>2286</v>
      </c>
      <c r="Z613" s="1095">
        <v>2286</v>
      </c>
      <c r="AA613" s="1196">
        <f t="shared" ref="AA613:AA635" si="39">SUM(O613:Z613)</f>
        <v>27427</v>
      </c>
      <c r="AB613" s="35"/>
      <c r="AC613" s="183"/>
    </row>
    <row r="614" spans="1:29" x14ac:dyDescent="0.2">
      <c r="A614" s="1422"/>
      <c r="B614" s="2999"/>
      <c r="C614" s="2989"/>
      <c r="D614" s="2989"/>
      <c r="E614" s="2989"/>
      <c r="F614" s="2989"/>
      <c r="G614" s="2989"/>
      <c r="H614" s="2989"/>
      <c r="I614" s="2989"/>
      <c r="J614" s="2989"/>
      <c r="K614" s="2989"/>
      <c r="L614" s="2989"/>
      <c r="M614" s="3271" t="s">
        <v>34</v>
      </c>
      <c r="N614" s="3272"/>
      <c r="O614" s="46">
        <v>44552.083333333321</v>
      </c>
      <c r="P614" s="46">
        <v>17588.99242424242</v>
      </c>
      <c r="Q614" s="46">
        <v>17915.192424242421</v>
      </c>
      <c r="R614" s="46">
        <v>18654.992424242424</v>
      </c>
      <c r="S614" s="46">
        <v>18933.859090909089</v>
      </c>
      <c r="T614" s="46">
        <v>17620.325757575756</v>
      </c>
      <c r="U614" s="46">
        <v>32048.359090909096</v>
      </c>
      <c r="V614" s="46">
        <v>18322.325757575756</v>
      </c>
      <c r="W614" s="46">
        <v>17977.859090909089</v>
      </c>
      <c r="X614" s="46">
        <v>18098.325757575756</v>
      </c>
      <c r="Y614" s="46">
        <v>17977.859090909089</v>
      </c>
      <c r="Z614" s="46">
        <v>31212.82575757576</v>
      </c>
      <c r="AA614" s="1196">
        <f t="shared" si="39"/>
        <v>270903</v>
      </c>
      <c r="AB614" s="35"/>
      <c r="AC614" s="183"/>
    </row>
    <row r="615" spans="1:29" ht="11.25" customHeight="1" x14ac:dyDescent="0.2">
      <c r="A615" s="1422"/>
      <c r="B615" s="2522">
        <v>5000035</v>
      </c>
      <c r="C615" s="3330" t="s">
        <v>3234</v>
      </c>
      <c r="D615" s="3268">
        <v>20</v>
      </c>
      <c r="E615" s="3268" t="s">
        <v>407</v>
      </c>
      <c r="F615" s="3268" t="s">
        <v>386</v>
      </c>
      <c r="G615" s="3268" t="s">
        <v>387</v>
      </c>
      <c r="H615" s="3268" t="s">
        <v>436</v>
      </c>
      <c r="I615" s="3268" t="s">
        <v>414</v>
      </c>
      <c r="J615" s="3268">
        <v>27427</v>
      </c>
      <c r="K615" s="40">
        <v>26023</v>
      </c>
      <c r="L615" s="3294" t="s">
        <v>377</v>
      </c>
      <c r="M615" s="3287" t="s">
        <v>440</v>
      </c>
      <c r="N615" s="3288"/>
      <c r="O615" s="40">
        <v>2168.5833333333335</v>
      </c>
      <c r="P615" s="40">
        <v>2168.5833333333335</v>
      </c>
      <c r="Q615" s="40">
        <v>2168.5833333333335</v>
      </c>
      <c r="R615" s="40">
        <v>2168.5833333333335</v>
      </c>
      <c r="S615" s="40">
        <v>2168.5833333333335</v>
      </c>
      <c r="T615" s="38">
        <v>2168.5833333333335</v>
      </c>
      <c r="U615" s="38">
        <v>2168.5833333333335</v>
      </c>
      <c r="V615" s="38">
        <v>2168.5833333333335</v>
      </c>
      <c r="W615" s="38">
        <v>2168.5833333333335</v>
      </c>
      <c r="X615" s="38">
        <v>2168.5833333333335</v>
      </c>
      <c r="Y615" s="38">
        <v>2168.5833333333335</v>
      </c>
      <c r="Z615" s="38">
        <v>2168.5833333333335</v>
      </c>
      <c r="AA615" s="966">
        <f t="shared" si="39"/>
        <v>26022.999999999996</v>
      </c>
      <c r="AB615" s="35"/>
      <c r="AC615" s="183"/>
    </row>
    <row r="616" spans="1:29" x14ac:dyDescent="0.2">
      <c r="A616" s="1422"/>
      <c r="B616" s="2522"/>
      <c r="C616" s="3331"/>
      <c r="D616" s="3269"/>
      <c r="E616" s="3269"/>
      <c r="F616" s="3269"/>
      <c r="G616" s="3269"/>
      <c r="H616" s="3269"/>
      <c r="I616" s="3269"/>
      <c r="J616" s="3269"/>
      <c r="K616" s="40">
        <v>956</v>
      </c>
      <c r="L616" s="3295"/>
      <c r="M616" s="3287" t="s">
        <v>321</v>
      </c>
      <c r="N616" s="3288"/>
      <c r="O616" s="40">
        <v>79.666666666666671</v>
      </c>
      <c r="P616" s="40">
        <v>79.666666666666671</v>
      </c>
      <c r="Q616" s="40">
        <v>79.666666666666671</v>
      </c>
      <c r="R616" s="40">
        <v>79.666666666666671</v>
      </c>
      <c r="S616" s="40">
        <v>79.666666666666671</v>
      </c>
      <c r="T616" s="38">
        <v>79.666666666666671</v>
      </c>
      <c r="U616" s="38">
        <v>79.666666666666671</v>
      </c>
      <c r="V616" s="38">
        <v>79.666666666666671</v>
      </c>
      <c r="W616" s="38">
        <v>79.666666666666671</v>
      </c>
      <c r="X616" s="38">
        <v>79.666666666666671</v>
      </c>
      <c r="Y616" s="38">
        <v>79.666666666666671</v>
      </c>
      <c r="Z616" s="38">
        <v>79.666666666666671</v>
      </c>
      <c r="AA616" s="966">
        <f t="shared" si="39"/>
        <v>955.99999999999989</v>
      </c>
      <c r="AB616" s="35"/>
      <c r="AC616" s="183"/>
    </row>
    <row r="617" spans="1:29" x14ac:dyDescent="0.2">
      <c r="A617" s="1422"/>
      <c r="B617" s="2522"/>
      <c r="C617" s="3331"/>
      <c r="D617" s="3269"/>
      <c r="E617" s="3269"/>
      <c r="F617" s="3269"/>
      <c r="G617" s="3269"/>
      <c r="H617" s="3269"/>
      <c r="I617" s="3269"/>
      <c r="J617" s="3269"/>
      <c r="K617" s="40">
        <v>24550</v>
      </c>
      <c r="L617" s="3295"/>
      <c r="M617" s="3287" t="s">
        <v>295</v>
      </c>
      <c r="N617" s="3288"/>
      <c r="O617" s="40">
        <v>2045.8333333333333</v>
      </c>
      <c r="P617" s="40">
        <v>2045.8333333333333</v>
      </c>
      <c r="Q617" s="40">
        <v>2045.8333333333333</v>
      </c>
      <c r="R617" s="40">
        <v>2045.8333333333333</v>
      </c>
      <c r="S617" s="40">
        <v>2045.8333333333333</v>
      </c>
      <c r="T617" s="38">
        <v>2045.8333333333333</v>
      </c>
      <c r="U617" s="38">
        <v>2045.8333333333333</v>
      </c>
      <c r="V617" s="38">
        <v>2045.8333333333333</v>
      </c>
      <c r="W617" s="38">
        <v>2045.8333333333333</v>
      </c>
      <c r="X617" s="38">
        <v>2045.8333333333333</v>
      </c>
      <c r="Y617" s="38">
        <v>2045.8333333333333</v>
      </c>
      <c r="Z617" s="38">
        <v>2045.8333333333333</v>
      </c>
      <c r="AA617" s="966">
        <f t="shared" si="39"/>
        <v>24549.999999999996</v>
      </c>
      <c r="AB617" s="35"/>
      <c r="AC617" s="183"/>
    </row>
    <row r="618" spans="1:29" x14ac:dyDescent="0.2">
      <c r="A618" s="1422"/>
      <c r="B618" s="2522"/>
      <c r="C618" s="3331"/>
      <c r="D618" s="3269"/>
      <c r="E618" s="3269"/>
      <c r="F618" s="3269"/>
      <c r="G618" s="3269"/>
      <c r="H618" s="3269"/>
      <c r="I618" s="3269"/>
      <c r="J618" s="3269"/>
      <c r="K618" s="40">
        <v>956</v>
      </c>
      <c r="L618" s="3295"/>
      <c r="M618" s="3287" t="s">
        <v>332</v>
      </c>
      <c r="N618" s="3288"/>
      <c r="O618" s="40">
        <v>79.666666666666671</v>
      </c>
      <c r="P618" s="40">
        <v>79.666666666666671</v>
      </c>
      <c r="Q618" s="40">
        <v>79.666666666666671</v>
      </c>
      <c r="R618" s="40">
        <v>79.666666666666671</v>
      </c>
      <c r="S618" s="40">
        <v>79.666666666666671</v>
      </c>
      <c r="T618" s="38">
        <v>79.666666666666671</v>
      </c>
      <c r="U618" s="38">
        <v>79.666666666666671</v>
      </c>
      <c r="V618" s="38">
        <v>79.666666666666671</v>
      </c>
      <c r="W618" s="38">
        <v>79.666666666666671</v>
      </c>
      <c r="X618" s="38">
        <v>79.666666666666671</v>
      </c>
      <c r="Y618" s="38">
        <v>79.666666666666671</v>
      </c>
      <c r="Z618" s="38">
        <v>79.666666666666671</v>
      </c>
      <c r="AA618" s="966">
        <f t="shared" si="39"/>
        <v>955.99999999999989</v>
      </c>
      <c r="AB618" s="35"/>
      <c r="AC618" s="183"/>
    </row>
    <row r="619" spans="1:29" x14ac:dyDescent="0.2">
      <c r="A619" s="1422"/>
      <c r="B619" s="2522"/>
      <c r="C619" s="3331"/>
      <c r="D619" s="3269"/>
      <c r="E619" s="3269"/>
      <c r="F619" s="3269"/>
      <c r="G619" s="3269"/>
      <c r="H619" s="3269"/>
      <c r="I619" s="3269"/>
      <c r="J619" s="3269"/>
      <c r="K619" s="40">
        <v>27185</v>
      </c>
      <c r="L619" s="3295"/>
      <c r="M619" s="3287" t="s">
        <v>296</v>
      </c>
      <c r="N619" s="3288"/>
      <c r="O619" s="40">
        <v>2265.4166666666665</v>
      </c>
      <c r="P619" s="40">
        <v>2265.4166666666665</v>
      </c>
      <c r="Q619" s="40">
        <v>2265.4166666666665</v>
      </c>
      <c r="R619" s="40">
        <v>2265.4166666666665</v>
      </c>
      <c r="S619" s="40">
        <v>2265.4166666666665</v>
      </c>
      <c r="T619" s="38">
        <v>2265.4166666666665</v>
      </c>
      <c r="U619" s="38">
        <v>2265.4166666666665</v>
      </c>
      <c r="V619" s="38">
        <v>2265.4166666666665</v>
      </c>
      <c r="W619" s="38">
        <v>2265.4166666666665</v>
      </c>
      <c r="X619" s="38">
        <v>2265.4166666666665</v>
      </c>
      <c r="Y619" s="38">
        <v>2265.4166666666665</v>
      </c>
      <c r="Z619" s="38">
        <v>2265.4166666666665</v>
      </c>
      <c r="AA619" s="966">
        <f t="shared" si="39"/>
        <v>27185.000000000004</v>
      </c>
      <c r="AB619" s="35"/>
      <c r="AC619" s="183"/>
    </row>
    <row r="620" spans="1:29" x14ac:dyDescent="0.2">
      <c r="A620" s="1422"/>
      <c r="B620" s="2522"/>
      <c r="C620" s="3331"/>
      <c r="D620" s="3269"/>
      <c r="E620" s="3269"/>
      <c r="F620" s="3269"/>
      <c r="G620" s="3269"/>
      <c r="H620" s="3269"/>
      <c r="I620" s="3269"/>
      <c r="J620" s="3269"/>
      <c r="K620" s="40">
        <v>26094</v>
      </c>
      <c r="L620" s="3295"/>
      <c r="M620" s="3287" t="s">
        <v>297</v>
      </c>
      <c r="N620" s="3288"/>
      <c r="O620" s="40">
        <v>2174.5</v>
      </c>
      <c r="P620" s="40">
        <v>2174.5</v>
      </c>
      <c r="Q620" s="40">
        <v>2174.5</v>
      </c>
      <c r="R620" s="40">
        <v>2174.5</v>
      </c>
      <c r="S620" s="40">
        <v>2174.5</v>
      </c>
      <c r="T620" s="38">
        <v>2174.5</v>
      </c>
      <c r="U620" s="38">
        <v>2174.5</v>
      </c>
      <c r="V620" s="38">
        <v>2174.5</v>
      </c>
      <c r="W620" s="38">
        <v>2174.5</v>
      </c>
      <c r="X620" s="38">
        <v>2174.5</v>
      </c>
      <c r="Y620" s="38">
        <v>2174.5</v>
      </c>
      <c r="Z620" s="38">
        <v>2174.5</v>
      </c>
      <c r="AA620" s="966">
        <f t="shared" si="39"/>
        <v>26094</v>
      </c>
      <c r="AB620" s="35"/>
      <c r="AC620" s="183"/>
    </row>
    <row r="621" spans="1:29" x14ac:dyDescent="0.2">
      <c r="A621" s="1422"/>
      <c r="B621" s="2522"/>
      <c r="C621" s="3331"/>
      <c r="D621" s="3269"/>
      <c r="E621" s="3269"/>
      <c r="F621" s="3269"/>
      <c r="G621" s="3269"/>
      <c r="H621" s="3269"/>
      <c r="I621" s="3269"/>
      <c r="J621" s="3269"/>
      <c r="K621" s="40">
        <v>27185</v>
      </c>
      <c r="L621" s="3295"/>
      <c r="M621" s="3287" t="s">
        <v>298</v>
      </c>
      <c r="N621" s="3288"/>
      <c r="O621" s="40"/>
      <c r="P621" s="40"/>
      <c r="Q621" s="40"/>
      <c r="R621" s="40"/>
      <c r="S621" s="40"/>
      <c r="T621" s="38"/>
      <c r="U621" s="38">
        <v>13592.5</v>
      </c>
      <c r="V621" s="38"/>
      <c r="W621" s="38"/>
      <c r="X621" s="38"/>
      <c r="Y621" s="38"/>
      <c r="Z621" s="38">
        <v>13592.5</v>
      </c>
      <c r="AA621" s="966">
        <f t="shared" si="39"/>
        <v>27185</v>
      </c>
      <c r="AB621" s="35"/>
      <c r="AC621" s="183"/>
    </row>
    <row r="622" spans="1:29" x14ac:dyDescent="0.2">
      <c r="A622" s="1422"/>
      <c r="B622" s="2522"/>
      <c r="C622" s="3331"/>
      <c r="D622" s="3269"/>
      <c r="E622" s="3269"/>
      <c r="F622" s="3269"/>
      <c r="G622" s="3269"/>
      <c r="H622" s="3269"/>
      <c r="I622" s="3269"/>
      <c r="J622" s="3269"/>
      <c r="K622" s="40">
        <v>27185</v>
      </c>
      <c r="L622" s="3295"/>
      <c r="M622" s="3287" t="s">
        <v>299</v>
      </c>
      <c r="N622" s="3288"/>
      <c r="O622" s="40">
        <v>27185</v>
      </c>
      <c r="P622" s="40"/>
      <c r="Q622" s="40"/>
      <c r="R622" s="40"/>
      <c r="S622" s="40"/>
      <c r="T622" s="38"/>
      <c r="U622" s="38"/>
      <c r="V622" s="38"/>
      <c r="W622" s="38"/>
      <c r="X622" s="38"/>
      <c r="Y622" s="38"/>
      <c r="Z622" s="38"/>
      <c r="AA622" s="966">
        <f t="shared" si="39"/>
        <v>27185</v>
      </c>
      <c r="AB622" s="35"/>
      <c r="AC622" s="183"/>
    </row>
    <row r="623" spans="1:29" x14ac:dyDescent="0.2">
      <c r="A623" s="1422"/>
      <c r="B623" s="2522"/>
      <c r="C623" s="3331"/>
      <c r="D623" s="3269"/>
      <c r="E623" s="3269"/>
      <c r="F623" s="3269"/>
      <c r="G623" s="3269"/>
      <c r="H623" s="3269"/>
      <c r="I623" s="3269"/>
      <c r="J623" s="3269"/>
      <c r="K623" s="40">
        <v>27185</v>
      </c>
      <c r="L623" s="3295"/>
      <c r="M623" s="3287" t="s">
        <v>300</v>
      </c>
      <c r="N623" s="3288"/>
      <c r="O623" s="40">
        <v>2265.4166666666665</v>
      </c>
      <c r="P623" s="40">
        <v>2265.4166666666665</v>
      </c>
      <c r="Q623" s="40">
        <v>2265.4166666666665</v>
      </c>
      <c r="R623" s="40">
        <v>2265.4166666666665</v>
      </c>
      <c r="S623" s="40">
        <v>2265.4166666666665</v>
      </c>
      <c r="T623" s="38">
        <v>2265.4166666666665</v>
      </c>
      <c r="U623" s="38">
        <v>2265.4166666666665</v>
      </c>
      <c r="V623" s="38">
        <v>2265.4166666666665</v>
      </c>
      <c r="W623" s="38">
        <v>2265.4166666666665</v>
      </c>
      <c r="X623" s="38">
        <v>2265.4166666666665</v>
      </c>
      <c r="Y623" s="38">
        <v>2265.4166666666665</v>
      </c>
      <c r="Z623" s="38">
        <v>2265.4166666666665</v>
      </c>
      <c r="AA623" s="966">
        <f t="shared" si="39"/>
        <v>27185.000000000004</v>
      </c>
      <c r="AB623" s="35"/>
      <c r="AC623" s="183"/>
    </row>
    <row r="624" spans="1:29" x14ac:dyDescent="0.2">
      <c r="A624" s="1422"/>
      <c r="B624" s="2522"/>
      <c r="C624" s="3331"/>
      <c r="D624" s="3269"/>
      <c r="E624" s="3269"/>
      <c r="F624" s="3269"/>
      <c r="G624" s="3269"/>
      <c r="H624" s="3269"/>
      <c r="I624" s="3269"/>
      <c r="J624" s="3269"/>
      <c r="K624" s="40">
        <v>23324</v>
      </c>
      <c r="L624" s="3295"/>
      <c r="M624" s="3287" t="s">
        <v>301</v>
      </c>
      <c r="N624" s="3288"/>
      <c r="O624" s="40">
        <v>1943.6666666666667</v>
      </c>
      <c r="P624" s="40">
        <v>1943.6666666666667</v>
      </c>
      <c r="Q624" s="40">
        <v>1943.6666666666667</v>
      </c>
      <c r="R624" s="40">
        <v>1943.6666666666667</v>
      </c>
      <c r="S624" s="40">
        <v>1943.6666666666667</v>
      </c>
      <c r="T624" s="38">
        <v>1943.6666666666667</v>
      </c>
      <c r="U624" s="38">
        <v>1943.6666666666667</v>
      </c>
      <c r="V624" s="38">
        <v>1943.6666666666667</v>
      </c>
      <c r="W624" s="38">
        <v>1943.6666666666667</v>
      </c>
      <c r="X624" s="38">
        <v>1943.6666666666667</v>
      </c>
      <c r="Y624" s="38">
        <v>1943.6666666666667</v>
      </c>
      <c r="Z624" s="38">
        <v>1943.6666666666667</v>
      </c>
      <c r="AA624" s="966">
        <f t="shared" si="39"/>
        <v>23324.000000000004</v>
      </c>
      <c r="AB624" s="35"/>
      <c r="AC624" s="183"/>
    </row>
    <row r="625" spans="1:29" x14ac:dyDescent="0.2">
      <c r="A625" s="1422"/>
      <c r="B625" s="2522"/>
      <c r="C625" s="3331"/>
      <c r="D625" s="3269"/>
      <c r="E625" s="3269"/>
      <c r="F625" s="3269"/>
      <c r="G625" s="3269"/>
      <c r="H625" s="3269"/>
      <c r="I625" s="3269"/>
      <c r="J625" s="3269"/>
      <c r="K625" s="40">
        <v>135</v>
      </c>
      <c r="L625" s="3295"/>
      <c r="M625" s="3287" t="s">
        <v>303</v>
      </c>
      <c r="N625" s="3288"/>
      <c r="O625" s="40"/>
      <c r="P625" s="40"/>
      <c r="Q625" s="40">
        <v>135</v>
      </c>
      <c r="R625" s="40"/>
      <c r="S625" s="40"/>
      <c r="T625" s="38"/>
      <c r="U625" s="38"/>
      <c r="V625" s="38"/>
      <c r="W625" s="38"/>
      <c r="X625" s="38"/>
      <c r="Y625" s="38"/>
      <c r="Z625" s="38"/>
      <c r="AA625" s="966">
        <f t="shared" si="39"/>
        <v>135</v>
      </c>
      <c r="AB625" s="35"/>
      <c r="AC625" s="183"/>
    </row>
    <row r="626" spans="1:29" x14ac:dyDescent="0.2">
      <c r="A626" s="1422"/>
      <c r="B626" s="2522"/>
      <c r="C626" s="3331"/>
      <c r="D626" s="3269"/>
      <c r="E626" s="3269"/>
      <c r="F626" s="3269"/>
      <c r="G626" s="3269"/>
      <c r="H626" s="3269"/>
      <c r="I626" s="3269"/>
      <c r="J626" s="3269"/>
      <c r="K626" s="40">
        <v>135</v>
      </c>
      <c r="L626" s="3295"/>
      <c r="M626" s="3287" t="s">
        <v>324</v>
      </c>
      <c r="N626" s="3288"/>
      <c r="O626" s="40"/>
      <c r="P626" s="40">
        <v>135</v>
      </c>
      <c r="Q626" s="40"/>
      <c r="R626" s="40"/>
      <c r="S626" s="40"/>
      <c r="T626" s="38"/>
      <c r="U626" s="38"/>
      <c r="V626" s="38"/>
      <c r="W626" s="38"/>
      <c r="X626" s="38"/>
      <c r="Y626" s="38"/>
      <c r="Z626" s="38"/>
      <c r="AA626" s="966">
        <f t="shared" si="39"/>
        <v>135</v>
      </c>
      <c r="AB626" s="35"/>
      <c r="AC626" s="183"/>
    </row>
    <row r="627" spans="1:29" x14ac:dyDescent="0.2">
      <c r="A627" s="1422"/>
      <c r="B627" s="2522"/>
      <c r="C627" s="3331"/>
      <c r="D627" s="3269"/>
      <c r="E627" s="3269"/>
      <c r="F627" s="3269"/>
      <c r="G627" s="3269"/>
      <c r="H627" s="3269"/>
      <c r="I627" s="3269"/>
      <c r="J627" s="3269"/>
      <c r="K627" s="40">
        <v>1404</v>
      </c>
      <c r="L627" s="3295"/>
      <c r="M627" s="3287" t="s">
        <v>393</v>
      </c>
      <c r="N627" s="3288"/>
      <c r="O627" s="40"/>
      <c r="P627" s="40"/>
      <c r="Q627" s="40"/>
      <c r="R627" s="40">
        <v>702</v>
      </c>
      <c r="S627" s="40"/>
      <c r="T627" s="38"/>
      <c r="U627" s="38"/>
      <c r="V627" s="38">
        <v>702</v>
      </c>
      <c r="W627" s="38"/>
      <c r="X627" s="38"/>
      <c r="Y627" s="38"/>
      <c r="Z627" s="38"/>
      <c r="AA627" s="966">
        <f t="shared" si="39"/>
        <v>1404</v>
      </c>
      <c r="AB627" s="35"/>
      <c r="AC627" s="183"/>
    </row>
    <row r="628" spans="1:29" x14ac:dyDescent="0.2">
      <c r="A628" s="1422"/>
      <c r="B628" s="2522"/>
      <c r="C628" s="3331"/>
      <c r="D628" s="3269"/>
      <c r="E628" s="3269"/>
      <c r="F628" s="3269"/>
      <c r="G628" s="3269"/>
      <c r="H628" s="3269"/>
      <c r="I628" s="3269"/>
      <c r="J628" s="3269"/>
      <c r="K628" s="40">
        <v>2495</v>
      </c>
      <c r="L628" s="3295"/>
      <c r="M628" s="3287" t="s">
        <v>343</v>
      </c>
      <c r="N628" s="3288"/>
      <c r="O628" s="40"/>
      <c r="P628" s="40"/>
      <c r="Q628" s="40"/>
      <c r="R628" s="40">
        <v>499</v>
      </c>
      <c r="S628" s="40">
        <v>332.66666666666669</v>
      </c>
      <c r="T628" s="38">
        <v>166.33333333333334</v>
      </c>
      <c r="U628" s="38">
        <v>332.66666666666669</v>
      </c>
      <c r="V628" s="38">
        <v>166.33333333333334</v>
      </c>
      <c r="W628" s="38">
        <v>332.66666666666669</v>
      </c>
      <c r="X628" s="38">
        <v>166.33333333333334</v>
      </c>
      <c r="Y628" s="38">
        <v>332.66666666666669</v>
      </c>
      <c r="Z628" s="38">
        <v>166.33333333333334</v>
      </c>
      <c r="AA628" s="966">
        <f t="shared" si="39"/>
        <v>2495</v>
      </c>
      <c r="AB628" s="35"/>
      <c r="AC628" s="183"/>
    </row>
    <row r="629" spans="1:29" x14ac:dyDescent="0.2">
      <c r="A629" s="1422"/>
      <c r="B629" s="2522"/>
      <c r="C629" s="3331"/>
      <c r="D629" s="3269"/>
      <c r="E629" s="3269"/>
      <c r="F629" s="3269"/>
      <c r="G629" s="3269"/>
      <c r="H629" s="3269"/>
      <c r="I629" s="3269"/>
      <c r="J629" s="3269"/>
      <c r="K629" s="40">
        <v>956</v>
      </c>
      <c r="L629" s="3295"/>
      <c r="M629" s="3287" t="s">
        <v>305</v>
      </c>
      <c r="N629" s="3288"/>
      <c r="O629" s="40"/>
      <c r="P629" s="40"/>
      <c r="Q629" s="40"/>
      <c r="R629" s="40"/>
      <c r="S629" s="40">
        <v>478</v>
      </c>
      <c r="T629" s="38"/>
      <c r="U629" s="38">
        <v>239</v>
      </c>
      <c r="V629" s="38"/>
      <c r="W629" s="38"/>
      <c r="X629" s="38">
        <v>239</v>
      </c>
      <c r="Y629" s="38"/>
      <c r="Z629" s="38"/>
      <c r="AA629" s="966">
        <f t="shared" si="39"/>
        <v>956</v>
      </c>
      <c r="AB629" s="35"/>
      <c r="AC629" s="183"/>
    </row>
    <row r="630" spans="1:29" x14ac:dyDescent="0.2">
      <c r="A630" s="1422"/>
      <c r="B630" s="2522"/>
      <c r="C630" s="3331"/>
      <c r="D630" s="3269"/>
      <c r="E630" s="3269"/>
      <c r="F630" s="3269"/>
      <c r="G630" s="3269"/>
      <c r="H630" s="3269"/>
      <c r="I630" s="3269"/>
      <c r="J630" s="3269"/>
      <c r="K630" s="40">
        <v>956</v>
      </c>
      <c r="L630" s="3295"/>
      <c r="M630" s="3287" t="s">
        <v>306</v>
      </c>
      <c r="N630" s="3288"/>
      <c r="O630" s="40"/>
      <c r="P630" s="40"/>
      <c r="Q630" s="40"/>
      <c r="R630" s="40"/>
      <c r="S630" s="40">
        <v>478</v>
      </c>
      <c r="T630" s="38"/>
      <c r="U630" s="38">
        <v>239</v>
      </c>
      <c r="V630" s="38"/>
      <c r="W630" s="38"/>
      <c r="X630" s="38">
        <v>239</v>
      </c>
      <c r="Y630" s="38"/>
      <c r="Z630" s="38"/>
      <c r="AA630" s="966">
        <f t="shared" si="39"/>
        <v>956</v>
      </c>
      <c r="AB630" s="35"/>
      <c r="AC630" s="183"/>
    </row>
    <row r="631" spans="1:29" x14ac:dyDescent="0.2">
      <c r="A631" s="1422"/>
      <c r="B631" s="2522"/>
      <c r="C631" s="3331"/>
      <c r="D631" s="3269"/>
      <c r="E631" s="3269"/>
      <c r="F631" s="3269"/>
      <c r="G631" s="3269"/>
      <c r="H631" s="3269"/>
      <c r="I631" s="3269"/>
      <c r="J631" s="3269"/>
      <c r="K631" s="40">
        <v>956</v>
      </c>
      <c r="L631" s="3295"/>
      <c r="M631" s="3287" t="s">
        <v>307</v>
      </c>
      <c r="N631" s="3288"/>
      <c r="O631" s="40"/>
      <c r="P631" s="40">
        <v>86.909090909090907</v>
      </c>
      <c r="Q631" s="40">
        <v>86.909090909090907</v>
      </c>
      <c r="R631" s="40">
        <v>86.909090909090907</v>
      </c>
      <c r="S631" s="40">
        <v>86.909090909090907</v>
      </c>
      <c r="T631" s="38">
        <v>86.909090909090907</v>
      </c>
      <c r="U631" s="38">
        <v>86.909090909090907</v>
      </c>
      <c r="V631" s="38">
        <v>86.909090909090907</v>
      </c>
      <c r="W631" s="38">
        <v>86.909090909090907</v>
      </c>
      <c r="X631" s="38">
        <v>86.909090909090907</v>
      </c>
      <c r="Y631" s="38">
        <v>86.909090909090907</v>
      </c>
      <c r="Z631" s="38">
        <v>86.909090909090907</v>
      </c>
      <c r="AA631" s="966">
        <f t="shared" si="39"/>
        <v>955.99999999999977</v>
      </c>
      <c r="AB631" s="35"/>
      <c r="AC631" s="183"/>
    </row>
    <row r="632" spans="1:29" x14ac:dyDescent="0.2">
      <c r="A632" s="1422"/>
      <c r="B632" s="2522"/>
      <c r="C632" s="3331"/>
      <c r="D632" s="3269"/>
      <c r="E632" s="3269"/>
      <c r="F632" s="3269"/>
      <c r="G632" s="3269"/>
      <c r="H632" s="3269"/>
      <c r="I632" s="3269"/>
      <c r="J632" s="3269"/>
      <c r="K632" s="40">
        <v>135</v>
      </c>
      <c r="L632" s="3295"/>
      <c r="M632" s="3287" t="s">
        <v>308</v>
      </c>
      <c r="N632" s="3288"/>
      <c r="O632" s="40"/>
      <c r="P632" s="40"/>
      <c r="Q632" s="40">
        <v>135</v>
      </c>
      <c r="R632" s="40"/>
      <c r="S632" s="40"/>
      <c r="T632" s="38"/>
      <c r="U632" s="38"/>
      <c r="V632" s="38"/>
      <c r="W632" s="38"/>
      <c r="X632" s="38"/>
      <c r="Y632" s="38"/>
      <c r="Z632" s="38"/>
      <c r="AA632" s="966">
        <f t="shared" si="39"/>
        <v>135</v>
      </c>
      <c r="AB632" s="35"/>
      <c r="AC632" s="183"/>
    </row>
    <row r="633" spans="1:29" x14ac:dyDescent="0.2">
      <c r="A633" s="1422"/>
      <c r="B633" s="2522"/>
      <c r="C633" s="3331"/>
      <c r="D633" s="3269"/>
      <c r="E633" s="3269"/>
      <c r="F633" s="3269"/>
      <c r="G633" s="3269"/>
      <c r="H633" s="3269"/>
      <c r="I633" s="3269"/>
      <c r="J633" s="3269"/>
      <c r="K633" s="40">
        <v>956</v>
      </c>
      <c r="L633" s="3295"/>
      <c r="M633" s="3287" t="s">
        <v>309</v>
      </c>
      <c r="N633" s="3288"/>
      <c r="O633" s="40"/>
      <c r="P633" s="40"/>
      <c r="Q633" s="40">
        <v>191.2</v>
      </c>
      <c r="R633" s="40"/>
      <c r="S633" s="40">
        <v>191.2</v>
      </c>
      <c r="T633" s="38"/>
      <c r="U633" s="38">
        <v>191.2</v>
      </c>
      <c r="V633" s="38"/>
      <c r="W633" s="38">
        <v>191.2</v>
      </c>
      <c r="X633" s="38"/>
      <c r="Y633" s="38">
        <v>191.2</v>
      </c>
      <c r="Z633" s="38"/>
      <c r="AA633" s="966">
        <f t="shared" si="39"/>
        <v>956</v>
      </c>
      <c r="AB633" s="35"/>
      <c r="AC633" s="183"/>
    </row>
    <row r="634" spans="1:29" x14ac:dyDescent="0.2">
      <c r="A634" s="1422"/>
      <c r="B634" s="2522"/>
      <c r="C634" s="3331"/>
      <c r="D634" s="3269"/>
      <c r="E634" s="3269"/>
      <c r="F634" s="3269"/>
      <c r="G634" s="3269"/>
      <c r="H634" s="3269"/>
      <c r="I634" s="3269"/>
      <c r="J634" s="3269"/>
      <c r="K634" s="40">
        <v>26066</v>
      </c>
      <c r="L634" s="3295"/>
      <c r="M634" s="3287" t="s">
        <v>310</v>
      </c>
      <c r="N634" s="3288"/>
      <c r="O634" s="40">
        <v>2172.1666666666665</v>
      </c>
      <c r="P634" s="40">
        <v>2172.1666666666665</v>
      </c>
      <c r="Q634" s="40">
        <v>2172.1666666666665</v>
      </c>
      <c r="R634" s="40">
        <v>2172.1666666666665</v>
      </c>
      <c r="S634" s="40">
        <v>2172.1666666666665</v>
      </c>
      <c r="T634" s="38">
        <v>2172.1666666666665</v>
      </c>
      <c r="U634" s="38">
        <v>2172.1666666666665</v>
      </c>
      <c r="V634" s="38">
        <v>2172.1666666666665</v>
      </c>
      <c r="W634" s="38">
        <v>2172.1666666666665</v>
      </c>
      <c r="X634" s="38">
        <v>2172.1666666666665</v>
      </c>
      <c r="Y634" s="38">
        <v>2172.1666666666665</v>
      </c>
      <c r="Z634" s="38">
        <v>2172.1666666666665</v>
      </c>
      <c r="AA634" s="966">
        <f t="shared" si="39"/>
        <v>26066.000000000004</v>
      </c>
      <c r="AB634" s="35"/>
      <c r="AC634" s="183"/>
    </row>
    <row r="635" spans="1:29" x14ac:dyDescent="0.2">
      <c r="A635" s="1422"/>
      <c r="B635" s="2522"/>
      <c r="C635" s="3332"/>
      <c r="D635" s="3270"/>
      <c r="E635" s="3270"/>
      <c r="F635" s="3270"/>
      <c r="G635" s="3270"/>
      <c r="H635" s="3270"/>
      <c r="I635" s="3270"/>
      <c r="J635" s="3270"/>
      <c r="K635" s="40">
        <v>26066</v>
      </c>
      <c r="L635" s="3296"/>
      <c r="M635" s="3287" t="s">
        <v>311</v>
      </c>
      <c r="N635" s="3288"/>
      <c r="O635" s="40">
        <v>2172.1666666666665</v>
      </c>
      <c r="P635" s="40">
        <v>2172.1666666666665</v>
      </c>
      <c r="Q635" s="40">
        <v>2172.1666666666665</v>
      </c>
      <c r="R635" s="40">
        <v>2172.1666666666665</v>
      </c>
      <c r="S635" s="40">
        <v>2172.1666666666665</v>
      </c>
      <c r="T635" s="38">
        <v>2172.1666666666665</v>
      </c>
      <c r="U635" s="38">
        <v>2172.1666666666665</v>
      </c>
      <c r="V635" s="38">
        <v>2172.1666666666665</v>
      </c>
      <c r="W635" s="38">
        <v>2172.1666666666665</v>
      </c>
      <c r="X635" s="38">
        <v>2172.1666666666665</v>
      </c>
      <c r="Y635" s="38">
        <v>2172.1666666666665</v>
      </c>
      <c r="Z635" s="38">
        <v>2172.1666666666665</v>
      </c>
      <c r="AA635" s="966">
        <f t="shared" si="39"/>
        <v>26066.000000000004</v>
      </c>
      <c r="AB635" s="35"/>
      <c r="AC635" s="183"/>
    </row>
    <row r="636" spans="1:29" x14ac:dyDescent="0.2">
      <c r="A636" s="1422"/>
      <c r="B636" s="1418"/>
      <c r="C636" s="99"/>
      <c r="D636" s="99"/>
      <c r="E636" s="99"/>
      <c r="F636" s="99"/>
      <c r="G636" s="99"/>
      <c r="H636" s="99"/>
      <c r="I636" s="99"/>
      <c r="J636" s="99"/>
      <c r="K636" s="186">
        <f>SUM(K615:K635)</f>
        <v>270903</v>
      </c>
      <c r="L636" s="188"/>
      <c r="M636" s="188"/>
      <c r="N636" s="188"/>
      <c r="O636" s="188"/>
      <c r="P636" s="188"/>
      <c r="Q636" s="188"/>
      <c r="R636" s="188"/>
      <c r="S636" s="188"/>
      <c r="T636" s="99"/>
      <c r="U636" s="99"/>
      <c r="V636" s="99"/>
      <c r="W636" s="99"/>
      <c r="X636" s="99"/>
      <c r="Y636" s="99"/>
      <c r="Z636" s="99"/>
      <c r="AA636" s="189"/>
      <c r="AB636" s="35"/>
      <c r="AC636" s="183"/>
    </row>
    <row r="637" spans="1:29" ht="18" customHeight="1" x14ac:dyDescent="0.2">
      <c r="A637" s="1422"/>
      <c r="B637" s="3247" t="s">
        <v>269</v>
      </c>
      <c r="C637" s="3334" t="s">
        <v>270</v>
      </c>
      <c r="D637" s="3334"/>
      <c r="E637" s="3334"/>
      <c r="F637" s="3334"/>
      <c r="G637" s="3334"/>
      <c r="H637" s="3334"/>
      <c r="I637" s="3334"/>
      <c r="J637" s="3334"/>
      <c r="K637" s="3334"/>
      <c r="L637" s="3334"/>
      <c r="M637" s="3334"/>
      <c r="N637" s="3334"/>
      <c r="O637" s="3334"/>
      <c r="P637" s="3334"/>
      <c r="Q637" s="3334"/>
      <c r="R637" s="3334"/>
      <c r="S637" s="3334"/>
      <c r="T637" s="3334"/>
      <c r="U637" s="3334"/>
      <c r="V637" s="3334"/>
      <c r="W637" s="3334"/>
      <c r="X637" s="3334"/>
      <c r="Y637" s="3334"/>
      <c r="Z637" s="3334"/>
      <c r="AA637" s="3334"/>
      <c r="AB637" s="35"/>
      <c r="AC637" s="183"/>
    </row>
    <row r="638" spans="1:29" ht="18" customHeight="1" x14ac:dyDescent="0.2">
      <c r="A638" s="1422"/>
      <c r="B638" s="3249"/>
      <c r="C638" s="3334" t="s">
        <v>271</v>
      </c>
      <c r="D638" s="3334"/>
      <c r="E638" s="3334"/>
      <c r="F638" s="3334"/>
      <c r="G638" s="3334"/>
      <c r="H638" s="3334"/>
      <c r="I638" s="3334"/>
      <c r="J638" s="3334"/>
      <c r="K638" s="3334"/>
      <c r="L638" s="3334"/>
      <c r="M638" s="3334"/>
      <c r="N638" s="3334"/>
      <c r="O638" s="3334"/>
      <c r="P638" s="3334"/>
      <c r="Q638" s="3334"/>
      <c r="R638" s="3334"/>
      <c r="S638" s="3334"/>
      <c r="T638" s="3334"/>
      <c r="U638" s="3334"/>
      <c r="V638" s="3334"/>
      <c r="W638" s="3334"/>
      <c r="X638" s="3334"/>
      <c r="Y638" s="3334"/>
      <c r="Z638" s="3334"/>
      <c r="AA638" s="3334"/>
      <c r="AB638" s="35"/>
      <c r="AC638" s="183"/>
    </row>
    <row r="639" spans="1:29" ht="33.75" customHeight="1" x14ac:dyDescent="0.2">
      <c r="A639" s="1422"/>
      <c r="B639" s="1906" t="s">
        <v>272</v>
      </c>
      <c r="C639" s="3241" t="s">
        <v>84</v>
      </c>
      <c r="D639" s="3242"/>
      <c r="E639" s="3242"/>
      <c r="F639" s="3242"/>
      <c r="G639" s="3242"/>
      <c r="H639" s="3242"/>
      <c r="I639" s="3242"/>
      <c r="J639" s="3242"/>
      <c r="K639" s="3242"/>
      <c r="L639" s="3242"/>
      <c r="M639" s="3242"/>
      <c r="N639" s="3242"/>
      <c r="O639" s="3242"/>
      <c r="P639" s="3243"/>
      <c r="Q639" s="2922" t="s">
        <v>15</v>
      </c>
      <c r="R639" s="2922"/>
      <c r="S639" s="2922"/>
      <c r="T639" s="2922"/>
      <c r="U639" s="2922" t="s">
        <v>16</v>
      </c>
      <c r="V639" s="2922"/>
      <c r="W639" s="3333" t="s">
        <v>15</v>
      </c>
      <c r="X639" s="3333"/>
      <c r="Y639" s="3333"/>
      <c r="Z639" s="3333"/>
      <c r="AA639" s="1044"/>
      <c r="AB639" s="35"/>
      <c r="AC639" s="183"/>
    </row>
    <row r="640" spans="1:29" ht="24" customHeight="1" x14ac:dyDescent="0.2">
      <c r="A640" s="1422"/>
      <c r="B640" s="1090" t="s">
        <v>13</v>
      </c>
      <c r="C640" s="3241" t="s">
        <v>520</v>
      </c>
      <c r="D640" s="3242"/>
      <c r="E640" s="3242"/>
      <c r="F640" s="3242"/>
      <c r="G640" s="3242"/>
      <c r="H640" s="3242"/>
      <c r="I640" s="3242"/>
      <c r="J640" s="3242"/>
      <c r="K640" s="3242"/>
      <c r="L640" s="3242"/>
      <c r="M640" s="3242"/>
      <c r="N640" s="3242"/>
      <c r="O640" s="3242"/>
      <c r="P640" s="3243"/>
      <c r="Q640" s="2922" t="s">
        <v>442</v>
      </c>
      <c r="R640" s="2922"/>
      <c r="S640" s="2922"/>
      <c r="T640" s="2922"/>
      <c r="U640" s="2943" t="s">
        <v>443</v>
      </c>
      <c r="V640" s="2943"/>
      <c r="W640" s="3333" t="s">
        <v>444</v>
      </c>
      <c r="X640" s="3333"/>
      <c r="Y640" s="3333"/>
      <c r="Z640" s="3333"/>
      <c r="AA640" s="1044"/>
      <c r="AB640" s="35"/>
      <c r="AC640" s="183"/>
    </row>
    <row r="641" spans="1:29" ht="22.5" x14ac:dyDescent="0.2">
      <c r="A641" s="1422"/>
      <c r="B641" s="1423" t="s">
        <v>276</v>
      </c>
      <c r="C641" s="107"/>
      <c r="D641" s="1080">
        <v>3000001</v>
      </c>
      <c r="E641" s="913" t="s">
        <v>277</v>
      </c>
      <c r="F641" s="913"/>
      <c r="G641" s="38"/>
      <c r="H641" s="38"/>
      <c r="I641" s="38"/>
      <c r="J641" s="38"/>
      <c r="K641" s="40"/>
      <c r="L641" s="40"/>
      <c r="M641" s="49"/>
      <c r="N641" s="49"/>
      <c r="O641" s="40"/>
      <c r="P641" s="40"/>
      <c r="Q641" s="40"/>
      <c r="R641" s="40"/>
      <c r="S641" s="40"/>
      <c r="T641" s="38"/>
      <c r="U641" s="38"/>
      <c r="V641" s="38"/>
      <c r="W641" s="38"/>
      <c r="X641" s="38"/>
      <c r="Y641" s="38"/>
      <c r="Z641" s="38"/>
      <c r="AA641" s="1044"/>
      <c r="AB641" s="35"/>
      <c r="AC641" s="183"/>
    </row>
    <row r="642" spans="1:29" x14ac:dyDescent="0.2">
      <c r="A642" s="1422"/>
      <c r="B642" s="1424"/>
      <c r="C642" s="107"/>
      <c r="D642" s="38"/>
      <c r="E642" s="38"/>
      <c r="F642" s="38"/>
      <c r="G642" s="38"/>
      <c r="H642" s="38"/>
      <c r="I642" s="38"/>
      <c r="J642" s="38"/>
      <c r="K642" s="40"/>
      <c r="L642" s="40"/>
      <c r="M642" s="49"/>
      <c r="N642" s="49"/>
      <c r="O642" s="40"/>
      <c r="P642" s="40"/>
      <c r="Q642" s="40"/>
      <c r="R642" s="40"/>
      <c r="S642" s="40"/>
      <c r="T642" s="38"/>
      <c r="U642" s="38"/>
      <c r="V642" s="38"/>
      <c r="W642" s="38"/>
      <c r="X642" s="38"/>
      <c r="Y642" s="38"/>
      <c r="Z642" s="38"/>
      <c r="AA642" s="1044"/>
      <c r="AB642" s="35"/>
      <c r="AC642" s="183"/>
    </row>
    <row r="643" spans="1:29" x14ac:dyDescent="0.2">
      <c r="A643" s="1422"/>
      <c r="B643" s="2999" t="s">
        <v>278</v>
      </c>
      <c r="C643" s="2988" t="s">
        <v>21</v>
      </c>
      <c r="D643" s="2847" t="s">
        <v>22</v>
      </c>
      <c r="E643" s="2847" t="s">
        <v>23</v>
      </c>
      <c r="F643" s="2847" t="s">
        <v>24</v>
      </c>
      <c r="G643" s="2847" t="s">
        <v>25</v>
      </c>
      <c r="H643" s="2847" t="s">
        <v>26</v>
      </c>
      <c r="I643" s="2847" t="s">
        <v>27</v>
      </c>
      <c r="J643" s="3206" t="s">
        <v>28</v>
      </c>
      <c r="K643" s="3301"/>
      <c r="L643" s="2988" t="s">
        <v>279</v>
      </c>
      <c r="M643" s="3273" t="s">
        <v>280</v>
      </c>
      <c r="N643" s="3274"/>
      <c r="O643" s="3206" t="s">
        <v>281</v>
      </c>
      <c r="P643" s="3301"/>
      <c r="Q643" s="3301"/>
      <c r="R643" s="3301"/>
      <c r="S643" s="3301"/>
      <c r="T643" s="3301"/>
      <c r="U643" s="3301"/>
      <c r="V643" s="3301"/>
      <c r="W643" s="3301"/>
      <c r="X643" s="3301"/>
      <c r="Y643" s="3301"/>
      <c r="Z643" s="3207"/>
      <c r="AA643" s="2988" t="s">
        <v>32</v>
      </c>
      <c r="AB643" s="35"/>
      <c r="AC643" s="183"/>
    </row>
    <row r="644" spans="1:29" x14ac:dyDescent="0.2">
      <c r="A644" s="1422"/>
      <c r="B644" s="2999"/>
      <c r="C644" s="3186"/>
      <c r="D644" s="2847"/>
      <c r="E644" s="2847"/>
      <c r="F644" s="2847"/>
      <c r="G644" s="2847"/>
      <c r="H644" s="2847"/>
      <c r="I644" s="2847"/>
      <c r="J644" s="2988" t="s">
        <v>33</v>
      </c>
      <c r="K644" s="2988" t="s">
        <v>282</v>
      </c>
      <c r="L644" s="3186"/>
      <c r="M644" s="3275"/>
      <c r="N644" s="3276"/>
      <c r="O644" s="1009" t="s">
        <v>283</v>
      </c>
      <c r="P644" s="1009" t="s">
        <v>284</v>
      </c>
      <c r="Q644" s="1009" t="s">
        <v>285</v>
      </c>
      <c r="R644" s="1009" t="s">
        <v>88</v>
      </c>
      <c r="S644" s="1009" t="s">
        <v>89</v>
      </c>
      <c r="T644" s="1009" t="s">
        <v>90</v>
      </c>
      <c r="U644" s="1009" t="s">
        <v>91</v>
      </c>
      <c r="V644" s="1009" t="s">
        <v>92</v>
      </c>
      <c r="W644" s="1009" t="s">
        <v>286</v>
      </c>
      <c r="X644" s="1009" t="s">
        <v>93</v>
      </c>
      <c r="Y644" s="1009" t="s">
        <v>94</v>
      </c>
      <c r="Z644" s="1009" t="s">
        <v>95</v>
      </c>
      <c r="AA644" s="2989"/>
      <c r="AB644" s="35"/>
      <c r="AC644" s="183"/>
    </row>
    <row r="645" spans="1:29" x14ac:dyDescent="0.2">
      <c r="A645" s="1422"/>
      <c r="B645" s="2999"/>
      <c r="C645" s="3186"/>
      <c r="D645" s="2847"/>
      <c r="E645" s="2847"/>
      <c r="F645" s="2847"/>
      <c r="G645" s="2847"/>
      <c r="H645" s="2847"/>
      <c r="I645" s="2847"/>
      <c r="J645" s="3186"/>
      <c r="K645" s="3186"/>
      <c r="L645" s="3186"/>
      <c r="M645" s="3271" t="s">
        <v>287</v>
      </c>
      <c r="N645" s="3272"/>
      <c r="O645" s="1095"/>
      <c r="P645" s="1095">
        <v>1</v>
      </c>
      <c r="Q645" s="1095">
        <v>2</v>
      </c>
      <c r="R645" s="1095">
        <v>2</v>
      </c>
      <c r="S645" s="1095">
        <v>1</v>
      </c>
      <c r="T645" s="1095">
        <v>1</v>
      </c>
      <c r="U645" s="1095"/>
      <c r="V645" s="1095"/>
      <c r="W645" s="1095"/>
      <c r="X645" s="1095"/>
      <c r="Y645" s="1095"/>
      <c r="Z645" s="1095"/>
      <c r="AA645" s="1196">
        <f>SUM(O645:Z645)</f>
        <v>7</v>
      </c>
      <c r="AB645" s="35"/>
      <c r="AC645" s="183"/>
    </row>
    <row r="646" spans="1:29" x14ac:dyDescent="0.2">
      <c r="A646" s="1422"/>
      <c r="B646" s="2999"/>
      <c r="C646" s="2989"/>
      <c r="D646" s="2847"/>
      <c r="E646" s="2847"/>
      <c r="F646" s="2847"/>
      <c r="G646" s="2847"/>
      <c r="H646" s="2847"/>
      <c r="I646" s="2847"/>
      <c r="J646" s="2989"/>
      <c r="K646" s="2989"/>
      <c r="L646" s="2989"/>
      <c r="M646" s="3271" t="s">
        <v>34</v>
      </c>
      <c r="N646" s="3272"/>
      <c r="O646" s="36">
        <v>25208.5</v>
      </c>
      <c r="P646" s="36">
        <v>22408.5</v>
      </c>
      <c r="Q646" s="36">
        <v>32643</v>
      </c>
      <c r="R646" s="36">
        <v>27283.5</v>
      </c>
      <c r="S646" s="36">
        <v>22408.5</v>
      </c>
      <c r="T646" s="36">
        <v>23658.5</v>
      </c>
      <c r="U646" s="36">
        <v>24508.5</v>
      </c>
      <c r="V646" s="36">
        <v>31168</v>
      </c>
      <c r="W646" s="36">
        <v>22408.5</v>
      </c>
      <c r="X646" s="36">
        <v>22408.5</v>
      </c>
      <c r="Y646" s="36">
        <v>22408.5</v>
      </c>
      <c r="Z646" s="36">
        <v>24508.5</v>
      </c>
      <c r="AA646" s="1196">
        <f t="shared" ref="AA646:AA659" si="40">SUM(O646:Z646)</f>
        <v>301021</v>
      </c>
      <c r="AB646" s="35"/>
      <c r="AC646" s="183"/>
    </row>
    <row r="647" spans="1:29" ht="11.25" customHeight="1" x14ac:dyDescent="0.2">
      <c r="A647" s="1422"/>
      <c r="B647" s="2522">
        <v>5004389</v>
      </c>
      <c r="C647" s="2431" t="s">
        <v>3047</v>
      </c>
      <c r="D647" s="2431">
        <v>21</v>
      </c>
      <c r="E647" s="2421" t="s">
        <v>407</v>
      </c>
      <c r="F647" s="2421" t="s">
        <v>313</v>
      </c>
      <c r="G647" s="2421" t="s">
        <v>314</v>
      </c>
      <c r="H647" s="2421" t="s">
        <v>445</v>
      </c>
      <c r="I647" s="2421" t="s">
        <v>316</v>
      </c>
      <c r="J647" s="2431">
        <v>7</v>
      </c>
      <c r="K647" s="40">
        <v>192864</v>
      </c>
      <c r="L647" s="3294" t="s">
        <v>446</v>
      </c>
      <c r="M647" s="3335" t="s">
        <v>293</v>
      </c>
      <c r="N647" s="3336"/>
      <c r="O647" s="37">
        <v>16072</v>
      </c>
      <c r="P647" s="37">
        <v>16072</v>
      </c>
      <c r="Q647" s="37">
        <v>16072</v>
      </c>
      <c r="R647" s="37">
        <v>16072</v>
      </c>
      <c r="S647" s="37">
        <v>16072</v>
      </c>
      <c r="T647" s="37">
        <v>16072</v>
      </c>
      <c r="U647" s="37">
        <v>16072</v>
      </c>
      <c r="V647" s="37">
        <v>16072</v>
      </c>
      <c r="W647" s="37">
        <v>16072</v>
      </c>
      <c r="X647" s="37">
        <v>16072</v>
      </c>
      <c r="Y647" s="37">
        <v>16072</v>
      </c>
      <c r="Z647" s="37">
        <v>16072</v>
      </c>
      <c r="AA647" s="966">
        <f t="shared" si="40"/>
        <v>192864</v>
      </c>
      <c r="AB647" s="35"/>
      <c r="AC647" s="183"/>
    </row>
    <row r="648" spans="1:29" x14ac:dyDescent="0.2">
      <c r="A648" s="1422"/>
      <c r="B648" s="2522"/>
      <c r="C648" s="2432"/>
      <c r="D648" s="2432"/>
      <c r="E648" s="2421"/>
      <c r="F648" s="2421"/>
      <c r="G648" s="2421"/>
      <c r="H648" s="2421"/>
      <c r="I648" s="2421"/>
      <c r="J648" s="2432"/>
      <c r="K648" s="40">
        <v>26868</v>
      </c>
      <c r="L648" s="3295"/>
      <c r="M648" s="3335" t="s">
        <v>321</v>
      </c>
      <c r="N648" s="3336"/>
      <c r="O648" s="37">
        <v>2239</v>
      </c>
      <c r="P648" s="37">
        <v>2239</v>
      </c>
      <c r="Q648" s="37">
        <v>2239</v>
      </c>
      <c r="R648" s="37">
        <v>2239</v>
      </c>
      <c r="S648" s="37">
        <v>2239</v>
      </c>
      <c r="T648" s="37">
        <v>2239</v>
      </c>
      <c r="U648" s="37">
        <v>2239</v>
      </c>
      <c r="V648" s="37">
        <v>2239</v>
      </c>
      <c r="W648" s="37">
        <v>2239</v>
      </c>
      <c r="X648" s="37">
        <v>2239</v>
      </c>
      <c r="Y648" s="37">
        <v>2239</v>
      </c>
      <c r="Z648" s="37">
        <v>2239</v>
      </c>
      <c r="AA648" s="966">
        <f t="shared" si="40"/>
        <v>26868</v>
      </c>
      <c r="AB648" s="35"/>
      <c r="AC648" s="183"/>
    </row>
    <row r="649" spans="1:29" x14ac:dyDescent="0.2">
      <c r="A649" s="1422"/>
      <c r="B649" s="2522"/>
      <c r="C649" s="2432"/>
      <c r="D649" s="2432"/>
      <c r="E649" s="2421"/>
      <c r="F649" s="2421"/>
      <c r="G649" s="2421"/>
      <c r="H649" s="2421"/>
      <c r="I649" s="2421"/>
      <c r="J649" s="2432"/>
      <c r="K649" s="40">
        <v>12364</v>
      </c>
      <c r="L649" s="3295"/>
      <c r="M649" s="3335" t="s">
        <v>296</v>
      </c>
      <c r="N649" s="3336"/>
      <c r="O649" s="37">
        <v>1030.3333333333333</v>
      </c>
      <c r="P649" s="37">
        <v>1030.3333333333333</v>
      </c>
      <c r="Q649" s="37">
        <v>1030.3333333333333</v>
      </c>
      <c r="R649" s="37">
        <v>1030.3333333333333</v>
      </c>
      <c r="S649" s="37">
        <v>1030.3333333333333</v>
      </c>
      <c r="T649" s="37">
        <v>1030.3333333333333</v>
      </c>
      <c r="U649" s="37">
        <v>1030.3333333333333</v>
      </c>
      <c r="V649" s="37">
        <v>1030.3333333333333</v>
      </c>
      <c r="W649" s="37">
        <v>1030.3333333333333</v>
      </c>
      <c r="X649" s="37">
        <v>1030.3333333333333</v>
      </c>
      <c r="Y649" s="37">
        <v>1030.3333333333333</v>
      </c>
      <c r="Z649" s="37">
        <v>1030.3333333333333</v>
      </c>
      <c r="AA649" s="966">
        <f t="shared" si="40"/>
        <v>12364.000000000002</v>
      </c>
      <c r="AB649" s="35"/>
      <c r="AC649" s="183"/>
    </row>
    <row r="650" spans="1:29" x14ac:dyDescent="0.2">
      <c r="A650" s="1422"/>
      <c r="B650" s="2522"/>
      <c r="C650" s="2432"/>
      <c r="D650" s="2432"/>
      <c r="E650" s="2421"/>
      <c r="F650" s="2421"/>
      <c r="G650" s="2421"/>
      <c r="H650" s="2421"/>
      <c r="I650" s="2421"/>
      <c r="J650" s="2432"/>
      <c r="K650" s="40">
        <v>4200</v>
      </c>
      <c r="L650" s="3295"/>
      <c r="M650" s="3335" t="s">
        <v>298</v>
      </c>
      <c r="N650" s="3336"/>
      <c r="O650" s="37"/>
      <c r="P650" s="37"/>
      <c r="Q650" s="37"/>
      <c r="R650" s="37"/>
      <c r="S650" s="37"/>
      <c r="T650" s="37"/>
      <c r="U650" s="37">
        <v>2100</v>
      </c>
      <c r="V650" s="37"/>
      <c r="W650" s="37"/>
      <c r="X650" s="37"/>
      <c r="Y650" s="37"/>
      <c r="Z650" s="37">
        <v>2100</v>
      </c>
      <c r="AA650" s="966">
        <f t="shared" si="40"/>
        <v>4200</v>
      </c>
      <c r="AB650" s="35"/>
      <c r="AC650" s="183"/>
    </row>
    <row r="651" spans="1:29" x14ac:dyDescent="0.2">
      <c r="A651" s="1422"/>
      <c r="B651" s="2522"/>
      <c r="C651" s="2432"/>
      <c r="D651" s="2432"/>
      <c r="E651" s="2421"/>
      <c r="F651" s="2421"/>
      <c r="G651" s="2421"/>
      <c r="H651" s="2421"/>
      <c r="I651" s="2421"/>
      <c r="J651" s="2432"/>
      <c r="K651" s="40">
        <v>2800</v>
      </c>
      <c r="L651" s="3295"/>
      <c r="M651" s="3335" t="s">
        <v>299</v>
      </c>
      <c r="N651" s="3336"/>
      <c r="O651" s="37">
        <v>2800</v>
      </c>
      <c r="P651" s="37"/>
      <c r="Q651" s="37"/>
      <c r="R651" s="37"/>
      <c r="S651" s="37"/>
      <c r="T651" s="37"/>
      <c r="U651" s="37"/>
      <c r="V651" s="37"/>
      <c r="W651" s="37"/>
      <c r="X651" s="37"/>
      <c r="Y651" s="37"/>
      <c r="Z651" s="37"/>
      <c r="AA651" s="966">
        <f t="shared" si="40"/>
        <v>2800</v>
      </c>
      <c r="AB651" s="35"/>
      <c r="AC651" s="183"/>
    </row>
    <row r="652" spans="1:29" x14ac:dyDescent="0.2">
      <c r="A652" s="1422"/>
      <c r="B652" s="2522"/>
      <c r="C652" s="2432"/>
      <c r="D652" s="2432"/>
      <c r="E652" s="2421"/>
      <c r="F652" s="2421"/>
      <c r="G652" s="2421"/>
      <c r="H652" s="2421"/>
      <c r="I652" s="2421"/>
      <c r="J652" s="2432"/>
      <c r="K652" s="40">
        <v>11765</v>
      </c>
      <c r="L652" s="3295"/>
      <c r="M652" s="3335" t="s">
        <v>300</v>
      </c>
      <c r="N652" s="3336"/>
      <c r="O652" s="37">
        <v>980.41666666666663</v>
      </c>
      <c r="P652" s="37">
        <v>980.41666666666663</v>
      </c>
      <c r="Q652" s="37">
        <v>980.41666666666663</v>
      </c>
      <c r="R652" s="37">
        <v>980.41666666666663</v>
      </c>
      <c r="S652" s="37">
        <v>980.41666666666663</v>
      </c>
      <c r="T652" s="37">
        <v>980.41666666666663</v>
      </c>
      <c r="U652" s="37">
        <v>980.41666666666663</v>
      </c>
      <c r="V652" s="37">
        <v>980.41666666666663</v>
      </c>
      <c r="W652" s="37">
        <v>980.41666666666663</v>
      </c>
      <c r="X652" s="37">
        <v>980.41666666666663</v>
      </c>
      <c r="Y652" s="37">
        <v>980.41666666666663</v>
      </c>
      <c r="Z652" s="37">
        <v>980.41666666666663</v>
      </c>
      <c r="AA652" s="966">
        <f t="shared" si="40"/>
        <v>11764.999999999998</v>
      </c>
      <c r="AB652" s="35"/>
      <c r="AC652" s="183"/>
    </row>
    <row r="653" spans="1:29" x14ac:dyDescent="0.2">
      <c r="A653" s="1422"/>
      <c r="B653" s="2522"/>
      <c r="C653" s="2432"/>
      <c r="D653" s="2432"/>
      <c r="E653" s="2421"/>
      <c r="F653" s="2421"/>
      <c r="G653" s="2421"/>
      <c r="H653" s="2421"/>
      <c r="I653" s="2421"/>
      <c r="J653" s="2432"/>
      <c r="K653" s="40">
        <v>640</v>
      </c>
      <c r="L653" s="3295"/>
      <c r="M653" s="3335" t="s">
        <v>301</v>
      </c>
      <c r="N653" s="3336"/>
      <c r="O653" s="37">
        <v>53.333333333333336</v>
      </c>
      <c r="P653" s="37">
        <v>53.333333333333336</v>
      </c>
      <c r="Q653" s="37">
        <v>53.333333333333336</v>
      </c>
      <c r="R653" s="37">
        <v>53.333333333333336</v>
      </c>
      <c r="S653" s="37">
        <v>53.333333333333336</v>
      </c>
      <c r="T653" s="37">
        <v>53.333333333333336</v>
      </c>
      <c r="U653" s="37">
        <v>53.333333333333336</v>
      </c>
      <c r="V653" s="37">
        <v>53.333333333333336</v>
      </c>
      <c r="W653" s="37">
        <v>53.333333333333336</v>
      </c>
      <c r="X653" s="37">
        <v>53.333333333333336</v>
      </c>
      <c r="Y653" s="37">
        <v>53.333333333333336</v>
      </c>
      <c r="Z653" s="37">
        <v>53.333333333333336</v>
      </c>
      <c r="AA653" s="966">
        <f t="shared" si="40"/>
        <v>640</v>
      </c>
      <c r="AB653" s="35"/>
      <c r="AC653" s="183"/>
    </row>
    <row r="654" spans="1:29" x14ac:dyDescent="0.2">
      <c r="A654" s="1422"/>
      <c r="B654" s="2522"/>
      <c r="C654" s="2432"/>
      <c r="D654" s="2432"/>
      <c r="E654" s="2421"/>
      <c r="F654" s="2421"/>
      <c r="G654" s="2421"/>
      <c r="H654" s="2421"/>
      <c r="I654" s="2421"/>
      <c r="J654" s="2432"/>
      <c r="K654" s="40">
        <v>6856</v>
      </c>
      <c r="L654" s="3295"/>
      <c r="M654" s="3335" t="s">
        <v>303</v>
      </c>
      <c r="N654" s="3336"/>
      <c r="O654" s="37"/>
      <c r="P654" s="37"/>
      <c r="Q654" s="37">
        <v>3428</v>
      </c>
      <c r="R654" s="37"/>
      <c r="S654" s="37"/>
      <c r="T654" s="37"/>
      <c r="U654" s="37"/>
      <c r="V654" s="37">
        <v>3428</v>
      </c>
      <c r="W654" s="37"/>
      <c r="X654" s="37"/>
      <c r="Y654" s="37"/>
      <c r="Z654" s="37"/>
      <c r="AA654" s="966">
        <f t="shared" si="40"/>
        <v>6856</v>
      </c>
      <c r="AB654" s="35"/>
      <c r="AC654" s="183"/>
    </row>
    <row r="655" spans="1:29" x14ac:dyDescent="0.2">
      <c r="A655" s="1422"/>
      <c r="B655" s="2522"/>
      <c r="C655" s="2432"/>
      <c r="D655" s="2432"/>
      <c r="E655" s="2421"/>
      <c r="F655" s="2421"/>
      <c r="G655" s="2421"/>
      <c r="H655" s="2421"/>
      <c r="I655" s="2421"/>
      <c r="J655" s="2432"/>
      <c r="K655" s="40">
        <v>8263</v>
      </c>
      <c r="L655" s="3295"/>
      <c r="M655" s="3335" t="s">
        <v>304</v>
      </c>
      <c r="N655" s="3336"/>
      <c r="O655" s="37"/>
      <c r="P655" s="37"/>
      <c r="Q655" s="37">
        <v>4131.5</v>
      </c>
      <c r="R655" s="37"/>
      <c r="S655" s="37"/>
      <c r="T655" s="37"/>
      <c r="U655" s="37"/>
      <c r="V655" s="37">
        <v>4131.5</v>
      </c>
      <c r="W655" s="37"/>
      <c r="X655" s="37"/>
      <c r="Y655" s="37"/>
      <c r="Z655" s="37"/>
      <c r="AA655" s="966">
        <f t="shared" si="40"/>
        <v>8263</v>
      </c>
      <c r="AB655" s="35"/>
      <c r="AC655" s="183"/>
    </row>
    <row r="656" spans="1:29" x14ac:dyDescent="0.2">
      <c r="A656" s="1422"/>
      <c r="B656" s="2522"/>
      <c r="C656" s="2432"/>
      <c r="D656" s="2432"/>
      <c r="E656" s="2421"/>
      <c r="F656" s="2421"/>
      <c r="G656" s="2421"/>
      <c r="H656" s="2421"/>
      <c r="I656" s="2421"/>
      <c r="J656" s="2432"/>
      <c r="K656" s="40">
        <v>5000</v>
      </c>
      <c r="L656" s="3295"/>
      <c r="M656" s="3335" t="s">
        <v>306</v>
      </c>
      <c r="N656" s="3336"/>
      <c r="O656" s="37"/>
      <c r="P656" s="37"/>
      <c r="Q656" s="37">
        <v>1250</v>
      </c>
      <c r="R656" s="37">
        <v>1300</v>
      </c>
      <c r="S656" s="37"/>
      <c r="T656" s="37">
        <v>1250</v>
      </c>
      <c r="U656" s="37"/>
      <c r="V656" s="37">
        <v>1200</v>
      </c>
      <c r="W656" s="37"/>
      <c r="X656" s="37"/>
      <c r="Y656" s="37"/>
      <c r="Z656" s="37"/>
      <c r="AA656" s="966">
        <f t="shared" si="40"/>
        <v>5000</v>
      </c>
      <c r="AB656" s="35"/>
      <c r="AC656" s="183"/>
    </row>
    <row r="657" spans="1:29" x14ac:dyDescent="0.2">
      <c r="A657" s="1422"/>
      <c r="B657" s="2522"/>
      <c r="C657" s="2432"/>
      <c r="D657" s="2432"/>
      <c r="E657" s="2421"/>
      <c r="F657" s="2421"/>
      <c r="G657" s="2421"/>
      <c r="H657" s="2421"/>
      <c r="I657" s="2421"/>
      <c r="J657" s="2432"/>
      <c r="K657" s="40">
        <v>5000</v>
      </c>
      <c r="L657" s="3295"/>
      <c r="M657" s="3335" t="s">
        <v>309</v>
      </c>
      <c r="N657" s="3336"/>
      <c r="O657" s="37"/>
      <c r="P657" s="37"/>
      <c r="Q657" s="37">
        <v>1425</v>
      </c>
      <c r="R657" s="37">
        <v>3575</v>
      </c>
      <c r="S657" s="37"/>
      <c r="T657" s="37"/>
      <c r="U657" s="37"/>
      <c r="V657" s="37"/>
      <c r="W657" s="37"/>
      <c r="X657" s="37"/>
      <c r="Y657" s="37"/>
      <c r="Z657" s="37"/>
      <c r="AA657" s="966">
        <f t="shared" si="40"/>
        <v>5000</v>
      </c>
      <c r="AB657" s="35"/>
      <c r="AC657" s="183"/>
    </row>
    <row r="658" spans="1:29" x14ac:dyDescent="0.2">
      <c r="A658" s="1422"/>
      <c r="B658" s="2522"/>
      <c r="C658" s="2432"/>
      <c r="D658" s="2432"/>
      <c r="E658" s="2421"/>
      <c r="F658" s="2421"/>
      <c r="G658" s="2421"/>
      <c r="H658" s="2421"/>
      <c r="I658" s="2421"/>
      <c r="J658" s="2432"/>
      <c r="K658" s="40">
        <v>23040</v>
      </c>
      <c r="L658" s="3295"/>
      <c r="M658" s="3335" t="s">
        <v>310</v>
      </c>
      <c r="N658" s="3336"/>
      <c r="O658" s="37">
        <v>1920</v>
      </c>
      <c r="P658" s="37">
        <v>1920</v>
      </c>
      <c r="Q658" s="37">
        <v>1920</v>
      </c>
      <c r="R658" s="37">
        <v>1920</v>
      </c>
      <c r="S658" s="37">
        <v>1920</v>
      </c>
      <c r="T658" s="37">
        <v>1920</v>
      </c>
      <c r="U658" s="37">
        <v>1920</v>
      </c>
      <c r="V658" s="37">
        <v>1920</v>
      </c>
      <c r="W658" s="37">
        <v>1920</v>
      </c>
      <c r="X658" s="37">
        <v>1920</v>
      </c>
      <c r="Y658" s="37">
        <v>1920</v>
      </c>
      <c r="Z658" s="37">
        <v>1920</v>
      </c>
      <c r="AA658" s="966">
        <f t="shared" si="40"/>
        <v>23040</v>
      </c>
      <c r="AB658" s="35"/>
      <c r="AC658" s="183"/>
    </row>
    <row r="659" spans="1:29" x14ac:dyDescent="0.2">
      <c r="A659" s="1422"/>
      <c r="B659" s="2522"/>
      <c r="C659" s="2437"/>
      <c r="D659" s="2437"/>
      <c r="E659" s="2421"/>
      <c r="F659" s="2421"/>
      <c r="G659" s="2421"/>
      <c r="H659" s="2421"/>
      <c r="I659" s="2421"/>
      <c r="J659" s="2437"/>
      <c r="K659" s="40">
        <v>1361</v>
      </c>
      <c r="L659" s="3296"/>
      <c r="M659" s="3335" t="s">
        <v>311</v>
      </c>
      <c r="N659" s="3336"/>
      <c r="O659" s="37">
        <v>113.41666666666667</v>
      </c>
      <c r="P659" s="37">
        <v>113.41666666666667</v>
      </c>
      <c r="Q659" s="37">
        <v>113.41666666666667</v>
      </c>
      <c r="R659" s="37">
        <v>113.41666666666667</v>
      </c>
      <c r="S659" s="37">
        <v>113.41666666666667</v>
      </c>
      <c r="T659" s="37">
        <v>113.41666666666667</v>
      </c>
      <c r="U659" s="37">
        <v>113.41666666666667</v>
      </c>
      <c r="V659" s="37">
        <v>113.41666666666667</v>
      </c>
      <c r="W659" s="37">
        <v>113.41666666666667</v>
      </c>
      <c r="X659" s="37">
        <v>113.41666666666667</v>
      </c>
      <c r="Y659" s="37">
        <v>113.41666666666667</v>
      </c>
      <c r="Z659" s="37">
        <v>113.41666666666667</v>
      </c>
      <c r="AA659" s="966">
        <f t="shared" si="40"/>
        <v>1361</v>
      </c>
      <c r="AB659" s="35"/>
      <c r="AC659" s="183"/>
    </row>
    <row r="660" spans="1:29" x14ac:dyDescent="0.2">
      <c r="A660" s="1422"/>
      <c r="B660" s="1425" t="s">
        <v>312</v>
      </c>
      <c r="C660" s="1140"/>
      <c r="D660" s="38"/>
      <c r="E660" s="38"/>
      <c r="F660" s="38"/>
      <c r="G660" s="38"/>
      <c r="H660" s="38"/>
      <c r="I660" s="38"/>
      <c r="J660" s="38"/>
      <c r="K660" s="40"/>
      <c r="L660" s="38"/>
      <c r="M660" s="39"/>
      <c r="N660" s="39"/>
      <c r="O660" s="37"/>
      <c r="P660" s="38"/>
      <c r="Q660" s="38"/>
      <c r="R660" s="38"/>
      <c r="S660" s="38"/>
      <c r="T660" s="38"/>
      <c r="U660" s="38"/>
      <c r="V660" s="38"/>
      <c r="W660" s="38"/>
      <c r="X660" s="38"/>
      <c r="Y660" s="38"/>
      <c r="Z660" s="38"/>
      <c r="AA660" s="1199"/>
      <c r="AB660" s="35"/>
      <c r="AC660" s="183"/>
    </row>
    <row r="661" spans="1:29" x14ac:dyDescent="0.2">
      <c r="A661" s="1422"/>
      <c r="B661" s="2999" t="s">
        <v>278</v>
      </c>
      <c r="C661" s="2988" t="s">
        <v>21</v>
      </c>
      <c r="D661" s="2847" t="s">
        <v>22</v>
      </c>
      <c r="E661" s="2847" t="s">
        <v>23</v>
      </c>
      <c r="F661" s="2847" t="s">
        <v>24</v>
      </c>
      <c r="G661" s="2847" t="s">
        <v>25</v>
      </c>
      <c r="H661" s="2847" t="s">
        <v>26</v>
      </c>
      <c r="I661" s="2847" t="s">
        <v>27</v>
      </c>
      <c r="J661" s="3206" t="s">
        <v>28</v>
      </c>
      <c r="K661" s="3301"/>
      <c r="L661" s="2988" t="s">
        <v>279</v>
      </c>
      <c r="M661" s="3273" t="s">
        <v>280</v>
      </c>
      <c r="N661" s="3274"/>
      <c r="O661" s="3206" t="s">
        <v>281</v>
      </c>
      <c r="P661" s="3301"/>
      <c r="Q661" s="3301"/>
      <c r="R661" s="3301"/>
      <c r="S661" s="3301"/>
      <c r="T661" s="3301"/>
      <c r="U661" s="3301"/>
      <c r="V661" s="3301"/>
      <c r="W661" s="3301"/>
      <c r="X661" s="3301"/>
      <c r="Y661" s="3301"/>
      <c r="Z661" s="3207"/>
      <c r="AA661" s="3217" t="s">
        <v>32</v>
      </c>
      <c r="AB661" s="35"/>
      <c r="AC661" s="183"/>
    </row>
    <row r="662" spans="1:29" x14ac:dyDescent="0.2">
      <c r="A662" s="1422"/>
      <c r="B662" s="2999"/>
      <c r="C662" s="3186"/>
      <c r="D662" s="2847"/>
      <c r="E662" s="2847"/>
      <c r="F662" s="2847"/>
      <c r="G662" s="2847"/>
      <c r="H662" s="2847"/>
      <c r="I662" s="2847"/>
      <c r="J662" s="2988" t="s">
        <v>33</v>
      </c>
      <c r="K662" s="2988" t="s">
        <v>282</v>
      </c>
      <c r="L662" s="3186"/>
      <c r="M662" s="3275"/>
      <c r="N662" s="3276"/>
      <c r="O662" s="1009" t="s">
        <v>283</v>
      </c>
      <c r="P662" s="1009" t="s">
        <v>284</v>
      </c>
      <c r="Q662" s="1009" t="s">
        <v>285</v>
      </c>
      <c r="R662" s="1009" t="s">
        <v>88</v>
      </c>
      <c r="S662" s="1009" t="s">
        <v>89</v>
      </c>
      <c r="T662" s="1009" t="s">
        <v>90</v>
      </c>
      <c r="U662" s="1009" t="s">
        <v>91</v>
      </c>
      <c r="V662" s="1009" t="s">
        <v>92</v>
      </c>
      <c r="W662" s="1009" t="s">
        <v>286</v>
      </c>
      <c r="X662" s="1009" t="s">
        <v>93</v>
      </c>
      <c r="Y662" s="1009" t="s">
        <v>94</v>
      </c>
      <c r="Z662" s="1009" t="s">
        <v>95</v>
      </c>
      <c r="AA662" s="3218"/>
      <c r="AB662" s="35"/>
      <c r="AC662" s="183"/>
    </row>
    <row r="663" spans="1:29" x14ac:dyDescent="0.2">
      <c r="A663" s="1422"/>
      <c r="B663" s="2999"/>
      <c r="C663" s="3186"/>
      <c r="D663" s="2847"/>
      <c r="E663" s="2847"/>
      <c r="F663" s="2847"/>
      <c r="G663" s="2847"/>
      <c r="H663" s="2847"/>
      <c r="I663" s="2847"/>
      <c r="J663" s="3186"/>
      <c r="K663" s="3186"/>
      <c r="L663" s="3186"/>
      <c r="M663" s="3271" t="s">
        <v>287</v>
      </c>
      <c r="N663" s="3272"/>
      <c r="O663" s="1095">
        <v>8</v>
      </c>
      <c r="P663" s="1095">
        <v>9</v>
      </c>
      <c r="Q663" s="1095">
        <v>9</v>
      </c>
      <c r="R663" s="1095">
        <v>9</v>
      </c>
      <c r="S663" s="1095">
        <v>10</v>
      </c>
      <c r="T663" s="1095">
        <v>10</v>
      </c>
      <c r="U663" s="1095">
        <v>10</v>
      </c>
      <c r="V663" s="1095">
        <v>10</v>
      </c>
      <c r="W663" s="1095">
        <v>10</v>
      </c>
      <c r="X663" s="1095">
        <v>10</v>
      </c>
      <c r="Y663" s="1095">
        <v>10</v>
      </c>
      <c r="Z663" s="1095">
        <v>10</v>
      </c>
      <c r="AA663" s="1196">
        <f>SUM(O663:Z663)</f>
        <v>115</v>
      </c>
      <c r="AB663" s="35"/>
      <c r="AC663" s="183"/>
    </row>
    <row r="664" spans="1:29" x14ac:dyDescent="0.2">
      <c r="A664" s="1422"/>
      <c r="B664" s="2999"/>
      <c r="C664" s="2989"/>
      <c r="D664" s="2847"/>
      <c r="E664" s="2847"/>
      <c r="F664" s="2847"/>
      <c r="G664" s="2847"/>
      <c r="H664" s="2847"/>
      <c r="I664" s="2847"/>
      <c r="J664" s="2989"/>
      <c r="K664" s="2989"/>
      <c r="L664" s="2989"/>
      <c r="M664" s="3271" t="s">
        <v>34</v>
      </c>
      <c r="N664" s="3272"/>
      <c r="O664" s="36">
        <f>SUM(O665:O686)</f>
        <v>96978.75</v>
      </c>
      <c r="P664" s="36">
        <f t="shared" ref="P664:Z664" si="41">SUM(P665:P686)</f>
        <v>67628.75</v>
      </c>
      <c r="Q664" s="36">
        <f t="shared" si="41"/>
        <v>84818.750000000015</v>
      </c>
      <c r="R664" s="36">
        <f t="shared" si="41"/>
        <v>75344.75</v>
      </c>
      <c r="S664" s="36">
        <f t="shared" si="41"/>
        <v>96872.75</v>
      </c>
      <c r="T664" s="36">
        <f t="shared" si="41"/>
        <v>68970.75</v>
      </c>
      <c r="U664" s="36">
        <f t="shared" si="41"/>
        <v>96972.75</v>
      </c>
      <c r="V664" s="36">
        <f t="shared" si="41"/>
        <v>76918.750000000015</v>
      </c>
      <c r="W664" s="36">
        <f t="shared" si="41"/>
        <v>78344.75</v>
      </c>
      <c r="X664" s="36">
        <f t="shared" si="41"/>
        <v>68970.75</v>
      </c>
      <c r="Y664" s="36">
        <f t="shared" si="41"/>
        <v>82318.750000000015</v>
      </c>
      <c r="Z664" s="36">
        <f t="shared" si="41"/>
        <v>89072.75</v>
      </c>
      <c r="AA664" s="1196">
        <f t="shared" ref="AA664:AA686" si="42">SUM(O664:Z664)</f>
        <v>983213</v>
      </c>
      <c r="AB664" s="35"/>
      <c r="AC664" s="183"/>
    </row>
    <row r="665" spans="1:29" ht="11.25" customHeight="1" x14ac:dyDescent="0.2">
      <c r="A665" s="1422"/>
      <c r="B665" s="2522">
        <v>5004430</v>
      </c>
      <c r="C665" s="2431" t="s">
        <v>3048</v>
      </c>
      <c r="D665" s="2421">
        <v>22</v>
      </c>
      <c r="E665" s="2421" t="s">
        <v>447</v>
      </c>
      <c r="F665" s="2421" t="s">
        <v>289</v>
      </c>
      <c r="G665" s="2421" t="s">
        <v>290</v>
      </c>
      <c r="H665" s="2421" t="s">
        <v>318</v>
      </c>
      <c r="I665" s="2421" t="s">
        <v>292</v>
      </c>
      <c r="J665" s="2431">
        <v>115</v>
      </c>
      <c r="K665" s="40">
        <v>62332</v>
      </c>
      <c r="L665" s="3294" t="s">
        <v>446</v>
      </c>
      <c r="M665" s="3335" t="s">
        <v>319</v>
      </c>
      <c r="N665" s="3336"/>
      <c r="O665" s="40">
        <f>$K665/12</f>
        <v>5194.333333333333</v>
      </c>
      <c r="P665" s="40">
        <f t="shared" ref="P665:Z671" si="43">$K665/12</f>
        <v>5194.333333333333</v>
      </c>
      <c r="Q665" s="40">
        <f t="shared" si="43"/>
        <v>5194.333333333333</v>
      </c>
      <c r="R665" s="40">
        <f t="shared" si="43"/>
        <v>5194.333333333333</v>
      </c>
      <c r="S665" s="40">
        <f t="shared" si="43"/>
        <v>5194.333333333333</v>
      </c>
      <c r="T665" s="40">
        <f t="shared" si="43"/>
        <v>5194.333333333333</v>
      </c>
      <c r="U665" s="40">
        <f t="shared" si="43"/>
        <v>5194.333333333333</v>
      </c>
      <c r="V665" s="40">
        <f t="shared" si="43"/>
        <v>5194.333333333333</v>
      </c>
      <c r="W665" s="40">
        <f t="shared" si="43"/>
        <v>5194.333333333333</v>
      </c>
      <c r="X665" s="40">
        <f t="shared" si="43"/>
        <v>5194.333333333333</v>
      </c>
      <c r="Y665" s="40">
        <f t="shared" si="43"/>
        <v>5194.333333333333</v>
      </c>
      <c r="Z665" s="40">
        <f t="shared" si="43"/>
        <v>5194.333333333333</v>
      </c>
      <c r="AA665" s="966">
        <f t="shared" si="42"/>
        <v>62332.000000000007</v>
      </c>
      <c r="AB665" s="35"/>
      <c r="AC665" s="183"/>
    </row>
    <row r="666" spans="1:29" x14ac:dyDescent="0.2">
      <c r="A666" s="1422"/>
      <c r="B666" s="2522"/>
      <c r="C666" s="2432"/>
      <c r="D666" s="2421"/>
      <c r="E666" s="2421"/>
      <c r="F666" s="2421"/>
      <c r="G666" s="2421"/>
      <c r="H666" s="2421"/>
      <c r="I666" s="2421"/>
      <c r="J666" s="2432"/>
      <c r="K666" s="40">
        <v>112940</v>
      </c>
      <c r="L666" s="3295"/>
      <c r="M666" s="3335" t="s">
        <v>320</v>
      </c>
      <c r="N666" s="3336"/>
      <c r="O666" s="40">
        <f t="shared" ref="O666:Z675" si="44">$K666/12</f>
        <v>9411.6666666666661</v>
      </c>
      <c r="P666" s="40">
        <f t="shared" si="43"/>
        <v>9411.6666666666661</v>
      </c>
      <c r="Q666" s="40">
        <f t="shared" si="43"/>
        <v>9411.6666666666661</v>
      </c>
      <c r="R666" s="40">
        <f t="shared" si="43"/>
        <v>9411.6666666666661</v>
      </c>
      <c r="S666" s="40">
        <f t="shared" si="43"/>
        <v>9411.6666666666661</v>
      </c>
      <c r="T666" s="40">
        <f t="shared" si="43"/>
        <v>9411.6666666666661</v>
      </c>
      <c r="U666" s="40">
        <f t="shared" si="43"/>
        <v>9411.6666666666661</v>
      </c>
      <c r="V666" s="40">
        <f t="shared" si="43"/>
        <v>9411.6666666666661</v>
      </c>
      <c r="W666" s="40">
        <f t="shared" si="43"/>
        <v>9411.6666666666661</v>
      </c>
      <c r="X666" s="40">
        <f t="shared" si="43"/>
        <v>9411.6666666666661</v>
      </c>
      <c r="Y666" s="40">
        <f t="shared" si="43"/>
        <v>9411.6666666666661</v>
      </c>
      <c r="Z666" s="40">
        <f t="shared" si="43"/>
        <v>9411.6666666666661</v>
      </c>
      <c r="AA666" s="966">
        <f t="shared" si="42"/>
        <v>112940.00000000001</v>
      </c>
      <c r="AB666" s="35"/>
      <c r="AC666" s="183"/>
    </row>
    <row r="667" spans="1:29" x14ac:dyDescent="0.2">
      <c r="A667" s="1422"/>
      <c r="B667" s="2522"/>
      <c r="C667" s="2432"/>
      <c r="D667" s="2421"/>
      <c r="E667" s="2421"/>
      <c r="F667" s="2421"/>
      <c r="G667" s="2421"/>
      <c r="H667" s="2421"/>
      <c r="I667" s="2421"/>
      <c r="J667" s="2432"/>
      <c r="K667" s="40">
        <v>186744</v>
      </c>
      <c r="L667" s="3295"/>
      <c r="M667" s="3335" t="s">
        <v>293</v>
      </c>
      <c r="N667" s="3336"/>
      <c r="O667" s="40">
        <f t="shared" si="44"/>
        <v>15562</v>
      </c>
      <c r="P667" s="40">
        <f t="shared" si="43"/>
        <v>15562</v>
      </c>
      <c r="Q667" s="40">
        <f t="shared" si="43"/>
        <v>15562</v>
      </c>
      <c r="R667" s="40">
        <f t="shared" si="43"/>
        <v>15562</v>
      </c>
      <c r="S667" s="40">
        <f t="shared" si="43"/>
        <v>15562</v>
      </c>
      <c r="T667" s="40">
        <f t="shared" si="43"/>
        <v>15562</v>
      </c>
      <c r="U667" s="40">
        <f t="shared" si="43"/>
        <v>15562</v>
      </c>
      <c r="V667" s="40">
        <f t="shared" si="43"/>
        <v>15562</v>
      </c>
      <c r="W667" s="40">
        <f t="shared" si="43"/>
        <v>15562</v>
      </c>
      <c r="X667" s="40">
        <f t="shared" si="43"/>
        <v>15562</v>
      </c>
      <c r="Y667" s="40">
        <f t="shared" si="43"/>
        <v>15562</v>
      </c>
      <c r="Z667" s="40">
        <f t="shared" si="43"/>
        <v>15562</v>
      </c>
      <c r="AA667" s="966">
        <f t="shared" si="42"/>
        <v>186744</v>
      </c>
      <c r="AB667" s="35"/>
      <c r="AC667" s="183"/>
    </row>
    <row r="668" spans="1:29" x14ac:dyDescent="0.2">
      <c r="A668" s="1422"/>
      <c r="B668" s="2522"/>
      <c r="C668" s="2432"/>
      <c r="D668" s="2421"/>
      <c r="E668" s="2421"/>
      <c r="F668" s="2421"/>
      <c r="G668" s="2421"/>
      <c r="H668" s="2421"/>
      <c r="I668" s="2421"/>
      <c r="J668" s="2432"/>
      <c r="K668" s="40">
        <v>94740</v>
      </c>
      <c r="L668" s="3295"/>
      <c r="M668" s="3335" t="s">
        <v>295</v>
      </c>
      <c r="N668" s="3336"/>
      <c r="O668" s="40">
        <f t="shared" si="44"/>
        <v>7895</v>
      </c>
      <c r="P668" s="40">
        <f t="shared" si="43"/>
        <v>7895</v>
      </c>
      <c r="Q668" s="40">
        <f t="shared" si="43"/>
        <v>7895</v>
      </c>
      <c r="R668" s="40">
        <f t="shared" si="43"/>
        <v>7895</v>
      </c>
      <c r="S668" s="40">
        <f t="shared" si="43"/>
        <v>7895</v>
      </c>
      <c r="T668" s="40">
        <f t="shared" si="43"/>
        <v>7895</v>
      </c>
      <c r="U668" s="40">
        <f t="shared" si="43"/>
        <v>7895</v>
      </c>
      <c r="V668" s="40">
        <f t="shared" si="43"/>
        <v>7895</v>
      </c>
      <c r="W668" s="40">
        <f t="shared" si="43"/>
        <v>7895</v>
      </c>
      <c r="X668" s="40">
        <f t="shared" si="43"/>
        <v>7895</v>
      </c>
      <c r="Y668" s="40">
        <f t="shared" si="43"/>
        <v>7895</v>
      </c>
      <c r="Z668" s="40">
        <f t="shared" si="43"/>
        <v>7895</v>
      </c>
      <c r="AA668" s="966">
        <f t="shared" si="42"/>
        <v>94740</v>
      </c>
      <c r="AB668" s="35"/>
      <c r="AC668" s="183"/>
    </row>
    <row r="669" spans="1:29" x14ac:dyDescent="0.2">
      <c r="A669" s="1422"/>
      <c r="B669" s="2522"/>
      <c r="C669" s="2432"/>
      <c r="D669" s="2421"/>
      <c r="E669" s="2421"/>
      <c r="F669" s="2421"/>
      <c r="G669" s="2421"/>
      <c r="H669" s="2421"/>
      <c r="I669" s="2421"/>
      <c r="J669" s="2432"/>
      <c r="K669" s="40">
        <v>23750</v>
      </c>
      <c r="L669" s="3295"/>
      <c r="M669" s="3335" t="s">
        <v>332</v>
      </c>
      <c r="N669" s="3336"/>
      <c r="O669" s="40">
        <f t="shared" si="44"/>
        <v>1979.1666666666667</v>
      </c>
      <c r="P669" s="40">
        <f t="shared" si="43"/>
        <v>1979.1666666666667</v>
      </c>
      <c r="Q669" s="40">
        <f t="shared" si="43"/>
        <v>1979.1666666666667</v>
      </c>
      <c r="R669" s="40">
        <f t="shared" si="43"/>
        <v>1979.1666666666667</v>
      </c>
      <c r="S669" s="40">
        <f t="shared" si="43"/>
        <v>1979.1666666666667</v>
      </c>
      <c r="T669" s="40">
        <f t="shared" si="43"/>
        <v>1979.1666666666667</v>
      </c>
      <c r="U669" s="40">
        <f t="shared" si="43"/>
        <v>1979.1666666666667</v>
      </c>
      <c r="V669" s="40">
        <f t="shared" si="43"/>
        <v>1979.1666666666667</v>
      </c>
      <c r="W669" s="40">
        <f t="shared" si="43"/>
        <v>1979.1666666666667</v>
      </c>
      <c r="X669" s="40">
        <f t="shared" si="43"/>
        <v>1979.1666666666667</v>
      </c>
      <c r="Y669" s="40">
        <f t="shared" si="43"/>
        <v>1979.1666666666667</v>
      </c>
      <c r="Z669" s="40">
        <f t="shared" si="43"/>
        <v>1979.1666666666667</v>
      </c>
      <c r="AA669" s="966">
        <f t="shared" si="42"/>
        <v>23750.000000000004</v>
      </c>
      <c r="AB669" s="35"/>
      <c r="AC669" s="183"/>
    </row>
    <row r="670" spans="1:29" x14ac:dyDescent="0.2">
      <c r="A670" s="1422"/>
      <c r="B670" s="2522"/>
      <c r="C670" s="2432"/>
      <c r="D670" s="2421"/>
      <c r="E670" s="2421"/>
      <c r="F670" s="2421"/>
      <c r="G670" s="2421"/>
      <c r="H670" s="2421"/>
      <c r="I670" s="2421"/>
      <c r="J670" s="2432"/>
      <c r="K670" s="40">
        <v>120086</v>
      </c>
      <c r="L670" s="3295"/>
      <c r="M670" s="3335" t="s">
        <v>296</v>
      </c>
      <c r="N670" s="3336"/>
      <c r="O670" s="40">
        <f t="shared" si="44"/>
        <v>10007.166666666666</v>
      </c>
      <c r="P670" s="40">
        <f t="shared" si="43"/>
        <v>10007.166666666666</v>
      </c>
      <c r="Q670" s="40">
        <f t="shared" si="43"/>
        <v>10007.166666666666</v>
      </c>
      <c r="R670" s="40">
        <f t="shared" si="43"/>
        <v>10007.166666666666</v>
      </c>
      <c r="S670" s="40">
        <f t="shared" si="43"/>
        <v>10007.166666666666</v>
      </c>
      <c r="T670" s="40">
        <f t="shared" si="43"/>
        <v>10007.166666666666</v>
      </c>
      <c r="U670" s="40">
        <f t="shared" si="43"/>
        <v>10007.166666666666</v>
      </c>
      <c r="V670" s="40">
        <f t="shared" si="43"/>
        <v>10007.166666666666</v>
      </c>
      <c r="W670" s="40">
        <f t="shared" si="43"/>
        <v>10007.166666666666</v>
      </c>
      <c r="X670" s="40">
        <f t="shared" si="43"/>
        <v>10007.166666666666</v>
      </c>
      <c r="Y670" s="40">
        <f t="shared" si="43"/>
        <v>10007.166666666666</v>
      </c>
      <c r="Z670" s="40">
        <f t="shared" si="43"/>
        <v>10007.166666666666</v>
      </c>
      <c r="AA670" s="966">
        <f t="shared" si="42"/>
        <v>120086.00000000001</v>
      </c>
      <c r="AB670" s="35"/>
      <c r="AC670" s="183"/>
    </row>
    <row r="671" spans="1:29" x14ac:dyDescent="0.2">
      <c r="A671" s="1422"/>
      <c r="B671" s="2522"/>
      <c r="C671" s="2432"/>
      <c r="D671" s="2421"/>
      <c r="E671" s="2421"/>
      <c r="F671" s="2421"/>
      <c r="G671" s="2421"/>
      <c r="H671" s="2421"/>
      <c r="I671" s="2421"/>
      <c r="J671" s="2432"/>
      <c r="K671" s="40">
        <v>21792</v>
      </c>
      <c r="L671" s="3295"/>
      <c r="M671" s="3335" t="s">
        <v>297</v>
      </c>
      <c r="N671" s="3336"/>
      <c r="O671" s="40">
        <f t="shared" si="44"/>
        <v>1816</v>
      </c>
      <c r="P671" s="40">
        <f t="shared" si="43"/>
        <v>1816</v>
      </c>
      <c r="Q671" s="40">
        <f t="shared" si="43"/>
        <v>1816</v>
      </c>
      <c r="R671" s="40">
        <f t="shared" si="43"/>
        <v>1816</v>
      </c>
      <c r="S671" s="40">
        <f t="shared" si="43"/>
        <v>1816</v>
      </c>
      <c r="T671" s="40">
        <f t="shared" si="43"/>
        <v>1816</v>
      </c>
      <c r="U671" s="40">
        <f t="shared" si="43"/>
        <v>1816</v>
      </c>
      <c r="V671" s="40">
        <f t="shared" si="43"/>
        <v>1816</v>
      </c>
      <c r="W671" s="40">
        <f t="shared" si="43"/>
        <v>1816</v>
      </c>
      <c r="X671" s="40">
        <f t="shared" si="43"/>
        <v>1816</v>
      </c>
      <c r="Y671" s="40">
        <f t="shared" si="43"/>
        <v>1816</v>
      </c>
      <c r="Z671" s="40">
        <f>$K671/12</f>
        <v>1816</v>
      </c>
      <c r="AA671" s="966">
        <f t="shared" si="42"/>
        <v>21792</v>
      </c>
      <c r="AB671" s="35"/>
      <c r="AC671" s="183"/>
    </row>
    <row r="672" spans="1:29" x14ac:dyDescent="0.2">
      <c r="A672" s="1422"/>
      <c r="B672" s="2522"/>
      <c r="C672" s="2432"/>
      <c r="D672" s="2421"/>
      <c r="E672" s="2421"/>
      <c r="F672" s="2421"/>
      <c r="G672" s="2421"/>
      <c r="H672" s="2421"/>
      <c r="I672" s="2421"/>
      <c r="J672" s="2432"/>
      <c r="K672" s="40">
        <v>32256</v>
      </c>
      <c r="L672" s="3295"/>
      <c r="M672" s="3335" t="s">
        <v>298</v>
      </c>
      <c r="N672" s="3336"/>
      <c r="O672" s="37"/>
      <c r="P672" s="37"/>
      <c r="Q672" s="37"/>
      <c r="R672" s="37"/>
      <c r="S672" s="37"/>
      <c r="T672" s="37"/>
      <c r="U672" s="40">
        <f>$K672/2</f>
        <v>16128</v>
      </c>
      <c r="V672" s="37"/>
      <c r="W672" s="37"/>
      <c r="X672" s="37"/>
      <c r="Y672" s="37"/>
      <c r="Z672" s="40">
        <f>$K672/2</f>
        <v>16128</v>
      </c>
      <c r="AA672" s="966">
        <f t="shared" si="42"/>
        <v>32256</v>
      </c>
      <c r="AB672" s="35"/>
      <c r="AC672" s="183"/>
    </row>
    <row r="673" spans="1:29" x14ac:dyDescent="0.2">
      <c r="A673" s="1422"/>
      <c r="B673" s="2522"/>
      <c r="C673" s="2432"/>
      <c r="D673" s="2421"/>
      <c r="E673" s="2421"/>
      <c r="F673" s="2421"/>
      <c r="G673" s="2421"/>
      <c r="H673" s="2421"/>
      <c r="I673" s="2421"/>
      <c r="J673" s="2432"/>
      <c r="K673" s="40">
        <v>29350</v>
      </c>
      <c r="L673" s="3295"/>
      <c r="M673" s="3335" t="s">
        <v>299</v>
      </c>
      <c r="N673" s="3336"/>
      <c r="O673" s="40">
        <f>$K673</f>
        <v>29350</v>
      </c>
      <c r="P673" s="37"/>
      <c r="Q673" s="37"/>
      <c r="R673" s="37"/>
      <c r="S673" s="37"/>
      <c r="T673" s="37"/>
      <c r="U673" s="37"/>
      <c r="V673" s="37"/>
      <c r="W673" s="37"/>
      <c r="X673" s="37"/>
      <c r="Y673" s="37"/>
      <c r="Z673" s="37"/>
      <c r="AA673" s="966">
        <f t="shared" si="42"/>
        <v>29350</v>
      </c>
      <c r="AB673" s="35"/>
      <c r="AC673" s="183"/>
    </row>
    <row r="674" spans="1:29" x14ac:dyDescent="0.2">
      <c r="A674" s="1422"/>
      <c r="B674" s="2522"/>
      <c r="C674" s="2432"/>
      <c r="D674" s="2421"/>
      <c r="E674" s="2421"/>
      <c r="F674" s="2421"/>
      <c r="G674" s="2421"/>
      <c r="H674" s="2421"/>
      <c r="I674" s="2421"/>
      <c r="J674" s="2432"/>
      <c r="K674" s="40">
        <v>63519</v>
      </c>
      <c r="L674" s="3295"/>
      <c r="M674" s="3335" t="s">
        <v>300</v>
      </c>
      <c r="N674" s="3336"/>
      <c r="O674" s="40">
        <f t="shared" si="44"/>
        <v>5293.25</v>
      </c>
      <c r="P674" s="40">
        <f t="shared" si="44"/>
        <v>5293.25</v>
      </c>
      <c r="Q674" s="40">
        <f t="shared" si="44"/>
        <v>5293.25</v>
      </c>
      <c r="R674" s="40">
        <f t="shared" si="44"/>
        <v>5293.25</v>
      </c>
      <c r="S674" s="40">
        <f t="shared" si="44"/>
        <v>5293.25</v>
      </c>
      <c r="T674" s="40">
        <f t="shared" si="44"/>
        <v>5293.25</v>
      </c>
      <c r="U674" s="40">
        <f t="shared" si="44"/>
        <v>5293.25</v>
      </c>
      <c r="V674" s="40">
        <f t="shared" si="44"/>
        <v>5293.25</v>
      </c>
      <c r="W674" s="40">
        <f t="shared" si="44"/>
        <v>5293.25</v>
      </c>
      <c r="X674" s="40">
        <f t="shared" si="44"/>
        <v>5293.25</v>
      </c>
      <c r="Y674" s="40">
        <f t="shared" si="44"/>
        <v>5293.25</v>
      </c>
      <c r="Z674" s="40">
        <f t="shared" si="44"/>
        <v>5293.25</v>
      </c>
      <c r="AA674" s="966">
        <f t="shared" si="42"/>
        <v>63519</v>
      </c>
      <c r="AB674" s="35"/>
      <c r="AC674" s="183"/>
    </row>
    <row r="675" spans="1:29" x14ac:dyDescent="0.2">
      <c r="A675" s="1422"/>
      <c r="B675" s="2522"/>
      <c r="C675" s="2432"/>
      <c r="D675" s="2421"/>
      <c r="E675" s="2421"/>
      <c r="F675" s="2421"/>
      <c r="G675" s="2421"/>
      <c r="H675" s="2421"/>
      <c r="I675" s="2421"/>
      <c r="J675" s="2432"/>
      <c r="K675" s="40">
        <v>844</v>
      </c>
      <c r="L675" s="3295"/>
      <c r="M675" s="3335" t="s">
        <v>301</v>
      </c>
      <c r="N675" s="3336"/>
      <c r="O675" s="40">
        <f t="shared" si="44"/>
        <v>70.333333333333329</v>
      </c>
      <c r="P675" s="40">
        <f t="shared" si="44"/>
        <v>70.333333333333329</v>
      </c>
      <c r="Q675" s="40">
        <f t="shared" si="44"/>
        <v>70.333333333333329</v>
      </c>
      <c r="R675" s="40">
        <f t="shared" si="44"/>
        <v>70.333333333333329</v>
      </c>
      <c r="S675" s="40">
        <f t="shared" si="44"/>
        <v>70.333333333333329</v>
      </c>
      <c r="T675" s="40">
        <f t="shared" si="44"/>
        <v>70.333333333333329</v>
      </c>
      <c r="U675" s="40">
        <f t="shared" si="44"/>
        <v>70.333333333333329</v>
      </c>
      <c r="V675" s="40">
        <f t="shared" si="44"/>
        <v>70.333333333333329</v>
      </c>
      <c r="W675" s="40">
        <f t="shared" si="44"/>
        <v>70.333333333333329</v>
      </c>
      <c r="X675" s="40">
        <f t="shared" si="44"/>
        <v>70.333333333333329</v>
      </c>
      <c r="Y675" s="40">
        <f t="shared" si="44"/>
        <v>70.333333333333329</v>
      </c>
      <c r="Z675" s="40">
        <f t="shared" si="44"/>
        <v>70.333333333333329</v>
      </c>
      <c r="AA675" s="966">
        <f t="shared" si="42"/>
        <v>844.00000000000011</v>
      </c>
      <c r="AB675" s="35"/>
      <c r="AC675" s="183"/>
    </row>
    <row r="676" spans="1:29" x14ac:dyDescent="0.2">
      <c r="A676" s="1422"/>
      <c r="B676" s="2522"/>
      <c r="C676" s="2432"/>
      <c r="D676" s="2421"/>
      <c r="E676" s="2421"/>
      <c r="F676" s="2421"/>
      <c r="G676" s="2421"/>
      <c r="H676" s="2421"/>
      <c r="I676" s="2421"/>
      <c r="J676" s="2432"/>
      <c r="K676" s="40">
        <v>22502</v>
      </c>
      <c r="L676" s="3295"/>
      <c r="M676" s="3335" t="s">
        <v>302</v>
      </c>
      <c r="N676" s="3336"/>
      <c r="O676" s="37"/>
      <c r="P676" s="38"/>
      <c r="Q676" s="38"/>
      <c r="R676" s="38"/>
      <c r="S676" s="41">
        <f>K676</f>
        <v>22502</v>
      </c>
      <c r="T676" s="38"/>
      <c r="U676" s="38"/>
      <c r="V676" s="38"/>
      <c r="W676" s="38"/>
      <c r="X676" s="38"/>
      <c r="Y676" s="38"/>
      <c r="Z676" s="38"/>
      <c r="AA676" s="966">
        <f t="shared" si="42"/>
        <v>22502</v>
      </c>
      <c r="AB676" s="35"/>
      <c r="AC676" s="183"/>
    </row>
    <row r="677" spans="1:29" x14ac:dyDescent="0.2">
      <c r="A677" s="1422"/>
      <c r="B677" s="2522"/>
      <c r="C677" s="2432"/>
      <c r="D677" s="2421"/>
      <c r="E677" s="2421"/>
      <c r="F677" s="2421"/>
      <c r="G677" s="2421"/>
      <c r="H677" s="2421"/>
      <c r="I677" s="2421"/>
      <c r="J677" s="2432"/>
      <c r="K677" s="40">
        <v>9820</v>
      </c>
      <c r="L677" s="3295"/>
      <c r="M677" s="3335" t="s">
        <v>303</v>
      </c>
      <c r="N677" s="3336"/>
      <c r="O677" s="37"/>
      <c r="P677" s="38"/>
      <c r="Q677" s="40">
        <f>$K677/10</f>
        <v>982</v>
      </c>
      <c r="R677" s="40">
        <f t="shared" ref="R677:Z677" si="45">$K677/10</f>
        <v>982</v>
      </c>
      <c r="S677" s="40">
        <f t="shared" si="45"/>
        <v>982</v>
      </c>
      <c r="T677" s="40">
        <f t="shared" si="45"/>
        <v>982</v>
      </c>
      <c r="U677" s="40">
        <f t="shared" si="45"/>
        <v>982</v>
      </c>
      <c r="V677" s="40">
        <f t="shared" si="45"/>
        <v>982</v>
      </c>
      <c r="W677" s="40">
        <f t="shared" si="45"/>
        <v>982</v>
      </c>
      <c r="X677" s="40">
        <f t="shared" si="45"/>
        <v>982</v>
      </c>
      <c r="Y677" s="40">
        <f t="shared" si="45"/>
        <v>982</v>
      </c>
      <c r="Z677" s="40">
        <f t="shared" si="45"/>
        <v>982</v>
      </c>
      <c r="AA677" s="966">
        <f t="shared" si="42"/>
        <v>9820</v>
      </c>
      <c r="AB677" s="35"/>
      <c r="AC677" s="183"/>
    </row>
    <row r="678" spans="1:29" x14ac:dyDescent="0.2">
      <c r="A678" s="1422"/>
      <c r="B678" s="2522"/>
      <c r="C678" s="2432"/>
      <c r="D678" s="2421"/>
      <c r="E678" s="2421"/>
      <c r="F678" s="2421"/>
      <c r="G678" s="2421"/>
      <c r="H678" s="2421"/>
      <c r="I678" s="2421"/>
      <c r="J678" s="2432"/>
      <c r="K678" s="40">
        <v>2400</v>
      </c>
      <c r="L678" s="3295"/>
      <c r="M678" s="3335" t="s">
        <v>304</v>
      </c>
      <c r="N678" s="3336"/>
      <c r="O678" s="37"/>
      <c r="P678" s="38"/>
      <c r="Q678" s="40"/>
      <c r="R678" s="40">
        <f>$K678</f>
        <v>2400</v>
      </c>
      <c r="S678" s="38"/>
      <c r="T678" s="38"/>
      <c r="U678" s="38"/>
      <c r="V678" s="38"/>
      <c r="W678" s="38"/>
      <c r="X678" s="38"/>
      <c r="Y678" s="38"/>
      <c r="Z678" s="38"/>
      <c r="AA678" s="966">
        <f t="shared" si="42"/>
        <v>2400</v>
      </c>
      <c r="AB678" s="35"/>
      <c r="AC678" s="183"/>
    </row>
    <row r="679" spans="1:29" x14ac:dyDescent="0.2">
      <c r="A679" s="1422"/>
      <c r="B679" s="2522"/>
      <c r="C679" s="2432"/>
      <c r="D679" s="2421"/>
      <c r="E679" s="2421"/>
      <c r="F679" s="2421"/>
      <c r="G679" s="2421"/>
      <c r="H679" s="2421"/>
      <c r="I679" s="2421"/>
      <c r="J679" s="2432"/>
      <c r="K679" s="40">
        <v>9374</v>
      </c>
      <c r="L679" s="3295"/>
      <c r="M679" s="3335" t="s">
        <v>305</v>
      </c>
      <c r="N679" s="3336"/>
      <c r="O679" s="40"/>
      <c r="P679" s="40"/>
      <c r="Q679" s="40">
        <f>$K679*(2/10)</f>
        <v>1874.8000000000002</v>
      </c>
      <c r="R679" s="40">
        <f>$K679*(1/10)</f>
        <v>937.40000000000009</v>
      </c>
      <c r="S679" s="40"/>
      <c r="T679" s="38"/>
      <c r="U679" s="40">
        <f>$K679*(1/10)</f>
        <v>937.40000000000009</v>
      </c>
      <c r="V679" s="40">
        <f>$K679*(2/10)</f>
        <v>1874.8000000000002</v>
      </c>
      <c r="W679" s="40">
        <f>$K679*(1/10)</f>
        <v>937.40000000000009</v>
      </c>
      <c r="X679" s="38"/>
      <c r="Y679" s="40">
        <f>$K679*(2/10)</f>
        <v>1874.8000000000002</v>
      </c>
      <c r="Z679" s="40">
        <f>$K679*(1/10)</f>
        <v>937.40000000000009</v>
      </c>
      <c r="AA679" s="966">
        <f t="shared" si="42"/>
        <v>9374.0000000000018</v>
      </c>
      <c r="AB679" s="35"/>
      <c r="AC679" s="183"/>
    </row>
    <row r="680" spans="1:29" x14ac:dyDescent="0.2">
      <c r="A680" s="1422"/>
      <c r="B680" s="2522"/>
      <c r="C680" s="2432"/>
      <c r="D680" s="2421"/>
      <c r="E680" s="2421"/>
      <c r="F680" s="2421"/>
      <c r="G680" s="2421"/>
      <c r="H680" s="2421"/>
      <c r="I680" s="2421"/>
      <c r="J680" s="2432"/>
      <c r="K680" s="40">
        <v>30366</v>
      </c>
      <c r="L680" s="3295"/>
      <c r="M680" s="3335" t="s">
        <v>306</v>
      </c>
      <c r="N680" s="3336"/>
      <c r="O680" s="37"/>
      <c r="P680" s="38"/>
      <c r="Q680" s="40">
        <f>$K680*(2/10)</f>
        <v>6073.2000000000007</v>
      </c>
      <c r="R680" s="40">
        <f>$K680*(1/10)</f>
        <v>3036.6000000000004</v>
      </c>
      <c r="S680" s="40"/>
      <c r="T680" s="38"/>
      <c r="U680" s="40">
        <f>$K680*(1/10)</f>
        <v>3036.6000000000004</v>
      </c>
      <c r="V680" s="40">
        <f>$K680*(2/10)</f>
        <v>6073.2000000000007</v>
      </c>
      <c r="W680" s="40">
        <f>$K680*(1/10)</f>
        <v>3036.6000000000004</v>
      </c>
      <c r="X680" s="38"/>
      <c r="Y680" s="40">
        <f>$K680*(2/10)</f>
        <v>6073.2000000000007</v>
      </c>
      <c r="Z680" s="40">
        <f>$K680*(1/10)</f>
        <v>3036.6000000000004</v>
      </c>
      <c r="AA680" s="966">
        <f t="shared" si="42"/>
        <v>30366.000000000007</v>
      </c>
      <c r="AB680" s="35"/>
      <c r="AC680" s="183"/>
    </row>
    <row r="681" spans="1:29" x14ac:dyDescent="0.2">
      <c r="A681" s="1422"/>
      <c r="B681" s="2522"/>
      <c r="C681" s="2432"/>
      <c r="D681" s="2421"/>
      <c r="E681" s="2421"/>
      <c r="F681" s="2421"/>
      <c r="G681" s="2421"/>
      <c r="H681" s="2421"/>
      <c r="I681" s="2421"/>
      <c r="J681" s="2432"/>
      <c r="K681" s="40">
        <v>3600</v>
      </c>
      <c r="L681" s="3295"/>
      <c r="M681" s="3335" t="s">
        <v>307</v>
      </c>
      <c r="N681" s="3336"/>
      <c r="O681" s="37"/>
      <c r="P681" s="38"/>
      <c r="Q681" s="42">
        <f>$K681/10</f>
        <v>360</v>
      </c>
      <c r="R681" s="42">
        <f t="shared" ref="R681:Z681" si="46">$K681/10</f>
        <v>360</v>
      </c>
      <c r="S681" s="42">
        <f t="shared" si="46"/>
        <v>360</v>
      </c>
      <c r="T681" s="42">
        <f t="shared" si="46"/>
        <v>360</v>
      </c>
      <c r="U681" s="42">
        <f t="shared" si="46"/>
        <v>360</v>
      </c>
      <c r="V681" s="42">
        <f t="shared" si="46"/>
        <v>360</v>
      </c>
      <c r="W681" s="42">
        <f t="shared" si="46"/>
        <v>360</v>
      </c>
      <c r="X681" s="42">
        <f t="shared" si="46"/>
        <v>360</v>
      </c>
      <c r="Y681" s="42">
        <f t="shared" si="46"/>
        <v>360</v>
      </c>
      <c r="Z681" s="42">
        <f t="shared" si="46"/>
        <v>360</v>
      </c>
      <c r="AA681" s="966">
        <f t="shared" si="42"/>
        <v>3600</v>
      </c>
      <c r="AB681" s="35"/>
      <c r="AC681" s="183"/>
    </row>
    <row r="682" spans="1:29" x14ac:dyDescent="0.2">
      <c r="A682" s="1422"/>
      <c r="B682" s="2522"/>
      <c r="C682" s="2432"/>
      <c r="D682" s="2421"/>
      <c r="E682" s="2421"/>
      <c r="F682" s="2421"/>
      <c r="G682" s="2421"/>
      <c r="H682" s="2421"/>
      <c r="I682" s="2421"/>
      <c r="J682" s="2432"/>
      <c r="K682" s="40">
        <v>4700</v>
      </c>
      <c r="L682" s="3295"/>
      <c r="M682" s="3335" t="s">
        <v>448</v>
      </c>
      <c r="N682" s="3336"/>
      <c r="O682" s="40">
        <f>$K682/12</f>
        <v>391.66666666666669</v>
      </c>
      <c r="P682" s="40">
        <f t="shared" ref="P682:Y682" si="47">$K682/12</f>
        <v>391.66666666666669</v>
      </c>
      <c r="Q682" s="40">
        <f t="shared" si="47"/>
        <v>391.66666666666669</v>
      </c>
      <c r="R682" s="40">
        <f t="shared" si="47"/>
        <v>391.66666666666669</v>
      </c>
      <c r="S682" s="40">
        <f t="shared" si="47"/>
        <v>391.66666666666669</v>
      </c>
      <c r="T682" s="40">
        <f t="shared" si="47"/>
        <v>391.66666666666669</v>
      </c>
      <c r="U682" s="40">
        <f t="shared" si="47"/>
        <v>391.66666666666669</v>
      </c>
      <c r="V682" s="40">
        <f t="shared" si="47"/>
        <v>391.66666666666669</v>
      </c>
      <c r="W682" s="40">
        <f t="shared" si="47"/>
        <v>391.66666666666669</v>
      </c>
      <c r="X682" s="40">
        <f t="shared" si="47"/>
        <v>391.66666666666669</v>
      </c>
      <c r="Y682" s="40">
        <f t="shared" si="47"/>
        <v>391.66666666666669</v>
      </c>
      <c r="Z682" s="40">
        <f>$K682/12</f>
        <v>391.66666666666669</v>
      </c>
      <c r="AA682" s="966">
        <f t="shared" si="42"/>
        <v>4700</v>
      </c>
      <c r="AB682" s="35"/>
      <c r="AC682" s="183"/>
    </row>
    <row r="683" spans="1:29" x14ac:dyDescent="0.2">
      <c r="A683" s="1422"/>
      <c r="B683" s="2522"/>
      <c r="C683" s="2432"/>
      <c r="D683" s="2421"/>
      <c r="E683" s="2421"/>
      <c r="F683" s="2421"/>
      <c r="G683" s="2421"/>
      <c r="H683" s="2421"/>
      <c r="I683" s="2421"/>
      <c r="J683" s="2432"/>
      <c r="K683" s="40">
        <v>5000</v>
      </c>
      <c r="L683" s="3295"/>
      <c r="M683" s="3335" t="s">
        <v>308</v>
      </c>
      <c r="N683" s="3336"/>
      <c r="O683" s="37"/>
      <c r="P683" s="38"/>
      <c r="Q683" s="40">
        <f>$K683/2</f>
        <v>2500</v>
      </c>
      <c r="R683" s="38"/>
      <c r="S683" s="38"/>
      <c r="T683" s="38"/>
      <c r="U683" s="40">
        <f>$K683/2</f>
        <v>2500</v>
      </c>
      <c r="V683" s="38"/>
      <c r="W683" s="38"/>
      <c r="X683" s="38"/>
      <c r="Y683" s="38"/>
      <c r="Z683" s="38"/>
      <c r="AA683" s="966">
        <f t="shared" si="42"/>
        <v>5000</v>
      </c>
      <c r="AB683" s="35"/>
      <c r="AC683" s="183"/>
    </row>
    <row r="684" spans="1:29" x14ac:dyDescent="0.2">
      <c r="A684" s="1422"/>
      <c r="B684" s="2522"/>
      <c r="C684" s="2432"/>
      <c r="D684" s="2421"/>
      <c r="E684" s="2421"/>
      <c r="F684" s="2421"/>
      <c r="G684" s="2421"/>
      <c r="H684" s="2421"/>
      <c r="I684" s="2421"/>
      <c r="J684" s="2432"/>
      <c r="K684" s="40">
        <v>27000</v>
      </c>
      <c r="L684" s="3295"/>
      <c r="M684" s="3335" t="s">
        <v>309</v>
      </c>
      <c r="N684" s="3336"/>
      <c r="O684" s="37"/>
      <c r="P684" s="38"/>
      <c r="Q684" s="40">
        <f>$K684/5</f>
        <v>5400</v>
      </c>
      <c r="R684" s="40"/>
      <c r="S684" s="40">
        <f>$K684/5</f>
        <v>5400</v>
      </c>
      <c r="T684" s="38"/>
      <c r="U684" s="40">
        <f>$K684/5</f>
        <v>5400</v>
      </c>
      <c r="V684" s="38"/>
      <c r="W684" s="40">
        <f>$K684/5</f>
        <v>5400</v>
      </c>
      <c r="X684" s="38"/>
      <c r="Y684" s="40">
        <f>$K684/5</f>
        <v>5400</v>
      </c>
      <c r="Z684" s="38"/>
      <c r="AA684" s="966">
        <f t="shared" si="42"/>
        <v>27000</v>
      </c>
      <c r="AB684" s="35"/>
      <c r="AC684" s="183"/>
    </row>
    <row r="685" spans="1:29" x14ac:dyDescent="0.2">
      <c r="A685" s="1422"/>
      <c r="B685" s="2522"/>
      <c r="C685" s="2432"/>
      <c r="D685" s="2421"/>
      <c r="E685" s="2421"/>
      <c r="F685" s="2421"/>
      <c r="G685" s="2421"/>
      <c r="H685" s="2421"/>
      <c r="I685" s="2421"/>
      <c r="J685" s="2432"/>
      <c r="K685" s="40">
        <v>110330</v>
      </c>
      <c r="L685" s="3295"/>
      <c r="M685" s="3335" t="s">
        <v>310</v>
      </c>
      <c r="N685" s="3336"/>
      <c r="O685" s="37">
        <v>9194.1666666666661</v>
      </c>
      <c r="P685" s="37">
        <v>9194.1666666666661</v>
      </c>
      <c r="Q685" s="37">
        <v>9194.1666666666661</v>
      </c>
      <c r="R685" s="37">
        <v>9194.1666666666661</v>
      </c>
      <c r="S685" s="37">
        <v>9194.1666666666661</v>
      </c>
      <c r="T685" s="37">
        <v>9194.1666666666661</v>
      </c>
      <c r="U685" s="37">
        <v>9194.1666666666697</v>
      </c>
      <c r="V685" s="37">
        <v>9194.1666666666697</v>
      </c>
      <c r="W685" s="37">
        <v>9194.1666666666697</v>
      </c>
      <c r="X685" s="37">
        <v>9194.1666666666697</v>
      </c>
      <c r="Y685" s="37">
        <v>9194.1666666666697</v>
      </c>
      <c r="Z685" s="37">
        <v>9194.1666666666697</v>
      </c>
      <c r="AA685" s="966">
        <f t="shared" si="42"/>
        <v>110330.00000000001</v>
      </c>
      <c r="AB685" s="35"/>
      <c r="AC685" s="183"/>
    </row>
    <row r="686" spans="1:29" x14ac:dyDescent="0.2">
      <c r="A686" s="1422"/>
      <c r="B686" s="2522"/>
      <c r="C686" s="2437"/>
      <c r="D686" s="2421"/>
      <c r="E686" s="2421"/>
      <c r="F686" s="2421"/>
      <c r="G686" s="2421"/>
      <c r="H686" s="2421"/>
      <c r="I686" s="2421"/>
      <c r="J686" s="2437"/>
      <c r="K686" s="40">
        <v>9768</v>
      </c>
      <c r="L686" s="3296"/>
      <c r="M686" s="3335" t="s">
        <v>311</v>
      </c>
      <c r="N686" s="3336"/>
      <c r="O686" s="37">
        <v>814</v>
      </c>
      <c r="P686" s="37">
        <v>814</v>
      </c>
      <c r="Q686" s="37">
        <v>814</v>
      </c>
      <c r="R686" s="37">
        <v>814</v>
      </c>
      <c r="S686" s="37">
        <v>814</v>
      </c>
      <c r="T686" s="37">
        <v>814</v>
      </c>
      <c r="U686" s="37">
        <v>814</v>
      </c>
      <c r="V686" s="37">
        <v>814</v>
      </c>
      <c r="W686" s="37">
        <v>814</v>
      </c>
      <c r="X686" s="37">
        <v>814</v>
      </c>
      <c r="Y686" s="37">
        <v>814</v>
      </c>
      <c r="Z686" s="37">
        <v>814</v>
      </c>
      <c r="AA686" s="966">
        <f t="shared" si="42"/>
        <v>9768</v>
      </c>
      <c r="AB686" s="35"/>
      <c r="AC686" s="183"/>
    </row>
    <row r="687" spans="1:29" x14ac:dyDescent="0.2">
      <c r="A687" s="1422"/>
      <c r="B687" s="1426"/>
      <c r="C687" s="43"/>
      <c r="D687" s="43"/>
      <c r="E687" s="43"/>
      <c r="F687" s="43"/>
      <c r="G687" s="43"/>
      <c r="H687" s="43"/>
      <c r="I687" s="43"/>
      <c r="J687" s="43"/>
      <c r="K687" s="40"/>
      <c r="L687" s="43"/>
      <c r="M687" s="44"/>
      <c r="N687" s="44"/>
      <c r="O687" s="45"/>
      <c r="P687" s="43"/>
      <c r="Q687" s="43"/>
      <c r="R687" s="43"/>
      <c r="S687" s="43"/>
      <c r="T687" s="43"/>
      <c r="U687" s="43"/>
      <c r="V687" s="43"/>
      <c r="W687" s="43"/>
      <c r="X687" s="43"/>
      <c r="Y687" s="43"/>
      <c r="Z687" s="43"/>
      <c r="AA687" s="180"/>
      <c r="AB687" s="35"/>
      <c r="AC687" s="183"/>
    </row>
    <row r="688" spans="1:29" ht="22.5" x14ac:dyDescent="0.2">
      <c r="A688" s="1422"/>
      <c r="B688" s="1090" t="s">
        <v>276</v>
      </c>
      <c r="C688" s="107"/>
      <c r="D688" s="1068">
        <v>3000002</v>
      </c>
      <c r="E688" s="3291" t="s">
        <v>449</v>
      </c>
      <c r="F688" s="3292"/>
      <c r="G688" s="3292"/>
      <c r="H688" s="3292"/>
      <c r="I688" s="3292"/>
      <c r="J688" s="3292"/>
      <c r="K688" s="3292"/>
      <c r="L688" s="3292"/>
      <c r="M688" s="3292"/>
      <c r="N688" s="3292"/>
      <c r="O688" s="3292"/>
      <c r="P688" s="3292"/>
      <c r="Q688" s="3292"/>
      <c r="R688" s="3292"/>
      <c r="S688" s="3292"/>
      <c r="T688" s="3292"/>
      <c r="U688" s="3293"/>
      <c r="V688" s="3023" t="s">
        <v>15</v>
      </c>
      <c r="W688" s="3337"/>
      <c r="X688" s="3337"/>
      <c r="Y688" s="3338"/>
      <c r="Z688" s="1110" t="s">
        <v>16</v>
      </c>
      <c r="AA688" s="1044"/>
      <c r="AB688" s="35"/>
      <c r="AC688" s="183"/>
    </row>
    <row r="689" spans="1:29" ht="22.5" x14ac:dyDescent="0.2">
      <c r="A689" s="1422"/>
      <c r="B689" s="1424"/>
      <c r="C689" s="107"/>
      <c r="D689" s="38"/>
      <c r="E689" s="149"/>
      <c r="F689" s="38"/>
      <c r="G689" s="38"/>
      <c r="H689" s="38"/>
      <c r="I689" s="38"/>
      <c r="J689" s="38"/>
      <c r="K689" s="40"/>
      <c r="L689" s="40"/>
      <c r="M689" s="49"/>
      <c r="N689" s="49"/>
      <c r="O689" s="40"/>
      <c r="P689" s="40"/>
      <c r="Q689" s="40"/>
      <c r="R689" s="40"/>
      <c r="S689" s="40"/>
      <c r="T689" s="38"/>
      <c r="U689" s="38"/>
      <c r="V689" s="3019" t="s">
        <v>450</v>
      </c>
      <c r="W689" s="3328"/>
      <c r="X689" s="3328"/>
      <c r="Y689" s="3020"/>
      <c r="Z689" s="1110" t="s">
        <v>451</v>
      </c>
      <c r="AA689" s="1044"/>
      <c r="AB689" s="35"/>
      <c r="AC689" s="183"/>
    </row>
    <row r="690" spans="1:29" x14ac:dyDescent="0.2">
      <c r="A690" s="1422"/>
      <c r="B690" s="2999" t="s">
        <v>278</v>
      </c>
      <c r="C690" s="2988" t="s">
        <v>21</v>
      </c>
      <c r="D690" s="2847" t="s">
        <v>22</v>
      </c>
      <c r="E690" s="2847" t="s">
        <v>23</v>
      </c>
      <c r="F690" s="2847" t="s">
        <v>24</v>
      </c>
      <c r="G690" s="2847" t="s">
        <v>25</v>
      </c>
      <c r="H690" s="2847" t="s">
        <v>26</v>
      </c>
      <c r="I690" s="2847" t="s">
        <v>27</v>
      </c>
      <c r="J690" s="3206" t="s">
        <v>28</v>
      </c>
      <c r="K690" s="3301"/>
      <c r="L690" s="2988" t="s">
        <v>279</v>
      </c>
      <c r="M690" s="3273" t="s">
        <v>280</v>
      </c>
      <c r="N690" s="3274"/>
      <c r="O690" s="2847" t="s">
        <v>281</v>
      </c>
      <c r="P690" s="2847"/>
      <c r="Q690" s="2847"/>
      <c r="R690" s="2847"/>
      <c r="S690" s="2847"/>
      <c r="T690" s="2847"/>
      <c r="U690" s="2847"/>
      <c r="V690" s="2847"/>
      <c r="W690" s="2847"/>
      <c r="X690" s="2847"/>
      <c r="Y690" s="2847"/>
      <c r="Z690" s="2847"/>
      <c r="AA690" s="2988" t="s">
        <v>32</v>
      </c>
      <c r="AB690" s="35"/>
      <c r="AC690" s="183"/>
    </row>
    <row r="691" spans="1:29" x14ac:dyDescent="0.2">
      <c r="A691" s="1422"/>
      <c r="B691" s="2999"/>
      <c r="C691" s="3186"/>
      <c r="D691" s="2847"/>
      <c r="E691" s="2847"/>
      <c r="F691" s="2847"/>
      <c r="G691" s="2847"/>
      <c r="H691" s="2847"/>
      <c r="I691" s="2847"/>
      <c r="J691" s="2988" t="s">
        <v>33</v>
      </c>
      <c r="K691" s="2847" t="s">
        <v>282</v>
      </c>
      <c r="L691" s="3186"/>
      <c r="M691" s="3275"/>
      <c r="N691" s="3276"/>
      <c r="O691" s="1009" t="s">
        <v>283</v>
      </c>
      <c r="P691" s="1009" t="s">
        <v>284</v>
      </c>
      <c r="Q691" s="1009" t="s">
        <v>285</v>
      </c>
      <c r="R691" s="1009" t="s">
        <v>88</v>
      </c>
      <c r="S691" s="1009" t="s">
        <v>89</v>
      </c>
      <c r="T691" s="1009" t="s">
        <v>90</v>
      </c>
      <c r="U691" s="1009" t="s">
        <v>91</v>
      </c>
      <c r="V691" s="1009" t="s">
        <v>92</v>
      </c>
      <c r="W691" s="1009" t="s">
        <v>286</v>
      </c>
      <c r="X691" s="1009" t="s">
        <v>93</v>
      </c>
      <c r="Y691" s="1009" t="s">
        <v>94</v>
      </c>
      <c r="Z691" s="1009" t="s">
        <v>95</v>
      </c>
      <c r="AA691" s="2989"/>
      <c r="AB691" s="35"/>
      <c r="AC691" s="183"/>
    </row>
    <row r="692" spans="1:29" x14ac:dyDescent="0.2">
      <c r="A692" s="1422"/>
      <c r="B692" s="2999"/>
      <c r="C692" s="3186"/>
      <c r="D692" s="2847"/>
      <c r="E692" s="2847"/>
      <c r="F692" s="2847"/>
      <c r="G692" s="2847"/>
      <c r="H692" s="2847"/>
      <c r="I692" s="2847"/>
      <c r="J692" s="3186"/>
      <c r="K692" s="2847"/>
      <c r="L692" s="3186"/>
      <c r="M692" s="3271" t="s">
        <v>287</v>
      </c>
      <c r="N692" s="3272"/>
      <c r="O692" s="46">
        <v>13540.833333333334</v>
      </c>
      <c r="P692" s="46">
        <v>13541</v>
      </c>
      <c r="Q692" s="46">
        <v>13541</v>
      </c>
      <c r="R692" s="46">
        <v>13541</v>
      </c>
      <c r="S692" s="46">
        <v>13541</v>
      </c>
      <c r="T692" s="46">
        <v>13541</v>
      </c>
      <c r="U692" s="46">
        <v>13540</v>
      </c>
      <c r="V692" s="46">
        <v>13540</v>
      </c>
      <c r="W692" s="46">
        <v>13541</v>
      </c>
      <c r="X692" s="46">
        <v>13541</v>
      </c>
      <c r="Y692" s="46">
        <v>13541</v>
      </c>
      <c r="Z692" s="46">
        <v>13541</v>
      </c>
      <c r="AA692" s="1196">
        <f>SUM(O692:Z692)</f>
        <v>162489.83333333334</v>
      </c>
      <c r="AB692" s="35"/>
      <c r="AC692" s="183"/>
    </row>
    <row r="693" spans="1:29" x14ac:dyDescent="0.2">
      <c r="A693" s="1422"/>
      <c r="B693" s="2999"/>
      <c r="C693" s="2989"/>
      <c r="D693" s="2847"/>
      <c r="E693" s="2847"/>
      <c r="F693" s="2847"/>
      <c r="G693" s="2847"/>
      <c r="H693" s="2847"/>
      <c r="I693" s="2847"/>
      <c r="J693" s="2989"/>
      <c r="K693" s="2847"/>
      <c r="L693" s="2989"/>
      <c r="M693" s="3271" t="s">
        <v>34</v>
      </c>
      <c r="N693" s="3272"/>
      <c r="O693" s="36">
        <f>SUM(O694:O714)</f>
        <v>119713</v>
      </c>
      <c r="P693" s="36">
        <f t="shared" ref="P693:Z693" si="48">SUM(P694:P714)</f>
        <v>109122.0909090909</v>
      </c>
      <c r="Q693" s="36">
        <f t="shared" si="48"/>
        <v>119372.0909090909</v>
      </c>
      <c r="R693" s="36">
        <f t="shared" si="48"/>
        <v>111355.42424242423</v>
      </c>
      <c r="S693" s="36">
        <f t="shared" si="48"/>
        <v>111122.0909090909</v>
      </c>
      <c r="T693" s="36">
        <f t="shared" si="48"/>
        <v>110022.0909090909</v>
      </c>
      <c r="U693" s="36">
        <f t="shared" si="48"/>
        <v>119702.0909090909</v>
      </c>
      <c r="V693" s="36">
        <f t="shared" si="48"/>
        <v>121772.0909090909</v>
      </c>
      <c r="W693" s="36">
        <f t="shared" si="48"/>
        <v>109122.0909090909</v>
      </c>
      <c r="X693" s="36">
        <f t="shared" si="48"/>
        <v>110022.0909090909</v>
      </c>
      <c r="Y693" s="36">
        <f t="shared" si="48"/>
        <v>111788.75757575757</v>
      </c>
      <c r="Z693" s="36">
        <f t="shared" si="48"/>
        <v>120602.0909090909</v>
      </c>
      <c r="AA693" s="1196">
        <f t="shared" ref="AA693:AA714" si="49">SUM(O693:Z693)</f>
        <v>1373716</v>
      </c>
      <c r="AB693" s="35"/>
      <c r="AC693" s="183"/>
    </row>
    <row r="694" spans="1:29" ht="11.25" customHeight="1" x14ac:dyDescent="0.2">
      <c r="A694" s="1422"/>
      <c r="B694" s="2522">
        <v>5000059</v>
      </c>
      <c r="C694" s="2514" t="s">
        <v>3049</v>
      </c>
      <c r="D694" s="2420">
        <v>23</v>
      </c>
      <c r="E694" s="2420" t="s">
        <v>447</v>
      </c>
      <c r="F694" s="2420" t="s">
        <v>313</v>
      </c>
      <c r="G694" s="2420" t="s">
        <v>329</v>
      </c>
      <c r="H694" s="2420" t="s">
        <v>452</v>
      </c>
      <c r="I694" s="2420" t="s">
        <v>354</v>
      </c>
      <c r="J694" s="2514">
        <v>162490</v>
      </c>
      <c r="K694" s="40">
        <v>402384</v>
      </c>
      <c r="L694" s="3294" t="s">
        <v>446</v>
      </c>
      <c r="M694" s="3335" t="s">
        <v>293</v>
      </c>
      <c r="N694" s="3336"/>
      <c r="O694" s="40">
        <f>$K694/12</f>
        <v>33532</v>
      </c>
      <c r="P694" s="40">
        <f t="shared" ref="P694:Z698" si="50">$K694/12</f>
        <v>33532</v>
      </c>
      <c r="Q694" s="40">
        <f t="shared" si="50"/>
        <v>33532</v>
      </c>
      <c r="R694" s="40">
        <f t="shared" si="50"/>
        <v>33532</v>
      </c>
      <c r="S694" s="40">
        <f t="shared" si="50"/>
        <v>33532</v>
      </c>
      <c r="T694" s="40">
        <f t="shared" si="50"/>
        <v>33532</v>
      </c>
      <c r="U694" s="40">
        <f t="shared" si="50"/>
        <v>33532</v>
      </c>
      <c r="V694" s="40">
        <f t="shared" si="50"/>
        <v>33532</v>
      </c>
      <c r="W694" s="40">
        <f t="shared" si="50"/>
        <v>33532</v>
      </c>
      <c r="X694" s="40">
        <f t="shared" si="50"/>
        <v>33532</v>
      </c>
      <c r="Y694" s="40">
        <f t="shared" si="50"/>
        <v>33532</v>
      </c>
      <c r="Z694" s="40">
        <f t="shared" si="50"/>
        <v>33532</v>
      </c>
      <c r="AA694" s="966">
        <f>SUM(O694:Z694)</f>
        <v>402384</v>
      </c>
      <c r="AB694" s="35"/>
      <c r="AC694" s="183"/>
    </row>
    <row r="695" spans="1:29" x14ac:dyDescent="0.2">
      <c r="A695" s="1422"/>
      <c r="B695" s="2522"/>
      <c r="C695" s="2515"/>
      <c r="D695" s="2420"/>
      <c r="E695" s="2420"/>
      <c r="F695" s="2420"/>
      <c r="G695" s="2420"/>
      <c r="H695" s="2420"/>
      <c r="I695" s="2420"/>
      <c r="J695" s="2515"/>
      <c r="K695" s="40">
        <v>75707</v>
      </c>
      <c r="L695" s="3295"/>
      <c r="M695" s="3335" t="s">
        <v>321</v>
      </c>
      <c r="N695" s="3336"/>
      <c r="O695" s="40">
        <f t="shared" ref="O695:O698" si="51">$K695/12</f>
        <v>6308.916666666667</v>
      </c>
      <c r="P695" s="40">
        <f t="shared" si="50"/>
        <v>6308.916666666667</v>
      </c>
      <c r="Q695" s="40">
        <f t="shared" si="50"/>
        <v>6308.916666666667</v>
      </c>
      <c r="R695" s="40">
        <f t="shared" si="50"/>
        <v>6308.916666666667</v>
      </c>
      <c r="S695" s="40">
        <f t="shared" si="50"/>
        <v>6308.916666666667</v>
      </c>
      <c r="T695" s="40">
        <f t="shared" si="50"/>
        <v>6308.916666666667</v>
      </c>
      <c r="U695" s="40">
        <f t="shared" si="50"/>
        <v>6308.916666666667</v>
      </c>
      <c r="V695" s="40">
        <f t="shared" si="50"/>
        <v>6308.916666666667</v>
      </c>
      <c r="W695" s="40">
        <f t="shared" si="50"/>
        <v>6308.916666666667</v>
      </c>
      <c r="X695" s="40">
        <f t="shared" si="50"/>
        <v>6308.916666666667</v>
      </c>
      <c r="Y695" s="40">
        <f t="shared" si="50"/>
        <v>6308.916666666667</v>
      </c>
      <c r="Z695" s="40">
        <f t="shared" si="50"/>
        <v>6308.916666666667</v>
      </c>
      <c r="AA695" s="966">
        <f t="shared" si="49"/>
        <v>75707</v>
      </c>
      <c r="AB695" s="35"/>
      <c r="AC695" s="183"/>
    </row>
    <row r="696" spans="1:29" x14ac:dyDescent="0.2">
      <c r="A696" s="1422"/>
      <c r="B696" s="2522"/>
      <c r="C696" s="2515"/>
      <c r="D696" s="2420"/>
      <c r="E696" s="2420"/>
      <c r="F696" s="2420"/>
      <c r="G696" s="2420"/>
      <c r="H696" s="2420"/>
      <c r="I696" s="2420"/>
      <c r="J696" s="2515"/>
      <c r="K696" s="40">
        <v>444552</v>
      </c>
      <c r="L696" s="3295"/>
      <c r="M696" s="3335" t="s">
        <v>295</v>
      </c>
      <c r="N696" s="3336"/>
      <c r="O696" s="40">
        <f t="shared" si="51"/>
        <v>37046</v>
      </c>
      <c r="P696" s="40">
        <f t="shared" si="50"/>
        <v>37046</v>
      </c>
      <c r="Q696" s="40">
        <f t="shared" si="50"/>
        <v>37046</v>
      </c>
      <c r="R696" s="40">
        <f t="shared" si="50"/>
        <v>37046</v>
      </c>
      <c r="S696" s="40">
        <f t="shared" si="50"/>
        <v>37046</v>
      </c>
      <c r="T696" s="40">
        <f t="shared" si="50"/>
        <v>37046</v>
      </c>
      <c r="U696" s="40">
        <f t="shared" si="50"/>
        <v>37046</v>
      </c>
      <c r="V696" s="40">
        <f t="shared" si="50"/>
        <v>37046</v>
      </c>
      <c r="W696" s="40">
        <f t="shared" si="50"/>
        <v>37046</v>
      </c>
      <c r="X696" s="40">
        <f t="shared" si="50"/>
        <v>37046</v>
      </c>
      <c r="Y696" s="40">
        <f t="shared" si="50"/>
        <v>37046</v>
      </c>
      <c r="Z696" s="40">
        <f t="shared" si="50"/>
        <v>37046</v>
      </c>
      <c r="AA696" s="966">
        <f t="shared" si="49"/>
        <v>444552</v>
      </c>
      <c r="AB696" s="35"/>
      <c r="AC696" s="183"/>
    </row>
    <row r="697" spans="1:29" x14ac:dyDescent="0.2">
      <c r="A697" s="1422"/>
      <c r="B697" s="2522"/>
      <c r="C697" s="2515"/>
      <c r="D697" s="2420"/>
      <c r="E697" s="2420"/>
      <c r="F697" s="2420"/>
      <c r="G697" s="2420"/>
      <c r="H697" s="2420"/>
      <c r="I697" s="2420"/>
      <c r="J697" s="2515"/>
      <c r="K697" s="40">
        <v>199538</v>
      </c>
      <c r="L697" s="3295"/>
      <c r="M697" s="3335" t="s">
        <v>296</v>
      </c>
      <c r="N697" s="3336"/>
      <c r="O697" s="40">
        <f t="shared" si="51"/>
        <v>16628.166666666668</v>
      </c>
      <c r="P697" s="40">
        <f t="shared" si="50"/>
        <v>16628.166666666668</v>
      </c>
      <c r="Q697" s="40">
        <f t="shared" si="50"/>
        <v>16628.166666666668</v>
      </c>
      <c r="R697" s="40">
        <f t="shared" si="50"/>
        <v>16628.166666666668</v>
      </c>
      <c r="S697" s="40">
        <f t="shared" si="50"/>
        <v>16628.166666666668</v>
      </c>
      <c r="T697" s="40">
        <f t="shared" si="50"/>
        <v>16628.166666666668</v>
      </c>
      <c r="U697" s="40">
        <f t="shared" si="50"/>
        <v>16628.166666666668</v>
      </c>
      <c r="V697" s="40">
        <f t="shared" si="50"/>
        <v>16628.166666666668</v>
      </c>
      <c r="W697" s="40">
        <f t="shared" si="50"/>
        <v>16628.166666666668</v>
      </c>
      <c r="X697" s="40">
        <f t="shared" si="50"/>
        <v>16628.166666666668</v>
      </c>
      <c r="Y697" s="40">
        <f t="shared" si="50"/>
        <v>16628.166666666668</v>
      </c>
      <c r="Z697" s="40">
        <f t="shared" si="50"/>
        <v>16628.166666666668</v>
      </c>
      <c r="AA697" s="966">
        <f t="shared" si="49"/>
        <v>199537.99999999997</v>
      </c>
      <c r="AB697" s="35"/>
      <c r="AC697" s="183"/>
    </row>
    <row r="698" spans="1:29" x14ac:dyDescent="0.2">
      <c r="A698" s="1422"/>
      <c r="B698" s="2522"/>
      <c r="C698" s="2515"/>
      <c r="D698" s="2420"/>
      <c r="E698" s="2420"/>
      <c r="F698" s="2420"/>
      <c r="G698" s="2420"/>
      <c r="H698" s="2420"/>
      <c r="I698" s="2420"/>
      <c r="J698" s="2515"/>
      <c r="K698" s="40">
        <v>63528</v>
      </c>
      <c r="L698" s="3295"/>
      <c r="M698" s="3335" t="s">
        <v>297</v>
      </c>
      <c r="N698" s="3336"/>
      <c r="O698" s="40">
        <f t="shared" si="51"/>
        <v>5294</v>
      </c>
      <c r="P698" s="40">
        <f t="shared" si="50"/>
        <v>5294</v>
      </c>
      <c r="Q698" s="40">
        <f t="shared" si="50"/>
        <v>5294</v>
      </c>
      <c r="R698" s="40">
        <f t="shared" si="50"/>
        <v>5294</v>
      </c>
      <c r="S698" s="40">
        <f t="shared" si="50"/>
        <v>5294</v>
      </c>
      <c r="T698" s="40">
        <f t="shared" si="50"/>
        <v>5294</v>
      </c>
      <c r="U698" s="40">
        <f t="shared" si="50"/>
        <v>5294</v>
      </c>
      <c r="V698" s="40">
        <f t="shared" si="50"/>
        <v>5294</v>
      </c>
      <c r="W698" s="40">
        <f t="shared" si="50"/>
        <v>5294</v>
      </c>
      <c r="X698" s="40">
        <f t="shared" si="50"/>
        <v>5294</v>
      </c>
      <c r="Y698" s="40">
        <f t="shared" si="50"/>
        <v>5294</v>
      </c>
      <c r="Z698" s="40">
        <f t="shared" si="50"/>
        <v>5294</v>
      </c>
      <c r="AA698" s="966">
        <f t="shared" si="49"/>
        <v>63528</v>
      </c>
      <c r="AB698" s="35"/>
      <c r="AC698" s="183"/>
    </row>
    <row r="699" spans="1:29" x14ac:dyDescent="0.2">
      <c r="A699" s="1422"/>
      <c r="B699" s="2522"/>
      <c r="C699" s="2515"/>
      <c r="D699" s="2420"/>
      <c r="E699" s="2420"/>
      <c r="F699" s="2420"/>
      <c r="G699" s="2420"/>
      <c r="H699" s="2420"/>
      <c r="I699" s="2420"/>
      <c r="J699" s="2515"/>
      <c r="K699" s="40">
        <v>21160</v>
      </c>
      <c r="L699" s="3295"/>
      <c r="M699" s="3335" t="s">
        <v>298</v>
      </c>
      <c r="N699" s="3336"/>
      <c r="O699" s="37"/>
      <c r="P699" s="38"/>
      <c r="Q699" s="38"/>
      <c r="R699" s="38"/>
      <c r="S699" s="38"/>
      <c r="T699" s="38"/>
      <c r="U699" s="40">
        <f>$K699/2</f>
        <v>10580</v>
      </c>
      <c r="V699" s="38"/>
      <c r="W699" s="38"/>
      <c r="X699" s="38"/>
      <c r="Y699" s="38"/>
      <c r="Z699" s="40">
        <f>$K699/2</f>
        <v>10580</v>
      </c>
      <c r="AA699" s="966">
        <f t="shared" si="49"/>
        <v>21160</v>
      </c>
      <c r="AB699" s="35"/>
      <c r="AC699" s="183"/>
    </row>
    <row r="700" spans="1:29" x14ac:dyDescent="0.2">
      <c r="A700" s="1422"/>
      <c r="B700" s="2522"/>
      <c r="C700" s="2515"/>
      <c r="D700" s="2420"/>
      <c r="E700" s="2420"/>
      <c r="F700" s="2420"/>
      <c r="G700" s="2420"/>
      <c r="H700" s="2420"/>
      <c r="I700" s="2420"/>
      <c r="J700" s="2515"/>
      <c r="K700" s="40">
        <v>14000</v>
      </c>
      <c r="L700" s="3295"/>
      <c r="M700" s="3335" t="s">
        <v>299</v>
      </c>
      <c r="N700" s="3336"/>
      <c r="O700" s="37">
        <f>$K700</f>
        <v>14000</v>
      </c>
      <c r="P700" s="38"/>
      <c r="Q700" s="37"/>
      <c r="R700" s="38"/>
      <c r="S700" s="38"/>
      <c r="T700" s="38"/>
      <c r="U700" s="38"/>
      <c r="V700" s="38"/>
      <c r="W700" s="38"/>
      <c r="X700" s="38"/>
      <c r="Y700" s="38"/>
      <c r="Z700" s="38"/>
      <c r="AA700" s="966">
        <f t="shared" si="49"/>
        <v>14000</v>
      </c>
      <c r="AB700" s="35"/>
      <c r="AC700" s="183"/>
    </row>
    <row r="701" spans="1:29" x14ac:dyDescent="0.2">
      <c r="A701" s="1422"/>
      <c r="B701" s="2522"/>
      <c r="C701" s="2515"/>
      <c r="D701" s="2420"/>
      <c r="E701" s="2420"/>
      <c r="F701" s="2420"/>
      <c r="G701" s="2420"/>
      <c r="H701" s="2420"/>
      <c r="I701" s="2420"/>
      <c r="J701" s="2515"/>
      <c r="K701" s="40">
        <v>53658</v>
      </c>
      <c r="L701" s="3295"/>
      <c r="M701" s="3335" t="s">
        <v>300</v>
      </c>
      <c r="N701" s="3336"/>
      <c r="O701" s="40">
        <f t="shared" ref="O701:Z702" si="52">$K701/12</f>
        <v>4471.5</v>
      </c>
      <c r="P701" s="40">
        <f t="shared" si="52"/>
        <v>4471.5</v>
      </c>
      <c r="Q701" s="40">
        <f t="shared" si="52"/>
        <v>4471.5</v>
      </c>
      <c r="R701" s="40">
        <f t="shared" si="52"/>
        <v>4471.5</v>
      </c>
      <c r="S701" s="40">
        <f t="shared" si="52"/>
        <v>4471.5</v>
      </c>
      <c r="T701" s="40">
        <f t="shared" si="52"/>
        <v>4471.5</v>
      </c>
      <c r="U701" s="40">
        <f t="shared" si="52"/>
        <v>4471.5</v>
      </c>
      <c r="V701" s="40">
        <f t="shared" si="52"/>
        <v>4471.5</v>
      </c>
      <c r="W701" s="40">
        <f t="shared" si="52"/>
        <v>4471.5</v>
      </c>
      <c r="X701" s="40">
        <f t="shared" si="52"/>
        <v>4471.5</v>
      </c>
      <c r="Y701" s="40">
        <f t="shared" si="52"/>
        <v>4471.5</v>
      </c>
      <c r="Z701" s="40">
        <f t="shared" si="52"/>
        <v>4471.5</v>
      </c>
      <c r="AA701" s="966">
        <f t="shared" si="49"/>
        <v>53658</v>
      </c>
      <c r="AB701" s="35"/>
      <c r="AC701" s="183"/>
    </row>
    <row r="702" spans="1:29" x14ac:dyDescent="0.2">
      <c r="A702" s="1422"/>
      <c r="B702" s="2522"/>
      <c r="C702" s="2515"/>
      <c r="D702" s="2420"/>
      <c r="E702" s="2420"/>
      <c r="F702" s="2420"/>
      <c r="G702" s="2420"/>
      <c r="H702" s="2420"/>
      <c r="I702" s="2420"/>
      <c r="J702" s="2515"/>
      <c r="K702" s="40">
        <v>2856</v>
      </c>
      <c r="L702" s="3295"/>
      <c r="M702" s="3335" t="s">
        <v>301</v>
      </c>
      <c r="N702" s="3336"/>
      <c r="O702" s="40">
        <f t="shared" si="52"/>
        <v>238</v>
      </c>
      <c r="P702" s="40">
        <f t="shared" si="52"/>
        <v>238</v>
      </c>
      <c r="Q702" s="40">
        <f t="shared" si="52"/>
        <v>238</v>
      </c>
      <c r="R702" s="40">
        <f t="shared" si="52"/>
        <v>238</v>
      </c>
      <c r="S702" s="40">
        <f t="shared" si="52"/>
        <v>238</v>
      </c>
      <c r="T702" s="40">
        <f t="shared" si="52"/>
        <v>238</v>
      </c>
      <c r="U702" s="40">
        <f t="shared" si="52"/>
        <v>238</v>
      </c>
      <c r="V702" s="40">
        <f t="shared" si="52"/>
        <v>238</v>
      </c>
      <c r="W702" s="40">
        <f t="shared" si="52"/>
        <v>238</v>
      </c>
      <c r="X702" s="40">
        <f t="shared" si="52"/>
        <v>238</v>
      </c>
      <c r="Y702" s="40">
        <f t="shared" si="52"/>
        <v>238</v>
      </c>
      <c r="Z702" s="40">
        <f t="shared" si="52"/>
        <v>238</v>
      </c>
      <c r="AA702" s="966">
        <f t="shared" si="49"/>
        <v>2856</v>
      </c>
      <c r="AB702" s="35"/>
      <c r="AC702" s="183"/>
    </row>
    <row r="703" spans="1:29" x14ac:dyDescent="0.2">
      <c r="A703" s="1422"/>
      <c r="B703" s="2522"/>
      <c r="C703" s="2515"/>
      <c r="D703" s="2420"/>
      <c r="E703" s="2420"/>
      <c r="F703" s="2420"/>
      <c r="G703" s="2420"/>
      <c r="H703" s="2420"/>
      <c r="I703" s="2420"/>
      <c r="J703" s="2515"/>
      <c r="K703" s="40">
        <v>7000</v>
      </c>
      <c r="L703" s="3295"/>
      <c r="M703" s="3335" t="s">
        <v>340</v>
      </c>
      <c r="N703" s="3336"/>
      <c r="O703" s="40"/>
      <c r="P703" s="40">
        <f>$K703/11</f>
        <v>636.36363636363637</v>
      </c>
      <c r="Q703" s="40">
        <f t="shared" ref="Q703:Z705" si="53">$K703/11</f>
        <v>636.36363636363637</v>
      </c>
      <c r="R703" s="40">
        <f t="shared" si="53"/>
        <v>636.36363636363637</v>
      </c>
      <c r="S703" s="40">
        <f t="shared" si="53"/>
        <v>636.36363636363637</v>
      </c>
      <c r="T703" s="40">
        <f t="shared" si="53"/>
        <v>636.36363636363637</v>
      </c>
      <c r="U703" s="40">
        <f t="shared" si="53"/>
        <v>636.36363636363637</v>
      </c>
      <c r="V703" s="40">
        <f t="shared" si="53"/>
        <v>636.36363636363637</v>
      </c>
      <c r="W703" s="40">
        <f t="shared" si="53"/>
        <v>636.36363636363637</v>
      </c>
      <c r="X703" s="40">
        <f t="shared" si="53"/>
        <v>636.36363636363637</v>
      </c>
      <c r="Y703" s="40">
        <f t="shared" si="53"/>
        <v>636.36363636363637</v>
      </c>
      <c r="Z703" s="40">
        <f t="shared" si="53"/>
        <v>636.36363636363637</v>
      </c>
      <c r="AA703" s="966">
        <f t="shared" si="49"/>
        <v>6999.9999999999991</v>
      </c>
      <c r="AB703" s="35"/>
      <c r="AC703" s="183"/>
    </row>
    <row r="704" spans="1:29" x14ac:dyDescent="0.2">
      <c r="A704" s="1422"/>
      <c r="B704" s="2522"/>
      <c r="C704" s="2515"/>
      <c r="D704" s="2420"/>
      <c r="E704" s="2420"/>
      <c r="F704" s="2420"/>
      <c r="G704" s="2420"/>
      <c r="H704" s="2420"/>
      <c r="I704" s="2420"/>
      <c r="J704" s="2515"/>
      <c r="K704" s="40">
        <v>6500</v>
      </c>
      <c r="L704" s="3295"/>
      <c r="M704" s="3335" t="s">
        <v>303</v>
      </c>
      <c r="N704" s="3336"/>
      <c r="O704" s="37"/>
      <c r="P704" s="38"/>
      <c r="Q704" s="40">
        <f>$K704/2</f>
        <v>3250</v>
      </c>
      <c r="R704" s="37"/>
      <c r="S704" s="37"/>
      <c r="T704" s="37"/>
      <c r="U704" s="40"/>
      <c r="V704" s="40">
        <f>$K704/2</f>
        <v>3250</v>
      </c>
      <c r="W704" s="38"/>
      <c r="X704" s="38"/>
      <c r="Y704" s="38"/>
      <c r="Z704" s="38"/>
      <c r="AA704" s="966">
        <f t="shared" si="49"/>
        <v>6500</v>
      </c>
      <c r="AB704" s="35"/>
      <c r="AC704" s="183"/>
    </row>
    <row r="705" spans="1:29" x14ac:dyDescent="0.2">
      <c r="A705" s="1422"/>
      <c r="B705" s="2522"/>
      <c r="C705" s="2515"/>
      <c r="D705" s="2420"/>
      <c r="E705" s="2420"/>
      <c r="F705" s="2420"/>
      <c r="G705" s="2420"/>
      <c r="H705" s="2420"/>
      <c r="I705" s="2420"/>
      <c r="J705" s="2515"/>
      <c r="K705" s="40">
        <v>2500</v>
      </c>
      <c r="L705" s="3295"/>
      <c r="M705" s="3335" t="s">
        <v>381</v>
      </c>
      <c r="N705" s="3336"/>
      <c r="O705" s="40"/>
      <c r="P705" s="40">
        <f>$K705/11</f>
        <v>227.27272727272728</v>
      </c>
      <c r="Q705" s="40">
        <f t="shared" si="53"/>
        <v>227.27272727272728</v>
      </c>
      <c r="R705" s="40">
        <f t="shared" si="53"/>
        <v>227.27272727272728</v>
      </c>
      <c r="S705" s="40">
        <f t="shared" si="53"/>
        <v>227.27272727272728</v>
      </c>
      <c r="T705" s="40">
        <f t="shared" si="53"/>
        <v>227.27272727272728</v>
      </c>
      <c r="U705" s="40">
        <f t="shared" si="53"/>
        <v>227.27272727272728</v>
      </c>
      <c r="V705" s="40">
        <f t="shared" si="53"/>
        <v>227.27272727272728</v>
      </c>
      <c r="W705" s="40">
        <f t="shared" si="53"/>
        <v>227.27272727272728</v>
      </c>
      <c r="X705" s="40">
        <f t="shared" si="53"/>
        <v>227.27272727272728</v>
      </c>
      <c r="Y705" s="40">
        <f t="shared" si="53"/>
        <v>227.27272727272728</v>
      </c>
      <c r="Z705" s="40">
        <f t="shared" si="53"/>
        <v>227.27272727272728</v>
      </c>
      <c r="AA705" s="966">
        <f t="shared" si="49"/>
        <v>2500.0000000000005</v>
      </c>
      <c r="AB705" s="35"/>
      <c r="AC705" s="183"/>
    </row>
    <row r="706" spans="1:29" x14ac:dyDescent="0.2">
      <c r="A706" s="1422"/>
      <c r="B706" s="2522"/>
      <c r="C706" s="2515"/>
      <c r="D706" s="2420"/>
      <c r="E706" s="2420"/>
      <c r="F706" s="2420"/>
      <c r="G706" s="2420"/>
      <c r="H706" s="2420"/>
      <c r="I706" s="2420"/>
      <c r="J706" s="2515"/>
      <c r="K706" s="40">
        <v>13000</v>
      </c>
      <c r="L706" s="3295"/>
      <c r="M706" s="3335" t="s">
        <v>304</v>
      </c>
      <c r="N706" s="3336"/>
      <c r="O706" s="37"/>
      <c r="P706" s="38"/>
      <c r="Q706" s="40">
        <f>$K706/2</f>
        <v>6500</v>
      </c>
      <c r="R706" s="38"/>
      <c r="S706" s="38"/>
      <c r="T706" s="38"/>
      <c r="U706" s="38"/>
      <c r="V706" s="40">
        <f>$K706/2</f>
        <v>6500</v>
      </c>
      <c r="W706" s="38"/>
      <c r="X706" s="38"/>
      <c r="Y706" s="38"/>
      <c r="Z706" s="38"/>
      <c r="AA706" s="966">
        <f t="shared" si="49"/>
        <v>13000</v>
      </c>
      <c r="AB706" s="35"/>
      <c r="AC706" s="183"/>
    </row>
    <row r="707" spans="1:29" x14ac:dyDescent="0.2">
      <c r="A707" s="1422"/>
      <c r="B707" s="2522"/>
      <c r="C707" s="2515"/>
      <c r="D707" s="2420"/>
      <c r="E707" s="2420"/>
      <c r="F707" s="2420"/>
      <c r="G707" s="2420"/>
      <c r="H707" s="2420"/>
      <c r="I707" s="2420"/>
      <c r="J707" s="2515"/>
      <c r="K707" s="40">
        <v>5000</v>
      </c>
      <c r="L707" s="3295"/>
      <c r="M707" s="3335" t="s">
        <v>305</v>
      </c>
      <c r="N707" s="3336"/>
      <c r="O707" s="40"/>
      <c r="P707" s="40"/>
      <c r="Q707" s="40"/>
      <c r="R707" s="40">
        <f>$K707*(2/12)</f>
        <v>833.33333333333326</v>
      </c>
      <c r="S707" s="40">
        <f>$K707*(3/12)</f>
        <v>1250</v>
      </c>
      <c r="T707" s="38"/>
      <c r="U707" s="38"/>
      <c r="V707" s="40">
        <f>$K707*(3/12)</f>
        <v>1250</v>
      </c>
      <c r="W707" s="38"/>
      <c r="X707" s="38"/>
      <c r="Y707" s="40">
        <f>$K707*(4/12)</f>
        <v>1666.6666666666665</v>
      </c>
      <c r="Z707" s="38"/>
      <c r="AA707" s="966">
        <f t="shared" si="49"/>
        <v>5000</v>
      </c>
      <c r="AB707" s="35"/>
      <c r="AC707" s="183"/>
    </row>
    <row r="708" spans="1:29" x14ac:dyDescent="0.2">
      <c r="A708" s="1422"/>
      <c r="B708" s="2522"/>
      <c r="C708" s="2515"/>
      <c r="D708" s="2420"/>
      <c r="E708" s="2420"/>
      <c r="F708" s="2420"/>
      <c r="G708" s="2420"/>
      <c r="H708" s="2420"/>
      <c r="I708" s="2420"/>
      <c r="J708" s="2515"/>
      <c r="K708" s="40">
        <v>3000</v>
      </c>
      <c r="L708" s="3295"/>
      <c r="M708" s="3335" t="s">
        <v>306</v>
      </c>
      <c r="N708" s="3336"/>
      <c r="O708" s="37"/>
      <c r="P708" s="38"/>
      <c r="Q708" s="38"/>
      <c r="R708" s="40">
        <f>$K708*(2/12)</f>
        <v>500</v>
      </c>
      <c r="S708" s="40">
        <f>$K708*(3/12)</f>
        <v>750</v>
      </c>
      <c r="T708" s="38"/>
      <c r="U708" s="38"/>
      <c r="V708" s="40">
        <f>$K708*(3/12)</f>
        <v>750</v>
      </c>
      <c r="W708" s="38"/>
      <c r="X708" s="38"/>
      <c r="Y708" s="40">
        <f>$K708*(4/12)</f>
        <v>1000</v>
      </c>
      <c r="Z708" s="38"/>
      <c r="AA708" s="966">
        <f t="shared" si="49"/>
        <v>3000</v>
      </c>
      <c r="AB708" s="35"/>
      <c r="AC708" s="183"/>
    </row>
    <row r="709" spans="1:29" x14ac:dyDescent="0.2">
      <c r="A709" s="1422"/>
      <c r="B709" s="2522"/>
      <c r="C709" s="2515"/>
      <c r="D709" s="2420"/>
      <c r="E709" s="2420"/>
      <c r="F709" s="2420"/>
      <c r="G709" s="2420"/>
      <c r="H709" s="2420"/>
      <c r="I709" s="2420"/>
      <c r="J709" s="2515"/>
      <c r="K709" s="40">
        <v>24000</v>
      </c>
      <c r="L709" s="3295"/>
      <c r="M709" s="3335" t="s">
        <v>355</v>
      </c>
      <c r="N709" s="3336"/>
      <c r="O709" s="40"/>
      <c r="P709" s="40">
        <f t="shared" ref="P709:Z710" si="54">$K709/11</f>
        <v>2181.818181818182</v>
      </c>
      <c r="Q709" s="40">
        <f t="shared" si="54"/>
        <v>2181.818181818182</v>
      </c>
      <c r="R709" s="40">
        <f t="shared" si="54"/>
        <v>2181.818181818182</v>
      </c>
      <c r="S709" s="40">
        <f t="shared" si="54"/>
        <v>2181.818181818182</v>
      </c>
      <c r="T709" s="40">
        <f t="shared" si="54"/>
        <v>2181.818181818182</v>
      </c>
      <c r="U709" s="40">
        <f t="shared" si="54"/>
        <v>2181.818181818182</v>
      </c>
      <c r="V709" s="40">
        <f t="shared" si="54"/>
        <v>2181.818181818182</v>
      </c>
      <c r="W709" s="40">
        <f t="shared" si="54"/>
        <v>2181.818181818182</v>
      </c>
      <c r="X709" s="40">
        <f t="shared" si="54"/>
        <v>2181.818181818182</v>
      </c>
      <c r="Y709" s="40">
        <f t="shared" si="54"/>
        <v>2181.818181818182</v>
      </c>
      <c r="Z709" s="40">
        <f t="shared" si="54"/>
        <v>2181.818181818182</v>
      </c>
      <c r="AA709" s="966">
        <f t="shared" si="49"/>
        <v>24000.000000000007</v>
      </c>
      <c r="AB709" s="35"/>
      <c r="AC709" s="183"/>
    </row>
    <row r="710" spans="1:29" x14ac:dyDescent="0.2">
      <c r="A710" s="1422"/>
      <c r="B710" s="2522"/>
      <c r="C710" s="2515"/>
      <c r="D710" s="2420"/>
      <c r="E710" s="2420"/>
      <c r="F710" s="2420"/>
      <c r="G710" s="2420"/>
      <c r="H710" s="2420"/>
      <c r="I710" s="2420"/>
      <c r="J710" s="2515"/>
      <c r="K710" s="40">
        <v>4000</v>
      </c>
      <c r="L710" s="3295"/>
      <c r="M710" s="3335" t="s">
        <v>356</v>
      </c>
      <c r="N710" s="3336"/>
      <c r="O710" s="40"/>
      <c r="P710" s="40">
        <f t="shared" si="54"/>
        <v>363.63636363636363</v>
      </c>
      <c r="Q710" s="40">
        <f t="shared" si="54"/>
        <v>363.63636363636363</v>
      </c>
      <c r="R710" s="40">
        <f t="shared" si="54"/>
        <v>363.63636363636363</v>
      </c>
      <c r="S710" s="40">
        <f t="shared" si="54"/>
        <v>363.63636363636363</v>
      </c>
      <c r="T710" s="40">
        <f t="shared" si="54"/>
        <v>363.63636363636363</v>
      </c>
      <c r="U710" s="40">
        <f t="shared" si="54"/>
        <v>363.63636363636363</v>
      </c>
      <c r="V710" s="40">
        <f t="shared" si="54"/>
        <v>363.63636363636363</v>
      </c>
      <c r="W710" s="40">
        <f t="shared" si="54"/>
        <v>363.63636363636363</v>
      </c>
      <c r="X710" s="40">
        <f t="shared" si="54"/>
        <v>363.63636363636363</v>
      </c>
      <c r="Y710" s="40">
        <f t="shared" si="54"/>
        <v>363.63636363636363</v>
      </c>
      <c r="Z710" s="40">
        <f t="shared" si="54"/>
        <v>363.63636363636363</v>
      </c>
      <c r="AA710" s="966">
        <f t="shared" si="49"/>
        <v>3999.9999999999991</v>
      </c>
      <c r="AB710" s="35"/>
      <c r="AC710" s="183"/>
    </row>
    <row r="711" spans="1:29" x14ac:dyDescent="0.2">
      <c r="A711" s="1422"/>
      <c r="B711" s="2522"/>
      <c r="C711" s="2515"/>
      <c r="D711" s="2420"/>
      <c r="E711" s="2420"/>
      <c r="F711" s="2420"/>
      <c r="G711" s="2420"/>
      <c r="H711" s="2420"/>
      <c r="I711" s="2420"/>
      <c r="J711" s="2515"/>
      <c r="K711" s="40">
        <v>500</v>
      </c>
      <c r="L711" s="3295"/>
      <c r="M711" s="3335" t="s">
        <v>308</v>
      </c>
      <c r="N711" s="3336"/>
      <c r="O711" s="37"/>
      <c r="P711" s="38"/>
      <c r="Q711" s="40">
        <f>$K711</f>
        <v>500</v>
      </c>
      <c r="R711" s="38"/>
      <c r="S711" s="38"/>
      <c r="T711" s="38"/>
      <c r="U711" s="38"/>
      <c r="V711" s="38"/>
      <c r="W711" s="38"/>
      <c r="X711" s="38"/>
      <c r="Y711" s="38"/>
      <c r="Z711" s="38"/>
      <c r="AA711" s="966">
        <f t="shared" si="49"/>
        <v>500</v>
      </c>
      <c r="AB711" s="35"/>
      <c r="AC711" s="183"/>
    </row>
    <row r="712" spans="1:29" x14ac:dyDescent="0.2">
      <c r="A712" s="1422"/>
      <c r="B712" s="2522"/>
      <c r="C712" s="2515"/>
      <c r="D712" s="2420"/>
      <c r="E712" s="2420"/>
      <c r="F712" s="2420"/>
      <c r="G712" s="2420"/>
      <c r="H712" s="2420"/>
      <c r="I712" s="2420"/>
      <c r="J712" s="2515"/>
      <c r="K712" s="40">
        <v>4500</v>
      </c>
      <c r="L712" s="3295"/>
      <c r="M712" s="3335" t="s">
        <v>309</v>
      </c>
      <c r="N712" s="3336"/>
      <c r="O712" s="37"/>
      <c r="P712" s="38"/>
      <c r="Q712" s="38"/>
      <c r="R712" s="40">
        <f>$K712/5</f>
        <v>900</v>
      </c>
      <c r="S712" s="40"/>
      <c r="T712" s="40">
        <f>$K712/5</f>
        <v>900</v>
      </c>
      <c r="U712" s="38"/>
      <c r="V712" s="40">
        <f>$K712/5</f>
        <v>900</v>
      </c>
      <c r="W712" s="38"/>
      <c r="X712" s="40">
        <f>$K712/5</f>
        <v>900</v>
      </c>
      <c r="Y712" s="38"/>
      <c r="Z712" s="40">
        <f>$K712/5</f>
        <v>900</v>
      </c>
      <c r="AA712" s="966">
        <f t="shared" si="49"/>
        <v>4500</v>
      </c>
      <c r="AB712" s="35"/>
      <c r="AC712" s="183"/>
    </row>
    <row r="713" spans="1:29" x14ac:dyDescent="0.2">
      <c r="A713" s="1422"/>
      <c r="B713" s="2522"/>
      <c r="C713" s="2515"/>
      <c r="D713" s="2420"/>
      <c r="E713" s="2420"/>
      <c r="F713" s="2420"/>
      <c r="G713" s="2420"/>
      <c r="H713" s="2420"/>
      <c r="I713" s="2420"/>
      <c r="J713" s="2515"/>
      <c r="K713" s="40">
        <v>24258</v>
      </c>
      <c r="L713" s="3295"/>
      <c r="M713" s="3335" t="s">
        <v>310</v>
      </c>
      <c r="N713" s="3336"/>
      <c r="O713" s="40">
        <f t="shared" ref="O713:Z714" si="55">$K713/12</f>
        <v>2021.5</v>
      </c>
      <c r="P713" s="40">
        <f t="shared" si="55"/>
        <v>2021.5</v>
      </c>
      <c r="Q713" s="40">
        <f t="shared" si="55"/>
        <v>2021.5</v>
      </c>
      <c r="R713" s="40">
        <f t="shared" si="55"/>
        <v>2021.5</v>
      </c>
      <c r="S713" s="40">
        <f t="shared" si="55"/>
        <v>2021.5</v>
      </c>
      <c r="T713" s="40">
        <f t="shared" si="55"/>
        <v>2021.5</v>
      </c>
      <c r="U713" s="40">
        <f t="shared" si="55"/>
        <v>2021.5</v>
      </c>
      <c r="V713" s="40">
        <f t="shared" si="55"/>
        <v>2021.5</v>
      </c>
      <c r="W713" s="40">
        <f t="shared" si="55"/>
        <v>2021.5</v>
      </c>
      <c r="X713" s="40">
        <f t="shared" si="55"/>
        <v>2021.5</v>
      </c>
      <c r="Y713" s="40">
        <f t="shared" si="55"/>
        <v>2021.5</v>
      </c>
      <c r="Z713" s="40">
        <f t="shared" si="55"/>
        <v>2021.5</v>
      </c>
      <c r="AA713" s="966">
        <f t="shared" si="49"/>
        <v>24258</v>
      </c>
      <c r="AB713" s="35"/>
      <c r="AC713" s="183"/>
    </row>
    <row r="714" spans="1:29" x14ac:dyDescent="0.2">
      <c r="A714" s="1422"/>
      <c r="B714" s="2522"/>
      <c r="C714" s="2516"/>
      <c r="D714" s="2420"/>
      <c r="E714" s="2420"/>
      <c r="F714" s="2420"/>
      <c r="G714" s="2420"/>
      <c r="H714" s="2420"/>
      <c r="I714" s="2420"/>
      <c r="J714" s="2516"/>
      <c r="K714" s="40">
        <v>2075</v>
      </c>
      <c r="L714" s="3296"/>
      <c r="M714" s="3335" t="s">
        <v>311</v>
      </c>
      <c r="N714" s="3336"/>
      <c r="O714" s="40">
        <f t="shared" si="55"/>
        <v>172.91666666666666</v>
      </c>
      <c r="P714" s="40">
        <f t="shared" si="55"/>
        <v>172.91666666666666</v>
      </c>
      <c r="Q714" s="40">
        <f t="shared" si="55"/>
        <v>172.91666666666666</v>
      </c>
      <c r="R714" s="40">
        <f t="shared" si="55"/>
        <v>172.91666666666666</v>
      </c>
      <c r="S714" s="40">
        <f t="shared" si="55"/>
        <v>172.91666666666666</v>
      </c>
      <c r="T714" s="40">
        <f t="shared" si="55"/>
        <v>172.91666666666666</v>
      </c>
      <c r="U714" s="40">
        <f t="shared" si="55"/>
        <v>172.91666666666666</v>
      </c>
      <c r="V714" s="40">
        <f t="shared" si="55"/>
        <v>172.91666666666666</v>
      </c>
      <c r="W714" s="40">
        <f t="shared" si="55"/>
        <v>172.91666666666666</v>
      </c>
      <c r="X714" s="40">
        <f t="shared" si="55"/>
        <v>172.91666666666666</v>
      </c>
      <c r="Y714" s="40">
        <f t="shared" si="55"/>
        <v>172.91666666666666</v>
      </c>
      <c r="Z714" s="40">
        <f t="shared" si="55"/>
        <v>172.91666666666666</v>
      </c>
      <c r="AA714" s="966">
        <f t="shared" si="49"/>
        <v>2075.0000000000005</v>
      </c>
      <c r="AB714" s="35"/>
      <c r="AC714" s="183"/>
    </row>
    <row r="715" spans="1:29" x14ac:dyDescent="0.2">
      <c r="A715" s="1422"/>
      <c r="B715" s="1131" t="s">
        <v>312</v>
      </c>
      <c r="C715" s="191"/>
      <c r="D715" s="191"/>
      <c r="E715" s="191"/>
      <c r="F715" s="191"/>
      <c r="G715" s="191"/>
      <c r="H715" s="191"/>
      <c r="I715" s="191"/>
      <c r="J715" s="191"/>
      <c r="K715" s="40">
        <f>SUM(K694:K714)</f>
        <v>1373716</v>
      </c>
      <c r="L715" s="35"/>
      <c r="M715" s="181"/>
      <c r="N715" s="181"/>
      <c r="O715" s="59"/>
      <c r="P715" s="35"/>
      <c r="Q715" s="35"/>
      <c r="R715" s="35"/>
      <c r="S715" s="35"/>
      <c r="T715" s="35"/>
      <c r="U715" s="35"/>
      <c r="V715" s="35"/>
      <c r="W715" s="35"/>
      <c r="X715" s="35"/>
      <c r="Y715" s="35"/>
      <c r="Z715" s="35"/>
      <c r="AA715" s="40"/>
      <c r="AB715" s="35"/>
      <c r="AC715" s="183"/>
    </row>
    <row r="716" spans="1:29" ht="22.5" x14ac:dyDescent="0.2">
      <c r="A716" s="1422"/>
      <c r="B716" s="1433" t="s">
        <v>276</v>
      </c>
      <c r="C716" s="108"/>
      <c r="D716" s="35">
        <v>3000005</v>
      </c>
      <c r="E716" s="192" t="s">
        <v>453</v>
      </c>
      <c r="F716" s="35"/>
      <c r="G716" s="35"/>
      <c r="H716" s="35"/>
      <c r="I716" s="35"/>
      <c r="J716" s="35"/>
      <c r="K716" s="60"/>
      <c r="L716" s="60"/>
      <c r="M716" s="181"/>
      <c r="N716" s="181"/>
      <c r="O716" s="60"/>
      <c r="P716" s="60"/>
      <c r="Q716" s="60"/>
      <c r="R716" s="60"/>
      <c r="S716" s="60"/>
      <c r="T716" s="35"/>
      <c r="U716" s="35"/>
      <c r="V716" s="2974" t="s">
        <v>15</v>
      </c>
      <c r="W716" s="2975"/>
      <c r="X716" s="2975"/>
      <c r="Y716" s="2976"/>
      <c r="Z716" s="1110" t="s">
        <v>16</v>
      </c>
      <c r="AA716" s="40"/>
      <c r="AB716" s="35"/>
      <c r="AC716" s="183"/>
    </row>
    <row r="717" spans="1:29" ht="22.5" x14ac:dyDescent="0.2">
      <c r="A717" s="1422"/>
      <c r="B717" s="1434"/>
      <c r="C717" s="108"/>
      <c r="D717" s="35"/>
      <c r="E717" s="192"/>
      <c r="F717" s="35"/>
      <c r="G717" s="35"/>
      <c r="H717" s="35"/>
      <c r="I717" s="35"/>
      <c r="J717" s="35"/>
      <c r="K717" s="60"/>
      <c r="L717" s="60"/>
      <c r="M717" s="181"/>
      <c r="N717" s="181"/>
      <c r="O717" s="60"/>
      <c r="P717" s="60"/>
      <c r="Q717" s="60"/>
      <c r="R717" s="60"/>
      <c r="S717" s="60"/>
      <c r="T717" s="35"/>
      <c r="U717" s="35"/>
      <c r="V717" s="3019" t="s">
        <v>454</v>
      </c>
      <c r="W717" s="3328"/>
      <c r="X717" s="3328"/>
      <c r="Y717" s="3020"/>
      <c r="Z717" s="1110" t="s">
        <v>455</v>
      </c>
      <c r="AA717" s="40"/>
      <c r="AB717" s="35"/>
      <c r="AC717" s="183"/>
    </row>
    <row r="718" spans="1:29" x14ac:dyDescent="0.2">
      <c r="A718" s="1422"/>
      <c r="B718" s="2999" t="s">
        <v>278</v>
      </c>
      <c r="C718" s="2988" t="s">
        <v>21</v>
      </c>
      <c r="D718" s="2847" t="s">
        <v>22</v>
      </c>
      <c r="E718" s="2847" t="s">
        <v>23</v>
      </c>
      <c r="F718" s="2847" t="s">
        <v>24</v>
      </c>
      <c r="G718" s="2847" t="s">
        <v>25</v>
      </c>
      <c r="H718" s="2847" t="s">
        <v>26</v>
      </c>
      <c r="I718" s="2847" t="s">
        <v>27</v>
      </c>
      <c r="J718" s="3206" t="s">
        <v>28</v>
      </c>
      <c r="K718" s="3301"/>
      <c r="L718" s="2847" t="s">
        <v>279</v>
      </c>
      <c r="M718" s="3273" t="s">
        <v>280</v>
      </c>
      <c r="N718" s="3274"/>
      <c r="O718" s="2847" t="s">
        <v>281</v>
      </c>
      <c r="P718" s="2847"/>
      <c r="Q718" s="2847"/>
      <c r="R718" s="2847"/>
      <c r="S718" s="2847"/>
      <c r="T718" s="2847"/>
      <c r="U718" s="2847"/>
      <c r="V718" s="2847"/>
      <c r="W718" s="2847"/>
      <c r="X718" s="2847"/>
      <c r="Y718" s="2847"/>
      <c r="Z718" s="2847"/>
      <c r="AA718" s="3184" t="s">
        <v>32</v>
      </c>
      <c r="AB718" s="35"/>
      <c r="AC718" s="183"/>
    </row>
    <row r="719" spans="1:29" x14ac:dyDescent="0.2">
      <c r="A719" s="1422"/>
      <c r="B719" s="2999"/>
      <c r="C719" s="3186"/>
      <c r="D719" s="2847"/>
      <c r="E719" s="2847"/>
      <c r="F719" s="2847"/>
      <c r="G719" s="2847"/>
      <c r="H719" s="2847"/>
      <c r="I719" s="2847"/>
      <c r="J719" s="2988" t="s">
        <v>33</v>
      </c>
      <c r="K719" s="2847" t="s">
        <v>282</v>
      </c>
      <c r="L719" s="2847"/>
      <c r="M719" s="3275"/>
      <c r="N719" s="3276"/>
      <c r="O719" s="1009" t="s">
        <v>283</v>
      </c>
      <c r="P719" s="1009" t="s">
        <v>284</v>
      </c>
      <c r="Q719" s="1009" t="s">
        <v>285</v>
      </c>
      <c r="R719" s="1009" t="s">
        <v>88</v>
      </c>
      <c r="S719" s="1009" t="s">
        <v>89</v>
      </c>
      <c r="T719" s="1009" t="s">
        <v>90</v>
      </c>
      <c r="U719" s="1009" t="s">
        <v>91</v>
      </c>
      <c r="V719" s="1009" t="s">
        <v>92</v>
      </c>
      <c r="W719" s="1009" t="s">
        <v>286</v>
      </c>
      <c r="X719" s="1009" t="s">
        <v>93</v>
      </c>
      <c r="Y719" s="1009" t="s">
        <v>94</v>
      </c>
      <c r="Z719" s="1009" t="s">
        <v>95</v>
      </c>
      <c r="AA719" s="3185"/>
      <c r="AB719" s="35"/>
      <c r="AC719" s="183"/>
    </row>
    <row r="720" spans="1:29" x14ac:dyDescent="0.2">
      <c r="A720" s="1422"/>
      <c r="B720" s="2999"/>
      <c r="C720" s="3186"/>
      <c r="D720" s="2847"/>
      <c r="E720" s="2847"/>
      <c r="F720" s="2847"/>
      <c r="G720" s="2847"/>
      <c r="H720" s="2847"/>
      <c r="I720" s="2847"/>
      <c r="J720" s="3186"/>
      <c r="K720" s="2847"/>
      <c r="L720" s="2847"/>
      <c r="M720" s="3271" t="s">
        <v>287</v>
      </c>
      <c r="N720" s="3272"/>
      <c r="O720" s="1095"/>
      <c r="P720" s="1095"/>
      <c r="Q720" s="1095">
        <v>2861</v>
      </c>
      <c r="R720" s="1095">
        <v>2862</v>
      </c>
      <c r="S720" s="1095">
        <v>2862</v>
      </c>
      <c r="T720" s="1095">
        <v>2862</v>
      </c>
      <c r="U720" s="1095">
        <v>2862</v>
      </c>
      <c r="V720" s="1095">
        <v>2862</v>
      </c>
      <c r="W720" s="1095">
        <v>2862</v>
      </c>
      <c r="X720" s="1095">
        <v>2862</v>
      </c>
      <c r="Y720" s="1095">
        <v>2860</v>
      </c>
      <c r="Z720" s="1095">
        <v>2860</v>
      </c>
      <c r="AA720" s="1196">
        <f>SUM(O720:Z720)</f>
        <v>28615</v>
      </c>
      <c r="AB720" s="35"/>
      <c r="AC720" s="183"/>
    </row>
    <row r="721" spans="1:29" x14ac:dyDescent="0.2">
      <c r="A721" s="1422"/>
      <c r="B721" s="2999"/>
      <c r="C721" s="2989"/>
      <c r="D721" s="2847"/>
      <c r="E721" s="2847"/>
      <c r="F721" s="2847"/>
      <c r="G721" s="2847"/>
      <c r="H721" s="2847"/>
      <c r="I721" s="2847"/>
      <c r="J721" s="2989"/>
      <c r="K721" s="2847"/>
      <c r="L721" s="2847"/>
      <c r="M721" s="3271" t="s">
        <v>34</v>
      </c>
      <c r="N721" s="3272"/>
      <c r="O721" s="36">
        <f>SUM(O722:O739)</f>
        <v>119417.00000000001</v>
      </c>
      <c r="P721" s="36">
        <f t="shared" ref="P721:Z721" si="56">SUM(P722:P739)</f>
        <v>105817.00000000001</v>
      </c>
      <c r="Q721" s="36">
        <f t="shared" si="56"/>
        <v>113467.00000000001</v>
      </c>
      <c r="R721" s="36">
        <f t="shared" si="56"/>
        <v>109118.00000000001</v>
      </c>
      <c r="S721" s="36">
        <f t="shared" si="56"/>
        <v>108542.00000000001</v>
      </c>
      <c r="T721" s="36">
        <f t="shared" si="56"/>
        <v>106992.00000000001</v>
      </c>
      <c r="U721" s="36">
        <f t="shared" si="56"/>
        <v>119344.00000000001</v>
      </c>
      <c r="V721" s="36">
        <f t="shared" si="56"/>
        <v>111567.00000000001</v>
      </c>
      <c r="W721" s="36">
        <f t="shared" si="56"/>
        <v>107767.00000000001</v>
      </c>
      <c r="X721" s="36">
        <f t="shared" si="56"/>
        <v>107568.00000000001</v>
      </c>
      <c r="Y721" s="36">
        <f t="shared" si="56"/>
        <v>107767.00000000001</v>
      </c>
      <c r="Z721" s="36">
        <f t="shared" si="56"/>
        <v>117218.00000000001</v>
      </c>
      <c r="AA721" s="1196">
        <f t="shared" ref="AA721:AA739" si="57">SUM(O721:Z721)</f>
        <v>1334584.0000000002</v>
      </c>
      <c r="AB721" s="35"/>
      <c r="AC721" s="183"/>
    </row>
    <row r="722" spans="1:29" ht="11.25" customHeight="1" x14ac:dyDescent="0.2">
      <c r="A722" s="1422"/>
      <c r="B722" s="2522">
        <v>5000058</v>
      </c>
      <c r="C722" s="2514" t="s">
        <v>3050</v>
      </c>
      <c r="D722" s="2420">
        <v>24</v>
      </c>
      <c r="E722" s="2420" t="s">
        <v>401</v>
      </c>
      <c r="F722" s="2420" t="s">
        <v>386</v>
      </c>
      <c r="G722" s="2420" t="s">
        <v>387</v>
      </c>
      <c r="H722" s="2420" t="s">
        <v>456</v>
      </c>
      <c r="I722" s="2420" t="s">
        <v>457</v>
      </c>
      <c r="J722" s="2514">
        <v>28615</v>
      </c>
      <c r="K722" s="40">
        <v>281925</v>
      </c>
      <c r="L722" s="3294" t="s">
        <v>446</v>
      </c>
      <c r="M722" s="3335" t="s">
        <v>293</v>
      </c>
      <c r="N722" s="3336"/>
      <c r="O722" s="40">
        <f t="shared" ref="O722:Z730" si="58">$K722/12</f>
        <v>23493.75</v>
      </c>
      <c r="P722" s="40">
        <f t="shared" si="58"/>
        <v>23493.75</v>
      </c>
      <c r="Q722" s="40">
        <f t="shared" si="58"/>
        <v>23493.75</v>
      </c>
      <c r="R722" s="40">
        <f t="shared" si="58"/>
        <v>23493.75</v>
      </c>
      <c r="S722" s="40">
        <f t="shared" si="58"/>
        <v>23493.75</v>
      </c>
      <c r="T722" s="40">
        <f t="shared" si="58"/>
        <v>23493.75</v>
      </c>
      <c r="U722" s="40">
        <f t="shared" si="58"/>
        <v>23493.75</v>
      </c>
      <c r="V722" s="40">
        <f t="shared" si="58"/>
        <v>23493.75</v>
      </c>
      <c r="W722" s="40">
        <f t="shared" si="58"/>
        <v>23493.75</v>
      </c>
      <c r="X722" s="40">
        <f t="shared" si="58"/>
        <v>23493.75</v>
      </c>
      <c r="Y722" s="40">
        <f t="shared" si="58"/>
        <v>23493.75</v>
      </c>
      <c r="Z722" s="40">
        <f t="shared" si="58"/>
        <v>23493.75</v>
      </c>
      <c r="AA722" s="966">
        <f t="shared" si="57"/>
        <v>281925</v>
      </c>
      <c r="AB722" s="35"/>
      <c r="AC722" s="183"/>
    </row>
    <row r="723" spans="1:29" x14ac:dyDescent="0.2">
      <c r="A723" s="1422"/>
      <c r="B723" s="2522"/>
      <c r="C723" s="2515"/>
      <c r="D723" s="2420"/>
      <c r="E723" s="2420"/>
      <c r="F723" s="2420"/>
      <c r="G723" s="2420"/>
      <c r="H723" s="2420"/>
      <c r="I723" s="2420"/>
      <c r="J723" s="2515"/>
      <c r="K723" s="40">
        <v>26868</v>
      </c>
      <c r="L723" s="3295"/>
      <c r="M723" s="3335" t="s">
        <v>321</v>
      </c>
      <c r="N723" s="3336"/>
      <c r="O723" s="40">
        <f t="shared" si="58"/>
        <v>2239</v>
      </c>
      <c r="P723" s="40">
        <f t="shared" si="58"/>
        <v>2239</v>
      </c>
      <c r="Q723" s="40">
        <f t="shared" si="58"/>
        <v>2239</v>
      </c>
      <c r="R723" s="40">
        <f t="shared" si="58"/>
        <v>2239</v>
      </c>
      <c r="S723" s="40">
        <f t="shared" si="58"/>
        <v>2239</v>
      </c>
      <c r="T723" s="40">
        <f t="shared" si="58"/>
        <v>2239</v>
      </c>
      <c r="U723" s="40">
        <f t="shared" si="58"/>
        <v>2239</v>
      </c>
      <c r="V723" s="40">
        <f t="shared" si="58"/>
        <v>2239</v>
      </c>
      <c r="W723" s="40">
        <f t="shared" si="58"/>
        <v>2239</v>
      </c>
      <c r="X723" s="40">
        <f t="shared" si="58"/>
        <v>2239</v>
      </c>
      <c r="Y723" s="40">
        <f t="shared" si="58"/>
        <v>2239</v>
      </c>
      <c r="Z723" s="40">
        <f t="shared" si="58"/>
        <v>2239</v>
      </c>
      <c r="AA723" s="966">
        <f t="shared" si="57"/>
        <v>26868</v>
      </c>
      <c r="AB723" s="35"/>
      <c r="AC723" s="183"/>
    </row>
    <row r="724" spans="1:29" x14ac:dyDescent="0.2">
      <c r="A724" s="1422"/>
      <c r="B724" s="2522"/>
      <c r="C724" s="2515"/>
      <c r="D724" s="2420"/>
      <c r="E724" s="2420"/>
      <c r="F724" s="2420"/>
      <c r="G724" s="2420"/>
      <c r="H724" s="2420"/>
      <c r="I724" s="2420"/>
      <c r="J724" s="2515"/>
      <c r="K724" s="40">
        <v>591360</v>
      </c>
      <c r="L724" s="3295"/>
      <c r="M724" s="3335" t="s">
        <v>295</v>
      </c>
      <c r="N724" s="3336"/>
      <c r="O724" s="40">
        <f t="shared" si="58"/>
        <v>49280</v>
      </c>
      <c r="P724" s="40">
        <f t="shared" si="58"/>
        <v>49280</v>
      </c>
      <c r="Q724" s="40">
        <f t="shared" si="58"/>
        <v>49280</v>
      </c>
      <c r="R724" s="40">
        <f t="shared" si="58"/>
        <v>49280</v>
      </c>
      <c r="S724" s="40">
        <f t="shared" si="58"/>
        <v>49280</v>
      </c>
      <c r="T724" s="40">
        <f t="shared" si="58"/>
        <v>49280</v>
      </c>
      <c r="U724" s="40">
        <f t="shared" si="58"/>
        <v>49280</v>
      </c>
      <c r="V724" s="40">
        <f t="shared" si="58"/>
        <v>49280</v>
      </c>
      <c r="W724" s="40">
        <f t="shared" si="58"/>
        <v>49280</v>
      </c>
      <c r="X724" s="40">
        <f t="shared" si="58"/>
        <v>49280</v>
      </c>
      <c r="Y724" s="40">
        <f t="shared" si="58"/>
        <v>49280</v>
      </c>
      <c r="Z724" s="40">
        <f t="shared" si="58"/>
        <v>49280</v>
      </c>
      <c r="AA724" s="966">
        <f t="shared" si="57"/>
        <v>591360</v>
      </c>
      <c r="AB724" s="35"/>
      <c r="AC724" s="183"/>
    </row>
    <row r="725" spans="1:29" x14ac:dyDescent="0.2">
      <c r="A725" s="1422"/>
      <c r="B725" s="2522"/>
      <c r="C725" s="2515"/>
      <c r="D725" s="2420"/>
      <c r="E725" s="2420"/>
      <c r="F725" s="2420"/>
      <c r="G725" s="2420"/>
      <c r="H725" s="2420"/>
      <c r="I725" s="2420"/>
      <c r="J725" s="2515"/>
      <c r="K725" s="40">
        <v>187151</v>
      </c>
      <c r="L725" s="3295"/>
      <c r="M725" s="3335" t="s">
        <v>296</v>
      </c>
      <c r="N725" s="3336"/>
      <c r="O725" s="40">
        <f t="shared" si="58"/>
        <v>15595.916666666666</v>
      </c>
      <c r="P725" s="40">
        <f t="shared" si="58"/>
        <v>15595.916666666666</v>
      </c>
      <c r="Q725" s="40">
        <f t="shared" si="58"/>
        <v>15595.916666666666</v>
      </c>
      <c r="R725" s="40">
        <f t="shared" si="58"/>
        <v>15595.916666666666</v>
      </c>
      <c r="S725" s="40">
        <f t="shared" si="58"/>
        <v>15595.916666666666</v>
      </c>
      <c r="T725" s="40">
        <f t="shared" si="58"/>
        <v>15595.916666666666</v>
      </c>
      <c r="U725" s="40">
        <f t="shared" si="58"/>
        <v>15595.916666666666</v>
      </c>
      <c r="V725" s="40">
        <f t="shared" si="58"/>
        <v>15595.916666666666</v>
      </c>
      <c r="W725" s="40">
        <f t="shared" si="58"/>
        <v>15595.916666666666</v>
      </c>
      <c r="X725" s="40">
        <f t="shared" si="58"/>
        <v>15595.916666666666</v>
      </c>
      <c r="Y725" s="40">
        <f t="shared" si="58"/>
        <v>15595.916666666666</v>
      </c>
      <c r="Z725" s="40">
        <f t="shared" si="58"/>
        <v>15595.916666666666</v>
      </c>
      <c r="AA725" s="966">
        <f t="shared" si="57"/>
        <v>187150.99999999997</v>
      </c>
      <c r="AB725" s="35"/>
      <c r="AC725" s="183"/>
    </row>
    <row r="726" spans="1:29" x14ac:dyDescent="0.2">
      <c r="A726" s="1422"/>
      <c r="B726" s="2522"/>
      <c r="C726" s="2515"/>
      <c r="D726" s="2420"/>
      <c r="E726" s="2420"/>
      <c r="F726" s="2420"/>
      <c r="G726" s="2420"/>
      <c r="H726" s="2420"/>
      <c r="I726" s="2420"/>
      <c r="J726" s="2515"/>
      <c r="K726" s="40">
        <v>81840</v>
      </c>
      <c r="L726" s="3295"/>
      <c r="M726" s="3335" t="s">
        <v>297</v>
      </c>
      <c r="N726" s="3336"/>
      <c r="O726" s="40">
        <f t="shared" si="58"/>
        <v>6820</v>
      </c>
      <c r="P726" s="40">
        <f t="shared" si="58"/>
        <v>6820</v>
      </c>
      <c r="Q726" s="40">
        <f t="shared" si="58"/>
        <v>6820</v>
      </c>
      <c r="R726" s="40">
        <f t="shared" si="58"/>
        <v>6820</v>
      </c>
      <c r="S726" s="40">
        <f t="shared" si="58"/>
        <v>6820</v>
      </c>
      <c r="T726" s="40">
        <f t="shared" si="58"/>
        <v>6820</v>
      </c>
      <c r="U726" s="40">
        <f t="shared" si="58"/>
        <v>6820</v>
      </c>
      <c r="V726" s="40">
        <f t="shared" si="58"/>
        <v>6820</v>
      </c>
      <c r="W726" s="40">
        <f t="shared" si="58"/>
        <v>6820</v>
      </c>
      <c r="X726" s="40">
        <f t="shared" si="58"/>
        <v>6820</v>
      </c>
      <c r="Y726" s="40">
        <f t="shared" si="58"/>
        <v>6820</v>
      </c>
      <c r="Z726" s="40">
        <f t="shared" si="58"/>
        <v>6820</v>
      </c>
      <c r="AA726" s="966">
        <f t="shared" si="57"/>
        <v>81840</v>
      </c>
      <c r="AB726" s="35"/>
      <c r="AC726" s="183"/>
    </row>
    <row r="727" spans="1:29" x14ac:dyDescent="0.2">
      <c r="A727" s="1422"/>
      <c r="B727" s="2522"/>
      <c r="C727" s="2515"/>
      <c r="D727" s="2420"/>
      <c r="E727" s="2420"/>
      <c r="F727" s="2420"/>
      <c r="G727" s="2420"/>
      <c r="H727" s="2420"/>
      <c r="I727" s="2420"/>
      <c r="J727" s="2515"/>
      <c r="K727" s="40">
        <v>20452</v>
      </c>
      <c r="L727" s="3295"/>
      <c r="M727" s="3335" t="s">
        <v>298</v>
      </c>
      <c r="N727" s="3336"/>
      <c r="O727" s="37"/>
      <c r="P727" s="38"/>
      <c r="Q727" s="38"/>
      <c r="R727" s="38"/>
      <c r="S727" s="38"/>
      <c r="T727" s="38"/>
      <c r="U727" s="40">
        <f>$K727/2</f>
        <v>10226</v>
      </c>
      <c r="V727" s="38"/>
      <c r="W727" s="38"/>
      <c r="X727" s="38"/>
      <c r="Y727" s="38"/>
      <c r="Z727" s="40">
        <f>$K727/2</f>
        <v>10226</v>
      </c>
      <c r="AA727" s="966">
        <f t="shared" si="57"/>
        <v>20452</v>
      </c>
      <c r="AB727" s="35"/>
      <c r="AC727" s="183"/>
    </row>
    <row r="728" spans="1:29" x14ac:dyDescent="0.2">
      <c r="A728" s="1422"/>
      <c r="B728" s="2522"/>
      <c r="C728" s="2515"/>
      <c r="D728" s="2420"/>
      <c r="E728" s="2420"/>
      <c r="F728" s="2420"/>
      <c r="G728" s="2420"/>
      <c r="H728" s="2420"/>
      <c r="I728" s="2420"/>
      <c r="J728" s="2515"/>
      <c r="K728" s="40">
        <v>13600</v>
      </c>
      <c r="L728" s="3295"/>
      <c r="M728" s="3335" t="s">
        <v>299</v>
      </c>
      <c r="N728" s="3336"/>
      <c r="O728" s="37">
        <f>$K728</f>
        <v>13600</v>
      </c>
      <c r="P728" s="38"/>
      <c r="Q728" s="37"/>
      <c r="R728" s="38"/>
      <c r="S728" s="38"/>
      <c r="T728" s="38"/>
      <c r="U728" s="38"/>
      <c r="V728" s="38"/>
      <c r="W728" s="38"/>
      <c r="X728" s="38"/>
      <c r="Y728" s="38"/>
      <c r="Z728" s="38"/>
      <c r="AA728" s="966">
        <f t="shared" si="57"/>
        <v>13600</v>
      </c>
      <c r="AB728" s="35"/>
      <c r="AC728" s="183"/>
    </row>
    <row r="729" spans="1:29" x14ac:dyDescent="0.2">
      <c r="A729" s="1422"/>
      <c r="B729" s="2522"/>
      <c r="C729" s="2515"/>
      <c r="D729" s="2420"/>
      <c r="E729" s="2420"/>
      <c r="F729" s="2420"/>
      <c r="G729" s="2420"/>
      <c r="H729" s="2420"/>
      <c r="I729" s="2420"/>
      <c r="J729" s="2515"/>
      <c r="K729" s="40">
        <v>53150</v>
      </c>
      <c r="L729" s="3295"/>
      <c r="M729" s="3335" t="s">
        <v>300</v>
      </c>
      <c r="N729" s="3336"/>
      <c r="O729" s="40">
        <f t="shared" si="58"/>
        <v>4429.166666666667</v>
      </c>
      <c r="P729" s="40">
        <f t="shared" si="58"/>
        <v>4429.166666666667</v>
      </c>
      <c r="Q729" s="40">
        <f t="shared" si="58"/>
        <v>4429.166666666667</v>
      </c>
      <c r="R729" s="40">
        <f t="shared" si="58"/>
        <v>4429.166666666667</v>
      </c>
      <c r="S729" s="40">
        <f t="shared" si="58"/>
        <v>4429.166666666667</v>
      </c>
      <c r="T729" s="40">
        <f t="shared" si="58"/>
        <v>4429.166666666667</v>
      </c>
      <c r="U729" s="40">
        <f t="shared" si="58"/>
        <v>4429.166666666667</v>
      </c>
      <c r="V729" s="40">
        <f t="shared" si="58"/>
        <v>4429.166666666667</v>
      </c>
      <c r="W729" s="40">
        <f t="shared" si="58"/>
        <v>4429.166666666667</v>
      </c>
      <c r="X729" s="40">
        <f t="shared" si="58"/>
        <v>4429.166666666667</v>
      </c>
      <c r="Y729" s="40">
        <f t="shared" si="58"/>
        <v>4429.166666666667</v>
      </c>
      <c r="Z729" s="40">
        <f t="shared" si="58"/>
        <v>4429.166666666667</v>
      </c>
      <c r="AA729" s="966">
        <f t="shared" si="57"/>
        <v>53149.999999999993</v>
      </c>
      <c r="AB729" s="35"/>
      <c r="AC729" s="183"/>
    </row>
    <row r="730" spans="1:29" x14ac:dyDescent="0.2">
      <c r="A730" s="1422"/>
      <c r="B730" s="2522"/>
      <c r="C730" s="2515"/>
      <c r="D730" s="2420"/>
      <c r="E730" s="2420"/>
      <c r="F730" s="2420"/>
      <c r="G730" s="2420"/>
      <c r="H730" s="2420"/>
      <c r="I730" s="2420"/>
      <c r="J730" s="2515"/>
      <c r="K730" s="40">
        <v>2297</v>
      </c>
      <c r="L730" s="3295"/>
      <c r="M730" s="3335" t="s">
        <v>301</v>
      </c>
      <c r="N730" s="3336"/>
      <c r="O730" s="40">
        <f t="shared" si="58"/>
        <v>191.41666666666666</v>
      </c>
      <c r="P730" s="40">
        <f t="shared" si="58"/>
        <v>191.41666666666666</v>
      </c>
      <c r="Q730" s="40">
        <f t="shared" si="58"/>
        <v>191.41666666666666</v>
      </c>
      <c r="R730" s="40">
        <f t="shared" si="58"/>
        <v>191.41666666666666</v>
      </c>
      <c r="S730" s="40">
        <f t="shared" si="58"/>
        <v>191.41666666666666</v>
      </c>
      <c r="T730" s="40">
        <f t="shared" si="58"/>
        <v>191.41666666666666</v>
      </c>
      <c r="U730" s="40">
        <f t="shared" si="58"/>
        <v>191.41666666666666</v>
      </c>
      <c r="V730" s="40">
        <f t="shared" si="58"/>
        <v>191.41666666666666</v>
      </c>
      <c r="W730" s="40">
        <f t="shared" si="58"/>
        <v>191.41666666666666</v>
      </c>
      <c r="X730" s="40">
        <f t="shared" si="58"/>
        <v>191.41666666666666</v>
      </c>
      <c r="Y730" s="40">
        <f t="shared" si="58"/>
        <v>191.41666666666666</v>
      </c>
      <c r="Z730" s="40">
        <f t="shared" si="58"/>
        <v>191.41666666666666</v>
      </c>
      <c r="AA730" s="966">
        <f t="shared" si="57"/>
        <v>2297</v>
      </c>
      <c r="AB730" s="35"/>
      <c r="AC730" s="183"/>
    </row>
    <row r="731" spans="1:29" x14ac:dyDescent="0.2">
      <c r="A731" s="1422"/>
      <c r="B731" s="2522"/>
      <c r="C731" s="2515"/>
      <c r="D731" s="2420"/>
      <c r="E731" s="2420"/>
      <c r="F731" s="2420"/>
      <c r="G731" s="2420"/>
      <c r="H731" s="2420"/>
      <c r="I731" s="2420"/>
      <c r="J731" s="2515"/>
      <c r="K731" s="40">
        <v>4500</v>
      </c>
      <c r="L731" s="3295"/>
      <c r="M731" s="3335" t="s">
        <v>303</v>
      </c>
      <c r="N731" s="3336"/>
      <c r="O731" s="37"/>
      <c r="P731" s="38"/>
      <c r="Q731" s="40">
        <f>$K731/2</f>
        <v>2250</v>
      </c>
      <c r="R731" s="37"/>
      <c r="S731" s="37"/>
      <c r="T731" s="37"/>
      <c r="U731" s="40"/>
      <c r="V731" s="40">
        <f>$K731/2</f>
        <v>2250</v>
      </c>
      <c r="W731" s="38"/>
      <c r="X731" s="38"/>
      <c r="Y731" s="38"/>
      <c r="Z731" s="38"/>
      <c r="AA731" s="966">
        <f t="shared" si="57"/>
        <v>4500</v>
      </c>
      <c r="AB731" s="35"/>
      <c r="AC731" s="183"/>
    </row>
    <row r="732" spans="1:29" x14ac:dyDescent="0.2">
      <c r="A732" s="1422"/>
      <c r="B732" s="2522"/>
      <c r="C732" s="2515"/>
      <c r="D732" s="2420"/>
      <c r="E732" s="2420"/>
      <c r="F732" s="2420"/>
      <c r="G732" s="2420"/>
      <c r="H732" s="2420"/>
      <c r="I732" s="2420"/>
      <c r="J732" s="2515"/>
      <c r="K732" s="40">
        <v>15500</v>
      </c>
      <c r="L732" s="3295"/>
      <c r="M732" s="3335" t="s">
        <v>343</v>
      </c>
      <c r="N732" s="3336"/>
      <c r="O732" s="47"/>
      <c r="P732" s="47"/>
      <c r="Q732" s="47"/>
      <c r="R732" s="330">
        <f>$K732*(3/20)</f>
        <v>2325</v>
      </c>
      <c r="S732" s="330">
        <f t="shared" ref="S732" si="59">$K732*(3/20)</f>
        <v>2325</v>
      </c>
      <c r="T732" s="330">
        <f>$K732*(1/20)</f>
        <v>775</v>
      </c>
      <c r="U732" s="330">
        <f>$K732*(3/20)</f>
        <v>2325</v>
      </c>
      <c r="V732" s="330">
        <f>$K732*(4/20)</f>
        <v>3100</v>
      </c>
      <c r="W732" s="330">
        <f>$K732*(2/20)</f>
        <v>1550</v>
      </c>
      <c r="X732" s="330">
        <f>$K732*(1/20)</f>
        <v>775</v>
      </c>
      <c r="Y732" s="330">
        <f>$K732*(2/20)</f>
        <v>1550</v>
      </c>
      <c r="Z732" s="330">
        <f>$K732*(1/20)</f>
        <v>775</v>
      </c>
      <c r="AA732" s="966">
        <f t="shared" si="57"/>
        <v>15500</v>
      </c>
      <c r="AB732" s="35"/>
      <c r="AC732" s="183"/>
    </row>
    <row r="733" spans="1:29" x14ac:dyDescent="0.2">
      <c r="A733" s="1422"/>
      <c r="B733" s="2522"/>
      <c r="C733" s="2515"/>
      <c r="D733" s="2420"/>
      <c r="E733" s="2420"/>
      <c r="F733" s="2420"/>
      <c r="G733" s="2420"/>
      <c r="H733" s="2420"/>
      <c r="I733" s="2420"/>
      <c r="J733" s="2515"/>
      <c r="K733" s="40">
        <v>2000</v>
      </c>
      <c r="L733" s="3295"/>
      <c r="M733" s="3335" t="s">
        <v>381</v>
      </c>
      <c r="N733" s="3336"/>
      <c r="O733" s="40"/>
      <c r="P733" s="40"/>
      <c r="Q733" s="40">
        <f>$K733</f>
        <v>2000</v>
      </c>
      <c r="R733" s="40"/>
      <c r="S733" s="40"/>
      <c r="T733" s="40"/>
      <c r="U733" s="40"/>
      <c r="V733" s="40"/>
      <c r="W733" s="40"/>
      <c r="X733" s="40"/>
      <c r="Y733" s="40"/>
      <c r="Z733" s="40"/>
      <c r="AA733" s="966">
        <f t="shared" si="57"/>
        <v>2000</v>
      </c>
      <c r="AB733" s="35"/>
      <c r="AC733" s="183"/>
    </row>
    <row r="734" spans="1:29" x14ac:dyDescent="0.2">
      <c r="A734" s="1422"/>
      <c r="B734" s="2522"/>
      <c r="C734" s="2515"/>
      <c r="D734" s="2420"/>
      <c r="E734" s="2420"/>
      <c r="F734" s="2420"/>
      <c r="G734" s="2420"/>
      <c r="H734" s="2420"/>
      <c r="I734" s="2420"/>
      <c r="J734" s="2515"/>
      <c r="K734" s="40">
        <v>2000</v>
      </c>
      <c r="L734" s="3295"/>
      <c r="M734" s="3335" t="s">
        <v>304</v>
      </c>
      <c r="N734" s="3336"/>
      <c r="O734" s="37"/>
      <c r="P734" s="38"/>
      <c r="Q734" s="40">
        <f>$K734</f>
        <v>2000</v>
      </c>
      <c r="R734" s="1044"/>
      <c r="S734" s="1044"/>
      <c r="T734" s="1044"/>
      <c r="U734" s="1044"/>
      <c r="V734" s="1044"/>
      <c r="W734" s="1044"/>
      <c r="X734" s="1044"/>
      <c r="Y734" s="1044"/>
      <c r="Z734" s="1044"/>
      <c r="AA734" s="966">
        <f t="shared" si="57"/>
        <v>2000</v>
      </c>
      <c r="AB734" s="35"/>
      <c r="AC734" s="183"/>
    </row>
    <row r="735" spans="1:29" x14ac:dyDescent="0.2">
      <c r="A735" s="1422"/>
      <c r="B735" s="2522"/>
      <c r="C735" s="2515"/>
      <c r="D735" s="2420"/>
      <c r="E735" s="2420"/>
      <c r="F735" s="2420"/>
      <c r="G735" s="2420"/>
      <c r="H735" s="2420"/>
      <c r="I735" s="2420"/>
      <c r="J735" s="2515"/>
      <c r="K735" s="40">
        <v>4000</v>
      </c>
      <c r="L735" s="3295"/>
      <c r="M735" s="3335" t="s">
        <v>307</v>
      </c>
      <c r="N735" s="3336"/>
      <c r="O735" s="37"/>
      <c r="P735" s="38"/>
      <c r="Q735" s="42">
        <f>$K735/10</f>
        <v>400</v>
      </c>
      <c r="R735" s="94">
        <f t="shared" ref="R735:Z735" si="60">$K735/10</f>
        <v>400</v>
      </c>
      <c r="S735" s="94">
        <f t="shared" si="60"/>
        <v>400</v>
      </c>
      <c r="T735" s="94">
        <f t="shared" si="60"/>
        <v>400</v>
      </c>
      <c r="U735" s="94">
        <f t="shared" si="60"/>
        <v>400</v>
      </c>
      <c r="V735" s="94">
        <f t="shared" si="60"/>
        <v>400</v>
      </c>
      <c r="W735" s="94">
        <f t="shared" si="60"/>
        <v>400</v>
      </c>
      <c r="X735" s="94">
        <f t="shared" si="60"/>
        <v>400</v>
      </c>
      <c r="Y735" s="94">
        <f t="shared" si="60"/>
        <v>400</v>
      </c>
      <c r="Z735" s="94">
        <f t="shared" si="60"/>
        <v>400</v>
      </c>
      <c r="AA735" s="966">
        <f t="shared" si="57"/>
        <v>4000</v>
      </c>
      <c r="AB735" s="35"/>
      <c r="AC735" s="183"/>
    </row>
    <row r="736" spans="1:29" x14ac:dyDescent="0.2">
      <c r="A736" s="1422"/>
      <c r="B736" s="2522"/>
      <c r="C736" s="2515"/>
      <c r="D736" s="2420"/>
      <c r="E736" s="2420"/>
      <c r="F736" s="2420"/>
      <c r="G736" s="2420"/>
      <c r="H736" s="2420"/>
      <c r="I736" s="2420"/>
      <c r="J736" s="2515"/>
      <c r="K736" s="40">
        <v>1000</v>
      </c>
      <c r="L736" s="3295"/>
      <c r="M736" s="3335" t="s">
        <v>308</v>
      </c>
      <c r="N736" s="3336"/>
      <c r="O736" s="37"/>
      <c r="P736" s="38"/>
      <c r="Q736" s="40">
        <f>$K736</f>
        <v>1000</v>
      </c>
      <c r="R736" s="1044"/>
      <c r="S736" s="1044"/>
      <c r="T736" s="1044"/>
      <c r="U736" s="1044"/>
      <c r="V736" s="1044"/>
      <c r="W736" s="1044"/>
      <c r="X736" s="1044"/>
      <c r="Y736" s="1044"/>
      <c r="Z736" s="1044"/>
      <c r="AA736" s="966">
        <f t="shared" si="57"/>
        <v>1000</v>
      </c>
      <c r="AB736" s="35"/>
      <c r="AC736" s="183"/>
    </row>
    <row r="737" spans="1:29" x14ac:dyDescent="0.2">
      <c r="A737" s="1422"/>
      <c r="B737" s="2522"/>
      <c r="C737" s="2515"/>
      <c r="D737" s="2420"/>
      <c r="E737" s="2420"/>
      <c r="F737" s="2420"/>
      <c r="G737" s="2420"/>
      <c r="H737" s="2420"/>
      <c r="I737" s="2420"/>
      <c r="J737" s="2515"/>
      <c r="K737" s="40">
        <v>1728</v>
      </c>
      <c r="L737" s="3295"/>
      <c r="M737" s="3335" t="s">
        <v>309</v>
      </c>
      <c r="N737" s="3336"/>
      <c r="O737" s="37"/>
      <c r="P737" s="38"/>
      <c r="Q737" s="38"/>
      <c r="R737" s="40">
        <f>$K737/3</f>
        <v>576</v>
      </c>
      <c r="S737" s="40"/>
      <c r="T737" s="40"/>
      <c r="U737" s="40">
        <f>$K737/3</f>
        <v>576</v>
      </c>
      <c r="V737" s="40"/>
      <c r="W737" s="40"/>
      <c r="X737" s="40">
        <f>$K737/3</f>
        <v>576</v>
      </c>
      <c r="Y737" s="38"/>
      <c r="Z737" s="40"/>
      <c r="AA737" s="966">
        <f t="shared" si="57"/>
        <v>1728</v>
      </c>
      <c r="AB737" s="35"/>
      <c r="AC737" s="183"/>
    </row>
    <row r="738" spans="1:29" x14ac:dyDescent="0.2">
      <c r="A738" s="1422"/>
      <c r="B738" s="2522"/>
      <c r="C738" s="2515"/>
      <c r="D738" s="2420"/>
      <c r="E738" s="2420"/>
      <c r="F738" s="2420"/>
      <c r="G738" s="2420"/>
      <c r="H738" s="2420"/>
      <c r="I738" s="2420"/>
      <c r="J738" s="2515"/>
      <c r="K738" s="40">
        <v>42718</v>
      </c>
      <c r="L738" s="3295"/>
      <c r="M738" s="3335" t="s">
        <v>310</v>
      </c>
      <c r="N738" s="3336"/>
      <c r="O738" s="40">
        <f t="shared" ref="O738:Z739" si="61">$K738/12</f>
        <v>3559.8333333333335</v>
      </c>
      <c r="P738" s="40">
        <f t="shared" si="61"/>
        <v>3559.8333333333335</v>
      </c>
      <c r="Q738" s="40">
        <f t="shared" si="61"/>
        <v>3559.8333333333335</v>
      </c>
      <c r="R738" s="40">
        <f t="shared" si="61"/>
        <v>3559.8333333333335</v>
      </c>
      <c r="S738" s="40">
        <f t="shared" si="61"/>
        <v>3559.8333333333335</v>
      </c>
      <c r="T738" s="40">
        <f t="shared" si="61"/>
        <v>3559.8333333333335</v>
      </c>
      <c r="U738" s="40">
        <f t="shared" si="61"/>
        <v>3559.8333333333335</v>
      </c>
      <c r="V738" s="40">
        <f t="shared" si="61"/>
        <v>3559.8333333333335</v>
      </c>
      <c r="W738" s="40">
        <f t="shared" si="61"/>
        <v>3559.8333333333335</v>
      </c>
      <c r="X738" s="40">
        <f t="shared" si="61"/>
        <v>3559.8333333333335</v>
      </c>
      <c r="Y738" s="40">
        <f t="shared" si="61"/>
        <v>3559.8333333333335</v>
      </c>
      <c r="Z738" s="40">
        <f t="shared" si="61"/>
        <v>3559.8333333333335</v>
      </c>
      <c r="AA738" s="966">
        <f t="shared" si="57"/>
        <v>42718</v>
      </c>
      <c r="AB738" s="35"/>
      <c r="AC738" s="183"/>
    </row>
    <row r="739" spans="1:29" x14ac:dyDescent="0.2">
      <c r="A739" s="1422"/>
      <c r="B739" s="2522"/>
      <c r="C739" s="2516"/>
      <c r="D739" s="2420"/>
      <c r="E739" s="2420"/>
      <c r="F739" s="2420"/>
      <c r="G739" s="2420"/>
      <c r="H739" s="2420"/>
      <c r="I739" s="2420"/>
      <c r="J739" s="2516"/>
      <c r="K739" s="40">
        <v>2495</v>
      </c>
      <c r="L739" s="3296"/>
      <c r="M739" s="3335" t="s">
        <v>311</v>
      </c>
      <c r="N739" s="3336"/>
      <c r="O739" s="40">
        <f t="shared" si="61"/>
        <v>207.91666666666666</v>
      </c>
      <c r="P739" s="40">
        <f t="shared" si="61"/>
        <v>207.91666666666666</v>
      </c>
      <c r="Q739" s="40">
        <f t="shared" si="61"/>
        <v>207.91666666666666</v>
      </c>
      <c r="R739" s="40">
        <f t="shared" si="61"/>
        <v>207.91666666666666</v>
      </c>
      <c r="S739" s="40">
        <f t="shared" si="61"/>
        <v>207.91666666666666</v>
      </c>
      <c r="T739" s="40">
        <f t="shared" si="61"/>
        <v>207.91666666666666</v>
      </c>
      <c r="U739" s="40">
        <f t="shared" si="61"/>
        <v>207.91666666666666</v>
      </c>
      <c r="V739" s="40">
        <f t="shared" si="61"/>
        <v>207.91666666666666</v>
      </c>
      <c r="W739" s="40">
        <f t="shared" si="61"/>
        <v>207.91666666666666</v>
      </c>
      <c r="X739" s="40">
        <f t="shared" si="61"/>
        <v>207.91666666666666</v>
      </c>
      <c r="Y739" s="40">
        <f t="shared" si="61"/>
        <v>207.91666666666666</v>
      </c>
      <c r="Z739" s="40">
        <f t="shared" si="61"/>
        <v>207.91666666666666</v>
      </c>
      <c r="AA739" s="966">
        <f t="shared" si="57"/>
        <v>2495</v>
      </c>
      <c r="AB739" s="35"/>
      <c r="AC739" s="183"/>
    </row>
    <row r="740" spans="1:29" x14ac:dyDescent="0.2">
      <c r="A740" s="1422"/>
      <c r="B740" s="1422" t="s">
        <v>312</v>
      </c>
      <c r="C740" s="35"/>
      <c r="D740" s="35"/>
      <c r="E740" s="35"/>
      <c r="F740" s="35"/>
      <c r="G740" s="35"/>
      <c r="H740" s="35"/>
      <c r="I740" s="35"/>
      <c r="J740" s="35"/>
      <c r="K740" s="40">
        <f>SUM(K722:K739)</f>
        <v>1334584</v>
      </c>
      <c r="L740" s="35"/>
      <c r="M740" s="181"/>
      <c r="N740" s="181"/>
      <c r="O740" s="59"/>
      <c r="P740" s="35"/>
      <c r="Q740" s="35"/>
      <c r="R740" s="35"/>
      <c r="S740" s="35"/>
      <c r="T740" s="35"/>
      <c r="U740" s="35"/>
      <c r="V740" s="35"/>
      <c r="W740" s="35"/>
      <c r="X740" s="35"/>
      <c r="Y740" s="35"/>
      <c r="Z740" s="35"/>
      <c r="AA740" s="180"/>
      <c r="AB740" s="35"/>
      <c r="AC740" s="183"/>
    </row>
    <row r="741" spans="1:29" ht="22.5" x14ac:dyDescent="0.2">
      <c r="A741" s="1422"/>
      <c r="B741" s="1266" t="s">
        <v>276</v>
      </c>
      <c r="C741" s="198">
        <v>3033172</v>
      </c>
      <c r="D741" s="198"/>
      <c r="E741" s="1076" t="s">
        <v>458</v>
      </c>
      <c r="F741" s="198"/>
      <c r="G741" s="198"/>
      <c r="H741" s="35"/>
      <c r="I741" s="35"/>
      <c r="J741" s="35"/>
      <c r="K741" s="60"/>
      <c r="L741" s="60"/>
      <c r="M741" s="181"/>
      <c r="N741" s="181"/>
      <c r="O741" s="60"/>
      <c r="P741" s="60"/>
      <c r="Q741" s="60"/>
      <c r="R741" s="60"/>
      <c r="S741" s="60"/>
      <c r="T741" s="35"/>
      <c r="U741" s="35"/>
      <c r="V741" s="2974" t="s">
        <v>15</v>
      </c>
      <c r="W741" s="2975"/>
      <c r="X741" s="2975"/>
      <c r="Y741" s="2976"/>
      <c r="Z741" s="1110" t="s">
        <v>16</v>
      </c>
      <c r="AA741" s="1044"/>
      <c r="AB741" s="35"/>
      <c r="AC741" s="183"/>
    </row>
    <row r="742" spans="1:29" ht="22.5" x14ac:dyDescent="0.2">
      <c r="A742" s="1422"/>
      <c r="B742" s="1433"/>
      <c r="C742" s="108"/>
      <c r="D742" s="35"/>
      <c r="E742" s="192"/>
      <c r="F742" s="35"/>
      <c r="G742" s="35"/>
      <c r="H742" s="35"/>
      <c r="I742" s="35"/>
      <c r="J742" s="35"/>
      <c r="K742" s="60"/>
      <c r="L742" s="60"/>
      <c r="M742" s="181"/>
      <c r="N742" s="181"/>
      <c r="O742" s="60"/>
      <c r="P742" s="60"/>
      <c r="Q742" s="60"/>
      <c r="R742" s="60"/>
      <c r="S742" s="60"/>
      <c r="T742" s="35"/>
      <c r="U742" s="35"/>
      <c r="V742" s="3019" t="s">
        <v>459</v>
      </c>
      <c r="W742" s="3328"/>
      <c r="X742" s="3328"/>
      <c r="Y742" s="3020"/>
      <c r="Z742" s="1110" t="s">
        <v>460</v>
      </c>
      <c r="AA742" s="1044"/>
      <c r="AB742" s="35"/>
      <c r="AC742" s="183"/>
    </row>
    <row r="743" spans="1:29" x14ac:dyDescent="0.2">
      <c r="A743" s="1422"/>
      <c r="B743" s="2999" t="s">
        <v>278</v>
      </c>
      <c r="C743" s="2988" t="s">
        <v>21</v>
      </c>
      <c r="D743" s="2847" t="s">
        <v>22</v>
      </c>
      <c r="E743" s="2847" t="s">
        <v>23</v>
      </c>
      <c r="F743" s="2847" t="s">
        <v>24</v>
      </c>
      <c r="G743" s="2847" t="s">
        <v>25</v>
      </c>
      <c r="H743" s="2847" t="s">
        <v>26</v>
      </c>
      <c r="I743" s="2847" t="s">
        <v>27</v>
      </c>
      <c r="J743" s="3206" t="s">
        <v>28</v>
      </c>
      <c r="K743" s="3301"/>
      <c r="L743" s="2988" t="s">
        <v>279</v>
      </c>
      <c r="M743" s="3273" t="s">
        <v>280</v>
      </c>
      <c r="N743" s="3274"/>
      <c r="O743" s="2847" t="s">
        <v>281</v>
      </c>
      <c r="P743" s="2847"/>
      <c r="Q743" s="2847"/>
      <c r="R743" s="2847"/>
      <c r="S743" s="2847"/>
      <c r="T743" s="2847"/>
      <c r="U743" s="2847"/>
      <c r="V743" s="2847"/>
      <c r="W743" s="2847"/>
      <c r="X743" s="2847"/>
      <c r="Y743" s="2847"/>
      <c r="Z743" s="2847"/>
      <c r="AA743" s="2988" t="s">
        <v>32</v>
      </c>
      <c r="AB743" s="35"/>
      <c r="AC743" s="183"/>
    </row>
    <row r="744" spans="1:29" x14ac:dyDescent="0.2">
      <c r="A744" s="1422"/>
      <c r="B744" s="2999"/>
      <c r="C744" s="3186"/>
      <c r="D744" s="2847"/>
      <c r="E744" s="2847"/>
      <c r="F744" s="2847"/>
      <c r="G744" s="2847"/>
      <c r="H744" s="2847"/>
      <c r="I744" s="2847"/>
      <c r="J744" s="2988" t="s">
        <v>33</v>
      </c>
      <c r="K744" s="2847" t="s">
        <v>282</v>
      </c>
      <c r="L744" s="3186"/>
      <c r="M744" s="3275"/>
      <c r="N744" s="3276"/>
      <c r="O744" s="1009" t="s">
        <v>283</v>
      </c>
      <c r="P744" s="1009" t="s">
        <v>284</v>
      </c>
      <c r="Q744" s="1009" t="s">
        <v>285</v>
      </c>
      <c r="R744" s="1009" t="s">
        <v>88</v>
      </c>
      <c r="S744" s="1009" t="s">
        <v>89</v>
      </c>
      <c r="T744" s="1009" t="s">
        <v>90</v>
      </c>
      <c r="U744" s="1009" t="s">
        <v>91</v>
      </c>
      <c r="V744" s="1009" t="s">
        <v>92</v>
      </c>
      <c r="W744" s="1009" t="s">
        <v>286</v>
      </c>
      <c r="X744" s="1009" t="s">
        <v>93</v>
      </c>
      <c r="Y744" s="1009" t="s">
        <v>94</v>
      </c>
      <c r="Z744" s="1009" t="s">
        <v>95</v>
      </c>
      <c r="AA744" s="2989"/>
      <c r="AB744" s="35"/>
      <c r="AC744" s="183"/>
    </row>
    <row r="745" spans="1:29" x14ac:dyDescent="0.2">
      <c r="A745" s="1422"/>
      <c r="B745" s="2999"/>
      <c r="C745" s="3186"/>
      <c r="D745" s="2847"/>
      <c r="E745" s="2847"/>
      <c r="F745" s="2847"/>
      <c r="G745" s="2847"/>
      <c r="H745" s="2847"/>
      <c r="I745" s="2847"/>
      <c r="J745" s="3186"/>
      <c r="K745" s="2847"/>
      <c r="L745" s="3186"/>
      <c r="M745" s="3271" t="s">
        <v>287</v>
      </c>
      <c r="N745" s="3272"/>
      <c r="O745" s="46">
        <v>2293.3333333333335</v>
      </c>
      <c r="P745" s="46">
        <v>2293</v>
      </c>
      <c r="Q745" s="46">
        <v>2293</v>
      </c>
      <c r="R745" s="46">
        <v>2295</v>
      </c>
      <c r="S745" s="46">
        <v>2295</v>
      </c>
      <c r="T745" s="46">
        <v>2293</v>
      </c>
      <c r="U745" s="46">
        <v>2293</v>
      </c>
      <c r="V745" s="46">
        <v>2293</v>
      </c>
      <c r="W745" s="46">
        <v>2293</v>
      </c>
      <c r="X745" s="46">
        <v>2293</v>
      </c>
      <c r="Y745" s="46">
        <v>2293</v>
      </c>
      <c r="Z745" s="46">
        <v>2293</v>
      </c>
      <c r="AA745" s="1196">
        <f>SUM(O745:Z745)</f>
        <v>27520.333333333336</v>
      </c>
      <c r="AB745" s="35"/>
      <c r="AC745" s="183"/>
    </row>
    <row r="746" spans="1:29" x14ac:dyDescent="0.2">
      <c r="A746" s="1422"/>
      <c r="B746" s="2999"/>
      <c r="C746" s="2989"/>
      <c r="D746" s="2847"/>
      <c r="E746" s="2847"/>
      <c r="F746" s="2847"/>
      <c r="G746" s="2847"/>
      <c r="H746" s="2847"/>
      <c r="I746" s="2847"/>
      <c r="J746" s="2989"/>
      <c r="K746" s="2847"/>
      <c r="L746" s="2989"/>
      <c r="M746" s="3271" t="s">
        <v>34</v>
      </c>
      <c r="N746" s="3272"/>
      <c r="O746" s="36">
        <f>SUM(O747:O772)</f>
        <v>484502.00000000006</v>
      </c>
      <c r="P746" s="36">
        <f t="shared" ref="P746:Z746" si="62">SUM(P747:P772)</f>
        <v>439002</v>
      </c>
      <c r="Q746" s="36">
        <f t="shared" si="62"/>
        <v>455386</v>
      </c>
      <c r="R746" s="36">
        <f t="shared" si="62"/>
        <v>449412</v>
      </c>
      <c r="S746" s="36">
        <f t="shared" si="62"/>
        <v>453998</v>
      </c>
      <c r="T746" s="36">
        <f t="shared" si="62"/>
        <v>445704.66666666669</v>
      </c>
      <c r="U746" s="36">
        <f t="shared" si="62"/>
        <v>492396.33333333337</v>
      </c>
      <c r="V746" s="36">
        <f t="shared" si="62"/>
        <v>458622.66666666669</v>
      </c>
      <c r="W746" s="36">
        <f t="shared" si="62"/>
        <v>449688.66666666669</v>
      </c>
      <c r="X746" s="36">
        <f t="shared" si="62"/>
        <v>444201.33333333331</v>
      </c>
      <c r="Y746" s="36">
        <f t="shared" si="62"/>
        <v>454399.33333333331</v>
      </c>
      <c r="Z746" s="36">
        <f t="shared" si="62"/>
        <v>488613.00000000006</v>
      </c>
      <c r="AA746" s="1196">
        <f>SUM(O746:Z746)</f>
        <v>5515925.9999999991</v>
      </c>
      <c r="AB746" s="35"/>
      <c r="AC746" s="183"/>
    </row>
    <row r="747" spans="1:29" ht="15" customHeight="1" x14ac:dyDescent="0.2">
      <c r="A747" s="1422"/>
      <c r="B747" s="2522">
        <v>5000037</v>
      </c>
      <c r="C747" s="2420" t="s">
        <v>3051</v>
      </c>
      <c r="D747" s="2420">
        <v>25</v>
      </c>
      <c r="E747" s="2420" t="s">
        <v>401</v>
      </c>
      <c r="F747" s="2420" t="s">
        <v>386</v>
      </c>
      <c r="G747" s="2420" t="s">
        <v>387</v>
      </c>
      <c r="H747" s="2420" t="s">
        <v>461</v>
      </c>
      <c r="I747" s="2420" t="s">
        <v>462</v>
      </c>
      <c r="J747" s="2514">
        <v>27520</v>
      </c>
      <c r="K747" s="40">
        <v>52050</v>
      </c>
      <c r="L747" s="3294" t="s">
        <v>446</v>
      </c>
      <c r="M747" s="3335" t="s">
        <v>320</v>
      </c>
      <c r="N747" s="3336"/>
      <c r="O747" s="40">
        <f t="shared" ref="O747:Z757" si="63">$K747/12</f>
        <v>4337.5</v>
      </c>
      <c r="P747" s="40">
        <f t="shared" si="63"/>
        <v>4337.5</v>
      </c>
      <c r="Q747" s="40">
        <f t="shared" si="63"/>
        <v>4337.5</v>
      </c>
      <c r="R747" s="40">
        <f t="shared" si="63"/>
        <v>4337.5</v>
      </c>
      <c r="S747" s="40">
        <f t="shared" si="63"/>
        <v>4337.5</v>
      </c>
      <c r="T747" s="40">
        <f t="shared" si="63"/>
        <v>4337.5</v>
      </c>
      <c r="U747" s="40">
        <f t="shared" si="63"/>
        <v>4337.5</v>
      </c>
      <c r="V747" s="40">
        <f t="shared" si="63"/>
        <v>4337.5</v>
      </c>
      <c r="W747" s="40">
        <f t="shared" si="63"/>
        <v>4337.5</v>
      </c>
      <c r="X747" s="40">
        <f t="shared" si="63"/>
        <v>4337.5</v>
      </c>
      <c r="Y747" s="40">
        <f t="shared" si="63"/>
        <v>4337.5</v>
      </c>
      <c r="Z747" s="40">
        <f t="shared" si="63"/>
        <v>4337.5</v>
      </c>
      <c r="AA747" s="966">
        <f t="shared" ref="AA747:AA772" si="64">SUM(O747:Z747)</f>
        <v>52050</v>
      </c>
      <c r="AB747" s="35"/>
      <c r="AC747" s="183"/>
    </row>
    <row r="748" spans="1:29" x14ac:dyDescent="0.2">
      <c r="A748" s="1422"/>
      <c r="B748" s="2522"/>
      <c r="C748" s="2420"/>
      <c r="D748" s="2420"/>
      <c r="E748" s="2420"/>
      <c r="F748" s="2420"/>
      <c r="G748" s="2420"/>
      <c r="H748" s="2420"/>
      <c r="I748" s="2420"/>
      <c r="J748" s="2515"/>
      <c r="K748" s="40">
        <v>1072428</v>
      </c>
      <c r="L748" s="3295"/>
      <c r="M748" s="3335" t="s">
        <v>293</v>
      </c>
      <c r="N748" s="3336"/>
      <c r="O748" s="40">
        <f t="shared" si="63"/>
        <v>89369</v>
      </c>
      <c r="P748" s="40">
        <f t="shared" si="63"/>
        <v>89369</v>
      </c>
      <c r="Q748" s="40">
        <f t="shared" si="63"/>
        <v>89369</v>
      </c>
      <c r="R748" s="40">
        <f t="shared" si="63"/>
        <v>89369</v>
      </c>
      <c r="S748" s="40">
        <f t="shared" si="63"/>
        <v>89369</v>
      </c>
      <c r="T748" s="40">
        <f t="shared" si="63"/>
        <v>89369</v>
      </c>
      <c r="U748" s="40">
        <f t="shared" si="63"/>
        <v>89369</v>
      </c>
      <c r="V748" s="40">
        <f t="shared" si="63"/>
        <v>89369</v>
      </c>
      <c r="W748" s="40">
        <f t="shared" si="63"/>
        <v>89369</v>
      </c>
      <c r="X748" s="40">
        <f t="shared" si="63"/>
        <v>89369</v>
      </c>
      <c r="Y748" s="40">
        <f t="shared" si="63"/>
        <v>89369</v>
      </c>
      <c r="Z748" s="40">
        <f t="shared" si="63"/>
        <v>89369</v>
      </c>
      <c r="AA748" s="966">
        <f t="shared" si="64"/>
        <v>1072428</v>
      </c>
      <c r="AB748" s="35"/>
      <c r="AC748" s="183"/>
    </row>
    <row r="749" spans="1:29" x14ac:dyDescent="0.2">
      <c r="A749" s="1422"/>
      <c r="B749" s="2522"/>
      <c r="C749" s="2420"/>
      <c r="D749" s="2420"/>
      <c r="E749" s="2420"/>
      <c r="F749" s="2420"/>
      <c r="G749" s="2420"/>
      <c r="H749" s="2420"/>
      <c r="I749" s="2420"/>
      <c r="J749" s="2515"/>
      <c r="K749" s="40">
        <v>182080</v>
      </c>
      <c r="L749" s="3295"/>
      <c r="M749" s="3335" t="s">
        <v>321</v>
      </c>
      <c r="N749" s="3336"/>
      <c r="O749" s="40">
        <f t="shared" si="63"/>
        <v>15173.333333333334</v>
      </c>
      <c r="P749" s="40">
        <f t="shared" si="63"/>
        <v>15173.333333333334</v>
      </c>
      <c r="Q749" s="40">
        <f t="shared" si="63"/>
        <v>15173.333333333334</v>
      </c>
      <c r="R749" s="40">
        <f t="shared" si="63"/>
        <v>15173.333333333334</v>
      </c>
      <c r="S749" s="40">
        <f t="shared" si="63"/>
        <v>15173.333333333334</v>
      </c>
      <c r="T749" s="40">
        <f t="shared" si="63"/>
        <v>15173.333333333334</v>
      </c>
      <c r="U749" s="40">
        <f t="shared" si="63"/>
        <v>15173.333333333334</v>
      </c>
      <c r="V749" s="40">
        <f t="shared" si="63"/>
        <v>15173.333333333334</v>
      </c>
      <c r="W749" s="40">
        <f t="shared" si="63"/>
        <v>15173.333333333334</v>
      </c>
      <c r="X749" s="40">
        <f t="shared" si="63"/>
        <v>15173.333333333334</v>
      </c>
      <c r="Y749" s="40">
        <f t="shared" si="63"/>
        <v>15173.333333333334</v>
      </c>
      <c r="Z749" s="40">
        <f t="shared" si="63"/>
        <v>15173.333333333334</v>
      </c>
      <c r="AA749" s="966">
        <f t="shared" si="64"/>
        <v>182080.00000000003</v>
      </c>
      <c r="AB749" s="35"/>
      <c r="AC749" s="183"/>
    </row>
    <row r="750" spans="1:29" x14ac:dyDescent="0.2">
      <c r="A750" s="1422"/>
      <c r="B750" s="2522"/>
      <c r="C750" s="2420"/>
      <c r="D750" s="2420"/>
      <c r="E750" s="2420"/>
      <c r="F750" s="2420"/>
      <c r="G750" s="2420"/>
      <c r="H750" s="2420"/>
      <c r="I750" s="2420"/>
      <c r="J750" s="2515"/>
      <c r="K750" s="40">
        <v>537250</v>
      </c>
      <c r="L750" s="3295"/>
      <c r="M750" s="3335" t="s">
        <v>294</v>
      </c>
      <c r="N750" s="3336"/>
      <c r="O750" s="40">
        <f t="shared" si="63"/>
        <v>44770.833333333336</v>
      </c>
      <c r="P750" s="40">
        <f t="shared" si="63"/>
        <v>44770.833333333336</v>
      </c>
      <c r="Q750" s="40">
        <f t="shared" si="63"/>
        <v>44770.833333333336</v>
      </c>
      <c r="R750" s="40">
        <f t="shared" si="63"/>
        <v>44770.833333333336</v>
      </c>
      <c r="S750" s="40">
        <f t="shared" si="63"/>
        <v>44770.833333333336</v>
      </c>
      <c r="T750" s="40">
        <f t="shared" si="63"/>
        <v>44770.833333333336</v>
      </c>
      <c r="U750" s="40">
        <f t="shared" si="63"/>
        <v>44770.833333333336</v>
      </c>
      <c r="V750" s="40">
        <f t="shared" si="63"/>
        <v>44770.833333333336</v>
      </c>
      <c r="W750" s="40">
        <f t="shared" si="63"/>
        <v>44770.833333333336</v>
      </c>
      <c r="X750" s="40">
        <f t="shared" si="63"/>
        <v>44770.833333333336</v>
      </c>
      <c r="Y750" s="40">
        <f t="shared" si="63"/>
        <v>44770.833333333336</v>
      </c>
      <c r="Z750" s="40">
        <f t="shared" si="63"/>
        <v>44770.833333333336</v>
      </c>
      <c r="AA750" s="966">
        <f t="shared" si="64"/>
        <v>537249.99999999988</v>
      </c>
      <c r="AB750" s="35"/>
      <c r="AC750" s="183"/>
    </row>
    <row r="751" spans="1:29" x14ac:dyDescent="0.2">
      <c r="A751" s="1422"/>
      <c r="B751" s="2522"/>
      <c r="C751" s="2420"/>
      <c r="D751" s="2420"/>
      <c r="E751" s="2420"/>
      <c r="F751" s="2420"/>
      <c r="G751" s="2420"/>
      <c r="H751" s="2420"/>
      <c r="I751" s="2420"/>
      <c r="J751" s="2515"/>
      <c r="K751" s="40">
        <v>394906</v>
      </c>
      <c r="L751" s="3295"/>
      <c r="M751" s="3335" t="s">
        <v>295</v>
      </c>
      <c r="N751" s="3336"/>
      <c r="O751" s="40">
        <f t="shared" si="63"/>
        <v>32908.833333333336</v>
      </c>
      <c r="P751" s="40">
        <f t="shared" si="63"/>
        <v>32908.833333333336</v>
      </c>
      <c r="Q751" s="40">
        <f t="shared" si="63"/>
        <v>32908.833333333336</v>
      </c>
      <c r="R751" s="40">
        <f t="shared" si="63"/>
        <v>32908.833333333336</v>
      </c>
      <c r="S751" s="40">
        <f t="shared" si="63"/>
        <v>32908.833333333336</v>
      </c>
      <c r="T751" s="40">
        <f t="shared" si="63"/>
        <v>32908.833333333336</v>
      </c>
      <c r="U751" s="40">
        <f t="shared" si="63"/>
        <v>32908.833333333336</v>
      </c>
      <c r="V751" s="40">
        <f t="shared" si="63"/>
        <v>32908.833333333336</v>
      </c>
      <c r="W751" s="40">
        <f t="shared" si="63"/>
        <v>32908.833333333336</v>
      </c>
      <c r="X751" s="40">
        <f t="shared" si="63"/>
        <v>32908.833333333336</v>
      </c>
      <c r="Y751" s="40">
        <f t="shared" si="63"/>
        <v>32908.833333333336</v>
      </c>
      <c r="Z751" s="40">
        <f t="shared" si="63"/>
        <v>32908.833333333336</v>
      </c>
      <c r="AA751" s="966">
        <f t="shared" si="64"/>
        <v>394905.99999999994</v>
      </c>
      <c r="AB751" s="35"/>
      <c r="AC751" s="183"/>
    </row>
    <row r="752" spans="1:29" x14ac:dyDescent="0.2">
      <c r="A752" s="1422"/>
      <c r="B752" s="2522"/>
      <c r="C752" s="2420"/>
      <c r="D752" s="2420"/>
      <c r="E752" s="2420"/>
      <c r="F752" s="2420"/>
      <c r="G752" s="2420"/>
      <c r="H752" s="2420"/>
      <c r="I752" s="2420"/>
      <c r="J752" s="2515"/>
      <c r="K752" s="40">
        <v>566584</v>
      </c>
      <c r="L752" s="3295"/>
      <c r="M752" s="3335" t="s">
        <v>296</v>
      </c>
      <c r="N752" s="3336"/>
      <c r="O752" s="40">
        <f t="shared" si="63"/>
        <v>47215.333333333336</v>
      </c>
      <c r="P752" s="40">
        <f t="shared" si="63"/>
        <v>47215.333333333336</v>
      </c>
      <c r="Q752" s="40">
        <f t="shared" si="63"/>
        <v>47215.333333333336</v>
      </c>
      <c r="R752" s="40">
        <f t="shared" si="63"/>
        <v>47215.333333333336</v>
      </c>
      <c r="S752" s="40">
        <f t="shared" si="63"/>
        <v>47215.333333333336</v>
      </c>
      <c r="T752" s="40">
        <f t="shared" si="63"/>
        <v>47215.333333333336</v>
      </c>
      <c r="U752" s="40">
        <f t="shared" si="63"/>
        <v>47215.333333333336</v>
      </c>
      <c r="V752" s="40">
        <f t="shared" si="63"/>
        <v>47215.333333333336</v>
      </c>
      <c r="W752" s="40">
        <f t="shared" si="63"/>
        <v>47215.333333333336</v>
      </c>
      <c r="X752" s="40">
        <f t="shared" si="63"/>
        <v>47215.333333333336</v>
      </c>
      <c r="Y752" s="40">
        <f t="shared" si="63"/>
        <v>47215.333333333336</v>
      </c>
      <c r="Z752" s="40">
        <f t="shared" si="63"/>
        <v>47215.333333333336</v>
      </c>
      <c r="AA752" s="966">
        <f t="shared" si="64"/>
        <v>566583.99999999988</v>
      </c>
      <c r="AB752" s="35"/>
      <c r="AC752" s="183"/>
    </row>
    <row r="753" spans="1:29" x14ac:dyDescent="0.2">
      <c r="A753" s="1422"/>
      <c r="B753" s="2522"/>
      <c r="C753" s="2420"/>
      <c r="D753" s="2420"/>
      <c r="E753" s="2420"/>
      <c r="F753" s="2420"/>
      <c r="G753" s="2420"/>
      <c r="H753" s="2420"/>
      <c r="I753" s="2420"/>
      <c r="J753" s="2515"/>
      <c r="K753" s="40">
        <v>225054</v>
      </c>
      <c r="L753" s="3295"/>
      <c r="M753" s="3335" t="s">
        <v>297</v>
      </c>
      <c r="N753" s="3336"/>
      <c r="O753" s="40">
        <f t="shared" si="63"/>
        <v>18754.5</v>
      </c>
      <c r="P753" s="40">
        <f t="shared" si="63"/>
        <v>18754.5</v>
      </c>
      <c r="Q753" s="40">
        <f t="shared" si="63"/>
        <v>18754.5</v>
      </c>
      <c r="R753" s="40">
        <f t="shared" si="63"/>
        <v>18754.5</v>
      </c>
      <c r="S753" s="40">
        <f t="shared" si="63"/>
        <v>18754.5</v>
      </c>
      <c r="T753" s="40">
        <f t="shared" si="63"/>
        <v>18754.5</v>
      </c>
      <c r="U753" s="40">
        <f t="shared" si="63"/>
        <v>18754.5</v>
      </c>
      <c r="V753" s="40">
        <f t="shared" si="63"/>
        <v>18754.5</v>
      </c>
      <c r="W753" s="40">
        <f t="shared" si="63"/>
        <v>18754.5</v>
      </c>
      <c r="X753" s="40">
        <f t="shared" si="63"/>
        <v>18754.5</v>
      </c>
      <c r="Y753" s="40">
        <f t="shared" si="63"/>
        <v>18754.5</v>
      </c>
      <c r="Z753" s="40">
        <f t="shared" si="63"/>
        <v>18754.5</v>
      </c>
      <c r="AA753" s="966">
        <f t="shared" si="64"/>
        <v>225054</v>
      </c>
      <c r="AB753" s="35"/>
      <c r="AC753" s="183"/>
    </row>
    <row r="754" spans="1:29" x14ac:dyDescent="0.2">
      <c r="A754" s="1422"/>
      <c r="B754" s="2522"/>
      <c r="C754" s="2420"/>
      <c r="D754" s="2420"/>
      <c r="E754" s="2420"/>
      <c r="F754" s="2420"/>
      <c r="G754" s="2420"/>
      <c r="H754" s="2420"/>
      <c r="I754" s="2420"/>
      <c r="J754" s="2515"/>
      <c r="K754" s="40">
        <v>79402</v>
      </c>
      <c r="L754" s="3295"/>
      <c r="M754" s="3335" t="s">
        <v>298</v>
      </c>
      <c r="N754" s="3336"/>
      <c r="O754" s="37"/>
      <c r="P754" s="38"/>
      <c r="Q754" s="38"/>
      <c r="R754" s="38"/>
      <c r="S754" s="38"/>
      <c r="T754" s="38"/>
      <c r="U754" s="40">
        <f>$K754/2</f>
        <v>39701</v>
      </c>
      <c r="V754" s="38"/>
      <c r="W754" s="38"/>
      <c r="X754" s="38"/>
      <c r="Y754" s="38"/>
      <c r="Z754" s="40">
        <f>$K754/2</f>
        <v>39701</v>
      </c>
      <c r="AA754" s="966">
        <f t="shared" si="64"/>
        <v>79402</v>
      </c>
      <c r="AB754" s="35"/>
      <c r="AC754" s="183"/>
    </row>
    <row r="755" spans="1:29" x14ac:dyDescent="0.2">
      <c r="A755" s="1422"/>
      <c r="B755" s="2522"/>
      <c r="C755" s="2420"/>
      <c r="D755" s="2420"/>
      <c r="E755" s="2420"/>
      <c r="F755" s="2420"/>
      <c r="G755" s="2420"/>
      <c r="H755" s="2420"/>
      <c r="I755" s="2420"/>
      <c r="J755" s="2515"/>
      <c r="K755" s="40">
        <v>50400</v>
      </c>
      <c r="L755" s="3295"/>
      <c r="M755" s="3335" t="s">
        <v>299</v>
      </c>
      <c r="N755" s="3336"/>
      <c r="O755" s="37">
        <f>$K755</f>
        <v>50400</v>
      </c>
      <c r="P755" s="40"/>
      <c r="Q755" s="37"/>
      <c r="R755" s="40"/>
      <c r="S755" s="40"/>
      <c r="T755" s="40"/>
      <c r="U755" s="40"/>
      <c r="V755" s="40"/>
      <c r="W755" s="40"/>
      <c r="X755" s="40"/>
      <c r="Y755" s="40"/>
      <c r="Z755" s="40"/>
      <c r="AA755" s="966">
        <f t="shared" si="64"/>
        <v>50400</v>
      </c>
      <c r="AB755" s="35"/>
      <c r="AC755" s="183"/>
    </row>
    <row r="756" spans="1:29" x14ac:dyDescent="0.2">
      <c r="A756" s="1422"/>
      <c r="B756" s="2522"/>
      <c r="C756" s="2420"/>
      <c r="D756" s="2420"/>
      <c r="E756" s="2420"/>
      <c r="F756" s="2420"/>
      <c r="G756" s="2420"/>
      <c r="H756" s="2420"/>
      <c r="I756" s="2420"/>
      <c r="J756" s="2515"/>
      <c r="K756" s="40">
        <v>108567</v>
      </c>
      <c r="L756" s="3295"/>
      <c r="M756" s="3335" t="s">
        <v>300</v>
      </c>
      <c r="N756" s="3336"/>
      <c r="O756" s="40">
        <f t="shared" si="63"/>
        <v>9047.25</v>
      </c>
      <c r="P756" s="40">
        <f t="shared" si="63"/>
        <v>9047.25</v>
      </c>
      <c r="Q756" s="40">
        <f t="shared" si="63"/>
        <v>9047.25</v>
      </c>
      <c r="R756" s="40">
        <f t="shared" si="63"/>
        <v>9047.25</v>
      </c>
      <c r="S756" s="40">
        <f t="shared" si="63"/>
        <v>9047.25</v>
      </c>
      <c r="T756" s="40">
        <f t="shared" si="63"/>
        <v>9047.25</v>
      </c>
      <c r="U756" s="40">
        <f t="shared" si="63"/>
        <v>9047.25</v>
      </c>
      <c r="V756" s="40">
        <f t="shared" si="63"/>
        <v>9047.25</v>
      </c>
      <c r="W756" s="40">
        <f t="shared" si="63"/>
        <v>9047.25</v>
      </c>
      <c r="X756" s="40">
        <f t="shared" si="63"/>
        <v>9047.25</v>
      </c>
      <c r="Y756" s="40">
        <f t="shared" si="63"/>
        <v>9047.25</v>
      </c>
      <c r="Z756" s="40">
        <f t="shared" si="63"/>
        <v>9047.25</v>
      </c>
      <c r="AA756" s="966">
        <f t="shared" si="64"/>
        <v>108567</v>
      </c>
      <c r="AB756" s="35"/>
      <c r="AC756" s="183"/>
    </row>
    <row r="757" spans="1:29" x14ac:dyDescent="0.2">
      <c r="A757" s="1422"/>
      <c r="B757" s="2522"/>
      <c r="C757" s="2420"/>
      <c r="D757" s="2420"/>
      <c r="E757" s="2420"/>
      <c r="F757" s="2420"/>
      <c r="G757" s="2420"/>
      <c r="H757" s="2420"/>
      <c r="I757" s="2420"/>
      <c r="J757" s="2515"/>
      <c r="K757" s="40">
        <v>11459</v>
      </c>
      <c r="L757" s="3295"/>
      <c r="M757" s="3335" t="s">
        <v>301</v>
      </c>
      <c r="N757" s="3336"/>
      <c r="O757" s="40">
        <f t="shared" si="63"/>
        <v>954.91666666666663</v>
      </c>
      <c r="P757" s="40">
        <f t="shared" si="63"/>
        <v>954.91666666666663</v>
      </c>
      <c r="Q757" s="40">
        <f t="shared" si="63"/>
        <v>954.91666666666663</v>
      </c>
      <c r="R757" s="40">
        <f t="shared" si="63"/>
        <v>954.91666666666663</v>
      </c>
      <c r="S757" s="40">
        <f t="shared" si="63"/>
        <v>954.91666666666663</v>
      </c>
      <c r="T757" s="40">
        <f t="shared" si="63"/>
        <v>954.91666666666663</v>
      </c>
      <c r="U757" s="40">
        <f t="shared" si="63"/>
        <v>954.91666666666663</v>
      </c>
      <c r="V757" s="40">
        <f t="shared" si="63"/>
        <v>954.91666666666663</v>
      </c>
      <c r="W757" s="40">
        <f t="shared" si="63"/>
        <v>954.91666666666663</v>
      </c>
      <c r="X757" s="40">
        <f t="shared" si="63"/>
        <v>954.91666666666663</v>
      </c>
      <c r="Y757" s="40">
        <f t="shared" si="63"/>
        <v>954.91666666666663</v>
      </c>
      <c r="Z757" s="40">
        <f t="shared" si="63"/>
        <v>954.91666666666663</v>
      </c>
      <c r="AA757" s="966">
        <f t="shared" si="64"/>
        <v>11458.999999999998</v>
      </c>
      <c r="AB757" s="35"/>
      <c r="AC757" s="183"/>
    </row>
    <row r="758" spans="1:29" x14ac:dyDescent="0.2">
      <c r="A758" s="1422"/>
      <c r="B758" s="2522"/>
      <c r="C758" s="2420"/>
      <c r="D758" s="2420"/>
      <c r="E758" s="2420"/>
      <c r="F758" s="2420"/>
      <c r="G758" s="2420"/>
      <c r="H758" s="2420"/>
      <c r="I758" s="2420"/>
      <c r="J758" s="2515"/>
      <c r="K758" s="40">
        <v>12000</v>
      </c>
      <c r="L758" s="3295"/>
      <c r="M758" s="3335" t="s">
        <v>303</v>
      </c>
      <c r="N758" s="3336"/>
      <c r="O758" s="37"/>
      <c r="P758" s="38"/>
      <c r="Q758" s="40">
        <f>$K758/10</f>
        <v>1200</v>
      </c>
      <c r="R758" s="40">
        <f t="shared" ref="R758:Z758" si="65">$K758/10</f>
        <v>1200</v>
      </c>
      <c r="S758" s="40">
        <f t="shared" si="65"/>
        <v>1200</v>
      </c>
      <c r="T758" s="40">
        <f t="shared" si="65"/>
        <v>1200</v>
      </c>
      <c r="U758" s="40">
        <f t="shared" si="65"/>
        <v>1200</v>
      </c>
      <c r="V758" s="40">
        <f t="shared" si="65"/>
        <v>1200</v>
      </c>
      <c r="W758" s="40">
        <f t="shared" si="65"/>
        <v>1200</v>
      </c>
      <c r="X758" s="40">
        <f t="shared" si="65"/>
        <v>1200</v>
      </c>
      <c r="Y758" s="40">
        <f t="shared" si="65"/>
        <v>1200</v>
      </c>
      <c r="Z758" s="40">
        <f t="shared" si="65"/>
        <v>1200</v>
      </c>
      <c r="AA758" s="966">
        <f t="shared" si="64"/>
        <v>12000</v>
      </c>
      <c r="AB758" s="35"/>
      <c r="AC758" s="183"/>
    </row>
    <row r="759" spans="1:29" x14ac:dyDescent="0.2">
      <c r="A759" s="1422"/>
      <c r="B759" s="2522"/>
      <c r="C759" s="2420"/>
      <c r="D759" s="2420"/>
      <c r="E759" s="2420"/>
      <c r="F759" s="2420"/>
      <c r="G759" s="2420"/>
      <c r="H759" s="2420"/>
      <c r="I759" s="2420"/>
      <c r="J759" s="2515"/>
      <c r="K759" s="40">
        <v>500</v>
      </c>
      <c r="L759" s="3295"/>
      <c r="M759" s="3335" t="s">
        <v>324</v>
      </c>
      <c r="N759" s="3336"/>
      <c r="O759" s="37"/>
      <c r="P759" s="40">
        <f>$K759</f>
        <v>500</v>
      </c>
      <c r="Q759" s="38"/>
      <c r="R759" s="38"/>
      <c r="S759" s="38"/>
      <c r="T759" s="38"/>
      <c r="U759" s="38"/>
      <c r="V759" s="38"/>
      <c r="W759" s="38"/>
      <c r="X759" s="38"/>
      <c r="Y759" s="38"/>
      <c r="Z759" s="38"/>
      <c r="AA759" s="966">
        <f t="shared" si="64"/>
        <v>500</v>
      </c>
      <c r="AB759" s="35"/>
      <c r="AC759" s="183"/>
    </row>
    <row r="760" spans="1:29" x14ac:dyDescent="0.2">
      <c r="A760" s="1422"/>
      <c r="B760" s="2522"/>
      <c r="C760" s="2420"/>
      <c r="D760" s="2420"/>
      <c r="E760" s="2420"/>
      <c r="F760" s="2420"/>
      <c r="G760" s="2420"/>
      <c r="H760" s="2420"/>
      <c r="I760" s="2420"/>
      <c r="J760" s="2515"/>
      <c r="K760" s="40">
        <v>45100</v>
      </c>
      <c r="L760" s="3295"/>
      <c r="M760" s="3335" t="s">
        <v>343</v>
      </c>
      <c r="N760" s="3336"/>
      <c r="O760" s="47"/>
      <c r="P760" s="47"/>
      <c r="Q760" s="47"/>
      <c r="R760" s="47">
        <f>$K760*(3/30)</f>
        <v>4510</v>
      </c>
      <c r="S760" s="47">
        <f>$K760*(6/30)</f>
        <v>9020</v>
      </c>
      <c r="T760" s="47">
        <f>$K760*(2/30)</f>
        <v>3006.6666666666665</v>
      </c>
      <c r="U760" s="47">
        <f>$K760*(4/30)</f>
        <v>6013.333333333333</v>
      </c>
      <c r="V760" s="47">
        <f>$K760*(5/30)</f>
        <v>7516.6666666666661</v>
      </c>
      <c r="W760" s="47">
        <f>$K760*(2/30)</f>
        <v>3006.6666666666665</v>
      </c>
      <c r="X760" s="47">
        <f>$K760*(1/30)</f>
        <v>1503.3333333333333</v>
      </c>
      <c r="Y760" s="47">
        <f>$K760*(4/30)</f>
        <v>6013.333333333333</v>
      </c>
      <c r="Z760" s="47">
        <f t="shared" ref="Z760" si="66">$K760*(3/30)</f>
        <v>4510</v>
      </c>
      <c r="AA760" s="966">
        <f t="shared" si="64"/>
        <v>45100</v>
      </c>
      <c r="AB760" s="35"/>
      <c r="AC760" s="183"/>
    </row>
    <row r="761" spans="1:29" x14ac:dyDescent="0.2">
      <c r="A761" s="1422"/>
      <c r="B761" s="2522"/>
      <c r="C761" s="2420"/>
      <c r="D761" s="2420"/>
      <c r="E761" s="2420"/>
      <c r="F761" s="2420"/>
      <c r="G761" s="2420"/>
      <c r="H761" s="2420"/>
      <c r="I761" s="2420"/>
      <c r="J761" s="2515"/>
      <c r="K761" s="40">
        <v>2000</v>
      </c>
      <c r="L761" s="3295"/>
      <c r="M761" s="3335" t="s">
        <v>381</v>
      </c>
      <c r="N761" s="3336"/>
      <c r="O761" s="40"/>
      <c r="P761" s="40"/>
      <c r="Q761" s="40">
        <f>$K761</f>
        <v>2000</v>
      </c>
      <c r="R761" s="40"/>
      <c r="S761" s="40"/>
      <c r="T761" s="40"/>
      <c r="U761" s="40"/>
      <c r="V761" s="40"/>
      <c r="W761" s="40"/>
      <c r="X761" s="40"/>
      <c r="Y761" s="40"/>
      <c r="Z761" s="40"/>
      <c r="AA761" s="966">
        <f t="shared" si="64"/>
        <v>2000</v>
      </c>
      <c r="AB761" s="35"/>
      <c r="AC761" s="183"/>
    </row>
    <row r="762" spans="1:29" x14ac:dyDescent="0.2">
      <c r="A762" s="1422"/>
      <c r="B762" s="2522"/>
      <c r="C762" s="2420"/>
      <c r="D762" s="2420"/>
      <c r="E762" s="2420"/>
      <c r="F762" s="2420"/>
      <c r="G762" s="2420"/>
      <c r="H762" s="2420"/>
      <c r="I762" s="2420"/>
      <c r="J762" s="2515"/>
      <c r="K762" s="40">
        <v>10000</v>
      </c>
      <c r="L762" s="3295"/>
      <c r="M762" s="3335" t="s">
        <v>304</v>
      </c>
      <c r="N762" s="3336"/>
      <c r="O762" s="37"/>
      <c r="P762" s="38"/>
      <c r="Q762" s="40">
        <f>$K762/2</f>
        <v>5000</v>
      </c>
      <c r="R762" s="38"/>
      <c r="S762" s="38"/>
      <c r="T762" s="38"/>
      <c r="U762" s="38"/>
      <c r="V762" s="40">
        <f>$K762/2</f>
        <v>5000</v>
      </c>
      <c r="W762" s="38"/>
      <c r="X762" s="38"/>
      <c r="Y762" s="38"/>
      <c r="Z762" s="38"/>
      <c r="AA762" s="966">
        <f t="shared" si="64"/>
        <v>10000</v>
      </c>
      <c r="AB762" s="35"/>
      <c r="AC762" s="183"/>
    </row>
    <row r="763" spans="1:29" x14ac:dyDescent="0.2">
      <c r="A763" s="1422"/>
      <c r="B763" s="2522"/>
      <c r="C763" s="2420"/>
      <c r="D763" s="2420"/>
      <c r="E763" s="2420"/>
      <c r="F763" s="2420"/>
      <c r="G763" s="2420"/>
      <c r="H763" s="2420"/>
      <c r="I763" s="2420"/>
      <c r="J763" s="2515"/>
      <c r="K763" s="40">
        <v>3000</v>
      </c>
      <c r="L763" s="3295"/>
      <c r="M763" s="3335" t="s">
        <v>305</v>
      </c>
      <c r="N763" s="3336"/>
      <c r="O763" s="40"/>
      <c r="P763" s="40"/>
      <c r="Q763" s="40">
        <f>$K763*(2/10)</f>
        <v>600</v>
      </c>
      <c r="R763" s="40">
        <f>$K763*(1/10)</f>
        <v>300</v>
      </c>
      <c r="S763" s="40"/>
      <c r="T763" s="38"/>
      <c r="U763" s="40">
        <f>$K763*(1/10)</f>
        <v>300</v>
      </c>
      <c r="V763" s="40">
        <f>$K763*(2/10)</f>
        <v>600</v>
      </c>
      <c r="W763" s="40">
        <f>$K763*(1/10)</f>
        <v>300</v>
      </c>
      <c r="X763" s="38"/>
      <c r="Y763" s="40">
        <f>$K763*(2/10)</f>
        <v>600</v>
      </c>
      <c r="Z763" s="40">
        <f>$K763*(1/10)</f>
        <v>300</v>
      </c>
      <c r="AA763" s="966">
        <f t="shared" si="64"/>
        <v>3000</v>
      </c>
      <c r="AB763" s="35"/>
      <c r="AC763" s="183"/>
    </row>
    <row r="764" spans="1:29" x14ac:dyDescent="0.2">
      <c r="A764" s="1422"/>
      <c r="B764" s="2522"/>
      <c r="C764" s="2420"/>
      <c r="D764" s="2420"/>
      <c r="E764" s="2420"/>
      <c r="F764" s="2420"/>
      <c r="G764" s="2420"/>
      <c r="H764" s="2420"/>
      <c r="I764" s="2420"/>
      <c r="J764" s="2515"/>
      <c r="K764" s="40">
        <v>14040</v>
      </c>
      <c r="L764" s="3295"/>
      <c r="M764" s="3335" t="s">
        <v>306</v>
      </c>
      <c r="N764" s="3336"/>
      <c r="O764" s="37"/>
      <c r="P764" s="38"/>
      <c r="Q764" s="40">
        <f>$K764*(2/10)</f>
        <v>2808</v>
      </c>
      <c r="R764" s="40">
        <f>$K764*(1/10)</f>
        <v>1404</v>
      </c>
      <c r="S764" s="40"/>
      <c r="T764" s="38"/>
      <c r="U764" s="40">
        <f>$K764*(1/10)</f>
        <v>1404</v>
      </c>
      <c r="V764" s="40">
        <f>$K764*(2/10)</f>
        <v>2808</v>
      </c>
      <c r="W764" s="40">
        <f>$K764*(1/10)</f>
        <v>1404</v>
      </c>
      <c r="X764" s="38"/>
      <c r="Y764" s="40">
        <f>$K764*(2/10)</f>
        <v>2808</v>
      </c>
      <c r="Z764" s="40">
        <f>$K764*(1/10)</f>
        <v>1404</v>
      </c>
      <c r="AA764" s="966">
        <f t="shared" si="64"/>
        <v>14040</v>
      </c>
      <c r="AB764" s="35"/>
      <c r="AC764" s="183"/>
    </row>
    <row r="765" spans="1:29" x14ac:dyDescent="0.2">
      <c r="A765" s="1422"/>
      <c r="B765" s="2522"/>
      <c r="C765" s="2420"/>
      <c r="D765" s="2420"/>
      <c r="E765" s="2420"/>
      <c r="F765" s="2420"/>
      <c r="G765" s="2420"/>
      <c r="H765" s="2420"/>
      <c r="I765" s="2420"/>
      <c r="J765" s="2515"/>
      <c r="K765" s="40">
        <v>20000</v>
      </c>
      <c r="L765" s="3295"/>
      <c r="M765" s="3335" t="s">
        <v>415</v>
      </c>
      <c r="N765" s="3336"/>
      <c r="O765" s="40"/>
      <c r="P765" s="40">
        <f t="shared" ref="P765:Z765" si="67">$K765/11</f>
        <v>1818.1818181818182</v>
      </c>
      <c r="Q765" s="40">
        <f t="shared" si="67"/>
        <v>1818.1818181818182</v>
      </c>
      <c r="R765" s="40">
        <f t="shared" si="67"/>
        <v>1818.1818181818182</v>
      </c>
      <c r="S765" s="40">
        <f t="shared" si="67"/>
        <v>1818.1818181818182</v>
      </c>
      <c r="T765" s="40">
        <f t="shared" si="67"/>
        <v>1818.1818181818182</v>
      </c>
      <c r="U765" s="40">
        <f t="shared" si="67"/>
        <v>1818.1818181818182</v>
      </c>
      <c r="V765" s="40">
        <f t="shared" si="67"/>
        <v>1818.1818181818182</v>
      </c>
      <c r="W765" s="40">
        <f t="shared" si="67"/>
        <v>1818.1818181818182</v>
      </c>
      <c r="X765" s="40">
        <f t="shared" si="67"/>
        <v>1818.1818181818182</v>
      </c>
      <c r="Y765" s="40">
        <f t="shared" si="67"/>
        <v>1818.1818181818182</v>
      </c>
      <c r="Z765" s="40">
        <f t="shared" si="67"/>
        <v>1818.1818181818182</v>
      </c>
      <c r="AA765" s="966">
        <f t="shared" si="64"/>
        <v>20000.000000000004</v>
      </c>
      <c r="AB765" s="35"/>
      <c r="AC765" s="183"/>
    </row>
    <row r="766" spans="1:29" x14ac:dyDescent="0.2">
      <c r="A766" s="1422"/>
      <c r="B766" s="2522"/>
      <c r="C766" s="2420"/>
      <c r="D766" s="2420"/>
      <c r="E766" s="2420"/>
      <c r="F766" s="2420"/>
      <c r="G766" s="2420"/>
      <c r="H766" s="2420"/>
      <c r="I766" s="2420"/>
      <c r="J766" s="2515"/>
      <c r="K766" s="40">
        <v>29960</v>
      </c>
      <c r="L766" s="3295"/>
      <c r="M766" s="3335" t="s">
        <v>307</v>
      </c>
      <c r="N766" s="3336"/>
      <c r="O766" s="37"/>
      <c r="P766" s="38"/>
      <c r="Q766" s="42">
        <f>$K766/10</f>
        <v>2996</v>
      </c>
      <c r="R766" s="42">
        <f t="shared" ref="R766:Z766" si="68">$K766/10</f>
        <v>2996</v>
      </c>
      <c r="S766" s="42">
        <f t="shared" si="68"/>
        <v>2996</v>
      </c>
      <c r="T766" s="42">
        <f t="shared" si="68"/>
        <v>2996</v>
      </c>
      <c r="U766" s="42">
        <f t="shared" si="68"/>
        <v>2996</v>
      </c>
      <c r="V766" s="42">
        <f t="shared" si="68"/>
        <v>2996</v>
      </c>
      <c r="W766" s="42">
        <f t="shared" si="68"/>
        <v>2996</v>
      </c>
      <c r="X766" s="42">
        <f t="shared" si="68"/>
        <v>2996</v>
      </c>
      <c r="Y766" s="42">
        <f t="shared" si="68"/>
        <v>2996</v>
      </c>
      <c r="Z766" s="42">
        <f t="shared" si="68"/>
        <v>2996</v>
      </c>
      <c r="AA766" s="966">
        <f t="shared" si="64"/>
        <v>29960</v>
      </c>
      <c r="AB766" s="35"/>
      <c r="AC766" s="183"/>
    </row>
    <row r="767" spans="1:29" x14ac:dyDescent="0.2">
      <c r="A767" s="1422"/>
      <c r="B767" s="2522"/>
      <c r="C767" s="2420"/>
      <c r="D767" s="2420"/>
      <c r="E767" s="2420"/>
      <c r="F767" s="2420"/>
      <c r="G767" s="2420"/>
      <c r="H767" s="2420"/>
      <c r="I767" s="2420"/>
      <c r="J767" s="2515"/>
      <c r="K767" s="40">
        <v>500</v>
      </c>
      <c r="L767" s="3295"/>
      <c r="M767" s="3335" t="s">
        <v>308</v>
      </c>
      <c r="N767" s="3336"/>
      <c r="O767" s="37"/>
      <c r="P767" s="38"/>
      <c r="Q767" s="40"/>
      <c r="R767" s="40">
        <f>$K767</f>
        <v>500</v>
      </c>
      <c r="S767" s="38"/>
      <c r="T767" s="38"/>
      <c r="U767" s="38"/>
      <c r="V767" s="38"/>
      <c r="W767" s="38"/>
      <c r="X767" s="38"/>
      <c r="Y767" s="38"/>
      <c r="Z767" s="38"/>
      <c r="AA767" s="966">
        <f t="shared" si="64"/>
        <v>500</v>
      </c>
      <c r="AB767" s="35"/>
      <c r="AC767" s="183"/>
    </row>
    <row r="768" spans="1:29" x14ac:dyDescent="0.2">
      <c r="A768" s="1422"/>
      <c r="B768" s="2522"/>
      <c r="C768" s="2420"/>
      <c r="D768" s="2420"/>
      <c r="E768" s="2420"/>
      <c r="F768" s="2420"/>
      <c r="G768" s="2420"/>
      <c r="H768" s="2420"/>
      <c r="I768" s="2420"/>
      <c r="J768" s="2515"/>
      <c r="K768" s="40">
        <v>11400</v>
      </c>
      <c r="L768" s="3295"/>
      <c r="M768" s="3335" t="s">
        <v>309</v>
      </c>
      <c r="N768" s="3336"/>
      <c r="O768" s="37"/>
      <c r="P768" s="38"/>
      <c r="Q768" s="40">
        <f>$K768/5</f>
        <v>2280</v>
      </c>
      <c r="R768" s="40"/>
      <c r="S768" s="40">
        <f>$K768/5</f>
        <v>2280</v>
      </c>
      <c r="T768" s="38"/>
      <c r="U768" s="40">
        <f>$K768/5</f>
        <v>2280</v>
      </c>
      <c r="V768" s="38"/>
      <c r="W768" s="40">
        <f>$K768/5</f>
        <v>2280</v>
      </c>
      <c r="X768" s="38"/>
      <c r="Y768" s="40">
        <f>$K768/5</f>
        <v>2280</v>
      </c>
      <c r="Z768" s="38"/>
      <c r="AA768" s="966">
        <f t="shared" si="64"/>
        <v>11400</v>
      </c>
      <c r="AB768" s="35"/>
      <c r="AC768" s="183"/>
    </row>
    <row r="769" spans="1:29" x14ac:dyDescent="0.2">
      <c r="A769" s="1422"/>
      <c r="B769" s="2522"/>
      <c r="C769" s="2420"/>
      <c r="D769" s="2420"/>
      <c r="E769" s="2420"/>
      <c r="F769" s="2420"/>
      <c r="G769" s="2420"/>
      <c r="H769" s="2420"/>
      <c r="I769" s="2420"/>
      <c r="J769" s="2515"/>
      <c r="K769" s="40">
        <v>28400</v>
      </c>
      <c r="L769" s="3295"/>
      <c r="M769" s="3335" t="s">
        <v>358</v>
      </c>
      <c r="N769" s="3336"/>
      <c r="O769" s="40"/>
      <c r="P769" s="40">
        <f t="shared" ref="P769:Z769" si="69">$K769/11</f>
        <v>2581.818181818182</v>
      </c>
      <c r="Q769" s="40">
        <f t="shared" si="69"/>
        <v>2581.818181818182</v>
      </c>
      <c r="R769" s="40">
        <f t="shared" si="69"/>
        <v>2581.818181818182</v>
      </c>
      <c r="S769" s="40">
        <f t="shared" si="69"/>
        <v>2581.818181818182</v>
      </c>
      <c r="T769" s="40">
        <f t="shared" si="69"/>
        <v>2581.818181818182</v>
      </c>
      <c r="U769" s="40">
        <f t="shared" si="69"/>
        <v>2581.818181818182</v>
      </c>
      <c r="V769" s="40">
        <f t="shared" si="69"/>
        <v>2581.818181818182</v>
      </c>
      <c r="W769" s="40">
        <f t="shared" si="69"/>
        <v>2581.818181818182</v>
      </c>
      <c r="X769" s="40">
        <f t="shared" si="69"/>
        <v>2581.818181818182</v>
      </c>
      <c r="Y769" s="40">
        <f t="shared" si="69"/>
        <v>2581.818181818182</v>
      </c>
      <c r="Z769" s="40">
        <f t="shared" si="69"/>
        <v>2581.818181818182</v>
      </c>
      <c r="AA769" s="966">
        <f t="shared" si="64"/>
        <v>28400.000000000007</v>
      </c>
      <c r="AB769" s="35"/>
      <c r="AC769" s="183"/>
    </row>
    <row r="770" spans="1:29" x14ac:dyDescent="0.2">
      <c r="A770" s="1422"/>
      <c r="B770" s="2522"/>
      <c r="C770" s="2420"/>
      <c r="D770" s="2420"/>
      <c r="E770" s="2420"/>
      <c r="F770" s="2420"/>
      <c r="G770" s="2420"/>
      <c r="H770" s="2420"/>
      <c r="I770" s="2420"/>
      <c r="J770" s="2515"/>
      <c r="K770" s="40">
        <v>1489502</v>
      </c>
      <c r="L770" s="3295"/>
      <c r="M770" s="3335" t="s">
        <v>310</v>
      </c>
      <c r="N770" s="3336"/>
      <c r="O770" s="40">
        <f t="shared" ref="O770:Z772" si="70">$K770/12</f>
        <v>124125.16666666667</v>
      </c>
      <c r="P770" s="40">
        <f t="shared" si="70"/>
        <v>124125.16666666667</v>
      </c>
      <c r="Q770" s="40">
        <f t="shared" si="70"/>
        <v>124125.16666666667</v>
      </c>
      <c r="R770" s="40">
        <f t="shared" si="70"/>
        <v>124125.16666666667</v>
      </c>
      <c r="S770" s="40">
        <f t="shared" si="70"/>
        <v>124125.16666666667</v>
      </c>
      <c r="T770" s="40">
        <f t="shared" si="70"/>
        <v>124125.16666666667</v>
      </c>
      <c r="U770" s="40">
        <f t="shared" si="70"/>
        <v>124125.16666666667</v>
      </c>
      <c r="V770" s="40">
        <f t="shared" si="70"/>
        <v>124125.16666666667</v>
      </c>
      <c r="W770" s="40">
        <f t="shared" si="70"/>
        <v>124125.16666666667</v>
      </c>
      <c r="X770" s="40">
        <f t="shared" si="70"/>
        <v>124125.16666666667</v>
      </c>
      <c r="Y770" s="40">
        <f t="shared" si="70"/>
        <v>124125.16666666667</v>
      </c>
      <c r="Z770" s="40">
        <f t="shared" si="70"/>
        <v>124125.16666666667</v>
      </c>
      <c r="AA770" s="966">
        <f t="shared" si="64"/>
        <v>1489502.0000000002</v>
      </c>
      <c r="AB770" s="35"/>
      <c r="AC770" s="183"/>
    </row>
    <row r="771" spans="1:29" x14ac:dyDescent="0.2">
      <c r="A771" s="1422"/>
      <c r="B771" s="2522"/>
      <c r="C771" s="2420"/>
      <c r="D771" s="2420"/>
      <c r="E771" s="2420"/>
      <c r="F771" s="2420"/>
      <c r="G771" s="2420"/>
      <c r="H771" s="2420"/>
      <c r="I771" s="2420"/>
      <c r="J771" s="2515"/>
      <c r="K771" s="40">
        <v>83941</v>
      </c>
      <c r="L771" s="3295"/>
      <c r="M771" s="3335" t="s">
        <v>311</v>
      </c>
      <c r="N771" s="3336"/>
      <c r="O771" s="40">
        <f t="shared" si="70"/>
        <v>6995.083333333333</v>
      </c>
      <c r="P771" s="40">
        <f t="shared" si="70"/>
        <v>6995.083333333333</v>
      </c>
      <c r="Q771" s="40">
        <f t="shared" si="70"/>
        <v>6995.083333333333</v>
      </c>
      <c r="R771" s="40">
        <f t="shared" si="70"/>
        <v>6995.083333333333</v>
      </c>
      <c r="S771" s="40">
        <f t="shared" si="70"/>
        <v>6995.083333333333</v>
      </c>
      <c r="T771" s="40">
        <f t="shared" si="70"/>
        <v>6995.083333333333</v>
      </c>
      <c r="U771" s="40">
        <f t="shared" si="70"/>
        <v>6995.083333333333</v>
      </c>
      <c r="V771" s="40">
        <f t="shared" si="70"/>
        <v>6995.083333333333</v>
      </c>
      <c r="W771" s="40">
        <f t="shared" si="70"/>
        <v>6995.083333333333</v>
      </c>
      <c r="X771" s="40">
        <f t="shared" si="70"/>
        <v>6995.083333333333</v>
      </c>
      <c r="Y771" s="40">
        <f t="shared" si="70"/>
        <v>6995.083333333333</v>
      </c>
      <c r="Z771" s="40">
        <f t="shared" si="70"/>
        <v>6995.083333333333</v>
      </c>
      <c r="AA771" s="966">
        <f t="shared" si="64"/>
        <v>83941</v>
      </c>
      <c r="AB771" s="35"/>
      <c r="AC771" s="183"/>
    </row>
    <row r="772" spans="1:29" x14ac:dyDescent="0.2">
      <c r="A772" s="1422"/>
      <c r="B772" s="2522"/>
      <c r="C772" s="2420"/>
      <c r="D772" s="2420"/>
      <c r="E772" s="2420"/>
      <c r="F772" s="2420"/>
      <c r="G772" s="2420"/>
      <c r="H772" s="2420"/>
      <c r="I772" s="2420"/>
      <c r="J772" s="2516"/>
      <c r="K772" s="40">
        <v>485403</v>
      </c>
      <c r="L772" s="1133"/>
      <c r="M772" s="3335" t="s">
        <v>397</v>
      </c>
      <c r="N772" s="3336"/>
      <c r="O772" s="40">
        <f>$K772/12</f>
        <v>40450.25</v>
      </c>
      <c r="P772" s="40">
        <f t="shared" si="70"/>
        <v>40450.25</v>
      </c>
      <c r="Q772" s="40">
        <f t="shared" si="70"/>
        <v>40450.25</v>
      </c>
      <c r="R772" s="40">
        <f t="shared" si="70"/>
        <v>40450.25</v>
      </c>
      <c r="S772" s="40">
        <f t="shared" si="70"/>
        <v>40450.25</v>
      </c>
      <c r="T772" s="40">
        <f t="shared" si="70"/>
        <v>40450.25</v>
      </c>
      <c r="U772" s="40">
        <f t="shared" si="70"/>
        <v>40450.25</v>
      </c>
      <c r="V772" s="40">
        <f t="shared" si="70"/>
        <v>40450.25</v>
      </c>
      <c r="W772" s="40">
        <f t="shared" si="70"/>
        <v>40450.25</v>
      </c>
      <c r="X772" s="40">
        <f t="shared" si="70"/>
        <v>40450.25</v>
      </c>
      <c r="Y772" s="40">
        <f t="shared" si="70"/>
        <v>40450.25</v>
      </c>
      <c r="Z772" s="40">
        <f>$K772/12</f>
        <v>40450.25</v>
      </c>
      <c r="AA772" s="966">
        <f t="shared" si="64"/>
        <v>485403</v>
      </c>
      <c r="AB772" s="35"/>
      <c r="AC772" s="183"/>
    </row>
    <row r="773" spans="1:29" x14ac:dyDescent="0.2">
      <c r="A773" s="1422"/>
      <c r="B773" s="1427" t="s">
        <v>312</v>
      </c>
      <c r="C773" s="35"/>
      <c r="D773" s="35"/>
      <c r="E773" s="58"/>
      <c r="F773" s="35"/>
      <c r="G773" s="35"/>
      <c r="H773" s="35"/>
      <c r="I773" s="35"/>
      <c r="J773" s="59"/>
      <c r="K773" s="60">
        <f>SUM(K747:K772)</f>
        <v>5515926</v>
      </c>
      <c r="L773" s="61"/>
      <c r="M773" s="62"/>
      <c r="N773" s="62"/>
      <c r="O773" s="60"/>
      <c r="P773" s="60"/>
      <c r="Q773" s="60"/>
      <c r="R773" s="60"/>
      <c r="S773" s="60"/>
      <c r="T773" s="60"/>
      <c r="U773" s="60"/>
      <c r="V773" s="63"/>
      <c r="W773" s="64"/>
      <c r="X773" s="64"/>
      <c r="Y773" s="65"/>
      <c r="Z773" s="56"/>
      <c r="AA773" s="40"/>
      <c r="AB773" s="35"/>
      <c r="AC773" s="183"/>
    </row>
    <row r="774" spans="1:29" ht="22.5" customHeight="1" x14ac:dyDescent="0.2">
      <c r="A774" s="1422"/>
      <c r="B774" s="1433" t="s">
        <v>276</v>
      </c>
      <c r="C774" s="108"/>
      <c r="D774" s="35">
        <v>3033288</v>
      </c>
      <c r="E774" s="192" t="s">
        <v>463</v>
      </c>
      <c r="F774" s="35"/>
      <c r="G774" s="35"/>
      <c r="H774" s="35"/>
      <c r="I774" s="35"/>
      <c r="J774" s="35"/>
      <c r="K774" s="60"/>
      <c r="L774" s="60"/>
      <c r="M774" s="181"/>
      <c r="N774" s="181"/>
      <c r="O774" s="60"/>
      <c r="P774" s="60"/>
      <c r="Q774" s="60"/>
      <c r="R774" s="60"/>
      <c r="S774" s="60"/>
      <c r="T774" s="35"/>
      <c r="U774" s="35"/>
      <c r="V774" s="3023" t="s">
        <v>15</v>
      </c>
      <c r="W774" s="3337"/>
      <c r="X774" s="3337"/>
      <c r="Y774" s="3338"/>
      <c r="Z774" s="2974" t="s">
        <v>16</v>
      </c>
      <c r="AA774" s="2976"/>
      <c r="AB774" s="35"/>
      <c r="AC774" s="183"/>
    </row>
    <row r="775" spans="1:29" ht="40.5" customHeight="1" x14ac:dyDescent="0.2">
      <c r="A775" s="1422"/>
      <c r="B775" s="1433"/>
      <c r="C775" s="108"/>
      <c r="D775" s="35"/>
      <c r="E775" s="192"/>
      <c r="F775" s="35"/>
      <c r="G775" s="35"/>
      <c r="H775" s="35"/>
      <c r="I775" s="35"/>
      <c r="J775" s="35"/>
      <c r="K775" s="60"/>
      <c r="L775" s="60"/>
      <c r="M775" s="181"/>
      <c r="N775" s="181"/>
      <c r="O775" s="60"/>
      <c r="P775" s="60"/>
      <c r="Q775" s="60"/>
      <c r="R775" s="60"/>
      <c r="S775" s="60"/>
      <c r="T775" s="35"/>
      <c r="U775" s="35"/>
      <c r="V775" s="2918" t="s">
        <v>464</v>
      </c>
      <c r="W775" s="2919"/>
      <c r="X775" s="2919"/>
      <c r="Y775" s="2923"/>
      <c r="Z775" s="2974" t="s">
        <v>361</v>
      </c>
      <c r="AA775" s="2976"/>
      <c r="AB775" s="35"/>
      <c r="AC775" s="183"/>
    </row>
    <row r="776" spans="1:29" x14ac:dyDescent="0.2">
      <c r="A776" s="1422"/>
      <c r="B776" s="2999" t="s">
        <v>278</v>
      </c>
      <c r="C776" s="2988" t="s">
        <v>21</v>
      </c>
      <c r="D776" s="2847" t="s">
        <v>22</v>
      </c>
      <c r="E776" s="2847" t="s">
        <v>23</v>
      </c>
      <c r="F776" s="2847" t="s">
        <v>24</v>
      </c>
      <c r="G776" s="2847" t="s">
        <v>25</v>
      </c>
      <c r="H776" s="2847" t="s">
        <v>26</v>
      </c>
      <c r="I776" s="2847" t="s">
        <v>27</v>
      </c>
      <c r="J776" s="3206" t="s">
        <v>28</v>
      </c>
      <c r="K776" s="3301"/>
      <c r="L776" s="2987" t="s">
        <v>279</v>
      </c>
      <c r="M776" s="3273" t="s">
        <v>280</v>
      </c>
      <c r="N776" s="3274"/>
      <c r="O776" s="2847" t="s">
        <v>281</v>
      </c>
      <c r="P776" s="2847"/>
      <c r="Q776" s="2847"/>
      <c r="R776" s="2847"/>
      <c r="S776" s="2847"/>
      <c r="T776" s="2847"/>
      <c r="U776" s="2847"/>
      <c r="V776" s="2847"/>
      <c r="W776" s="2847"/>
      <c r="X776" s="2847"/>
      <c r="Y776" s="2847"/>
      <c r="Z776" s="2847"/>
      <c r="AA776" s="3339" t="s">
        <v>32</v>
      </c>
      <c r="AB776" s="35"/>
      <c r="AC776" s="183"/>
    </row>
    <row r="777" spans="1:29" x14ac:dyDescent="0.2">
      <c r="A777" s="1422"/>
      <c r="B777" s="2999"/>
      <c r="C777" s="3186"/>
      <c r="D777" s="2847"/>
      <c r="E777" s="2847"/>
      <c r="F777" s="2847"/>
      <c r="G777" s="2847"/>
      <c r="H777" s="2847"/>
      <c r="I777" s="2847"/>
      <c r="J777" s="2988" t="s">
        <v>33</v>
      </c>
      <c r="K777" s="2847" t="s">
        <v>282</v>
      </c>
      <c r="L777" s="3341"/>
      <c r="M777" s="3275"/>
      <c r="N777" s="3276"/>
      <c r="O777" s="1009" t="s">
        <v>283</v>
      </c>
      <c r="P777" s="1009" t="s">
        <v>284</v>
      </c>
      <c r="Q777" s="1009" t="s">
        <v>285</v>
      </c>
      <c r="R777" s="1009" t="s">
        <v>88</v>
      </c>
      <c r="S777" s="1009" t="s">
        <v>89</v>
      </c>
      <c r="T777" s="1009" t="s">
        <v>90</v>
      </c>
      <c r="U777" s="1009" t="s">
        <v>91</v>
      </c>
      <c r="V777" s="1009" t="s">
        <v>92</v>
      </c>
      <c r="W777" s="1009" t="s">
        <v>286</v>
      </c>
      <c r="X777" s="1009" t="s">
        <v>93</v>
      </c>
      <c r="Y777" s="1009" t="s">
        <v>94</v>
      </c>
      <c r="Z777" s="1009" t="s">
        <v>95</v>
      </c>
      <c r="AA777" s="3340"/>
      <c r="AB777" s="35"/>
      <c r="AC777" s="183"/>
    </row>
    <row r="778" spans="1:29" x14ac:dyDescent="0.2">
      <c r="A778" s="1422"/>
      <c r="B778" s="2999"/>
      <c r="C778" s="3186"/>
      <c r="D778" s="2847"/>
      <c r="E778" s="2847"/>
      <c r="F778" s="2847"/>
      <c r="G778" s="2847"/>
      <c r="H778" s="2847"/>
      <c r="I778" s="2847"/>
      <c r="J778" s="3186"/>
      <c r="K778" s="2847"/>
      <c r="L778" s="3341"/>
      <c r="M778" s="3271" t="s">
        <v>287</v>
      </c>
      <c r="N778" s="3272"/>
      <c r="O778" s="1095"/>
      <c r="P778" s="46">
        <v>9.9090909090909083</v>
      </c>
      <c r="Q778" s="46">
        <v>10</v>
      </c>
      <c r="R778" s="46">
        <v>10</v>
      </c>
      <c r="S778" s="46">
        <v>10</v>
      </c>
      <c r="T778" s="46">
        <v>10</v>
      </c>
      <c r="U778" s="46">
        <v>10</v>
      </c>
      <c r="V778" s="46">
        <v>10</v>
      </c>
      <c r="W778" s="46">
        <v>10</v>
      </c>
      <c r="X778" s="46">
        <v>10</v>
      </c>
      <c r="Y778" s="46">
        <v>10</v>
      </c>
      <c r="Z778" s="46">
        <v>9</v>
      </c>
      <c r="AA778" s="1196">
        <f t="shared" ref="AA778:AA797" si="71">SUM(O778:Z778)</f>
        <v>108.90909090909091</v>
      </c>
      <c r="AB778" s="35"/>
      <c r="AC778" s="183"/>
    </row>
    <row r="779" spans="1:29" x14ac:dyDescent="0.2">
      <c r="A779" s="1422"/>
      <c r="B779" s="2999"/>
      <c r="C779" s="2989"/>
      <c r="D779" s="2847"/>
      <c r="E779" s="2847"/>
      <c r="F779" s="2847"/>
      <c r="G779" s="2847"/>
      <c r="H779" s="2847"/>
      <c r="I779" s="2847"/>
      <c r="J779" s="2989"/>
      <c r="K779" s="2847"/>
      <c r="L779" s="3001"/>
      <c r="M779" s="3271" t="s">
        <v>34</v>
      </c>
      <c r="N779" s="3272"/>
      <c r="O779" s="36">
        <f>SUM(O780:O797)</f>
        <v>60789.916666666664</v>
      </c>
      <c r="P779" s="36">
        <f t="shared" ref="P779:Y779" si="72">SUM(P780:P797)</f>
        <v>54289.916666666664</v>
      </c>
      <c r="Q779" s="36">
        <f t="shared" si="72"/>
        <v>58673.25</v>
      </c>
      <c r="R779" s="36">
        <f t="shared" si="72"/>
        <v>54024.716666666667</v>
      </c>
      <c r="S779" s="36">
        <f t="shared" si="72"/>
        <v>54806.583333333328</v>
      </c>
      <c r="T779" s="36">
        <f t="shared" si="72"/>
        <v>57458.05</v>
      </c>
      <c r="U779" s="36">
        <f t="shared" si="72"/>
        <v>59199.916666666664</v>
      </c>
      <c r="V779" s="36">
        <f t="shared" si="72"/>
        <v>55274.716666666667</v>
      </c>
      <c r="W779" s="36">
        <f t="shared" si="72"/>
        <v>54806.583333333328</v>
      </c>
      <c r="X779" s="36">
        <f t="shared" si="72"/>
        <v>54024.716666666667</v>
      </c>
      <c r="Y779" s="36">
        <f t="shared" si="72"/>
        <v>53089.916666666664</v>
      </c>
      <c r="Z779" s="36">
        <f>SUM(Z780:Z797)</f>
        <v>60134.716666666667</v>
      </c>
      <c r="AA779" s="1196">
        <f t="shared" si="71"/>
        <v>676572.99999999988</v>
      </c>
      <c r="AB779" s="35"/>
      <c r="AC779" s="183"/>
    </row>
    <row r="780" spans="1:29" ht="11.25" customHeight="1" x14ac:dyDescent="0.2">
      <c r="A780" s="1422"/>
      <c r="B780" s="2522">
        <v>5000039</v>
      </c>
      <c r="C780" s="2431" t="s">
        <v>3052</v>
      </c>
      <c r="D780" s="2421">
        <v>26</v>
      </c>
      <c r="E780" s="2421" t="s">
        <v>401</v>
      </c>
      <c r="F780" s="2421" t="s">
        <v>313</v>
      </c>
      <c r="G780" s="2421" t="s">
        <v>329</v>
      </c>
      <c r="H780" s="2421" t="s">
        <v>465</v>
      </c>
      <c r="I780" s="2421" t="s">
        <v>363</v>
      </c>
      <c r="J780" s="2431">
        <v>109</v>
      </c>
      <c r="K780" s="40">
        <v>173668</v>
      </c>
      <c r="L780" s="3294" t="s">
        <v>446</v>
      </c>
      <c r="M780" s="3335" t="s">
        <v>293</v>
      </c>
      <c r="N780" s="3336"/>
      <c r="O780" s="40">
        <f t="shared" ref="O780:Z788" si="73">$K780/12</f>
        <v>14472.333333333334</v>
      </c>
      <c r="P780" s="40">
        <f t="shared" si="73"/>
        <v>14472.333333333334</v>
      </c>
      <c r="Q780" s="40">
        <f t="shared" si="73"/>
        <v>14472.333333333334</v>
      </c>
      <c r="R780" s="40">
        <f t="shared" si="73"/>
        <v>14472.333333333334</v>
      </c>
      <c r="S780" s="40">
        <f t="shared" si="73"/>
        <v>14472.333333333334</v>
      </c>
      <c r="T780" s="40">
        <f t="shared" si="73"/>
        <v>14472.333333333334</v>
      </c>
      <c r="U780" s="40">
        <f t="shared" si="73"/>
        <v>14472.333333333334</v>
      </c>
      <c r="V780" s="40">
        <f t="shared" si="73"/>
        <v>14472.333333333334</v>
      </c>
      <c r="W780" s="40">
        <f t="shared" si="73"/>
        <v>14472.333333333334</v>
      </c>
      <c r="X780" s="40">
        <f t="shared" si="73"/>
        <v>14472.333333333334</v>
      </c>
      <c r="Y780" s="40">
        <f t="shared" si="73"/>
        <v>14472.333333333334</v>
      </c>
      <c r="Z780" s="40">
        <f t="shared" si="73"/>
        <v>14472.333333333334</v>
      </c>
      <c r="AA780" s="966">
        <f t="shared" si="71"/>
        <v>173668</v>
      </c>
      <c r="AB780" s="35"/>
      <c r="AC780" s="183"/>
    </row>
    <row r="781" spans="1:29" x14ac:dyDescent="0.2">
      <c r="A781" s="1422"/>
      <c r="B781" s="2522"/>
      <c r="C781" s="2432"/>
      <c r="D781" s="2421"/>
      <c r="E781" s="2421"/>
      <c r="F781" s="2421"/>
      <c r="G781" s="2421"/>
      <c r="H781" s="2421"/>
      <c r="I781" s="2421"/>
      <c r="J781" s="2432"/>
      <c r="K781" s="40">
        <v>230468</v>
      </c>
      <c r="L781" s="3295"/>
      <c r="M781" s="3335" t="s">
        <v>295</v>
      </c>
      <c r="N781" s="3336"/>
      <c r="O781" s="40">
        <f t="shared" si="73"/>
        <v>19205.666666666668</v>
      </c>
      <c r="P781" s="40">
        <f t="shared" si="73"/>
        <v>19205.666666666668</v>
      </c>
      <c r="Q781" s="40">
        <f t="shared" si="73"/>
        <v>19205.666666666668</v>
      </c>
      <c r="R781" s="40">
        <f t="shared" si="73"/>
        <v>19205.666666666668</v>
      </c>
      <c r="S781" s="40">
        <f t="shared" si="73"/>
        <v>19205.666666666668</v>
      </c>
      <c r="T781" s="40">
        <f t="shared" si="73"/>
        <v>19205.666666666668</v>
      </c>
      <c r="U781" s="40">
        <f t="shared" si="73"/>
        <v>19205.666666666668</v>
      </c>
      <c r="V781" s="40">
        <f t="shared" si="73"/>
        <v>19205.666666666668</v>
      </c>
      <c r="W781" s="40">
        <f t="shared" si="73"/>
        <v>19205.666666666668</v>
      </c>
      <c r="X781" s="40">
        <f t="shared" si="73"/>
        <v>19205.666666666668</v>
      </c>
      <c r="Y781" s="40">
        <f t="shared" si="73"/>
        <v>19205.666666666668</v>
      </c>
      <c r="Z781" s="40">
        <f t="shared" si="73"/>
        <v>19205.666666666668</v>
      </c>
      <c r="AA781" s="966">
        <f t="shared" si="71"/>
        <v>230467.99999999997</v>
      </c>
      <c r="AB781" s="35"/>
      <c r="AC781" s="183"/>
    </row>
    <row r="782" spans="1:29" x14ac:dyDescent="0.2">
      <c r="A782" s="1422"/>
      <c r="B782" s="2522"/>
      <c r="C782" s="2432"/>
      <c r="D782" s="2421"/>
      <c r="E782" s="2421"/>
      <c r="F782" s="2421"/>
      <c r="G782" s="2421"/>
      <c r="H782" s="2421"/>
      <c r="I782" s="2421"/>
      <c r="J782" s="2432"/>
      <c r="K782" s="40">
        <v>42240</v>
      </c>
      <c r="L782" s="3295"/>
      <c r="M782" s="3335" t="s">
        <v>332</v>
      </c>
      <c r="N782" s="3336"/>
      <c r="O782" s="40">
        <f t="shared" si="73"/>
        <v>3520</v>
      </c>
      <c r="P782" s="40">
        <f t="shared" si="73"/>
        <v>3520</v>
      </c>
      <c r="Q782" s="40">
        <f t="shared" si="73"/>
        <v>3520</v>
      </c>
      <c r="R782" s="40">
        <f t="shared" si="73"/>
        <v>3520</v>
      </c>
      <c r="S782" s="40">
        <f t="shared" si="73"/>
        <v>3520</v>
      </c>
      <c r="T782" s="40">
        <f t="shared" si="73"/>
        <v>3520</v>
      </c>
      <c r="U782" s="40">
        <f t="shared" si="73"/>
        <v>3520</v>
      </c>
      <c r="V782" s="40">
        <f t="shared" si="73"/>
        <v>3520</v>
      </c>
      <c r="W782" s="40">
        <f t="shared" si="73"/>
        <v>3520</v>
      </c>
      <c r="X782" s="40">
        <f t="shared" si="73"/>
        <v>3520</v>
      </c>
      <c r="Y782" s="40">
        <f t="shared" si="73"/>
        <v>3520</v>
      </c>
      <c r="Z782" s="40">
        <f t="shared" si="73"/>
        <v>3520</v>
      </c>
      <c r="AA782" s="966">
        <f t="shared" si="71"/>
        <v>42240</v>
      </c>
      <c r="AB782" s="35"/>
      <c r="AC782" s="183"/>
    </row>
    <row r="783" spans="1:29" x14ac:dyDescent="0.2">
      <c r="A783" s="1422"/>
      <c r="B783" s="2522"/>
      <c r="C783" s="2432"/>
      <c r="D783" s="2421"/>
      <c r="E783" s="2421"/>
      <c r="F783" s="2421"/>
      <c r="G783" s="2421"/>
      <c r="H783" s="2421"/>
      <c r="I783" s="2421"/>
      <c r="J783" s="2432"/>
      <c r="K783" s="40">
        <v>101775</v>
      </c>
      <c r="L783" s="3295"/>
      <c r="M783" s="3335" t="s">
        <v>296</v>
      </c>
      <c r="N783" s="3336"/>
      <c r="O783" s="40">
        <f t="shared" si="73"/>
        <v>8481.25</v>
      </c>
      <c r="P783" s="40">
        <f t="shared" si="73"/>
        <v>8481.25</v>
      </c>
      <c r="Q783" s="40">
        <f t="shared" si="73"/>
        <v>8481.25</v>
      </c>
      <c r="R783" s="40">
        <f t="shared" si="73"/>
        <v>8481.25</v>
      </c>
      <c r="S783" s="40">
        <f t="shared" si="73"/>
        <v>8481.25</v>
      </c>
      <c r="T783" s="40">
        <f t="shared" si="73"/>
        <v>8481.25</v>
      </c>
      <c r="U783" s="40">
        <f t="shared" si="73"/>
        <v>8481.25</v>
      </c>
      <c r="V783" s="40">
        <f t="shared" si="73"/>
        <v>8481.25</v>
      </c>
      <c r="W783" s="40">
        <f t="shared" si="73"/>
        <v>8481.25</v>
      </c>
      <c r="X783" s="40">
        <f t="shared" si="73"/>
        <v>8481.25</v>
      </c>
      <c r="Y783" s="40">
        <f t="shared" si="73"/>
        <v>8481.25</v>
      </c>
      <c r="Z783" s="40">
        <f t="shared" si="73"/>
        <v>8481.25</v>
      </c>
      <c r="AA783" s="966">
        <f t="shared" si="71"/>
        <v>101775</v>
      </c>
      <c r="AB783" s="35"/>
      <c r="AC783" s="183"/>
    </row>
    <row r="784" spans="1:29" x14ac:dyDescent="0.2">
      <c r="A784" s="1422"/>
      <c r="B784" s="2522"/>
      <c r="C784" s="2432"/>
      <c r="D784" s="2421"/>
      <c r="E784" s="2421"/>
      <c r="F784" s="2421"/>
      <c r="G784" s="2421"/>
      <c r="H784" s="2421"/>
      <c r="I784" s="2421"/>
      <c r="J784" s="2432"/>
      <c r="K784" s="40">
        <v>28596</v>
      </c>
      <c r="L784" s="3295"/>
      <c r="M784" s="3335" t="s">
        <v>297</v>
      </c>
      <c r="N784" s="3336"/>
      <c r="O784" s="40">
        <f t="shared" si="73"/>
        <v>2383</v>
      </c>
      <c r="P784" s="40">
        <f t="shared" si="73"/>
        <v>2383</v>
      </c>
      <c r="Q784" s="40">
        <f t="shared" si="73"/>
        <v>2383</v>
      </c>
      <c r="R784" s="40">
        <f t="shared" si="73"/>
        <v>2383</v>
      </c>
      <c r="S784" s="40">
        <f t="shared" si="73"/>
        <v>2383</v>
      </c>
      <c r="T784" s="40">
        <f t="shared" si="73"/>
        <v>2383</v>
      </c>
      <c r="U784" s="40">
        <f t="shared" si="73"/>
        <v>2383</v>
      </c>
      <c r="V784" s="40">
        <f t="shared" si="73"/>
        <v>2383</v>
      </c>
      <c r="W784" s="40">
        <f t="shared" si="73"/>
        <v>2383</v>
      </c>
      <c r="X784" s="40">
        <f t="shared" si="73"/>
        <v>2383</v>
      </c>
      <c r="Y784" s="40">
        <f t="shared" si="73"/>
        <v>2383</v>
      </c>
      <c r="Z784" s="40">
        <f t="shared" si="73"/>
        <v>2383</v>
      </c>
      <c r="AA784" s="966">
        <f t="shared" si="71"/>
        <v>28596</v>
      </c>
      <c r="AB784" s="35"/>
      <c r="AC784" s="183"/>
    </row>
    <row r="785" spans="1:29" x14ac:dyDescent="0.2">
      <c r="A785" s="1422"/>
      <c r="B785" s="2522"/>
      <c r="C785" s="2432"/>
      <c r="D785" s="2421"/>
      <c r="E785" s="2421"/>
      <c r="F785" s="2421"/>
      <c r="G785" s="2421"/>
      <c r="H785" s="2421"/>
      <c r="I785" s="2421"/>
      <c r="J785" s="2432"/>
      <c r="K785" s="40">
        <v>12220</v>
      </c>
      <c r="L785" s="3295"/>
      <c r="M785" s="3335" t="s">
        <v>298</v>
      </c>
      <c r="N785" s="3336"/>
      <c r="O785" s="37"/>
      <c r="P785" s="38"/>
      <c r="Q785" s="38"/>
      <c r="R785" s="38"/>
      <c r="S785" s="38"/>
      <c r="T785" s="38"/>
      <c r="U785" s="40">
        <f>$K785/2</f>
        <v>6110</v>
      </c>
      <c r="V785" s="38"/>
      <c r="W785" s="38"/>
      <c r="X785" s="38"/>
      <c r="Y785" s="38"/>
      <c r="Z785" s="40">
        <f>$K785/2</f>
        <v>6110</v>
      </c>
      <c r="AA785" s="966">
        <f t="shared" si="71"/>
        <v>12220</v>
      </c>
      <c r="AB785" s="35"/>
      <c r="AC785" s="183"/>
    </row>
    <row r="786" spans="1:29" x14ac:dyDescent="0.2">
      <c r="A786" s="1422"/>
      <c r="B786" s="2522"/>
      <c r="C786" s="2432"/>
      <c r="D786" s="2421"/>
      <c r="E786" s="2421"/>
      <c r="F786" s="2421"/>
      <c r="G786" s="2421"/>
      <c r="H786" s="2421"/>
      <c r="I786" s="2421"/>
      <c r="J786" s="2432"/>
      <c r="K786" s="40">
        <v>8000</v>
      </c>
      <c r="L786" s="3295"/>
      <c r="M786" s="3335" t="s">
        <v>299</v>
      </c>
      <c r="N786" s="3336"/>
      <c r="O786" s="37">
        <f>$K786</f>
        <v>8000</v>
      </c>
      <c r="P786" s="38"/>
      <c r="Q786" s="37"/>
      <c r="R786" s="38"/>
      <c r="S786" s="38"/>
      <c r="T786" s="38"/>
      <c r="U786" s="38"/>
      <c r="V786" s="38"/>
      <c r="W786" s="38"/>
      <c r="X786" s="38"/>
      <c r="Y786" s="38"/>
      <c r="Z786" s="38"/>
      <c r="AA786" s="966">
        <f t="shared" si="71"/>
        <v>8000</v>
      </c>
      <c r="AB786" s="35"/>
      <c r="AC786" s="183"/>
    </row>
    <row r="787" spans="1:29" x14ac:dyDescent="0.2">
      <c r="A787" s="1422"/>
      <c r="B787" s="2522"/>
      <c r="C787" s="2432"/>
      <c r="D787" s="2421"/>
      <c r="E787" s="2421"/>
      <c r="F787" s="2421"/>
      <c r="G787" s="2421"/>
      <c r="H787" s="2421"/>
      <c r="I787" s="2421"/>
      <c r="J787" s="2432"/>
      <c r="K787" s="40">
        <v>31693</v>
      </c>
      <c r="L787" s="3295"/>
      <c r="M787" s="3335" t="s">
        <v>300</v>
      </c>
      <c r="N787" s="3336"/>
      <c r="O787" s="40">
        <f t="shared" si="73"/>
        <v>2641.0833333333335</v>
      </c>
      <c r="P787" s="40">
        <f t="shared" si="73"/>
        <v>2641.0833333333335</v>
      </c>
      <c r="Q787" s="40">
        <f t="shared" si="73"/>
        <v>2641.0833333333335</v>
      </c>
      <c r="R787" s="40">
        <f t="shared" si="73"/>
        <v>2641.0833333333335</v>
      </c>
      <c r="S787" s="40">
        <f t="shared" si="73"/>
        <v>2641.0833333333335</v>
      </c>
      <c r="T787" s="40">
        <f t="shared" si="73"/>
        <v>2641.0833333333335</v>
      </c>
      <c r="U787" s="40">
        <f t="shared" si="73"/>
        <v>2641.0833333333335</v>
      </c>
      <c r="V787" s="40">
        <f t="shared" si="73"/>
        <v>2641.0833333333335</v>
      </c>
      <c r="W787" s="40">
        <f t="shared" si="73"/>
        <v>2641.0833333333335</v>
      </c>
      <c r="X787" s="40">
        <f t="shared" si="73"/>
        <v>2641.0833333333335</v>
      </c>
      <c r="Y787" s="40">
        <f t="shared" si="73"/>
        <v>2641.0833333333335</v>
      </c>
      <c r="Z787" s="40">
        <f t="shared" si="73"/>
        <v>2641.0833333333335</v>
      </c>
      <c r="AA787" s="966">
        <f t="shared" si="71"/>
        <v>31692.999999999996</v>
      </c>
      <c r="AB787" s="35"/>
      <c r="AC787" s="183"/>
    </row>
    <row r="788" spans="1:29" x14ac:dyDescent="0.2">
      <c r="A788" s="1422"/>
      <c r="B788" s="2522"/>
      <c r="C788" s="2432"/>
      <c r="D788" s="2421"/>
      <c r="E788" s="2421"/>
      <c r="F788" s="2421"/>
      <c r="G788" s="2421"/>
      <c r="H788" s="2421"/>
      <c r="I788" s="2421"/>
      <c r="J788" s="2432"/>
      <c r="K788" s="40">
        <v>884</v>
      </c>
      <c r="L788" s="3295"/>
      <c r="M788" s="3335" t="s">
        <v>301</v>
      </c>
      <c r="N788" s="3336"/>
      <c r="O788" s="40">
        <f t="shared" si="73"/>
        <v>73.666666666666671</v>
      </c>
      <c r="P788" s="40">
        <f t="shared" si="73"/>
        <v>73.666666666666671</v>
      </c>
      <c r="Q788" s="40">
        <f t="shared" si="73"/>
        <v>73.666666666666671</v>
      </c>
      <c r="R788" s="40">
        <f t="shared" si="73"/>
        <v>73.666666666666671</v>
      </c>
      <c r="S788" s="40">
        <f t="shared" si="73"/>
        <v>73.666666666666671</v>
      </c>
      <c r="T788" s="40">
        <f t="shared" si="73"/>
        <v>73.666666666666671</v>
      </c>
      <c r="U788" s="40">
        <f t="shared" si="73"/>
        <v>73.666666666666671</v>
      </c>
      <c r="V788" s="40">
        <f t="shared" si="73"/>
        <v>73.666666666666671</v>
      </c>
      <c r="W788" s="40">
        <f t="shared" si="73"/>
        <v>73.666666666666671</v>
      </c>
      <c r="X788" s="40">
        <f t="shared" si="73"/>
        <v>73.666666666666671</v>
      </c>
      <c r="Y788" s="40">
        <f t="shared" si="73"/>
        <v>73.666666666666671</v>
      </c>
      <c r="Z788" s="40">
        <f t="shared" si="73"/>
        <v>73.666666666666671</v>
      </c>
      <c r="AA788" s="966">
        <f t="shared" si="71"/>
        <v>883.99999999999989</v>
      </c>
      <c r="AB788" s="35"/>
      <c r="AC788" s="183"/>
    </row>
    <row r="789" spans="1:29" x14ac:dyDescent="0.2">
      <c r="A789" s="1422"/>
      <c r="B789" s="2522"/>
      <c r="C789" s="2432"/>
      <c r="D789" s="2421"/>
      <c r="E789" s="2421"/>
      <c r="F789" s="2421"/>
      <c r="G789" s="2421"/>
      <c r="H789" s="2421"/>
      <c r="I789" s="2421"/>
      <c r="J789" s="2432"/>
      <c r="K789" s="40">
        <v>1500</v>
      </c>
      <c r="L789" s="3295"/>
      <c r="M789" s="3335" t="s">
        <v>380</v>
      </c>
      <c r="N789" s="3336"/>
      <c r="O789" s="40"/>
      <c r="P789" s="40">
        <f>$K789</f>
        <v>1500</v>
      </c>
      <c r="Q789" s="38"/>
      <c r="R789" s="38"/>
      <c r="S789" s="38"/>
      <c r="T789" s="38"/>
      <c r="U789" s="38"/>
      <c r="V789" s="38"/>
      <c r="W789" s="38"/>
      <c r="X789" s="38"/>
      <c r="Y789" s="38"/>
      <c r="Z789" s="38"/>
      <c r="AA789" s="966">
        <f t="shared" si="71"/>
        <v>1500</v>
      </c>
      <c r="AB789" s="35"/>
      <c r="AC789" s="183"/>
    </row>
    <row r="790" spans="1:29" x14ac:dyDescent="0.2">
      <c r="A790" s="1422"/>
      <c r="B790" s="2522"/>
      <c r="C790" s="2432"/>
      <c r="D790" s="2421"/>
      <c r="E790" s="2421"/>
      <c r="F790" s="2421"/>
      <c r="G790" s="2421"/>
      <c r="H790" s="2421"/>
      <c r="I790" s="2421"/>
      <c r="J790" s="2432"/>
      <c r="K790" s="40">
        <v>2500</v>
      </c>
      <c r="L790" s="3295"/>
      <c r="M790" s="3335" t="s">
        <v>303</v>
      </c>
      <c r="N790" s="3336"/>
      <c r="O790" s="37"/>
      <c r="P790" s="38"/>
      <c r="Q790" s="40">
        <f>$K790/2</f>
        <v>1250</v>
      </c>
      <c r="R790" s="37"/>
      <c r="S790" s="37"/>
      <c r="T790" s="37"/>
      <c r="U790" s="40"/>
      <c r="V790" s="40">
        <f>$K790/2</f>
        <v>1250</v>
      </c>
      <c r="W790" s="38"/>
      <c r="X790" s="38"/>
      <c r="Y790" s="38"/>
      <c r="Z790" s="38"/>
      <c r="AA790" s="966">
        <f t="shared" si="71"/>
        <v>2500</v>
      </c>
      <c r="AB790" s="35"/>
      <c r="AC790" s="183"/>
    </row>
    <row r="791" spans="1:29" x14ac:dyDescent="0.2">
      <c r="A791" s="1422"/>
      <c r="B791" s="2522"/>
      <c r="C791" s="2432"/>
      <c r="D791" s="2421"/>
      <c r="E791" s="2421"/>
      <c r="F791" s="2421"/>
      <c r="G791" s="2421"/>
      <c r="H791" s="2421"/>
      <c r="I791" s="2421"/>
      <c r="J791" s="2432"/>
      <c r="K791" s="40">
        <v>600</v>
      </c>
      <c r="L791" s="3295"/>
      <c r="M791" s="3335" t="s">
        <v>305</v>
      </c>
      <c r="N791" s="3336"/>
      <c r="O791" s="40"/>
      <c r="P791" s="40"/>
      <c r="Q791" s="40">
        <f>$K791*(2/6)</f>
        <v>200</v>
      </c>
      <c r="R791" s="40"/>
      <c r="S791" s="40">
        <f>$K791*(1/6)</f>
        <v>100</v>
      </c>
      <c r="T791" s="40">
        <f>$K791*(2/6)</f>
        <v>200</v>
      </c>
      <c r="U791" s="38"/>
      <c r="V791" s="38"/>
      <c r="W791" s="40">
        <f>$K791*(1/6)</f>
        <v>100</v>
      </c>
      <c r="X791" s="38"/>
      <c r="Y791" s="38"/>
      <c r="Z791" s="38"/>
      <c r="AA791" s="966">
        <f t="shared" si="71"/>
        <v>600</v>
      </c>
      <c r="AB791" s="35"/>
      <c r="AC791" s="183"/>
    </row>
    <row r="792" spans="1:29" x14ac:dyDescent="0.2">
      <c r="A792" s="1422"/>
      <c r="B792" s="2522"/>
      <c r="C792" s="2432"/>
      <c r="D792" s="2421"/>
      <c r="E792" s="2421"/>
      <c r="F792" s="2421"/>
      <c r="G792" s="2421"/>
      <c r="H792" s="2421"/>
      <c r="I792" s="2421"/>
      <c r="J792" s="2432"/>
      <c r="K792" s="40">
        <v>9700</v>
      </c>
      <c r="L792" s="3295"/>
      <c r="M792" s="3335" t="s">
        <v>306</v>
      </c>
      <c r="N792" s="3336"/>
      <c r="O792" s="37"/>
      <c r="P792" s="38"/>
      <c r="Q792" s="40">
        <f>$K792*(2/6)</f>
        <v>3233.333333333333</v>
      </c>
      <c r="R792" s="40"/>
      <c r="S792" s="40">
        <f>$K792*(1/6)</f>
        <v>1616.6666666666665</v>
      </c>
      <c r="T792" s="40">
        <f>$K792*(2/6)</f>
        <v>3233.333333333333</v>
      </c>
      <c r="U792" s="38"/>
      <c r="V792" s="38"/>
      <c r="W792" s="40">
        <f>$K792*(1/6)</f>
        <v>1616.6666666666665</v>
      </c>
      <c r="X792" s="38"/>
      <c r="Y792" s="38"/>
      <c r="Z792" s="38"/>
      <c r="AA792" s="966">
        <f t="shared" si="71"/>
        <v>9700</v>
      </c>
      <c r="AB792" s="35"/>
      <c r="AC792" s="183"/>
    </row>
    <row r="793" spans="1:29" x14ac:dyDescent="0.2">
      <c r="A793" s="1422"/>
      <c r="B793" s="2522"/>
      <c r="C793" s="2432"/>
      <c r="D793" s="2421"/>
      <c r="E793" s="2421"/>
      <c r="F793" s="2421"/>
      <c r="G793" s="2421"/>
      <c r="H793" s="2421"/>
      <c r="I793" s="2421"/>
      <c r="J793" s="2432"/>
      <c r="K793" s="40">
        <v>3000</v>
      </c>
      <c r="L793" s="3295"/>
      <c r="M793" s="3335" t="s">
        <v>307</v>
      </c>
      <c r="N793" s="3336"/>
      <c r="O793" s="37"/>
      <c r="P793" s="38"/>
      <c r="Q793" s="42">
        <f>$K793/10</f>
        <v>300</v>
      </c>
      <c r="R793" s="42">
        <f t="shared" ref="R793:Z793" si="74">$K793/10</f>
        <v>300</v>
      </c>
      <c r="S793" s="42">
        <f t="shared" si="74"/>
        <v>300</v>
      </c>
      <c r="T793" s="42">
        <f t="shared" si="74"/>
        <v>300</v>
      </c>
      <c r="U793" s="42">
        <f t="shared" si="74"/>
        <v>300</v>
      </c>
      <c r="V793" s="42">
        <f t="shared" si="74"/>
        <v>300</v>
      </c>
      <c r="W793" s="42">
        <f t="shared" si="74"/>
        <v>300</v>
      </c>
      <c r="X793" s="42">
        <f t="shared" si="74"/>
        <v>300</v>
      </c>
      <c r="Y793" s="42">
        <f t="shared" si="74"/>
        <v>300</v>
      </c>
      <c r="Z793" s="42">
        <f t="shared" si="74"/>
        <v>300</v>
      </c>
      <c r="AA793" s="966">
        <f t="shared" si="71"/>
        <v>3000</v>
      </c>
      <c r="AB793" s="35"/>
      <c r="AC793" s="183"/>
    </row>
    <row r="794" spans="1:29" x14ac:dyDescent="0.2">
      <c r="A794" s="1422"/>
      <c r="B794" s="2522"/>
      <c r="C794" s="2432"/>
      <c r="D794" s="2421"/>
      <c r="E794" s="2421"/>
      <c r="F794" s="2421"/>
      <c r="G794" s="2421"/>
      <c r="H794" s="2421"/>
      <c r="I794" s="2421"/>
      <c r="J794" s="2432"/>
      <c r="K794" s="40">
        <v>900</v>
      </c>
      <c r="L794" s="3295"/>
      <c r="M794" s="3335" t="s">
        <v>308</v>
      </c>
      <c r="N794" s="3336"/>
      <c r="O794" s="37"/>
      <c r="P794" s="38"/>
      <c r="Q794" s="40">
        <f>$K794</f>
        <v>900</v>
      </c>
      <c r="R794" s="38"/>
      <c r="S794" s="38"/>
      <c r="T794" s="38"/>
      <c r="U794" s="38"/>
      <c r="V794" s="38"/>
      <c r="W794" s="38"/>
      <c r="X794" s="38"/>
      <c r="Y794" s="38"/>
      <c r="Z794" s="38"/>
      <c r="AA794" s="966">
        <f t="shared" si="71"/>
        <v>900</v>
      </c>
      <c r="AB794" s="35"/>
      <c r="AC794" s="183"/>
    </row>
    <row r="795" spans="1:29" x14ac:dyDescent="0.2">
      <c r="A795" s="1422"/>
      <c r="B795" s="2522"/>
      <c r="C795" s="2432"/>
      <c r="D795" s="2421"/>
      <c r="E795" s="2421"/>
      <c r="F795" s="2421"/>
      <c r="G795" s="2421"/>
      <c r="H795" s="2421"/>
      <c r="I795" s="2421"/>
      <c r="J795" s="2432"/>
      <c r="K795" s="40">
        <v>4674</v>
      </c>
      <c r="L795" s="3295"/>
      <c r="M795" s="3335" t="s">
        <v>309</v>
      </c>
      <c r="N795" s="3336"/>
      <c r="O795" s="37"/>
      <c r="P795" s="38"/>
      <c r="Q795" s="38"/>
      <c r="R795" s="40">
        <f>$K795/5</f>
        <v>934.8</v>
      </c>
      <c r="S795" s="40"/>
      <c r="T795" s="40">
        <f>$K795/5</f>
        <v>934.8</v>
      </c>
      <c r="U795" s="38"/>
      <c r="V795" s="40">
        <f>$K795/5</f>
        <v>934.8</v>
      </c>
      <c r="W795" s="38"/>
      <c r="X795" s="40">
        <f>$K795/5</f>
        <v>934.8</v>
      </c>
      <c r="Y795" s="38"/>
      <c r="Z795" s="40">
        <f>$K795/5</f>
        <v>934.8</v>
      </c>
      <c r="AA795" s="966">
        <f t="shared" si="71"/>
        <v>4674</v>
      </c>
      <c r="AB795" s="35"/>
      <c r="AC795" s="183"/>
    </row>
    <row r="796" spans="1:29" x14ac:dyDescent="0.2">
      <c r="A796" s="1422"/>
      <c r="B796" s="2522"/>
      <c r="C796" s="2432"/>
      <c r="D796" s="2421"/>
      <c r="E796" s="2421"/>
      <c r="F796" s="2421"/>
      <c r="G796" s="2421"/>
      <c r="H796" s="2421"/>
      <c r="I796" s="2421"/>
      <c r="J796" s="2432"/>
      <c r="K796" s="40">
        <v>22260</v>
      </c>
      <c r="L796" s="3295"/>
      <c r="M796" s="3335" t="s">
        <v>311</v>
      </c>
      <c r="N796" s="3336"/>
      <c r="O796" s="40">
        <f t="shared" ref="O796:Z797" si="75">$K796/12</f>
        <v>1855</v>
      </c>
      <c r="P796" s="40">
        <f t="shared" si="75"/>
        <v>1855</v>
      </c>
      <c r="Q796" s="40">
        <f t="shared" si="75"/>
        <v>1855</v>
      </c>
      <c r="R796" s="40">
        <f t="shared" si="75"/>
        <v>1855</v>
      </c>
      <c r="S796" s="40">
        <f t="shared" si="75"/>
        <v>1855</v>
      </c>
      <c r="T796" s="40">
        <f t="shared" si="75"/>
        <v>1855</v>
      </c>
      <c r="U796" s="40">
        <f t="shared" si="75"/>
        <v>1855</v>
      </c>
      <c r="V796" s="40">
        <f t="shared" si="75"/>
        <v>1855</v>
      </c>
      <c r="W796" s="40">
        <f t="shared" si="75"/>
        <v>1855</v>
      </c>
      <c r="X796" s="40">
        <f t="shared" si="75"/>
        <v>1855</v>
      </c>
      <c r="Y796" s="40">
        <f t="shared" si="75"/>
        <v>1855</v>
      </c>
      <c r="Z796" s="40">
        <f t="shared" si="75"/>
        <v>1855</v>
      </c>
      <c r="AA796" s="966">
        <f t="shared" si="71"/>
        <v>22260</v>
      </c>
      <c r="AB796" s="35"/>
      <c r="AC796" s="183"/>
    </row>
    <row r="797" spans="1:29" x14ac:dyDescent="0.2">
      <c r="A797" s="1422"/>
      <c r="B797" s="2522"/>
      <c r="C797" s="2437"/>
      <c r="D797" s="2421"/>
      <c r="E797" s="2421"/>
      <c r="F797" s="2421"/>
      <c r="G797" s="2421"/>
      <c r="H797" s="2421"/>
      <c r="I797" s="2421"/>
      <c r="J797" s="2437"/>
      <c r="K797" s="40">
        <v>1895</v>
      </c>
      <c r="L797" s="3296"/>
      <c r="M797" s="3335" t="s">
        <v>310</v>
      </c>
      <c r="N797" s="3336"/>
      <c r="O797" s="40">
        <f t="shared" si="75"/>
        <v>157.91666666666666</v>
      </c>
      <c r="P797" s="40">
        <f t="shared" si="75"/>
        <v>157.91666666666666</v>
      </c>
      <c r="Q797" s="40">
        <f t="shared" si="75"/>
        <v>157.91666666666666</v>
      </c>
      <c r="R797" s="40">
        <f t="shared" si="75"/>
        <v>157.91666666666666</v>
      </c>
      <c r="S797" s="40">
        <f t="shared" si="75"/>
        <v>157.91666666666666</v>
      </c>
      <c r="T797" s="40">
        <f t="shared" si="75"/>
        <v>157.91666666666666</v>
      </c>
      <c r="U797" s="40">
        <f t="shared" si="75"/>
        <v>157.91666666666666</v>
      </c>
      <c r="V797" s="40">
        <f t="shared" si="75"/>
        <v>157.91666666666666</v>
      </c>
      <c r="W797" s="40">
        <f t="shared" si="75"/>
        <v>157.91666666666666</v>
      </c>
      <c r="X797" s="40">
        <f t="shared" si="75"/>
        <v>157.91666666666666</v>
      </c>
      <c r="Y797" s="40">
        <f t="shared" si="75"/>
        <v>157.91666666666666</v>
      </c>
      <c r="Z797" s="40">
        <f t="shared" si="75"/>
        <v>157.91666666666666</v>
      </c>
      <c r="AA797" s="966">
        <f t="shared" si="71"/>
        <v>1895.0000000000002</v>
      </c>
      <c r="AB797" s="35"/>
      <c r="AC797" s="183"/>
    </row>
    <row r="798" spans="1:29" x14ac:dyDescent="0.2">
      <c r="A798" s="1422"/>
      <c r="B798" s="1427"/>
      <c r="C798" s="38"/>
      <c r="D798" s="38"/>
      <c r="E798" s="38"/>
      <c r="F798" s="38"/>
      <c r="G798" s="38"/>
      <c r="H798" s="38"/>
      <c r="I798" s="38"/>
      <c r="J798" s="38"/>
      <c r="K798" s="40">
        <f>SUM(K780:K797)</f>
        <v>676573</v>
      </c>
      <c r="L798" s="38"/>
      <c r="M798" s="49"/>
      <c r="N798" s="49"/>
      <c r="O798" s="37"/>
      <c r="P798" s="38"/>
      <c r="Q798" s="38"/>
      <c r="R798" s="38"/>
      <c r="S798" s="38"/>
      <c r="T798" s="38"/>
      <c r="U798" s="38"/>
      <c r="V798" s="38"/>
      <c r="W798" s="38"/>
      <c r="X798" s="38"/>
      <c r="Y798" s="38"/>
      <c r="Z798" s="38"/>
      <c r="AA798" s="40"/>
      <c r="AB798" s="35"/>
      <c r="AC798" s="183"/>
    </row>
    <row r="799" spans="1:29" ht="22.5" customHeight="1" x14ac:dyDescent="0.2">
      <c r="A799" s="1422"/>
      <c r="B799" s="1433" t="s">
        <v>276</v>
      </c>
      <c r="C799" s="108"/>
      <c r="D799" s="35">
        <v>3033289</v>
      </c>
      <c r="E799" s="192" t="s">
        <v>466</v>
      </c>
      <c r="F799" s="35"/>
      <c r="G799" s="35"/>
      <c r="H799" s="35"/>
      <c r="I799" s="35"/>
      <c r="J799" s="35"/>
      <c r="K799" s="60"/>
      <c r="L799" s="60"/>
      <c r="M799" s="181"/>
      <c r="N799" s="181"/>
      <c r="O799" s="60"/>
      <c r="P799" s="60"/>
      <c r="Q799" s="60"/>
      <c r="R799" s="60"/>
      <c r="S799" s="2922" t="s">
        <v>15</v>
      </c>
      <c r="T799" s="2922"/>
      <c r="U799" s="2922"/>
      <c r="V799" s="2922"/>
      <c r="W799" s="2922"/>
      <c r="X799" s="2922"/>
      <c r="Y799" s="2922"/>
      <c r="Z799" s="2974" t="s">
        <v>16</v>
      </c>
      <c r="AA799" s="2976"/>
      <c r="AB799" s="35"/>
      <c r="AC799" s="183"/>
    </row>
    <row r="800" spans="1:29" ht="33.75" customHeight="1" x14ac:dyDescent="0.2">
      <c r="A800" s="1422"/>
      <c r="B800" s="1433"/>
      <c r="C800" s="108"/>
      <c r="D800" s="35"/>
      <c r="E800" s="192"/>
      <c r="F800" s="35"/>
      <c r="G800" s="35"/>
      <c r="H800" s="35"/>
      <c r="I800" s="35"/>
      <c r="J800" s="35"/>
      <c r="K800" s="60"/>
      <c r="L800" s="60"/>
      <c r="M800" s="181"/>
      <c r="N800" s="181"/>
      <c r="O800" s="60"/>
      <c r="P800" s="60"/>
      <c r="Q800" s="60"/>
      <c r="R800" s="60"/>
      <c r="S800" s="3233" t="s">
        <v>467</v>
      </c>
      <c r="T800" s="3233"/>
      <c r="U800" s="3233"/>
      <c r="V800" s="3233"/>
      <c r="W800" s="3233"/>
      <c r="X800" s="3233"/>
      <c r="Y800" s="3233"/>
      <c r="Z800" s="2974" t="s">
        <v>366</v>
      </c>
      <c r="AA800" s="2976"/>
      <c r="AB800" s="35"/>
      <c r="AC800" s="183"/>
    </row>
    <row r="801" spans="1:29" x14ac:dyDescent="0.2">
      <c r="A801" s="1422"/>
      <c r="B801" s="2999" t="s">
        <v>278</v>
      </c>
      <c r="C801" s="2988" t="s">
        <v>21</v>
      </c>
      <c r="D801" s="2847" t="s">
        <v>22</v>
      </c>
      <c r="E801" s="2847" t="s">
        <v>23</v>
      </c>
      <c r="F801" s="2847" t="s">
        <v>24</v>
      </c>
      <c r="G801" s="2847" t="s">
        <v>25</v>
      </c>
      <c r="H801" s="2847" t="s">
        <v>26</v>
      </c>
      <c r="I801" s="2847" t="s">
        <v>27</v>
      </c>
      <c r="J801" s="3206" t="s">
        <v>28</v>
      </c>
      <c r="K801" s="3301"/>
      <c r="L801" s="2847" t="s">
        <v>279</v>
      </c>
      <c r="M801" s="3273" t="s">
        <v>280</v>
      </c>
      <c r="N801" s="3274"/>
      <c r="O801" s="2847" t="s">
        <v>281</v>
      </c>
      <c r="P801" s="2847"/>
      <c r="Q801" s="2847"/>
      <c r="R801" s="2847"/>
      <c r="S801" s="2847"/>
      <c r="T801" s="2847"/>
      <c r="U801" s="2847"/>
      <c r="V801" s="2847"/>
      <c r="W801" s="2847"/>
      <c r="X801" s="2847"/>
      <c r="Y801" s="2847"/>
      <c r="Z801" s="2847"/>
      <c r="AA801" s="3184" t="s">
        <v>32</v>
      </c>
      <c r="AB801" s="35"/>
      <c r="AC801" s="183"/>
    </row>
    <row r="802" spans="1:29" x14ac:dyDescent="0.2">
      <c r="A802" s="1422"/>
      <c r="B802" s="2999"/>
      <c r="C802" s="3186"/>
      <c r="D802" s="2847"/>
      <c r="E802" s="2847"/>
      <c r="F802" s="2847"/>
      <c r="G802" s="2847"/>
      <c r="H802" s="2847"/>
      <c r="I802" s="2847"/>
      <c r="J802" s="2988" t="s">
        <v>33</v>
      </c>
      <c r="K802" s="3206" t="s">
        <v>282</v>
      </c>
      <c r="L802" s="2847"/>
      <c r="M802" s="3275"/>
      <c r="N802" s="3276"/>
      <c r="O802" s="1009" t="s">
        <v>283</v>
      </c>
      <c r="P802" s="1009" t="s">
        <v>284</v>
      </c>
      <c r="Q802" s="1009" t="s">
        <v>285</v>
      </c>
      <c r="R802" s="1009" t="s">
        <v>88</v>
      </c>
      <c r="S802" s="1009" t="s">
        <v>89</v>
      </c>
      <c r="T802" s="1009" t="s">
        <v>90</v>
      </c>
      <c r="U802" s="1009" t="s">
        <v>91</v>
      </c>
      <c r="V802" s="1009" t="s">
        <v>92</v>
      </c>
      <c r="W802" s="1009" t="s">
        <v>286</v>
      </c>
      <c r="X802" s="1009" t="s">
        <v>93</v>
      </c>
      <c r="Y802" s="1009" t="s">
        <v>94</v>
      </c>
      <c r="Z802" s="1009" t="s">
        <v>95</v>
      </c>
      <c r="AA802" s="3185"/>
      <c r="AB802" s="35"/>
      <c r="AC802" s="183"/>
    </row>
    <row r="803" spans="1:29" x14ac:dyDescent="0.2">
      <c r="A803" s="1422"/>
      <c r="B803" s="2999"/>
      <c r="C803" s="3186"/>
      <c r="D803" s="2847"/>
      <c r="E803" s="2847"/>
      <c r="F803" s="2847"/>
      <c r="G803" s="2847"/>
      <c r="H803" s="2847"/>
      <c r="I803" s="2847"/>
      <c r="J803" s="3186"/>
      <c r="K803" s="3206"/>
      <c r="L803" s="2847"/>
      <c r="M803" s="3271" t="s">
        <v>287</v>
      </c>
      <c r="N803" s="3272"/>
      <c r="O803" s="1093">
        <v>291</v>
      </c>
      <c r="P803" s="1093">
        <v>292</v>
      </c>
      <c r="Q803" s="1093">
        <v>292</v>
      </c>
      <c r="R803" s="1093">
        <v>293</v>
      </c>
      <c r="S803" s="1093">
        <v>293</v>
      </c>
      <c r="T803" s="1093">
        <v>292</v>
      </c>
      <c r="U803" s="1093">
        <v>292</v>
      </c>
      <c r="V803" s="1093">
        <v>292</v>
      </c>
      <c r="W803" s="1093">
        <v>292</v>
      </c>
      <c r="X803" s="1093">
        <v>292</v>
      </c>
      <c r="Y803" s="1093">
        <v>292</v>
      </c>
      <c r="Z803" s="1093">
        <v>292</v>
      </c>
      <c r="AA803" s="1196">
        <f t="shared" ref="AA803:AA822" si="76">SUM(O803:Z803)</f>
        <v>3505</v>
      </c>
      <c r="AB803" s="35"/>
      <c r="AC803" s="183"/>
    </row>
    <row r="804" spans="1:29" x14ac:dyDescent="0.2">
      <c r="A804" s="1422"/>
      <c r="B804" s="2999"/>
      <c r="C804" s="2989"/>
      <c r="D804" s="2847"/>
      <c r="E804" s="2847"/>
      <c r="F804" s="2847"/>
      <c r="G804" s="2847"/>
      <c r="H804" s="2847"/>
      <c r="I804" s="2847"/>
      <c r="J804" s="2989"/>
      <c r="K804" s="3206"/>
      <c r="L804" s="2847"/>
      <c r="M804" s="3271" t="s">
        <v>34</v>
      </c>
      <c r="N804" s="3272"/>
      <c r="O804" s="66">
        <f>SUM(O805:O822)</f>
        <v>72972.5</v>
      </c>
      <c r="P804" s="66">
        <f t="shared" ref="P804:Z804" si="77">SUM(P805:P822)</f>
        <v>61872.5</v>
      </c>
      <c r="Q804" s="66">
        <f t="shared" si="77"/>
        <v>63555.833333333336</v>
      </c>
      <c r="R804" s="66">
        <f t="shared" si="77"/>
        <v>66176.5</v>
      </c>
      <c r="S804" s="66">
        <f t="shared" si="77"/>
        <v>62289.166666666664</v>
      </c>
      <c r="T804" s="66">
        <f t="shared" si="77"/>
        <v>65609.833333333343</v>
      </c>
      <c r="U804" s="66">
        <f t="shared" si="77"/>
        <v>69504.5</v>
      </c>
      <c r="V804" s="66">
        <f t="shared" si="77"/>
        <v>65276.5</v>
      </c>
      <c r="W804" s="66">
        <f t="shared" si="77"/>
        <v>62289.166666666664</v>
      </c>
      <c r="X804" s="66">
        <f t="shared" si="77"/>
        <v>65276.5</v>
      </c>
      <c r="Y804" s="66">
        <f t="shared" si="77"/>
        <v>62122.5</v>
      </c>
      <c r="Z804" s="66">
        <f t="shared" si="77"/>
        <v>72658.500000000015</v>
      </c>
      <c r="AA804" s="1196">
        <f t="shared" si="76"/>
        <v>789604</v>
      </c>
      <c r="AB804" s="35"/>
      <c r="AC804" s="183"/>
    </row>
    <row r="805" spans="1:29" ht="11.25" customHeight="1" x14ac:dyDescent="0.2">
      <c r="A805" s="1422"/>
      <c r="B805" s="2522">
        <v>5000040</v>
      </c>
      <c r="C805" s="2431" t="s">
        <v>3053</v>
      </c>
      <c r="D805" s="2421">
        <v>27</v>
      </c>
      <c r="E805" s="2421" t="s">
        <v>407</v>
      </c>
      <c r="F805" s="2421" t="s">
        <v>313</v>
      </c>
      <c r="G805" s="2421" t="s">
        <v>329</v>
      </c>
      <c r="H805" s="2421" t="s">
        <v>337</v>
      </c>
      <c r="I805" s="2421" t="s">
        <v>368</v>
      </c>
      <c r="J805" s="2431">
        <v>3505</v>
      </c>
      <c r="K805" s="40">
        <v>90646</v>
      </c>
      <c r="L805" s="3294" t="s">
        <v>446</v>
      </c>
      <c r="M805" s="3335" t="s">
        <v>293</v>
      </c>
      <c r="N805" s="3336"/>
      <c r="O805" s="40">
        <f t="shared" ref="O805:Z813" si="78">$K805/12</f>
        <v>7553.833333333333</v>
      </c>
      <c r="P805" s="40">
        <f t="shared" si="78"/>
        <v>7553.833333333333</v>
      </c>
      <c r="Q805" s="40">
        <f t="shared" si="78"/>
        <v>7553.833333333333</v>
      </c>
      <c r="R805" s="40">
        <f t="shared" si="78"/>
        <v>7553.833333333333</v>
      </c>
      <c r="S805" s="40">
        <f t="shared" si="78"/>
        <v>7553.833333333333</v>
      </c>
      <c r="T805" s="40">
        <f t="shared" si="78"/>
        <v>7553.833333333333</v>
      </c>
      <c r="U805" s="40">
        <f t="shared" si="78"/>
        <v>7553.833333333333</v>
      </c>
      <c r="V805" s="40">
        <f t="shared" si="78"/>
        <v>7553.833333333333</v>
      </c>
      <c r="W805" s="40">
        <f t="shared" si="78"/>
        <v>7553.833333333333</v>
      </c>
      <c r="X805" s="40">
        <f t="shared" si="78"/>
        <v>7553.833333333333</v>
      </c>
      <c r="Y805" s="40">
        <f t="shared" si="78"/>
        <v>7553.833333333333</v>
      </c>
      <c r="Z805" s="40">
        <f t="shared" si="78"/>
        <v>7553.833333333333</v>
      </c>
      <c r="AA805" s="966">
        <f t="shared" si="76"/>
        <v>90645.999999999985</v>
      </c>
      <c r="AB805" s="35"/>
      <c r="AC805" s="183"/>
    </row>
    <row r="806" spans="1:29" x14ac:dyDescent="0.2">
      <c r="A806" s="1422"/>
      <c r="B806" s="2522"/>
      <c r="C806" s="2432"/>
      <c r="D806" s="2421"/>
      <c r="E806" s="2421"/>
      <c r="F806" s="2421"/>
      <c r="G806" s="2421"/>
      <c r="H806" s="2421"/>
      <c r="I806" s="2421"/>
      <c r="J806" s="2432"/>
      <c r="K806" s="40">
        <v>353294</v>
      </c>
      <c r="L806" s="3295"/>
      <c r="M806" s="3335" t="s">
        <v>295</v>
      </c>
      <c r="N806" s="3336"/>
      <c r="O806" s="40">
        <f t="shared" si="78"/>
        <v>29441.166666666668</v>
      </c>
      <c r="P806" s="40">
        <f t="shared" si="78"/>
        <v>29441.166666666668</v>
      </c>
      <c r="Q806" s="40">
        <f t="shared" si="78"/>
        <v>29441.166666666668</v>
      </c>
      <c r="R806" s="40">
        <f t="shared" si="78"/>
        <v>29441.166666666668</v>
      </c>
      <c r="S806" s="40">
        <f t="shared" si="78"/>
        <v>29441.166666666668</v>
      </c>
      <c r="T806" s="40">
        <f t="shared" si="78"/>
        <v>29441.166666666668</v>
      </c>
      <c r="U806" s="40">
        <f t="shared" si="78"/>
        <v>29441.166666666668</v>
      </c>
      <c r="V806" s="40">
        <f t="shared" si="78"/>
        <v>29441.166666666668</v>
      </c>
      <c r="W806" s="40">
        <f t="shared" si="78"/>
        <v>29441.166666666668</v>
      </c>
      <c r="X806" s="40">
        <f t="shared" si="78"/>
        <v>29441.166666666668</v>
      </c>
      <c r="Y806" s="40">
        <f t="shared" si="78"/>
        <v>29441.166666666668</v>
      </c>
      <c r="Z806" s="40">
        <f t="shared" si="78"/>
        <v>29441.166666666668</v>
      </c>
      <c r="AA806" s="966">
        <f t="shared" si="76"/>
        <v>353294.00000000006</v>
      </c>
      <c r="AB806" s="35"/>
      <c r="AC806" s="183"/>
    </row>
    <row r="807" spans="1:29" x14ac:dyDescent="0.2">
      <c r="A807" s="1422"/>
      <c r="B807" s="2522"/>
      <c r="C807" s="2432"/>
      <c r="D807" s="2421"/>
      <c r="E807" s="2421"/>
      <c r="F807" s="2421"/>
      <c r="G807" s="2421"/>
      <c r="H807" s="2421"/>
      <c r="I807" s="2421"/>
      <c r="J807" s="2432"/>
      <c r="K807" s="40">
        <v>49994</v>
      </c>
      <c r="L807" s="3295"/>
      <c r="M807" s="3335" t="s">
        <v>332</v>
      </c>
      <c r="N807" s="3336"/>
      <c r="O807" s="40">
        <f t="shared" si="78"/>
        <v>4166.166666666667</v>
      </c>
      <c r="P807" s="40">
        <f t="shared" si="78"/>
        <v>4166.166666666667</v>
      </c>
      <c r="Q807" s="40">
        <f t="shared" si="78"/>
        <v>4166.166666666667</v>
      </c>
      <c r="R807" s="40">
        <f t="shared" si="78"/>
        <v>4166.166666666667</v>
      </c>
      <c r="S807" s="40">
        <f t="shared" si="78"/>
        <v>4166.166666666667</v>
      </c>
      <c r="T807" s="40">
        <f t="shared" si="78"/>
        <v>4166.166666666667</v>
      </c>
      <c r="U807" s="40">
        <f t="shared" si="78"/>
        <v>4166.166666666667</v>
      </c>
      <c r="V807" s="40">
        <f t="shared" si="78"/>
        <v>4166.166666666667</v>
      </c>
      <c r="W807" s="40">
        <f t="shared" si="78"/>
        <v>4166.166666666667</v>
      </c>
      <c r="X807" s="40">
        <f t="shared" si="78"/>
        <v>4166.166666666667</v>
      </c>
      <c r="Y807" s="40">
        <f t="shared" si="78"/>
        <v>4166.166666666667</v>
      </c>
      <c r="Z807" s="40">
        <f t="shared" si="78"/>
        <v>4166.166666666667</v>
      </c>
      <c r="AA807" s="966">
        <f t="shared" si="76"/>
        <v>49993.999999999993</v>
      </c>
      <c r="AB807" s="35"/>
      <c r="AC807" s="183"/>
    </row>
    <row r="808" spans="1:29" x14ac:dyDescent="0.2">
      <c r="A808" s="1422"/>
      <c r="B808" s="2522"/>
      <c r="C808" s="2432"/>
      <c r="D808" s="2421"/>
      <c r="E808" s="2421"/>
      <c r="F808" s="2421"/>
      <c r="G808" s="2421"/>
      <c r="H808" s="2421"/>
      <c r="I808" s="2421"/>
      <c r="J808" s="2432"/>
      <c r="K808" s="40">
        <v>114145</v>
      </c>
      <c r="L808" s="3295"/>
      <c r="M808" s="3335" t="s">
        <v>296</v>
      </c>
      <c r="N808" s="3336"/>
      <c r="O808" s="40">
        <f t="shared" si="78"/>
        <v>9512.0833333333339</v>
      </c>
      <c r="P808" s="40">
        <f t="shared" si="78"/>
        <v>9512.0833333333339</v>
      </c>
      <c r="Q808" s="40">
        <f t="shared" si="78"/>
        <v>9512.0833333333339</v>
      </c>
      <c r="R808" s="40">
        <f t="shared" si="78"/>
        <v>9512.0833333333339</v>
      </c>
      <c r="S808" s="40">
        <f t="shared" si="78"/>
        <v>9512.0833333333339</v>
      </c>
      <c r="T808" s="40">
        <f t="shared" si="78"/>
        <v>9512.0833333333339</v>
      </c>
      <c r="U808" s="40">
        <f t="shared" si="78"/>
        <v>9512.0833333333339</v>
      </c>
      <c r="V808" s="40">
        <f t="shared" si="78"/>
        <v>9512.0833333333339</v>
      </c>
      <c r="W808" s="40">
        <f t="shared" si="78"/>
        <v>9512.0833333333339</v>
      </c>
      <c r="X808" s="40">
        <f t="shared" si="78"/>
        <v>9512.0833333333339</v>
      </c>
      <c r="Y808" s="40">
        <f t="shared" si="78"/>
        <v>9512.0833333333339</v>
      </c>
      <c r="Z808" s="40">
        <f t="shared" si="78"/>
        <v>9512.0833333333339</v>
      </c>
      <c r="AA808" s="966">
        <f t="shared" si="76"/>
        <v>114144.99999999999</v>
      </c>
      <c r="AB808" s="35"/>
      <c r="AC808" s="183"/>
    </row>
    <row r="809" spans="1:29" x14ac:dyDescent="0.2">
      <c r="A809" s="1422"/>
      <c r="B809" s="2522"/>
      <c r="C809" s="2432"/>
      <c r="D809" s="2421"/>
      <c r="E809" s="2421"/>
      <c r="F809" s="2421"/>
      <c r="G809" s="2421"/>
      <c r="H809" s="2421"/>
      <c r="I809" s="2421"/>
      <c r="J809" s="2432"/>
      <c r="K809" s="40">
        <v>46500</v>
      </c>
      <c r="L809" s="3295"/>
      <c r="M809" s="3335" t="s">
        <v>297</v>
      </c>
      <c r="N809" s="3336"/>
      <c r="O809" s="40">
        <f t="shared" si="78"/>
        <v>3875</v>
      </c>
      <c r="P809" s="40">
        <f t="shared" si="78"/>
        <v>3875</v>
      </c>
      <c r="Q809" s="40">
        <f t="shared" si="78"/>
        <v>3875</v>
      </c>
      <c r="R809" s="40">
        <f t="shared" si="78"/>
        <v>3875</v>
      </c>
      <c r="S809" s="40">
        <f t="shared" si="78"/>
        <v>3875</v>
      </c>
      <c r="T809" s="40">
        <f t="shared" si="78"/>
        <v>3875</v>
      </c>
      <c r="U809" s="40">
        <f t="shared" si="78"/>
        <v>3875</v>
      </c>
      <c r="V809" s="40">
        <f t="shared" si="78"/>
        <v>3875</v>
      </c>
      <c r="W809" s="40">
        <f t="shared" si="78"/>
        <v>3875</v>
      </c>
      <c r="X809" s="40">
        <f t="shared" si="78"/>
        <v>3875</v>
      </c>
      <c r="Y809" s="40">
        <f t="shared" si="78"/>
        <v>3875</v>
      </c>
      <c r="Z809" s="40">
        <f t="shared" si="78"/>
        <v>3875</v>
      </c>
      <c r="AA809" s="966">
        <f t="shared" si="76"/>
        <v>46500</v>
      </c>
      <c r="AB809" s="35"/>
      <c r="AC809" s="183"/>
    </row>
    <row r="810" spans="1:29" x14ac:dyDescent="0.2">
      <c r="A810" s="1422"/>
      <c r="B810" s="2522"/>
      <c r="C810" s="2432"/>
      <c r="D810" s="2421"/>
      <c r="E810" s="2421"/>
      <c r="F810" s="2421"/>
      <c r="G810" s="2421"/>
      <c r="H810" s="2421"/>
      <c r="I810" s="2421"/>
      <c r="J810" s="2432"/>
      <c r="K810" s="40">
        <v>14764</v>
      </c>
      <c r="L810" s="3295"/>
      <c r="M810" s="3335" t="s">
        <v>298</v>
      </c>
      <c r="N810" s="3336"/>
      <c r="O810" s="37"/>
      <c r="P810" s="38"/>
      <c r="Q810" s="38"/>
      <c r="R810" s="38"/>
      <c r="S810" s="38"/>
      <c r="T810" s="38"/>
      <c r="U810" s="40">
        <f>$K810/2</f>
        <v>7382</v>
      </c>
      <c r="V810" s="38"/>
      <c r="W810" s="38"/>
      <c r="X810" s="38"/>
      <c r="Y810" s="38"/>
      <c r="Z810" s="40">
        <f>$K810/2</f>
        <v>7382</v>
      </c>
      <c r="AA810" s="966">
        <f t="shared" si="76"/>
        <v>14764</v>
      </c>
      <c r="AB810" s="35"/>
      <c r="AC810" s="183"/>
    </row>
    <row r="811" spans="1:29" x14ac:dyDescent="0.2">
      <c r="A811" s="1422"/>
      <c r="B811" s="2522"/>
      <c r="C811" s="2432"/>
      <c r="D811" s="2421"/>
      <c r="E811" s="2421"/>
      <c r="F811" s="2421"/>
      <c r="G811" s="2421"/>
      <c r="H811" s="2421"/>
      <c r="I811" s="2421"/>
      <c r="J811" s="2432"/>
      <c r="K811" s="40">
        <v>9600</v>
      </c>
      <c r="L811" s="3295"/>
      <c r="M811" s="3335" t="s">
        <v>299</v>
      </c>
      <c r="N811" s="3336"/>
      <c r="O811" s="37">
        <f>$K811</f>
        <v>9600</v>
      </c>
      <c r="P811" s="38"/>
      <c r="Q811" s="37"/>
      <c r="R811" s="38"/>
      <c r="S811" s="38"/>
      <c r="T811" s="38"/>
      <c r="U811" s="38"/>
      <c r="V811" s="38"/>
      <c r="W811" s="38"/>
      <c r="X811" s="38"/>
      <c r="Y811" s="38"/>
      <c r="Z811" s="38"/>
      <c r="AA811" s="966">
        <f t="shared" si="76"/>
        <v>9600</v>
      </c>
      <c r="AB811" s="35"/>
      <c r="AC811" s="183"/>
    </row>
    <row r="812" spans="1:29" x14ac:dyDescent="0.2">
      <c r="A812" s="1422"/>
      <c r="B812" s="2522"/>
      <c r="C812" s="2432"/>
      <c r="D812" s="2421"/>
      <c r="E812" s="2421"/>
      <c r="F812" s="2421"/>
      <c r="G812" s="2421"/>
      <c r="H812" s="2421"/>
      <c r="I812" s="2421"/>
      <c r="J812" s="2432"/>
      <c r="K812" s="40">
        <v>37425</v>
      </c>
      <c r="L812" s="3295"/>
      <c r="M812" s="3335" t="s">
        <v>300</v>
      </c>
      <c r="N812" s="3336"/>
      <c r="O812" s="40">
        <f t="shared" si="78"/>
        <v>3118.75</v>
      </c>
      <c r="P812" s="40">
        <f t="shared" si="78"/>
        <v>3118.75</v>
      </c>
      <c r="Q812" s="40">
        <f t="shared" si="78"/>
        <v>3118.75</v>
      </c>
      <c r="R812" s="40">
        <f t="shared" si="78"/>
        <v>3118.75</v>
      </c>
      <c r="S812" s="40">
        <f t="shared" si="78"/>
        <v>3118.75</v>
      </c>
      <c r="T812" s="40">
        <f t="shared" si="78"/>
        <v>3118.75</v>
      </c>
      <c r="U812" s="40">
        <f t="shared" si="78"/>
        <v>3118.75</v>
      </c>
      <c r="V812" s="40">
        <f t="shared" si="78"/>
        <v>3118.75</v>
      </c>
      <c r="W812" s="40">
        <f t="shared" si="78"/>
        <v>3118.75</v>
      </c>
      <c r="X812" s="40">
        <f t="shared" si="78"/>
        <v>3118.75</v>
      </c>
      <c r="Y812" s="40">
        <f t="shared" si="78"/>
        <v>3118.75</v>
      </c>
      <c r="Z812" s="40">
        <f t="shared" si="78"/>
        <v>3118.75</v>
      </c>
      <c r="AA812" s="966">
        <f t="shared" si="76"/>
        <v>37425</v>
      </c>
      <c r="AB812" s="35"/>
      <c r="AC812" s="183"/>
    </row>
    <row r="813" spans="1:29" x14ac:dyDescent="0.2">
      <c r="A813" s="1422"/>
      <c r="B813" s="2522"/>
      <c r="C813" s="2432"/>
      <c r="D813" s="2421"/>
      <c r="E813" s="2421"/>
      <c r="F813" s="2421"/>
      <c r="G813" s="2421"/>
      <c r="H813" s="2421"/>
      <c r="I813" s="2421"/>
      <c r="J813" s="2432"/>
      <c r="K813" s="40">
        <v>991</v>
      </c>
      <c r="L813" s="3295"/>
      <c r="M813" s="3335" t="s">
        <v>301</v>
      </c>
      <c r="N813" s="3336"/>
      <c r="O813" s="40">
        <f t="shared" si="78"/>
        <v>82.583333333333329</v>
      </c>
      <c r="P813" s="40">
        <f t="shared" si="78"/>
        <v>82.583333333333329</v>
      </c>
      <c r="Q813" s="40">
        <f t="shared" si="78"/>
        <v>82.583333333333329</v>
      </c>
      <c r="R813" s="40">
        <f t="shared" si="78"/>
        <v>82.583333333333329</v>
      </c>
      <c r="S813" s="40">
        <f t="shared" si="78"/>
        <v>82.583333333333329</v>
      </c>
      <c r="T813" s="40">
        <f t="shared" si="78"/>
        <v>82.583333333333329</v>
      </c>
      <c r="U813" s="40">
        <f t="shared" si="78"/>
        <v>82.583333333333329</v>
      </c>
      <c r="V813" s="40">
        <f t="shared" si="78"/>
        <v>82.583333333333329</v>
      </c>
      <c r="W813" s="40">
        <f t="shared" si="78"/>
        <v>82.583333333333329</v>
      </c>
      <c r="X813" s="40">
        <f t="shared" si="78"/>
        <v>82.583333333333329</v>
      </c>
      <c r="Y813" s="40">
        <f t="shared" si="78"/>
        <v>82.583333333333329</v>
      </c>
      <c r="Z813" s="40">
        <f t="shared" si="78"/>
        <v>82.583333333333329</v>
      </c>
      <c r="AA813" s="966">
        <f t="shared" si="76"/>
        <v>991.00000000000011</v>
      </c>
      <c r="AB813" s="35"/>
      <c r="AC813" s="183"/>
    </row>
    <row r="814" spans="1:29" x14ac:dyDescent="0.2">
      <c r="A814" s="1422"/>
      <c r="B814" s="2522"/>
      <c r="C814" s="2432"/>
      <c r="D814" s="2421"/>
      <c r="E814" s="2421"/>
      <c r="F814" s="2421"/>
      <c r="G814" s="2421"/>
      <c r="H814" s="2421"/>
      <c r="I814" s="2421"/>
      <c r="J814" s="2432"/>
      <c r="K814" s="40">
        <v>1500</v>
      </c>
      <c r="L814" s="3295"/>
      <c r="M814" s="3335" t="s">
        <v>380</v>
      </c>
      <c r="N814" s="3336"/>
      <c r="O814" s="40">
        <f>$K814</f>
        <v>1500</v>
      </c>
      <c r="P814" s="38"/>
      <c r="Q814" s="38"/>
      <c r="R814" s="38"/>
      <c r="S814" s="38"/>
      <c r="T814" s="38"/>
      <c r="U814" s="38"/>
      <c r="V814" s="38"/>
      <c r="W814" s="38"/>
      <c r="X814" s="38"/>
      <c r="Y814" s="38"/>
      <c r="Z814" s="38"/>
      <c r="AA814" s="966">
        <f t="shared" si="76"/>
        <v>1500</v>
      </c>
      <c r="AB814" s="35"/>
      <c r="AC814" s="183"/>
    </row>
    <row r="815" spans="1:29" x14ac:dyDescent="0.2">
      <c r="A815" s="1422"/>
      <c r="B815" s="2522"/>
      <c r="C815" s="2432"/>
      <c r="D815" s="2421"/>
      <c r="E815" s="2421"/>
      <c r="F815" s="2421"/>
      <c r="G815" s="2421"/>
      <c r="H815" s="2421"/>
      <c r="I815" s="2421"/>
      <c r="J815" s="2432"/>
      <c r="K815" s="40">
        <v>1000</v>
      </c>
      <c r="L815" s="3295"/>
      <c r="M815" s="3335" t="s">
        <v>303</v>
      </c>
      <c r="N815" s="3336"/>
      <c r="O815" s="37"/>
      <c r="P815" s="38"/>
      <c r="Q815" s="40">
        <f>$K815</f>
        <v>1000</v>
      </c>
      <c r="R815" s="37"/>
      <c r="S815" s="37"/>
      <c r="T815" s="37"/>
      <c r="U815" s="40"/>
      <c r="V815" s="40"/>
      <c r="W815" s="38"/>
      <c r="X815" s="38"/>
      <c r="Y815" s="38"/>
      <c r="Z815" s="38"/>
      <c r="AA815" s="966">
        <f t="shared" si="76"/>
        <v>1000</v>
      </c>
      <c r="AB815" s="35"/>
      <c r="AC815" s="183"/>
    </row>
    <row r="816" spans="1:29" x14ac:dyDescent="0.2">
      <c r="A816" s="1422"/>
      <c r="B816" s="2522"/>
      <c r="C816" s="2432"/>
      <c r="D816" s="2421"/>
      <c r="E816" s="2421"/>
      <c r="F816" s="2421"/>
      <c r="G816" s="2421"/>
      <c r="H816" s="2421"/>
      <c r="I816" s="2421"/>
      <c r="J816" s="2432"/>
      <c r="K816" s="40">
        <v>100</v>
      </c>
      <c r="L816" s="3295"/>
      <c r="M816" s="3335" t="s">
        <v>305</v>
      </c>
      <c r="N816" s="3336"/>
      <c r="O816" s="37"/>
      <c r="P816" s="38"/>
      <c r="Q816" s="38">
        <f>K816</f>
        <v>100</v>
      </c>
      <c r="R816" s="38"/>
      <c r="S816" s="38"/>
      <c r="T816" s="38"/>
      <c r="U816" s="38"/>
      <c r="V816" s="38"/>
      <c r="W816" s="38"/>
      <c r="X816" s="38"/>
      <c r="Y816" s="38"/>
      <c r="Z816" s="38"/>
      <c r="AA816" s="966">
        <f t="shared" si="76"/>
        <v>100</v>
      </c>
      <c r="AB816" s="35"/>
      <c r="AC816" s="183"/>
    </row>
    <row r="817" spans="1:29" x14ac:dyDescent="0.2">
      <c r="A817" s="1422"/>
      <c r="B817" s="2522"/>
      <c r="C817" s="2432"/>
      <c r="D817" s="2421"/>
      <c r="E817" s="2421"/>
      <c r="F817" s="2421"/>
      <c r="G817" s="2421"/>
      <c r="H817" s="2421"/>
      <c r="I817" s="2421"/>
      <c r="J817" s="2432"/>
      <c r="K817" s="40">
        <v>1000</v>
      </c>
      <c r="L817" s="3295"/>
      <c r="M817" s="3335" t="s">
        <v>306</v>
      </c>
      <c r="N817" s="3336"/>
      <c r="O817" s="37"/>
      <c r="P817" s="38"/>
      <c r="Q817" s="40">
        <f>$K817*(2/6)</f>
        <v>333.33333333333331</v>
      </c>
      <c r="R817" s="40"/>
      <c r="S817" s="40">
        <f>$K817*(1/6)</f>
        <v>166.66666666666666</v>
      </c>
      <c r="T817" s="40">
        <f>$K817*(2/6)</f>
        <v>333.33333333333331</v>
      </c>
      <c r="U817" s="38"/>
      <c r="V817" s="38"/>
      <c r="W817" s="40">
        <f>$K817*(1/6)</f>
        <v>166.66666666666666</v>
      </c>
      <c r="X817" s="38"/>
      <c r="Y817" s="38"/>
      <c r="Z817" s="38"/>
      <c r="AA817" s="966">
        <f t="shared" si="76"/>
        <v>999.99999999999989</v>
      </c>
      <c r="AB817" s="35"/>
      <c r="AC817" s="183"/>
    </row>
    <row r="818" spans="1:29" x14ac:dyDescent="0.2">
      <c r="A818" s="1422"/>
      <c r="B818" s="2522"/>
      <c r="C818" s="2432"/>
      <c r="D818" s="2421"/>
      <c r="E818" s="2421"/>
      <c r="F818" s="2421"/>
      <c r="G818" s="2421"/>
      <c r="H818" s="2421"/>
      <c r="I818" s="2421"/>
      <c r="J818" s="2432"/>
      <c r="K818" s="40">
        <v>2500</v>
      </c>
      <c r="L818" s="3295"/>
      <c r="M818" s="3335" t="s">
        <v>307</v>
      </c>
      <c r="N818" s="3336"/>
      <c r="O818" s="37"/>
      <c r="P818" s="38"/>
      <c r="Q818" s="42">
        <f>$K818/10</f>
        <v>250</v>
      </c>
      <c r="R818" s="42">
        <f t="shared" ref="R818:Z818" si="79">$K818/10</f>
        <v>250</v>
      </c>
      <c r="S818" s="42">
        <f t="shared" si="79"/>
        <v>250</v>
      </c>
      <c r="T818" s="42">
        <f t="shared" si="79"/>
        <v>250</v>
      </c>
      <c r="U818" s="42">
        <f t="shared" si="79"/>
        <v>250</v>
      </c>
      <c r="V818" s="42">
        <f t="shared" si="79"/>
        <v>250</v>
      </c>
      <c r="W818" s="42">
        <f t="shared" si="79"/>
        <v>250</v>
      </c>
      <c r="X818" s="42">
        <f t="shared" si="79"/>
        <v>250</v>
      </c>
      <c r="Y818" s="42">
        <f t="shared" si="79"/>
        <v>250</v>
      </c>
      <c r="Z818" s="42">
        <f t="shared" si="79"/>
        <v>250</v>
      </c>
      <c r="AA818" s="966">
        <f t="shared" si="76"/>
        <v>2500</v>
      </c>
      <c r="AB818" s="35"/>
      <c r="AC818" s="183"/>
    </row>
    <row r="819" spans="1:29" x14ac:dyDescent="0.2">
      <c r="A819" s="1422"/>
      <c r="B819" s="2522"/>
      <c r="C819" s="2432"/>
      <c r="D819" s="2421"/>
      <c r="E819" s="2421"/>
      <c r="F819" s="2421"/>
      <c r="G819" s="2421"/>
      <c r="H819" s="2421"/>
      <c r="I819" s="2421"/>
      <c r="J819" s="2432"/>
      <c r="K819" s="40">
        <v>900</v>
      </c>
      <c r="L819" s="3295"/>
      <c r="M819" s="3335" t="s">
        <v>308</v>
      </c>
      <c r="N819" s="3336"/>
      <c r="O819" s="37"/>
      <c r="P819" s="38"/>
      <c r="Q819" s="40"/>
      <c r="R819" s="40">
        <f>$K819</f>
        <v>900</v>
      </c>
      <c r="S819" s="38"/>
      <c r="T819" s="38"/>
      <c r="U819" s="38"/>
      <c r="V819" s="38"/>
      <c r="W819" s="38"/>
      <c r="X819" s="38"/>
      <c r="Y819" s="38"/>
      <c r="Z819" s="38"/>
      <c r="AA819" s="966">
        <f t="shared" si="76"/>
        <v>900</v>
      </c>
      <c r="AB819" s="35"/>
      <c r="AC819" s="183"/>
    </row>
    <row r="820" spans="1:29" x14ac:dyDescent="0.2">
      <c r="A820" s="1422"/>
      <c r="B820" s="2522"/>
      <c r="C820" s="2432"/>
      <c r="D820" s="2421"/>
      <c r="E820" s="2421"/>
      <c r="F820" s="2421"/>
      <c r="G820" s="2421"/>
      <c r="H820" s="2421"/>
      <c r="I820" s="2421"/>
      <c r="J820" s="2432"/>
      <c r="K820" s="40">
        <v>15770</v>
      </c>
      <c r="L820" s="3295"/>
      <c r="M820" s="3335" t="s">
        <v>309</v>
      </c>
      <c r="N820" s="3336"/>
      <c r="O820" s="37"/>
      <c r="P820" s="38"/>
      <c r="Q820" s="38"/>
      <c r="R820" s="40">
        <f>$K820/5</f>
        <v>3154</v>
      </c>
      <c r="S820" s="40"/>
      <c r="T820" s="40">
        <f>$K820/5</f>
        <v>3154</v>
      </c>
      <c r="U820" s="38"/>
      <c r="V820" s="40">
        <f>$K820/5</f>
        <v>3154</v>
      </c>
      <c r="W820" s="38"/>
      <c r="X820" s="40">
        <f>$K820/5</f>
        <v>3154</v>
      </c>
      <c r="Y820" s="38"/>
      <c r="Z820" s="40">
        <f>$K820/5</f>
        <v>3154</v>
      </c>
      <c r="AA820" s="966">
        <f t="shared" si="76"/>
        <v>15770</v>
      </c>
      <c r="AB820" s="35"/>
      <c r="AC820" s="183"/>
    </row>
    <row r="821" spans="1:29" x14ac:dyDescent="0.2">
      <c r="A821" s="1422"/>
      <c r="B821" s="2522"/>
      <c r="C821" s="2432"/>
      <c r="D821" s="2421"/>
      <c r="E821" s="2421"/>
      <c r="F821" s="2421"/>
      <c r="G821" s="2421"/>
      <c r="H821" s="2421"/>
      <c r="I821" s="2421"/>
      <c r="J821" s="2432"/>
      <c r="K821" s="40">
        <v>3395</v>
      </c>
      <c r="L821" s="3295"/>
      <c r="M821" s="3335" t="s">
        <v>311</v>
      </c>
      <c r="N821" s="3336"/>
      <c r="O821" s="40">
        <f t="shared" ref="O821:Z822" si="80">$K821/12</f>
        <v>282.91666666666669</v>
      </c>
      <c r="P821" s="40">
        <f t="shared" si="80"/>
        <v>282.91666666666669</v>
      </c>
      <c r="Q821" s="40">
        <f t="shared" si="80"/>
        <v>282.91666666666669</v>
      </c>
      <c r="R821" s="40">
        <f t="shared" si="80"/>
        <v>282.91666666666669</v>
      </c>
      <c r="S821" s="40">
        <f t="shared" si="80"/>
        <v>282.91666666666669</v>
      </c>
      <c r="T821" s="40">
        <f t="shared" si="80"/>
        <v>282.91666666666669</v>
      </c>
      <c r="U821" s="40">
        <f t="shared" si="80"/>
        <v>282.91666666666669</v>
      </c>
      <c r="V821" s="40">
        <f t="shared" si="80"/>
        <v>282.91666666666669</v>
      </c>
      <c r="W821" s="40">
        <f t="shared" si="80"/>
        <v>282.91666666666669</v>
      </c>
      <c r="X821" s="40">
        <f t="shared" si="80"/>
        <v>282.91666666666669</v>
      </c>
      <c r="Y821" s="40">
        <f t="shared" si="80"/>
        <v>282.91666666666669</v>
      </c>
      <c r="Z821" s="40">
        <f t="shared" si="80"/>
        <v>282.91666666666669</v>
      </c>
      <c r="AA821" s="966">
        <f t="shared" si="76"/>
        <v>3394.9999999999995</v>
      </c>
      <c r="AB821" s="35"/>
      <c r="AC821" s="183"/>
    </row>
    <row r="822" spans="1:29" x14ac:dyDescent="0.2">
      <c r="A822" s="1422"/>
      <c r="B822" s="2522"/>
      <c r="C822" s="2437"/>
      <c r="D822" s="2421"/>
      <c r="E822" s="2421"/>
      <c r="F822" s="2421"/>
      <c r="G822" s="2421"/>
      <c r="H822" s="2421"/>
      <c r="I822" s="2421"/>
      <c r="J822" s="2437"/>
      <c r="K822" s="40">
        <v>46080</v>
      </c>
      <c r="L822" s="3295"/>
      <c r="M822" s="3335" t="s">
        <v>310</v>
      </c>
      <c r="N822" s="3336"/>
      <c r="O822" s="40">
        <f t="shared" si="80"/>
        <v>3840</v>
      </c>
      <c r="P822" s="40">
        <f t="shared" si="80"/>
        <v>3840</v>
      </c>
      <c r="Q822" s="40">
        <f t="shared" si="80"/>
        <v>3840</v>
      </c>
      <c r="R822" s="40">
        <f t="shared" si="80"/>
        <v>3840</v>
      </c>
      <c r="S822" s="40">
        <f t="shared" si="80"/>
        <v>3840</v>
      </c>
      <c r="T822" s="40">
        <f t="shared" si="80"/>
        <v>3840</v>
      </c>
      <c r="U822" s="40">
        <f t="shared" si="80"/>
        <v>3840</v>
      </c>
      <c r="V822" s="40">
        <f t="shared" si="80"/>
        <v>3840</v>
      </c>
      <c r="W822" s="40">
        <f t="shared" si="80"/>
        <v>3840</v>
      </c>
      <c r="X822" s="40">
        <f t="shared" si="80"/>
        <v>3840</v>
      </c>
      <c r="Y822" s="40">
        <f t="shared" si="80"/>
        <v>3840</v>
      </c>
      <c r="Z822" s="40">
        <f t="shared" si="80"/>
        <v>3840</v>
      </c>
      <c r="AA822" s="966">
        <f t="shared" si="76"/>
        <v>46080</v>
      </c>
      <c r="AB822" s="35"/>
      <c r="AC822" s="183"/>
    </row>
    <row r="823" spans="1:29" x14ac:dyDescent="0.2">
      <c r="A823" s="1422"/>
      <c r="B823" s="1427" t="s">
        <v>468</v>
      </c>
      <c r="C823" s="38"/>
      <c r="D823" s="38"/>
      <c r="E823" s="38"/>
      <c r="F823" s="38"/>
      <c r="G823" s="38"/>
      <c r="H823" s="38"/>
      <c r="I823" s="38"/>
      <c r="J823" s="38"/>
      <c r="K823" s="40">
        <f>SUM(K805:K822)</f>
        <v>789604</v>
      </c>
      <c r="L823" s="1133"/>
      <c r="M823" s="49"/>
      <c r="N823" s="49"/>
      <c r="O823" s="37"/>
      <c r="P823" s="38"/>
      <c r="Q823" s="38"/>
      <c r="R823" s="38"/>
      <c r="S823" s="38"/>
      <c r="T823" s="38"/>
      <c r="U823" s="38"/>
      <c r="V823" s="38"/>
      <c r="W823" s="38"/>
      <c r="X823" s="38"/>
      <c r="Y823" s="38"/>
      <c r="Z823" s="38"/>
      <c r="AA823" s="966"/>
      <c r="AB823" s="35"/>
      <c r="AC823" s="183"/>
    </row>
    <row r="824" spans="1:29" ht="22.5" customHeight="1" x14ac:dyDescent="0.2">
      <c r="A824" s="1422"/>
      <c r="B824" s="1422"/>
      <c r="C824" s="35"/>
      <c r="D824" s="35"/>
      <c r="E824" s="35"/>
      <c r="F824" s="35"/>
      <c r="G824" s="35"/>
      <c r="H824" s="35"/>
      <c r="I824" s="35"/>
      <c r="J824" s="35"/>
      <c r="K824" s="60"/>
      <c r="L824" s="60"/>
      <c r="M824" s="181"/>
      <c r="N824" s="181"/>
      <c r="O824" s="60"/>
      <c r="P824" s="60"/>
      <c r="Q824" s="60"/>
      <c r="R824" s="60"/>
      <c r="S824" s="2922" t="s">
        <v>15</v>
      </c>
      <c r="T824" s="2922"/>
      <c r="U824" s="2922"/>
      <c r="V824" s="2922"/>
      <c r="W824" s="2922"/>
      <c r="X824" s="2922"/>
      <c r="Y824" s="2922"/>
      <c r="Z824" s="2974" t="s">
        <v>16</v>
      </c>
      <c r="AA824" s="2976"/>
      <c r="AB824" s="35"/>
      <c r="AC824" s="183"/>
    </row>
    <row r="825" spans="1:29" ht="22.5" customHeight="1" x14ac:dyDescent="0.2">
      <c r="A825" s="1422"/>
      <c r="B825" s="1433" t="s">
        <v>276</v>
      </c>
      <c r="C825" s="108"/>
      <c r="D825" s="35">
        <v>3033290</v>
      </c>
      <c r="E825" s="192" t="s">
        <v>469</v>
      </c>
      <c r="F825" s="193"/>
      <c r="G825" s="194"/>
      <c r="H825" s="35"/>
      <c r="I825" s="35"/>
      <c r="J825" s="35"/>
      <c r="K825" s="60"/>
      <c r="L825" s="60"/>
      <c r="M825" s="181"/>
      <c r="N825" s="181"/>
      <c r="O825" s="60"/>
      <c r="P825" s="60"/>
      <c r="Q825" s="60"/>
      <c r="R825" s="60"/>
      <c r="S825" s="2922" t="s">
        <v>470</v>
      </c>
      <c r="T825" s="2922"/>
      <c r="U825" s="2922"/>
      <c r="V825" s="2922"/>
      <c r="W825" s="2922"/>
      <c r="X825" s="2922"/>
      <c r="Y825" s="2922"/>
      <c r="Z825" s="2974" t="s">
        <v>371</v>
      </c>
      <c r="AA825" s="2976"/>
      <c r="AB825" s="35"/>
      <c r="AC825" s="183"/>
    </row>
    <row r="826" spans="1:29" x14ac:dyDescent="0.2">
      <c r="A826" s="1422"/>
      <c r="B826" s="2999" t="s">
        <v>278</v>
      </c>
      <c r="C826" s="2988" t="s">
        <v>21</v>
      </c>
      <c r="D826" s="2847" t="s">
        <v>22</v>
      </c>
      <c r="E826" s="2847" t="s">
        <v>23</v>
      </c>
      <c r="F826" s="2847" t="s">
        <v>24</v>
      </c>
      <c r="G826" s="2847" t="s">
        <v>25</v>
      </c>
      <c r="H826" s="2847" t="s">
        <v>26</v>
      </c>
      <c r="I826" s="2847" t="s">
        <v>27</v>
      </c>
      <c r="J826" s="3206" t="s">
        <v>28</v>
      </c>
      <c r="K826" s="3301"/>
      <c r="L826" s="2847" t="s">
        <v>279</v>
      </c>
      <c r="M826" s="3273" t="s">
        <v>280</v>
      </c>
      <c r="N826" s="3274"/>
      <c r="O826" s="2847" t="s">
        <v>281</v>
      </c>
      <c r="P826" s="2847"/>
      <c r="Q826" s="2847"/>
      <c r="R826" s="2847"/>
      <c r="S826" s="2847"/>
      <c r="T826" s="2847"/>
      <c r="U826" s="2847"/>
      <c r="V826" s="2847"/>
      <c r="W826" s="2847"/>
      <c r="X826" s="2847"/>
      <c r="Y826" s="2847"/>
      <c r="Z826" s="2847"/>
      <c r="AA826" s="3339" t="s">
        <v>32</v>
      </c>
      <c r="AB826" s="35"/>
      <c r="AC826" s="183"/>
    </row>
    <row r="827" spans="1:29" x14ac:dyDescent="0.2">
      <c r="A827" s="1422"/>
      <c r="B827" s="2999"/>
      <c r="C827" s="3186"/>
      <c r="D827" s="2847"/>
      <c r="E827" s="2847"/>
      <c r="F827" s="2847"/>
      <c r="G827" s="2847"/>
      <c r="H827" s="2847"/>
      <c r="I827" s="2847"/>
      <c r="J827" s="2988" t="s">
        <v>33</v>
      </c>
      <c r="K827" s="3206" t="s">
        <v>282</v>
      </c>
      <c r="L827" s="2847"/>
      <c r="M827" s="3275"/>
      <c r="N827" s="3276"/>
      <c r="O827" s="1009" t="s">
        <v>283</v>
      </c>
      <c r="P827" s="1009" t="s">
        <v>284</v>
      </c>
      <c r="Q827" s="1009" t="s">
        <v>285</v>
      </c>
      <c r="R827" s="1009" t="s">
        <v>88</v>
      </c>
      <c r="S827" s="1009" t="s">
        <v>89</v>
      </c>
      <c r="T827" s="1009" t="s">
        <v>90</v>
      </c>
      <c r="U827" s="1009" t="s">
        <v>91</v>
      </c>
      <c r="V827" s="1009" t="s">
        <v>92</v>
      </c>
      <c r="W827" s="1009" t="s">
        <v>286</v>
      </c>
      <c r="X827" s="1009" t="s">
        <v>93</v>
      </c>
      <c r="Y827" s="1009" t="s">
        <v>94</v>
      </c>
      <c r="Z827" s="1009" t="s">
        <v>95</v>
      </c>
      <c r="AA827" s="3340"/>
      <c r="AB827" s="35"/>
      <c r="AC827" s="183"/>
    </row>
    <row r="828" spans="1:29" x14ac:dyDescent="0.2">
      <c r="A828" s="1422"/>
      <c r="B828" s="2999"/>
      <c r="C828" s="3186"/>
      <c r="D828" s="2847"/>
      <c r="E828" s="2847"/>
      <c r="F828" s="2847"/>
      <c r="G828" s="2847"/>
      <c r="H828" s="2847"/>
      <c r="I828" s="2847"/>
      <c r="J828" s="3186"/>
      <c r="K828" s="3206"/>
      <c r="L828" s="2847"/>
      <c r="M828" s="3271" t="s">
        <v>287</v>
      </c>
      <c r="N828" s="3272"/>
      <c r="O828" s="1093"/>
      <c r="P828" s="1093"/>
      <c r="Q828" s="1093">
        <v>315.2</v>
      </c>
      <c r="R828" s="1093">
        <v>315</v>
      </c>
      <c r="S828" s="1093">
        <v>315</v>
      </c>
      <c r="T828" s="1093">
        <v>316</v>
      </c>
      <c r="U828" s="1093">
        <v>316</v>
      </c>
      <c r="V828" s="1093">
        <v>315</v>
      </c>
      <c r="W828" s="1093">
        <v>315</v>
      </c>
      <c r="X828" s="1093">
        <v>315</v>
      </c>
      <c r="Y828" s="1093">
        <v>315</v>
      </c>
      <c r="Z828" s="1093">
        <v>315</v>
      </c>
      <c r="AA828" s="1196">
        <f t="shared" ref="AA828:AA847" si="81">SUM(O828:Z828)</f>
        <v>3152.2</v>
      </c>
      <c r="AB828" s="35"/>
      <c r="AC828" s="183"/>
    </row>
    <row r="829" spans="1:29" x14ac:dyDescent="0.2">
      <c r="A829" s="1422"/>
      <c r="B829" s="2999"/>
      <c r="C829" s="2989"/>
      <c r="D829" s="2847"/>
      <c r="E829" s="2847"/>
      <c r="F829" s="2847"/>
      <c r="G829" s="2847"/>
      <c r="H829" s="2847"/>
      <c r="I829" s="2847"/>
      <c r="J829" s="2989"/>
      <c r="K829" s="3206"/>
      <c r="L829" s="2847"/>
      <c r="M829" s="3271" t="s">
        <v>34</v>
      </c>
      <c r="N829" s="3272"/>
      <c r="O829" s="66">
        <f>SUM(O830:O847)</f>
        <v>71673.75</v>
      </c>
      <c r="P829" s="66">
        <f t="shared" ref="P829:Z829" si="82">SUM(P830:P847)</f>
        <v>63973.75</v>
      </c>
      <c r="Q829" s="66">
        <f t="shared" si="82"/>
        <v>67392.75</v>
      </c>
      <c r="R829" s="66">
        <f t="shared" si="82"/>
        <v>69738.549999999988</v>
      </c>
      <c r="S829" s="66">
        <f t="shared" si="82"/>
        <v>64092.75</v>
      </c>
      <c r="T829" s="66">
        <f t="shared" si="82"/>
        <v>69638.549999999988</v>
      </c>
      <c r="U829" s="66">
        <f t="shared" si="82"/>
        <v>72644.75</v>
      </c>
      <c r="V829" s="66">
        <f t="shared" si="82"/>
        <v>69838.549999999988</v>
      </c>
      <c r="W829" s="66">
        <f t="shared" si="82"/>
        <v>64192.75</v>
      </c>
      <c r="X829" s="66">
        <f t="shared" si="82"/>
        <v>69638.549999999988</v>
      </c>
      <c r="Y829" s="66">
        <f t="shared" si="82"/>
        <v>64292.75</v>
      </c>
      <c r="Z829" s="66">
        <f t="shared" si="82"/>
        <v>76690.55</v>
      </c>
      <c r="AA829" s="1196">
        <f t="shared" si="81"/>
        <v>823808</v>
      </c>
      <c r="AB829" s="35"/>
      <c r="AC829" s="183"/>
    </row>
    <row r="830" spans="1:29" ht="11.25" customHeight="1" x14ac:dyDescent="0.2">
      <c r="A830" s="1422"/>
      <c r="B830" s="2522">
        <v>5000041</v>
      </c>
      <c r="C830" s="2431" t="s">
        <v>3054</v>
      </c>
      <c r="D830" s="2421">
        <v>28</v>
      </c>
      <c r="E830" s="2421" t="s">
        <v>407</v>
      </c>
      <c r="F830" s="2421" t="s">
        <v>313</v>
      </c>
      <c r="G830" s="2421" t="s">
        <v>329</v>
      </c>
      <c r="H830" s="2421" t="s">
        <v>337</v>
      </c>
      <c r="I830" s="2421" t="s">
        <v>373</v>
      </c>
      <c r="J830" s="2431">
        <v>3152</v>
      </c>
      <c r="K830" s="40">
        <v>68616</v>
      </c>
      <c r="L830" s="3294" t="s">
        <v>446</v>
      </c>
      <c r="M830" s="3335" t="s">
        <v>293</v>
      </c>
      <c r="N830" s="3336"/>
      <c r="O830" s="40">
        <f t="shared" ref="O830:Z838" si="83">$K830/12</f>
        <v>5718</v>
      </c>
      <c r="P830" s="40">
        <f t="shared" si="83"/>
        <v>5718</v>
      </c>
      <c r="Q830" s="40">
        <f t="shared" si="83"/>
        <v>5718</v>
      </c>
      <c r="R830" s="40">
        <f t="shared" si="83"/>
        <v>5718</v>
      </c>
      <c r="S830" s="40">
        <f t="shared" si="83"/>
        <v>5718</v>
      </c>
      <c r="T830" s="40">
        <f t="shared" si="83"/>
        <v>5718</v>
      </c>
      <c r="U830" s="40">
        <f t="shared" si="83"/>
        <v>5718</v>
      </c>
      <c r="V830" s="40">
        <f t="shared" si="83"/>
        <v>5718</v>
      </c>
      <c r="W830" s="40">
        <f t="shared" si="83"/>
        <v>5718</v>
      </c>
      <c r="X830" s="40">
        <f t="shared" si="83"/>
        <v>5718</v>
      </c>
      <c r="Y830" s="40">
        <f t="shared" si="83"/>
        <v>5718</v>
      </c>
      <c r="Z830" s="40">
        <f t="shared" si="83"/>
        <v>5718</v>
      </c>
      <c r="AA830" s="966">
        <f t="shared" si="81"/>
        <v>68616</v>
      </c>
      <c r="AB830" s="35"/>
      <c r="AC830" s="183"/>
    </row>
    <row r="831" spans="1:29" x14ac:dyDescent="0.2">
      <c r="A831" s="1422"/>
      <c r="B831" s="2522"/>
      <c r="C831" s="2432"/>
      <c r="D831" s="2421"/>
      <c r="E831" s="2421"/>
      <c r="F831" s="2421"/>
      <c r="G831" s="2421"/>
      <c r="H831" s="2421"/>
      <c r="I831" s="2421"/>
      <c r="J831" s="2432"/>
      <c r="K831" s="40">
        <v>14880</v>
      </c>
      <c r="L831" s="3295"/>
      <c r="M831" s="3335" t="s">
        <v>321</v>
      </c>
      <c r="N831" s="3336"/>
      <c r="O831" s="40">
        <f t="shared" si="83"/>
        <v>1240</v>
      </c>
      <c r="P831" s="40">
        <f t="shared" si="83"/>
        <v>1240</v>
      </c>
      <c r="Q831" s="40">
        <f t="shared" si="83"/>
        <v>1240</v>
      </c>
      <c r="R831" s="40">
        <f t="shared" si="83"/>
        <v>1240</v>
      </c>
      <c r="S831" s="40">
        <f t="shared" si="83"/>
        <v>1240</v>
      </c>
      <c r="T831" s="40">
        <f t="shared" si="83"/>
        <v>1240</v>
      </c>
      <c r="U831" s="40">
        <f t="shared" si="83"/>
        <v>1240</v>
      </c>
      <c r="V831" s="40">
        <f t="shared" si="83"/>
        <v>1240</v>
      </c>
      <c r="W831" s="40">
        <f t="shared" si="83"/>
        <v>1240</v>
      </c>
      <c r="X831" s="40">
        <f t="shared" si="83"/>
        <v>1240</v>
      </c>
      <c r="Y831" s="40">
        <f t="shared" si="83"/>
        <v>1240</v>
      </c>
      <c r="Z831" s="40">
        <f t="shared" si="83"/>
        <v>1240</v>
      </c>
      <c r="AA831" s="966">
        <f t="shared" si="81"/>
        <v>14880</v>
      </c>
      <c r="AB831" s="35"/>
      <c r="AC831" s="183"/>
    </row>
    <row r="832" spans="1:29" x14ac:dyDescent="0.2">
      <c r="A832" s="1422"/>
      <c r="B832" s="2522"/>
      <c r="C832" s="2432"/>
      <c r="D832" s="2421"/>
      <c r="E832" s="2421"/>
      <c r="F832" s="2421"/>
      <c r="G832" s="2421"/>
      <c r="H832" s="2421"/>
      <c r="I832" s="2421"/>
      <c r="J832" s="2432"/>
      <c r="K832" s="40">
        <v>424152</v>
      </c>
      <c r="L832" s="3295"/>
      <c r="M832" s="3335" t="s">
        <v>295</v>
      </c>
      <c r="N832" s="3336"/>
      <c r="O832" s="40">
        <f t="shared" si="83"/>
        <v>35346</v>
      </c>
      <c r="P832" s="40">
        <f t="shared" si="83"/>
        <v>35346</v>
      </c>
      <c r="Q832" s="40">
        <f t="shared" si="83"/>
        <v>35346</v>
      </c>
      <c r="R832" s="40">
        <f t="shared" si="83"/>
        <v>35346</v>
      </c>
      <c r="S832" s="40">
        <f t="shared" si="83"/>
        <v>35346</v>
      </c>
      <c r="T832" s="40">
        <f t="shared" si="83"/>
        <v>35346</v>
      </c>
      <c r="U832" s="40">
        <f t="shared" si="83"/>
        <v>35346</v>
      </c>
      <c r="V832" s="40">
        <f t="shared" si="83"/>
        <v>35346</v>
      </c>
      <c r="W832" s="40">
        <f t="shared" si="83"/>
        <v>35346</v>
      </c>
      <c r="X832" s="40">
        <f t="shared" si="83"/>
        <v>35346</v>
      </c>
      <c r="Y832" s="40">
        <f t="shared" si="83"/>
        <v>35346</v>
      </c>
      <c r="Z832" s="40">
        <f t="shared" si="83"/>
        <v>35346</v>
      </c>
      <c r="AA832" s="966">
        <f t="shared" si="81"/>
        <v>424152</v>
      </c>
      <c r="AB832" s="35"/>
      <c r="AC832" s="183"/>
    </row>
    <row r="833" spans="1:29" x14ac:dyDescent="0.2">
      <c r="A833" s="1422"/>
      <c r="B833" s="2522"/>
      <c r="C833" s="2432"/>
      <c r="D833" s="2421"/>
      <c r="E833" s="2421"/>
      <c r="F833" s="2421"/>
      <c r="G833" s="2421"/>
      <c r="H833" s="2421"/>
      <c r="I833" s="2421"/>
      <c r="J833" s="2432"/>
      <c r="K833" s="40">
        <v>117205</v>
      </c>
      <c r="L833" s="3295"/>
      <c r="M833" s="3335" t="s">
        <v>296</v>
      </c>
      <c r="N833" s="3336"/>
      <c r="O833" s="40">
        <f t="shared" si="83"/>
        <v>9767.0833333333339</v>
      </c>
      <c r="P833" s="40">
        <f t="shared" si="83"/>
        <v>9767.0833333333339</v>
      </c>
      <c r="Q833" s="40">
        <f t="shared" si="83"/>
        <v>9767.0833333333339</v>
      </c>
      <c r="R833" s="40">
        <f t="shared" si="83"/>
        <v>9767.0833333333339</v>
      </c>
      <c r="S833" s="40">
        <f t="shared" si="83"/>
        <v>9767.0833333333339</v>
      </c>
      <c r="T833" s="40">
        <f t="shared" si="83"/>
        <v>9767.0833333333339</v>
      </c>
      <c r="U833" s="40">
        <f t="shared" si="83"/>
        <v>9767.0833333333339</v>
      </c>
      <c r="V833" s="40">
        <f t="shared" si="83"/>
        <v>9767.0833333333339</v>
      </c>
      <c r="W833" s="40">
        <f t="shared" si="83"/>
        <v>9767.0833333333339</v>
      </c>
      <c r="X833" s="40">
        <f t="shared" si="83"/>
        <v>9767.0833333333339</v>
      </c>
      <c r="Y833" s="40">
        <f t="shared" si="83"/>
        <v>9767.0833333333339</v>
      </c>
      <c r="Z833" s="40">
        <f t="shared" si="83"/>
        <v>9767.0833333333339</v>
      </c>
      <c r="AA833" s="966">
        <f t="shared" si="81"/>
        <v>117204.99999999999</v>
      </c>
      <c r="AB833" s="35"/>
      <c r="AC833" s="183"/>
    </row>
    <row r="834" spans="1:29" x14ac:dyDescent="0.2">
      <c r="A834" s="1422"/>
      <c r="B834" s="2522"/>
      <c r="C834" s="2432"/>
      <c r="D834" s="2421"/>
      <c r="E834" s="2421"/>
      <c r="F834" s="2421"/>
      <c r="G834" s="2421"/>
      <c r="H834" s="2421"/>
      <c r="I834" s="2421"/>
      <c r="J834" s="2432"/>
      <c r="K834" s="40">
        <v>44784</v>
      </c>
      <c r="L834" s="3295"/>
      <c r="M834" s="3335" t="s">
        <v>297</v>
      </c>
      <c r="N834" s="3336"/>
      <c r="O834" s="40">
        <f t="shared" si="83"/>
        <v>3732</v>
      </c>
      <c r="P834" s="40">
        <f t="shared" si="83"/>
        <v>3732</v>
      </c>
      <c r="Q834" s="40">
        <f t="shared" si="83"/>
        <v>3732</v>
      </c>
      <c r="R834" s="40">
        <f t="shared" si="83"/>
        <v>3732</v>
      </c>
      <c r="S834" s="40">
        <f t="shared" si="83"/>
        <v>3732</v>
      </c>
      <c r="T834" s="40">
        <f t="shared" si="83"/>
        <v>3732</v>
      </c>
      <c r="U834" s="40">
        <f t="shared" si="83"/>
        <v>3732</v>
      </c>
      <c r="V834" s="40">
        <f t="shared" si="83"/>
        <v>3732</v>
      </c>
      <c r="W834" s="40">
        <f t="shared" si="83"/>
        <v>3732</v>
      </c>
      <c r="X834" s="40">
        <f t="shared" si="83"/>
        <v>3732</v>
      </c>
      <c r="Y834" s="40">
        <f t="shared" si="83"/>
        <v>3732</v>
      </c>
      <c r="Z834" s="40">
        <f t="shared" si="83"/>
        <v>3732</v>
      </c>
      <c r="AA834" s="966">
        <f t="shared" si="81"/>
        <v>44784</v>
      </c>
      <c r="AB834" s="35"/>
      <c r="AC834" s="183"/>
    </row>
    <row r="835" spans="1:29" x14ac:dyDescent="0.2">
      <c r="A835" s="1422"/>
      <c r="B835" s="2522"/>
      <c r="C835" s="2432"/>
      <c r="D835" s="2421"/>
      <c r="E835" s="2421"/>
      <c r="F835" s="2421"/>
      <c r="G835" s="2421"/>
      <c r="H835" s="2421"/>
      <c r="I835" s="2421"/>
      <c r="J835" s="2432"/>
      <c r="K835" s="40">
        <v>13904</v>
      </c>
      <c r="L835" s="3295"/>
      <c r="M835" s="3335" t="s">
        <v>298</v>
      </c>
      <c r="N835" s="3336"/>
      <c r="O835" s="37"/>
      <c r="P835" s="38"/>
      <c r="Q835" s="38"/>
      <c r="R835" s="38"/>
      <c r="S835" s="38"/>
      <c r="T835" s="38"/>
      <c r="U835" s="40">
        <f>$K835/2</f>
        <v>6952</v>
      </c>
      <c r="V835" s="38"/>
      <c r="W835" s="38"/>
      <c r="X835" s="38"/>
      <c r="Y835" s="38"/>
      <c r="Z835" s="40">
        <f>$K835/2</f>
        <v>6952</v>
      </c>
      <c r="AA835" s="966">
        <f t="shared" si="81"/>
        <v>13904</v>
      </c>
      <c r="AB835" s="35"/>
      <c r="AC835" s="183"/>
    </row>
    <row r="836" spans="1:29" x14ac:dyDescent="0.2">
      <c r="A836" s="1422"/>
      <c r="B836" s="2522"/>
      <c r="C836" s="2432"/>
      <c r="D836" s="2421"/>
      <c r="E836" s="2421"/>
      <c r="F836" s="2421"/>
      <c r="G836" s="2421"/>
      <c r="H836" s="2421"/>
      <c r="I836" s="2421"/>
      <c r="J836" s="2432"/>
      <c r="K836" s="40">
        <v>9200</v>
      </c>
      <c r="L836" s="3295"/>
      <c r="M836" s="3335" t="s">
        <v>299</v>
      </c>
      <c r="N836" s="3336"/>
      <c r="O836" s="37">
        <f>$K836</f>
        <v>9200</v>
      </c>
      <c r="P836" s="38"/>
      <c r="Q836" s="37"/>
      <c r="R836" s="38"/>
      <c r="S836" s="38"/>
      <c r="T836" s="38"/>
      <c r="U836" s="38"/>
      <c r="V836" s="38"/>
      <c r="W836" s="38"/>
      <c r="X836" s="38"/>
      <c r="Y836" s="38"/>
      <c r="Z836" s="38"/>
      <c r="AA836" s="966">
        <f t="shared" si="81"/>
        <v>9200</v>
      </c>
      <c r="AB836" s="35"/>
      <c r="AC836" s="183"/>
    </row>
    <row r="837" spans="1:29" x14ac:dyDescent="0.2">
      <c r="A837" s="1422"/>
      <c r="B837" s="2522"/>
      <c r="C837" s="2432"/>
      <c r="D837" s="2421"/>
      <c r="E837" s="2421"/>
      <c r="F837" s="2421"/>
      <c r="G837" s="2421"/>
      <c r="H837" s="2421"/>
      <c r="I837" s="2421"/>
      <c r="J837" s="2432"/>
      <c r="K837" s="40">
        <v>39005</v>
      </c>
      <c r="L837" s="3295"/>
      <c r="M837" s="3335" t="s">
        <v>300</v>
      </c>
      <c r="N837" s="3336"/>
      <c r="O837" s="40">
        <f t="shared" si="83"/>
        <v>3250.4166666666665</v>
      </c>
      <c r="P837" s="40">
        <f t="shared" si="83"/>
        <v>3250.4166666666665</v>
      </c>
      <c r="Q837" s="40">
        <f t="shared" si="83"/>
        <v>3250.4166666666665</v>
      </c>
      <c r="R837" s="40">
        <f t="shared" si="83"/>
        <v>3250.4166666666665</v>
      </c>
      <c r="S837" s="40">
        <f t="shared" si="83"/>
        <v>3250.4166666666665</v>
      </c>
      <c r="T837" s="40">
        <f t="shared" si="83"/>
        <v>3250.4166666666665</v>
      </c>
      <c r="U837" s="40">
        <f t="shared" si="83"/>
        <v>3250.4166666666665</v>
      </c>
      <c r="V837" s="40">
        <f t="shared" si="83"/>
        <v>3250.4166666666665</v>
      </c>
      <c r="W837" s="40">
        <f t="shared" si="83"/>
        <v>3250.4166666666665</v>
      </c>
      <c r="X837" s="40">
        <f t="shared" si="83"/>
        <v>3250.4166666666665</v>
      </c>
      <c r="Y837" s="40">
        <f t="shared" si="83"/>
        <v>3250.4166666666665</v>
      </c>
      <c r="Z837" s="40">
        <f t="shared" si="83"/>
        <v>3250.4166666666665</v>
      </c>
      <c r="AA837" s="966">
        <f t="shared" si="81"/>
        <v>39005</v>
      </c>
      <c r="AB837" s="35"/>
      <c r="AC837" s="183"/>
    </row>
    <row r="838" spans="1:29" x14ac:dyDescent="0.2">
      <c r="A838" s="1422"/>
      <c r="B838" s="2522"/>
      <c r="C838" s="2432"/>
      <c r="D838" s="2421"/>
      <c r="E838" s="2421"/>
      <c r="F838" s="2421"/>
      <c r="G838" s="2421"/>
      <c r="H838" s="2421"/>
      <c r="I838" s="2421"/>
      <c r="J838" s="2432"/>
      <c r="K838" s="40">
        <v>1338</v>
      </c>
      <c r="L838" s="3295"/>
      <c r="M838" s="3335" t="s">
        <v>301</v>
      </c>
      <c r="N838" s="3336"/>
      <c r="O838" s="40">
        <f t="shared" si="83"/>
        <v>111.5</v>
      </c>
      <c r="P838" s="40">
        <f t="shared" si="83"/>
        <v>111.5</v>
      </c>
      <c r="Q838" s="40">
        <f t="shared" si="83"/>
        <v>111.5</v>
      </c>
      <c r="R838" s="40">
        <f t="shared" si="83"/>
        <v>111.5</v>
      </c>
      <c r="S838" s="40">
        <f t="shared" si="83"/>
        <v>111.5</v>
      </c>
      <c r="T838" s="40">
        <f t="shared" si="83"/>
        <v>111.5</v>
      </c>
      <c r="U838" s="40">
        <f t="shared" si="83"/>
        <v>111.5</v>
      </c>
      <c r="V838" s="40">
        <f t="shared" si="83"/>
        <v>111.5</v>
      </c>
      <c r="W838" s="40">
        <f t="shared" si="83"/>
        <v>111.5</v>
      </c>
      <c r="X838" s="40">
        <f t="shared" si="83"/>
        <v>111.5</v>
      </c>
      <c r="Y838" s="40">
        <f t="shared" si="83"/>
        <v>111.5</v>
      </c>
      <c r="Z838" s="40">
        <f t="shared" si="83"/>
        <v>111.5</v>
      </c>
      <c r="AA838" s="966">
        <f t="shared" si="81"/>
        <v>1338</v>
      </c>
      <c r="AB838" s="35"/>
      <c r="AC838" s="183"/>
    </row>
    <row r="839" spans="1:29" x14ac:dyDescent="0.2">
      <c r="A839" s="1422"/>
      <c r="B839" s="2522"/>
      <c r="C839" s="2432"/>
      <c r="D839" s="2421"/>
      <c r="E839" s="2421"/>
      <c r="F839" s="2421"/>
      <c r="G839" s="2421"/>
      <c r="H839" s="2421"/>
      <c r="I839" s="2421"/>
      <c r="J839" s="2432"/>
      <c r="K839" s="40">
        <v>1500</v>
      </c>
      <c r="L839" s="3295"/>
      <c r="M839" s="3335" t="s">
        <v>380</v>
      </c>
      <c r="N839" s="3336"/>
      <c r="O839" s="40"/>
      <c r="P839" s="40">
        <f>$K839</f>
        <v>1500</v>
      </c>
      <c r="Q839" s="38"/>
      <c r="R839" s="38"/>
      <c r="S839" s="38"/>
      <c r="T839" s="38"/>
      <c r="U839" s="38"/>
      <c r="V839" s="38"/>
      <c r="W839" s="38"/>
      <c r="X839" s="38"/>
      <c r="Y839" s="38"/>
      <c r="Z839" s="38"/>
      <c r="AA839" s="966">
        <f t="shared" si="81"/>
        <v>1500</v>
      </c>
      <c r="AB839" s="35"/>
      <c r="AC839" s="183"/>
    </row>
    <row r="840" spans="1:29" x14ac:dyDescent="0.2">
      <c r="A840" s="1422"/>
      <c r="B840" s="2522"/>
      <c r="C840" s="2432"/>
      <c r="D840" s="2421"/>
      <c r="E840" s="2421"/>
      <c r="F840" s="2421"/>
      <c r="G840" s="2421"/>
      <c r="H840" s="2421"/>
      <c r="I840" s="2421"/>
      <c r="J840" s="2432"/>
      <c r="K840" s="40">
        <v>1600</v>
      </c>
      <c r="L840" s="3295"/>
      <c r="M840" s="3335" t="s">
        <v>303</v>
      </c>
      <c r="N840" s="3336"/>
      <c r="O840" s="37"/>
      <c r="P840" s="38"/>
      <c r="Q840" s="40">
        <f>$K840</f>
        <v>1600</v>
      </c>
      <c r="R840" s="37"/>
      <c r="S840" s="37"/>
      <c r="T840" s="37"/>
      <c r="U840" s="40"/>
      <c r="V840" s="40"/>
      <c r="W840" s="38"/>
      <c r="X840" s="38"/>
      <c r="Y840" s="38"/>
      <c r="Z840" s="38"/>
      <c r="AA840" s="966">
        <f t="shared" si="81"/>
        <v>1600</v>
      </c>
      <c r="AB840" s="35"/>
      <c r="AC840" s="183"/>
    </row>
    <row r="841" spans="1:29" x14ac:dyDescent="0.2">
      <c r="A841" s="1422"/>
      <c r="B841" s="2522"/>
      <c r="C841" s="2432"/>
      <c r="D841" s="2421"/>
      <c r="E841" s="2421"/>
      <c r="F841" s="2421"/>
      <c r="G841" s="2421"/>
      <c r="H841" s="2421"/>
      <c r="I841" s="2421"/>
      <c r="J841" s="2432"/>
      <c r="K841" s="40">
        <v>2000</v>
      </c>
      <c r="L841" s="3295"/>
      <c r="M841" s="3335" t="s">
        <v>381</v>
      </c>
      <c r="N841" s="3336"/>
      <c r="O841" s="40">
        <f>$K841/12</f>
        <v>166.66666666666666</v>
      </c>
      <c r="P841" s="40">
        <f t="shared" ref="P841:Y841" si="84">$K841/12</f>
        <v>166.66666666666666</v>
      </c>
      <c r="Q841" s="40">
        <f t="shared" si="84"/>
        <v>166.66666666666666</v>
      </c>
      <c r="R841" s="40">
        <f t="shared" si="84"/>
        <v>166.66666666666666</v>
      </c>
      <c r="S841" s="40">
        <f t="shared" si="84"/>
        <v>166.66666666666666</v>
      </c>
      <c r="T841" s="40">
        <f t="shared" si="84"/>
        <v>166.66666666666666</v>
      </c>
      <c r="U841" s="40">
        <f t="shared" si="84"/>
        <v>166.66666666666666</v>
      </c>
      <c r="V841" s="40">
        <f t="shared" si="84"/>
        <v>166.66666666666666</v>
      </c>
      <c r="W841" s="40">
        <f t="shared" si="84"/>
        <v>166.66666666666666</v>
      </c>
      <c r="X841" s="40">
        <f t="shared" si="84"/>
        <v>166.66666666666666</v>
      </c>
      <c r="Y841" s="40">
        <f t="shared" si="84"/>
        <v>166.66666666666666</v>
      </c>
      <c r="Z841" s="40">
        <f>$K841/12</f>
        <v>166.66666666666666</v>
      </c>
      <c r="AA841" s="966">
        <f t="shared" si="81"/>
        <v>2000.0000000000002</v>
      </c>
      <c r="AB841" s="35"/>
      <c r="AC841" s="183"/>
    </row>
    <row r="842" spans="1:29" x14ac:dyDescent="0.2">
      <c r="A842" s="1422"/>
      <c r="B842" s="2522"/>
      <c r="C842" s="2432"/>
      <c r="D842" s="2421"/>
      <c r="E842" s="2421"/>
      <c r="F842" s="2421"/>
      <c r="G842" s="2421"/>
      <c r="H842" s="2421"/>
      <c r="I842" s="2421"/>
      <c r="J842" s="2432"/>
      <c r="K842" s="40">
        <v>1000</v>
      </c>
      <c r="L842" s="3295"/>
      <c r="M842" s="3335" t="s">
        <v>306</v>
      </c>
      <c r="N842" s="3336"/>
      <c r="O842" s="37"/>
      <c r="P842" s="38"/>
      <c r="Q842" s="40">
        <f>$K842*(2/10)</f>
        <v>200</v>
      </c>
      <c r="R842" s="40">
        <f>$K842*(1/10)</f>
        <v>100</v>
      </c>
      <c r="S842" s="40"/>
      <c r="T842" s="38"/>
      <c r="U842" s="40">
        <f>$K842*(1/10)</f>
        <v>100</v>
      </c>
      <c r="V842" s="40">
        <f>$K842*(2/10)</f>
        <v>200</v>
      </c>
      <c r="W842" s="40">
        <f>$K842*(1/10)</f>
        <v>100</v>
      </c>
      <c r="X842" s="38"/>
      <c r="Y842" s="40">
        <f>$K842*(2/10)</f>
        <v>200</v>
      </c>
      <c r="Z842" s="40">
        <f>$K842*(1/10)</f>
        <v>100</v>
      </c>
      <c r="AA842" s="966">
        <f t="shared" si="81"/>
        <v>1000</v>
      </c>
      <c r="AB842" s="35"/>
      <c r="AC842" s="183"/>
    </row>
    <row r="843" spans="1:29" x14ac:dyDescent="0.2">
      <c r="A843" s="1422"/>
      <c r="B843" s="2522"/>
      <c r="C843" s="2432"/>
      <c r="D843" s="2421"/>
      <c r="E843" s="2421"/>
      <c r="F843" s="2421"/>
      <c r="G843" s="2421"/>
      <c r="H843" s="2421"/>
      <c r="I843" s="2421"/>
      <c r="J843" s="2432"/>
      <c r="K843" s="40">
        <v>16190</v>
      </c>
      <c r="L843" s="3295"/>
      <c r="M843" s="3335" t="s">
        <v>307</v>
      </c>
      <c r="N843" s="3336"/>
      <c r="O843" s="37"/>
      <c r="P843" s="38"/>
      <c r="Q843" s="42">
        <f>$K843/10</f>
        <v>1619</v>
      </c>
      <c r="R843" s="42">
        <f t="shared" ref="R843:Z843" si="85">$K843/10</f>
        <v>1619</v>
      </c>
      <c r="S843" s="42">
        <f t="shared" si="85"/>
        <v>1619</v>
      </c>
      <c r="T843" s="42">
        <f t="shared" si="85"/>
        <v>1619</v>
      </c>
      <c r="U843" s="42">
        <f t="shared" si="85"/>
        <v>1619</v>
      </c>
      <c r="V843" s="42">
        <f t="shared" si="85"/>
        <v>1619</v>
      </c>
      <c r="W843" s="42">
        <f t="shared" si="85"/>
        <v>1619</v>
      </c>
      <c r="X843" s="42">
        <f t="shared" si="85"/>
        <v>1619</v>
      </c>
      <c r="Y843" s="42">
        <f t="shared" si="85"/>
        <v>1619</v>
      </c>
      <c r="Z843" s="42">
        <f t="shared" si="85"/>
        <v>1619</v>
      </c>
      <c r="AA843" s="966">
        <f t="shared" si="81"/>
        <v>16190</v>
      </c>
      <c r="AB843" s="35"/>
      <c r="AC843" s="183"/>
    </row>
    <row r="844" spans="1:29" x14ac:dyDescent="0.2">
      <c r="A844" s="1422"/>
      <c r="B844" s="2522"/>
      <c r="C844" s="2432"/>
      <c r="D844" s="2421"/>
      <c r="E844" s="2421"/>
      <c r="F844" s="2421"/>
      <c r="G844" s="2421"/>
      <c r="H844" s="2421"/>
      <c r="I844" s="2421"/>
      <c r="J844" s="2432"/>
      <c r="K844" s="40">
        <v>3000</v>
      </c>
      <c r="L844" s="3295"/>
      <c r="M844" s="3335" t="s">
        <v>308</v>
      </c>
      <c r="N844" s="3336"/>
      <c r="O844" s="37"/>
      <c r="P844" s="38"/>
      <c r="Q844" s="40">
        <f>$K844/2</f>
        <v>1500</v>
      </c>
      <c r="R844" s="38"/>
      <c r="S844" s="38"/>
      <c r="T844" s="38"/>
      <c r="U844" s="40">
        <f>$K844/2</f>
        <v>1500</v>
      </c>
      <c r="V844" s="38"/>
      <c r="W844" s="38"/>
      <c r="X844" s="38"/>
      <c r="Y844" s="38"/>
      <c r="Z844" s="38"/>
      <c r="AA844" s="966">
        <f t="shared" si="81"/>
        <v>3000</v>
      </c>
      <c r="AB844" s="35"/>
      <c r="AC844" s="183"/>
    </row>
    <row r="845" spans="1:29" x14ac:dyDescent="0.2">
      <c r="A845" s="1422"/>
      <c r="B845" s="2522"/>
      <c r="C845" s="2432"/>
      <c r="D845" s="2421"/>
      <c r="E845" s="2421"/>
      <c r="F845" s="2421"/>
      <c r="G845" s="2421"/>
      <c r="H845" s="2421"/>
      <c r="I845" s="2421"/>
      <c r="J845" s="2432"/>
      <c r="K845" s="40">
        <v>27729</v>
      </c>
      <c r="L845" s="3295"/>
      <c r="M845" s="3335" t="s">
        <v>309</v>
      </c>
      <c r="N845" s="3336"/>
      <c r="O845" s="37"/>
      <c r="P845" s="38"/>
      <c r="Q845" s="38"/>
      <c r="R845" s="40">
        <f>$K845/5</f>
        <v>5545.8</v>
      </c>
      <c r="S845" s="40"/>
      <c r="T845" s="40">
        <f>$K845/5</f>
        <v>5545.8</v>
      </c>
      <c r="U845" s="38"/>
      <c r="V845" s="40">
        <f>$K845/5</f>
        <v>5545.8</v>
      </c>
      <c r="W845" s="38"/>
      <c r="X845" s="40">
        <f>$K845/5</f>
        <v>5545.8</v>
      </c>
      <c r="Y845" s="38"/>
      <c r="Z845" s="40">
        <f>$K845/5</f>
        <v>5545.8</v>
      </c>
      <c r="AA845" s="966">
        <f t="shared" si="81"/>
        <v>27729</v>
      </c>
      <c r="AB845" s="35"/>
      <c r="AC845" s="183"/>
    </row>
    <row r="846" spans="1:29" x14ac:dyDescent="0.2">
      <c r="A846" s="1422"/>
      <c r="B846" s="2522"/>
      <c r="C846" s="2432"/>
      <c r="D846" s="2421"/>
      <c r="E846" s="2421"/>
      <c r="F846" s="2421"/>
      <c r="G846" s="2421"/>
      <c r="H846" s="2421"/>
      <c r="I846" s="2421"/>
      <c r="J846" s="2432"/>
      <c r="K846" s="40">
        <v>2965</v>
      </c>
      <c r="L846" s="3295"/>
      <c r="M846" s="3335" t="s">
        <v>311</v>
      </c>
      <c r="N846" s="3336"/>
      <c r="O846" s="40">
        <f t="shared" ref="O846:Z847" si="86">$K846/12</f>
        <v>247.08333333333334</v>
      </c>
      <c r="P846" s="40">
        <f t="shared" si="86"/>
        <v>247.08333333333334</v>
      </c>
      <c r="Q846" s="40">
        <f t="shared" si="86"/>
        <v>247.08333333333334</v>
      </c>
      <c r="R846" s="40">
        <f t="shared" si="86"/>
        <v>247.08333333333334</v>
      </c>
      <c r="S846" s="40">
        <f t="shared" si="86"/>
        <v>247.08333333333334</v>
      </c>
      <c r="T846" s="40">
        <f t="shared" si="86"/>
        <v>247.08333333333334</v>
      </c>
      <c r="U846" s="40">
        <f t="shared" si="86"/>
        <v>247.08333333333334</v>
      </c>
      <c r="V846" s="40">
        <f t="shared" si="86"/>
        <v>247.08333333333334</v>
      </c>
      <c r="W846" s="40">
        <f t="shared" si="86"/>
        <v>247.08333333333334</v>
      </c>
      <c r="X846" s="40">
        <f t="shared" si="86"/>
        <v>247.08333333333334</v>
      </c>
      <c r="Y846" s="40">
        <f t="shared" si="86"/>
        <v>247.08333333333334</v>
      </c>
      <c r="Z846" s="40">
        <f t="shared" si="86"/>
        <v>247.08333333333334</v>
      </c>
      <c r="AA846" s="966">
        <f t="shared" si="81"/>
        <v>2965.0000000000005</v>
      </c>
      <c r="AB846" s="35"/>
      <c r="AC846" s="183"/>
    </row>
    <row r="847" spans="1:29" x14ac:dyDescent="0.2">
      <c r="A847" s="1422"/>
      <c r="B847" s="2522"/>
      <c r="C847" s="2437"/>
      <c r="D847" s="2421"/>
      <c r="E847" s="2421"/>
      <c r="F847" s="2421"/>
      <c r="G847" s="2421"/>
      <c r="H847" s="2421"/>
      <c r="I847" s="2421"/>
      <c r="J847" s="2437"/>
      <c r="K847" s="40">
        <v>34740</v>
      </c>
      <c r="L847" s="3296"/>
      <c r="M847" s="3335" t="s">
        <v>310</v>
      </c>
      <c r="N847" s="3336"/>
      <c r="O847" s="40">
        <f t="shared" si="86"/>
        <v>2895</v>
      </c>
      <c r="P847" s="40">
        <f t="shared" si="86"/>
        <v>2895</v>
      </c>
      <c r="Q847" s="40">
        <f t="shared" si="86"/>
        <v>2895</v>
      </c>
      <c r="R847" s="40">
        <f t="shared" si="86"/>
        <v>2895</v>
      </c>
      <c r="S847" s="40">
        <f t="shared" si="86"/>
        <v>2895</v>
      </c>
      <c r="T847" s="40">
        <f t="shared" si="86"/>
        <v>2895</v>
      </c>
      <c r="U847" s="40">
        <f t="shared" si="86"/>
        <v>2895</v>
      </c>
      <c r="V847" s="40">
        <f t="shared" si="86"/>
        <v>2895</v>
      </c>
      <c r="W847" s="40">
        <f t="shared" si="86"/>
        <v>2895</v>
      </c>
      <c r="X847" s="40">
        <f t="shared" si="86"/>
        <v>2895</v>
      </c>
      <c r="Y847" s="40">
        <f t="shared" si="86"/>
        <v>2895</v>
      </c>
      <c r="Z847" s="40">
        <f t="shared" si="86"/>
        <v>2895</v>
      </c>
      <c r="AA847" s="966">
        <f t="shared" si="81"/>
        <v>34740</v>
      </c>
      <c r="AB847" s="35"/>
      <c r="AC847" s="183"/>
    </row>
    <row r="848" spans="1:29" x14ac:dyDescent="0.2">
      <c r="A848" s="1422"/>
      <c r="B848" s="1427" t="s">
        <v>468</v>
      </c>
      <c r="C848" s="38"/>
      <c r="D848" s="38"/>
      <c r="E848" s="38"/>
      <c r="F848" s="38"/>
      <c r="G848" s="38"/>
      <c r="H848" s="38"/>
      <c r="I848" s="38"/>
      <c r="J848" s="38"/>
      <c r="K848" s="40">
        <f>SUM(K830:K847)</f>
        <v>823808</v>
      </c>
      <c r="L848" s="38"/>
      <c r="M848" s="49"/>
      <c r="N848" s="49"/>
      <c r="O848" s="37"/>
      <c r="P848" s="38"/>
      <c r="Q848" s="38"/>
      <c r="R848" s="38"/>
      <c r="S848" s="38"/>
      <c r="T848" s="38"/>
      <c r="U848" s="38"/>
      <c r="V848" s="38"/>
      <c r="W848" s="38"/>
      <c r="X848" s="38"/>
      <c r="Y848" s="38"/>
      <c r="Z848" s="38"/>
      <c r="AA848" s="966"/>
      <c r="AB848" s="35"/>
      <c r="AC848" s="183"/>
    </row>
    <row r="849" spans="1:29" ht="22.5" customHeight="1" x14ac:dyDescent="0.2">
      <c r="A849" s="1422"/>
      <c r="B849" s="1433" t="s">
        <v>276</v>
      </c>
      <c r="C849" s="108"/>
      <c r="D849" s="35">
        <v>3033291</v>
      </c>
      <c r="E849" s="192" t="s">
        <v>471</v>
      </c>
      <c r="F849" s="193"/>
      <c r="G849" s="194"/>
      <c r="H849" s="35"/>
      <c r="I849" s="35"/>
      <c r="J849" s="35"/>
      <c r="K849" s="60"/>
      <c r="L849" s="60"/>
      <c r="M849" s="181"/>
      <c r="N849" s="181"/>
      <c r="O849" s="60"/>
      <c r="P849" s="60"/>
      <c r="Q849" s="60"/>
      <c r="R849" s="60"/>
      <c r="S849" s="2922" t="s">
        <v>15</v>
      </c>
      <c r="T849" s="2922"/>
      <c r="U849" s="2922"/>
      <c r="V849" s="2922"/>
      <c r="W849" s="2922"/>
      <c r="X849" s="2922"/>
      <c r="Y849" s="2922"/>
      <c r="Z849" s="2974" t="s">
        <v>16</v>
      </c>
      <c r="AA849" s="2976"/>
      <c r="AB849" s="35"/>
      <c r="AC849" s="183"/>
    </row>
    <row r="850" spans="1:29" ht="21" customHeight="1" x14ac:dyDescent="0.2">
      <c r="A850" s="1422"/>
      <c r="B850" s="1433"/>
      <c r="C850" s="108"/>
      <c r="D850" s="35"/>
      <c r="E850" s="192"/>
      <c r="F850" s="193"/>
      <c r="G850" s="194"/>
      <c r="H850" s="35"/>
      <c r="I850" s="35"/>
      <c r="J850" s="35"/>
      <c r="K850" s="60"/>
      <c r="L850" s="60"/>
      <c r="M850" s="181"/>
      <c r="N850" s="181"/>
      <c r="O850" s="60"/>
      <c r="P850" s="60"/>
      <c r="Q850" s="60"/>
      <c r="R850" s="60"/>
      <c r="S850" s="3233" t="s">
        <v>472</v>
      </c>
      <c r="T850" s="3233"/>
      <c r="U850" s="3233"/>
      <c r="V850" s="3233"/>
      <c r="W850" s="3233"/>
      <c r="X850" s="3233"/>
      <c r="Y850" s="3233"/>
      <c r="Z850" s="2974" t="s">
        <v>473</v>
      </c>
      <c r="AA850" s="2976"/>
      <c r="AB850" s="35"/>
      <c r="AC850" s="183"/>
    </row>
    <row r="851" spans="1:29" x14ac:dyDescent="0.2">
      <c r="A851" s="1422"/>
      <c r="B851" s="2999" t="s">
        <v>278</v>
      </c>
      <c r="C851" s="2988" t="s">
        <v>21</v>
      </c>
      <c r="D851" s="2847" t="s">
        <v>22</v>
      </c>
      <c r="E851" s="2847" t="s">
        <v>23</v>
      </c>
      <c r="F851" s="2847" t="s">
        <v>24</v>
      </c>
      <c r="G851" s="2847" t="s">
        <v>25</v>
      </c>
      <c r="H851" s="2847" t="s">
        <v>26</v>
      </c>
      <c r="I851" s="2847" t="s">
        <v>27</v>
      </c>
      <c r="J851" s="3206" t="s">
        <v>28</v>
      </c>
      <c r="K851" s="3301"/>
      <c r="L851" s="2847" t="s">
        <v>279</v>
      </c>
      <c r="M851" s="3273" t="s">
        <v>280</v>
      </c>
      <c r="N851" s="3274"/>
      <c r="O851" s="2847" t="s">
        <v>281</v>
      </c>
      <c r="P851" s="2847"/>
      <c r="Q851" s="2847"/>
      <c r="R851" s="2847"/>
      <c r="S851" s="2847"/>
      <c r="T851" s="2847"/>
      <c r="U851" s="2847"/>
      <c r="V851" s="2847"/>
      <c r="W851" s="2847"/>
      <c r="X851" s="2847"/>
      <c r="Y851" s="2847"/>
      <c r="Z851" s="2847"/>
      <c r="AA851" s="3342" t="s">
        <v>32</v>
      </c>
      <c r="AB851" s="35"/>
      <c r="AC851" s="183"/>
    </row>
    <row r="852" spans="1:29" x14ac:dyDescent="0.2">
      <c r="A852" s="1422"/>
      <c r="B852" s="2999"/>
      <c r="C852" s="3186"/>
      <c r="D852" s="2847"/>
      <c r="E852" s="2847"/>
      <c r="F852" s="2847"/>
      <c r="G852" s="2847"/>
      <c r="H852" s="2847"/>
      <c r="I852" s="2847"/>
      <c r="J852" s="2988" t="s">
        <v>33</v>
      </c>
      <c r="K852" s="2847" t="s">
        <v>282</v>
      </c>
      <c r="L852" s="2847"/>
      <c r="M852" s="3275"/>
      <c r="N852" s="3276"/>
      <c r="O852" s="1009" t="s">
        <v>283</v>
      </c>
      <c r="P852" s="1009" t="s">
        <v>284</v>
      </c>
      <c r="Q852" s="1009" t="s">
        <v>285</v>
      </c>
      <c r="R852" s="1009" t="s">
        <v>88</v>
      </c>
      <c r="S852" s="1009" t="s">
        <v>89</v>
      </c>
      <c r="T852" s="1009" t="s">
        <v>90</v>
      </c>
      <c r="U852" s="1009" t="s">
        <v>91</v>
      </c>
      <c r="V852" s="1009" t="s">
        <v>92</v>
      </c>
      <c r="W852" s="1009" t="s">
        <v>286</v>
      </c>
      <c r="X852" s="1009" t="s">
        <v>93</v>
      </c>
      <c r="Y852" s="1009" t="s">
        <v>94</v>
      </c>
      <c r="Z852" s="1009" t="s">
        <v>95</v>
      </c>
      <c r="AA852" s="3343"/>
      <c r="AB852" s="35"/>
      <c r="AC852" s="183"/>
    </row>
    <row r="853" spans="1:29" x14ac:dyDescent="0.2">
      <c r="A853" s="1422"/>
      <c r="B853" s="2999"/>
      <c r="C853" s="3186"/>
      <c r="D853" s="2847"/>
      <c r="E853" s="2847"/>
      <c r="F853" s="2847"/>
      <c r="G853" s="2847"/>
      <c r="H853" s="2847"/>
      <c r="I853" s="2847"/>
      <c r="J853" s="3186"/>
      <c r="K853" s="2847"/>
      <c r="L853" s="2847"/>
      <c r="M853" s="3271" t="s">
        <v>287</v>
      </c>
      <c r="N853" s="3272"/>
      <c r="O853" s="1093">
        <v>8380</v>
      </c>
      <c r="P853" s="1093">
        <v>8381</v>
      </c>
      <c r="Q853" s="1093">
        <v>8382</v>
      </c>
      <c r="R853" s="1093">
        <v>8382</v>
      </c>
      <c r="S853" s="1093">
        <v>8382</v>
      </c>
      <c r="T853" s="1093">
        <v>8382</v>
      </c>
      <c r="U853" s="1093">
        <v>8382</v>
      </c>
      <c r="V853" s="1093">
        <v>8382</v>
      </c>
      <c r="W853" s="1093">
        <v>8382</v>
      </c>
      <c r="X853" s="1093">
        <v>8382</v>
      </c>
      <c r="Y853" s="1093">
        <v>8382</v>
      </c>
      <c r="Z853" s="1093">
        <v>8382</v>
      </c>
      <c r="AA853" s="1196">
        <f t="shared" ref="AA853:AA874" si="87">SUM(O853:Z853)</f>
        <v>100581</v>
      </c>
      <c r="AB853" s="35"/>
      <c r="AC853" s="183"/>
    </row>
    <row r="854" spans="1:29" x14ac:dyDescent="0.2">
      <c r="A854" s="1422"/>
      <c r="B854" s="2999"/>
      <c r="C854" s="2989"/>
      <c r="D854" s="2847"/>
      <c r="E854" s="2847"/>
      <c r="F854" s="2847"/>
      <c r="G854" s="2847"/>
      <c r="H854" s="2847"/>
      <c r="I854" s="2847"/>
      <c r="J854" s="2989"/>
      <c r="K854" s="2847"/>
      <c r="L854" s="3294" t="s">
        <v>446</v>
      </c>
      <c r="M854" s="3271" t="s">
        <v>34</v>
      </c>
      <c r="N854" s="3272"/>
      <c r="O854" s="66">
        <f>SUM(O855:O874)</f>
        <v>97803.416666666672</v>
      </c>
      <c r="P854" s="66">
        <f t="shared" ref="P854:Z854" si="88">SUM(P855:P874)</f>
        <v>87391.507575757583</v>
      </c>
      <c r="Q854" s="66">
        <f t="shared" si="88"/>
        <v>94291.507575757583</v>
      </c>
      <c r="R854" s="66">
        <f t="shared" si="88"/>
        <v>88750.203227931503</v>
      </c>
      <c r="S854" s="66">
        <f t="shared" si="88"/>
        <v>87626.290184453232</v>
      </c>
      <c r="T854" s="66">
        <f t="shared" si="88"/>
        <v>88408.898880105407</v>
      </c>
      <c r="U854" s="66">
        <f t="shared" si="88"/>
        <v>96766.985836627151</v>
      </c>
      <c r="V854" s="66">
        <f t="shared" si="88"/>
        <v>94058.898880105407</v>
      </c>
      <c r="W854" s="66">
        <f t="shared" si="88"/>
        <v>88717.594532279327</v>
      </c>
      <c r="X854" s="66">
        <f t="shared" si="88"/>
        <v>87408.898880105407</v>
      </c>
      <c r="Y854" s="66">
        <f t="shared" si="88"/>
        <v>87917.594532279327</v>
      </c>
      <c r="Z854" s="66">
        <f t="shared" si="88"/>
        <v>96332.203227931503</v>
      </c>
      <c r="AA854" s="1196">
        <f t="shared" si="87"/>
        <v>1095474</v>
      </c>
      <c r="AB854" s="35"/>
      <c r="AC854" s="183"/>
    </row>
    <row r="855" spans="1:29" ht="11.25" customHeight="1" x14ac:dyDescent="0.2">
      <c r="A855" s="1422"/>
      <c r="B855" s="2522">
        <v>5000042</v>
      </c>
      <c r="C855" s="2431" t="s">
        <v>3055</v>
      </c>
      <c r="D855" s="2421">
        <v>29</v>
      </c>
      <c r="E855" s="2421" t="s">
        <v>401</v>
      </c>
      <c r="F855" s="2421" t="s">
        <v>386</v>
      </c>
      <c r="G855" s="2421" t="s">
        <v>387</v>
      </c>
      <c r="H855" s="2421" t="s">
        <v>337</v>
      </c>
      <c r="I855" s="2421" t="s">
        <v>474</v>
      </c>
      <c r="J855" s="2431">
        <v>100581</v>
      </c>
      <c r="K855" s="40">
        <v>280994</v>
      </c>
      <c r="L855" s="3295"/>
      <c r="M855" s="3335" t="s">
        <v>293</v>
      </c>
      <c r="N855" s="3336"/>
      <c r="O855" s="40">
        <f t="shared" ref="O855:Z863" si="89">$K855/12</f>
        <v>23416.166666666668</v>
      </c>
      <c r="P855" s="40">
        <f t="shared" si="89"/>
        <v>23416.166666666668</v>
      </c>
      <c r="Q855" s="40">
        <f t="shared" si="89"/>
        <v>23416.166666666668</v>
      </c>
      <c r="R855" s="40">
        <f t="shared" si="89"/>
        <v>23416.166666666668</v>
      </c>
      <c r="S855" s="40">
        <f t="shared" si="89"/>
        <v>23416.166666666668</v>
      </c>
      <c r="T855" s="40">
        <f t="shared" si="89"/>
        <v>23416.166666666668</v>
      </c>
      <c r="U855" s="40">
        <f t="shared" si="89"/>
        <v>23416.166666666668</v>
      </c>
      <c r="V855" s="40">
        <f t="shared" si="89"/>
        <v>23416.166666666668</v>
      </c>
      <c r="W855" s="40">
        <f t="shared" si="89"/>
        <v>23416.166666666668</v>
      </c>
      <c r="X855" s="40">
        <f t="shared" si="89"/>
        <v>23416.166666666668</v>
      </c>
      <c r="Y855" s="40">
        <f t="shared" si="89"/>
        <v>23416.166666666668</v>
      </c>
      <c r="Z855" s="40">
        <f t="shared" si="89"/>
        <v>23416.166666666668</v>
      </c>
      <c r="AA855" s="966">
        <f t="shared" si="87"/>
        <v>280993.99999999994</v>
      </c>
      <c r="AB855" s="35"/>
      <c r="AC855" s="183"/>
    </row>
    <row r="856" spans="1:29" x14ac:dyDescent="0.2">
      <c r="A856" s="1422"/>
      <c r="B856" s="2522"/>
      <c r="C856" s="2432"/>
      <c r="D856" s="2421"/>
      <c r="E856" s="2421"/>
      <c r="F856" s="2421"/>
      <c r="G856" s="2421"/>
      <c r="H856" s="2421"/>
      <c r="I856" s="2421"/>
      <c r="J856" s="2432"/>
      <c r="K856" s="40">
        <v>380792</v>
      </c>
      <c r="L856" s="3295"/>
      <c r="M856" s="3335" t="s">
        <v>295</v>
      </c>
      <c r="N856" s="3336"/>
      <c r="O856" s="40">
        <f t="shared" si="89"/>
        <v>31732.666666666668</v>
      </c>
      <c r="P856" s="40">
        <f t="shared" si="89"/>
        <v>31732.666666666668</v>
      </c>
      <c r="Q856" s="40">
        <f t="shared" si="89"/>
        <v>31732.666666666668</v>
      </c>
      <c r="R856" s="40">
        <f t="shared" si="89"/>
        <v>31732.666666666668</v>
      </c>
      <c r="S856" s="40">
        <f t="shared" si="89"/>
        <v>31732.666666666668</v>
      </c>
      <c r="T856" s="40">
        <f t="shared" si="89"/>
        <v>31732.666666666668</v>
      </c>
      <c r="U856" s="40">
        <f t="shared" si="89"/>
        <v>31732.666666666668</v>
      </c>
      <c r="V856" s="40">
        <f t="shared" si="89"/>
        <v>31732.666666666668</v>
      </c>
      <c r="W856" s="40">
        <f t="shared" si="89"/>
        <v>31732.666666666668</v>
      </c>
      <c r="X856" s="40">
        <f t="shared" si="89"/>
        <v>31732.666666666668</v>
      </c>
      <c r="Y856" s="40">
        <f t="shared" si="89"/>
        <v>31732.666666666668</v>
      </c>
      <c r="Z856" s="40">
        <f t="shared" si="89"/>
        <v>31732.666666666668</v>
      </c>
      <c r="AA856" s="966">
        <f t="shared" si="87"/>
        <v>380792.00000000006</v>
      </c>
      <c r="AB856" s="35"/>
      <c r="AC856" s="183"/>
    </row>
    <row r="857" spans="1:29" x14ac:dyDescent="0.2">
      <c r="A857" s="1422"/>
      <c r="B857" s="2522"/>
      <c r="C857" s="2432"/>
      <c r="D857" s="2421"/>
      <c r="E857" s="2421"/>
      <c r="F857" s="2421"/>
      <c r="G857" s="2421"/>
      <c r="H857" s="2421"/>
      <c r="I857" s="2421"/>
      <c r="J857" s="2432"/>
      <c r="K857" s="40">
        <v>23016</v>
      </c>
      <c r="L857" s="3295"/>
      <c r="M857" s="3335" t="s">
        <v>332</v>
      </c>
      <c r="N857" s="3336"/>
      <c r="O857" s="40">
        <f t="shared" si="89"/>
        <v>1918</v>
      </c>
      <c r="P857" s="40">
        <f t="shared" si="89"/>
        <v>1918</v>
      </c>
      <c r="Q857" s="40">
        <f t="shared" si="89"/>
        <v>1918</v>
      </c>
      <c r="R857" s="40">
        <f t="shared" si="89"/>
        <v>1918</v>
      </c>
      <c r="S857" s="40">
        <f t="shared" si="89"/>
        <v>1918</v>
      </c>
      <c r="T857" s="40">
        <f t="shared" si="89"/>
        <v>1918</v>
      </c>
      <c r="U857" s="40">
        <f t="shared" si="89"/>
        <v>1918</v>
      </c>
      <c r="V857" s="40">
        <f t="shared" si="89"/>
        <v>1918</v>
      </c>
      <c r="W857" s="40">
        <f t="shared" si="89"/>
        <v>1918</v>
      </c>
      <c r="X857" s="40">
        <f t="shared" si="89"/>
        <v>1918</v>
      </c>
      <c r="Y857" s="40">
        <f t="shared" si="89"/>
        <v>1918</v>
      </c>
      <c r="Z857" s="40">
        <f t="shared" si="89"/>
        <v>1918</v>
      </c>
      <c r="AA857" s="966">
        <f t="shared" si="87"/>
        <v>23016</v>
      </c>
      <c r="AB857" s="35"/>
      <c r="AC857" s="183"/>
    </row>
    <row r="858" spans="1:29" x14ac:dyDescent="0.2">
      <c r="A858" s="1422"/>
      <c r="B858" s="2522"/>
      <c r="C858" s="2432"/>
      <c r="D858" s="2421"/>
      <c r="E858" s="2421"/>
      <c r="F858" s="2421"/>
      <c r="G858" s="2421"/>
      <c r="H858" s="2421"/>
      <c r="I858" s="2421"/>
      <c r="J858" s="2432"/>
      <c r="K858" s="40">
        <v>153016</v>
      </c>
      <c r="L858" s="3295"/>
      <c r="M858" s="3335" t="s">
        <v>296</v>
      </c>
      <c r="N858" s="3336"/>
      <c r="O858" s="40">
        <f t="shared" si="89"/>
        <v>12751.333333333334</v>
      </c>
      <c r="P858" s="40">
        <f t="shared" si="89"/>
        <v>12751.333333333334</v>
      </c>
      <c r="Q858" s="40">
        <f t="shared" si="89"/>
        <v>12751.333333333334</v>
      </c>
      <c r="R858" s="40">
        <f t="shared" si="89"/>
        <v>12751.333333333334</v>
      </c>
      <c r="S858" s="40">
        <f t="shared" si="89"/>
        <v>12751.333333333334</v>
      </c>
      <c r="T858" s="40">
        <f t="shared" si="89"/>
        <v>12751.333333333334</v>
      </c>
      <c r="U858" s="40">
        <f t="shared" si="89"/>
        <v>12751.333333333334</v>
      </c>
      <c r="V858" s="40">
        <f t="shared" si="89"/>
        <v>12751.333333333334</v>
      </c>
      <c r="W858" s="40">
        <f t="shared" si="89"/>
        <v>12751.333333333334</v>
      </c>
      <c r="X858" s="40">
        <f t="shared" si="89"/>
        <v>12751.333333333334</v>
      </c>
      <c r="Y858" s="40">
        <f t="shared" si="89"/>
        <v>12751.333333333334</v>
      </c>
      <c r="Z858" s="40">
        <f t="shared" si="89"/>
        <v>12751.333333333334</v>
      </c>
      <c r="AA858" s="966">
        <f t="shared" si="87"/>
        <v>153016</v>
      </c>
      <c r="AB858" s="35"/>
      <c r="AC858" s="183"/>
    </row>
    <row r="859" spans="1:29" x14ac:dyDescent="0.2">
      <c r="A859" s="1422"/>
      <c r="B859" s="2522"/>
      <c r="C859" s="2432"/>
      <c r="D859" s="2421"/>
      <c r="E859" s="2421"/>
      <c r="F859" s="2421"/>
      <c r="G859" s="2421"/>
      <c r="H859" s="2421"/>
      <c r="I859" s="2421"/>
      <c r="J859" s="2432"/>
      <c r="K859" s="40">
        <v>63036</v>
      </c>
      <c r="L859" s="3295"/>
      <c r="M859" s="3335" t="s">
        <v>297</v>
      </c>
      <c r="N859" s="3336"/>
      <c r="O859" s="40">
        <f t="shared" si="89"/>
        <v>5253</v>
      </c>
      <c r="P859" s="40">
        <f t="shared" si="89"/>
        <v>5253</v>
      </c>
      <c r="Q859" s="40">
        <f t="shared" si="89"/>
        <v>5253</v>
      </c>
      <c r="R859" s="40">
        <f t="shared" si="89"/>
        <v>5253</v>
      </c>
      <c r="S859" s="40">
        <f t="shared" si="89"/>
        <v>5253</v>
      </c>
      <c r="T859" s="40">
        <f t="shared" si="89"/>
        <v>5253</v>
      </c>
      <c r="U859" s="40">
        <f t="shared" si="89"/>
        <v>5253</v>
      </c>
      <c r="V859" s="40">
        <f t="shared" si="89"/>
        <v>5253</v>
      </c>
      <c r="W859" s="40">
        <f t="shared" si="89"/>
        <v>5253</v>
      </c>
      <c r="X859" s="40">
        <f t="shared" si="89"/>
        <v>5253</v>
      </c>
      <c r="Y859" s="40">
        <f t="shared" si="89"/>
        <v>5253</v>
      </c>
      <c r="Z859" s="40">
        <f t="shared" si="89"/>
        <v>5253</v>
      </c>
      <c r="AA859" s="966">
        <f t="shared" si="87"/>
        <v>63036</v>
      </c>
      <c r="AB859" s="35"/>
      <c r="AC859" s="183"/>
    </row>
    <row r="860" spans="1:29" x14ac:dyDescent="0.2">
      <c r="A860" s="1422"/>
      <c r="B860" s="2522"/>
      <c r="C860" s="2432"/>
      <c r="D860" s="2421"/>
      <c r="E860" s="2421"/>
      <c r="F860" s="2421"/>
      <c r="G860" s="2421"/>
      <c r="H860" s="2421"/>
      <c r="I860" s="2421"/>
      <c r="J860" s="2432"/>
      <c r="K860" s="40">
        <v>17664</v>
      </c>
      <c r="L860" s="3295"/>
      <c r="M860" s="3335" t="s">
        <v>298</v>
      </c>
      <c r="N860" s="3336"/>
      <c r="O860" s="37"/>
      <c r="P860" s="38"/>
      <c r="Q860" s="38"/>
      <c r="R860" s="38"/>
      <c r="S860" s="38"/>
      <c r="T860" s="38"/>
      <c r="U860" s="40">
        <f>$K860/2</f>
        <v>8832</v>
      </c>
      <c r="V860" s="38"/>
      <c r="W860" s="38"/>
      <c r="X860" s="38"/>
      <c r="Y860" s="38"/>
      <c r="Z860" s="40">
        <f>$K860/2</f>
        <v>8832</v>
      </c>
      <c r="AA860" s="966">
        <f t="shared" si="87"/>
        <v>17664</v>
      </c>
      <c r="AB860" s="35"/>
      <c r="AC860" s="183"/>
    </row>
    <row r="861" spans="1:29" x14ac:dyDescent="0.2">
      <c r="A861" s="1422"/>
      <c r="B861" s="2522"/>
      <c r="C861" s="2432"/>
      <c r="D861" s="2421"/>
      <c r="E861" s="2421"/>
      <c r="F861" s="2421"/>
      <c r="G861" s="2421"/>
      <c r="H861" s="2421"/>
      <c r="I861" s="2421"/>
      <c r="J861" s="2432"/>
      <c r="K861" s="40">
        <v>11600</v>
      </c>
      <c r="L861" s="3295"/>
      <c r="M861" s="3335" t="s">
        <v>299</v>
      </c>
      <c r="N861" s="3336"/>
      <c r="O861" s="37">
        <f>$K861</f>
        <v>11600</v>
      </c>
      <c r="P861" s="38"/>
      <c r="Q861" s="37"/>
      <c r="R861" s="38"/>
      <c r="S861" s="38"/>
      <c r="T861" s="38"/>
      <c r="U861" s="38"/>
      <c r="V861" s="38"/>
      <c r="W861" s="38"/>
      <c r="X861" s="38"/>
      <c r="Y861" s="38"/>
      <c r="Z861" s="38"/>
      <c r="AA861" s="966">
        <f t="shared" si="87"/>
        <v>11600</v>
      </c>
      <c r="AB861" s="35"/>
      <c r="AC861" s="183"/>
    </row>
    <row r="862" spans="1:29" x14ac:dyDescent="0.2">
      <c r="A862" s="1422"/>
      <c r="B862" s="2522"/>
      <c r="C862" s="2432"/>
      <c r="D862" s="2421"/>
      <c r="E862" s="2421"/>
      <c r="F862" s="2421"/>
      <c r="G862" s="2421"/>
      <c r="H862" s="2421"/>
      <c r="I862" s="2421"/>
      <c r="J862" s="2432"/>
      <c r="K862" s="40">
        <v>46695</v>
      </c>
      <c r="L862" s="3295"/>
      <c r="M862" s="3335" t="s">
        <v>300</v>
      </c>
      <c r="N862" s="3336"/>
      <c r="O862" s="40">
        <f t="shared" si="89"/>
        <v>3891.25</v>
      </c>
      <c r="P862" s="40">
        <f t="shared" si="89"/>
        <v>3891.25</v>
      </c>
      <c r="Q862" s="40">
        <f t="shared" si="89"/>
        <v>3891.25</v>
      </c>
      <c r="R862" s="40">
        <f t="shared" si="89"/>
        <v>3891.25</v>
      </c>
      <c r="S862" s="40">
        <f t="shared" si="89"/>
        <v>3891.25</v>
      </c>
      <c r="T862" s="40">
        <f t="shared" si="89"/>
        <v>3891.25</v>
      </c>
      <c r="U862" s="40">
        <f t="shared" si="89"/>
        <v>3891.25</v>
      </c>
      <c r="V862" s="40">
        <f t="shared" si="89"/>
        <v>3891.25</v>
      </c>
      <c r="W862" s="40">
        <f t="shared" si="89"/>
        <v>3891.25</v>
      </c>
      <c r="X862" s="40">
        <f t="shared" si="89"/>
        <v>3891.25</v>
      </c>
      <c r="Y862" s="40">
        <f t="shared" si="89"/>
        <v>3891.25</v>
      </c>
      <c r="Z862" s="40">
        <f t="shared" si="89"/>
        <v>3891.25</v>
      </c>
      <c r="AA862" s="966">
        <f t="shared" si="87"/>
        <v>46695</v>
      </c>
      <c r="AB862" s="35"/>
      <c r="AC862" s="183"/>
    </row>
    <row r="863" spans="1:29" x14ac:dyDescent="0.2">
      <c r="A863" s="1422"/>
      <c r="B863" s="2522"/>
      <c r="C863" s="2432"/>
      <c r="D863" s="2421"/>
      <c r="E863" s="2421"/>
      <c r="F863" s="2421"/>
      <c r="G863" s="2421"/>
      <c r="H863" s="2421"/>
      <c r="I863" s="2421"/>
      <c r="J863" s="2432"/>
      <c r="K863" s="40">
        <v>1274</v>
      </c>
      <c r="L863" s="3295"/>
      <c r="M863" s="3335" t="s">
        <v>301</v>
      </c>
      <c r="N863" s="3336"/>
      <c r="O863" s="40">
        <f t="shared" si="89"/>
        <v>106.16666666666667</v>
      </c>
      <c r="P863" s="40">
        <f t="shared" si="89"/>
        <v>106.16666666666667</v>
      </c>
      <c r="Q863" s="40">
        <f t="shared" si="89"/>
        <v>106.16666666666667</v>
      </c>
      <c r="R863" s="40">
        <f t="shared" si="89"/>
        <v>106.16666666666667</v>
      </c>
      <c r="S863" s="40">
        <f t="shared" si="89"/>
        <v>106.16666666666667</v>
      </c>
      <c r="T863" s="40">
        <f t="shared" si="89"/>
        <v>106.16666666666667</v>
      </c>
      <c r="U863" s="40">
        <f t="shared" si="89"/>
        <v>106.16666666666667</v>
      </c>
      <c r="V863" s="40">
        <f t="shared" si="89"/>
        <v>106.16666666666667</v>
      </c>
      <c r="W863" s="40">
        <f t="shared" si="89"/>
        <v>106.16666666666667</v>
      </c>
      <c r="X863" s="40">
        <f t="shared" si="89"/>
        <v>106.16666666666667</v>
      </c>
      <c r="Y863" s="40">
        <f t="shared" si="89"/>
        <v>106.16666666666667</v>
      </c>
      <c r="Z863" s="40">
        <f t="shared" si="89"/>
        <v>106.16666666666667</v>
      </c>
      <c r="AA863" s="966">
        <f t="shared" si="87"/>
        <v>1274</v>
      </c>
      <c r="AB863" s="35"/>
      <c r="AC863" s="183"/>
    </row>
    <row r="864" spans="1:29" x14ac:dyDescent="0.2">
      <c r="A864" s="1422"/>
      <c r="B864" s="2522"/>
      <c r="C864" s="2432"/>
      <c r="D864" s="2421"/>
      <c r="E864" s="2421"/>
      <c r="F864" s="2421"/>
      <c r="G864" s="2421"/>
      <c r="H864" s="2421"/>
      <c r="I864" s="2421"/>
      <c r="J864" s="2432"/>
      <c r="K864" s="40">
        <v>700</v>
      </c>
      <c r="L864" s="3295"/>
      <c r="M864" s="3335" t="s">
        <v>303</v>
      </c>
      <c r="N864" s="3336"/>
      <c r="O864" s="37"/>
      <c r="P864" s="38"/>
      <c r="Q864" s="40">
        <f>$K864</f>
        <v>700</v>
      </c>
      <c r="R864" s="38"/>
      <c r="S864" s="38"/>
      <c r="T864" s="38"/>
      <c r="U864" s="38"/>
      <c r="V864" s="38"/>
      <c r="W864" s="38"/>
      <c r="X864" s="38"/>
      <c r="Y864" s="38"/>
      <c r="Z864" s="38"/>
      <c r="AA864" s="966">
        <f t="shared" si="87"/>
        <v>700</v>
      </c>
      <c r="AB864" s="35"/>
      <c r="AC864" s="183"/>
    </row>
    <row r="865" spans="1:29" x14ac:dyDescent="0.2">
      <c r="A865" s="1422"/>
      <c r="B865" s="2522"/>
      <c r="C865" s="2432"/>
      <c r="D865" s="2421"/>
      <c r="E865" s="2421"/>
      <c r="F865" s="2421"/>
      <c r="G865" s="2421"/>
      <c r="H865" s="2421"/>
      <c r="I865" s="2421"/>
      <c r="J865" s="2432"/>
      <c r="K865" s="40">
        <v>500</v>
      </c>
      <c r="L865" s="3295"/>
      <c r="M865" s="3335" t="s">
        <v>324</v>
      </c>
      <c r="N865" s="3336"/>
      <c r="O865" s="37"/>
      <c r="P865" s="40">
        <f>$K865</f>
        <v>500</v>
      </c>
      <c r="Q865" s="38"/>
      <c r="R865" s="38"/>
      <c r="S865" s="38"/>
      <c r="T865" s="38"/>
      <c r="U865" s="38"/>
      <c r="V865" s="38"/>
      <c r="W865" s="38"/>
      <c r="X865" s="38"/>
      <c r="Y865" s="38"/>
      <c r="Z865" s="38"/>
      <c r="AA865" s="966">
        <f t="shared" si="87"/>
        <v>500</v>
      </c>
      <c r="AB865" s="35"/>
      <c r="AC865" s="183"/>
    </row>
    <row r="866" spans="1:29" x14ac:dyDescent="0.2">
      <c r="A866" s="1422"/>
      <c r="B866" s="2522"/>
      <c r="C866" s="2432"/>
      <c r="D866" s="2421"/>
      <c r="E866" s="2421"/>
      <c r="F866" s="2421"/>
      <c r="G866" s="2421"/>
      <c r="H866" s="2421"/>
      <c r="I866" s="2421"/>
      <c r="J866" s="2432"/>
      <c r="K866" s="40">
        <v>2500</v>
      </c>
      <c r="L866" s="3295"/>
      <c r="M866" s="3335" t="s">
        <v>393</v>
      </c>
      <c r="N866" s="3336"/>
      <c r="O866" s="47"/>
      <c r="P866" s="47"/>
      <c r="Q866" s="47"/>
      <c r="R866" s="40">
        <f>$K866/2</f>
        <v>1250</v>
      </c>
      <c r="S866" s="47"/>
      <c r="T866" s="47"/>
      <c r="U866" s="47"/>
      <c r="V866" s="40">
        <f>$K866/2</f>
        <v>1250</v>
      </c>
      <c r="W866" s="47"/>
      <c r="X866" s="47"/>
      <c r="Y866" s="47"/>
      <c r="Z866" s="47"/>
      <c r="AA866" s="966">
        <f t="shared" si="87"/>
        <v>2500</v>
      </c>
      <c r="AB866" s="35"/>
      <c r="AC866" s="183"/>
    </row>
    <row r="867" spans="1:29" x14ac:dyDescent="0.2">
      <c r="A867" s="1422"/>
      <c r="B867" s="2522"/>
      <c r="C867" s="2432"/>
      <c r="D867" s="2421"/>
      <c r="E867" s="2421"/>
      <c r="F867" s="2421"/>
      <c r="G867" s="2421"/>
      <c r="H867" s="2421"/>
      <c r="I867" s="2421"/>
      <c r="J867" s="2432"/>
      <c r="K867" s="40">
        <v>2500</v>
      </c>
      <c r="L867" s="3295"/>
      <c r="M867" s="3335" t="s">
        <v>343</v>
      </c>
      <c r="N867" s="3336"/>
      <c r="O867" s="47"/>
      <c r="P867" s="47"/>
      <c r="Q867" s="47"/>
      <c r="R867" s="47">
        <f>$K867*(1/23)</f>
        <v>108.69565217391305</v>
      </c>
      <c r="S867" s="47">
        <f>$K867*(4/23)</f>
        <v>434.78260869565219</v>
      </c>
      <c r="T867" s="47">
        <f>$K867*(2/23)</f>
        <v>217.39130434782609</v>
      </c>
      <c r="U867" s="47">
        <f>$K867*(5/23)</f>
        <v>543.47826086956525</v>
      </c>
      <c r="V867" s="47">
        <f>$K867*(2/23)</f>
        <v>217.39130434782609</v>
      </c>
      <c r="W867" s="47">
        <f>$K867*(3/23)</f>
        <v>326.08695652173913</v>
      </c>
      <c r="X867" s="47">
        <f>$K867*(2/23)</f>
        <v>217.39130434782609</v>
      </c>
      <c r="Y867" s="47">
        <f>$K867*(3/23)</f>
        <v>326.08695652173913</v>
      </c>
      <c r="Z867" s="47">
        <f>$K867*(1/23)</f>
        <v>108.69565217391305</v>
      </c>
      <c r="AA867" s="966">
        <f t="shared" si="87"/>
        <v>2499.9999999999995</v>
      </c>
      <c r="AB867" s="35"/>
      <c r="AC867" s="183"/>
    </row>
    <row r="868" spans="1:29" x14ac:dyDescent="0.2">
      <c r="A868" s="1422"/>
      <c r="B868" s="2522"/>
      <c r="C868" s="2432"/>
      <c r="D868" s="2421"/>
      <c r="E868" s="2421"/>
      <c r="F868" s="2421"/>
      <c r="G868" s="2421"/>
      <c r="H868" s="2421"/>
      <c r="I868" s="2421"/>
      <c r="J868" s="2432"/>
      <c r="K868" s="40">
        <v>7569</v>
      </c>
      <c r="L868" s="3295"/>
      <c r="M868" s="3335" t="s">
        <v>381</v>
      </c>
      <c r="N868" s="3336"/>
      <c r="O868" s="40"/>
      <c r="P868" s="40">
        <f t="shared" ref="P868:Z868" si="90">$K868/11</f>
        <v>688.09090909090912</v>
      </c>
      <c r="Q868" s="40">
        <f t="shared" si="90"/>
        <v>688.09090909090912</v>
      </c>
      <c r="R868" s="40">
        <f t="shared" si="90"/>
        <v>688.09090909090912</v>
      </c>
      <c r="S868" s="40">
        <f t="shared" si="90"/>
        <v>688.09090909090912</v>
      </c>
      <c r="T868" s="40">
        <f t="shared" si="90"/>
        <v>688.09090909090912</v>
      </c>
      <c r="U868" s="40">
        <f t="shared" si="90"/>
        <v>688.09090909090912</v>
      </c>
      <c r="V868" s="40">
        <f t="shared" si="90"/>
        <v>688.09090909090912</v>
      </c>
      <c r="W868" s="40">
        <f t="shared" si="90"/>
        <v>688.09090909090912</v>
      </c>
      <c r="X868" s="40">
        <f t="shared" si="90"/>
        <v>688.09090909090912</v>
      </c>
      <c r="Y868" s="40">
        <f t="shared" si="90"/>
        <v>688.09090909090912</v>
      </c>
      <c r="Z868" s="40">
        <f t="shared" si="90"/>
        <v>688.09090909090912</v>
      </c>
      <c r="AA868" s="966">
        <f t="shared" si="87"/>
        <v>7569</v>
      </c>
      <c r="AB868" s="35"/>
      <c r="AC868" s="183"/>
    </row>
    <row r="869" spans="1:29" x14ac:dyDescent="0.2">
      <c r="A869" s="1422"/>
      <c r="B869" s="2522"/>
      <c r="C869" s="2432"/>
      <c r="D869" s="2421"/>
      <c r="E869" s="2421"/>
      <c r="F869" s="2421"/>
      <c r="G869" s="2421"/>
      <c r="H869" s="2421"/>
      <c r="I869" s="2421"/>
      <c r="J869" s="2432"/>
      <c r="K869" s="40">
        <v>10000</v>
      </c>
      <c r="L869" s="3295"/>
      <c r="M869" s="3335" t="s">
        <v>304</v>
      </c>
      <c r="N869" s="3336"/>
      <c r="O869" s="37"/>
      <c r="P869" s="38"/>
      <c r="Q869" s="40">
        <f>$K869/2</f>
        <v>5000</v>
      </c>
      <c r="R869" s="38"/>
      <c r="S869" s="38"/>
      <c r="T869" s="38"/>
      <c r="U869" s="38"/>
      <c r="V869" s="40">
        <f>$K869/2</f>
        <v>5000</v>
      </c>
      <c r="W869" s="38"/>
      <c r="X869" s="38"/>
      <c r="Y869" s="38"/>
      <c r="Z869" s="38"/>
      <c r="AA869" s="966">
        <f t="shared" si="87"/>
        <v>10000</v>
      </c>
      <c r="AB869" s="35"/>
      <c r="AC869" s="183"/>
    </row>
    <row r="870" spans="1:29" x14ac:dyDescent="0.2">
      <c r="A870" s="1422"/>
      <c r="B870" s="2522"/>
      <c r="C870" s="2432"/>
      <c r="D870" s="2421"/>
      <c r="E870" s="2421"/>
      <c r="F870" s="2421"/>
      <c r="G870" s="2421"/>
      <c r="H870" s="2421"/>
      <c r="I870" s="2421"/>
      <c r="J870" s="2432"/>
      <c r="K870" s="40">
        <v>2000</v>
      </c>
      <c r="L870" s="3295"/>
      <c r="M870" s="3335" t="s">
        <v>306</v>
      </c>
      <c r="N870" s="3336"/>
      <c r="O870" s="37"/>
      <c r="P870" s="38"/>
      <c r="Q870" s="40">
        <f>$K870*(2/10)</f>
        <v>400</v>
      </c>
      <c r="R870" s="40">
        <f>$K870*(1/10)</f>
        <v>200</v>
      </c>
      <c r="S870" s="40"/>
      <c r="T870" s="38"/>
      <c r="U870" s="40">
        <f>$K870*(1/10)</f>
        <v>200</v>
      </c>
      <c r="V870" s="40">
        <f>$K870*(2/10)</f>
        <v>400</v>
      </c>
      <c r="W870" s="40">
        <f>$K870*(1/10)</f>
        <v>200</v>
      </c>
      <c r="X870" s="38"/>
      <c r="Y870" s="40">
        <f>$K870*(2/10)</f>
        <v>400</v>
      </c>
      <c r="Z870" s="40">
        <f>$K870*(1/10)</f>
        <v>200</v>
      </c>
      <c r="AA870" s="966">
        <f t="shared" si="87"/>
        <v>2000</v>
      </c>
      <c r="AB870" s="35"/>
      <c r="AC870" s="183"/>
    </row>
    <row r="871" spans="1:29" x14ac:dyDescent="0.2">
      <c r="A871" s="1422"/>
      <c r="B871" s="2522"/>
      <c r="C871" s="2432"/>
      <c r="D871" s="2421"/>
      <c r="E871" s="2421"/>
      <c r="F871" s="2421"/>
      <c r="G871" s="2421"/>
      <c r="H871" s="2421"/>
      <c r="I871" s="2421"/>
      <c r="J871" s="2432"/>
      <c r="K871" s="40">
        <v>3000</v>
      </c>
      <c r="L871" s="3295"/>
      <c r="M871" s="3335" t="s">
        <v>307</v>
      </c>
      <c r="N871" s="3336"/>
      <c r="O871" s="37"/>
      <c r="P871" s="38"/>
      <c r="Q871" s="42">
        <f>$K871/10</f>
        <v>300</v>
      </c>
      <c r="R871" s="42">
        <f t="shared" ref="R871:Z871" si="91">$K871/10</f>
        <v>300</v>
      </c>
      <c r="S871" s="42">
        <f t="shared" si="91"/>
        <v>300</v>
      </c>
      <c r="T871" s="42">
        <f t="shared" si="91"/>
        <v>300</v>
      </c>
      <c r="U871" s="42">
        <f t="shared" si="91"/>
        <v>300</v>
      </c>
      <c r="V871" s="42">
        <f t="shared" si="91"/>
        <v>300</v>
      </c>
      <c r="W871" s="42">
        <f t="shared" si="91"/>
        <v>300</v>
      </c>
      <c r="X871" s="42">
        <f t="shared" si="91"/>
        <v>300</v>
      </c>
      <c r="Y871" s="42">
        <f t="shared" si="91"/>
        <v>300</v>
      </c>
      <c r="Z871" s="42">
        <f t="shared" si="91"/>
        <v>300</v>
      </c>
      <c r="AA871" s="966">
        <f t="shared" si="87"/>
        <v>3000</v>
      </c>
      <c r="AB871" s="35"/>
      <c r="AC871" s="183"/>
    </row>
    <row r="872" spans="1:29" x14ac:dyDescent="0.2">
      <c r="A872" s="1422"/>
      <c r="B872" s="2522"/>
      <c r="C872" s="2432"/>
      <c r="D872" s="2421"/>
      <c r="E872" s="2421"/>
      <c r="F872" s="2421"/>
      <c r="G872" s="2421"/>
      <c r="H872" s="2421"/>
      <c r="I872" s="2421"/>
      <c r="J872" s="2432"/>
      <c r="K872" s="40">
        <v>3000</v>
      </c>
      <c r="L872" s="3295"/>
      <c r="M872" s="3335" t="s">
        <v>309</v>
      </c>
      <c r="N872" s="3336"/>
      <c r="O872" s="37"/>
      <c r="P872" s="38"/>
      <c r="Q872" s="40">
        <f>$K872/3</f>
        <v>1000</v>
      </c>
      <c r="R872" s="40"/>
      <c r="S872" s="40"/>
      <c r="T872" s="40">
        <f>$K872/3</f>
        <v>1000</v>
      </c>
      <c r="U872" s="40"/>
      <c r="V872" s="38"/>
      <c r="W872" s="40">
        <f>$K872/3</f>
        <v>1000</v>
      </c>
      <c r="X872" s="38"/>
      <c r="Y872" s="40"/>
      <c r="Z872" s="38"/>
      <c r="AA872" s="966">
        <f t="shared" si="87"/>
        <v>3000</v>
      </c>
      <c r="AB872" s="35"/>
      <c r="AC872" s="183"/>
    </row>
    <row r="873" spans="1:29" x14ac:dyDescent="0.2">
      <c r="A873" s="1422"/>
      <c r="B873" s="2522"/>
      <c r="C873" s="2432"/>
      <c r="D873" s="2421"/>
      <c r="E873" s="2421"/>
      <c r="F873" s="2421"/>
      <c r="G873" s="2421"/>
      <c r="H873" s="2421"/>
      <c r="I873" s="2421"/>
      <c r="J873" s="2432"/>
      <c r="K873" s="40">
        <v>5524</v>
      </c>
      <c r="L873" s="3295"/>
      <c r="M873" s="3335" t="s">
        <v>311</v>
      </c>
      <c r="N873" s="3336"/>
      <c r="O873" s="40">
        <f t="shared" ref="O873:Z874" si="92">$K873/12</f>
        <v>460.33333333333331</v>
      </c>
      <c r="P873" s="40">
        <f t="shared" si="92"/>
        <v>460.33333333333331</v>
      </c>
      <c r="Q873" s="40">
        <f t="shared" si="92"/>
        <v>460.33333333333331</v>
      </c>
      <c r="R873" s="40">
        <f t="shared" si="92"/>
        <v>460.33333333333331</v>
      </c>
      <c r="S873" s="40">
        <f t="shared" si="92"/>
        <v>460.33333333333331</v>
      </c>
      <c r="T873" s="40">
        <f t="shared" si="92"/>
        <v>460.33333333333331</v>
      </c>
      <c r="U873" s="40">
        <f t="shared" si="92"/>
        <v>460.33333333333331</v>
      </c>
      <c r="V873" s="40">
        <f t="shared" si="92"/>
        <v>460.33333333333331</v>
      </c>
      <c r="W873" s="40">
        <f t="shared" si="92"/>
        <v>460.33333333333331</v>
      </c>
      <c r="X873" s="40">
        <f t="shared" si="92"/>
        <v>460.33333333333331</v>
      </c>
      <c r="Y873" s="40">
        <f t="shared" si="92"/>
        <v>460.33333333333331</v>
      </c>
      <c r="Z873" s="40">
        <f t="shared" si="92"/>
        <v>460.33333333333331</v>
      </c>
      <c r="AA873" s="966">
        <f t="shared" si="87"/>
        <v>5523.9999999999991</v>
      </c>
      <c r="AB873" s="35"/>
      <c r="AC873" s="183"/>
    </row>
    <row r="874" spans="1:29" x14ac:dyDescent="0.2">
      <c r="A874" s="1422"/>
      <c r="B874" s="2522"/>
      <c r="C874" s="2437"/>
      <c r="D874" s="2421"/>
      <c r="E874" s="2421"/>
      <c r="F874" s="2421"/>
      <c r="G874" s="2421"/>
      <c r="H874" s="2421"/>
      <c r="I874" s="2421"/>
      <c r="J874" s="2437"/>
      <c r="K874" s="40">
        <v>80094</v>
      </c>
      <c r="L874" s="3295"/>
      <c r="M874" s="3335" t="s">
        <v>310</v>
      </c>
      <c r="N874" s="3336"/>
      <c r="O874" s="40">
        <f t="shared" si="92"/>
        <v>6674.5</v>
      </c>
      <c r="P874" s="40">
        <f t="shared" si="92"/>
        <v>6674.5</v>
      </c>
      <c r="Q874" s="40">
        <f t="shared" si="92"/>
        <v>6674.5</v>
      </c>
      <c r="R874" s="40">
        <f t="shared" si="92"/>
        <v>6674.5</v>
      </c>
      <c r="S874" s="40">
        <f t="shared" si="92"/>
        <v>6674.5</v>
      </c>
      <c r="T874" s="40">
        <f t="shared" si="92"/>
        <v>6674.5</v>
      </c>
      <c r="U874" s="40">
        <f t="shared" si="92"/>
        <v>6674.5</v>
      </c>
      <c r="V874" s="40">
        <f t="shared" si="92"/>
        <v>6674.5</v>
      </c>
      <c r="W874" s="40">
        <f t="shared" si="92"/>
        <v>6674.5</v>
      </c>
      <c r="X874" s="40">
        <f t="shared" si="92"/>
        <v>6674.5</v>
      </c>
      <c r="Y874" s="40">
        <f t="shared" si="92"/>
        <v>6674.5</v>
      </c>
      <c r="Z874" s="40">
        <f t="shared" si="92"/>
        <v>6674.5</v>
      </c>
      <c r="AA874" s="966">
        <f t="shared" si="87"/>
        <v>80094</v>
      </c>
      <c r="AB874" s="35"/>
      <c r="AC874" s="183"/>
    </row>
    <row r="875" spans="1:29" x14ac:dyDescent="0.2">
      <c r="A875" s="1422"/>
      <c r="B875" s="1427"/>
      <c r="C875" s="38"/>
      <c r="D875" s="38"/>
      <c r="E875" s="38"/>
      <c r="F875" s="38"/>
      <c r="G875" s="38"/>
      <c r="H875" s="38"/>
      <c r="I875" s="38"/>
      <c r="J875" s="38"/>
      <c r="K875" s="40">
        <f>SUM(K855:K874)</f>
        <v>1095474</v>
      </c>
      <c r="L875" s="3296"/>
      <c r="M875" s="49"/>
      <c r="N875" s="49"/>
      <c r="O875" s="37"/>
      <c r="P875" s="38"/>
      <c r="Q875" s="38"/>
      <c r="R875" s="38"/>
      <c r="S875" s="38"/>
      <c r="T875" s="38"/>
      <c r="U875" s="38"/>
      <c r="V875" s="38"/>
      <c r="W875" s="38"/>
      <c r="X875" s="38"/>
      <c r="Y875" s="38"/>
      <c r="Z875" s="38"/>
      <c r="AA875" s="966"/>
      <c r="AB875" s="35"/>
      <c r="AC875" s="183"/>
    </row>
    <row r="876" spans="1:29" ht="22.5" customHeight="1" x14ac:dyDescent="0.2">
      <c r="A876" s="1422"/>
      <c r="B876" s="1433" t="s">
        <v>276</v>
      </c>
      <c r="C876" s="108"/>
      <c r="D876" s="35">
        <v>3033292</v>
      </c>
      <c r="E876" s="192" t="s">
        <v>475</v>
      </c>
      <c r="F876" s="193"/>
      <c r="G876" s="194"/>
      <c r="H876" s="35"/>
      <c r="I876" s="35"/>
      <c r="J876" s="35"/>
      <c r="K876" s="60"/>
      <c r="L876" s="60"/>
      <c r="M876" s="181"/>
      <c r="N876" s="181"/>
      <c r="O876" s="60"/>
      <c r="P876" s="60"/>
      <c r="Q876" s="60"/>
      <c r="R876" s="60"/>
      <c r="S876" s="2922" t="s">
        <v>15</v>
      </c>
      <c r="T876" s="2922"/>
      <c r="U876" s="2922"/>
      <c r="V876" s="2922"/>
      <c r="W876" s="2922"/>
      <c r="X876" s="2922"/>
      <c r="Y876" s="2922"/>
      <c r="Z876" s="2974" t="s">
        <v>16</v>
      </c>
      <c r="AA876" s="2976"/>
      <c r="AB876" s="35"/>
      <c r="AC876" s="183"/>
    </row>
    <row r="877" spans="1:29" ht="15.75" customHeight="1" x14ac:dyDescent="0.2">
      <c r="A877" s="1422"/>
      <c r="B877" s="1433"/>
      <c r="C877" s="108"/>
      <c r="D877" s="35"/>
      <c r="E877" s="192"/>
      <c r="F877" s="193"/>
      <c r="G877" s="194"/>
      <c r="H877" s="35"/>
      <c r="I877" s="35"/>
      <c r="J877" s="35"/>
      <c r="K877" s="60"/>
      <c r="L877" s="60"/>
      <c r="M877" s="181"/>
      <c r="N877" s="181"/>
      <c r="O877" s="60"/>
      <c r="P877" s="60"/>
      <c r="Q877" s="60"/>
      <c r="R877" s="60"/>
      <c r="S877" s="3233" t="s">
        <v>476</v>
      </c>
      <c r="T877" s="3233"/>
      <c r="U877" s="3233"/>
      <c r="V877" s="3233"/>
      <c r="W877" s="3233"/>
      <c r="X877" s="3233"/>
      <c r="Y877" s="3233"/>
      <c r="Z877" s="2974" t="s">
        <v>477</v>
      </c>
      <c r="AA877" s="2976"/>
      <c r="AB877" s="35"/>
      <c r="AC877" s="183"/>
    </row>
    <row r="878" spans="1:29" x14ac:dyDescent="0.2">
      <c r="A878" s="1422"/>
      <c r="B878" s="2999" t="s">
        <v>278</v>
      </c>
      <c r="C878" s="2988" t="s">
        <v>21</v>
      </c>
      <c r="D878" s="2847" t="s">
        <v>22</v>
      </c>
      <c r="E878" s="2847" t="s">
        <v>23</v>
      </c>
      <c r="F878" s="2847" t="s">
        <v>24</v>
      </c>
      <c r="G878" s="2847" t="s">
        <v>25</v>
      </c>
      <c r="H878" s="2847" t="s">
        <v>26</v>
      </c>
      <c r="I878" s="2847" t="s">
        <v>27</v>
      </c>
      <c r="J878" s="3206" t="s">
        <v>28</v>
      </c>
      <c r="K878" s="3301"/>
      <c r="L878" s="2847" t="s">
        <v>279</v>
      </c>
      <c r="M878" s="3273" t="s">
        <v>280</v>
      </c>
      <c r="N878" s="3274"/>
      <c r="O878" s="2847" t="s">
        <v>281</v>
      </c>
      <c r="P878" s="2847"/>
      <c r="Q878" s="2847"/>
      <c r="R878" s="2847"/>
      <c r="S878" s="2847"/>
      <c r="T878" s="2847"/>
      <c r="U878" s="2847"/>
      <c r="V878" s="2847"/>
      <c r="W878" s="2847"/>
      <c r="X878" s="2847"/>
      <c r="Y878" s="2847"/>
      <c r="Z878" s="2847"/>
      <c r="AA878" s="3342" t="s">
        <v>32</v>
      </c>
      <c r="AB878" s="35"/>
      <c r="AC878" s="183"/>
    </row>
    <row r="879" spans="1:29" x14ac:dyDescent="0.2">
      <c r="A879" s="1422"/>
      <c r="B879" s="2999"/>
      <c r="C879" s="3186"/>
      <c r="D879" s="2847"/>
      <c r="E879" s="2847"/>
      <c r="F879" s="2847"/>
      <c r="G879" s="2847"/>
      <c r="H879" s="2847"/>
      <c r="I879" s="2847"/>
      <c r="J879" s="2988" t="s">
        <v>33</v>
      </c>
      <c r="K879" s="3206" t="s">
        <v>282</v>
      </c>
      <c r="L879" s="2847"/>
      <c r="M879" s="3275"/>
      <c r="N879" s="3276"/>
      <c r="O879" s="1009" t="s">
        <v>283</v>
      </c>
      <c r="P879" s="1009" t="s">
        <v>284</v>
      </c>
      <c r="Q879" s="1009" t="s">
        <v>285</v>
      </c>
      <c r="R879" s="1009" t="s">
        <v>88</v>
      </c>
      <c r="S879" s="1009" t="s">
        <v>89</v>
      </c>
      <c r="T879" s="1009" t="s">
        <v>90</v>
      </c>
      <c r="U879" s="1009" t="s">
        <v>91</v>
      </c>
      <c r="V879" s="1009" t="s">
        <v>92</v>
      </c>
      <c r="W879" s="1009" t="s">
        <v>286</v>
      </c>
      <c r="X879" s="1009" t="s">
        <v>93</v>
      </c>
      <c r="Y879" s="1009" t="s">
        <v>94</v>
      </c>
      <c r="Z879" s="1009" t="s">
        <v>95</v>
      </c>
      <c r="AA879" s="3343"/>
      <c r="AB879" s="35"/>
      <c r="AC879" s="183"/>
    </row>
    <row r="880" spans="1:29" x14ac:dyDescent="0.2">
      <c r="A880" s="1422"/>
      <c r="B880" s="2999"/>
      <c r="C880" s="3186"/>
      <c r="D880" s="2847"/>
      <c r="E880" s="2847"/>
      <c r="F880" s="2847"/>
      <c r="G880" s="2847"/>
      <c r="H880" s="2847"/>
      <c r="I880" s="2847"/>
      <c r="J880" s="3186"/>
      <c r="K880" s="3206"/>
      <c r="L880" s="2847"/>
      <c r="M880" s="3271" t="s">
        <v>287</v>
      </c>
      <c r="N880" s="3272"/>
      <c r="O880" s="1093">
        <v>7890</v>
      </c>
      <c r="P880" s="1093">
        <v>7891</v>
      </c>
      <c r="Q880" s="1093">
        <v>7891</v>
      </c>
      <c r="R880" s="1093">
        <v>7891</v>
      </c>
      <c r="S880" s="1093">
        <v>7891</v>
      </c>
      <c r="T880" s="1093">
        <v>7891</v>
      </c>
      <c r="U880" s="1093">
        <v>7891</v>
      </c>
      <c r="V880" s="1093">
        <v>7891</v>
      </c>
      <c r="W880" s="1093">
        <v>7891</v>
      </c>
      <c r="X880" s="1093">
        <v>7891</v>
      </c>
      <c r="Y880" s="1093">
        <v>7891</v>
      </c>
      <c r="Z880" s="1093">
        <v>7891</v>
      </c>
      <c r="AA880" s="1196">
        <f t="shared" ref="AA880:AA898" si="93">SUM(O880:Z880)</f>
        <v>94691</v>
      </c>
      <c r="AB880" s="35"/>
      <c r="AC880" s="183"/>
    </row>
    <row r="881" spans="1:29" x14ac:dyDescent="0.2">
      <c r="A881" s="1422"/>
      <c r="B881" s="2999"/>
      <c r="C881" s="2989"/>
      <c r="D881" s="2847"/>
      <c r="E881" s="2847"/>
      <c r="F881" s="2847"/>
      <c r="G881" s="2847"/>
      <c r="H881" s="2847"/>
      <c r="I881" s="2847"/>
      <c r="J881" s="2989"/>
      <c r="K881" s="3206"/>
      <c r="L881" s="2847"/>
      <c r="M881" s="3271" t="s">
        <v>34</v>
      </c>
      <c r="N881" s="3272"/>
      <c r="O881" s="66">
        <f t="shared" ref="O881:Z881" si="94">SUM(O882:O899)</f>
        <v>96488</v>
      </c>
      <c r="P881" s="66">
        <f t="shared" si="94"/>
        <v>87988</v>
      </c>
      <c r="Q881" s="66">
        <f t="shared" si="94"/>
        <v>91988</v>
      </c>
      <c r="R881" s="66">
        <f t="shared" si="94"/>
        <v>89788</v>
      </c>
      <c r="S881" s="66">
        <f t="shared" si="94"/>
        <v>88988</v>
      </c>
      <c r="T881" s="66">
        <f t="shared" si="94"/>
        <v>86788</v>
      </c>
      <c r="U881" s="66">
        <f t="shared" si="94"/>
        <v>98593</v>
      </c>
      <c r="V881" s="66">
        <f t="shared" si="94"/>
        <v>87788</v>
      </c>
      <c r="W881" s="66">
        <f t="shared" si="94"/>
        <v>89488</v>
      </c>
      <c r="X881" s="66">
        <f t="shared" si="94"/>
        <v>86788</v>
      </c>
      <c r="Y881" s="66">
        <f t="shared" si="94"/>
        <v>89988</v>
      </c>
      <c r="Z881" s="66">
        <f t="shared" si="94"/>
        <v>94893</v>
      </c>
      <c r="AA881" s="1196">
        <f>SUM(O881:Z881)</f>
        <v>1089566</v>
      </c>
      <c r="AB881" s="35"/>
      <c r="AC881" s="183"/>
    </row>
    <row r="882" spans="1:29" ht="11.25" customHeight="1" x14ac:dyDescent="0.2">
      <c r="A882" s="1422"/>
      <c r="B882" s="2522">
        <v>5000043</v>
      </c>
      <c r="C882" s="2431" t="s">
        <v>3056</v>
      </c>
      <c r="D882" s="2421">
        <v>30</v>
      </c>
      <c r="E882" s="2421" t="s">
        <v>407</v>
      </c>
      <c r="F882" s="2421" t="s">
        <v>386</v>
      </c>
      <c r="G882" s="2421" t="s">
        <v>387</v>
      </c>
      <c r="H882" s="2421" t="s">
        <v>337</v>
      </c>
      <c r="I882" s="2421" t="s">
        <v>457</v>
      </c>
      <c r="J882" s="2431">
        <v>94691</v>
      </c>
      <c r="K882" s="40">
        <v>277404</v>
      </c>
      <c r="L882" s="3294" t="s">
        <v>446</v>
      </c>
      <c r="M882" s="3335" t="s">
        <v>293</v>
      </c>
      <c r="N882" s="3336"/>
      <c r="O882" s="40">
        <f t="shared" ref="O882:Z890" si="95">$K882/12</f>
        <v>23117</v>
      </c>
      <c r="P882" s="40">
        <f t="shared" si="95"/>
        <v>23117</v>
      </c>
      <c r="Q882" s="40">
        <f t="shared" si="95"/>
        <v>23117</v>
      </c>
      <c r="R882" s="40">
        <f t="shared" si="95"/>
        <v>23117</v>
      </c>
      <c r="S882" s="40">
        <f t="shared" si="95"/>
        <v>23117</v>
      </c>
      <c r="T882" s="40">
        <f t="shared" si="95"/>
        <v>23117</v>
      </c>
      <c r="U882" s="40">
        <f t="shared" si="95"/>
        <v>23117</v>
      </c>
      <c r="V882" s="40">
        <f t="shared" si="95"/>
        <v>23117</v>
      </c>
      <c r="W882" s="40">
        <f t="shared" si="95"/>
        <v>23117</v>
      </c>
      <c r="X882" s="40">
        <f t="shared" si="95"/>
        <v>23117</v>
      </c>
      <c r="Y882" s="40">
        <f t="shared" si="95"/>
        <v>23117</v>
      </c>
      <c r="Z882" s="40">
        <f t="shared" si="95"/>
        <v>23117</v>
      </c>
      <c r="AA882" s="966">
        <f t="shared" si="93"/>
        <v>277404</v>
      </c>
      <c r="AB882" s="35"/>
      <c r="AC882" s="183"/>
    </row>
    <row r="883" spans="1:29" x14ac:dyDescent="0.2">
      <c r="A883" s="1422"/>
      <c r="B883" s="2522"/>
      <c r="C883" s="2432"/>
      <c r="D883" s="2421"/>
      <c r="E883" s="2421"/>
      <c r="F883" s="2421"/>
      <c r="G883" s="2421"/>
      <c r="H883" s="2421"/>
      <c r="I883" s="2421"/>
      <c r="J883" s="2432"/>
      <c r="K883" s="40">
        <v>318378</v>
      </c>
      <c r="L883" s="3295"/>
      <c r="M883" s="3335" t="s">
        <v>295</v>
      </c>
      <c r="N883" s="3336"/>
      <c r="O883" s="40">
        <f t="shared" si="95"/>
        <v>26531.5</v>
      </c>
      <c r="P883" s="40">
        <f t="shared" si="95"/>
        <v>26531.5</v>
      </c>
      <c r="Q883" s="40">
        <f t="shared" si="95"/>
        <v>26531.5</v>
      </c>
      <c r="R883" s="40">
        <f t="shared" si="95"/>
        <v>26531.5</v>
      </c>
      <c r="S883" s="40">
        <f t="shared" si="95"/>
        <v>26531.5</v>
      </c>
      <c r="T883" s="40">
        <f t="shared" si="95"/>
        <v>26531.5</v>
      </c>
      <c r="U883" s="40">
        <f t="shared" si="95"/>
        <v>26531.5</v>
      </c>
      <c r="V883" s="40">
        <f t="shared" si="95"/>
        <v>26531.5</v>
      </c>
      <c r="W883" s="40">
        <f t="shared" si="95"/>
        <v>26531.5</v>
      </c>
      <c r="X883" s="40">
        <f t="shared" si="95"/>
        <v>26531.5</v>
      </c>
      <c r="Y883" s="40">
        <f t="shared" si="95"/>
        <v>26531.5</v>
      </c>
      <c r="Z883" s="40">
        <f t="shared" si="95"/>
        <v>26531.5</v>
      </c>
      <c r="AA883" s="966">
        <f t="shared" si="93"/>
        <v>318378</v>
      </c>
      <c r="AB883" s="35"/>
      <c r="AC883" s="183"/>
    </row>
    <row r="884" spans="1:29" x14ac:dyDescent="0.2">
      <c r="A884" s="1422"/>
      <c r="B884" s="2522"/>
      <c r="C884" s="2432"/>
      <c r="D884" s="2421"/>
      <c r="E884" s="2421"/>
      <c r="F884" s="2421"/>
      <c r="G884" s="2421"/>
      <c r="H884" s="2421"/>
      <c r="I884" s="2421"/>
      <c r="J884" s="2432"/>
      <c r="K884" s="40">
        <v>17440</v>
      </c>
      <c r="L884" s="3295"/>
      <c r="M884" s="3335" t="s">
        <v>332</v>
      </c>
      <c r="N884" s="3336"/>
      <c r="O884" s="40">
        <f t="shared" si="95"/>
        <v>1453.3333333333333</v>
      </c>
      <c r="P884" s="40">
        <f t="shared" si="95"/>
        <v>1453.3333333333333</v>
      </c>
      <c r="Q884" s="40">
        <f t="shared" si="95"/>
        <v>1453.3333333333333</v>
      </c>
      <c r="R884" s="40">
        <f t="shared" si="95"/>
        <v>1453.3333333333333</v>
      </c>
      <c r="S884" s="40">
        <f t="shared" si="95"/>
        <v>1453.3333333333333</v>
      </c>
      <c r="T884" s="40">
        <f t="shared" si="95"/>
        <v>1453.3333333333333</v>
      </c>
      <c r="U884" s="40">
        <f t="shared" si="95"/>
        <v>1453.3333333333333</v>
      </c>
      <c r="V884" s="40">
        <f t="shared" si="95"/>
        <v>1453.3333333333333</v>
      </c>
      <c r="W884" s="40">
        <f t="shared" si="95"/>
        <v>1453.3333333333333</v>
      </c>
      <c r="X884" s="40">
        <f t="shared" si="95"/>
        <v>1453.3333333333333</v>
      </c>
      <c r="Y884" s="40">
        <f t="shared" si="95"/>
        <v>1453.3333333333333</v>
      </c>
      <c r="Z884" s="40">
        <f t="shared" si="95"/>
        <v>1453.3333333333333</v>
      </c>
      <c r="AA884" s="966">
        <f t="shared" si="93"/>
        <v>17440.000000000004</v>
      </c>
      <c r="AB884" s="35"/>
      <c r="AC884" s="183"/>
    </row>
    <row r="885" spans="1:29" x14ac:dyDescent="0.2">
      <c r="A885" s="1422"/>
      <c r="B885" s="2522"/>
      <c r="C885" s="2432"/>
      <c r="D885" s="2421"/>
      <c r="E885" s="2421"/>
      <c r="F885" s="2421"/>
      <c r="G885" s="2421"/>
      <c r="H885" s="2421"/>
      <c r="I885" s="2421"/>
      <c r="J885" s="2432"/>
      <c r="K885" s="40">
        <v>154975</v>
      </c>
      <c r="L885" s="3295"/>
      <c r="M885" s="3335" t="s">
        <v>296</v>
      </c>
      <c r="N885" s="3336"/>
      <c r="O885" s="40">
        <f t="shared" si="95"/>
        <v>12914.583333333334</v>
      </c>
      <c r="P885" s="40">
        <f t="shared" si="95"/>
        <v>12914.583333333334</v>
      </c>
      <c r="Q885" s="40">
        <f t="shared" si="95"/>
        <v>12914.583333333334</v>
      </c>
      <c r="R885" s="40">
        <f t="shared" si="95"/>
        <v>12914.583333333334</v>
      </c>
      <c r="S885" s="40">
        <f t="shared" si="95"/>
        <v>12914.583333333334</v>
      </c>
      <c r="T885" s="40">
        <f t="shared" si="95"/>
        <v>12914.583333333334</v>
      </c>
      <c r="U885" s="40">
        <f t="shared" si="95"/>
        <v>12914.583333333334</v>
      </c>
      <c r="V885" s="40">
        <f t="shared" si="95"/>
        <v>12914.583333333334</v>
      </c>
      <c r="W885" s="40">
        <f t="shared" si="95"/>
        <v>12914.583333333334</v>
      </c>
      <c r="X885" s="40">
        <f t="shared" si="95"/>
        <v>12914.583333333334</v>
      </c>
      <c r="Y885" s="40">
        <f t="shared" si="95"/>
        <v>12914.583333333334</v>
      </c>
      <c r="Z885" s="40">
        <f t="shared" si="95"/>
        <v>12914.583333333334</v>
      </c>
      <c r="AA885" s="966">
        <f t="shared" si="93"/>
        <v>154975</v>
      </c>
      <c r="AB885" s="35"/>
      <c r="AC885" s="183"/>
    </row>
    <row r="886" spans="1:29" x14ac:dyDescent="0.2">
      <c r="A886" s="1422"/>
      <c r="B886" s="2522"/>
      <c r="C886" s="2432"/>
      <c r="D886" s="2421"/>
      <c r="E886" s="2421"/>
      <c r="F886" s="2421"/>
      <c r="G886" s="2421"/>
      <c r="H886" s="2421"/>
      <c r="I886" s="2421"/>
      <c r="J886" s="2432"/>
      <c r="K886" s="40">
        <v>40236</v>
      </c>
      <c r="L886" s="3295"/>
      <c r="M886" s="3335" t="s">
        <v>297</v>
      </c>
      <c r="N886" s="3336"/>
      <c r="O886" s="40">
        <f t="shared" si="95"/>
        <v>3353</v>
      </c>
      <c r="P886" s="40">
        <f t="shared" si="95"/>
        <v>3353</v>
      </c>
      <c r="Q886" s="40">
        <f t="shared" si="95"/>
        <v>3353</v>
      </c>
      <c r="R886" s="40">
        <f t="shared" si="95"/>
        <v>3353</v>
      </c>
      <c r="S886" s="40">
        <f t="shared" si="95"/>
        <v>3353</v>
      </c>
      <c r="T886" s="40">
        <f t="shared" si="95"/>
        <v>3353</v>
      </c>
      <c r="U886" s="40">
        <f t="shared" si="95"/>
        <v>3353</v>
      </c>
      <c r="V886" s="40">
        <f t="shared" si="95"/>
        <v>3353</v>
      </c>
      <c r="W886" s="40">
        <f t="shared" si="95"/>
        <v>3353</v>
      </c>
      <c r="X886" s="40">
        <f t="shared" si="95"/>
        <v>3353</v>
      </c>
      <c r="Y886" s="40">
        <f t="shared" si="95"/>
        <v>3353</v>
      </c>
      <c r="Z886" s="40">
        <f t="shared" si="95"/>
        <v>3353</v>
      </c>
      <c r="AA886" s="966">
        <f t="shared" si="93"/>
        <v>40236</v>
      </c>
      <c r="AB886" s="35"/>
      <c r="AC886" s="183"/>
    </row>
    <row r="887" spans="1:29" x14ac:dyDescent="0.2">
      <c r="A887" s="1422"/>
      <c r="B887" s="2522"/>
      <c r="C887" s="2432"/>
      <c r="D887" s="2421"/>
      <c r="E887" s="2421"/>
      <c r="F887" s="2421"/>
      <c r="G887" s="2421"/>
      <c r="H887" s="2421"/>
      <c r="I887" s="2421"/>
      <c r="J887" s="2432"/>
      <c r="K887" s="40">
        <v>15210</v>
      </c>
      <c r="L887" s="3295"/>
      <c r="M887" s="3335" t="s">
        <v>298</v>
      </c>
      <c r="N887" s="3336"/>
      <c r="O887" s="37"/>
      <c r="P887" s="38"/>
      <c r="Q887" s="38"/>
      <c r="R887" s="38"/>
      <c r="S887" s="38"/>
      <c r="T887" s="38"/>
      <c r="U887" s="40">
        <f>$K887/2</f>
        <v>7605</v>
      </c>
      <c r="V887" s="38"/>
      <c r="W887" s="38"/>
      <c r="X887" s="38"/>
      <c r="Y887" s="38"/>
      <c r="Z887" s="40">
        <f>$K887/2</f>
        <v>7605</v>
      </c>
      <c r="AA887" s="966">
        <f t="shared" si="93"/>
        <v>15210</v>
      </c>
      <c r="AB887" s="35"/>
      <c r="AC887" s="183"/>
    </row>
    <row r="888" spans="1:29" x14ac:dyDescent="0.2">
      <c r="A888" s="1422"/>
      <c r="B888" s="2522"/>
      <c r="C888" s="2432"/>
      <c r="D888" s="2421"/>
      <c r="E888" s="2421"/>
      <c r="F888" s="2421"/>
      <c r="G888" s="2421"/>
      <c r="H888" s="2421"/>
      <c r="I888" s="2421"/>
      <c r="J888" s="2432"/>
      <c r="K888" s="40">
        <v>10000</v>
      </c>
      <c r="L888" s="3295"/>
      <c r="M888" s="3335" t="s">
        <v>299</v>
      </c>
      <c r="N888" s="3336"/>
      <c r="O888" s="37">
        <f>$K888</f>
        <v>10000</v>
      </c>
      <c r="P888" s="38"/>
      <c r="Q888" s="37"/>
      <c r="R888" s="38"/>
      <c r="S888" s="38"/>
      <c r="T888" s="38"/>
      <c r="U888" s="38"/>
      <c r="V888" s="38"/>
      <c r="W888" s="38"/>
      <c r="X888" s="38"/>
      <c r="Y888" s="38"/>
      <c r="Z888" s="38"/>
      <c r="AA888" s="966">
        <f t="shared" si="93"/>
        <v>10000</v>
      </c>
      <c r="AB888" s="35"/>
      <c r="AC888" s="183"/>
    </row>
    <row r="889" spans="1:29" x14ac:dyDescent="0.2">
      <c r="A889" s="1422"/>
      <c r="B889" s="2522"/>
      <c r="C889" s="2432"/>
      <c r="D889" s="2421"/>
      <c r="E889" s="2421"/>
      <c r="F889" s="2421"/>
      <c r="G889" s="2421"/>
      <c r="H889" s="2421"/>
      <c r="I889" s="2421"/>
      <c r="J889" s="2432"/>
      <c r="K889" s="40">
        <v>42844</v>
      </c>
      <c r="L889" s="3295"/>
      <c r="M889" s="3335" t="s">
        <v>300</v>
      </c>
      <c r="N889" s="3336"/>
      <c r="O889" s="40">
        <f t="shared" si="95"/>
        <v>3570.3333333333335</v>
      </c>
      <c r="P889" s="40">
        <f t="shared" si="95"/>
        <v>3570.3333333333335</v>
      </c>
      <c r="Q889" s="40">
        <f t="shared" si="95"/>
        <v>3570.3333333333335</v>
      </c>
      <c r="R889" s="40">
        <f t="shared" si="95"/>
        <v>3570.3333333333335</v>
      </c>
      <c r="S889" s="40">
        <f t="shared" si="95"/>
        <v>3570.3333333333335</v>
      </c>
      <c r="T889" s="40">
        <f t="shared" si="95"/>
        <v>3570.3333333333335</v>
      </c>
      <c r="U889" s="40">
        <f t="shared" si="95"/>
        <v>3570.3333333333335</v>
      </c>
      <c r="V889" s="40">
        <f t="shared" si="95"/>
        <v>3570.3333333333335</v>
      </c>
      <c r="W889" s="40">
        <f t="shared" si="95"/>
        <v>3570.3333333333335</v>
      </c>
      <c r="X889" s="40">
        <f t="shared" si="95"/>
        <v>3570.3333333333335</v>
      </c>
      <c r="Y889" s="40">
        <f t="shared" si="95"/>
        <v>3570.3333333333335</v>
      </c>
      <c r="Z889" s="40">
        <f t="shared" si="95"/>
        <v>3570.3333333333335</v>
      </c>
      <c r="AA889" s="966">
        <f t="shared" si="93"/>
        <v>42844</v>
      </c>
      <c r="AB889" s="35"/>
      <c r="AC889" s="183"/>
    </row>
    <row r="890" spans="1:29" x14ac:dyDescent="0.2">
      <c r="A890" s="1422"/>
      <c r="B890" s="2522"/>
      <c r="C890" s="2432"/>
      <c r="D890" s="2421"/>
      <c r="E890" s="2421"/>
      <c r="F890" s="2421"/>
      <c r="G890" s="2421"/>
      <c r="H890" s="2421"/>
      <c r="I890" s="2421"/>
      <c r="J890" s="2432"/>
      <c r="K890" s="40">
        <v>1201</v>
      </c>
      <c r="L890" s="3295"/>
      <c r="M890" s="3335" t="s">
        <v>301</v>
      </c>
      <c r="N890" s="3336"/>
      <c r="O890" s="40">
        <f t="shared" si="95"/>
        <v>100.08333333333333</v>
      </c>
      <c r="P890" s="40">
        <f t="shared" si="95"/>
        <v>100.08333333333333</v>
      </c>
      <c r="Q890" s="40">
        <f t="shared" si="95"/>
        <v>100.08333333333333</v>
      </c>
      <c r="R890" s="40">
        <f t="shared" si="95"/>
        <v>100.08333333333333</v>
      </c>
      <c r="S890" s="40">
        <f t="shared" si="95"/>
        <v>100.08333333333333</v>
      </c>
      <c r="T890" s="40">
        <f t="shared" si="95"/>
        <v>100.08333333333333</v>
      </c>
      <c r="U890" s="40">
        <f t="shared" si="95"/>
        <v>100.08333333333333</v>
      </c>
      <c r="V890" s="40">
        <f t="shared" si="95"/>
        <v>100.08333333333333</v>
      </c>
      <c r="W890" s="40">
        <f t="shared" si="95"/>
        <v>100.08333333333333</v>
      </c>
      <c r="X890" s="40">
        <f t="shared" si="95"/>
        <v>100.08333333333333</v>
      </c>
      <c r="Y890" s="40">
        <f t="shared" si="95"/>
        <v>100.08333333333333</v>
      </c>
      <c r="Z890" s="40">
        <f t="shared" si="95"/>
        <v>100.08333333333333</v>
      </c>
      <c r="AA890" s="966">
        <f t="shared" si="93"/>
        <v>1201</v>
      </c>
      <c r="AB890" s="35"/>
      <c r="AC890" s="183"/>
    </row>
    <row r="891" spans="1:29" x14ac:dyDescent="0.2">
      <c r="A891" s="1422"/>
      <c r="B891" s="2522"/>
      <c r="C891" s="2432"/>
      <c r="D891" s="2421"/>
      <c r="E891" s="2421"/>
      <c r="F891" s="2421"/>
      <c r="G891" s="2421"/>
      <c r="H891" s="2421"/>
      <c r="I891" s="2421"/>
      <c r="J891" s="2432"/>
      <c r="K891" s="40">
        <v>1500</v>
      </c>
      <c r="L891" s="3295"/>
      <c r="M891" s="3335" t="s">
        <v>303</v>
      </c>
      <c r="N891" s="3336"/>
      <c r="O891" s="37"/>
      <c r="P891" s="38"/>
      <c r="Q891" s="40">
        <f>$K891</f>
        <v>1500</v>
      </c>
      <c r="R891" s="38"/>
      <c r="S891" s="38"/>
      <c r="T891" s="38"/>
      <c r="U891" s="38"/>
      <c r="V891" s="38"/>
      <c r="W891" s="38"/>
      <c r="X891" s="38"/>
      <c r="Y891" s="38"/>
      <c r="Z891" s="38"/>
      <c r="AA891" s="966">
        <f t="shared" si="93"/>
        <v>1500</v>
      </c>
      <c r="AB891" s="35"/>
      <c r="AC891" s="183"/>
    </row>
    <row r="892" spans="1:29" x14ac:dyDescent="0.2">
      <c r="A892" s="1422"/>
      <c r="B892" s="2522"/>
      <c r="C892" s="2432"/>
      <c r="D892" s="2421"/>
      <c r="E892" s="2421"/>
      <c r="F892" s="2421"/>
      <c r="G892" s="2421"/>
      <c r="H892" s="2421"/>
      <c r="I892" s="2421"/>
      <c r="J892" s="2432"/>
      <c r="K892" s="40">
        <v>3000</v>
      </c>
      <c r="L892" s="3295"/>
      <c r="M892" s="3335" t="s">
        <v>324</v>
      </c>
      <c r="N892" s="3336"/>
      <c r="O892" s="37"/>
      <c r="P892" s="40">
        <f>$K892/2</f>
        <v>1500</v>
      </c>
      <c r="Q892" s="38"/>
      <c r="R892" s="38"/>
      <c r="S892" s="38"/>
      <c r="T892" s="38"/>
      <c r="U892" s="40">
        <f>$K892/2</f>
        <v>1500</v>
      </c>
      <c r="V892" s="38"/>
      <c r="W892" s="38"/>
      <c r="X892" s="38"/>
      <c r="Y892" s="38"/>
      <c r="Z892" s="38"/>
      <c r="AA892" s="966">
        <f t="shared" si="93"/>
        <v>3000</v>
      </c>
      <c r="AB892" s="35"/>
      <c r="AC892" s="183"/>
    </row>
    <row r="893" spans="1:29" x14ac:dyDescent="0.2">
      <c r="A893" s="1422"/>
      <c r="B893" s="2522"/>
      <c r="C893" s="2432"/>
      <c r="D893" s="2421"/>
      <c r="E893" s="2421"/>
      <c r="F893" s="2421"/>
      <c r="G893" s="2421"/>
      <c r="H893" s="2421"/>
      <c r="I893" s="2421"/>
      <c r="J893" s="2432"/>
      <c r="K893" s="40">
        <v>2500</v>
      </c>
      <c r="L893" s="3295"/>
      <c r="M893" s="3335" t="s">
        <v>304</v>
      </c>
      <c r="N893" s="3336"/>
      <c r="O893" s="37"/>
      <c r="P893" s="38"/>
      <c r="Q893" s="40"/>
      <c r="R893" s="40">
        <f>$K893</f>
        <v>2500</v>
      </c>
      <c r="S893" s="38"/>
      <c r="T893" s="38"/>
      <c r="U893" s="38"/>
      <c r="V893" s="38"/>
      <c r="W893" s="38"/>
      <c r="X893" s="38"/>
      <c r="Y893" s="38"/>
      <c r="Z893" s="38"/>
      <c r="AA893" s="966">
        <f t="shared" si="93"/>
        <v>2500</v>
      </c>
      <c r="AB893" s="35"/>
      <c r="AC893" s="183"/>
    </row>
    <row r="894" spans="1:29" x14ac:dyDescent="0.2">
      <c r="A894" s="1422"/>
      <c r="B894" s="2522"/>
      <c r="C894" s="2432"/>
      <c r="D894" s="2421"/>
      <c r="E894" s="2421"/>
      <c r="F894" s="2421"/>
      <c r="G894" s="2421"/>
      <c r="H894" s="2421"/>
      <c r="I894" s="2421"/>
      <c r="J894" s="2432"/>
      <c r="K894" s="40">
        <v>5000</v>
      </c>
      <c r="L894" s="3295"/>
      <c r="M894" s="3335" t="s">
        <v>306</v>
      </c>
      <c r="N894" s="3336"/>
      <c r="O894" s="37"/>
      <c r="P894" s="38"/>
      <c r="Q894" s="40">
        <f>$K894*(2/10)</f>
        <v>1000</v>
      </c>
      <c r="R894" s="40">
        <f>$K894*(1/10)</f>
        <v>500</v>
      </c>
      <c r="S894" s="40"/>
      <c r="T894" s="38"/>
      <c r="U894" s="40">
        <f>$K894*(1/10)</f>
        <v>500</v>
      </c>
      <c r="V894" s="40">
        <f>$K894*(2/10)</f>
        <v>1000</v>
      </c>
      <c r="W894" s="40">
        <f>$K894*(1/10)</f>
        <v>500</v>
      </c>
      <c r="X894" s="38"/>
      <c r="Y894" s="40">
        <f>$K894*(2/10)</f>
        <v>1000</v>
      </c>
      <c r="Z894" s="40">
        <f>$K894*(1/10)</f>
        <v>500</v>
      </c>
      <c r="AA894" s="966">
        <f t="shared" si="93"/>
        <v>5000</v>
      </c>
      <c r="AB894" s="35"/>
      <c r="AC894" s="183"/>
    </row>
    <row r="895" spans="1:29" x14ac:dyDescent="0.2">
      <c r="A895" s="1422"/>
      <c r="B895" s="2522"/>
      <c r="C895" s="2432"/>
      <c r="D895" s="2421"/>
      <c r="E895" s="2421"/>
      <c r="F895" s="2421"/>
      <c r="G895" s="2421"/>
      <c r="H895" s="2421"/>
      <c r="I895" s="2421"/>
      <c r="J895" s="2432"/>
      <c r="K895" s="40">
        <v>3000</v>
      </c>
      <c r="L895" s="3295"/>
      <c r="M895" s="3335" t="s">
        <v>307</v>
      </c>
      <c r="N895" s="3336"/>
      <c r="O895" s="37"/>
      <c r="P895" s="67"/>
      <c r="Q895" s="67">
        <f>$K895/10</f>
        <v>300</v>
      </c>
      <c r="R895" s="67">
        <f t="shared" ref="R895:Z895" si="96">$K895/10</f>
        <v>300</v>
      </c>
      <c r="S895" s="67">
        <f t="shared" si="96"/>
        <v>300</v>
      </c>
      <c r="T895" s="67">
        <f t="shared" si="96"/>
        <v>300</v>
      </c>
      <c r="U895" s="67">
        <f t="shared" si="96"/>
        <v>300</v>
      </c>
      <c r="V895" s="67">
        <f t="shared" si="96"/>
        <v>300</v>
      </c>
      <c r="W895" s="67">
        <f t="shared" si="96"/>
        <v>300</v>
      </c>
      <c r="X895" s="67">
        <f t="shared" si="96"/>
        <v>300</v>
      </c>
      <c r="Y895" s="67">
        <f t="shared" si="96"/>
        <v>300</v>
      </c>
      <c r="Z895" s="67">
        <f t="shared" si="96"/>
        <v>300</v>
      </c>
      <c r="AA895" s="966">
        <f t="shared" si="93"/>
        <v>3000</v>
      </c>
      <c r="AB895" s="35"/>
      <c r="AC895" s="183"/>
    </row>
    <row r="896" spans="1:29" x14ac:dyDescent="0.2">
      <c r="A896" s="1422"/>
      <c r="B896" s="2522"/>
      <c r="C896" s="2432"/>
      <c r="D896" s="2421"/>
      <c r="E896" s="2421"/>
      <c r="F896" s="2421"/>
      <c r="G896" s="2421"/>
      <c r="H896" s="2421"/>
      <c r="I896" s="2421"/>
      <c r="J896" s="2432"/>
      <c r="K896" s="40">
        <v>500</v>
      </c>
      <c r="L896" s="3295"/>
      <c r="M896" s="3335" t="s">
        <v>308</v>
      </c>
      <c r="N896" s="3336"/>
      <c r="O896" s="37"/>
      <c r="P896" s="38"/>
      <c r="Q896" s="40">
        <f>$K896</f>
        <v>500</v>
      </c>
      <c r="R896" s="38"/>
      <c r="S896" s="38"/>
      <c r="T896" s="38"/>
      <c r="U896" s="38"/>
      <c r="V896" s="38"/>
      <c r="W896" s="38"/>
      <c r="X896" s="38"/>
      <c r="Y896" s="38"/>
      <c r="Z896" s="38"/>
      <c r="AA896" s="966">
        <f t="shared" si="93"/>
        <v>500</v>
      </c>
      <c r="AB896" s="35"/>
      <c r="AC896" s="183"/>
    </row>
    <row r="897" spans="1:29" x14ac:dyDescent="0.2">
      <c r="A897" s="1422"/>
      <c r="B897" s="2522"/>
      <c r="C897" s="2432"/>
      <c r="D897" s="2421"/>
      <c r="E897" s="2421"/>
      <c r="F897" s="2421"/>
      <c r="G897" s="2421"/>
      <c r="H897" s="2421"/>
      <c r="I897" s="2421"/>
      <c r="J897" s="2432"/>
      <c r="K897" s="40">
        <v>11000</v>
      </c>
      <c r="L897" s="3295"/>
      <c r="M897" s="3335" t="s">
        <v>309</v>
      </c>
      <c r="N897" s="3336"/>
      <c r="O897" s="37"/>
      <c r="P897" s="38"/>
      <c r="Q897" s="40">
        <f>$K897/5</f>
        <v>2200</v>
      </c>
      <c r="R897" s="40"/>
      <c r="S897" s="40">
        <f>$K897/5</f>
        <v>2200</v>
      </c>
      <c r="T897" s="38"/>
      <c r="U897" s="40">
        <f>$K897/5</f>
        <v>2200</v>
      </c>
      <c r="V897" s="38"/>
      <c r="W897" s="40">
        <f>$K897/5</f>
        <v>2200</v>
      </c>
      <c r="X897" s="38"/>
      <c r="Y897" s="40">
        <f>$K897/5</f>
        <v>2200</v>
      </c>
      <c r="Z897" s="38"/>
      <c r="AA897" s="966">
        <f t="shared" si="93"/>
        <v>11000</v>
      </c>
      <c r="AB897" s="35"/>
      <c r="AC897" s="183"/>
    </row>
    <row r="898" spans="1:29" x14ac:dyDescent="0.2">
      <c r="A898" s="1422"/>
      <c r="B898" s="2522"/>
      <c r="C898" s="2432"/>
      <c r="D898" s="2421"/>
      <c r="E898" s="2421"/>
      <c r="F898" s="2421"/>
      <c r="G898" s="2421"/>
      <c r="H898" s="2421"/>
      <c r="I898" s="2421"/>
      <c r="J898" s="2432"/>
      <c r="K898" s="40">
        <v>10226</v>
      </c>
      <c r="L898" s="3295"/>
      <c r="M898" s="3335" t="s">
        <v>311</v>
      </c>
      <c r="N898" s="3336"/>
      <c r="O898" s="40">
        <f>$K898/12</f>
        <v>852.16666666666663</v>
      </c>
      <c r="P898" s="40">
        <f t="shared" ref="P898:Z898" si="97">$K898/12</f>
        <v>852.16666666666663</v>
      </c>
      <c r="Q898" s="40">
        <f t="shared" si="97"/>
        <v>852.16666666666663</v>
      </c>
      <c r="R898" s="40">
        <f t="shared" si="97"/>
        <v>852.16666666666663</v>
      </c>
      <c r="S898" s="40">
        <f t="shared" si="97"/>
        <v>852.16666666666663</v>
      </c>
      <c r="T898" s="40">
        <f t="shared" si="97"/>
        <v>852.16666666666663</v>
      </c>
      <c r="U898" s="40">
        <f t="shared" si="97"/>
        <v>852.16666666666663</v>
      </c>
      <c r="V898" s="40">
        <f t="shared" si="97"/>
        <v>852.16666666666663</v>
      </c>
      <c r="W898" s="40">
        <f t="shared" si="97"/>
        <v>852.16666666666663</v>
      </c>
      <c r="X898" s="40">
        <f t="shared" si="97"/>
        <v>852.16666666666663</v>
      </c>
      <c r="Y898" s="40">
        <f t="shared" si="97"/>
        <v>852.16666666666663</v>
      </c>
      <c r="Z898" s="40">
        <f t="shared" si="97"/>
        <v>852.16666666666663</v>
      </c>
      <c r="AA898" s="966">
        <f t="shared" si="93"/>
        <v>10226</v>
      </c>
      <c r="AB898" s="35"/>
      <c r="AC898" s="183"/>
    </row>
    <row r="899" spans="1:29" x14ac:dyDescent="0.2">
      <c r="A899" s="1422"/>
      <c r="B899" s="2522"/>
      <c r="C899" s="2437"/>
      <c r="D899" s="2421"/>
      <c r="E899" s="2421"/>
      <c r="F899" s="2421"/>
      <c r="G899" s="2421"/>
      <c r="H899" s="2421"/>
      <c r="I899" s="2421"/>
      <c r="J899" s="2437"/>
      <c r="K899" s="40">
        <v>175152</v>
      </c>
      <c r="L899" s="3296"/>
      <c r="M899" s="3335" t="s">
        <v>310</v>
      </c>
      <c r="N899" s="3336"/>
      <c r="O899" s="37">
        <f>$K$899/12</f>
        <v>14596</v>
      </c>
      <c r="P899" s="37">
        <f t="shared" ref="P899:Z899" si="98">$K$899/12</f>
        <v>14596</v>
      </c>
      <c r="Q899" s="37">
        <f t="shared" si="98"/>
        <v>14596</v>
      </c>
      <c r="R899" s="37">
        <f t="shared" si="98"/>
        <v>14596</v>
      </c>
      <c r="S899" s="37">
        <f t="shared" si="98"/>
        <v>14596</v>
      </c>
      <c r="T899" s="37">
        <f t="shared" si="98"/>
        <v>14596</v>
      </c>
      <c r="U899" s="37">
        <f t="shared" si="98"/>
        <v>14596</v>
      </c>
      <c r="V899" s="37">
        <f t="shared" si="98"/>
        <v>14596</v>
      </c>
      <c r="W899" s="37">
        <f t="shared" si="98"/>
        <v>14596</v>
      </c>
      <c r="X899" s="37">
        <f t="shared" si="98"/>
        <v>14596</v>
      </c>
      <c r="Y899" s="37">
        <f t="shared" si="98"/>
        <v>14596</v>
      </c>
      <c r="Z899" s="37">
        <f t="shared" si="98"/>
        <v>14596</v>
      </c>
      <c r="AA899" s="966">
        <f>SUM(O899:Z899)</f>
        <v>175152</v>
      </c>
      <c r="AB899" s="35"/>
      <c r="AC899" s="183"/>
    </row>
    <row r="900" spans="1:29" x14ac:dyDescent="0.2">
      <c r="A900" s="1422"/>
      <c r="B900" s="1427"/>
      <c r="C900" s="38"/>
      <c r="D900" s="38"/>
      <c r="E900" s="38"/>
      <c r="F900" s="38"/>
      <c r="G900" s="38"/>
      <c r="H900" s="38"/>
      <c r="I900" s="38"/>
      <c r="J900" s="38"/>
      <c r="K900" s="40">
        <f>SUM(K882:K899)</f>
        <v>1089566</v>
      </c>
      <c r="L900" s="38"/>
      <c r="M900" s="49"/>
      <c r="N900" s="49"/>
      <c r="O900" s="37"/>
      <c r="P900" s="38"/>
      <c r="Q900" s="38"/>
      <c r="R900" s="38"/>
      <c r="S900" s="38"/>
      <c r="T900" s="38"/>
      <c r="U900" s="38"/>
      <c r="V900" s="38"/>
      <c r="W900" s="38"/>
      <c r="X900" s="38"/>
      <c r="Y900" s="38"/>
      <c r="Z900" s="38"/>
      <c r="AA900" s="1234"/>
      <c r="AB900" s="35"/>
      <c r="AC900" s="183"/>
    </row>
    <row r="901" spans="1:29" ht="22.5" customHeight="1" x14ac:dyDescent="0.2">
      <c r="A901" s="1422"/>
      <c r="B901" s="1433" t="s">
        <v>276</v>
      </c>
      <c r="C901" s="108"/>
      <c r="D901" s="35">
        <v>3033294</v>
      </c>
      <c r="E901" s="192" t="s">
        <v>478</v>
      </c>
      <c r="F901" s="193"/>
      <c r="G901" s="194"/>
      <c r="H901" s="35"/>
      <c r="I901" s="35"/>
      <c r="J901" s="35"/>
      <c r="K901" s="60"/>
      <c r="L901" s="60"/>
      <c r="M901" s="181"/>
      <c r="N901" s="181"/>
      <c r="O901" s="60"/>
      <c r="P901" s="60"/>
      <c r="Q901" s="60"/>
      <c r="R901" s="60"/>
      <c r="S901" s="2922" t="s">
        <v>15</v>
      </c>
      <c r="T901" s="2922"/>
      <c r="U901" s="2922"/>
      <c r="V901" s="2922"/>
      <c r="W901" s="2922"/>
      <c r="X901" s="2922"/>
      <c r="Y901" s="2922"/>
      <c r="Z901" s="3019" t="s">
        <v>16</v>
      </c>
      <c r="AA901" s="3020"/>
      <c r="AB901" s="35"/>
      <c r="AC901" s="183"/>
    </row>
    <row r="902" spans="1:29" ht="22.5" customHeight="1" x14ac:dyDescent="0.2">
      <c r="A902" s="1422"/>
      <c r="B902" s="1433"/>
      <c r="C902" s="108"/>
      <c r="D902" s="35"/>
      <c r="E902" s="192"/>
      <c r="F902" s="193"/>
      <c r="G902" s="194"/>
      <c r="H902" s="35"/>
      <c r="I902" s="35"/>
      <c r="J902" s="35"/>
      <c r="K902" s="60"/>
      <c r="L902" s="60"/>
      <c r="M902" s="181"/>
      <c r="N902" s="181"/>
      <c r="O902" s="60"/>
      <c r="P902" s="60"/>
      <c r="Q902" s="60"/>
      <c r="R902" s="60"/>
      <c r="S902" s="3233" t="s">
        <v>479</v>
      </c>
      <c r="T902" s="3233"/>
      <c r="U902" s="3233"/>
      <c r="V902" s="3233"/>
      <c r="W902" s="3233"/>
      <c r="X902" s="3233"/>
      <c r="Y902" s="3233"/>
      <c r="Z902" s="2922" t="s">
        <v>480</v>
      </c>
      <c r="AA902" s="2922"/>
      <c r="AB902" s="35"/>
      <c r="AC902" s="183"/>
    </row>
    <row r="903" spans="1:29" x14ac:dyDescent="0.2">
      <c r="A903" s="1422"/>
      <c r="B903" s="2999" t="s">
        <v>278</v>
      </c>
      <c r="C903" s="2988" t="s">
        <v>21</v>
      </c>
      <c r="D903" s="2847" t="s">
        <v>22</v>
      </c>
      <c r="E903" s="2847" t="s">
        <v>23</v>
      </c>
      <c r="F903" s="2847" t="s">
        <v>24</v>
      </c>
      <c r="G903" s="2847" t="s">
        <v>25</v>
      </c>
      <c r="H903" s="2847" t="s">
        <v>26</v>
      </c>
      <c r="I903" s="2847" t="s">
        <v>27</v>
      </c>
      <c r="J903" s="3206" t="s">
        <v>28</v>
      </c>
      <c r="K903" s="3301"/>
      <c r="L903" s="2847" t="s">
        <v>279</v>
      </c>
      <c r="M903" s="3273" t="s">
        <v>280</v>
      </c>
      <c r="N903" s="3274"/>
      <c r="O903" s="2847" t="s">
        <v>281</v>
      </c>
      <c r="P903" s="2847"/>
      <c r="Q903" s="2847"/>
      <c r="R903" s="2847"/>
      <c r="S903" s="2847"/>
      <c r="T903" s="2847"/>
      <c r="U903" s="2847"/>
      <c r="V903" s="2847"/>
      <c r="W903" s="2847"/>
      <c r="X903" s="2847"/>
      <c r="Y903" s="2847"/>
      <c r="Z903" s="2847"/>
      <c r="AA903" s="2988" t="s">
        <v>32</v>
      </c>
      <c r="AB903" s="35"/>
      <c r="AC903" s="183"/>
    </row>
    <row r="904" spans="1:29" x14ac:dyDescent="0.2">
      <c r="A904" s="1422"/>
      <c r="B904" s="2999"/>
      <c r="C904" s="3186"/>
      <c r="D904" s="2847"/>
      <c r="E904" s="2847"/>
      <c r="F904" s="2847"/>
      <c r="G904" s="2847"/>
      <c r="H904" s="2847"/>
      <c r="I904" s="2847"/>
      <c r="J904" s="2988" t="s">
        <v>33</v>
      </c>
      <c r="K904" s="3206" t="s">
        <v>282</v>
      </c>
      <c r="L904" s="2847"/>
      <c r="M904" s="3275"/>
      <c r="N904" s="3276"/>
      <c r="O904" s="1009" t="s">
        <v>283</v>
      </c>
      <c r="P904" s="1009" t="s">
        <v>284</v>
      </c>
      <c r="Q904" s="1009" t="s">
        <v>285</v>
      </c>
      <c r="R904" s="1009" t="s">
        <v>88</v>
      </c>
      <c r="S904" s="1009" t="s">
        <v>89</v>
      </c>
      <c r="T904" s="1009" t="s">
        <v>90</v>
      </c>
      <c r="U904" s="1009" t="s">
        <v>91</v>
      </c>
      <c r="V904" s="1009" t="s">
        <v>92</v>
      </c>
      <c r="W904" s="1009" t="s">
        <v>286</v>
      </c>
      <c r="X904" s="1009" t="s">
        <v>93</v>
      </c>
      <c r="Y904" s="1009" t="s">
        <v>94</v>
      </c>
      <c r="Z904" s="1009" t="s">
        <v>95</v>
      </c>
      <c r="AA904" s="2989"/>
      <c r="AB904" s="35"/>
      <c r="AC904" s="183"/>
    </row>
    <row r="905" spans="1:29" x14ac:dyDescent="0.2">
      <c r="A905" s="1422"/>
      <c r="B905" s="2999"/>
      <c r="C905" s="3186"/>
      <c r="D905" s="2847"/>
      <c r="E905" s="2847"/>
      <c r="F905" s="2847"/>
      <c r="G905" s="2847"/>
      <c r="H905" s="2847"/>
      <c r="I905" s="2847"/>
      <c r="J905" s="3186"/>
      <c r="K905" s="3206"/>
      <c r="L905" s="2847"/>
      <c r="M905" s="3271" t="s">
        <v>287</v>
      </c>
      <c r="N905" s="3272"/>
      <c r="O905" s="1093">
        <v>780</v>
      </c>
      <c r="P905" s="1093">
        <v>780</v>
      </c>
      <c r="Q905" s="1093">
        <v>782</v>
      </c>
      <c r="R905" s="1093">
        <v>782</v>
      </c>
      <c r="S905" s="1093">
        <v>780</v>
      </c>
      <c r="T905" s="1093">
        <v>782</v>
      </c>
      <c r="U905" s="1093">
        <v>782</v>
      </c>
      <c r="V905" s="1093">
        <v>782</v>
      </c>
      <c r="W905" s="1093">
        <v>782</v>
      </c>
      <c r="X905" s="1093">
        <v>782</v>
      </c>
      <c r="Y905" s="1093">
        <v>782</v>
      </c>
      <c r="Z905" s="68">
        <v>782</v>
      </c>
      <c r="AA905" s="1196">
        <f t="shared" ref="AA905:AA925" si="99">SUM(O905:Z905)</f>
        <v>9378</v>
      </c>
      <c r="AB905" s="35"/>
      <c r="AC905" s="183"/>
    </row>
    <row r="906" spans="1:29" x14ac:dyDescent="0.2">
      <c r="A906" s="1422"/>
      <c r="B906" s="2999"/>
      <c r="C906" s="2989"/>
      <c r="D906" s="2847"/>
      <c r="E906" s="2847"/>
      <c r="F906" s="2847"/>
      <c r="G906" s="2847"/>
      <c r="H906" s="2847"/>
      <c r="I906" s="2847"/>
      <c r="J906" s="2989"/>
      <c r="K906" s="3206"/>
      <c r="L906" s="2847"/>
      <c r="M906" s="3271" t="s">
        <v>34</v>
      </c>
      <c r="N906" s="3272"/>
      <c r="O906" s="66">
        <f>SUM(O907:O925)</f>
        <v>326169</v>
      </c>
      <c r="P906" s="66">
        <f t="shared" ref="P906:Z906" si="100">SUM(P907:P925)</f>
        <v>303869</v>
      </c>
      <c r="Q906" s="66">
        <f t="shared" si="100"/>
        <v>305921</v>
      </c>
      <c r="R906" s="66">
        <f t="shared" si="100"/>
        <v>327608.25</v>
      </c>
      <c r="S906" s="66">
        <f t="shared" si="100"/>
        <v>310358.25</v>
      </c>
      <c r="T906" s="66">
        <f t="shared" si="100"/>
        <v>306298.75</v>
      </c>
      <c r="U906" s="66">
        <f t="shared" si="100"/>
        <v>328038.25</v>
      </c>
      <c r="V906" s="66">
        <f t="shared" si="100"/>
        <v>329938</v>
      </c>
      <c r="W906" s="66">
        <f t="shared" si="100"/>
        <v>308028.5</v>
      </c>
      <c r="X906" s="66">
        <f t="shared" si="100"/>
        <v>306298.75</v>
      </c>
      <c r="Y906" s="66">
        <f t="shared" si="100"/>
        <v>308028.5</v>
      </c>
      <c r="Z906" s="69">
        <f t="shared" si="100"/>
        <v>323978.75</v>
      </c>
      <c r="AA906" s="1196">
        <f t="shared" si="99"/>
        <v>3784535</v>
      </c>
      <c r="AB906" s="35"/>
      <c r="AC906" s="183"/>
    </row>
    <row r="907" spans="1:29" ht="11.25" customHeight="1" x14ac:dyDescent="0.2">
      <c r="A907" s="1422"/>
      <c r="B907" s="2438">
        <v>5000044</v>
      </c>
      <c r="C907" s="2431" t="s">
        <v>3057</v>
      </c>
      <c r="D907" s="2431">
        <v>31</v>
      </c>
      <c r="E907" s="2431" t="s">
        <v>401</v>
      </c>
      <c r="F907" s="2431" t="s">
        <v>386</v>
      </c>
      <c r="G907" s="2431" t="s">
        <v>423</v>
      </c>
      <c r="H907" s="2431" t="s">
        <v>337</v>
      </c>
      <c r="I907" s="2431" t="s">
        <v>481</v>
      </c>
      <c r="J907" s="2431">
        <v>9378</v>
      </c>
      <c r="K907" s="40">
        <v>1991540</v>
      </c>
      <c r="L907" s="3294" t="s">
        <v>446</v>
      </c>
      <c r="M907" s="3335" t="s">
        <v>293</v>
      </c>
      <c r="N907" s="3336"/>
      <c r="O907" s="40">
        <f t="shared" ref="O907:Z915" si="101">$K907/12</f>
        <v>165961.66666666666</v>
      </c>
      <c r="P907" s="40">
        <f t="shared" si="101"/>
        <v>165961.66666666666</v>
      </c>
      <c r="Q907" s="40">
        <f t="shared" si="101"/>
        <v>165961.66666666666</v>
      </c>
      <c r="R907" s="40">
        <f t="shared" si="101"/>
        <v>165961.66666666666</v>
      </c>
      <c r="S907" s="40">
        <f t="shared" si="101"/>
        <v>165961.66666666666</v>
      </c>
      <c r="T907" s="40">
        <f t="shared" si="101"/>
        <v>165961.66666666666</v>
      </c>
      <c r="U907" s="40">
        <f t="shared" si="101"/>
        <v>165961.66666666666</v>
      </c>
      <c r="V907" s="40">
        <f t="shared" si="101"/>
        <v>165961.66666666666</v>
      </c>
      <c r="W907" s="40">
        <f t="shared" si="101"/>
        <v>165961.66666666666</v>
      </c>
      <c r="X907" s="40">
        <f t="shared" si="101"/>
        <v>165961.66666666666</v>
      </c>
      <c r="Y907" s="40">
        <f t="shared" si="101"/>
        <v>165961.66666666666</v>
      </c>
      <c r="Z907" s="56">
        <f t="shared" si="101"/>
        <v>165961.66666666666</v>
      </c>
      <c r="AA907" s="966">
        <f t="shared" si="99"/>
        <v>1991540.0000000002</v>
      </c>
      <c r="AB907" s="35"/>
      <c r="AC907" s="183"/>
    </row>
    <row r="908" spans="1:29" x14ac:dyDescent="0.2">
      <c r="A908" s="1422"/>
      <c r="B908" s="2456"/>
      <c r="C908" s="2432"/>
      <c r="D908" s="2432"/>
      <c r="E908" s="2432"/>
      <c r="F908" s="2432"/>
      <c r="G908" s="2432"/>
      <c r="H908" s="2432"/>
      <c r="I908" s="2432"/>
      <c r="J908" s="2432"/>
      <c r="K908" s="40">
        <v>53736</v>
      </c>
      <c r="L908" s="3295"/>
      <c r="M908" s="3335" t="s">
        <v>321</v>
      </c>
      <c r="N908" s="3336"/>
      <c r="O908" s="40">
        <f t="shared" si="101"/>
        <v>4478</v>
      </c>
      <c r="P908" s="40">
        <f t="shared" si="101"/>
        <v>4478</v>
      </c>
      <c r="Q908" s="40">
        <f t="shared" si="101"/>
        <v>4478</v>
      </c>
      <c r="R908" s="40">
        <f t="shared" si="101"/>
        <v>4478</v>
      </c>
      <c r="S908" s="40">
        <f t="shared" si="101"/>
        <v>4478</v>
      </c>
      <c r="T908" s="40">
        <f t="shared" si="101"/>
        <v>4478</v>
      </c>
      <c r="U908" s="40">
        <f t="shared" si="101"/>
        <v>4478</v>
      </c>
      <c r="V908" s="40">
        <f t="shared" si="101"/>
        <v>4478</v>
      </c>
      <c r="W908" s="40">
        <f t="shared" si="101"/>
        <v>4478</v>
      </c>
      <c r="X908" s="40">
        <f t="shared" si="101"/>
        <v>4478</v>
      </c>
      <c r="Y908" s="40">
        <f t="shared" si="101"/>
        <v>4478</v>
      </c>
      <c r="Z908" s="56">
        <f t="shared" si="101"/>
        <v>4478</v>
      </c>
      <c r="AA908" s="966">
        <f t="shared" si="99"/>
        <v>53736</v>
      </c>
      <c r="AB908" s="35"/>
      <c r="AC908" s="183"/>
    </row>
    <row r="909" spans="1:29" x14ac:dyDescent="0.2">
      <c r="A909" s="1422"/>
      <c r="B909" s="2456"/>
      <c r="C909" s="2432"/>
      <c r="D909" s="2432"/>
      <c r="E909" s="2432"/>
      <c r="F909" s="2432"/>
      <c r="G909" s="2432"/>
      <c r="H909" s="2432"/>
      <c r="I909" s="2432"/>
      <c r="J909" s="2432"/>
      <c r="K909" s="40">
        <v>212925</v>
      </c>
      <c r="L909" s="3295"/>
      <c r="M909" s="3335" t="s">
        <v>295</v>
      </c>
      <c r="N909" s="3336"/>
      <c r="O909" s="40">
        <f t="shared" si="101"/>
        <v>17743.75</v>
      </c>
      <c r="P909" s="40">
        <f t="shared" si="101"/>
        <v>17743.75</v>
      </c>
      <c r="Q909" s="40">
        <f t="shared" si="101"/>
        <v>17743.75</v>
      </c>
      <c r="R909" s="40">
        <f t="shared" si="101"/>
        <v>17743.75</v>
      </c>
      <c r="S909" s="40">
        <f t="shared" si="101"/>
        <v>17743.75</v>
      </c>
      <c r="T909" s="40">
        <f t="shared" si="101"/>
        <v>17743.75</v>
      </c>
      <c r="U909" s="40">
        <f t="shared" si="101"/>
        <v>17743.75</v>
      </c>
      <c r="V909" s="40">
        <f t="shared" si="101"/>
        <v>17743.75</v>
      </c>
      <c r="W909" s="40">
        <f t="shared" si="101"/>
        <v>17743.75</v>
      </c>
      <c r="X909" s="40">
        <f t="shared" si="101"/>
        <v>17743.75</v>
      </c>
      <c r="Y909" s="40">
        <f t="shared" si="101"/>
        <v>17743.75</v>
      </c>
      <c r="Z909" s="56">
        <f t="shared" si="101"/>
        <v>17743.75</v>
      </c>
      <c r="AA909" s="966">
        <f t="shared" si="99"/>
        <v>212925</v>
      </c>
      <c r="AB909" s="35"/>
      <c r="AC909" s="183"/>
    </row>
    <row r="910" spans="1:29" x14ac:dyDescent="0.2">
      <c r="A910" s="1422"/>
      <c r="B910" s="2456"/>
      <c r="C910" s="2432"/>
      <c r="D910" s="2432"/>
      <c r="E910" s="2432"/>
      <c r="F910" s="2432"/>
      <c r="G910" s="2432"/>
      <c r="H910" s="2432"/>
      <c r="I910" s="2432"/>
      <c r="J910" s="2432"/>
      <c r="K910" s="40">
        <v>516718</v>
      </c>
      <c r="L910" s="3295"/>
      <c r="M910" s="3335" t="s">
        <v>296</v>
      </c>
      <c r="N910" s="3336"/>
      <c r="O910" s="40">
        <f t="shared" si="101"/>
        <v>43059.833333333336</v>
      </c>
      <c r="P910" s="40">
        <f t="shared" si="101"/>
        <v>43059.833333333336</v>
      </c>
      <c r="Q910" s="40">
        <f t="shared" si="101"/>
        <v>43059.833333333336</v>
      </c>
      <c r="R910" s="40">
        <f t="shared" si="101"/>
        <v>43059.833333333336</v>
      </c>
      <c r="S910" s="40">
        <f t="shared" si="101"/>
        <v>43059.833333333336</v>
      </c>
      <c r="T910" s="40">
        <f t="shared" si="101"/>
        <v>43059.833333333336</v>
      </c>
      <c r="U910" s="40">
        <f t="shared" si="101"/>
        <v>43059.833333333336</v>
      </c>
      <c r="V910" s="40">
        <f t="shared" si="101"/>
        <v>43059.833333333336</v>
      </c>
      <c r="W910" s="40">
        <f t="shared" si="101"/>
        <v>43059.833333333336</v>
      </c>
      <c r="X910" s="40">
        <f t="shared" si="101"/>
        <v>43059.833333333336</v>
      </c>
      <c r="Y910" s="40">
        <f t="shared" si="101"/>
        <v>43059.833333333336</v>
      </c>
      <c r="Z910" s="56">
        <f t="shared" si="101"/>
        <v>43059.833333333336</v>
      </c>
      <c r="AA910" s="966">
        <f t="shared" si="99"/>
        <v>516717.99999999994</v>
      </c>
      <c r="AB910" s="35"/>
      <c r="AC910" s="183"/>
    </row>
    <row r="911" spans="1:29" x14ac:dyDescent="0.2">
      <c r="A911" s="1422"/>
      <c r="B911" s="2456"/>
      <c r="C911" s="2432"/>
      <c r="D911" s="2432"/>
      <c r="E911" s="2432"/>
      <c r="F911" s="2432"/>
      <c r="G911" s="2432"/>
      <c r="H911" s="2432"/>
      <c r="I911" s="2432"/>
      <c r="J911" s="2432"/>
      <c r="K911" s="40">
        <v>166859</v>
      </c>
      <c r="L911" s="3295"/>
      <c r="M911" s="3335" t="s">
        <v>297</v>
      </c>
      <c r="N911" s="3336"/>
      <c r="O911" s="40">
        <f t="shared" si="101"/>
        <v>13904.916666666666</v>
      </c>
      <c r="P911" s="40">
        <f t="shared" si="101"/>
        <v>13904.916666666666</v>
      </c>
      <c r="Q911" s="40">
        <f t="shared" si="101"/>
        <v>13904.916666666666</v>
      </c>
      <c r="R911" s="40">
        <f t="shared" si="101"/>
        <v>13904.916666666666</v>
      </c>
      <c r="S911" s="40">
        <f t="shared" si="101"/>
        <v>13904.916666666666</v>
      </c>
      <c r="T911" s="40">
        <f t="shared" si="101"/>
        <v>13904.916666666666</v>
      </c>
      <c r="U911" s="40">
        <f t="shared" si="101"/>
        <v>13904.916666666666</v>
      </c>
      <c r="V911" s="40">
        <f t="shared" si="101"/>
        <v>13904.916666666666</v>
      </c>
      <c r="W911" s="40">
        <f t="shared" si="101"/>
        <v>13904.916666666666</v>
      </c>
      <c r="X911" s="40">
        <f t="shared" si="101"/>
        <v>13904.916666666666</v>
      </c>
      <c r="Y911" s="40">
        <f t="shared" si="101"/>
        <v>13904.916666666666</v>
      </c>
      <c r="Z911" s="56">
        <f t="shared" si="101"/>
        <v>13904.916666666666</v>
      </c>
      <c r="AA911" s="966">
        <f t="shared" si="99"/>
        <v>166859</v>
      </c>
      <c r="AB911" s="35"/>
      <c r="AC911" s="183"/>
    </row>
    <row r="912" spans="1:29" x14ac:dyDescent="0.2">
      <c r="A912" s="1422"/>
      <c r="B912" s="2456"/>
      <c r="C912" s="2432"/>
      <c r="D912" s="2432"/>
      <c r="E912" s="2432"/>
      <c r="F912" s="2432"/>
      <c r="G912" s="2432"/>
      <c r="H912" s="2432"/>
      <c r="I912" s="2432"/>
      <c r="J912" s="2432"/>
      <c r="K912" s="40">
        <v>35360</v>
      </c>
      <c r="L912" s="3295"/>
      <c r="M912" s="3335" t="s">
        <v>298</v>
      </c>
      <c r="N912" s="3336"/>
      <c r="O912" s="37"/>
      <c r="P912" s="38"/>
      <c r="Q912" s="38"/>
      <c r="R912" s="38"/>
      <c r="S912" s="38"/>
      <c r="T912" s="38"/>
      <c r="U912" s="40">
        <f>$K912/2</f>
        <v>17680</v>
      </c>
      <c r="V912" s="38"/>
      <c r="W912" s="38"/>
      <c r="X912" s="38"/>
      <c r="Y912" s="38"/>
      <c r="Z912" s="56">
        <f>$K912/2</f>
        <v>17680</v>
      </c>
      <c r="AA912" s="966">
        <f t="shared" si="99"/>
        <v>35360</v>
      </c>
      <c r="AB912" s="35"/>
      <c r="AC912" s="183"/>
    </row>
    <row r="913" spans="1:29" x14ac:dyDescent="0.2">
      <c r="A913" s="1422"/>
      <c r="B913" s="2456"/>
      <c r="C913" s="2432"/>
      <c r="D913" s="2432"/>
      <c r="E913" s="2432"/>
      <c r="F913" s="2432"/>
      <c r="G913" s="2432"/>
      <c r="H913" s="2432"/>
      <c r="I913" s="2432"/>
      <c r="J913" s="2432"/>
      <c r="K913" s="40">
        <v>22800</v>
      </c>
      <c r="L913" s="3295"/>
      <c r="M913" s="3335" t="s">
        <v>299</v>
      </c>
      <c r="N913" s="3336"/>
      <c r="O913" s="37">
        <f>$K913</f>
        <v>22800</v>
      </c>
      <c r="P913" s="38"/>
      <c r="Q913" s="37"/>
      <c r="R913" s="38"/>
      <c r="S913" s="38"/>
      <c r="T913" s="38"/>
      <c r="U913" s="38"/>
      <c r="V913" s="38"/>
      <c r="W913" s="38"/>
      <c r="X913" s="38"/>
      <c r="Y913" s="38"/>
      <c r="Z913" s="54"/>
      <c r="AA913" s="966">
        <f t="shared" si="99"/>
        <v>22800</v>
      </c>
      <c r="AB913" s="35"/>
      <c r="AC913" s="183"/>
    </row>
    <row r="914" spans="1:29" x14ac:dyDescent="0.2">
      <c r="A914" s="1422"/>
      <c r="B914" s="2456"/>
      <c r="C914" s="2432"/>
      <c r="D914" s="2432"/>
      <c r="E914" s="2432"/>
      <c r="F914" s="2432"/>
      <c r="G914" s="2432"/>
      <c r="H914" s="2432"/>
      <c r="I914" s="2432"/>
      <c r="J914" s="2432"/>
      <c r="K914" s="40">
        <v>147587</v>
      </c>
      <c r="L914" s="3295"/>
      <c r="M914" s="3335" t="s">
        <v>300</v>
      </c>
      <c r="N914" s="3336"/>
      <c r="O914" s="40">
        <f t="shared" si="101"/>
        <v>12298.916666666666</v>
      </c>
      <c r="P914" s="40">
        <f t="shared" si="101"/>
        <v>12298.916666666666</v>
      </c>
      <c r="Q914" s="40">
        <f t="shared" si="101"/>
        <v>12298.916666666666</v>
      </c>
      <c r="R914" s="40">
        <f t="shared" si="101"/>
        <v>12298.916666666666</v>
      </c>
      <c r="S914" s="40">
        <f t="shared" si="101"/>
        <v>12298.916666666666</v>
      </c>
      <c r="T914" s="40">
        <f t="shared" si="101"/>
        <v>12298.916666666666</v>
      </c>
      <c r="U914" s="40">
        <f t="shared" si="101"/>
        <v>12298.916666666666</v>
      </c>
      <c r="V914" s="40">
        <f t="shared" si="101"/>
        <v>12298.916666666666</v>
      </c>
      <c r="W914" s="40">
        <f t="shared" si="101"/>
        <v>12298.916666666666</v>
      </c>
      <c r="X914" s="40">
        <f t="shared" si="101"/>
        <v>12298.916666666666</v>
      </c>
      <c r="Y914" s="40">
        <f t="shared" si="101"/>
        <v>12298.916666666666</v>
      </c>
      <c r="Z914" s="56">
        <f t="shared" si="101"/>
        <v>12298.916666666666</v>
      </c>
      <c r="AA914" s="966">
        <f t="shared" si="99"/>
        <v>147587</v>
      </c>
      <c r="AB914" s="35"/>
      <c r="AC914" s="183"/>
    </row>
    <row r="915" spans="1:29" x14ac:dyDescent="0.2">
      <c r="A915" s="1422"/>
      <c r="B915" s="2456"/>
      <c r="C915" s="2432"/>
      <c r="D915" s="2432"/>
      <c r="E915" s="2432"/>
      <c r="F915" s="2432"/>
      <c r="G915" s="2432"/>
      <c r="H915" s="2432"/>
      <c r="I915" s="2432"/>
      <c r="J915" s="2432"/>
      <c r="K915" s="40">
        <v>3651</v>
      </c>
      <c r="L915" s="3295"/>
      <c r="M915" s="3335" t="s">
        <v>301</v>
      </c>
      <c r="N915" s="3336"/>
      <c r="O915" s="40">
        <f t="shared" si="101"/>
        <v>304.25</v>
      </c>
      <c r="P915" s="40">
        <f t="shared" si="101"/>
        <v>304.25</v>
      </c>
      <c r="Q915" s="40">
        <f t="shared" si="101"/>
        <v>304.25</v>
      </c>
      <c r="R915" s="40">
        <f t="shared" si="101"/>
        <v>304.25</v>
      </c>
      <c r="S915" s="40">
        <f t="shared" si="101"/>
        <v>304.25</v>
      </c>
      <c r="T915" s="40">
        <f t="shared" si="101"/>
        <v>304.25</v>
      </c>
      <c r="U915" s="40">
        <f t="shared" si="101"/>
        <v>304.25</v>
      </c>
      <c r="V915" s="40">
        <f t="shared" si="101"/>
        <v>304.25</v>
      </c>
      <c r="W915" s="40">
        <f t="shared" si="101"/>
        <v>304.25</v>
      </c>
      <c r="X915" s="40">
        <f t="shared" si="101"/>
        <v>304.25</v>
      </c>
      <c r="Y915" s="40">
        <f t="shared" si="101"/>
        <v>304.25</v>
      </c>
      <c r="Z915" s="56">
        <f t="shared" si="101"/>
        <v>304.25</v>
      </c>
      <c r="AA915" s="966">
        <f t="shared" si="99"/>
        <v>3651</v>
      </c>
      <c r="AB915" s="35"/>
      <c r="AC915" s="183"/>
    </row>
    <row r="916" spans="1:29" x14ac:dyDescent="0.2">
      <c r="A916" s="1422"/>
      <c r="B916" s="2456"/>
      <c r="C916" s="2432"/>
      <c r="D916" s="2432"/>
      <c r="E916" s="2432"/>
      <c r="F916" s="2432"/>
      <c r="G916" s="2432"/>
      <c r="H916" s="2432"/>
      <c r="I916" s="2432"/>
      <c r="J916" s="2432"/>
      <c r="K916" s="40">
        <v>1000</v>
      </c>
      <c r="L916" s="3295"/>
      <c r="M916" s="3335" t="s">
        <v>482</v>
      </c>
      <c r="N916" s="3336"/>
      <c r="O916" s="40"/>
      <c r="P916" s="40"/>
      <c r="Q916" s="40">
        <f>$K916</f>
        <v>1000</v>
      </c>
      <c r="R916" s="40"/>
      <c r="S916" s="40"/>
      <c r="T916" s="40"/>
      <c r="U916" s="40"/>
      <c r="V916" s="40"/>
      <c r="W916" s="40"/>
      <c r="X916" s="40"/>
      <c r="Y916" s="40"/>
      <c r="Z916" s="56"/>
      <c r="AA916" s="966">
        <f t="shared" si="99"/>
        <v>1000</v>
      </c>
      <c r="AB916" s="35"/>
      <c r="AC916" s="183"/>
    </row>
    <row r="917" spans="1:29" x14ac:dyDescent="0.2">
      <c r="A917" s="1422"/>
      <c r="B917" s="2456"/>
      <c r="C917" s="2432"/>
      <c r="D917" s="2432"/>
      <c r="E917" s="2432"/>
      <c r="F917" s="2432"/>
      <c r="G917" s="2432"/>
      <c r="H917" s="2432"/>
      <c r="I917" s="2432"/>
      <c r="J917" s="2432"/>
      <c r="K917" s="40">
        <v>500</v>
      </c>
      <c r="L917" s="3295"/>
      <c r="M917" s="3335" t="s">
        <v>324</v>
      </c>
      <c r="N917" s="3336"/>
      <c r="O917" s="37"/>
      <c r="P917" s="40">
        <f>$K917</f>
        <v>500</v>
      </c>
      <c r="Q917" s="38"/>
      <c r="R917" s="38"/>
      <c r="S917" s="38"/>
      <c r="T917" s="38"/>
      <c r="U917" s="38"/>
      <c r="V917" s="38"/>
      <c r="W917" s="38"/>
      <c r="X917" s="38"/>
      <c r="Y917" s="38"/>
      <c r="Z917" s="54"/>
      <c r="AA917" s="966">
        <f t="shared" si="99"/>
        <v>500</v>
      </c>
      <c r="AB917" s="35"/>
      <c r="AC917" s="183"/>
    </row>
    <row r="918" spans="1:29" x14ac:dyDescent="0.2">
      <c r="A918" s="1422"/>
      <c r="B918" s="2456"/>
      <c r="C918" s="2432"/>
      <c r="D918" s="2432"/>
      <c r="E918" s="2432"/>
      <c r="F918" s="2432"/>
      <c r="G918" s="2432"/>
      <c r="H918" s="2432"/>
      <c r="I918" s="2432"/>
      <c r="J918" s="2432"/>
      <c r="K918" s="40">
        <v>33300</v>
      </c>
      <c r="L918" s="3295"/>
      <c r="M918" s="3335" t="s">
        <v>393</v>
      </c>
      <c r="N918" s="3336"/>
      <c r="O918" s="47"/>
      <c r="P918" s="47"/>
      <c r="Q918" s="47"/>
      <c r="R918" s="40">
        <f>$K918/2</f>
        <v>16650</v>
      </c>
      <c r="S918" s="47"/>
      <c r="T918" s="47"/>
      <c r="U918" s="47"/>
      <c r="V918" s="40">
        <f>$K918/2</f>
        <v>16650</v>
      </c>
      <c r="W918" s="47"/>
      <c r="X918" s="47"/>
      <c r="Y918" s="47"/>
      <c r="Z918" s="55"/>
      <c r="AA918" s="966">
        <f t="shared" si="99"/>
        <v>33300</v>
      </c>
      <c r="AB918" s="35"/>
      <c r="AC918" s="183"/>
    </row>
    <row r="919" spans="1:29" x14ac:dyDescent="0.2">
      <c r="A919" s="1422"/>
      <c r="B919" s="2456"/>
      <c r="C919" s="2432"/>
      <c r="D919" s="2432"/>
      <c r="E919" s="2432"/>
      <c r="F919" s="2432"/>
      <c r="G919" s="2432"/>
      <c r="H919" s="2432"/>
      <c r="I919" s="2432"/>
      <c r="J919" s="2432"/>
      <c r="K919" s="40">
        <v>46595</v>
      </c>
      <c r="L919" s="3295"/>
      <c r="M919" s="3335" t="s">
        <v>343</v>
      </c>
      <c r="N919" s="3336"/>
      <c r="O919" s="47"/>
      <c r="P919" s="47"/>
      <c r="Q919" s="47"/>
      <c r="R919" s="47">
        <f>$K919*(3/20)</f>
        <v>6989.25</v>
      </c>
      <c r="S919" s="47">
        <f t="shared" ref="S919" si="102">$K919*(3/20)</f>
        <v>6989.25</v>
      </c>
      <c r="T919" s="47">
        <f>$K919*(1/20)</f>
        <v>2329.75</v>
      </c>
      <c r="U919" s="47">
        <f>$K919*(3/20)</f>
        <v>6989.25</v>
      </c>
      <c r="V919" s="47">
        <f>$K919*(4/20)</f>
        <v>9319</v>
      </c>
      <c r="W919" s="47">
        <f>$K919*(2/20)</f>
        <v>4659.5</v>
      </c>
      <c r="X919" s="47">
        <f>$K919*(1/20)</f>
        <v>2329.75</v>
      </c>
      <c r="Y919" s="47">
        <f>$K919*(2/20)</f>
        <v>4659.5</v>
      </c>
      <c r="Z919" s="55">
        <f>$K919*(1/20)</f>
        <v>2329.75</v>
      </c>
      <c r="AA919" s="966">
        <f t="shared" si="99"/>
        <v>46595</v>
      </c>
      <c r="AB919" s="35"/>
      <c r="AC919" s="183"/>
    </row>
    <row r="920" spans="1:29" x14ac:dyDescent="0.2">
      <c r="A920" s="1422"/>
      <c r="B920" s="2456"/>
      <c r="C920" s="2432"/>
      <c r="D920" s="2432"/>
      <c r="E920" s="2432"/>
      <c r="F920" s="2432"/>
      <c r="G920" s="2432"/>
      <c r="H920" s="2432"/>
      <c r="I920" s="2432"/>
      <c r="J920" s="2432"/>
      <c r="K920" s="40">
        <v>1052</v>
      </c>
      <c r="L920" s="3295"/>
      <c r="M920" s="3335" t="s">
        <v>304</v>
      </c>
      <c r="N920" s="3336"/>
      <c r="O920" s="37"/>
      <c r="P920" s="38"/>
      <c r="Q920" s="40">
        <f>$K920</f>
        <v>1052</v>
      </c>
      <c r="R920" s="38"/>
      <c r="S920" s="38"/>
      <c r="T920" s="38"/>
      <c r="U920" s="38"/>
      <c r="V920" s="38"/>
      <c r="W920" s="38"/>
      <c r="X920" s="38"/>
      <c r="Y920" s="38"/>
      <c r="Z920" s="54"/>
      <c r="AA920" s="966">
        <f t="shared" si="99"/>
        <v>1052</v>
      </c>
      <c r="AB920" s="35"/>
      <c r="AC920" s="183"/>
    </row>
    <row r="921" spans="1:29" x14ac:dyDescent="0.2">
      <c r="A921" s="1422"/>
      <c r="B921" s="2456"/>
      <c r="C921" s="2432"/>
      <c r="D921" s="2432"/>
      <c r="E921" s="2432"/>
      <c r="F921" s="2432"/>
      <c r="G921" s="2432"/>
      <c r="H921" s="2432"/>
      <c r="I921" s="2432"/>
      <c r="J921" s="2432"/>
      <c r="K921" s="40">
        <v>500</v>
      </c>
      <c r="L921" s="3295"/>
      <c r="M921" s="3335" t="s">
        <v>308</v>
      </c>
      <c r="N921" s="3336"/>
      <c r="O921" s="37"/>
      <c r="P921" s="38"/>
      <c r="Q921" s="40">
        <f>$K921</f>
        <v>500</v>
      </c>
      <c r="R921" s="38"/>
      <c r="S921" s="38"/>
      <c r="T921" s="38"/>
      <c r="U921" s="38"/>
      <c r="V921" s="38"/>
      <c r="W921" s="38"/>
      <c r="X921" s="38"/>
      <c r="Y921" s="38"/>
      <c r="Z921" s="54"/>
      <c r="AA921" s="966">
        <f t="shared" si="99"/>
        <v>500</v>
      </c>
      <c r="AB921" s="35"/>
      <c r="AC921" s="183"/>
    </row>
    <row r="922" spans="1:29" x14ac:dyDescent="0.2">
      <c r="A922" s="1422"/>
      <c r="B922" s="2456"/>
      <c r="C922" s="2432"/>
      <c r="D922" s="2432"/>
      <c r="E922" s="2432"/>
      <c r="F922" s="2432"/>
      <c r="G922" s="2432"/>
      <c r="H922" s="2432"/>
      <c r="I922" s="2432"/>
      <c r="J922" s="2432"/>
      <c r="K922" s="40">
        <v>3000</v>
      </c>
      <c r="L922" s="3295"/>
      <c r="M922" s="3335" t="s">
        <v>309</v>
      </c>
      <c r="N922" s="3336"/>
      <c r="O922" s="37"/>
      <c r="P922" s="38"/>
      <c r="Q922" s="38"/>
      <c r="R922" s="40">
        <f>$K922/5</f>
        <v>600</v>
      </c>
      <c r="S922" s="40"/>
      <c r="T922" s="40">
        <f>$K922/5</f>
        <v>600</v>
      </c>
      <c r="U922" s="38"/>
      <c r="V922" s="40">
        <f>$K922/5</f>
        <v>600</v>
      </c>
      <c r="W922" s="38"/>
      <c r="X922" s="40">
        <f>$K922/5</f>
        <v>600</v>
      </c>
      <c r="Y922" s="38"/>
      <c r="Z922" s="56">
        <f>$K922/5</f>
        <v>600</v>
      </c>
      <c r="AA922" s="966">
        <f t="shared" si="99"/>
        <v>3000</v>
      </c>
      <c r="AB922" s="35"/>
      <c r="AC922" s="183"/>
    </row>
    <row r="923" spans="1:29" x14ac:dyDescent="0.2">
      <c r="A923" s="1422"/>
      <c r="B923" s="2456"/>
      <c r="C923" s="2432"/>
      <c r="D923" s="2432"/>
      <c r="E923" s="2432"/>
      <c r="F923" s="2432"/>
      <c r="G923" s="2432"/>
      <c r="H923" s="2432"/>
      <c r="I923" s="2432"/>
      <c r="J923" s="2432"/>
      <c r="K923" s="40">
        <v>72000</v>
      </c>
      <c r="L923" s="3295"/>
      <c r="M923" s="3335" t="s">
        <v>429</v>
      </c>
      <c r="N923" s="3336"/>
      <c r="O923" s="40">
        <f>$K923/12</f>
        <v>6000</v>
      </c>
      <c r="P923" s="40">
        <f t="shared" ref="P923:Y923" si="103">$K923/12</f>
        <v>6000</v>
      </c>
      <c r="Q923" s="40">
        <f t="shared" si="103"/>
        <v>6000</v>
      </c>
      <c r="R923" s="40">
        <f t="shared" si="103"/>
        <v>6000</v>
      </c>
      <c r="S923" s="40">
        <f t="shared" si="103"/>
        <v>6000</v>
      </c>
      <c r="T923" s="40">
        <f t="shared" si="103"/>
        <v>6000</v>
      </c>
      <c r="U923" s="40">
        <f t="shared" si="103"/>
        <v>6000</v>
      </c>
      <c r="V923" s="40">
        <f t="shared" si="103"/>
        <v>6000</v>
      </c>
      <c r="W923" s="40">
        <f t="shared" si="103"/>
        <v>6000</v>
      </c>
      <c r="X923" s="40">
        <f t="shared" si="103"/>
        <v>6000</v>
      </c>
      <c r="Y923" s="40">
        <f t="shared" si="103"/>
        <v>6000</v>
      </c>
      <c r="Z923" s="56">
        <f>$K923/12</f>
        <v>6000</v>
      </c>
      <c r="AA923" s="966">
        <f t="shared" si="99"/>
        <v>72000</v>
      </c>
      <c r="AB923" s="35"/>
      <c r="AC923" s="183"/>
    </row>
    <row r="924" spans="1:29" x14ac:dyDescent="0.2">
      <c r="A924" s="1422"/>
      <c r="B924" s="2456"/>
      <c r="C924" s="2432"/>
      <c r="D924" s="2432"/>
      <c r="E924" s="2432"/>
      <c r="F924" s="2432"/>
      <c r="G924" s="2432"/>
      <c r="H924" s="2432"/>
      <c r="I924" s="2432"/>
      <c r="J924" s="2432"/>
      <c r="K924" s="40">
        <v>30483</v>
      </c>
      <c r="L924" s="3295"/>
      <c r="M924" s="3335" t="s">
        <v>311</v>
      </c>
      <c r="N924" s="3336"/>
      <c r="O924" s="40">
        <f t="shared" ref="O924:Z925" si="104">$K924/12</f>
        <v>2540.25</v>
      </c>
      <c r="P924" s="40">
        <f t="shared" si="104"/>
        <v>2540.25</v>
      </c>
      <c r="Q924" s="40">
        <f t="shared" si="104"/>
        <v>2540.25</v>
      </c>
      <c r="R924" s="40">
        <f t="shared" si="104"/>
        <v>2540.25</v>
      </c>
      <c r="S924" s="40">
        <f t="shared" si="104"/>
        <v>2540.25</v>
      </c>
      <c r="T924" s="40">
        <f t="shared" si="104"/>
        <v>2540.25</v>
      </c>
      <c r="U924" s="40">
        <f t="shared" si="104"/>
        <v>2540.25</v>
      </c>
      <c r="V924" s="40">
        <f t="shared" si="104"/>
        <v>2540.25</v>
      </c>
      <c r="W924" s="40">
        <f t="shared" si="104"/>
        <v>2540.25</v>
      </c>
      <c r="X924" s="40">
        <f t="shared" si="104"/>
        <v>2540.25</v>
      </c>
      <c r="Y924" s="40">
        <f t="shared" si="104"/>
        <v>2540.25</v>
      </c>
      <c r="Z924" s="56">
        <f t="shared" si="104"/>
        <v>2540.25</v>
      </c>
      <c r="AA924" s="966">
        <f t="shared" si="99"/>
        <v>30483</v>
      </c>
      <c r="AB924" s="35"/>
      <c r="AC924" s="183"/>
    </row>
    <row r="925" spans="1:29" x14ac:dyDescent="0.2">
      <c r="A925" s="1422"/>
      <c r="B925" s="2450"/>
      <c r="C925" s="2437"/>
      <c r="D925" s="2437"/>
      <c r="E925" s="2437"/>
      <c r="F925" s="2437"/>
      <c r="G925" s="2437"/>
      <c r="H925" s="2437"/>
      <c r="I925" s="2437"/>
      <c r="J925" s="2437"/>
      <c r="K925" s="40">
        <v>444929</v>
      </c>
      <c r="L925" s="3296"/>
      <c r="M925" s="3335" t="s">
        <v>310</v>
      </c>
      <c r="N925" s="3336"/>
      <c r="O925" s="40">
        <f t="shared" si="104"/>
        <v>37077.416666666664</v>
      </c>
      <c r="P925" s="40">
        <f t="shared" si="104"/>
        <v>37077.416666666664</v>
      </c>
      <c r="Q925" s="40">
        <f t="shared" si="104"/>
        <v>37077.416666666664</v>
      </c>
      <c r="R925" s="40">
        <f t="shared" si="104"/>
        <v>37077.416666666664</v>
      </c>
      <c r="S925" s="40">
        <f t="shared" si="104"/>
        <v>37077.416666666664</v>
      </c>
      <c r="T925" s="40">
        <f t="shared" si="104"/>
        <v>37077.416666666664</v>
      </c>
      <c r="U925" s="40">
        <f t="shared" si="104"/>
        <v>37077.416666666664</v>
      </c>
      <c r="V925" s="40">
        <f t="shared" si="104"/>
        <v>37077.416666666664</v>
      </c>
      <c r="W925" s="40">
        <f t="shared" si="104"/>
        <v>37077.416666666664</v>
      </c>
      <c r="X925" s="40">
        <f t="shared" si="104"/>
        <v>37077.416666666664</v>
      </c>
      <c r="Y925" s="40">
        <f t="shared" si="104"/>
        <v>37077.416666666664</v>
      </c>
      <c r="Z925" s="56">
        <f t="shared" si="104"/>
        <v>37077.416666666664</v>
      </c>
      <c r="AA925" s="966">
        <f t="shared" si="99"/>
        <v>444929.00000000006</v>
      </c>
      <c r="AB925" s="35"/>
      <c r="AC925" s="183"/>
    </row>
    <row r="926" spans="1:29" x14ac:dyDescent="0.2">
      <c r="A926" s="1422"/>
      <c r="B926" s="1427" t="s">
        <v>312</v>
      </c>
      <c r="C926" s="38"/>
      <c r="D926" s="38"/>
      <c r="E926" s="38"/>
      <c r="F926" s="38"/>
      <c r="G926" s="38"/>
      <c r="H926" s="38"/>
      <c r="I926" s="38"/>
      <c r="J926" s="38"/>
      <c r="K926" s="40">
        <f>SUM(K907:K925)</f>
        <v>3784535</v>
      </c>
      <c r="L926" s="38"/>
      <c r="M926" s="49"/>
      <c r="N926" s="49"/>
      <c r="O926" s="37"/>
      <c r="P926" s="38"/>
      <c r="Q926" s="38"/>
      <c r="R926" s="38"/>
      <c r="S926" s="38"/>
      <c r="T926" s="38"/>
      <c r="U926" s="38"/>
      <c r="V926" s="38"/>
      <c r="W926" s="38"/>
      <c r="X926" s="38"/>
      <c r="Y926" s="38"/>
      <c r="Z926" s="54"/>
      <c r="AA926" s="1234"/>
      <c r="AB926" s="35"/>
      <c r="AC926" s="183"/>
    </row>
    <row r="927" spans="1:29" ht="22.5" customHeight="1" x14ac:dyDescent="0.2">
      <c r="A927" s="1422"/>
      <c r="B927" s="1433" t="s">
        <v>276</v>
      </c>
      <c r="C927" s="108"/>
      <c r="D927" s="35">
        <v>3033295</v>
      </c>
      <c r="E927" s="192" t="s">
        <v>483</v>
      </c>
      <c r="F927" s="193"/>
      <c r="G927" s="194"/>
      <c r="H927" s="35"/>
      <c r="I927" s="35"/>
      <c r="J927" s="35"/>
      <c r="K927" s="60"/>
      <c r="L927" s="60"/>
      <c r="M927" s="181"/>
      <c r="N927" s="181"/>
      <c r="O927" s="60"/>
      <c r="P927" s="60"/>
      <c r="Q927" s="60"/>
      <c r="R927" s="60"/>
      <c r="S927" s="60"/>
      <c r="T927" s="35"/>
      <c r="U927" s="35"/>
      <c r="V927" s="3023" t="s">
        <v>15</v>
      </c>
      <c r="W927" s="3337"/>
      <c r="X927" s="3337"/>
      <c r="Y927" s="3338"/>
      <c r="Z927" s="3019" t="s">
        <v>16</v>
      </c>
      <c r="AA927" s="3020"/>
      <c r="AB927" s="35"/>
      <c r="AC927" s="183"/>
    </row>
    <row r="928" spans="1:29" ht="22.5" customHeight="1" x14ac:dyDescent="0.2">
      <c r="A928" s="1422"/>
      <c r="B928" s="1433"/>
      <c r="C928" s="108"/>
      <c r="D928" s="35"/>
      <c r="E928" s="192"/>
      <c r="F928" s="193"/>
      <c r="G928" s="194"/>
      <c r="H928" s="35"/>
      <c r="I928" s="35"/>
      <c r="J928" s="35"/>
      <c r="K928" s="60"/>
      <c r="L928" s="60"/>
      <c r="M928" s="181"/>
      <c r="N928" s="181"/>
      <c r="O928" s="60"/>
      <c r="P928" s="60"/>
      <c r="Q928" s="60"/>
      <c r="R928" s="60"/>
      <c r="S928" s="60"/>
      <c r="T928" s="35"/>
      <c r="U928" s="35"/>
      <c r="V928" s="3019" t="s">
        <v>484</v>
      </c>
      <c r="W928" s="3328"/>
      <c r="X928" s="3328"/>
      <c r="Y928" s="3020"/>
      <c r="Z928" s="2922" t="s">
        <v>485</v>
      </c>
      <c r="AA928" s="2922"/>
      <c r="AB928" s="35"/>
      <c r="AC928" s="183"/>
    </row>
    <row r="929" spans="1:29" x14ac:dyDescent="0.2">
      <c r="A929" s="1422"/>
      <c r="B929" s="2999" t="s">
        <v>278</v>
      </c>
      <c r="C929" s="2988" t="s">
        <v>21</v>
      </c>
      <c r="D929" s="2847" t="s">
        <v>22</v>
      </c>
      <c r="E929" s="2847" t="s">
        <v>23</v>
      </c>
      <c r="F929" s="2847" t="s">
        <v>24</v>
      </c>
      <c r="G929" s="2847" t="s">
        <v>25</v>
      </c>
      <c r="H929" s="2847" t="s">
        <v>26</v>
      </c>
      <c r="I929" s="2847" t="s">
        <v>27</v>
      </c>
      <c r="J929" s="3206" t="s">
        <v>28</v>
      </c>
      <c r="K929" s="3301"/>
      <c r="L929" s="2847" t="s">
        <v>279</v>
      </c>
      <c r="M929" s="3273" t="s">
        <v>280</v>
      </c>
      <c r="N929" s="3274"/>
      <c r="O929" s="2847" t="s">
        <v>281</v>
      </c>
      <c r="P929" s="2847"/>
      <c r="Q929" s="2847"/>
      <c r="R929" s="2847"/>
      <c r="S929" s="2847"/>
      <c r="T929" s="2847"/>
      <c r="U929" s="2847"/>
      <c r="V929" s="2847"/>
      <c r="W929" s="2847"/>
      <c r="X929" s="2847"/>
      <c r="Y929" s="2847"/>
      <c r="Z929" s="2847"/>
      <c r="AA929" s="3217" t="s">
        <v>32</v>
      </c>
      <c r="AB929" s="35"/>
      <c r="AC929" s="183"/>
    </row>
    <row r="930" spans="1:29" x14ac:dyDescent="0.2">
      <c r="A930" s="1422"/>
      <c r="B930" s="2999"/>
      <c r="C930" s="3186"/>
      <c r="D930" s="2847"/>
      <c r="E930" s="2847"/>
      <c r="F930" s="2847"/>
      <c r="G930" s="2847"/>
      <c r="H930" s="2847"/>
      <c r="I930" s="2847"/>
      <c r="J930" s="2988" t="s">
        <v>33</v>
      </c>
      <c r="K930" s="3206" t="s">
        <v>282</v>
      </c>
      <c r="L930" s="2847"/>
      <c r="M930" s="3275"/>
      <c r="N930" s="3276"/>
      <c r="O930" s="1009" t="s">
        <v>283</v>
      </c>
      <c r="P930" s="1009" t="s">
        <v>284</v>
      </c>
      <c r="Q930" s="1009" t="s">
        <v>285</v>
      </c>
      <c r="R930" s="1009" t="s">
        <v>88</v>
      </c>
      <c r="S930" s="1009" t="s">
        <v>89</v>
      </c>
      <c r="T930" s="1009" t="s">
        <v>90</v>
      </c>
      <c r="U930" s="1009" t="s">
        <v>91</v>
      </c>
      <c r="V930" s="1009" t="s">
        <v>92</v>
      </c>
      <c r="W930" s="1009" t="s">
        <v>286</v>
      </c>
      <c r="X930" s="1009" t="s">
        <v>93</v>
      </c>
      <c r="Y930" s="1009" t="s">
        <v>94</v>
      </c>
      <c r="Z930" s="1009" t="s">
        <v>95</v>
      </c>
      <c r="AA930" s="3218"/>
      <c r="AB930" s="35"/>
      <c r="AC930" s="183"/>
    </row>
    <row r="931" spans="1:29" x14ac:dyDescent="0.2">
      <c r="A931" s="1422"/>
      <c r="B931" s="2999"/>
      <c r="C931" s="3186"/>
      <c r="D931" s="2847"/>
      <c r="E931" s="2847"/>
      <c r="F931" s="2847"/>
      <c r="G931" s="2847"/>
      <c r="H931" s="2847"/>
      <c r="I931" s="2847"/>
      <c r="J931" s="3186"/>
      <c r="K931" s="3206"/>
      <c r="L931" s="2847"/>
      <c r="M931" s="3271" t="s">
        <v>287</v>
      </c>
      <c r="N931" s="3272"/>
      <c r="O931" s="1095">
        <v>1965</v>
      </c>
      <c r="P931" s="1095">
        <v>1965</v>
      </c>
      <c r="Q931" s="1095">
        <v>1967</v>
      </c>
      <c r="R931" s="1095">
        <v>1967</v>
      </c>
      <c r="S931" s="1095">
        <v>1967</v>
      </c>
      <c r="T931" s="1095">
        <v>1967</v>
      </c>
      <c r="U931" s="1095">
        <v>1967</v>
      </c>
      <c r="V931" s="1095">
        <v>1967</v>
      </c>
      <c r="W931" s="1095">
        <v>1967</v>
      </c>
      <c r="X931" s="1095">
        <v>1967</v>
      </c>
      <c r="Y931" s="1095">
        <v>1967</v>
      </c>
      <c r="Z931" s="1144">
        <v>1967</v>
      </c>
      <c r="AA931" s="1196">
        <f t="shared" ref="AA931:AA956" si="105">SUM(O931:Z931)</f>
        <v>23600</v>
      </c>
      <c r="AB931" s="35"/>
      <c r="AC931" s="183"/>
    </row>
    <row r="932" spans="1:29" x14ac:dyDescent="0.2">
      <c r="A932" s="1422"/>
      <c r="B932" s="2999"/>
      <c r="C932" s="2989"/>
      <c r="D932" s="2847"/>
      <c r="E932" s="2847"/>
      <c r="F932" s="2847"/>
      <c r="G932" s="2847"/>
      <c r="H932" s="2847"/>
      <c r="I932" s="2847"/>
      <c r="J932" s="2989"/>
      <c r="K932" s="3206"/>
      <c r="L932" s="2847"/>
      <c r="M932" s="3271" t="s">
        <v>34</v>
      </c>
      <c r="N932" s="3272"/>
      <c r="O932" s="36">
        <f>SUM(O933:O956)</f>
        <v>473081.41666666657</v>
      </c>
      <c r="P932" s="36">
        <f t="shared" ref="P932:Z932" si="106">SUM(P933:P956)</f>
        <v>414131.41666666657</v>
      </c>
      <c r="Q932" s="36">
        <f t="shared" si="106"/>
        <v>420934.41666666657</v>
      </c>
      <c r="R932" s="36">
        <f t="shared" si="106"/>
        <v>427379.67753623181</v>
      </c>
      <c r="S932" s="36">
        <f t="shared" si="106"/>
        <v>427624.46014492743</v>
      </c>
      <c r="T932" s="36">
        <f t="shared" si="106"/>
        <v>419627.938405797</v>
      </c>
      <c r="U932" s="36">
        <f t="shared" si="106"/>
        <v>469617.72101449268</v>
      </c>
      <c r="V932" s="36">
        <f t="shared" si="106"/>
        <v>433127.938405797</v>
      </c>
      <c r="W932" s="36">
        <f t="shared" si="106"/>
        <v>425376.19927536225</v>
      </c>
      <c r="X932" s="36">
        <f t="shared" si="106"/>
        <v>419627.938405797</v>
      </c>
      <c r="Y932" s="36">
        <f t="shared" si="106"/>
        <v>425876.19927536225</v>
      </c>
      <c r="Z932" s="52">
        <f t="shared" si="106"/>
        <v>456124.67753623181</v>
      </c>
      <c r="AA932" s="1196">
        <f t="shared" si="105"/>
        <v>5212529.9999999981</v>
      </c>
      <c r="AB932" s="35"/>
      <c r="AC932" s="183"/>
    </row>
    <row r="933" spans="1:29" ht="11.25" customHeight="1" x14ac:dyDescent="0.2">
      <c r="A933" s="1422"/>
      <c r="B933" s="2522">
        <v>5000045</v>
      </c>
      <c r="C933" s="2431" t="s">
        <v>3058</v>
      </c>
      <c r="D933" s="2421">
        <v>32</v>
      </c>
      <c r="E933" s="2421" t="s">
        <v>407</v>
      </c>
      <c r="F933" s="2421" t="s">
        <v>386</v>
      </c>
      <c r="G933" s="2421" t="s">
        <v>387</v>
      </c>
      <c r="H933" s="2421" t="s">
        <v>337</v>
      </c>
      <c r="I933" s="2421" t="s">
        <v>486</v>
      </c>
      <c r="J933" s="2431">
        <v>23600</v>
      </c>
      <c r="K933" s="40">
        <v>1351393</v>
      </c>
      <c r="L933" s="3294" t="s">
        <v>446</v>
      </c>
      <c r="M933" s="3335" t="s">
        <v>293</v>
      </c>
      <c r="N933" s="3336"/>
      <c r="O933" s="40">
        <f t="shared" ref="O933:Z945" si="107">$K933/12</f>
        <v>112616.08333333333</v>
      </c>
      <c r="P933" s="40">
        <f t="shared" si="107"/>
        <v>112616.08333333333</v>
      </c>
      <c r="Q933" s="40">
        <f t="shared" si="107"/>
        <v>112616.08333333333</v>
      </c>
      <c r="R933" s="40">
        <f t="shared" si="107"/>
        <v>112616.08333333333</v>
      </c>
      <c r="S933" s="40">
        <f t="shared" si="107"/>
        <v>112616.08333333333</v>
      </c>
      <c r="T933" s="40">
        <f t="shared" si="107"/>
        <v>112616.08333333333</v>
      </c>
      <c r="U933" s="40">
        <f t="shared" si="107"/>
        <v>112616.08333333333</v>
      </c>
      <c r="V933" s="40">
        <f t="shared" si="107"/>
        <v>112616.08333333333</v>
      </c>
      <c r="W933" s="40">
        <f t="shared" si="107"/>
        <v>112616.08333333333</v>
      </c>
      <c r="X933" s="40">
        <f t="shared" si="107"/>
        <v>112616.08333333333</v>
      </c>
      <c r="Y933" s="40">
        <f t="shared" si="107"/>
        <v>112616.08333333333</v>
      </c>
      <c r="Z933" s="56">
        <f t="shared" si="107"/>
        <v>112616.08333333333</v>
      </c>
      <c r="AA933" s="966">
        <f t="shared" si="105"/>
        <v>1351393</v>
      </c>
      <c r="AB933" s="35"/>
      <c r="AC933" s="183"/>
    </row>
    <row r="934" spans="1:29" x14ac:dyDescent="0.2">
      <c r="A934" s="1422"/>
      <c r="B934" s="2522"/>
      <c r="C934" s="2432"/>
      <c r="D934" s="2421"/>
      <c r="E934" s="2421"/>
      <c r="F934" s="2421"/>
      <c r="G934" s="2421"/>
      <c r="H934" s="2421"/>
      <c r="I934" s="2421"/>
      <c r="J934" s="2432"/>
      <c r="K934" s="40">
        <v>88915</v>
      </c>
      <c r="L934" s="3295"/>
      <c r="M934" s="3335" t="s">
        <v>321</v>
      </c>
      <c r="N934" s="3336"/>
      <c r="O934" s="40">
        <f t="shared" si="107"/>
        <v>7409.583333333333</v>
      </c>
      <c r="P934" s="40">
        <f t="shared" si="107"/>
        <v>7409.583333333333</v>
      </c>
      <c r="Q934" s="40">
        <f t="shared" si="107"/>
        <v>7409.583333333333</v>
      </c>
      <c r="R934" s="40">
        <f t="shared" si="107"/>
        <v>7409.583333333333</v>
      </c>
      <c r="S934" s="40">
        <f t="shared" si="107"/>
        <v>7409.583333333333</v>
      </c>
      <c r="T934" s="40">
        <f t="shared" si="107"/>
        <v>7409.583333333333</v>
      </c>
      <c r="U934" s="40">
        <f t="shared" si="107"/>
        <v>7409.583333333333</v>
      </c>
      <c r="V934" s="40">
        <f t="shared" si="107"/>
        <v>7409.583333333333</v>
      </c>
      <c r="W934" s="40">
        <f t="shared" si="107"/>
        <v>7409.583333333333</v>
      </c>
      <c r="X934" s="40">
        <f t="shared" si="107"/>
        <v>7409.583333333333</v>
      </c>
      <c r="Y934" s="40">
        <f t="shared" si="107"/>
        <v>7409.583333333333</v>
      </c>
      <c r="Z934" s="56">
        <f t="shared" si="107"/>
        <v>7409.583333333333</v>
      </c>
      <c r="AA934" s="966">
        <f t="shared" si="105"/>
        <v>88914.999999999985</v>
      </c>
      <c r="AB934" s="35"/>
      <c r="AC934" s="183"/>
    </row>
    <row r="935" spans="1:29" x14ac:dyDescent="0.2">
      <c r="A935" s="1422"/>
      <c r="B935" s="2522"/>
      <c r="C935" s="2432"/>
      <c r="D935" s="2421"/>
      <c r="E935" s="2421"/>
      <c r="F935" s="2421"/>
      <c r="G935" s="2421"/>
      <c r="H935" s="2421"/>
      <c r="I935" s="2421"/>
      <c r="J935" s="2432"/>
      <c r="K935" s="40">
        <v>674472</v>
      </c>
      <c r="L935" s="3295"/>
      <c r="M935" s="3335" t="s">
        <v>294</v>
      </c>
      <c r="N935" s="3336"/>
      <c r="O935" s="40">
        <f t="shared" si="107"/>
        <v>56206</v>
      </c>
      <c r="P935" s="40">
        <f t="shared" si="107"/>
        <v>56206</v>
      </c>
      <c r="Q935" s="40">
        <f t="shared" si="107"/>
        <v>56206</v>
      </c>
      <c r="R935" s="40">
        <f t="shared" si="107"/>
        <v>56206</v>
      </c>
      <c r="S935" s="40">
        <f t="shared" si="107"/>
        <v>56206</v>
      </c>
      <c r="T935" s="40">
        <f t="shared" si="107"/>
        <v>56206</v>
      </c>
      <c r="U935" s="40">
        <f t="shared" si="107"/>
        <v>56206</v>
      </c>
      <c r="V935" s="40">
        <f t="shared" si="107"/>
        <v>56206</v>
      </c>
      <c r="W935" s="40">
        <f t="shared" si="107"/>
        <v>56206</v>
      </c>
      <c r="X935" s="40">
        <f t="shared" si="107"/>
        <v>56206</v>
      </c>
      <c r="Y935" s="40">
        <f t="shared" si="107"/>
        <v>56206</v>
      </c>
      <c r="Z935" s="56">
        <f t="shared" si="107"/>
        <v>56206</v>
      </c>
      <c r="AA935" s="966">
        <f t="shared" si="105"/>
        <v>674472</v>
      </c>
      <c r="AB935" s="35"/>
      <c r="AC935" s="183"/>
    </row>
    <row r="936" spans="1:29" x14ac:dyDescent="0.2">
      <c r="A936" s="1422"/>
      <c r="B936" s="2522"/>
      <c r="C936" s="2432"/>
      <c r="D936" s="2421"/>
      <c r="E936" s="2421"/>
      <c r="F936" s="2421"/>
      <c r="G936" s="2421"/>
      <c r="H936" s="2421"/>
      <c r="I936" s="2421"/>
      <c r="J936" s="2432"/>
      <c r="K936" s="40">
        <v>633664</v>
      </c>
      <c r="L936" s="3295"/>
      <c r="M936" s="3335" t="s">
        <v>295</v>
      </c>
      <c r="N936" s="3336"/>
      <c r="O936" s="40">
        <f t="shared" si="107"/>
        <v>52805.333333333336</v>
      </c>
      <c r="P936" s="40">
        <f t="shared" si="107"/>
        <v>52805.333333333336</v>
      </c>
      <c r="Q936" s="40">
        <f t="shared" si="107"/>
        <v>52805.333333333336</v>
      </c>
      <c r="R936" s="40">
        <f t="shared" si="107"/>
        <v>52805.333333333336</v>
      </c>
      <c r="S936" s="40">
        <f t="shared" si="107"/>
        <v>52805.333333333336</v>
      </c>
      <c r="T936" s="40">
        <f t="shared" si="107"/>
        <v>52805.333333333336</v>
      </c>
      <c r="U936" s="40">
        <f t="shared" si="107"/>
        <v>52805.333333333336</v>
      </c>
      <c r="V936" s="40">
        <f t="shared" si="107"/>
        <v>52805.333333333336</v>
      </c>
      <c r="W936" s="40">
        <f t="shared" si="107"/>
        <v>52805.333333333336</v>
      </c>
      <c r="X936" s="40">
        <f t="shared" si="107"/>
        <v>52805.333333333336</v>
      </c>
      <c r="Y936" s="40">
        <f t="shared" si="107"/>
        <v>52805.333333333336</v>
      </c>
      <c r="Z936" s="56">
        <f t="shared" si="107"/>
        <v>52805.333333333336</v>
      </c>
      <c r="AA936" s="966">
        <f t="shared" si="105"/>
        <v>633664</v>
      </c>
      <c r="AB936" s="35"/>
      <c r="AC936" s="183"/>
    </row>
    <row r="937" spans="1:29" x14ac:dyDescent="0.2">
      <c r="A937" s="1422"/>
      <c r="B937" s="2522"/>
      <c r="C937" s="2432"/>
      <c r="D937" s="2421"/>
      <c r="E937" s="2421"/>
      <c r="F937" s="2421"/>
      <c r="G937" s="2421"/>
      <c r="H937" s="2421"/>
      <c r="I937" s="2421"/>
      <c r="J937" s="2432"/>
      <c r="K937" s="40">
        <v>23750</v>
      </c>
      <c r="L937" s="3295"/>
      <c r="M937" s="3335" t="s">
        <v>332</v>
      </c>
      <c r="N937" s="3336"/>
      <c r="O937" s="40">
        <f t="shared" si="107"/>
        <v>1979.1666666666667</v>
      </c>
      <c r="P937" s="40">
        <f t="shared" si="107"/>
        <v>1979.1666666666667</v>
      </c>
      <c r="Q937" s="40">
        <f t="shared" si="107"/>
        <v>1979.1666666666667</v>
      </c>
      <c r="R937" s="40">
        <f t="shared" si="107"/>
        <v>1979.1666666666667</v>
      </c>
      <c r="S937" s="40">
        <f t="shared" si="107"/>
        <v>1979.1666666666667</v>
      </c>
      <c r="T937" s="40">
        <f t="shared" si="107"/>
        <v>1979.1666666666667</v>
      </c>
      <c r="U937" s="40">
        <f t="shared" si="107"/>
        <v>1979.1666666666667</v>
      </c>
      <c r="V937" s="40">
        <f t="shared" si="107"/>
        <v>1979.1666666666667</v>
      </c>
      <c r="W937" s="40">
        <f t="shared" si="107"/>
        <v>1979.1666666666667</v>
      </c>
      <c r="X937" s="40">
        <f t="shared" si="107"/>
        <v>1979.1666666666667</v>
      </c>
      <c r="Y937" s="40">
        <f t="shared" si="107"/>
        <v>1979.1666666666667</v>
      </c>
      <c r="Z937" s="56">
        <f t="shared" si="107"/>
        <v>1979.1666666666667</v>
      </c>
      <c r="AA937" s="966">
        <f t="shared" si="105"/>
        <v>23750.000000000004</v>
      </c>
      <c r="AB937" s="35"/>
      <c r="AC937" s="183"/>
    </row>
    <row r="938" spans="1:29" x14ac:dyDescent="0.2">
      <c r="A938" s="1422"/>
      <c r="B938" s="2522"/>
      <c r="C938" s="2432"/>
      <c r="D938" s="2421"/>
      <c r="E938" s="2421"/>
      <c r="F938" s="2421"/>
      <c r="G938" s="2421"/>
      <c r="H938" s="2421"/>
      <c r="I938" s="2421"/>
      <c r="J938" s="2432"/>
      <c r="K938" s="40">
        <v>663051</v>
      </c>
      <c r="L938" s="3295"/>
      <c r="M938" s="3335" t="s">
        <v>296</v>
      </c>
      <c r="N938" s="3336"/>
      <c r="O938" s="40">
        <f t="shared" si="107"/>
        <v>55254.25</v>
      </c>
      <c r="P938" s="40">
        <f t="shared" si="107"/>
        <v>55254.25</v>
      </c>
      <c r="Q938" s="40">
        <f t="shared" si="107"/>
        <v>55254.25</v>
      </c>
      <c r="R938" s="40">
        <f t="shared" si="107"/>
        <v>55254.25</v>
      </c>
      <c r="S938" s="40">
        <f t="shared" si="107"/>
        <v>55254.25</v>
      </c>
      <c r="T938" s="40">
        <f t="shared" si="107"/>
        <v>55254.25</v>
      </c>
      <c r="U938" s="40">
        <f t="shared" si="107"/>
        <v>55254.25</v>
      </c>
      <c r="V938" s="40">
        <f t="shared" si="107"/>
        <v>55254.25</v>
      </c>
      <c r="W938" s="40">
        <f t="shared" si="107"/>
        <v>55254.25</v>
      </c>
      <c r="X938" s="40">
        <f t="shared" si="107"/>
        <v>55254.25</v>
      </c>
      <c r="Y938" s="40">
        <f t="shared" si="107"/>
        <v>55254.25</v>
      </c>
      <c r="Z938" s="56">
        <f t="shared" si="107"/>
        <v>55254.25</v>
      </c>
      <c r="AA938" s="966">
        <f t="shared" si="105"/>
        <v>663051</v>
      </c>
      <c r="AB938" s="35"/>
      <c r="AC938" s="183"/>
    </row>
    <row r="939" spans="1:29" x14ac:dyDescent="0.2">
      <c r="A939" s="1422"/>
      <c r="B939" s="2522"/>
      <c r="C939" s="2432"/>
      <c r="D939" s="2421"/>
      <c r="E939" s="2421"/>
      <c r="F939" s="2421"/>
      <c r="G939" s="2421"/>
      <c r="H939" s="2421"/>
      <c r="I939" s="2421"/>
      <c r="J939" s="2432"/>
      <c r="K939" s="40">
        <v>104830</v>
      </c>
      <c r="L939" s="3295"/>
      <c r="M939" s="3335" t="s">
        <v>297</v>
      </c>
      <c r="N939" s="3336"/>
      <c r="O939" s="40">
        <f t="shared" si="107"/>
        <v>8735.8333333333339</v>
      </c>
      <c r="P939" s="40">
        <f t="shared" si="107"/>
        <v>8735.8333333333339</v>
      </c>
      <c r="Q939" s="40">
        <f t="shared" si="107"/>
        <v>8735.8333333333339</v>
      </c>
      <c r="R939" s="40">
        <f t="shared" si="107"/>
        <v>8735.8333333333339</v>
      </c>
      <c r="S939" s="40">
        <f t="shared" si="107"/>
        <v>8735.8333333333339</v>
      </c>
      <c r="T939" s="40">
        <f t="shared" si="107"/>
        <v>8735.8333333333339</v>
      </c>
      <c r="U939" s="40">
        <f t="shared" si="107"/>
        <v>8735.8333333333339</v>
      </c>
      <c r="V939" s="40">
        <f t="shared" si="107"/>
        <v>8735.8333333333339</v>
      </c>
      <c r="W939" s="40">
        <f t="shared" si="107"/>
        <v>8735.8333333333339</v>
      </c>
      <c r="X939" s="40">
        <f t="shared" si="107"/>
        <v>8735.8333333333339</v>
      </c>
      <c r="Y939" s="40">
        <f t="shared" si="107"/>
        <v>8735.8333333333339</v>
      </c>
      <c r="Z939" s="56">
        <f t="shared" si="107"/>
        <v>8735.8333333333339</v>
      </c>
      <c r="AA939" s="966">
        <f t="shared" si="105"/>
        <v>104829.99999999999</v>
      </c>
      <c r="AB939" s="35"/>
      <c r="AC939" s="183"/>
    </row>
    <row r="940" spans="1:29" x14ac:dyDescent="0.2">
      <c r="A940" s="1422"/>
      <c r="B940" s="2522"/>
      <c r="C940" s="2432"/>
      <c r="D940" s="2421"/>
      <c r="E940" s="2421"/>
      <c r="F940" s="2421"/>
      <c r="G940" s="2421"/>
      <c r="H940" s="2421"/>
      <c r="I940" s="2421"/>
      <c r="J940" s="2432"/>
      <c r="K940" s="40">
        <v>77490</v>
      </c>
      <c r="L940" s="3295"/>
      <c r="M940" s="3335" t="s">
        <v>298</v>
      </c>
      <c r="N940" s="3336"/>
      <c r="O940" s="37"/>
      <c r="P940" s="38"/>
      <c r="Q940" s="38"/>
      <c r="R940" s="38"/>
      <c r="S940" s="38"/>
      <c r="T940" s="38"/>
      <c r="U940" s="40">
        <f>$K940/2</f>
        <v>38745</v>
      </c>
      <c r="V940" s="38"/>
      <c r="W940" s="38"/>
      <c r="X940" s="38"/>
      <c r="Y940" s="38"/>
      <c r="Z940" s="56">
        <f>$K940/2</f>
        <v>38745</v>
      </c>
      <c r="AA940" s="966">
        <f t="shared" si="105"/>
        <v>77490</v>
      </c>
      <c r="AB940" s="35"/>
      <c r="AC940" s="183"/>
    </row>
    <row r="941" spans="1:29" x14ac:dyDescent="0.2">
      <c r="A941" s="1422"/>
      <c r="B941" s="2522"/>
      <c r="C941" s="2432"/>
      <c r="D941" s="2421"/>
      <c r="E941" s="2421"/>
      <c r="F941" s="2421"/>
      <c r="G941" s="2421"/>
      <c r="H941" s="2421"/>
      <c r="I941" s="2421"/>
      <c r="J941" s="2432"/>
      <c r="K941" s="40">
        <v>59450</v>
      </c>
      <c r="L941" s="3295"/>
      <c r="M941" s="3335" t="s">
        <v>299</v>
      </c>
      <c r="N941" s="3336"/>
      <c r="O941" s="37">
        <f>$K941</f>
        <v>59450</v>
      </c>
      <c r="P941" s="38"/>
      <c r="Q941" s="37"/>
      <c r="R941" s="38"/>
      <c r="S941" s="38"/>
      <c r="T941" s="38"/>
      <c r="U941" s="38"/>
      <c r="V941" s="38"/>
      <c r="W941" s="38"/>
      <c r="X941" s="38"/>
      <c r="Y941" s="38"/>
      <c r="Z941" s="54"/>
      <c r="AA941" s="966">
        <f t="shared" si="105"/>
        <v>59450</v>
      </c>
      <c r="AB941" s="35"/>
      <c r="AC941" s="183"/>
    </row>
    <row r="942" spans="1:29" x14ac:dyDescent="0.2">
      <c r="A942" s="1422"/>
      <c r="B942" s="2522"/>
      <c r="C942" s="2432"/>
      <c r="D942" s="2421"/>
      <c r="E942" s="2421"/>
      <c r="F942" s="2421"/>
      <c r="G942" s="2421"/>
      <c r="H942" s="2421"/>
      <c r="I942" s="2421"/>
      <c r="J942" s="2432"/>
      <c r="K942" s="40">
        <v>200020</v>
      </c>
      <c r="L942" s="3295"/>
      <c r="M942" s="3335" t="s">
        <v>300</v>
      </c>
      <c r="N942" s="3336"/>
      <c r="O942" s="40">
        <f t="shared" si="107"/>
        <v>16668.333333333332</v>
      </c>
      <c r="P942" s="40">
        <f t="shared" si="107"/>
        <v>16668.333333333332</v>
      </c>
      <c r="Q942" s="40">
        <f t="shared" si="107"/>
        <v>16668.333333333332</v>
      </c>
      <c r="R942" s="40">
        <f t="shared" si="107"/>
        <v>16668.333333333332</v>
      </c>
      <c r="S942" s="40">
        <f t="shared" si="107"/>
        <v>16668.333333333332</v>
      </c>
      <c r="T942" s="40">
        <f t="shared" si="107"/>
        <v>16668.333333333332</v>
      </c>
      <c r="U942" s="40">
        <f t="shared" si="107"/>
        <v>16668.333333333332</v>
      </c>
      <c r="V942" s="40">
        <f t="shared" si="107"/>
        <v>16668.333333333332</v>
      </c>
      <c r="W942" s="40">
        <f t="shared" si="107"/>
        <v>16668.333333333332</v>
      </c>
      <c r="X942" s="40">
        <f t="shared" si="107"/>
        <v>16668.333333333332</v>
      </c>
      <c r="Y942" s="40">
        <f t="shared" si="107"/>
        <v>16668.333333333332</v>
      </c>
      <c r="Z942" s="56">
        <f t="shared" si="107"/>
        <v>16668.333333333332</v>
      </c>
      <c r="AA942" s="966">
        <f t="shared" si="105"/>
        <v>200020.00000000003</v>
      </c>
      <c r="AB942" s="35"/>
      <c r="AC942" s="183"/>
    </row>
    <row r="943" spans="1:29" x14ac:dyDescent="0.2">
      <c r="A943" s="1422"/>
      <c r="B943" s="2522"/>
      <c r="C943" s="2432"/>
      <c r="D943" s="2421"/>
      <c r="E943" s="2421"/>
      <c r="F943" s="2421"/>
      <c r="G943" s="2421"/>
      <c r="H943" s="2421"/>
      <c r="I943" s="2421"/>
      <c r="J943" s="2432"/>
      <c r="K943" s="40">
        <v>6388</v>
      </c>
      <c r="L943" s="3295"/>
      <c r="M943" s="3335" t="s">
        <v>301</v>
      </c>
      <c r="N943" s="3336"/>
      <c r="O943" s="40">
        <f t="shared" si="107"/>
        <v>532.33333333333337</v>
      </c>
      <c r="P943" s="40">
        <f t="shared" si="107"/>
        <v>532.33333333333337</v>
      </c>
      <c r="Q943" s="40">
        <f t="shared" si="107"/>
        <v>532.33333333333337</v>
      </c>
      <c r="R943" s="40">
        <f t="shared" si="107"/>
        <v>532.33333333333337</v>
      </c>
      <c r="S943" s="40">
        <f t="shared" si="107"/>
        <v>532.33333333333337</v>
      </c>
      <c r="T943" s="40">
        <f t="shared" si="107"/>
        <v>532.33333333333337</v>
      </c>
      <c r="U943" s="40">
        <f t="shared" si="107"/>
        <v>532.33333333333337</v>
      </c>
      <c r="V943" s="40">
        <f t="shared" si="107"/>
        <v>532.33333333333337</v>
      </c>
      <c r="W943" s="40">
        <f t="shared" si="107"/>
        <v>532.33333333333337</v>
      </c>
      <c r="X943" s="40">
        <f t="shared" si="107"/>
        <v>532.33333333333337</v>
      </c>
      <c r="Y943" s="40">
        <f t="shared" si="107"/>
        <v>532.33333333333337</v>
      </c>
      <c r="Z943" s="56">
        <f t="shared" si="107"/>
        <v>532.33333333333337</v>
      </c>
      <c r="AA943" s="966">
        <f t="shared" si="105"/>
        <v>6387.9999999999991</v>
      </c>
      <c r="AB943" s="35"/>
      <c r="AC943" s="183"/>
    </row>
    <row r="944" spans="1:29" x14ac:dyDescent="0.2">
      <c r="A944" s="1422"/>
      <c r="B944" s="2522"/>
      <c r="C944" s="2432"/>
      <c r="D944" s="2421"/>
      <c r="E944" s="2421"/>
      <c r="F944" s="2421"/>
      <c r="G944" s="2421"/>
      <c r="H944" s="2421"/>
      <c r="I944" s="2421"/>
      <c r="J944" s="2432"/>
      <c r="K944" s="40">
        <v>28800</v>
      </c>
      <c r="L944" s="3295"/>
      <c r="M944" s="3335" t="s">
        <v>340</v>
      </c>
      <c r="N944" s="3336"/>
      <c r="O944" s="40">
        <f t="shared" si="107"/>
        <v>2400</v>
      </c>
      <c r="P944" s="40">
        <f t="shared" si="107"/>
        <v>2400</v>
      </c>
      <c r="Q944" s="40">
        <f t="shared" si="107"/>
        <v>2400</v>
      </c>
      <c r="R944" s="40">
        <f t="shared" si="107"/>
        <v>2400</v>
      </c>
      <c r="S944" s="40">
        <f t="shared" si="107"/>
        <v>2400</v>
      </c>
      <c r="T944" s="40">
        <f t="shared" si="107"/>
        <v>2400</v>
      </c>
      <c r="U944" s="40">
        <f t="shared" si="107"/>
        <v>2400</v>
      </c>
      <c r="V944" s="40">
        <f t="shared" si="107"/>
        <v>2400</v>
      </c>
      <c r="W944" s="40">
        <f t="shared" si="107"/>
        <v>2400</v>
      </c>
      <c r="X944" s="40">
        <f t="shared" si="107"/>
        <v>2400</v>
      </c>
      <c r="Y944" s="40">
        <f t="shared" si="107"/>
        <v>2400</v>
      </c>
      <c r="Z944" s="56">
        <f t="shared" si="107"/>
        <v>2400</v>
      </c>
      <c r="AA944" s="966">
        <f t="shared" si="105"/>
        <v>28800</v>
      </c>
      <c r="AB944" s="35"/>
      <c r="AC944" s="183"/>
    </row>
    <row r="945" spans="1:29" x14ac:dyDescent="0.2">
      <c r="A945" s="1422"/>
      <c r="B945" s="2522"/>
      <c r="C945" s="2432"/>
      <c r="D945" s="2421"/>
      <c r="E945" s="2421"/>
      <c r="F945" s="2421"/>
      <c r="G945" s="2421"/>
      <c r="H945" s="2421"/>
      <c r="I945" s="2421"/>
      <c r="J945" s="2432"/>
      <c r="K945" s="40">
        <v>45500</v>
      </c>
      <c r="L945" s="3295"/>
      <c r="M945" s="3335" t="s">
        <v>482</v>
      </c>
      <c r="N945" s="3336"/>
      <c r="O945" s="40">
        <f t="shared" si="107"/>
        <v>3791.6666666666665</v>
      </c>
      <c r="P945" s="40">
        <f t="shared" si="107"/>
        <v>3791.6666666666665</v>
      </c>
      <c r="Q945" s="40">
        <f t="shared" si="107"/>
        <v>3791.6666666666665</v>
      </c>
      <c r="R945" s="40">
        <f t="shared" si="107"/>
        <v>3791.6666666666665</v>
      </c>
      <c r="S945" s="40">
        <f t="shared" si="107"/>
        <v>3791.6666666666665</v>
      </c>
      <c r="T945" s="40">
        <f t="shared" si="107"/>
        <v>3791.6666666666665</v>
      </c>
      <c r="U945" s="40">
        <f t="shared" si="107"/>
        <v>3791.6666666666665</v>
      </c>
      <c r="V945" s="40">
        <f t="shared" si="107"/>
        <v>3791.6666666666665</v>
      </c>
      <c r="W945" s="40">
        <f t="shared" si="107"/>
        <v>3791.6666666666665</v>
      </c>
      <c r="X945" s="40">
        <f t="shared" si="107"/>
        <v>3791.6666666666665</v>
      </c>
      <c r="Y945" s="40">
        <f t="shared" si="107"/>
        <v>3791.6666666666665</v>
      </c>
      <c r="Z945" s="56">
        <f t="shared" si="107"/>
        <v>3791.6666666666665</v>
      </c>
      <c r="AA945" s="966">
        <f t="shared" si="105"/>
        <v>45499.999999999993</v>
      </c>
      <c r="AB945" s="35"/>
      <c r="AC945" s="183"/>
    </row>
    <row r="946" spans="1:29" x14ac:dyDescent="0.2">
      <c r="A946" s="1422"/>
      <c r="B946" s="2522"/>
      <c r="C946" s="2432"/>
      <c r="D946" s="2421"/>
      <c r="E946" s="2421"/>
      <c r="F946" s="2421"/>
      <c r="G946" s="2421"/>
      <c r="H946" s="2421"/>
      <c r="I946" s="2421"/>
      <c r="J946" s="2432"/>
      <c r="K946" s="40">
        <v>5000</v>
      </c>
      <c r="L946" s="3295"/>
      <c r="M946" s="3335" t="s">
        <v>303</v>
      </c>
      <c r="N946" s="3336"/>
      <c r="O946" s="37"/>
      <c r="P946" s="38"/>
      <c r="Q946" s="40">
        <f>$K946/2</f>
        <v>2500</v>
      </c>
      <c r="R946" s="38"/>
      <c r="S946" s="38"/>
      <c r="T946" s="38"/>
      <c r="U946" s="38"/>
      <c r="V946" s="40">
        <f>$K946/2</f>
        <v>2500</v>
      </c>
      <c r="W946" s="38"/>
      <c r="X946" s="38"/>
      <c r="Y946" s="38"/>
      <c r="Z946" s="54"/>
      <c r="AA946" s="966">
        <f t="shared" si="105"/>
        <v>5000</v>
      </c>
      <c r="AB946" s="35"/>
      <c r="AC946" s="183"/>
    </row>
    <row r="947" spans="1:29" x14ac:dyDescent="0.2">
      <c r="A947" s="1422"/>
      <c r="B947" s="2522"/>
      <c r="C947" s="2432"/>
      <c r="D947" s="2421"/>
      <c r="E947" s="2421"/>
      <c r="F947" s="2421"/>
      <c r="G947" s="2421"/>
      <c r="H947" s="2421"/>
      <c r="I947" s="2421"/>
      <c r="J947" s="2432"/>
      <c r="K947" s="40">
        <v>500</v>
      </c>
      <c r="L947" s="3295"/>
      <c r="M947" s="3335" t="s">
        <v>324</v>
      </c>
      <c r="N947" s="3336"/>
      <c r="O947" s="37"/>
      <c r="P947" s="40">
        <f>$K947</f>
        <v>500</v>
      </c>
      <c r="Q947" s="38"/>
      <c r="R947" s="38"/>
      <c r="S947" s="38"/>
      <c r="T947" s="38"/>
      <c r="U947" s="38"/>
      <c r="V947" s="38"/>
      <c r="W947" s="38"/>
      <c r="X947" s="38"/>
      <c r="Y947" s="38"/>
      <c r="Z947" s="54"/>
      <c r="AA947" s="966">
        <f t="shared" si="105"/>
        <v>500</v>
      </c>
      <c r="AB947" s="35"/>
      <c r="AC947" s="183"/>
    </row>
    <row r="948" spans="1:29" x14ac:dyDescent="0.2">
      <c r="A948" s="1422"/>
      <c r="B948" s="2522"/>
      <c r="C948" s="2432"/>
      <c r="D948" s="2421"/>
      <c r="E948" s="2421"/>
      <c r="F948" s="2421"/>
      <c r="G948" s="2421"/>
      <c r="H948" s="2421"/>
      <c r="I948" s="2421"/>
      <c r="J948" s="2432"/>
      <c r="K948" s="40">
        <v>803</v>
      </c>
      <c r="L948" s="3295"/>
      <c r="M948" s="3335" t="s">
        <v>348</v>
      </c>
      <c r="N948" s="3336"/>
      <c r="O948" s="40"/>
      <c r="P948" s="40"/>
      <c r="Q948" s="40">
        <f>$K948</f>
        <v>803</v>
      </c>
      <c r="R948" s="40"/>
      <c r="S948" s="40"/>
      <c r="T948" s="40"/>
      <c r="U948" s="40"/>
      <c r="V948" s="40"/>
      <c r="W948" s="40"/>
      <c r="X948" s="40"/>
      <c r="Y948" s="40"/>
      <c r="Z948" s="56"/>
      <c r="AA948" s="966">
        <f t="shared" si="105"/>
        <v>803</v>
      </c>
      <c r="AB948" s="35"/>
      <c r="AC948" s="183"/>
    </row>
    <row r="949" spans="1:29" x14ac:dyDescent="0.2">
      <c r="A949" s="1422"/>
      <c r="B949" s="2522"/>
      <c r="C949" s="2432"/>
      <c r="D949" s="2421"/>
      <c r="E949" s="2421"/>
      <c r="F949" s="2421"/>
      <c r="G949" s="2421"/>
      <c r="H949" s="2421"/>
      <c r="I949" s="2421"/>
      <c r="J949" s="2432"/>
      <c r="K949" s="40">
        <v>20000</v>
      </c>
      <c r="L949" s="3295"/>
      <c r="M949" s="3335" t="s">
        <v>393</v>
      </c>
      <c r="N949" s="3336"/>
      <c r="O949" s="47"/>
      <c r="P949" s="47"/>
      <c r="Q949" s="47"/>
      <c r="R949" s="40">
        <f>$K949/2</f>
        <v>10000</v>
      </c>
      <c r="S949" s="47"/>
      <c r="T949" s="47"/>
      <c r="U949" s="47"/>
      <c r="V949" s="40">
        <f>$K949/2</f>
        <v>10000</v>
      </c>
      <c r="W949" s="47"/>
      <c r="X949" s="47"/>
      <c r="Y949" s="47"/>
      <c r="Z949" s="55"/>
      <c r="AA949" s="966">
        <f t="shared" si="105"/>
        <v>20000</v>
      </c>
      <c r="AB949" s="35"/>
      <c r="AC949" s="183"/>
    </row>
    <row r="950" spans="1:29" x14ac:dyDescent="0.2">
      <c r="A950" s="1422"/>
      <c r="B950" s="2522"/>
      <c r="C950" s="2432"/>
      <c r="D950" s="2421"/>
      <c r="E950" s="2421"/>
      <c r="F950" s="2421"/>
      <c r="G950" s="2421"/>
      <c r="H950" s="2421"/>
      <c r="I950" s="2421"/>
      <c r="J950" s="2432"/>
      <c r="K950" s="40">
        <v>63210</v>
      </c>
      <c r="L950" s="3295"/>
      <c r="M950" s="3335" t="s">
        <v>343</v>
      </c>
      <c r="N950" s="3336"/>
      <c r="O950" s="47"/>
      <c r="P950" s="47"/>
      <c r="Q950" s="47"/>
      <c r="R950" s="47">
        <f>$K950*(1/23)</f>
        <v>2748.2608695652175</v>
      </c>
      <c r="S950" s="47">
        <f>$K950*(4/23)</f>
        <v>10993.04347826087</v>
      </c>
      <c r="T950" s="47">
        <f>$K950*(2/23)</f>
        <v>5496.521739130435</v>
      </c>
      <c r="U950" s="47">
        <f>$K950*(5/23)</f>
        <v>13741.304347826086</v>
      </c>
      <c r="V950" s="47">
        <f>$K950*(2/23)</f>
        <v>5496.521739130435</v>
      </c>
      <c r="W950" s="47">
        <f>$K950*(3/23)</f>
        <v>8244.782608695652</v>
      </c>
      <c r="X950" s="47">
        <f>$K950*(2/23)</f>
        <v>5496.521739130435</v>
      </c>
      <c r="Y950" s="47">
        <f>$K950*(3/23)</f>
        <v>8244.782608695652</v>
      </c>
      <c r="Z950" s="55">
        <f>$K950*(1/23)</f>
        <v>2748.2608695652175</v>
      </c>
      <c r="AA950" s="966">
        <f t="shared" si="105"/>
        <v>63209.999999999985</v>
      </c>
      <c r="AB950" s="35"/>
      <c r="AC950" s="183"/>
    </row>
    <row r="951" spans="1:29" x14ac:dyDescent="0.2">
      <c r="A951" s="1422"/>
      <c r="B951" s="2522"/>
      <c r="C951" s="2432"/>
      <c r="D951" s="2421"/>
      <c r="E951" s="2421"/>
      <c r="F951" s="2421"/>
      <c r="G951" s="2421"/>
      <c r="H951" s="2421"/>
      <c r="I951" s="2421"/>
      <c r="J951" s="2432"/>
      <c r="K951" s="40">
        <v>5000</v>
      </c>
      <c r="L951" s="3295"/>
      <c r="M951" s="3335" t="s">
        <v>306</v>
      </c>
      <c r="N951" s="3336"/>
      <c r="O951" s="37"/>
      <c r="P951" s="38"/>
      <c r="Q951" s="40">
        <f>$K951*(2/10)</f>
        <v>1000</v>
      </c>
      <c r="R951" s="40">
        <f>$K951*(1/10)</f>
        <v>500</v>
      </c>
      <c r="S951" s="40"/>
      <c r="T951" s="38"/>
      <c r="U951" s="40">
        <f>$K951*(1/10)</f>
        <v>500</v>
      </c>
      <c r="V951" s="40">
        <f>$K951*(2/10)</f>
        <v>1000</v>
      </c>
      <c r="W951" s="40">
        <f>$K951*(1/10)</f>
        <v>500</v>
      </c>
      <c r="X951" s="38"/>
      <c r="Y951" s="40">
        <f>$K951*(2/10)</f>
        <v>1000</v>
      </c>
      <c r="Z951" s="56">
        <f>$K951*(1/10)</f>
        <v>500</v>
      </c>
      <c r="AA951" s="966">
        <f t="shared" si="105"/>
        <v>5000</v>
      </c>
      <c r="AB951" s="35"/>
      <c r="AC951" s="183"/>
    </row>
    <row r="952" spans="1:29" x14ac:dyDescent="0.2">
      <c r="A952" s="1422"/>
      <c r="B952" s="2522"/>
      <c r="C952" s="2432"/>
      <c r="D952" s="2421"/>
      <c r="E952" s="2421"/>
      <c r="F952" s="2421"/>
      <c r="G952" s="2421"/>
      <c r="H952" s="2421"/>
      <c r="I952" s="2421"/>
      <c r="J952" s="2432"/>
      <c r="K952" s="40">
        <v>5000</v>
      </c>
      <c r="L952" s="3295"/>
      <c r="M952" s="3335" t="s">
        <v>307</v>
      </c>
      <c r="N952" s="3336"/>
      <c r="O952" s="37"/>
      <c r="P952" s="38"/>
      <c r="Q952" s="42">
        <f>$K952/10</f>
        <v>500</v>
      </c>
      <c r="R952" s="42">
        <f t="shared" ref="R952:Z952" si="108">$K952/10</f>
        <v>500</v>
      </c>
      <c r="S952" s="42">
        <f t="shared" si="108"/>
        <v>500</v>
      </c>
      <c r="T952" s="42">
        <f t="shared" si="108"/>
        <v>500</v>
      </c>
      <c r="U952" s="42">
        <f t="shared" si="108"/>
        <v>500</v>
      </c>
      <c r="V952" s="42">
        <f t="shared" si="108"/>
        <v>500</v>
      </c>
      <c r="W952" s="42">
        <f t="shared" si="108"/>
        <v>500</v>
      </c>
      <c r="X952" s="42">
        <f t="shared" si="108"/>
        <v>500</v>
      </c>
      <c r="Y952" s="42">
        <f t="shared" si="108"/>
        <v>500</v>
      </c>
      <c r="Z952" s="57">
        <f t="shared" si="108"/>
        <v>500</v>
      </c>
      <c r="AA952" s="966">
        <f t="shared" si="105"/>
        <v>5000</v>
      </c>
      <c r="AB952" s="35"/>
      <c r="AC952" s="183"/>
    </row>
    <row r="953" spans="1:29" x14ac:dyDescent="0.2">
      <c r="A953" s="1422"/>
      <c r="B953" s="2522"/>
      <c r="C953" s="2432"/>
      <c r="D953" s="2421"/>
      <c r="E953" s="2421"/>
      <c r="F953" s="2421"/>
      <c r="G953" s="2421"/>
      <c r="H953" s="2421"/>
      <c r="I953" s="2421"/>
      <c r="J953" s="2432"/>
      <c r="K953" s="40">
        <v>12500</v>
      </c>
      <c r="L953" s="3295"/>
      <c r="M953" s="3335" t="s">
        <v>309</v>
      </c>
      <c r="N953" s="3336"/>
      <c r="O953" s="37"/>
      <c r="P953" s="38"/>
      <c r="Q953" s="40">
        <f>$K953/5</f>
        <v>2500</v>
      </c>
      <c r="R953" s="40"/>
      <c r="S953" s="40">
        <f>$K953/5</f>
        <v>2500</v>
      </c>
      <c r="T953" s="38"/>
      <c r="U953" s="40">
        <f>$K953/5</f>
        <v>2500</v>
      </c>
      <c r="V953" s="38"/>
      <c r="W953" s="40">
        <f>$K953/5</f>
        <v>2500</v>
      </c>
      <c r="X953" s="38"/>
      <c r="Y953" s="40">
        <f>$K953/5</f>
        <v>2500</v>
      </c>
      <c r="Z953" s="54"/>
      <c r="AA953" s="966">
        <f t="shared" si="105"/>
        <v>12500</v>
      </c>
      <c r="AB953" s="35"/>
      <c r="AC953" s="183"/>
    </row>
    <row r="954" spans="1:29" x14ac:dyDescent="0.2">
      <c r="A954" s="1422"/>
      <c r="B954" s="2522"/>
      <c r="C954" s="2432"/>
      <c r="D954" s="2421"/>
      <c r="E954" s="2421"/>
      <c r="F954" s="2421"/>
      <c r="G954" s="2421"/>
      <c r="H954" s="2421"/>
      <c r="I954" s="2421"/>
      <c r="J954" s="2432"/>
      <c r="K954" s="40">
        <v>51391</v>
      </c>
      <c r="L954" s="3295"/>
      <c r="M954" s="3335" t="s">
        <v>311</v>
      </c>
      <c r="N954" s="3336"/>
      <c r="O954" s="40">
        <f t="shared" ref="O954:Z956" si="109">$K954/12</f>
        <v>4282.583333333333</v>
      </c>
      <c r="P954" s="40">
        <f t="shared" si="109"/>
        <v>4282.583333333333</v>
      </c>
      <c r="Q954" s="40">
        <f t="shared" si="109"/>
        <v>4282.583333333333</v>
      </c>
      <c r="R954" s="40">
        <f t="shared" si="109"/>
        <v>4282.583333333333</v>
      </c>
      <c r="S954" s="40">
        <f t="shared" si="109"/>
        <v>4282.583333333333</v>
      </c>
      <c r="T954" s="40">
        <f t="shared" si="109"/>
        <v>4282.583333333333</v>
      </c>
      <c r="U954" s="40">
        <f t="shared" si="109"/>
        <v>4282.583333333333</v>
      </c>
      <c r="V954" s="40">
        <f t="shared" si="109"/>
        <v>4282.583333333333</v>
      </c>
      <c r="W954" s="40">
        <f t="shared" si="109"/>
        <v>4282.583333333333</v>
      </c>
      <c r="X954" s="40">
        <f t="shared" si="109"/>
        <v>4282.583333333333</v>
      </c>
      <c r="Y954" s="40">
        <f t="shared" si="109"/>
        <v>4282.583333333333</v>
      </c>
      <c r="Z954" s="56">
        <f t="shared" si="109"/>
        <v>4282.583333333333</v>
      </c>
      <c r="AA954" s="966">
        <f t="shared" si="105"/>
        <v>51391.000000000007</v>
      </c>
      <c r="AB954" s="35"/>
      <c r="AC954" s="183"/>
    </row>
    <row r="955" spans="1:29" x14ac:dyDescent="0.2">
      <c r="A955" s="1422"/>
      <c r="B955" s="2522"/>
      <c r="C955" s="2432"/>
      <c r="D955" s="2421"/>
      <c r="E955" s="2421"/>
      <c r="F955" s="2421"/>
      <c r="G955" s="2421"/>
      <c r="H955" s="2421"/>
      <c r="I955" s="2421"/>
      <c r="J955" s="2432"/>
      <c r="K955" s="40">
        <v>746798</v>
      </c>
      <c r="L955" s="3295"/>
      <c r="M955" s="3335" t="s">
        <v>310</v>
      </c>
      <c r="N955" s="3336"/>
      <c r="O955" s="40">
        <f t="shared" si="109"/>
        <v>62233.166666666664</v>
      </c>
      <c r="P955" s="40">
        <f t="shared" si="109"/>
        <v>62233.166666666664</v>
      </c>
      <c r="Q955" s="40">
        <f t="shared" si="109"/>
        <v>62233.166666666664</v>
      </c>
      <c r="R955" s="40">
        <f t="shared" si="109"/>
        <v>62233.166666666664</v>
      </c>
      <c r="S955" s="40">
        <f t="shared" si="109"/>
        <v>62233.166666666664</v>
      </c>
      <c r="T955" s="40">
        <f t="shared" si="109"/>
        <v>62233.166666666664</v>
      </c>
      <c r="U955" s="40">
        <f t="shared" si="109"/>
        <v>62233.166666666664</v>
      </c>
      <c r="V955" s="40">
        <f t="shared" si="109"/>
        <v>62233.166666666664</v>
      </c>
      <c r="W955" s="40">
        <f t="shared" si="109"/>
        <v>62233.166666666664</v>
      </c>
      <c r="X955" s="40">
        <f t="shared" si="109"/>
        <v>62233.166666666664</v>
      </c>
      <c r="Y955" s="40">
        <f t="shared" si="109"/>
        <v>62233.166666666664</v>
      </c>
      <c r="Z955" s="56">
        <f t="shared" si="109"/>
        <v>62233.166666666664</v>
      </c>
      <c r="AA955" s="966">
        <f t="shared" si="105"/>
        <v>746797.99999999988</v>
      </c>
      <c r="AB955" s="35"/>
      <c r="AC955" s="183"/>
    </row>
    <row r="956" spans="1:29" x14ac:dyDescent="0.2">
      <c r="A956" s="1422"/>
      <c r="B956" s="2522"/>
      <c r="C956" s="2437"/>
      <c r="D956" s="2421"/>
      <c r="E956" s="2421"/>
      <c r="F956" s="2421"/>
      <c r="G956" s="2421"/>
      <c r="H956" s="2421"/>
      <c r="I956" s="2421"/>
      <c r="J956" s="2437"/>
      <c r="K956" s="40">
        <v>344605</v>
      </c>
      <c r="L956" s="3296"/>
      <c r="M956" s="3335" t="s">
        <v>397</v>
      </c>
      <c r="N956" s="3336"/>
      <c r="O956" s="40">
        <f>$K956/12</f>
        <v>28717.083333333332</v>
      </c>
      <c r="P956" s="40">
        <f t="shared" si="109"/>
        <v>28717.083333333332</v>
      </c>
      <c r="Q956" s="40">
        <f t="shared" si="109"/>
        <v>28717.083333333332</v>
      </c>
      <c r="R956" s="40">
        <f t="shared" si="109"/>
        <v>28717.083333333332</v>
      </c>
      <c r="S956" s="40">
        <f t="shared" si="109"/>
        <v>28717.083333333332</v>
      </c>
      <c r="T956" s="40">
        <f t="shared" si="109"/>
        <v>28717.083333333332</v>
      </c>
      <c r="U956" s="40">
        <f t="shared" si="109"/>
        <v>28717.083333333332</v>
      </c>
      <c r="V956" s="40">
        <f t="shared" si="109"/>
        <v>28717.083333333332</v>
      </c>
      <c r="W956" s="40">
        <f t="shared" si="109"/>
        <v>28717.083333333332</v>
      </c>
      <c r="X956" s="40">
        <f t="shared" si="109"/>
        <v>28717.083333333332</v>
      </c>
      <c r="Y956" s="40">
        <f t="shared" si="109"/>
        <v>28717.083333333332</v>
      </c>
      <c r="Z956" s="56">
        <f>$K956/12</f>
        <v>28717.083333333332</v>
      </c>
      <c r="AA956" s="966">
        <f t="shared" si="105"/>
        <v>344605</v>
      </c>
      <c r="AB956" s="35"/>
      <c r="AC956" s="183"/>
    </row>
    <row r="957" spans="1:29" ht="22.5" customHeight="1" x14ac:dyDescent="0.2">
      <c r="A957" s="1422"/>
      <c r="B957" s="1424" t="s">
        <v>276</v>
      </c>
      <c r="C957" s="107"/>
      <c r="D957" s="38">
        <v>3033296</v>
      </c>
      <c r="E957" s="149" t="s">
        <v>487</v>
      </c>
      <c r="F957" s="150"/>
      <c r="G957" s="151"/>
      <c r="H957" s="38"/>
      <c r="I957" s="35"/>
      <c r="J957" s="35"/>
      <c r="K957" s="60"/>
      <c r="L957" s="60"/>
      <c r="M957" s="181"/>
      <c r="N957" s="181"/>
      <c r="O957" s="60"/>
      <c r="P957" s="60"/>
      <c r="Q957" s="60"/>
      <c r="R957" s="60"/>
      <c r="S957" s="2922" t="s">
        <v>15</v>
      </c>
      <c r="T957" s="2922"/>
      <c r="U957" s="2922"/>
      <c r="V957" s="2922"/>
      <c r="W957" s="2922"/>
      <c r="X957" s="2922"/>
      <c r="Y957" s="2922"/>
      <c r="Z957" s="2974" t="s">
        <v>16</v>
      </c>
      <c r="AA957" s="2976"/>
      <c r="AB957" s="35"/>
      <c r="AC957" s="183"/>
    </row>
    <row r="958" spans="1:29" ht="24" customHeight="1" x14ac:dyDescent="0.2">
      <c r="A958" s="1422"/>
      <c r="B958" s="1424"/>
      <c r="C958" s="107"/>
      <c r="D958" s="38"/>
      <c r="E958" s="149"/>
      <c r="F958" s="150"/>
      <c r="G958" s="151"/>
      <c r="H958" s="38"/>
      <c r="I958" s="35"/>
      <c r="J958" s="35"/>
      <c r="K958" s="60"/>
      <c r="L958" s="60"/>
      <c r="M958" s="181"/>
      <c r="N958" s="181"/>
      <c r="O958" s="60"/>
      <c r="P958" s="60"/>
      <c r="Q958" s="60"/>
      <c r="R958" s="60"/>
      <c r="S958" s="3233" t="s">
        <v>488</v>
      </c>
      <c r="T958" s="3233"/>
      <c r="U958" s="3233"/>
      <c r="V958" s="3233"/>
      <c r="W958" s="3233"/>
      <c r="X958" s="3233"/>
      <c r="Y958" s="3233"/>
      <c r="Z958" s="2974" t="s">
        <v>489</v>
      </c>
      <c r="AA958" s="2976"/>
      <c r="AB958" s="35"/>
      <c r="AC958" s="183"/>
    </row>
    <row r="959" spans="1:29" ht="15" customHeight="1" x14ac:dyDescent="0.2">
      <c r="A959" s="1422"/>
      <c r="B959" s="2999" t="s">
        <v>278</v>
      </c>
      <c r="C959" s="2988" t="s">
        <v>21</v>
      </c>
      <c r="D959" s="2847" t="s">
        <v>22</v>
      </c>
      <c r="E959" s="2847" t="s">
        <v>23</v>
      </c>
      <c r="F959" s="2847" t="s">
        <v>24</v>
      </c>
      <c r="G959" s="2847" t="s">
        <v>25</v>
      </c>
      <c r="H959" s="2847" t="s">
        <v>26</v>
      </c>
      <c r="I959" s="2847" t="s">
        <v>27</v>
      </c>
      <c r="J959" s="3206" t="s">
        <v>28</v>
      </c>
      <c r="K959" s="3301"/>
      <c r="L959" s="2847" t="s">
        <v>279</v>
      </c>
      <c r="M959" s="3273" t="s">
        <v>280</v>
      </c>
      <c r="N959" s="3274"/>
      <c r="O959" s="2847" t="s">
        <v>3113</v>
      </c>
      <c r="P959" s="2847"/>
      <c r="Q959" s="2847"/>
      <c r="R959" s="2847"/>
      <c r="S959" s="2847"/>
      <c r="T959" s="2847"/>
      <c r="U959" s="2847"/>
      <c r="V959" s="2847"/>
      <c r="W959" s="2847"/>
      <c r="X959" s="2847"/>
      <c r="Y959" s="2847"/>
      <c r="Z959" s="2847"/>
      <c r="AA959" s="3217" t="s">
        <v>32</v>
      </c>
      <c r="AB959" s="35"/>
      <c r="AC959" s="183"/>
    </row>
    <row r="960" spans="1:29" ht="14.25" customHeight="1" x14ac:dyDescent="0.2">
      <c r="A960" s="1422"/>
      <c r="B960" s="2999"/>
      <c r="C960" s="3186"/>
      <c r="D960" s="2847"/>
      <c r="E960" s="2847"/>
      <c r="F960" s="2847"/>
      <c r="G960" s="2847"/>
      <c r="H960" s="2847"/>
      <c r="I960" s="2847"/>
      <c r="J960" s="2988" t="s">
        <v>33</v>
      </c>
      <c r="K960" s="3206" t="s">
        <v>282</v>
      </c>
      <c r="L960" s="2847"/>
      <c r="M960" s="3275"/>
      <c r="N960" s="3276"/>
      <c r="O960" s="1009" t="s">
        <v>283</v>
      </c>
      <c r="P960" s="1009" t="s">
        <v>284</v>
      </c>
      <c r="Q960" s="1009" t="s">
        <v>285</v>
      </c>
      <c r="R960" s="1009" t="s">
        <v>88</v>
      </c>
      <c r="S960" s="1009" t="s">
        <v>89</v>
      </c>
      <c r="T960" s="1009" t="s">
        <v>90</v>
      </c>
      <c r="U960" s="1009" t="s">
        <v>91</v>
      </c>
      <c r="V960" s="1009" t="s">
        <v>92</v>
      </c>
      <c r="W960" s="1009" t="s">
        <v>286</v>
      </c>
      <c r="X960" s="1009" t="s">
        <v>93</v>
      </c>
      <c r="Y960" s="1009" t="s">
        <v>94</v>
      </c>
      <c r="Z960" s="1009" t="s">
        <v>95</v>
      </c>
      <c r="AA960" s="3218"/>
      <c r="AB960" s="35"/>
      <c r="AC960" s="183"/>
    </row>
    <row r="961" spans="1:29" x14ac:dyDescent="0.2">
      <c r="A961" s="1422"/>
      <c r="B961" s="2999"/>
      <c r="C961" s="3186"/>
      <c r="D961" s="2847"/>
      <c r="E961" s="2847"/>
      <c r="F961" s="2847"/>
      <c r="G961" s="2847"/>
      <c r="H961" s="2847"/>
      <c r="I961" s="2847"/>
      <c r="J961" s="3186"/>
      <c r="K961" s="3206"/>
      <c r="L961" s="2847"/>
      <c r="M961" s="3271" t="s">
        <v>287</v>
      </c>
      <c r="N961" s="3272"/>
      <c r="O961" s="1095">
        <v>260.25</v>
      </c>
      <c r="P961" s="1095">
        <v>260</v>
      </c>
      <c r="Q961" s="1095">
        <v>262</v>
      </c>
      <c r="R961" s="1095">
        <v>261</v>
      </c>
      <c r="S961" s="1095">
        <v>260</v>
      </c>
      <c r="T961" s="1095">
        <v>260</v>
      </c>
      <c r="U961" s="1095">
        <v>260</v>
      </c>
      <c r="V961" s="1095">
        <v>260</v>
      </c>
      <c r="W961" s="1095">
        <v>260</v>
      </c>
      <c r="X961" s="1095">
        <v>260</v>
      </c>
      <c r="Y961" s="1095">
        <v>260</v>
      </c>
      <c r="Z961" s="1144">
        <v>260</v>
      </c>
      <c r="AA961" s="1196">
        <f t="shared" ref="AA961:AA980" si="110">SUM(O961:Z961)</f>
        <v>3123.25</v>
      </c>
      <c r="AB961" s="35"/>
      <c r="AC961" s="183"/>
    </row>
    <row r="962" spans="1:29" x14ac:dyDescent="0.2">
      <c r="A962" s="1422"/>
      <c r="B962" s="2999"/>
      <c r="C962" s="2989"/>
      <c r="D962" s="2847"/>
      <c r="E962" s="2847"/>
      <c r="F962" s="2847"/>
      <c r="G962" s="2847"/>
      <c r="H962" s="2847"/>
      <c r="I962" s="2847"/>
      <c r="J962" s="2989"/>
      <c r="K962" s="3206"/>
      <c r="L962" s="2847"/>
      <c r="M962" s="3271" t="s">
        <v>34</v>
      </c>
      <c r="N962" s="3272"/>
      <c r="O962" s="36">
        <f>SUM(O963:O980)</f>
        <v>292376.66666666669</v>
      </c>
      <c r="P962" s="36">
        <f t="shared" ref="P962:Z962" si="111">SUM(P963:P980)</f>
        <v>268176.66666666663</v>
      </c>
      <c r="Q962" s="36">
        <f t="shared" si="111"/>
        <v>268588.66666666663</v>
      </c>
      <c r="R962" s="36">
        <f t="shared" si="111"/>
        <v>274642.96666666662</v>
      </c>
      <c r="S962" s="36">
        <f t="shared" si="111"/>
        <v>268642.96666666662</v>
      </c>
      <c r="T962" s="36">
        <f t="shared" si="111"/>
        <v>269498.7666666666</v>
      </c>
      <c r="U962" s="36">
        <f t="shared" si="111"/>
        <v>286501.96666666667</v>
      </c>
      <c r="V962" s="36">
        <f t="shared" si="111"/>
        <v>274965.06666666665</v>
      </c>
      <c r="W962" s="36">
        <f t="shared" si="111"/>
        <v>268320.86666666664</v>
      </c>
      <c r="X962" s="36">
        <f t="shared" si="111"/>
        <v>267998.7666666666</v>
      </c>
      <c r="Y962" s="36">
        <f t="shared" si="111"/>
        <v>268320.86666666664</v>
      </c>
      <c r="Z962" s="52">
        <f t="shared" si="111"/>
        <v>285857.76666666666</v>
      </c>
      <c r="AA962" s="1196">
        <f t="shared" si="110"/>
        <v>3293892</v>
      </c>
      <c r="AB962" s="35"/>
      <c r="AC962" s="183"/>
    </row>
    <row r="963" spans="1:29" ht="11.25" customHeight="1" x14ac:dyDescent="0.2">
      <c r="A963" s="1422"/>
      <c r="B963" s="2522">
        <v>5000046</v>
      </c>
      <c r="C963" s="2431" t="s">
        <v>3059</v>
      </c>
      <c r="D963" s="2421">
        <v>33</v>
      </c>
      <c r="E963" s="2421" t="s">
        <v>407</v>
      </c>
      <c r="F963" s="2421" t="s">
        <v>386</v>
      </c>
      <c r="G963" s="2421" t="s">
        <v>423</v>
      </c>
      <c r="H963" s="2421" t="s">
        <v>337</v>
      </c>
      <c r="I963" s="2421" t="s">
        <v>490</v>
      </c>
      <c r="J963" s="2431">
        <v>3123</v>
      </c>
      <c r="K963" s="40">
        <v>1782024</v>
      </c>
      <c r="L963" s="3294" t="s">
        <v>446</v>
      </c>
      <c r="M963" s="3335" t="s">
        <v>293</v>
      </c>
      <c r="N963" s="3336"/>
      <c r="O963" s="37">
        <f>$K963/12</f>
        <v>148502</v>
      </c>
      <c r="P963" s="37">
        <f t="shared" ref="P963:Z963" si="112">$K963/12</f>
        <v>148502</v>
      </c>
      <c r="Q963" s="37">
        <f t="shared" si="112"/>
        <v>148502</v>
      </c>
      <c r="R963" s="37">
        <f t="shared" si="112"/>
        <v>148502</v>
      </c>
      <c r="S963" s="37">
        <f t="shared" si="112"/>
        <v>148502</v>
      </c>
      <c r="T963" s="37">
        <f t="shared" si="112"/>
        <v>148502</v>
      </c>
      <c r="U963" s="37">
        <f t="shared" si="112"/>
        <v>148502</v>
      </c>
      <c r="V963" s="37">
        <f t="shared" si="112"/>
        <v>148502</v>
      </c>
      <c r="W963" s="37">
        <f t="shared" si="112"/>
        <v>148502</v>
      </c>
      <c r="X963" s="37">
        <f t="shared" si="112"/>
        <v>148502</v>
      </c>
      <c r="Y963" s="37">
        <f t="shared" si="112"/>
        <v>148502</v>
      </c>
      <c r="Z963" s="53">
        <f t="shared" si="112"/>
        <v>148502</v>
      </c>
      <c r="AA963" s="966">
        <f t="shared" si="110"/>
        <v>1782024</v>
      </c>
      <c r="AB963" s="35"/>
      <c r="AC963" s="183"/>
    </row>
    <row r="964" spans="1:29" x14ac:dyDescent="0.2">
      <c r="A964" s="1422"/>
      <c r="B964" s="2522"/>
      <c r="C964" s="2432"/>
      <c r="D964" s="2421"/>
      <c r="E964" s="2421"/>
      <c r="F964" s="2421"/>
      <c r="G964" s="2421"/>
      <c r="H964" s="2421"/>
      <c r="I964" s="2421"/>
      <c r="J964" s="2432"/>
      <c r="K964" s="40">
        <v>138540</v>
      </c>
      <c r="L964" s="3295"/>
      <c r="M964" s="3335" t="s">
        <v>321</v>
      </c>
      <c r="N964" s="3336"/>
      <c r="O964" s="37">
        <f t="shared" ref="O964:Z971" si="113">$K964/12</f>
        <v>11545</v>
      </c>
      <c r="P964" s="37">
        <f t="shared" si="113"/>
        <v>11545</v>
      </c>
      <c r="Q964" s="37">
        <f t="shared" si="113"/>
        <v>11545</v>
      </c>
      <c r="R964" s="37">
        <f t="shared" si="113"/>
        <v>11545</v>
      </c>
      <c r="S964" s="37">
        <f t="shared" si="113"/>
        <v>11545</v>
      </c>
      <c r="T964" s="37">
        <f t="shared" si="113"/>
        <v>11545</v>
      </c>
      <c r="U964" s="37">
        <f t="shared" si="113"/>
        <v>11545</v>
      </c>
      <c r="V964" s="37">
        <f t="shared" si="113"/>
        <v>11545</v>
      </c>
      <c r="W964" s="37">
        <f t="shared" si="113"/>
        <v>11545</v>
      </c>
      <c r="X964" s="37">
        <f t="shared" si="113"/>
        <v>11545</v>
      </c>
      <c r="Y964" s="37">
        <f t="shared" si="113"/>
        <v>11545</v>
      </c>
      <c r="Z964" s="53">
        <f t="shared" si="113"/>
        <v>11545</v>
      </c>
      <c r="AA964" s="966">
        <f t="shared" si="110"/>
        <v>138540</v>
      </c>
      <c r="AB964" s="35"/>
      <c r="AC964" s="183"/>
    </row>
    <row r="965" spans="1:29" x14ac:dyDescent="0.2">
      <c r="A965" s="1422"/>
      <c r="B965" s="2522"/>
      <c r="C965" s="2432"/>
      <c r="D965" s="2421"/>
      <c r="E965" s="2421"/>
      <c r="F965" s="2421"/>
      <c r="G965" s="2421"/>
      <c r="H965" s="2421"/>
      <c r="I965" s="2421"/>
      <c r="J965" s="2432"/>
      <c r="K965" s="40">
        <v>345480</v>
      </c>
      <c r="L965" s="3295"/>
      <c r="M965" s="3335" t="s">
        <v>295</v>
      </c>
      <c r="N965" s="3336"/>
      <c r="O965" s="37">
        <f t="shared" si="113"/>
        <v>28790</v>
      </c>
      <c r="P965" s="37">
        <f t="shared" si="113"/>
        <v>28790</v>
      </c>
      <c r="Q965" s="37">
        <f t="shared" si="113"/>
        <v>28790</v>
      </c>
      <c r="R965" s="37">
        <f t="shared" si="113"/>
        <v>28790</v>
      </c>
      <c r="S965" s="37">
        <f t="shared" si="113"/>
        <v>28790</v>
      </c>
      <c r="T965" s="37">
        <f t="shared" si="113"/>
        <v>28790</v>
      </c>
      <c r="U965" s="37">
        <f t="shared" si="113"/>
        <v>28790</v>
      </c>
      <c r="V965" s="37">
        <f t="shared" si="113"/>
        <v>28790</v>
      </c>
      <c r="W965" s="37">
        <f t="shared" si="113"/>
        <v>28790</v>
      </c>
      <c r="X965" s="37">
        <f t="shared" si="113"/>
        <v>28790</v>
      </c>
      <c r="Y965" s="37">
        <f t="shared" si="113"/>
        <v>28790</v>
      </c>
      <c r="Z965" s="53">
        <f t="shared" si="113"/>
        <v>28790</v>
      </c>
      <c r="AA965" s="966">
        <f t="shared" si="110"/>
        <v>345480</v>
      </c>
      <c r="AB965" s="35"/>
      <c r="AC965" s="183"/>
    </row>
    <row r="966" spans="1:29" x14ac:dyDescent="0.2">
      <c r="A966" s="1422"/>
      <c r="B966" s="2522"/>
      <c r="C966" s="2432"/>
      <c r="D966" s="2421"/>
      <c r="E966" s="2421"/>
      <c r="F966" s="2421"/>
      <c r="G966" s="2421"/>
      <c r="H966" s="2421"/>
      <c r="I966" s="2421"/>
      <c r="J966" s="2432"/>
      <c r="K966" s="40">
        <v>505898</v>
      </c>
      <c r="L966" s="3295"/>
      <c r="M966" s="3335" t="s">
        <v>296</v>
      </c>
      <c r="N966" s="3336"/>
      <c r="O966" s="37">
        <f t="shared" si="113"/>
        <v>42158.166666666664</v>
      </c>
      <c r="P966" s="37">
        <f t="shared" si="113"/>
        <v>42158.166666666664</v>
      </c>
      <c r="Q966" s="37">
        <f t="shared" si="113"/>
        <v>42158.166666666664</v>
      </c>
      <c r="R966" s="37">
        <f t="shared" si="113"/>
        <v>42158.166666666664</v>
      </c>
      <c r="S966" s="37">
        <f t="shared" si="113"/>
        <v>42158.166666666664</v>
      </c>
      <c r="T966" s="37">
        <f t="shared" si="113"/>
        <v>42158.166666666664</v>
      </c>
      <c r="U966" s="37">
        <f t="shared" si="113"/>
        <v>42158.166666666664</v>
      </c>
      <c r="V966" s="37">
        <f t="shared" si="113"/>
        <v>42158.166666666664</v>
      </c>
      <c r="W966" s="37">
        <f t="shared" si="113"/>
        <v>42158.166666666664</v>
      </c>
      <c r="X966" s="37">
        <f t="shared" si="113"/>
        <v>42158.166666666664</v>
      </c>
      <c r="Y966" s="37">
        <f t="shared" si="113"/>
        <v>42158.166666666664</v>
      </c>
      <c r="Z966" s="53">
        <f t="shared" si="113"/>
        <v>42158.166666666664</v>
      </c>
      <c r="AA966" s="966">
        <f t="shared" si="110"/>
        <v>505898.00000000006</v>
      </c>
      <c r="AB966" s="35"/>
      <c r="AC966" s="183"/>
    </row>
    <row r="967" spans="1:29" x14ac:dyDescent="0.2">
      <c r="A967" s="1422"/>
      <c r="B967" s="2522"/>
      <c r="C967" s="2432"/>
      <c r="D967" s="2421"/>
      <c r="E967" s="2421"/>
      <c r="F967" s="2421"/>
      <c r="G967" s="2421"/>
      <c r="H967" s="2421"/>
      <c r="I967" s="2421"/>
      <c r="J967" s="2432"/>
      <c r="K967" s="40">
        <v>76985</v>
      </c>
      <c r="L967" s="3295"/>
      <c r="M967" s="3335" t="s">
        <v>297</v>
      </c>
      <c r="N967" s="3336"/>
      <c r="O967" s="37">
        <f t="shared" si="113"/>
        <v>6415.416666666667</v>
      </c>
      <c r="P967" s="37">
        <f t="shared" si="113"/>
        <v>6415.416666666667</v>
      </c>
      <c r="Q967" s="37">
        <f t="shared" si="113"/>
        <v>6415.416666666667</v>
      </c>
      <c r="R967" s="37">
        <f t="shared" si="113"/>
        <v>6415.416666666667</v>
      </c>
      <c r="S967" s="37">
        <f t="shared" si="113"/>
        <v>6415.416666666667</v>
      </c>
      <c r="T967" s="37">
        <f t="shared" si="113"/>
        <v>6415.416666666667</v>
      </c>
      <c r="U967" s="37">
        <f t="shared" si="113"/>
        <v>6415.416666666667</v>
      </c>
      <c r="V967" s="37">
        <f t="shared" si="113"/>
        <v>6415.416666666667</v>
      </c>
      <c r="W967" s="37">
        <f t="shared" si="113"/>
        <v>6415.416666666667</v>
      </c>
      <c r="X967" s="37">
        <f t="shared" si="113"/>
        <v>6415.416666666667</v>
      </c>
      <c r="Y967" s="37">
        <f t="shared" si="113"/>
        <v>6415.416666666667</v>
      </c>
      <c r="Z967" s="53">
        <f t="shared" si="113"/>
        <v>6415.416666666667</v>
      </c>
      <c r="AA967" s="966">
        <f t="shared" si="110"/>
        <v>76985</v>
      </c>
      <c r="AB967" s="35"/>
      <c r="AC967" s="183"/>
    </row>
    <row r="968" spans="1:29" x14ac:dyDescent="0.2">
      <c r="A968" s="1422"/>
      <c r="B968" s="2522"/>
      <c r="C968" s="2432"/>
      <c r="D968" s="2421"/>
      <c r="E968" s="2421"/>
      <c r="F968" s="2421"/>
      <c r="G968" s="2421"/>
      <c r="H968" s="2421"/>
      <c r="I968" s="2421"/>
      <c r="J968" s="2432"/>
      <c r="K968" s="40">
        <v>35718</v>
      </c>
      <c r="L968" s="3295"/>
      <c r="M968" s="3335" t="s">
        <v>298</v>
      </c>
      <c r="N968" s="3336"/>
      <c r="O968" s="37"/>
      <c r="P968" s="38"/>
      <c r="Q968" s="38"/>
      <c r="R968" s="38"/>
      <c r="S968" s="38"/>
      <c r="T968" s="38"/>
      <c r="U968" s="37">
        <f>$K968/2</f>
        <v>17859</v>
      </c>
      <c r="V968" s="38"/>
      <c r="W968" s="38"/>
      <c r="X968" s="38"/>
      <c r="Y968" s="38"/>
      <c r="Z968" s="53">
        <f>$K968/2</f>
        <v>17859</v>
      </c>
      <c r="AA968" s="966">
        <f t="shared" si="110"/>
        <v>35718</v>
      </c>
      <c r="AB968" s="35"/>
      <c r="AC968" s="183"/>
    </row>
    <row r="969" spans="1:29" x14ac:dyDescent="0.2">
      <c r="A969" s="1422"/>
      <c r="B969" s="2522"/>
      <c r="C969" s="2432"/>
      <c r="D969" s="2421"/>
      <c r="E969" s="2421"/>
      <c r="F969" s="2421"/>
      <c r="G969" s="2421"/>
      <c r="H969" s="2421"/>
      <c r="I969" s="2421"/>
      <c r="J969" s="2432"/>
      <c r="K969" s="40">
        <v>23200</v>
      </c>
      <c r="L969" s="3295"/>
      <c r="M969" s="3335" t="s">
        <v>299</v>
      </c>
      <c r="N969" s="3336"/>
      <c r="O969" s="37">
        <f>$K969</f>
        <v>23200</v>
      </c>
      <c r="P969" s="38"/>
      <c r="Q969" s="37"/>
      <c r="R969" s="38"/>
      <c r="S969" s="38"/>
      <c r="T969" s="38"/>
      <c r="U969" s="38"/>
      <c r="V969" s="38"/>
      <c r="W969" s="38"/>
      <c r="X969" s="38"/>
      <c r="Y969" s="38"/>
      <c r="Z969" s="54"/>
      <c r="AA969" s="966">
        <f t="shared" si="110"/>
        <v>23200</v>
      </c>
      <c r="AB969" s="35"/>
      <c r="AC969" s="183"/>
    </row>
    <row r="970" spans="1:29" x14ac:dyDescent="0.2">
      <c r="A970" s="1422"/>
      <c r="B970" s="2522"/>
      <c r="C970" s="2432"/>
      <c r="D970" s="2421"/>
      <c r="E970" s="2421"/>
      <c r="F970" s="2421"/>
      <c r="G970" s="2421"/>
      <c r="H970" s="2421"/>
      <c r="I970" s="2421"/>
      <c r="J970" s="2432"/>
      <c r="K970" s="40">
        <v>132785</v>
      </c>
      <c r="L970" s="3295"/>
      <c r="M970" s="3335" t="s">
        <v>300</v>
      </c>
      <c r="N970" s="3336"/>
      <c r="O970" s="37">
        <f t="shared" si="113"/>
        <v>11065.416666666666</v>
      </c>
      <c r="P970" s="37">
        <f t="shared" si="113"/>
        <v>11065.416666666666</v>
      </c>
      <c r="Q970" s="37">
        <f t="shared" si="113"/>
        <v>11065.416666666666</v>
      </c>
      <c r="R970" s="37">
        <f t="shared" si="113"/>
        <v>11065.416666666666</v>
      </c>
      <c r="S970" s="37">
        <f t="shared" si="113"/>
        <v>11065.416666666666</v>
      </c>
      <c r="T970" s="37">
        <f t="shared" si="113"/>
        <v>11065.416666666666</v>
      </c>
      <c r="U970" s="37">
        <f t="shared" si="113"/>
        <v>11065.416666666666</v>
      </c>
      <c r="V970" s="37">
        <f t="shared" si="113"/>
        <v>11065.416666666666</v>
      </c>
      <c r="W970" s="37">
        <f t="shared" si="113"/>
        <v>11065.416666666666</v>
      </c>
      <c r="X970" s="37">
        <f t="shared" si="113"/>
        <v>11065.416666666666</v>
      </c>
      <c r="Y970" s="37">
        <f t="shared" si="113"/>
        <v>11065.416666666666</v>
      </c>
      <c r="Z970" s="53">
        <f t="shared" si="113"/>
        <v>11065.416666666666</v>
      </c>
      <c r="AA970" s="966">
        <f t="shared" si="110"/>
        <v>132785.00000000003</v>
      </c>
      <c r="AB970" s="35"/>
      <c r="AC970" s="183"/>
    </row>
    <row r="971" spans="1:29" x14ac:dyDescent="0.2">
      <c r="A971" s="1422"/>
      <c r="B971" s="2522"/>
      <c r="C971" s="2432"/>
      <c r="D971" s="2421"/>
      <c r="E971" s="2421"/>
      <c r="F971" s="2421"/>
      <c r="G971" s="2421"/>
      <c r="H971" s="2421"/>
      <c r="I971" s="2421"/>
      <c r="J971" s="2432"/>
      <c r="K971" s="40">
        <v>4989</v>
      </c>
      <c r="L971" s="3295"/>
      <c r="M971" s="3335" t="s">
        <v>301</v>
      </c>
      <c r="N971" s="3336"/>
      <c r="O971" s="37">
        <f t="shared" si="113"/>
        <v>415.75</v>
      </c>
      <c r="P971" s="37">
        <f t="shared" si="113"/>
        <v>415.75</v>
      </c>
      <c r="Q971" s="37">
        <f t="shared" si="113"/>
        <v>415.75</v>
      </c>
      <c r="R971" s="37">
        <f t="shared" si="113"/>
        <v>415.75</v>
      </c>
      <c r="S971" s="37">
        <f t="shared" si="113"/>
        <v>415.75</v>
      </c>
      <c r="T971" s="37">
        <f t="shared" si="113"/>
        <v>415.75</v>
      </c>
      <c r="U971" s="37">
        <f t="shared" si="113"/>
        <v>415.75</v>
      </c>
      <c r="V971" s="37">
        <f t="shared" si="113"/>
        <v>415.75</v>
      </c>
      <c r="W971" s="37">
        <f t="shared" si="113"/>
        <v>415.75</v>
      </c>
      <c r="X971" s="37">
        <f t="shared" si="113"/>
        <v>415.75</v>
      </c>
      <c r="Y971" s="37">
        <f t="shared" si="113"/>
        <v>415.75</v>
      </c>
      <c r="Z971" s="53">
        <f t="shared" si="113"/>
        <v>415.75</v>
      </c>
      <c r="AA971" s="966">
        <f t="shared" si="110"/>
        <v>4989</v>
      </c>
      <c r="AB971" s="35"/>
      <c r="AC971" s="183"/>
    </row>
    <row r="972" spans="1:29" x14ac:dyDescent="0.2">
      <c r="A972" s="1422"/>
      <c r="B972" s="2522"/>
      <c r="C972" s="2432"/>
      <c r="D972" s="2421"/>
      <c r="E972" s="2421"/>
      <c r="F972" s="2421"/>
      <c r="G972" s="2421"/>
      <c r="H972" s="2421"/>
      <c r="I972" s="2421"/>
      <c r="J972" s="2432"/>
      <c r="K972" s="40">
        <v>3000</v>
      </c>
      <c r="L972" s="3295"/>
      <c r="M972" s="3335" t="s">
        <v>380</v>
      </c>
      <c r="N972" s="3336"/>
      <c r="O972" s="40">
        <f>$K972/2</f>
        <v>1500</v>
      </c>
      <c r="P972" s="38"/>
      <c r="Q972" s="38"/>
      <c r="R972" s="38"/>
      <c r="S972" s="38"/>
      <c r="T972" s="40">
        <f>$K972/2</f>
        <v>1500</v>
      </c>
      <c r="U972" s="38"/>
      <c r="V972" s="38"/>
      <c r="W972" s="38"/>
      <c r="X972" s="38"/>
      <c r="Y972" s="38"/>
      <c r="Z972" s="54"/>
      <c r="AA972" s="966">
        <f t="shared" si="110"/>
        <v>3000</v>
      </c>
      <c r="AB972" s="35"/>
      <c r="AC972" s="183"/>
    </row>
    <row r="973" spans="1:29" x14ac:dyDescent="0.2">
      <c r="A973" s="1422"/>
      <c r="B973" s="2522"/>
      <c r="C973" s="2432"/>
      <c r="D973" s="2421"/>
      <c r="E973" s="2421"/>
      <c r="F973" s="2421"/>
      <c r="G973" s="2421"/>
      <c r="H973" s="2421"/>
      <c r="I973" s="2421"/>
      <c r="J973" s="2432"/>
      <c r="K973" s="40">
        <v>8000</v>
      </c>
      <c r="L973" s="3295"/>
      <c r="M973" s="3335" t="s">
        <v>340</v>
      </c>
      <c r="N973" s="3336"/>
      <c r="O973" s="40">
        <f t="shared" ref="O973:Z973" si="114">$K973/12</f>
        <v>666.66666666666663</v>
      </c>
      <c r="P973" s="40">
        <f t="shared" si="114"/>
        <v>666.66666666666663</v>
      </c>
      <c r="Q973" s="40">
        <f t="shared" si="114"/>
        <v>666.66666666666663</v>
      </c>
      <c r="R973" s="40">
        <f t="shared" si="114"/>
        <v>666.66666666666663</v>
      </c>
      <c r="S973" s="40">
        <f t="shared" si="114"/>
        <v>666.66666666666663</v>
      </c>
      <c r="T973" s="40">
        <f t="shared" si="114"/>
        <v>666.66666666666663</v>
      </c>
      <c r="U973" s="40">
        <f t="shared" si="114"/>
        <v>666.66666666666663</v>
      </c>
      <c r="V973" s="40">
        <f t="shared" si="114"/>
        <v>666.66666666666663</v>
      </c>
      <c r="W973" s="40">
        <f t="shared" si="114"/>
        <v>666.66666666666663</v>
      </c>
      <c r="X973" s="40">
        <f t="shared" si="114"/>
        <v>666.66666666666663</v>
      </c>
      <c r="Y973" s="40">
        <f t="shared" si="114"/>
        <v>666.66666666666663</v>
      </c>
      <c r="Z973" s="56">
        <f t="shared" si="114"/>
        <v>666.66666666666663</v>
      </c>
      <c r="AA973" s="966">
        <f t="shared" si="110"/>
        <v>8000.0000000000009</v>
      </c>
      <c r="AB973" s="35"/>
      <c r="AC973" s="183"/>
    </row>
    <row r="974" spans="1:29" x14ac:dyDescent="0.2">
      <c r="A974" s="1422"/>
      <c r="B974" s="2522"/>
      <c r="C974" s="2432"/>
      <c r="D974" s="2421"/>
      <c r="E974" s="2421"/>
      <c r="F974" s="2421"/>
      <c r="G974" s="2421"/>
      <c r="H974" s="2421"/>
      <c r="I974" s="2421"/>
      <c r="J974" s="2432"/>
      <c r="K974" s="40">
        <v>500</v>
      </c>
      <c r="L974" s="3295"/>
      <c r="M974" s="3335" t="s">
        <v>482</v>
      </c>
      <c r="N974" s="3336"/>
      <c r="O974" s="40"/>
      <c r="P974" s="40"/>
      <c r="Q974" s="40">
        <f>$K974</f>
        <v>500</v>
      </c>
      <c r="R974" s="40"/>
      <c r="S974" s="40"/>
      <c r="T974" s="40"/>
      <c r="U974" s="40"/>
      <c r="V974" s="40"/>
      <c r="W974" s="40"/>
      <c r="X974" s="40"/>
      <c r="Y974" s="40"/>
      <c r="Z974" s="56"/>
      <c r="AA974" s="966">
        <f t="shared" si="110"/>
        <v>500</v>
      </c>
      <c r="AB974" s="35"/>
      <c r="AC974" s="183"/>
    </row>
    <row r="975" spans="1:29" x14ac:dyDescent="0.2">
      <c r="A975" s="1422"/>
      <c r="B975" s="2522"/>
      <c r="C975" s="2432"/>
      <c r="D975" s="2421"/>
      <c r="E975" s="2421"/>
      <c r="F975" s="2421"/>
      <c r="G975" s="2421"/>
      <c r="H975" s="2421"/>
      <c r="I975" s="2421"/>
      <c r="J975" s="2432"/>
      <c r="K975" s="40">
        <v>412</v>
      </c>
      <c r="L975" s="3295"/>
      <c r="M975" s="3335" t="s">
        <v>303</v>
      </c>
      <c r="N975" s="3336"/>
      <c r="O975" s="37"/>
      <c r="P975" s="38"/>
      <c r="Q975" s="40">
        <f>$K975</f>
        <v>412</v>
      </c>
      <c r="R975" s="38"/>
      <c r="S975" s="38"/>
      <c r="T975" s="38"/>
      <c r="U975" s="38"/>
      <c r="V975" s="38"/>
      <c r="W975" s="38"/>
      <c r="X975" s="38"/>
      <c r="Y975" s="38"/>
      <c r="Z975" s="54"/>
      <c r="AA975" s="966">
        <f t="shared" si="110"/>
        <v>412</v>
      </c>
      <c r="AB975" s="35"/>
      <c r="AC975" s="183"/>
    </row>
    <row r="976" spans="1:29" x14ac:dyDescent="0.2">
      <c r="A976" s="1422"/>
      <c r="B976" s="2522"/>
      <c r="C976" s="2432"/>
      <c r="D976" s="2421"/>
      <c r="E976" s="2421"/>
      <c r="F976" s="2421"/>
      <c r="G976" s="2421"/>
      <c r="H976" s="2421"/>
      <c r="I976" s="2421"/>
      <c r="J976" s="2432"/>
      <c r="K976" s="40">
        <v>500</v>
      </c>
      <c r="L976" s="3295"/>
      <c r="M976" s="3335" t="s">
        <v>324</v>
      </c>
      <c r="N976" s="3336"/>
      <c r="O976" s="37"/>
      <c r="P976" s="40">
        <f>$K976</f>
        <v>500</v>
      </c>
      <c r="Q976" s="38"/>
      <c r="R976" s="38"/>
      <c r="S976" s="38"/>
      <c r="T976" s="38"/>
      <c r="U976" s="38"/>
      <c r="V976" s="38"/>
      <c r="W976" s="38"/>
      <c r="X976" s="38"/>
      <c r="Y976" s="38"/>
      <c r="Z976" s="54"/>
      <c r="AA976" s="966">
        <f t="shared" si="110"/>
        <v>500</v>
      </c>
      <c r="AB976" s="35"/>
      <c r="AC976" s="183"/>
    </row>
    <row r="977" spans="1:29" x14ac:dyDescent="0.2">
      <c r="A977" s="1422"/>
      <c r="B977" s="2522"/>
      <c r="C977" s="2432"/>
      <c r="D977" s="2421"/>
      <c r="E977" s="2421"/>
      <c r="F977" s="2421"/>
      <c r="G977" s="2421"/>
      <c r="H977" s="2421"/>
      <c r="I977" s="2421"/>
      <c r="J977" s="2432"/>
      <c r="K977" s="40">
        <v>12000</v>
      </c>
      <c r="L977" s="3295"/>
      <c r="M977" s="3335" t="s">
        <v>393</v>
      </c>
      <c r="N977" s="3336"/>
      <c r="O977" s="47"/>
      <c r="P977" s="47"/>
      <c r="Q977" s="47"/>
      <c r="R977" s="40">
        <f>$K977/2</f>
        <v>6000</v>
      </c>
      <c r="S977" s="47"/>
      <c r="T977" s="47"/>
      <c r="U977" s="47"/>
      <c r="V977" s="40">
        <f>$K977/2</f>
        <v>6000</v>
      </c>
      <c r="W977" s="47"/>
      <c r="X977" s="47"/>
      <c r="Y977" s="47"/>
      <c r="Z977" s="55"/>
      <c r="AA977" s="966">
        <f t="shared" si="110"/>
        <v>12000</v>
      </c>
      <c r="AB977" s="35"/>
      <c r="AC977" s="183"/>
    </row>
    <row r="978" spans="1:29" x14ac:dyDescent="0.2">
      <c r="A978" s="1422"/>
      <c r="B978" s="2522"/>
      <c r="C978" s="2432"/>
      <c r="D978" s="2421"/>
      <c r="E978" s="2421"/>
      <c r="F978" s="2421"/>
      <c r="G978" s="2421"/>
      <c r="H978" s="2421"/>
      <c r="I978" s="2421"/>
      <c r="J978" s="2432"/>
      <c r="K978" s="40">
        <v>6442</v>
      </c>
      <c r="L978" s="3295"/>
      <c r="M978" s="3335" t="s">
        <v>343</v>
      </c>
      <c r="N978" s="3336"/>
      <c r="O978" s="47"/>
      <c r="P978" s="47"/>
      <c r="Q978" s="47"/>
      <c r="R978" s="47">
        <f>$K978*(3/20)</f>
        <v>966.3</v>
      </c>
      <c r="S978" s="47">
        <f t="shared" ref="S978" si="115">$K978*(3/20)</f>
        <v>966.3</v>
      </c>
      <c r="T978" s="47">
        <f>$K978*(1/20)</f>
        <v>322.10000000000002</v>
      </c>
      <c r="U978" s="47">
        <f>$K978*(3/20)</f>
        <v>966.3</v>
      </c>
      <c r="V978" s="47">
        <f>$K978*(4/20)</f>
        <v>1288.4000000000001</v>
      </c>
      <c r="W978" s="47">
        <f>$K978*(2/20)</f>
        <v>644.20000000000005</v>
      </c>
      <c r="X978" s="47">
        <f>$K978*(1/20)</f>
        <v>322.10000000000002</v>
      </c>
      <c r="Y978" s="47">
        <f>$K978*(2/20)</f>
        <v>644.20000000000005</v>
      </c>
      <c r="Z978" s="55">
        <f>$K978*(1/20)</f>
        <v>322.10000000000002</v>
      </c>
      <c r="AA978" s="966">
        <f t="shared" si="110"/>
        <v>6442</v>
      </c>
      <c r="AB978" s="35"/>
      <c r="AC978" s="183"/>
    </row>
    <row r="979" spans="1:29" x14ac:dyDescent="0.2">
      <c r="A979" s="1422"/>
      <c r="B979" s="2522"/>
      <c r="C979" s="2432"/>
      <c r="D979" s="2421"/>
      <c r="E979" s="2421"/>
      <c r="F979" s="2421"/>
      <c r="G979" s="2421"/>
      <c r="H979" s="2421"/>
      <c r="I979" s="2421"/>
      <c r="J979" s="2432"/>
      <c r="K979" s="40">
        <v>12591</v>
      </c>
      <c r="L979" s="3295"/>
      <c r="M979" s="3335" t="s">
        <v>311</v>
      </c>
      <c r="N979" s="3336"/>
      <c r="O979" s="37">
        <f t="shared" ref="O979:Z980" si="116">$K979/12</f>
        <v>1049.25</v>
      </c>
      <c r="P979" s="37">
        <f t="shared" si="116"/>
        <v>1049.25</v>
      </c>
      <c r="Q979" s="37">
        <f t="shared" si="116"/>
        <v>1049.25</v>
      </c>
      <c r="R979" s="37">
        <f t="shared" si="116"/>
        <v>1049.25</v>
      </c>
      <c r="S979" s="37">
        <f t="shared" si="116"/>
        <v>1049.25</v>
      </c>
      <c r="T979" s="37">
        <f t="shared" si="116"/>
        <v>1049.25</v>
      </c>
      <c r="U979" s="37">
        <f t="shared" si="116"/>
        <v>1049.25</v>
      </c>
      <c r="V979" s="37">
        <f t="shared" si="116"/>
        <v>1049.25</v>
      </c>
      <c r="W979" s="37">
        <f t="shared" si="116"/>
        <v>1049.25</v>
      </c>
      <c r="X979" s="37">
        <f t="shared" si="116"/>
        <v>1049.25</v>
      </c>
      <c r="Y979" s="37">
        <f t="shared" si="116"/>
        <v>1049.25</v>
      </c>
      <c r="Z979" s="53">
        <f t="shared" si="116"/>
        <v>1049.25</v>
      </c>
      <c r="AA979" s="966">
        <f t="shared" si="110"/>
        <v>12591</v>
      </c>
      <c r="AB979" s="35"/>
      <c r="AC979" s="183"/>
    </row>
    <row r="980" spans="1:29" x14ac:dyDescent="0.2">
      <c r="A980" s="1422"/>
      <c r="B980" s="2522"/>
      <c r="C980" s="2437"/>
      <c r="D980" s="2421"/>
      <c r="E980" s="2421"/>
      <c r="F980" s="2421"/>
      <c r="G980" s="2421"/>
      <c r="H980" s="2421"/>
      <c r="I980" s="2421"/>
      <c r="J980" s="2437"/>
      <c r="K980" s="40">
        <v>204828</v>
      </c>
      <c r="L980" s="3296"/>
      <c r="M980" s="3335" t="s">
        <v>310</v>
      </c>
      <c r="N980" s="3336"/>
      <c r="O980" s="37">
        <f t="shared" si="116"/>
        <v>17069</v>
      </c>
      <c r="P980" s="37">
        <f t="shared" si="116"/>
        <v>17069</v>
      </c>
      <c r="Q980" s="37">
        <f t="shared" si="116"/>
        <v>17069</v>
      </c>
      <c r="R980" s="37">
        <f t="shared" si="116"/>
        <v>17069</v>
      </c>
      <c r="S980" s="37">
        <f t="shared" si="116"/>
        <v>17069</v>
      </c>
      <c r="T980" s="37">
        <f t="shared" si="116"/>
        <v>17069</v>
      </c>
      <c r="U980" s="37">
        <f t="shared" si="116"/>
        <v>17069</v>
      </c>
      <c r="V980" s="37">
        <f t="shared" si="116"/>
        <v>17069</v>
      </c>
      <c r="W980" s="37">
        <f t="shared" si="116"/>
        <v>17069</v>
      </c>
      <c r="X980" s="37">
        <f t="shared" si="116"/>
        <v>17069</v>
      </c>
      <c r="Y980" s="37">
        <f t="shared" si="116"/>
        <v>17069</v>
      </c>
      <c r="Z980" s="53">
        <f t="shared" si="116"/>
        <v>17069</v>
      </c>
      <c r="AA980" s="966">
        <f t="shared" si="110"/>
        <v>204828</v>
      </c>
      <c r="AB980" s="35"/>
      <c r="AC980" s="183"/>
    </row>
    <row r="981" spans="1:29" ht="22.5" customHeight="1" x14ac:dyDescent="0.2">
      <c r="A981" s="1422"/>
      <c r="B981" s="1433" t="s">
        <v>276</v>
      </c>
      <c r="C981" s="108"/>
      <c r="D981" s="35">
        <v>3033297</v>
      </c>
      <c r="E981" s="192" t="s">
        <v>491</v>
      </c>
      <c r="F981" s="193"/>
      <c r="G981" s="194"/>
      <c r="H981" s="35"/>
      <c r="I981" s="35"/>
      <c r="J981" s="35"/>
      <c r="K981" s="60"/>
      <c r="L981" s="60"/>
      <c r="M981" s="181"/>
      <c r="N981" s="181"/>
      <c r="O981" s="60"/>
      <c r="P981" s="60"/>
      <c r="Q981" s="60"/>
      <c r="R981" s="60"/>
      <c r="S981" s="2922" t="s">
        <v>15</v>
      </c>
      <c r="T981" s="2922"/>
      <c r="U981" s="2922"/>
      <c r="V981" s="2922"/>
      <c r="W981" s="2922"/>
      <c r="X981" s="2922"/>
      <c r="Y981" s="2922"/>
      <c r="Z981" s="3019" t="s">
        <v>16</v>
      </c>
      <c r="AA981" s="3020"/>
      <c r="AB981" s="35"/>
      <c r="AC981" s="183"/>
    </row>
    <row r="982" spans="1:29" ht="18.75" customHeight="1" x14ac:dyDescent="0.2">
      <c r="A982" s="1422"/>
      <c r="B982" s="1433"/>
      <c r="C982" s="108"/>
      <c r="D982" s="35"/>
      <c r="E982" s="192"/>
      <c r="F982" s="193"/>
      <c r="G982" s="194"/>
      <c r="H982" s="35"/>
      <c r="I982" s="35"/>
      <c r="J982" s="35"/>
      <c r="K982" s="60"/>
      <c r="L982" s="60"/>
      <c r="M982" s="181"/>
      <c r="N982" s="181"/>
      <c r="O982" s="60"/>
      <c r="P982" s="60"/>
      <c r="Q982" s="60"/>
      <c r="R982" s="60"/>
      <c r="S982" s="3233" t="s">
        <v>492</v>
      </c>
      <c r="T982" s="3233"/>
      <c r="U982" s="3233"/>
      <c r="V982" s="3233"/>
      <c r="W982" s="3233"/>
      <c r="X982" s="3233"/>
      <c r="Y982" s="3233"/>
      <c r="Z982" s="2922" t="s">
        <v>3716</v>
      </c>
      <c r="AA982" s="2922"/>
      <c r="AB982" s="35"/>
      <c r="AC982" s="183"/>
    </row>
    <row r="983" spans="1:29" x14ac:dyDescent="0.2">
      <c r="A983" s="1422"/>
      <c r="B983" s="2999" t="s">
        <v>278</v>
      </c>
      <c r="C983" s="2988" t="s">
        <v>21</v>
      </c>
      <c r="D983" s="2847" t="s">
        <v>22</v>
      </c>
      <c r="E983" s="2847" t="s">
        <v>23</v>
      </c>
      <c r="F983" s="2847" t="s">
        <v>24</v>
      </c>
      <c r="G983" s="2847" t="s">
        <v>25</v>
      </c>
      <c r="H983" s="2847" t="s">
        <v>26</v>
      </c>
      <c r="I983" s="2847" t="s">
        <v>27</v>
      </c>
      <c r="J983" s="3206" t="s">
        <v>28</v>
      </c>
      <c r="K983" s="3301"/>
      <c r="L983" s="2847" t="s">
        <v>279</v>
      </c>
      <c r="M983" s="3273" t="s">
        <v>280</v>
      </c>
      <c r="N983" s="3274"/>
      <c r="O983" s="2847" t="s">
        <v>281</v>
      </c>
      <c r="P983" s="2847"/>
      <c r="Q983" s="2847"/>
      <c r="R983" s="2847"/>
      <c r="S983" s="2847"/>
      <c r="T983" s="2847"/>
      <c r="U983" s="2847"/>
      <c r="V983" s="2847"/>
      <c r="W983" s="2847"/>
      <c r="X983" s="2847"/>
      <c r="Y983" s="2847"/>
      <c r="Z983" s="2847"/>
      <c r="AA983" s="3217" t="s">
        <v>32</v>
      </c>
      <c r="AB983" s="35"/>
      <c r="AC983" s="183"/>
    </row>
    <row r="984" spans="1:29" x14ac:dyDescent="0.2">
      <c r="A984" s="1422"/>
      <c r="B984" s="2999"/>
      <c r="C984" s="3186"/>
      <c r="D984" s="2847"/>
      <c r="E984" s="2847"/>
      <c r="F984" s="2847"/>
      <c r="G984" s="2847"/>
      <c r="H984" s="2847"/>
      <c r="I984" s="2847"/>
      <c r="J984" s="2988" t="s">
        <v>33</v>
      </c>
      <c r="K984" s="3206" t="s">
        <v>282</v>
      </c>
      <c r="L984" s="2847"/>
      <c r="M984" s="3275"/>
      <c r="N984" s="3276"/>
      <c r="O984" s="1009" t="s">
        <v>283</v>
      </c>
      <c r="P984" s="1009" t="s">
        <v>284</v>
      </c>
      <c r="Q984" s="1009" t="s">
        <v>285</v>
      </c>
      <c r="R984" s="1009" t="s">
        <v>88</v>
      </c>
      <c r="S984" s="1009" t="s">
        <v>89</v>
      </c>
      <c r="T984" s="1009" t="s">
        <v>90</v>
      </c>
      <c r="U984" s="1009" t="s">
        <v>91</v>
      </c>
      <c r="V984" s="1009" t="s">
        <v>92</v>
      </c>
      <c r="W984" s="1009" t="s">
        <v>286</v>
      </c>
      <c r="X984" s="1009" t="s">
        <v>93</v>
      </c>
      <c r="Y984" s="1009" t="s">
        <v>94</v>
      </c>
      <c r="Z984" s="1009" t="s">
        <v>95</v>
      </c>
      <c r="AA984" s="3218"/>
      <c r="AB984" s="35"/>
      <c r="AC984" s="183"/>
    </row>
    <row r="985" spans="1:29" x14ac:dyDescent="0.2">
      <c r="A985" s="1422"/>
      <c r="B985" s="2999"/>
      <c r="C985" s="3186"/>
      <c r="D985" s="2847"/>
      <c r="E985" s="2847"/>
      <c r="F985" s="2847"/>
      <c r="G985" s="2847"/>
      <c r="H985" s="2847"/>
      <c r="I985" s="2847"/>
      <c r="J985" s="3186"/>
      <c r="K985" s="3206"/>
      <c r="L985" s="2847"/>
      <c r="M985" s="3271" t="s">
        <v>287</v>
      </c>
      <c r="N985" s="3272"/>
      <c r="O985" s="1095">
        <v>270</v>
      </c>
      <c r="P985" s="1095">
        <v>271</v>
      </c>
      <c r="Q985" s="1095">
        <v>273</v>
      </c>
      <c r="R985" s="1095">
        <v>273</v>
      </c>
      <c r="S985" s="1095">
        <v>273</v>
      </c>
      <c r="T985" s="1095">
        <v>273</v>
      </c>
      <c r="U985" s="1095">
        <v>273</v>
      </c>
      <c r="V985" s="1095">
        <v>273</v>
      </c>
      <c r="W985" s="1095">
        <v>273</v>
      </c>
      <c r="X985" s="1095">
        <v>273</v>
      </c>
      <c r="Y985" s="1095">
        <v>273</v>
      </c>
      <c r="Z985" s="1144">
        <v>273</v>
      </c>
      <c r="AA985" s="1196">
        <f t="shared" ref="AA985:AA1014" si="117">SUM(O985:Z985)</f>
        <v>3271</v>
      </c>
      <c r="AB985" s="35"/>
      <c r="AC985" s="183"/>
    </row>
    <row r="986" spans="1:29" x14ac:dyDescent="0.2">
      <c r="A986" s="1422"/>
      <c r="B986" s="2999"/>
      <c r="C986" s="2989"/>
      <c r="D986" s="2847"/>
      <c r="E986" s="2847"/>
      <c r="F986" s="2847"/>
      <c r="G986" s="2847"/>
      <c r="H986" s="2847"/>
      <c r="I986" s="2847"/>
      <c r="J986" s="2989"/>
      <c r="K986" s="3206"/>
      <c r="L986" s="2847"/>
      <c r="M986" s="3271" t="s">
        <v>34</v>
      </c>
      <c r="N986" s="3272"/>
      <c r="O986" s="36">
        <f>SUM(O987:O1014)</f>
        <v>502605.91666666663</v>
      </c>
      <c r="P986" s="36">
        <f t="shared" ref="P986:Z986" si="118">SUM(P987:P1014)</f>
        <v>466996.87121212116</v>
      </c>
      <c r="Q986" s="36">
        <f t="shared" si="118"/>
        <v>468728.87121212116</v>
      </c>
      <c r="R986" s="36">
        <f t="shared" si="118"/>
        <v>495577.04768270941</v>
      </c>
      <c r="S986" s="36">
        <f t="shared" si="118"/>
        <v>484370.2241532976</v>
      </c>
      <c r="T986" s="36">
        <f t="shared" si="118"/>
        <v>497302.90062388586</v>
      </c>
      <c r="U986" s="36">
        <f t="shared" si="118"/>
        <v>516086.2241532976</v>
      </c>
      <c r="V986" s="36">
        <f t="shared" si="118"/>
        <v>497566.04768270941</v>
      </c>
      <c r="W986" s="36">
        <f t="shared" si="118"/>
        <v>484370.2241532976</v>
      </c>
      <c r="X986" s="36">
        <f t="shared" si="118"/>
        <v>474793.04768270941</v>
      </c>
      <c r="Y986" s="36">
        <f t="shared" si="118"/>
        <v>493947.40062388586</v>
      </c>
      <c r="Z986" s="52">
        <f t="shared" si="118"/>
        <v>516086.2241532976</v>
      </c>
      <c r="AA986" s="1196">
        <f t="shared" si="117"/>
        <v>5898430.9999999991</v>
      </c>
      <c r="AB986" s="35"/>
      <c r="AC986" s="183"/>
    </row>
    <row r="987" spans="1:29" ht="11.25" customHeight="1" x14ac:dyDescent="0.2">
      <c r="A987" s="1422"/>
      <c r="B987" s="2522">
        <v>5000047</v>
      </c>
      <c r="C987" s="2431" t="s">
        <v>3060</v>
      </c>
      <c r="D987" s="2421">
        <v>34</v>
      </c>
      <c r="E987" s="2421" t="s">
        <v>407</v>
      </c>
      <c r="F987" s="2421" t="s">
        <v>386</v>
      </c>
      <c r="G987" s="2421" t="s">
        <v>423</v>
      </c>
      <c r="H987" s="2421" t="s">
        <v>337</v>
      </c>
      <c r="I987" s="2421" t="s">
        <v>493</v>
      </c>
      <c r="J987" s="2431">
        <v>3271</v>
      </c>
      <c r="K987" s="40">
        <v>20592</v>
      </c>
      <c r="L987" s="3294" t="s">
        <v>446</v>
      </c>
      <c r="M987" s="3335" t="s">
        <v>409</v>
      </c>
      <c r="N987" s="3336"/>
      <c r="O987" s="37">
        <f t="shared" ref="O987:Z998" si="119">$K987/12</f>
        <v>1716</v>
      </c>
      <c r="P987" s="37">
        <f t="shared" si="119"/>
        <v>1716</v>
      </c>
      <c r="Q987" s="37">
        <f t="shared" si="119"/>
        <v>1716</v>
      </c>
      <c r="R987" s="37">
        <f t="shared" si="119"/>
        <v>1716</v>
      </c>
      <c r="S987" s="37">
        <f t="shared" si="119"/>
        <v>1716</v>
      </c>
      <c r="T987" s="37">
        <f t="shared" si="119"/>
        <v>1716</v>
      </c>
      <c r="U987" s="37">
        <f t="shared" si="119"/>
        <v>1716</v>
      </c>
      <c r="V987" s="37">
        <f t="shared" si="119"/>
        <v>1716</v>
      </c>
      <c r="W987" s="37">
        <f t="shared" si="119"/>
        <v>1716</v>
      </c>
      <c r="X987" s="37">
        <f t="shared" si="119"/>
        <v>1716</v>
      </c>
      <c r="Y987" s="37">
        <f t="shared" si="119"/>
        <v>1716</v>
      </c>
      <c r="Z987" s="53">
        <f t="shared" si="119"/>
        <v>1716</v>
      </c>
      <c r="AA987" s="966">
        <f t="shared" si="117"/>
        <v>20592</v>
      </c>
      <c r="AB987" s="35"/>
      <c r="AC987" s="183"/>
    </row>
    <row r="988" spans="1:29" x14ac:dyDescent="0.2">
      <c r="A988" s="1422"/>
      <c r="B988" s="2522"/>
      <c r="C988" s="2432"/>
      <c r="D988" s="2421"/>
      <c r="E988" s="2421"/>
      <c r="F988" s="2421"/>
      <c r="G988" s="2421"/>
      <c r="H988" s="2421"/>
      <c r="I988" s="2421"/>
      <c r="J988" s="2432"/>
      <c r="K988" s="40">
        <v>2263131</v>
      </c>
      <c r="L988" s="3295"/>
      <c r="M988" s="3335" t="s">
        <v>293</v>
      </c>
      <c r="N988" s="3336"/>
      <c r="O988" s="37">
        <f t="shared" si="119"/>
        <v>188594.25</v>
      </c>
      <c r="P988" s="37">
        <f t="shared" si="119"/>
        <v>188594.25</v>
      </c>
      <c r="Q988" s="37">
        <f t="shared" si="119"/>
        <v>188594.25</v>
      </c>
      <c r="R988" s="37">
        <f t="shared" si="119"/>
        <v>188594.25</v>
      </c>
      <c r="S988" s="37">
        <f t="shared" si="119"/>
        <v>188594.25</v>
      </c>
      <c r="T988" s="37">
        <f t="shared" si="119"/>
        <v>188594.25</v>
      </c>
      <c r="U988" s="37">
        <f t="shared" si="119"/>
        <v>188594.25</v>
      </c>
      <c r="V988" s="37">
        <f t="shared" si="119"/>
        <v>188594.25</v>
      </c>
      <c r="W988" s="37">
        <f t="shared" si="119"/>
        <v>188594.25</v>
      </c>
      <c r="X988" s="37">
        <f t="shared" si="119"/>
        <v>188594.25</v>
      </c>
      <c r="Y988" s="37">
        <f t="shared" si="119"/>
        <v>188594.25</v>
      </c>
      <c r="Z988" s="53">
        <f t="shared" si="119"/>
        <v>188594.25</v>
      </c>
      <c r="AA988" s="966">
        <f t="shared" si="117"/>
        <v>2263131</v>
      </c>
      <c r="AB988" s="35"/>
      <c r="AC988" s="183"/>
    </row>
    <row r="989" spans="1:29" x14ac:dyDescent="0.2">
      <c r="A989" s="1422"/>
      <c r="B989" s="2522"/>
      <c r="C989" s="2432"/>
      <c r="D989" s="2421"/>
      <c r="E989" s="2421"/>
      <c r="F989" s="2421"/>
      <c r="G989" s="2421"/>
      <c r="H989" s="2421"/>
      <c r="I989" s="2421"/>
      <c r="J989" s="2432"/>
      <c r="K989" s="40">
        <v>319304</v>
      </c>
      <c r="L989" s="3295"/>
      <c r="M989" s="3335" t="s">
        <v>321</v>
      </c>
      <c r="N989" s="3336"/>
      <c r="O989" s="37">
        <f t="shared" si="119"/>
        <v>26608.666666666668</v>
      </c>
      <c r="P989" s="37">
        <f t="shared" si="119"/>
        <v>26608.666666666668</v>
      </c>
      <c r="Q989" s="37">
        <f t="shared" si="119"/>
        <v>26608.666666666668</v>
      </c>
      <c r="R989" s="37">
        <f t="shared" si="119"/>
        <v>26608.666666666668</v>
      </c>
      <c r="S989" s="37">
        <f t="shared" si="119"/>
        <v>26608.666666666668</v>
      </c>
      <c r="T989" s="37">
        <f t="shared" si="119"/>
        <v>26608.666666666668</v>
      </c>
      <c r="U989" s="37">
        <f t="shared" si="119"/>
        <v>26608.666666666668</v>
      </c>
      <c r="V989" s="37">
        <f t="shared" si="119"/>
        <v>26608.666666666668</v>
      </c>
      <c r="W989" s="37">
        <f t="shared" si="119"/>
        <v>26608.666666666668</v>
      </c>
      <c r="X989" s="37">
        <f t="shared" si="119"/>
        <v>26608.666666666668</v>
      </c>
      <c r="Y989" s="37">
        <f t="shared" si="119"/>
        <v>26608.666666666668</v>
      </c>
      <c r="Z989" s="53">
        <f t="shared" si="119"/>
        <v>26608.666666666668</v>
      </c>
      <c r="AA989" s="966">
        <f t="shared" si="117"/>
        <v>319304</v>
      </c>
      <c r="AB989" s="35"/>
      <c r="AC989" s="183"/>
    </row>
    <row r="990" spans="1:29" x14ac:dyDescent="0.2">
      <c r="A990" s="1422"/>
      <c r="B990" s="2522"/>
      <c r="C990" s="2432"/>
      <c r="D990" s="2421"/>
      <c r="E990" s="2421"/>
      <c r="F990" s="2421"/>
      <c r="G990" s="2421"/>
      <c r="H990" s="2421"/>
      <c r="I990" s="2421"/>
      <c r="J990" s="2432"/>
      <c r="K990" s="40">
        <v>26868</v>
      </c>
      <c r="L990" s="3295"/>
      <c r="M990" s="3335" t="s">
        <v>294</v>
      </c>
      <c r="N990" s="3336"/>
      <c r="O990" s="37">
        <f t="shared" si="119"/>
        <v>2239</v>
      </c>
      <c r="P990" s="37">
        <f t="shared" si="119"/>
        <v>2239</v>
      </c>
      <c r="Q990" s="37">
        <f t="shared" si="119"/>
        <v>2239</v>
      </c>
      <c r="R990" s="37">
        <f t="shared" si="119"/>
        <v>2239</v>
      </c>
      <c r="S990" s="37">
        <f t="shared" si="119"/>
        <v>2239</v>
      </c>
      <c r="T990" s="37">
        <f t="shared" si="119"/>
        <v>2239</v>
      </c>
      <c r="U990" s="37">
        <f t="shared" si="119"/>
        <v>2239</v>
      </c>
      <c r="V990" s="37">
        <f t="shared" si="119"/>
        <v>2239</v>
      </c>
      <c r="W990" s="37">
        <f t="shared" si="119"/>
        <v>2239</v>
      </c>
      <c r="X990" s="37">
        <f t="shared" si="119"/>
        <v>2239</v>
      </c>
      <c r="Y990" s="37">
        <f t="shared" si="119"/>
        <v>2239</v>
      </c>
      <c r="Z990" s="53">
        <f t="shared" si="119"/>
        <v>2239</v>
      </c>
      <c r="AA990" s="966">
        <f t="shared" si="117"/>
        <v>26868</v>
      </c>
      <c r="AB990" s="35"/>
      <c r="AC990" s="183"/>
    </row>
    <row r="991" spans="1:29" x14ac:dyDescent="0.2">
      <c r="A991" s="1422"/>
      <c r="B991" s="2522"/>
      <c r="C991" s="2432"/>
      <c r="D991" s="2421"/>
      <c r="E991" s="2421"/>
      <c r="F991" s="2421"/>
      <c r="G991" s="2421"/>
      <c r="H991" s="2421"/>
      <c r="I991" s="2421"/>
      <c r="J991" s="2432"/>
      <c r="K991" s="40">
        <v>747996</v>
      </c>
      <c r="L991" s="3295"/>
      <c r="M991" s="3335" t="s">
        <v>295</v>
      </c>
      <c r="N991" s="3336"/>
      <c r="O991" s="37">
        <f t="shared" si="119"/>
        <v>62333</v>
      </c>
      <c r="P991" s="37">
        <f t="shared" si="119"/>
        <v>62333</v>
      </c>
      <c r="Q991" s="37">
        <f t="shared" si="119"/>
        <v>62333</v>
      </c>
      <c r="R991" s="37">
        <f t="shared" si="119"/>
        <v>62333</v>
      </c>
      <c r="S991" s="37">
        <f t="shared" si="119"/>
        <v>62333</v>
      </c>
      <c r="T991" s="37">
        <f t="shared" si="119"/>
        <v>62333</v>
      </c>
      <c r="U991" s="37">
        <f t="shared" si="119"/>
        <v>62333</v>
      </c>
      <c r="V991" s="37">
        <f t="shared" si="119"/>
        <v>62333</v>
      </c>
      <c r="W991" s="37">
        <f t="shared" si="119"/>
        <v>62333</v>
      </c>
      <c r="X991" s="37">
        <f t="shared" si="119"/>
        <v>62333</v>
      </c>
      <c r="Y991" s="37">
        <f t="shared" si="119"/>
        <v>62333</v>
      </c>
      <c r="Z991" s="53">
        <f t="shared" si="119"/>
        <v>62333</v>
      </c>
      <c r="AA991" s="966">
        <f t="shared" si="117"/>
        <v>747996</v>
      </c>
      <c r="AB991" s="35"/>
      <c r="AC991" s="183"/>
    </row>
    <row r="992" spans="1:29" x14ac:dyDescent="0.2">
      <c r="A992" s="1422"/>
      <c r="B992" s="2522"/>
      <c r="C992" s="2432"/>
      <c r="D992" s="2421"/>
      <c r="E992" s="2421"/>
      <c r="F992" s="2421"/>
      <c r="G992" s="2421"/>
      <c r="H992" s="2421"/>
      <c r="I992" s="2421"/>
      <c r="J992" s="2432"/>
      <c r="K992" s="40">
        <v>41376</v>
      </c>
      <c r="L992" s="3295"/>
      <c r="M992" s="3335" t="s">
        <v>332</v>
      </c>
      <c r="N992" s="3336"/>
      <c r="O992" s="37">
        <f t="shared" si="119"/>
        <v>3448</v>
      </c>
      <c r="P992" s="37">
        <f t="shared" si="119"/>
        <v>3448</v>
      </c>
      <c r="Q992" s="37">
        <f t="shared" si="119"/>
        <v>3448</v>
      </c>
      <c r="R992" s="37">
        <f t="shared" si="119"/>
        <v>3448</v>
      </c>
      <c r="S992" s="37">
        <f t="shared" si="119"/>
        <v>3448</v>
      </c>
      <c r="T992" s="37">
        <f t="shared" si="119"/>
        <v>3448</v>
      </c>
      <c r="U992" s="37">
        <f t="shared" si="119"/>
        <v>3448</v>
      </c>
      <c r="V992" s="37">
        <f t="shared" si="119"/>
        <v>3448</v>
      </c>
      <c r="W992" s="37">
        <f t="shared" si="119"/>
        <v>3448</v>
      </c>
      <c r="X992" s="37">
        <f t="shared" si="119"/>
        <v>3448</v>
      </c>
      <c r="Y992" s="37">
        <f t="shared" si="119"/>
        <v>3448</v>
      </c>
      <c r="Z992" s="53">
        <f t="shared" si="119"/>
        <v>3448</v>
      </c>
      <c r="AA992" s="966">
        <f t="shared" si="117"/>
        <v>41376</v>
      </c>
      <c r="AB992" s="35"/>
      <c r="AC992" s="183"/>
    </row>
    <row r="993" spans="1:29" x14ac:dyDescent="0.2">
      <c r="A993" s="1422"/>
      <c r="B993" s="2522"/>
      <c r="C993" s="2432"/>
      <c r="D993" s="2421"/>
      <c r="E993" s="2421"/>
      <c r="F993" s="2421"/>
      <c r="G993" s="2421"/>
      <c r="H993" s="2421"/>
      <c r="I993" s="2421"/>
      <c r="J993" s="2432"/>
      <c r="K993" s="40">
        <v>860365</v>
      </c>
      <c r="L993" s="3295"/>
      <c r="M993" s="3335" t="s">
        <v>296</v>
      </c>
      <c r="N993" s="3336"/>
      <c r="O993" s="37">
        <f t="shared" si="119"/>
        <v>71697.083333333328</v>
      </c>
      <c r="P993" s="37">
        <f t="shared" si="119"/>
        <v>71697.083333333328</v>
      </c>
      <c r="Q993" s="37">
        <f t="shared" si="119"/>
        <v>71697.083333333328</v>
      </c>
      <c r="R993" s="37">
        <f t="shared" si="119"/>
        <v>71697.083333333328</v>
      </c>
      <c r="S993" s="37">
        <f t="shared" si="119"/>
        <v>71697.083333333328</v>
      </c>
      <c r="T993" s="37">
        <f t="shared" si="119"/>
        <v>71697.083333333328</v>
      </c>
      <c r="U993" s="37">
        <f t="shared" si="119"/>
        <v>71697.083333333328</v>
      </c>
      <c r="V993" s="37">
        <f t="shared" si="119"/>
        <v>71697.083333333328</v>
      </c>
      <c r="W993" s="37">
        <f t="shared" si="119"/>
        <v>71697.083333333328</v>
      </c>
      <c r="X993" s="37">
        <f t="shared" si="119"/>
        <v>71697.083333333328</v>
      </c>
      <c r="Y993" s="37">
        <f t="shared" si="119"/>
        <v>71697.083333333328</v>
      </c>
      <c r="Z993" s="53">
        <f t="shared" si="119"/>
        <v>71697.083333333328</v>
      </c>
      <c r="AA993" s="966">
        <f t="shared" si="117"/>
        <v>860365.00000000012</v>
      </c>
      <c r="AB993" s="35"/>
      <c r="AC993" s="183"/>
    </row>
    <row r="994" spans="1:29" x14ac:dyDescent="0.2">
      <c r="A994" s="1422"/>
      <c r="B994" s="2522"/>
      <c r="C994" s="2432"/>
      <c r="D994" s="2421"/>
      <c r="E994" s="2421"/>
      <c r="F994" s="2421"/>
      <c r="G994" s="2421"/>
      <c r="H994" s="2421"/>
      <c r="I994" s="2421"/>
      <c r="J994" s="2432"/>
      <c r="K994" s="40">
        <v>277152</v>
      </c>
      <c r="L994" s="3295"/>
      <c r="M994" s="3335" t="s">
        <v>297</v>
      </c>
      <c r="N994" s="3336"/>
      <c r="O994" s="37">
        <f t="shared" si="119"/>
        <v>23096</v>
      </c>
      <c r="P994" s="37">
        <f t="shared" si="119"/>
        <v>23096</v>
      </c>
      <c r="Q994" s="37">
        <f t="shared" si="119"/>
        <v>23096</v>
      </c>
      <c r="R994" s="37">
        <f t="shared" si="119"/>
        <v>23096</v>
      </c>
      <c r="S994" s="37">
        <f t="shared" si="119"/>
        <v>23096</v>
      </c>
      <c r="T994" s="37">
        <f t="shared" si="119"/>
        <v>23096</v>
      </c>
      <c r="U994" s="37">
        <f t="shared" si="119"/>
        <v>23096</v>
      </c>
      <c r="V994" s="37">
        <f t="shared" si="119"/>
        <v>23096</v>
      </c>
      <c r="W994" s="37">
        <f t="shared" si="119"/>
        <v>23096</v>
      </c>
      <c r="X994" s="37">
        <f t="shared" si="119"/>
        <v>23096</v>
      </c>
      <c r="Y994" s="37">
        <f t="shared" si="119"/>
        <v>23096</v>
      </c>
      <c r="Z994" s="53">
        <f t="shared" si="119"/>
        <v>23096</v>
      </c>
      <c r="AA994" s="966">
        <f t="shared" si="117"/>
        <v>277152</v>
      </c>
      <c r="AB994" s="35"/>
      <c r="AC994" s="183"/>
    </row>
    <row r="995" spans="1:29" x14ac:dyDescent="0.2">
      <c r="A995" s="1422"/>
      <c r="B995" s="2522"/>
      <c r="C995" s="2432"/>
      <c r="D995" s="2421"/>
      <c r="E995" s="2421"/>
      <c r="F995" s="2421"/>
      <c r="G995" s="2421"/>
      <c r="H995" s="2421"/>
      <c r="I995" s="2421"/>
      <c r="J995" s="2432"/>
      <c r="K995" s="40">
        <v>63432</v>
      </c>
      <c r="L995" s="3295"/>
      <c r="M995" s="3335" t="s">
        <v>298</v>
      </c>
      <c r="N995" s="3336"/>
      <c r="O995" s="37"/>
      <c r="P995" s="38"/>
      <c r="Q995" s="38"/>
      <c r="R995" s="38"/>
      <c r="S995" s="38"/>
      <c r="T995" s="38"/>
      <c r="U995" s="37">
        <f>$K995/2</f>
        <v>31716</v>
      </c>
      <c r="V995" s="38"/>
      <c r="W995" s="38"/>
      <c r="X995" s="38"/>
      <c r="Y995" s="38"/>
      <c r="Z995" s="53">
        <f>$K995/2</f>
        <v>31716</v>
      </c>
      <c r="AA995" s="966">
        <f t="shared" si="117"/>
        <v>63432</v>
      </c>
      <c r="AB995" s="35"/>
      <c r="AC995" s="183"/>
    </row>
    <row r="996" spans="1:29" x14ac:dyDescent="0.2">
      <c r="A996" s="1422"/>
      <c r="B996" s="2522"/>
      <c r="C996" s="2432"/>
      <c r="D996" s="2421"/>
      <c r="E996" s="2421"/>
      <c r="F996" s="2421"/>
      <c r="G996" s="2421"/>
      <c r="H996" s="2421"/>
      <c r="I996" s="2421"/>
      <c r="J996" s="2432"/>
      <c r="K996" s="40">
        <v>40580</v>
      </c>
      <c r="L996" s="3295"/>
      <c r="M996" s="3335" t="s">
        <v>299</v>
      </c>
      <c r="N996" s="3336"/>
      <c r="O996" s="37">
        <f>$K996</f>
        <v>40580</v>
      </c>
      <c r="P996" s="38"/>
      <c r="Q996" s="37"/>
      <c r="R996" s="38"/>
      <c r="S996" s="38"/>
      <c r="T996" s="38"/>
      <c r="U996" s="38"/>
      <c r="V996" s="38"/>
      <c r="W996" s="38"/>
      <c r="X996" s="38"/>
      <c r="Y996" s="38"/>
      <c r="Z996" s="54"/>
      <c r="AA996" s="966">
        <f t="shared" si="117"/>
        <v>40580</v>
      </c>
      <c r="AB996" s="35"/>
      <c r="AC996" s="183"/>
    </row>
    <row r="997" spans="1:29" x14ac:dyDescent="0.2">
      <c r="A997" s="1422"/>
      <c r="B997" s="2522"/>
      <c r="C997" s="2432"/>
      <c r="D997" s="2421"/>
      <c r="E997" s="2421"/>
      <c r="F997" s="2421"/>
      <c r="G997" s="2421"/>
      <c r="H997" s="2421"/>
      <c r="I997" s="2421"/>
      <c r="J997" s="2432"/>
      <c r="K997" s="40">
        <v>240609</v>
      </c>
      <c r="L997" s="3295"/>
      <c r="M997" s="3335" t="s">
        <v>300</v>
      </c>
      <c r="N997" s="3336"/>
      <c r="O997" s="37">
        <f t="shared" si="119"/>
        <v>20050.75</v>
      </c>
      <c r="P997" s="37">
        <f t="shared" si="119"/>
        <v>20050.75</v>
      </c>
      <c r="Q997" s="37">
        <f t="shared" si="119"/>
        <v>20050.75</v>
      </c>
      <c r="R997" s="37">
        <f t="shared" si="119"/>
        <v>20050.75</v>
      </c>
      <c r="S997" s="37">
        <f t="shared" si="119"/>
        <v>20050.75</v>
      </c>
      <c r="T997" s="37">
        <f t="shared" si="119"/>
        <v>20050.75</v>
      </c>
      <c r="U997" s="37">
        <f t="shared" si="119"/>
        <v>20050.75</v>
      </c>
      <c r="V997" s="37">
        <f t="shared" si="119"/>
        <v>20050.75</v>
      </c>
      <c r="W997" s="37">
        <f t="shared" si="119"/>
        <v>20050.75</v>
      </c>
      <c r="X997" s="37">
        <f t="shared" si="119"/>
        <v>20050.75</v>
      </c>
      <c r="Y997" s="37">
        <f t="shared" si="119"/>
        <v>20050.75</v>
      </c>
      <c r="Z997" s="53">
        <f t="shared" si="119"/>
        <v>20050.75</v>
      </c>
      <c r="AA997" s="966">
        <f t="shared" si="117"/>
        <v>240609</v>
      </c>
      <c r="AB997" s="35"/>
      <c r="AC997" s="183"/>
    </row>
    <row r="998" spans="1:29" x14ac:dyDescent="0.2">
      <c r="A998" s="1422"/>
      <c r="B998" s="2522"/>
      <c r="C998" s="2432"/>
      <c r="D998" s="2421"/>
      <c r="E998" s="2421"/>
      <c r="F998" s="2421"/>
      <c r="G998" s="2421"/>
      <c r="H998" s="2421"/>
      <c r="I998" s="2421"/>
      <c r="J998" s="2432"/>
      <c r="K998" s="40">
        <v>3860</v>
      </c>
      <c r="L998" s="3295"/>
      <c r="M998" s="3335" t="s">
        <v>301</v>
      </c>
      <c r="N998" s="3336"/>
      <c r="O998" s="37">
        <f t="shared" si="119"/>
        <v>321.66666666666669</v>
      </c>
      <c r="P998" s="37">
        <f t="shared" si="119"/>
        <v>321.66666666666669</v>
      </c>
      <c r="Q998" s="37">
        <f t="shared" si="119"/>
        <v>321.66666666666669</v>
      </c>
      <c r="R998" s="37">
        <f t="shared" si="119"/>
        <v>321.66666666666669</v>
      </c>
      <c r="S998" s="37">
        <f t="shared" si="119"/>
        <v>321.66666666666669</v>
      </c>
      <c r="T998" s="37">
        <f t="shared" si="119"/>
        <v>321.66666666666669</v>
      </c>
      <c r="U998" s="37">
        <f t="shared" si="119"/>
        <v>321.66666666666669</v>
      </c>
      <c r="V998" s="37">
        <f t="shared" si="119"/>
        <v>321.66666666666669</v>
      </c>
      <c r="W998" s="37">
        <f t="shared" si="119"/>
        <v>321.66666666666669</v>
      </c>
      <c r="X998" s="37">
        <f t="shared" si="119"/>
        <v>321.66666666666669</v>
      </c>
      <c r="Y998" s="37">
        <f t="shared" si="119"/>
        <v>321.66666666666669</v>
      </c>
      <c r="Z998" s="53">
        <f t="shared" si="119"/>
        <v>321.66666666666669</v>
      </c>
      <c r="AA998" s="966">
        <f t="shared" si="117"/>
        <v>3859.9999999999995</v>
      </c>
      <c r="AB998" s="35"/>
      <c r="AC998" s="183"/>
    </row>
    <row r="999" spans="1:29" x14ac:dyDescent="0.2">
      <c r="A999" s="1422"/>
      <c r="B999" s="2522"/>
      <c r="C999" s="2432"/>
      <c r="D999" s="2421"/>
      <c r="E999" s="2421"/>
      <c r="F999" s="2421"/>
      <c r="G999" s="2421"/>
      <c r="H999" s="2421"/>
      <c r="I999" s="2421"/>
      <c r="J999" s="2432"/>
      <c r="K999" s="40">
        <v>6711</v>
      </c>
      <c r="L999" s="3295"/>
      <c r="M999" s="3335" t="s">
        <v>380</v>
      </c>
      <c r="N999" s="3336"/>
      <c r="O999" s="40">
        <f>$K999/2</f>
        <v>3355.5</v>
      </c>
      <c r="P999" s="38"/>
      <c r="Q999" s="38"/>
      <c r="R999" s="38"/>
      <c r="S999" s="38"/>
      <c r="T999" s="40">
        <f>$K999/2</f>
        <v>3355.5</v>
      </c>
      <c r="U999" s="38"/>
      <c r="V999" s="38"/>
      <c r="W999" s="38"/>
      <c r="X999" s="38"/>
      <c r="Y999" s="38"/>
      <c r="Z999" s="54"/>
      <c r="AA999" s="966">
        <f t="shared" si="117"/>
        <v>6711</v>
      </c>
      <c r="AB999" s="35"/>
      <c r="AC999" s="183"/>
    </row>
    <row r="1000" spans="1:29" x14ac:dyDescent="0.2">
      <c r="A1000" s="1422"/>
      <c r="B1000" s="2522"/>
      <c r="C1000" s="2432"/>
      <c r="D1000" s="2421"/>
      <c r="E1000" s="2421"/>
      <c r="F1000" s="2421"/>
      <c r="G1000" s="2421"/>
      <c r="H1000" s="2421"/>
      <c r="I1000" s="2421"/>
      <c r="J1000" s="2432"/>
      <c r="K1000" s="40">
        <v>5000</v>
      </c>
      <c r="L1000" s="3295"/>
      <c r="M1000" s="3335" t="s">
        <v>340</v>
      </c>
      <c r="N1000" s="3336"/>
      <c r="O1000" s="40">
        <f t="shared" ref="O1000:Z1002" si="120">$K1000/12</f>
        <v>416.66666666666669</v>
      </c>
      <c r="P1000" s="40">
        <f t="shared" si="120"/>
        <v>416.66666666666669</v>
      </c>
      <c r="Q1000" s="40">
        <f t="shared" si="120"/>
        <v>416.66666666666669</v>
      </c>
      <c r="R1000" s="40">
        <f t="shared" si="120"/>
        <v>416.66666666666669</v>
      </c>
      <c r="S1000" s="40">
        <f t="shared" si="120"/>
        <v>416.66666666666669</v>
      </c>
      <c r="T1000" s="40">
        <f t="shared" si="120"/>
        <v>416.66666666666669</v>
      </c>
      <c r="U1000" s="40">
        <f t="shared" si="120"/>
        <v>416.66666666666669</v>
      </c>
      <c r="V1000" s="40">
        <f t="shared" si="120"/>
        <v>416.66666666666669</v>
      </c>
      <c r="W1000" s="40">
        <f t="shared" si="120"/>
        <v>416.66666666666669</v>
      </c>
      <c r="X1000" s="40">
        <f t="shared" si="120"/>
        <v>416.66666666666669</v>
      </c>
      <c r="Y1000" s="40">
        <f t="shared" si="120"/>
        <v>416.66666666666669</v>
      </c>
      <c r="Z1000" s="56">
        <f t="shared" si="120"/>
        <v>416.66666666666669</v>
      </c>
      <c r="AA1000" s="966">
        <f t="shared" si="117"/>
        <v>5000</v>
      </c>
      <c r="AB1000" s="35"/>
      <c r="AC1000" s="183"/>
    </row>
    <row r="1001" spans="1:29" x14ac:dyDescent="0.2">
      <c r="A1001" s="1422"/>
      <c r="B1001" s="2522"/>
      <c r="C1001" s="2432"/>
      <c r="D1001" s="2421"/>
      <c r="E1001" s="2421"/>
      <c r="F1001" s="2421"/>
      <c r="G1001" s="2421"/>
      <c r="H1001" s="2421"/>
      <c r="I1001" s="2421"/>
      <c r="J1001" s="2432"/>
      <c r="K1001" s="40">
        <v>55000</v>
      </c>
      <c r="L1001" s="3295"/>
      <c r="M1001" s="3335" t="s">
        <v>482</v>
      </c>
      <c r="N1001" s="3336"/>
      <c r="O1001" s="40">
        <f t="shared" si="120"/>
        <v>4583.333333333333</v>
      </c>
      <c r="P1001" s="40">
        <f t="shared" si="120"/>
        <v>4583.333333333333</v>
      </c>
      <c r="Q1001" s="40">
        <f t="shared" si="120"/>
        <v>4583.333333333333</v>
      </c>
      <c r="R1001" s="40">
        <f t="shared" si="120"/>
        <v>4583.333333333333</v>
      </c>
      <c r="S1001" s="40">
        <f t="shared" si="120"/>
        <v>4583.333333333333</v>
      </c>
      <c r="T1001" s="40">
        <f t="shared" si="120"/>
        <v>4583.333333333333</v>
      </c>
      <c r="U1001" s="40">
        <f t="shared" si="120"/>
        <v>4583.333333333333</v>
      </c>
      <c r="V1001" s="40">
        <f t="shared" si="120"/>
        <v>4583.333333333333</v>
      </c>
      <c r="W1001" s="40">
        <f t="shared" si="120"/>
        <v>4583.333333333333</v>
      </c>
      <c r="X1001" s="40">
        <f t="shared" si="120"/>
        <v>4583.333333333333</v>
      </c>
      <c r="Y1001" s="40">
        <f t="shared" si="120"/>
        <v>4583.333333333333</v>
      </c>
      <c r="Z1001" s="56">
        <f t="shared" si="120"/>
        <v>4583.333333333333</v>
      </c>
      <c r="AA1001" s="966">
        <f t="shared" si="117"/>
        <v>55000.000000000007</v>
      </c>
      <c r="AB1001" s="35"/>
      <c r="AC1001" s="183"/>
    </row>
    <row r="1002" spans="1:29" x14ac:dyDescent="0.2">
      <c r="A1002" s="1422"/>
      <c r="B1002" s="2522"/>
      <c r="C1002" s="2432"/>
      <c r="D1002" s="2421"/>
      <c r="E1002" s="2421"/>
      <c r="F1002" s="2421"/>
      <c r="G1002" s="2421"/>
      <c r="H1002" s="2421"/>
      <c r="I1002" s="2421"/>
      <c r="J1002" s="2432"/>
      <c r="K1002" s="40">
        <v>35000</v>
      </c>
      <c r="L1002" s="3295"/>
      <c r="M1002" s="3335" t="s">
        <v>390</v>
      </c>
      <c r="N1002" s="3336"/>
      <c r="O1002" s="40">
        <f t="shared" si="120"/>
        <v>2916.6666666666665</v>
      </c>
      <c r="P1002" s="40">
        <f t="shared" si="120"/>
        <v>2916.6666666666665</v>
      </c>
      <c r="Q1002" s="40">
        <f t="shared" si="120"/>
        <v>2916.6666666666665</v>
      </c>
      <c r="R1002" s="40">
        <f t="shared" si="120"/>
        <v>2916.6666666666665</v>
      </c>
      <c r="S1002" s="40">
        <f t="shared" si="120"/>
        <v>2916.6666666666665</v>
      </c>
      <c r="T1002" s="40">
        <f t="shared" si="120"/>
        <v>2916.6666666666665</v>
      </c>
      <c r="U1002" s="40">
        <f t="shared" si="120"/>
        <v>2916.6666666666665</v>
      </c>
      <c r="V1002" s="40">
        <f t="shared" si="120"/>
        <v>2916.6666666666665</v>
      </c>
      <c r="W1002" s="40">
        <f t="shared" si="120"/>
        <v>2916.6666666666665</v>
      </c>
      <c r="X1002" s="40">
        <f t="shared" si="120"/>
        <v>2916.6666666666665</v>
      </c>
      <c r="Y1002" s="40">
        <f t="shared" si="120"/>
        <v>2916.6666666666665</v>
      </c>
      <c r="Z1002" s="56">
        <f t="shared" si="120"/>
        <v>2916.6666666666665</v>
      </c>
      <c r="AA1002" s="966">
        <f t="shared" si="117"/>
        <v>35000.000000000007</v>
      </c>
      <c r="AB1002" s="35"/>
      <c r="AC1002" s="183"/>
    </row>
    <row r="1003" spans="1:29" x14ac:dyDescent="0.2">
      <c r="A1003" s="1422"/>
      <c r="B1003" s="2522"/>
      <c r="C1003" s="2432"/>
      <c r="D1003" s="2421"/>
      <c r="E1003" s="2421"/>
      <c r="F1003" s="2421"/>
      <c r="G1003" s="2421"/>
      <c r="H1003" s="2421"/>
      <c r="I1003" s="2421"/>
      <c r="J1003" s="2432"/>
      <c r="K1003" s="40">
        <v>1524</v>
      </c>
      <c r="L1003" s="3295"/>
      <c r="M1003" s="3335" t="s">
        <v>303</v>
      </c>
      <c r="N1003" s="3336"/>
      <c r="O1003" s="37"/>
      <c r="P1003" s="38"/>
      <c r="Q1003" s="40">
        <f>$K1003</f>
        <v>1524</v>
      </c>
      <c r="R1003" s="38"/>
      <c r="S1003" s="38"/>
      <c r="T1003" s="38"/>
      <c r="U1003" s="38"/>
      <c r="V1003" s="38"/>
      <c r="W1003" s="38"/>
      <c r="X1003" s="38"/>
      <c r="Y1003" s="38"/>
      <c r="Z1003" s="54"/>
      <c r="AA1003" s="966">
        <f t="shared" si="117"/>
        <v>1524</v>
      </c>
      <c r="AB1003" s="35"/>
      <c r="AC1003" s="183"/>
    </row>
    <row r="1004" spans="1:29" x14ac:dyDescent="0.2">
      <c r="A1004" s="1422"/>
      <c r="B1004" s="2522"/>
      <c r="C1004" s="2432"/>
      <c r="D1004" s="2421"/>
      <c r="E1004" s="2421"/>
      <c r="F1004" s="2421"/>
      <c r="G1004" s="2421"/>
      <c r="H1004" s="2421"/>
      <c r="I1004" s="2421"/>
      <c r="J1004" s="2432"/>
      <c r="K1004" s="40">
        <v>1781</v>
      </c>
      <c r="L1004" s="3295"/>
      <c r="M1004" s="3335" t="s">
        <v>324</v>
      </c>
      <c r="N1004" s="3336"/>
      <c r="O1004" s="37"/>
      <c r="P1004" s="40">
        <f>$K1004</f>
        <v>1781</v>
      </c>
      <c r="Q1004" s="38"/>
      <c r="R1004" s="38"/>
      <c r="S1004" s="38"/>
      <c r="T1004" s="38"/>
      <c r="U1004" s="38"/>
      <c r="V1004" s="38"/>
      <c r="W1004" s="38"/>
      <c r="X1004" s="38"/>
      <c r="Y1004" s="38"/>
      <c r="Z1004" s="54"/>
      <c r="AA1004" s="966">
        <f t="shared" si="117"/>
        <v>1781</v>
      </c>
      <c r="AB1004" s="35"/>
      <c r="AC1004" s="183"/>
    </row>
    <row r="1005" spans="1:29" x14ac:dyDescent="0.2">
      <c r="A1005" s="1422"/>
      <c r="B1005" s="2522"/>
      <c r="C1005" s="2432"/>
      <c r="D1005" s="2421"/>
      <c r="E1005" s="2421"/>
      <c r="F1005" s="2421"/>
      <c r="G1005" s="2421"/>
      <c r="H1005" s="2421"/>
      <c r="I1005" s="2421"/>
      <c r="J1005" s="2432"/>
      <c r="K1005" s="40">
        <v>41568</v>
      </c>
      <c r="L1005" s="3295"/>
      <c r="M1005" s="3335" t="s">
        <v>393</v>
      </c>
      <c r="N1005" s="3336"/>
      <c r="O1005" s="47"/>
      <c r="P1005" s="47"/>
      <c r="Q1005" s="47"/>
      <c r="R1005" s="40">
        <f>$K1005/2</f>
        <v>20784</v>
      </c>
      <c r="S1005" s="47"/>
      <c r="T1005" s="47"/>
      <c r="U1005" s="47"/>
      <c r="V1005" s="40">
        <f>$K1005/2</f>
        <v>20784</v>
      </c>
      <c r="W1005" s="47"/>
      <c r="X1005" s="47"/>
      <c r="Y1005" s="47"/>
      <c r="Z1005" s="55"/>
      <c r="AA1005" s="966">
        <f t="shared" si="117"/>
        <v>41568</v>
      </c>
      <c r="AB1005" s="35"/>
      <c r="AC1005" s="183"/>
    </row>
    <row r="1006" spans="1:29" x14ac:dyDescent="0.2">
      <c r="A1006" s="1422"/>
      <c r="B1006" s="2522"/>
      <c r="C1006" s="2432"/>
      <c r="D1006" s="2421"/>
      <c r="E1006" s="2421"/>
      <c r="F1006" s="2421"/>
      <c r="G1006" s="2421"/>
      <c r="H1006" s="2421"/>
      <c r="I1006" s="2421"/>
      <c r="J1006" s="2432"/>
      <c r="K1006" s="40">
        <v>162812</v>
      </c>
      <c r="L1006" s="3295"/>
      <c r="M1006" s="3335" t="s">
        <v>343</v>
      </c>
      <c r="N1006" s="3336"/>
      <c r="O1006" s="47"/>
      <c r="P1006" s="47"/>
      <c r="Q1006" s="47"/>
      <c r="R1006" s="47">
        <f>$K1006*(1/17)</f>
        <v>9577.176470588236</v>
      </c>
      <c r="S1006" s="47">
        <f>$K1006*(2/17)</f>
        <v>19154.352941176472</v>
      </c>
      <c r="T1006" s="47">
        <f>$K1006*(3/17)</f>
        <v>28731.529411764706</v>
      </c>
      <c r="U1006" s="47">
        <f>$K1006*(2/17)</f>
        <v>19154.352941176472</v>
      </c>
      <c r="V1006" s="47">
        <f t="shared" ref="V1006:X1006" si="121">$K1006*(1/17)</f>
        <v>9577.176470588236</v>
      </c>
      <c r="W1006" s="47">
        <f>$K1006*(2/17)</f>
        <v>19154.352941176472</v>
      </c>
      <c r="X1006" s="47">
        <f t="shared" si="121"/>
        <v>9577.176470588236</v>
      </c>
      <c r="Y1006" s="47">
        <f>$K1006*(3/17)</f>
        <v>28731.529411764706</v>
      </c>
      <c r="Z1006" s="55">
        <f>$K1006*(2/17)</f>
        <v>19154.352941176472</v>
      </c>
      <c r="AA1006" s="966">
        <f t="shared" si="117"/>
        <v>162812.00000000003</v>
      </c>
      <c r="AB1006" s="35"/>
      <c r="AC1006" s="183"/>
    </row>
    <row r="1007" spans="1:29" x14ac:dyDescent="0.2">
      <c r="A1007" s="1422"/>
      <c r="B1007" s="2522"/>
      <c r="C1007" s="2432"/>
      <c r="D1007" s="2421"/>
      <c r="E1007" s="2421"/>
      <c r="F1007" s="2421"/>
      <c r="G1007" s="2421"/>
      <c r="H1007" s="2421"/>
      <c r="I1007" s="2421"/>
      <c r="J1007" s="2432"/>
      <c r="K1007" s="40">
        <v>3978</v>
      </c>
      <c r="L1007" s="3295"/>
      <c r="M1007" s="3335" t="s">
        <v>304</v>
      </c>
      <c r="N1007" s="3336"/>
      <c r="O1007" s="37"/>
      <c r="P1007" s="38"/>
      <c r="Q1007" s="40">
        <f>$K1007/2</f>
        <v>1989</v>
      </c>
      <c r="R1007" s="38"/>
      <c r="S1007" s="38"/>
      <c r="T1007" s="38"/>
      <c r="U1007" s="38"/>
      <c r="V1007" s="40">
        <f>$K1007/2</f>
        <v>1989</v>
      </c>
      <c r="W1007" s="38"/>
      <c r="X1007" s="38"/>
      <c r="Y1007" s="38"/>
      <c r="Z1007" s="54"/>
      <c r="AA1007" s="966">
        <f t="shared" si="117"/>
        <v>3978</v>
      </c>
      <c r="AB1007" s="35"/>
      <c r="AC1007" s="183"/>
    </row>
    <row r="1008" spans="1:29" x14ac:dyDescent="0.2">
      <c r="A1008" s="1422"/>
      <c r="B1008" s="2522"/>
      <c r="C1008" s="2432"/>
      <c r="D1008" s="2421"/>
      <c r="E1008" s="2421"/>
      <c r="F1008" s="2421"/>
      <c r="G1008" s="2421"/>
      <c r="H1008" s="2421"/>
      <c r="I1008" s="2421"/>
      <c r="J1008" s="2432"/>
      <c r="K1008" s="40">
        <v>26293</v>
      </c>
      <c r="L1008" s="3295"/>
      <c r="M1008" s="3335" t="s">
        <v>425</v>
      </c>
      <c r="N1008" s="3336"/>
      <c r="O1008" s="40">
        <f t="shared" ref="O1008:Z1010" si="122">$K1008/12</f>
        <v>2191.0833333333335</v>
      </c>
      <c r="P1008" s="40">
        <f t="shared" si="122"/>
        <v>2191.0833333333335</v>
      </c>
      <c r="Q1008" s="40">
        <f t="shared" si="122"/>
        <v>2191.0833333333335</v>
      </c>
      <c r="R1008" s="40">
        <f t="shared" si="122"/>
        <v>2191.0833333333335</v>
      </c>
      <c r="S1008" s="40">
        <f t="shared" si="122"/>
        <v>2191.0833333333335</v>
      </c>
      <c r="T1008" s="40">
        <f t="shared" si="122"/>
        <v>2191.0833333333335</v>
      </c>
      <c r="U1008" s="40">
        <f t="shared" si="122"/>
        <v>2191.0833333333335</v>
      </c>
      <c r="V1008" s="40">
        <f t="shared" si="122"/>
        <v>2191.0833333333335</v>
      </c>
      <c r="W1008" s="40">
        <f t="shared" si="122"/>
        <v>2191.0833333333335</v>
      </c>
      <c r="X1008" s="40">
        <f t="shared" si="122"/>
        <v>2191.0833333333335</v>
      </c>
      <c r="Y1008" s="40">
        <f t="shared" si="122"/>
        <v>2191.0833333333335</v>
      </c>
      <c r="Z1008" s="56">
        <f t="shared" si="122"/>
        <v>2191.0833333333335</v>
      </c>
      <c r="AA1008" s="966">
        <f t="shared" si="117"/>
        <v>26292.999999999996</v>
      </c>
      <c r="AB1008" s="35"/>
      <c r="AC1008" s="183"/>
    </row>
    <row r="1009" spans="1:29" x14ac:dyDescent="0.2">
      <c r="A1009" s="1422"/>
      <c r="B1009" s="2522"/>
      <c r="C1009" s="2432"/>
      <c r="D1009" s="2421"/>
      <c r="E1009" s="2421"/>
      <c r="F1009" s="2421"/>
      <c r="G1009" s="2421"/>
      <c r="H1009" s="2421"/>
      <c r="I1009" s="2421"/>
      <c r="J1009" s="2432"/>
      <c r="K1009" s="40">
        <v>5000</v>
      </c>
      <c r="L1009" s="3295"/>
      <c r="M1009" s="3335" t="s">
        <v>349</v>
      </c>
      <c r="N1009" s="3336"/>
      <c r="O1009" s="40">
        <f t="shared" si="122"/>
        <v>416.66666666666669</v>
      </c>
      <c r="P1009" s="40">
        <f t="shared" si="122"/>
        <v>416.66666666666669</v>
      </c>
      <c r="Q1009" s="40">
        <f t="shared" si="122"/>
        <v>416.66666666666669</v>
      </c>
      <c r="R1009" s="40">
        <f t="shared" si="122"/>
        <v>416.66666666666669</v>
      </c>
      <c r="S1009" s="40">
        <f t="shared" si="122"/>
        <v>416.66666666666669</v>
      </c>
      <c r="T1009" s="40">
        <f t="shared" si="122"/>
        <v>416.66666666666669</v>
      </c>
      <c r="U1009" s="40">
        <f t="shared" si="122"/>
        <v>416.66666666666669</v>
      </c>
      <c r="V1009" s="40">
        <f t="shared" si="122"/>
        <v>416.66666666666669</v>
      </c>
      <c r="W1009" s="40">
        <f t="shared" si="122"/>
        <v>416.66666666666669</v>
      </c>
      <c r="X1009" s="40">
        <f t="shared" si="122"/>
        <v>416.66666666666669</v>
      </c>
      <c r="Y1009" s="40">
        <f t="shared" si="122"/>
        <v>416.66666666666669</v>
      </c>
      <c r="Z1009" s="56">
        <f t="shared" si="122"/>
        <v>416.66666666666669</v>
      </c>
      <c r="AA1009" s="966">
        <f t="shared" si="117"/>
        <v>5000</v>
      </c>
      <c r="AB1009" s="35"/>
      <c r="AC1009" s="183"/>
    </row>
    <row r="1010" spans="1:29" x14ac:dyDescent="0.2">
      <c r="A1010" s="1422"/>
      <c r="B1010" s="2522"/>
      <c r="C1010" s="2432"/>
      <c r="D1010" s="2421"/>
      <c r="E1010" s="2421"/>
      <c r="F1010" s="2421"/>
      <c r="G1010" s="2421"/>
      <c r="H1010" s="2421"/>
      <c r="I1010" s="2421"/>
      <c r="J1010" s="2432"/>
      <c r="K1010" s="40">
        <v>15000</v>
      </c>
      <c r="L1010" s="3295"/>
      <c r="M1010" s="3335" t="s">
        <v>395</v>
      </c>
      <c r="N1010" s="3336"/>
      <c r="O1010" s="40">
        <f t="shared" si="122"/>
        <v>1250</v>
      </c>
      <c r="P1010" s="40">
        <f t="shared" si="122"/>
        <v>1250</v>
      </c>
      <c r="Q1010" s="40">
        <f t="shared" si="122"/>
        <v>1250</v>
      </c>
      <c r="R1010" s="40">
        <f t="shared" si="122"/>
        <v>1250</v>
      </c>
      <c r="S1010" s="40">
        <f t="shared" si="122"/>
        <v>1250</v>
      </c>
      <c r="T1010" s="40">
        <f t="shared" si="122"/>
        <v>1250</v>
      </c>
      <c r="U1010" s="40">
        <f t="shared" si="122"/>
        <v>1250</v>
      </c>
      <c r="V1010" s="40">
        <f t="shared" si="122"/>
        <v>1250</v>
      </c>
      <c r="W1010" s="40">
        <f t="shared" si="122"/>
        <v>1250</v>
      </c>
      <c r="X1010" s="40">
        <f t="shared" si="122"/>
        <v>1250</v>
      </c>
      <c r="Y1010" s="40">
        <f t="shared" si="122"/>
        <v>1250</v>
      </c>
      <c r="Z1010" s="56">
        <f t="shared" si="122"/>
        <v>1250</v>
      </c>
      <c r="AA1010" s="966">
        <f t="shared" si="117"/>
        <v>15000</v>
      </c>
      <c r="AB1010" s="35"/>
      <c r="AC1010" s="183"/>
    </row>
    <row r="1011" spans="1:29" x14ac:dyDescent="0.2">
      <c r="A1011" s="1422"/>
      <c r="B1011" s="2522"/>
      <c r="C1011" s="2432"/>
      <c r="D1011" s="2421"/>
      <c r="E1011" s="2421"/>
      <c r="F1011" s="2421"/>
      <c r="G1011" s="2421"/>
      <c r="H1011" s="2421"/>
      <c r="I1011" s="2421"/>
      <c r="J1011" s="2432"/>
      <c r="K1011" s="40">
        <v>72000</v>
      </c>
      <c r="L1011" s="3295"/>
      <c r="M1011" s="3335" t="s">
        <v>429</v>
      </c>
      <c r="N1011" s="3336"/>
      <c r="O1011" s="40"/>
      <c r="P1011" s="40">
        <f t="shared" ref="P1011:Z1011" si="123">$K1011/11</f>
        <v>6545.454545454545</v>
      </c>
      <c r="Q1011" s="40">
        <f t="shared" si="123"/>
        <v>6545.454545454545</v>
      </c>
      <c r="R1011" s="40">
        <f t="shared" si="123"/>
        <v>6545.454545454545</v>
      </c>
      <c r="S1011" s="40">
        <f t="shared" si="123"/>
        <v>6545.454545454545</v>
      </c>
      <c r="T1011" s="40">
        <f t="shared" si="123"/>
        <v>6545.454545454545</v>
      </c>
      <c r="U1011" s="40">
        <f t="shared" si="123"/>
        <v>6545.454545454545</v>
      </c>
      <c r="V1011" s="40">
        <f t="shared" si="123"/>
        <v>6545.454545454545</v>
      </c>
      <c r="W1011" s="40">
        <f t="shared" si="123"/>
        <v>6545.454545454545</v>
      </c>
      <c r="X1011" s="40">
        <f t="shared" si="123"/>
        <v>6545.454545454545</v>
      </c>
      <c r="Y1011" s="40">
        <f t="shared" si="123"/>
        <v>6545.454545454545</v>
      </c>
      <c r="Z1011" s="56">
        <f t="shared" si="123"/>
        <v>6545.454545454545</v>
      </c>
      <c r="AA1011" s="966">
        <f t="shared" si="117"/>
        <v>72000</v>
      </c>
      <c r="AB1011" s="35"/>
      <c r="AC1011" s="183"/>
    </row>
    <row r="1012" spans="1:29" x14ac:dyDescent="0.2">
      <c r="A1012" s="1422"/>
      <c r="B1012" s="2522"/>
      <c r="C1012" s="2432"/>
      <c r="D1012" s="2421"/>
      <c r="E1012" s="2421"/>
      <c r="F1012" s="2421"/>
      <c r="G1012" s="2421"/>
      <c r="H1012" s="2421"/>
      <c r="I1012" s="2421"/>
      <c r="J1012" s="2432"/>
      <c r="K1012" s="40">
        <v>34095</v>
      </c>
      <c r="L1012" s="3295"/>
      <c r="M1012" s="3335" t="s">
        <v>311</v>
      </c>
      <c r="N1012" s="3336"/>
      <c r="O1012" s="37">
        <f t="shared" ref="O1012:Z1014" si="124">$K1012/12</f>
        <v>2841.25</v>
      </c>
      <c r="P1012" s="37">
        <f t="shared" si="124"/>
        <v>2841.25</v>
      </c>
      <c r="Q1012" s="37">
        <f t="shared" si="124"/>
        <v>2841.25</v>
      </c>
      <c r="R1012" s="37">
        <f t="shared" si="124"/>
        <v>2841.25</v>
      </c>
      <c r="S1012" s="37">
        <f t="shared" si="124"/>
        <v>2841.25</v>
      </c>
      <c r="T1012" s="37">
        <f t="shared" si="124"/>
        <v>2841.25</v>
      </c>
      <c r="U1012" s="37">
        <f t="shared" si="124"/>
        <v>2841.25</v>
      </c>
      <c r="V1012" s="37">
        <f t="shared" si="124"/>
        <v>2841.25</v>
      </c>
      <c r="W1012" s="37">
        <f t="shared" si="124"/>
        <v>2841.25</v>
      </c>
      <c r="X1012" s="37">
        <f t="shared" si="124"/>
        <v>2841.25</v>
      </c>
      <c r="Y1012" s="37">
        <f t="shared" si="124"/>
        <v>2841.25</v>
      </c>
      <c r="Z1012" s="53">
        <f t="shared" si="124"/>
        <v>2841.25</v>
      </c>
      <c r="AA1012" s="966">
        <f t="shared" si="117"/>
        <v>34095</v>
      </c>
      <c r="AB1012" s="35"/>
      <c r="AC1012" s="183"/>
    </row>
    <row r="1013" spans="1:29" x14ac:dyDescent="0.2">
      <c r="A1013" s="1422"/>
      <c r="B1013" s="2522"/>
      <c r="C1013" s="2432"/>
      <c r="D1013" s="2421"/>
      <c r="E1013" s="2421"/>
      <c r="F1013" s="2421"/>
      <c r="G1013" s="2421"/>
      <c r="H1013" s="2421"/>
      <c r="I1013" s="2421"/>
      <c r="J1013" s="2432"/>
      <c r="K1013" s="40">
        <v>440163</v>
      </c>
      <c r="L1013" s="3295"/>
      <c r="M1013" s="3335" t="s">
        <v>310</v>
      </c>
      <c r="N1013" s="3336"/>
      <c r="O1013" s="37">
        <f t="shared" si="124"/>
        <v>36680.25</v>
      </c>
      <c r="P1013" s="37">
        <f t="shared" si="124"/>
        <v>36680.25</v>
      </c>
      <c r="Q1013" s="37">
        <f t="shared" si="124"/>
        <v>36680.25</v>
      </c>
      <c r="R1013" s="37">
        <f t="shared" si="124"/>
        <v>36680.25</v>
      </c>
      <c r="S1013" s="37">
        <f t="shared" si="124"/>
        <v>36680.25</v>
      </c>
      <c r="T1013" s="37">
        <f t="shared" si="124"/>
        <v>36680.25</v>
      </c>
      <c r="U1013" s="37">
        <f t="shared" si="124"/>
        <v>36680.25</v>
      </c>
      <c r="V1013" s="37">
        <f t="shared" si="124"/>
        <v>36680.25</v>
      </c>
      <c r="W1013" s="37">
        <f t="shared" si="124"/>
        <v>36680.25</v>
      </c>
      <c r="X1013" s="37">
        <f t="shared" si="124"/>
        <v>36680.25</v>
      </c>
      <c r="Y1013" s="37">
        <f t="shared" si="124"/>
        <v>36680.25</v>
      </c>
      <c r="Z1013" s="53">
        <f t="shared" si="124"/>
        <v>36680.25</v>
      </c>
      <c r="AA1013" s="966">
        <f t="shared" si="117"/>
        <v>440163</v>
      </c>
      <c r="AB1013" s="35"/>
      <c r="AC1013" s="183"/>
    </row>
    <row r="1014" spans="1:29" x14ac:dyDescent="0.2">
      <c r="A1014" s="1422"/>
      <c r="B1014" s="2522"/>
      <c r="C1014" s="2437"/>
      <c r="D1014" s="2421"/>
      <c r="E1014" s="2421"/>
      <c r="F1014" s="2421"/>
      <c r="G1014" s="2421"/>
      <c r="H1014" s="2421"/>
      <c r="I1014" s="2421"/>
      <c r="J1014" s="2437"/>
      <c r="K1014" s="40">
        <v>87241</v>
      </c>
      <c r="L1014" s="3296"/>
      <c r="M1014" s="3335" t="s">
        <v>397</v>
      </c>
      <c r="N1014" s="3336"/>
      <c r="O1014" s="40">
        <f>$K1014/12</f>
        <v>7270.083333333333</v>
      </c>
      <c r="P1014" s="40">
        <f t="shared" si="124"/>
        <v>7270.083333333333</v>
      </c>
      <c r="Q1014" s="40">
        <f t="shared" si="124"/>
        <v>7270.083333333333</v>
      </c>
      <c r="R1014" s="40">
        <f t="shared" si="124"/>
        <v>7270.083333333333</v>
      </c>
      <c r="S1014" s="40">
        <f t="shared" si="124"/>
        <v>7270.083333333333</v>
      </c>
      <c r="T1014" s="40">
        <f t="shared" si="124"/>
        <v>7270.083333333333</v>
      </c>
      <c r="U1014" s="40">
        <f t="shared" si="124"/>
        <v>7270.083333333333</v>
      </c>
      <c r="V1014" s="40">
        <f t="shared" si="124"/>
        <v>7270.083333333333</v>
      </c>
      <c r="W1014" s="40">
        <f t="shared" si="124"/>
        <v>7270.083333333333</v>
      </c>
      <c r="X1014" s="40">
        <f t="shared" si="124"/>
        <v>7270.083333333333</v>
      </c>
      <c r="Y1014" s="40">
        <f t="shared" si="124"/>
        <v>7270.083333333333</v>
      </c>
      <c r="Z1014" s="56">
        <f>$K1014/12</f>
        <v>7270.083333333333</v>
      </c>
      <c r="AA1014" s="966">
        <f t="shared" si="117"/>
        <v>87241</v>
      </c>
      <c r="AB1014" s="35"/>
      <c r="AC1014" s="183"/>
    </row>
    <row r="1015" spans="1:29" ht="22.5" customHeight="1" x14ac:dyDescent="0.2">
      <c r="A1015" s="1422"/>
      <c r="B1015" s="1433" t="s">
        <v>276</v>
      </c>
      <c r="C1015" s="108"/>
      <c r="D1015" s="35">
        <v>3033298</v>
      </c>
      <c r="E1015" s="192" t="s">
        <v>494</v>
      </c>
      <c r="F1015" s="193"/>
      <c r="G1015" s="194"/>
      <c r="H1015" s="35"/>
      <c r="I1015" s="35"/>
      <c r="J1015" s="35"/>
      <c r="K1015" s="60"/>
      <c r="L1015" s="60"/>
      <c r="M1015" s="181"/>
      <c r="N1015" s="181"/>
      <c r="O1015" s="60"/>
      <c r="P1015" s="60"/>
      <c r="Q1015" s="60"/>
      <c r="R1015" s="60"/>
      <c r="S1015" s="2922" t="s">
        <v>15</v>
      </c>
      <c r="T1015" s="2922"/>
      <c r="U1015" s="2922"/>
      <c r="V1015" s="2922"/>
      <c r="W1015" s="2922"/>
      <c r="X1015" s="2922"/>
      <c r="Y1015" s="2922"/>
      <c r="Z1015" s="3019" t="s">
        <v>16</v>
      </c>
      <c r="AA1015" s="3020"/>
      <c r="AB1015" s="35"/>
      <c r="AC1015" s="183"/>
    </row>
    <row r="1016" spans="1:29" ht="22.5" customHeight="1" x14ac:dyDescent="0.2">
      <c r="A1016" s="1422"/>
      <c r="B1016" s="1433"/>
      <c r="C1016" s="108"/>
      <c r="D1016" s="35"/>
      <c r="E1016" s="192"/>
      <c r="F1016" s="193"/>
      <c r="G1016" s="194"/>
      <c r="H1016" s="35"/>
      <c r="I1016" s="35"/>
      <c r="J1016" s="35"/>
      <c r="K1016" s="60"/>
      <c r="L1016" s="60"/>
      <c r="M1016" s="181"/>
      <c r="N1016" s="181"/>
      <c r="O1016" s="60"/>
      <c r="P1016" s="60"/>
      <c r="Q1016" s="60"/>
      <c r="R1016" s="60"/>
      <c r="S1016" s="3233" t="s">
        <v>495</v>
      </c>
      <c r="T1016" s="3233"/>
      <c r="U1016" s="3233"/>
      <c r="V1016" s="3233"/>
      <c r="W1016" s="3233"/>
      <c r="X1016" s="3233"/>
      <c r="Y1016" s="3233"/>
      <c r="Z1016" s="2922" t="s">
        <v>496</v>
      </c>
      <c r="AA1016" s="2922"/>
      <c r="AB1016" s="35"/>
      <c r="AC1016" s="183"/>
    </row>
    <row r="1017" spans="1:29" x14ac:dyDescent="0.2">
      <c r="A1017" s="1422"/>
      <c r="B1017" s="2999" t="s">
        <v>278</v>
      </c>
      <c r="C1017" s="2988" t="s">
        <v>21</v>
      </c>
      <c r="D1017" s="2847" t="s">
        <v>22</v>
      </c>
      <c r="E1017" s="2847" t="s">
        <v>23</v>
      </c>
      <c r="F1017" s="2847" t="s">
        <v>24</v>
      </c>
      <c r="G1017" s="2847" t="s">
        <v>25</v>
      </c>
      <c r="H1017" s="2847" t="s">
        <v>26</v>
      </c>
      <c r="I1017" s="2847" t="s">
        <v>27</v>
      </c>
      <c r="J1017" s="3206" t="s">
        <v>28</v>
      </c>
      <c r="K1017" s="3207"/>
      <c r="L1017" s="2847" t="s">
        <v>279</v>
      </c>
      <c r="M1017" s="3273" t="s">
        <v>280</v>
      </c>
      <c r="N1017" s="3274"/>
      <c r="O1017" s="2847" t="s">
        <v>281</v>
      </c>
      <c r="P1017" s="2847"/>
      <c r="Q1017" s="2847"/>
      <c r="R1017" s="2847"/>
      <c r="S1017" s="2847"/>
      <c r="T1017" s="2847"/>
      <c r="U1017" s="2847"/>
      <c r="V1017" s="2847"/>
      <c r="W1017" s="2847"/>
      <c r="X1017" s="2847"/>
      <c r="Y1017" s="2847"/>
      <c r="Z1017" s="2847"/>
      <c r="AA1017" s="2988" t="s">
        <v>32</v>
      </c>
      <c r="AB1017" s="35"/>
      <c r="AC1017" s="183"/>
    </row>
    <row r="1018" spans="1:29" ht="15" customHeight="1" x14ac:dyDescent="0.2">
      <c r="A1018" s="1422"/>
      <c r="B1018" s="2999"/>
      <c r="C1018" s="3186"/>
      <c r="D1018" s="2847"/>
      <c r="E1018" s="2847"/>
      <c r="F1018" s="2847"/>
      <c r="G1018" s="2847"/>
      <c r="H1018" s="2847"/>
      <c r="I1018" s="2847"/>
      <c r="J1018" s="2988" t="s">
        <v>33</v>
      </c>
      <c r="K1018" s="2988" t="s">
        <v>282</v>
      </c>
      <c r="L1018" s="2847"/>
      <c r="M1018" s="3275"/>
      <c r="N1018" s="3276"/>
      <c r="O1018" s="1009" t="s">
        <v>283</v>
      </c>
      <c r="P1018" s="1009" t="s">
        <v>284</v>
      </c>
      <c r="Q1018" s="1009" t="s">
        <v>285</v>
      </c>
      <c r="R1018" s="1009" t="s">
        <v>88</v>
      </c>
      <c r="S1018" s="1009" t="s">
        <v>89</v>
      </c>
      <c r="T1018" s="1009" t="s">
        <v>90</v>
      </c>
      <c r="U1018" s="1009" t="s">
        <v>91</v>
      </c>
      <c r="V1018" s="1009" t="s">
        <v>92</v>
      </c>
      <c r="W1018" s="1009" t="s">
        <v>286</v>
      </c>
      <c r="X1018" s="1009" t="s">
        <v>93</v>
      </c>
      <c r="Y1018" s="1009" t="s">
        <v>94</v>
      </c>
      <c r="Z1018" s="1009" t="s">
        <v>95</v>
      </c>
      <c r="AA1018" s="2989"/>
      <c r="AB1018" s="35"/>
      <c r="AC1018" s="183"/>
    </row>
    <row r="1019" spans="1:29" x14ac:dyDescent="0.2">
      <c r="A1019" s="1422"/>
      <c r="B1019" s="2999"/>
      <c r="C1019" s="3186"/>
      <c r="D1019" s="2847"/>
      <c r="E1019" s="2847"/>
      <c r="F1019" s="2847"/>
      <c r="G1019" s="2847"/>
      <c r="H1019" s="2847"/>
      <c r="I1019" s="2847"/>
      <c r="J1019" s="3186"/>
      <c r="K1019" s="3186"/>
      <c r="L1019" s="2847"/>
      <c r="M1019" s="3271" t="s">
        <v>287</v>
      </c>
      <c r="N1019" s="3272"/>
      <c r="O1019" s="46">
        <v>2288.4166666666665</v>
      </c>
      <c r="P1019" s="1095">
        <v>2290</v>
      </c>
      <c r="Q1019" s="1095">
        <v>2290</v>
      </c>
      <c r="R1019" s="1095">
        <v>2289</v>
      </c>
      <c r="S1019" s="1095">
        <v>2288</v>
      </c>
      <c r="T1019" s="1095">
        <v>2288</v>
      </c>
      <c r="U1019" s="1095">
        <v>2288</v>
      </c>
      <c r="V1019" s="1095">
        <v>2288</v>
      </c>
      <c r="W1019" s="1095">
        <v>2288</v>
      </c>
      <c r="X1019" s="1095">
        <v>2288</v>
      </c>
      <c r="Y1019" s="1095">
        <v>2288</v>
      </c>
      <c r="Z1019" s="1144">
        <v>2288</v>
      </c>
      <c r="AA1019" s="1196">
        <f t="shared" ref="AA1019:AA1037" si="125">SUM(O1019:Z1019)</f>
        <v>27461.416666666664</v>
      </c>
      <c r="AB1019" s="35"/>
      <c r="AC1019" s="183"/>
    </row>
    <row r="1020" spans="1:29" x14ac:dyDescent="0.2">
      <c r="A1020" s="1422"/>
      <c r="B1020" s="2999"/>
      <c r="C1020" s="2989"/>
      <c r="D1020" s="2847"/>
      <c r="E1020" s="2847"/>
      <c r="F1020" s="2847"/>
      <c r="G1020" s="2847"/>
      <c r="H1020" s="2847"/>
      <c r="I1020" s="2847"/>
      <c r="J1020" s="2989"/>
      <c r="K1020" s="2989"/>
      <c r="L1020" s="2847"/>
      <c r="M1020" s="3271" t="s">
        <v>34</v>
      </c>
      <c r="N1020" s="3272"/>
      <c r="O1020" s="36">
        <f>SUM(O1021:O1037)</f>
        <v>206785.91666666669</v>
      </c>
      <c r="P1020" s="36">
        <f t="shared" ref="P1020:Z1020" si="126">SUM(P1021:P1037)</f>
        <v>168435.91666666669</v>
      </c>
      <c r="Q1020" s="36">
        <f t="shared" si="126"/>
        <v>168085.91666666669</v>
      </c>
      <c r="R1020" s="36">
        <f t="shared" si="126"/>
        <v>169053.30797101452</v>
      </c>
      <c r="S1020" s="36">
        <f t="shared" si="126"/>
        <v>168955.48188405798</v>
      </c>
      <c r="T1020" s="36">
        <f t="shared" si="126"/>
        <v>168520.69927536233</v>
      </c>
      <c r="U1020" s="36">
        <f t="shared" si="126"/>
        <v>193855.87318840582</v>
      </c>
      <c r="V1020" s="36">
        <f t="shared" si="126"/>
        <v>169270.69927536233</v>
      </c>
      <c r="W1020" s="36">
        <f t="shared" si="126"/>
        <v>168738.09057971017</v>
      </c>
      <c r="X1020" s="36">
        <f t="shared" si="126"/>
        <v>168520.69927536233</v>
      </c>
      <c r="Y1020" s="36">
        <f t="shared" si="126"/>
        <v>168738.09057971017</v>
      </c>
      <c r="Z1020" s="52">
        <f t="shared" si="126"/>
        <v>191986.30797101452</v>
      </c>
      <c r="AA1020" s="1196">
        <f t="shared" si="125"/>
        <v>2110947</v>
      </c>
      <c r="AB1020" s="35"/>
      <c r="AC1020" s="183"/>
    </row>
    <row r="1021" spans="1:29" ht="11.25" customHeight="1" x14ac:dyDescent="0.2">
      <c r="A1021" s="1422"/>
      <c r="B1021" s="2522">
        <v>5000048</v>
      </c>
      <c r="C1021" s="2431" t="s">
        <v>3061</v>
      </c>
      <c r="D1021" s="2421">
        <v>35</v>
      </c>
      <c r="E1021" s="2421" t="s">
        <v>407</v>
      </c>
      <c r="F1021" s="2421" t="s">
        <v>386</v>
      </c>
      <c r="G1021" s="2421" t="s">
        <v>387</v>
      </c>
      <c r="H1021" s="2421" t="s">
        <v>337</v>
      </c>
      <c r="I1021" s="2421" t="s">
        <v>497</v>
      </c>
      <c r="J1021" s="2431">
        <v>27461</v>
      </c>
      <c r="K1021" s="40">
        <v>945488</v>
      </c>
      <c r="L1021" s="3294" t="s">
        <v>446</v>
      </c>
      <c r="M1021" s="3335" t="s">
        <v>293</v>
      </c>
      <c r="N1021" s="3336"/>
      <c r="O1021" s="37">
        <f t="shared" ref="O1021:Z1030" si="127">$K1021/12</f>
        <v>78790.666666666672</v>
      </c>
      <c r="P1021" s="37">
        <f t="shared" si="127"/>
        <v>78790.666666666672</v>
      </c>
      <c r="Q1021" s="37">
        <f t="shared" si="127"/>
        <v>78790.666666666672</v>
      </c>
      <c r="R1021" s="37">
        <f t="shared" si="127"/>
        <v>78790.666666666672</v>
      </c>
      <c r="S1021" s="37">
        <f t="shared" si="127"/>
        <v>78790.666666666672</v>
      </c>
      <c r="T1021" s="37">
        <f t="shared" si="127"/>
        <v>78790.666666666672</v>
      </c>
      <c r="U1021" s="37">
        <f t="shared" si="127"/>
        <v>78790.666666666672</v>
      </c>
      <c r="V1021" s="37">
        <f t="shared" si="127"/>
        <v>78790.666666666672</v>
      </c>
      <c r="W1021" s="37">
        <f t="shared" si="127"/>
        <v>78790.666666666672</v>
      </c>
      <c r="X1021" s="37">
        <f t="shared" si="127"/>
        <v>78790.666666666672</v>
      </c>
      <c r="Y1021" s="37">
        <f t="shared" si="127"/>
        <v>78790.666666666672</v>
      </c>
      <c r="Z1021" s="53">
        <f t="shared" si="127"/>
        <v>78790.666666666672</v>
      </c>
      <c r="AA1021" s="966">
        <f t="shared" si="125"/>
        <v>945487.99999999988</v>
      </c>
      <c r="AB1021" s="35"/>
      <c r="AC1021" s="183"/>
    </row>
    <row r="1022" spans="1:29" x14ac:dyDescent="0.2">
      <c r="A1022" s="1422"/>
      <c r="B1022" s="2522"/>
      <c r="C1022" s="2432"/>
      <c r="D1022" s="2421"/>
      <c r="E1022" s="2421"/>
      <c r="F1022" s="2421"/>
      <c r="G1022" s="2421"/>
      <c r="H1022" s="2421"/>
      <c r="I1022" s="2421"/>
      <c r="J1022" s="2432"/>
      <c r="K1022" s="40">
        <v>359260</v>
      </c>
      <c r="L1022" s="3295"/>
      <c r="M1022" s="3335" t="s">
        <v>295</v>
      </c>
      <c r="N1022" s="3336"/>
      <c r="O1022" s="37">
        <f t="shared" si="127"/>
        <v>29938.333333333332</v>
      </c>
      <c r="P1022" s="37">
        <f t="shared" si="127"/>
        <v>29938.333333333332</v>
      </c>
      <c r="Q1022" s="37">
        <f t="shared" si="127"/>
        <v>29938.333333333332</v>
      </c>
      <c r="R1022" s="37">
        <f t="shared" si="127"/>
        <v>29938.333333333332</v>
      </c>
      <c r="S1022" s="37">
        <f t="shared" si="127"/>
        <v>29938.333333333332</v>
      </c>
      <c r="T1022" s="37">
        <f t="shared" si="127"/>
        <v>29938.333333333332</v>
      </c>
      <c r="U1022" s="37">
        <f t="shared" si="127"/>
        <v>29938.333333333332</v>
      </c>
      <c r="V1022" s="37">
        <f t="shared" si="127"/>
        <v>29938.333333333332</v>
      </c>
      <c r="W1022" s="37">
        <f t="shared" si="127"/>
        <v>29938.333333333332</v>
      </c>
      <c r="X1022" s="37">
        <f t="shared" si="127"/>
        <v>29938.333333333332</v>
      </c>
      <c r="Y1022" s="37">
        <f t="shared" si="127"/>
        <v>29938.333333333332</v>
      </c>
      <c r="Z1022" s="53">
        <f t="shared" si="127"/>
        <v>29938.333333333332</v>
      </c>
      <c r="AA1022" s="966">
        <f t="shared" si="125"/>
        <v>359259.99999999994</v>
      </c>
      <c r="AB1022" s="35"/>
      <c r="AC1022" s="183"/>
    </row>
    <row r="1023" spans="1:29" x14ac:dyDescent="0.2">
      <c r="A1023" s="1422"/>
      <c r="B1023" s="2522"/>
      <c r="C1023" s="2432"/>
      <c r="D1023" s="2421"/>
      <c r="E1023" s="2421"/>
      <c r="F1023" s="2421"/>
      <c r="G1023" s="2421"/>
      <c r="H1023" s="2421"/>
      <c r="I1023" s="2421"/>
      <c r="J1023" s="2432"/>
      <c r="K1023" s="40">
        <v>23750</v>
      </c>
      <c r="L1023" s="3295"/>
      <c r="M1023" s="3335" t="s">
        <v>332</v>
      </c>
      <c r="N1023" s="3336"/>
      <c r="O1023" s="37">
        <f t="shared" si="127"/>
        <v>1979.1666666666667</v>
      </c>
      <c r="P1023" s="37">
        <f t="shared" si="127"/>
        <v>1979.1666666666667</v>
      </c>
      <c r="Q1023" s="37">
        <f t="shared" si="127"/>
        <v>1979.1666666666667</v>
      </c>
      <c r="R1023" s="37">
        <f t="shared" si="127"/>
        <v>1979.1666666666667</v>
      </c>
      <c r="S1023" s="37">
        <f t="shared" si="127"/>
        <v>1979.1666666666667</v>
      </c>
      <c r="T1023" s="37">
        <f t="shared" si="127"/>
        <v>1979.1666666666667</v>
      </c>
      <c r="U1023" s="37">
        <f t="shared" si="127"/>
        <v>1979.1666666666667</v>
      </c>
      <c r="V1023" s="37">
        <f t="shared" si="127"/>
        <v>1979.1666666666667</v>
      </c>
      <c r="W1023" s="37">
        <f t="shared" si="127"/>
        <v>1979.1666666666667</v>
      </c>
      <c r="X1023" s="37">
        <f t="shared" si="127"/>
        <v>1979.1666666666667</v>
      </c>
      <c r="Y1023" s="37">
        <f t="shared" si="127"/>
        <v>1979.1666666666667</v>
      </c>
      <c r="Z1023" s="53">
        <f t="shared" si="127"/>
        <v>1979.1666666666667</v>
      </c>
      <c r="AA1023" s="966">
        <f t="shared" si="125"/>
        <v>23750.000000000004</v>
      </c>
      <c r="AB1023" s="35"/>
      <c r="AC1023" s="183"/>
    </row>
    <row r="1024" spans="1:29" x14ac:dyDescent="0.2">
      <c r="A1024" s="1422"/>
      <c r="B1024" s="2522"/>
      <c r="C1024" s="2432"/>
      <c r="D1024" s="2421"/>
      <c r="E1024" s="2421"/>
      <c r="F1024" s="2421"/>
      <c r="G1024" s="2421"/>
      <c r="H1024" s="2421"/>
      <c r="I1024" s="2421"/>
      <c r="J1024" s="2432"/>
      <c r="K1024" s="40">
        <v>314632</v>
      </c>
      <c r="L1024" s="3295"/>
      <c r="M1024" s="3335" t="s">
        <v>296</v>
      </c>
      <c r="N1024" s="3336"/>
      <c r="O1024" s="37">
        <f t="shared" si="127"/>
        <v>26219.333333333332</v>
      </c>
      <c r="P1024" s="37">
        <f t="shared" si="127"/>
        <v>26219.333333333332</v>
      </c>
      <c r="Q1024" s="37">
        <f t="shared" si="127"/>
        <v>26219.333333333332</v>
      </c>
      <c r="R1024" s="37">
        <f t="shared" si="127"/>
        <v>26219.333333333332</v>
      </c>
      <c r="S1024" s="37">
        <f t="shared" si="127"/>
        <v>26219.333333333332</v>
      </c>
      <c r="T1024" s="37">
        <f t="shared" si="127"/>
        <v>26219.333333333332</v>
      </c>
      <c r="U1024" s="37">
        <f t="shared" si="127"/>
        <v>26219.333333333332</v>
      </c>
      <c r="V1024" s="37">
        <f t="shared" si="127"/>
        <v>26219.333333333332</v>
      </c>
      <c r="W1024" s="37">
        <f t="shared" si="127"/>
        <v>26219.333333333332</v>
      </c>
      <c r="X1024" s="37">
        <f t="shared" si="127"/>
        <v>26219.333333333332</v>
      </c>
      <c r="Y1024" s="37">
        <f t="shared" si="127"/>
        <v>26219.333333333332</v>
      </c>
      <c r="Z1024" s="53">
        <f t="shared" si="127"/>
        <v>26219.333333333332</v>
      </c>
      <c r="AA1024" s="966">
        <f t="shared" si="125"/>
        <v>314632</v>
      </c>
      <c r="AB1024" s="35"/>
      <c r="AC1024" s="183"/>
    </row>
    <row r="1025" spans="1:29" x14ac:dyDescent="0.2">
      <c r="A1025" s="1422"/>
      <c r="B1025" s="2522"/>
      <c r="C1025" s="2432"/>
      <c r="D1025" s="2421"/>
      <c r="E1025" s="2421"/>
      <c r="F1025" s="2421"/>
      <c r="G1025" s="2421"/>
      <c r="H1025" s="2421"/>
      <c r="I1025" s="2421"/>
      <c r="J1025" s="2432"/>
      <c r="K1025" s="40">
        <v>70836</v>
      </c>
      <c r="L1025" s="3295"/>
      <c r="M1025" s="3335" t="s">
        <v>297</v>
      </c>
      <c r="N1025" s="3336"/>
      <c r="O1025" s="37">
        <f t="shared" si="127"/>
        <v>5903</v>
      </c>
      <c r="P1025" s="37">
        <f t="shared" si="127"/>
        <v>5903</v>
      </c>
      <c r="Q1025" s="37">
        <f t="shared" si="127"/>
        <v>5903</v>
      </c>
      <c r="R1025" s="37">
        <f t="shared" si="127"/>
        <v>5903</v>
      </c>
      <c r="S1025" s="37">
        <f t="shared" si="127"/>
        <v>5903</v>
      </c>
      <c r="T1025" s="37">
        <f t="shared" si="127"/>
        <v>5903</v>
      </c>
      <c r="U1025" s="37">
        <f t="shared" si="127"/>
        <v>5903</v>
      </c>
      <c r="V1025" s="37">
        <f t="shared" si="127"/>
        <v>5903</v>
      </c>
      <c r="W1025" s="37">
        <f t="shared" si="127"/>
        <v>5903</v>
      </c>
      <c r="X1025" s="37">
        <f t="shared" si="127"/>
        <v>5903</v>
      </c>
      <c r="Y1025" s="37">
        <f t="shared" si="127"/>
        <v>5903</v>
      </c>
      <c r="Z1025" s="53">
        <f t="shared" si="127"/>
        <v>5903</v>
      </c>
      <c r="AA1025" s="966">
        <f t="shared" si="125"/>
        <v>70836</v>
      </c>
      <c r="AB1025" s="35"/>
      <c r="AC1025" s="183"/>
    </row>
    <row r="1026" spans="1:29" x14ac:dyDescent="0.2">
      <c r="A1026" s="1422"/>
      <c r="B1026" s="2522"/>
      <c r="C1026" s="2432"/>
      <c r="D1026" s="2421"/>
      <c r="E1026" s="2421"/>
      <c r="F1026" s="2421"/>
      <c r="G1026" s="2421"/>
      <c r="H1026" s="2421"/>
      <c r="I1026" s="2421"/>
      <c r="J1026" s="2432"/>
      <c r="K1026" s="40">
        <v>47366</v>
      </c>
      <c r="L1026" s="3295"/>
      <c r="M1026" s="3335" t="s">
        <v>298</v>
      </c>
      <c r="N1026" s="3336"/>
      <c r="O1026" s="37"/>
      <c r="P1026" s="37"/>
      <c r="Q1026" s="37"/>
      <c r="R1026" s="37"/>
      <c r="S1026" s="37"/>
      <c r="T1026" s="37"/>
      <c r="U1026" s="37">
        <f>$K1026/2</f>
        <v>23683</v>
      </c>
      <c r="V1026" s="37"/>
      <c r="W1026" s="37"/>
      <c r="X1026" s="37"/>
      <c r="Y1026" s="37"/>
      <c r="Z1026" s="53">
        <f>$K1026/2</f>
        <v>23683</v>
      </c>
      <c r="AA1026" s="966">
        <f t="shared" si="125"/>
        <v>47366</v>
      </c>
      <c r="AB1026" s="35"/>
      <c r="AC1026" s="183"/>
    </row>
    <row r="1027" spans="1:29" x14ac:dyDescent="0.2">
      <c r="A1027" s="1422"/>
      <c r="B1027" s="2522"/>
      <c r="C1027" s="2432"/>
      <c r="D1027" s="2421"/>
      <c r="E1027" s="2421"/>
      <c r="F1027" s="2421"/>
      <c r="G1027" s="2421"/>
      <c r="H1027" s="2421"/>
      <c r="I1027" s="2421"/>
      <c r="J1027" s="2432"/>
      <c r="K1027" s="40">
        <v>39350</v>
      </c>
      <c r="L1027" s="3295"/>
      <c r="M1027" s="3335" t="s">
        <v>299</v>
      </c>
      <c r="N1027" s="3336"/>
      <c r="O1027" s="37">
        <f>$K1027</f>
        <v>39350</v>
      </c>
      <c r="P1027" s="37"/>
      <c r="Q1027" s="37"/>
      <c r="R1027" s="37"/>
      <c r="S1027" s="37"/>
      <c r="T1027" s="37"/>
      <c r="U1027" s="37"/>
      <c r="V1027" s="37"/>
      <c r="W1027" s="37"/>
      <c r="X1027" s="37"/>
      <c r="Y1027" s="37"/>
      <c r="Z1027" s="53"/>
      <c r="AA1027" s="966">
        <f t="shared" si="125"/>
        <v>39350</v>
      </c>
      <c r="AB1027" s="35"/>
      <c r="AC1027" s="183"/>
    </row>
    <row r="1028" spans="1:29" x14ac:dyDescent="0.2">
      <c r="A1028" s="1422"/>
      <c r="B1028" s="2522"/>
      <c r="C1028" s="2432"/>
      <c r="D1028" s="2421"/>
      <c r="E1028" s="2421"/>
      <c r="F1028" s="2421"/>
      <c r="G1028" s="2421"/>
      <c r="H1028" s="2421"/>
      <c r="I1028" s="2421"/>
      <c r="J1028" s="2432"/>
      <c r="K1028" s="40">
        <v>103450</v>
      </c>
      <c r="L1028" s="3295"/>
      <c r="M1028" s="3335" t="s">
        <v>300</v>
      </c>
      <c r="N1028" s="3336"/>
      <c r="O1028" s="37">
        <f t="shared" si="127"/>
        <v>8620.8333333333339</v>
      </c>
      <c r="P1028" s="37">
        <f t="shared" si="127"/>
        <v>8620.8333333333339</v>
      </c>
      <c r="Q1028" s="37">
        <f t="shared" si="127"/>
        <v>8620.8333333333339</v>
      </c>
      <c r="R1028" s="37">
        <f t="shared" si="127"/>
        <v>8620.8333333333339</v>
      </c>
      <c r="S1028" s="37">
        <f t="shared" si="127"/>
        <v>8620.8333333333339</v>
      </c>
      <c r="T1028" s="37">
        <f t="shared" si="127"/>
        <v>8620.8333333333339</v>
      </c>
      <c r="U1028" s="37">
        <f t="shared" si="127"/>
        <v>8620.8333333333339</v>
      </c>
      <c r="V1028" s="37">
        <f t="shared" si="127"/>
        <v>8620.8333333333339</v>
      </c>
      <c r="W1028" s="37">
        <f t="shared" si="127"/>
        <v>8620.8333333333339</v>
      </c>
      <c r="X1028" s="37">
        <f t="shared" si="127"/>
        <v>8620.8333333333339</v>
      </c>
      <c r="Y1028" s="37">
        <f t="shared" si="127"/>
        <v>8620.8333333333339</v>
      </c>
      <c r="Z1028" s="53">
        <f t="shared" si="127"/>
        <v>8620.8333333333339</v>
      </c>
      <c r="AA1028" s="966">
        <f t="shared" si="125"/>
        <v>103449.99999999999</v>
      </c>
      <c r="AB1028" s="35"/>
      <c r="AC1028" s="183"/>
    </row>
    <row r="1029" spans="1:29" x14ac:dyDescent="0.2">
      <c r="A1029" s="1422"/>
      <c r="B1029" s="2522"/>
      <c r="C1029" s="2432"/>
      <c r="D1029" s="2421"/>
      <c r="E1029" s="2421"/>
      <c r="F1029" s="2421"/>
      <c r="G1029" s="2421"/>
      <c r="H1029" s="2421"/>
      <c r="I1029" s="2421"/>
      <c r="J1029" s="2432"/>
      <c r="K1029" s="40">
        <v>2896</v>
      </c>
      <c r="L1029" s="3295"/>
      <c r="M1029" s="3335" t="s">
        <v>301</v>
      </c>
      <c r="N1029" s="3336"/>
      <c r="O1029" s="37">
        <f t="shared" si="127"/>
        <v>241.33333333333334</v>
      </c>
      <c r="P1029" s="37">
        <f t="shared" si="127"/>
        <v>241.33333333333334</v>
      </c>
      <c r="Q1029" s="37">
        <f t="shared" si="127"/>
        <v>241.33333333333334</v>
      </c>
      <c r="R1029" s="37">
        <f t="shared" si="127"/>
        <v>241.33333333333334</v>
      </c>
      <c r="S1029" s="37">
        <f t="shared" si="127"/>
        <v>241.33333333333334</v>
      </c>
      <c r="T1029" s="37">
        <f t="shared" si="127"/>
        <v>241.33333333333334</v>
      </c>
      <c r="U1029" s="37">
        <f t="shared" si="127"/>
        <v>241.33333333333334</v>
      </c>
      <c r="V1029" s="37">
        <f t="shared" si="127"/>
        <v>241.33333333333334</v>
      </c>
      <c r="W1029" s="37">
        <f t="shared" si="127"/>
        <v>241.33333333333334</v>
      </c>
      <c r="X1029" s="37">
        <f t="shared" si="127"/>
        <v>241.33333333333334</v>
      </c>
      <c r="Y1029" s="37">
        <f t="shared" si="127"/>
        <v>241.33333333333334</v>
      </c>
      <c r="Z1029" s="53">
        <f t="shared" si="127"/>
        <v>241.33333333333334</v>
      </c>
      <c r="AA1029" s="966">
        <f t="shared" si="125"/>
        <v>2896.0000000000005</v>
      </c>
      <c r="AB1029" s="35"/>
      <c r="AC1029" s="183"/>
    </row>
    <row r="1030" spans="1:29" x14ac:dyDescent="0.2">
      <c r="A1030" s="1422"/>
      <c r="B1030" s="2522"/>
      <c r="C1030" s="2432"/>
      <c r="D1030" s="2421"/>
      <c r="E1030" s="2421"/>
      <c r="F1030" s="2421"/>
      <c r="G1030" s="2421"/>
      <c r="H1030" s="2421"/>
      <c r="I1030" s="2421"/>
      <c r="J1030" s="2432"/>
      <c r="K1030" s="40">
        <v>2000</v>
      </c>
      <c r="L1030" s="3295"/>
      <c r="M1030" s="3335" t="s">
        <v>340</v>
      </c>
      <c r="N1030" s="3336"/>
      <c r="O1030" s="40">
        <f>$K1030/12</f>
        <v>166.66666666666666</v>
      </c>
      <c r="P1030" s="40">
        <f t="shared" si="127"/>
        <v>166.66666666666666</v>
      </c>
      <c r="Q1030" s="40">
        <f t="shared" si="127"/>
        <v>166.66666666666666</v>
      </c>
      <c r="R1030" s="40">
        <f t="shared" si="127"/>
        <v>166.66666666666666</v>
      </c>
      <c r="S1030" s="40">
        <f t="shared" si="127"/>
        <v>166.66666666666666</v>
      </c>
      <c r="T1030" s="40">
        <f t="shared" si="127"/>
        <v>166.66666666666666</v>
      </c>
      <c r="U1030" s="40">
        <f t="shared" si="127"/>
        <v>166.66666666666666</v>
      </c>
      <c r="V1030" s="40">
        <f t="shared" si="127"/>
        <v>166.66666666666666</v>
      </c>
      <c r="W1030" s="40">
        <f t="shared" si="127"/>
        <v>166.66666666666666</v>
      </c>
      <c r="X1030" s="40">
        <f t="shared" si="127"/>
        <v>166.66666666666666</v>
      </c>
      <c r="Y1030" s="40">
        <f t="shared" si="127"/>
        <v>166.66666666666666</v>
      </c>
      <c r="Z1030" s="56">
        <f>$K1030/12</f>
        <v>166.66666666666666</v>
      </c>
      <c r="AA1030" s="966">
        <f t="shared" si="125"/>
        <v>2000.0000000000002</v>
      </c>
      <c r="AB1030" s="35"/>
      <c r="AC1030" s="183"/>
    </row>
    <row r="1031" spans="1:29" x14ac:dyDescent="0.2">
      <c r="A1031" s="1422"/>
      <c r="B1031" s="2522"/>
      <c r="C1031" s="2432"/>
      <c r="D1031" s="2421"/>
      <c r="E1031" s="2421"/>
      <c r="F1031" s="2421"/>
      <c r="G1031" s="2421"/>
      <c r="H1031" s="2421"/>
      <c r="I1031" s="2421"/>
      <c r="J1031" s="2432"/>
      <c r="K1031" s="40">
        <v>2000</v>
      </c>
      <c r="L1031" s="3295"/>
      <c r="M1031" s="3335" t="s">
        <v>324</v>
      </c>
      <c r="N1031" s="3336"/>
      <c r="O1031" s="37"/>
      <c r="P1031" s="40">
        <f>$K1031/2</f>
        <v>1000</v>
      </c>
      <c r="Q1031" s="38"/>
      <c r="R1031" s="38"/>
      <c r="S1031" s="38"/>
      <c r="T1031" s="38"/>
      <c r="U1031" s="40">
        <f>$K1031/2</f>
        <v>1000</v>
      </c>
      <c r="V1031" s="38"/>
      <c r="W1031" s="38"/>
      <c r="X1031" s="38"/>
      <c r="Y1031" s="38"/>
      <c r="Z1031" s="54"/>
      <c r="AA1031" s="966">
        <f t="shared" si="125"/>
        <v>2000</v>
      </c>
      <c r="AB1031" s="35"/>
      <c r="AC1031" s="183"/>
    </row>
    <row r="1032" spans="1:29" x14ac:dyDescent="0.2">
      <c r="A1032" s="1422"/>
      <c r="B1032" s="2522"/>
      <c r="C1032" s="2432"/>
      <c r="D1032" s="2421"/>
      <c r="E1032" s="2421"/>
      <c r="F1032" s="2421"/>
      <c r="G1032" s="2421"/>
      <c r="H1032" s="2421"/>
      <c r="I1032" s="2421"/>
      <c r="J1032" s="2432"/>
      <c r="K1032" s="40">
        <v>500</v>
      </c>
      <c r="L1032" s="3295"/>
      <c r="M1032" s="3335" t="s">
        <v>393</v>
      </c>
      <c r="N1032" s="3336"/>
      <c r="O1032" s="47"/>
      <c r="P1032" s="47"/>
      <c r="Q1032" s="47"/>
      <c r="R1032" s="40">
        <f>$K1032/2</f>
        <v>250</v>
      </c>
      <c r="S1032" s="47"/>
      <c r="T1032" s="47"/>
      <c r="U1032" s="47"/>
      <c r="V1032" s="40">
        <f>$K1032/2</f>
        <v>250</v>
      </c>
      <c r="W1032" s="47"/>
      <c r="X1032" s="47"/>
      <c r="Y1032" s="47"/>
      <c r="Z1032" s="55"/>
      <c r="AA1032" s="966">
        <f t="shared" si="125"/>
        <v>500</v>
      </c>
      <c r="AB1032" s="35"/>
      <c r="AC1032" s="183"/>
    </row>
    <row r="1033" spans="1:29" x14ac:dyDescent="0.2">
      <c r="A1033" s="1422"/>
      <c r="B1033" s="2522"/>
      <c r="C1033" s="2432"/>
      <c r="D1033" s="2421"/>
      <c r="E1033" s="2421"/>
      <c r="F1033" s="2421"/>
      <c r="G1033" s="2421"/>
      <c r="H1033" s="2421"/>
      <c r="I1033" s="2421"/>
      <c r="J1033" s="2432"/>
      <c r="K1033" s="40">
        <v>5000</v>
      </c>
      <c r="L1033" s="3295"/>
      <c r="M1033" s="3335" t="s">
        <v>343</v>
      </c>
      <c r="N1033" s="3336"/>
      <c r="O1033" s="47"/>
      <c r="P1033" s="47"/>
      <c r="Q1033" s="47"/>
      <c r="R1033" s="47">
        <f>$K1033*(1/23)</f>
        <v>217.39130434782609</v>
      </c>
      <c r="S1033" s="47">
        <f>$K1033*(4/23)</f>
        <v>869.56521739130437</v>
      </c>
      <c r="T1033" s="47">
        <f>$K1033*(2/23)</f>
        <v>434.78260869565219</v>
      </c>
      <c r="U1033" s="47">
        <f>$K1033*(5/23)</f>
        <v>1086.9565217391305</v>
      </c>
      <c r="V1033" s="47">
        <f>$K1033*(2/23)</f>
        <v>434.78260869565219</v>
      </c>
      <c r="W1033" s="47">
        <f>$K1033*(3/23)</f>
        <v>652.17391304347825</v>
      </c>
      <c r="X1033" s="47">
        <f>$K1033*(2/23)</f>
        <v>434.78260869565219</v>
      </c>
      <c r="Y1033" s="47">
        <f>$K1033*(3/23)</f>
        <v>652.17391304347825</v>
      </c>
      <c r="Z1033" s="55">
        <f>$K1033*(1/23)</f>
        <v>217.39130434782609</v>
      </c>
      <c r="AA1033" s="966">
        <f t="shared" si="125"/>
        <v>4999.9999999999991</v>
      </c>
      <c r="AB1033" s="35"/>
      <c r="AC1033" s="183"/>
    </row>
    <row r="1034" spans="1:29" x14ac:dyDescent="0.2">
      <c r="A1034" s="1422"/>
      <c r="B1034" s="2522"/>
      <c r="C1034" s="2432"/>
      <c r="D1034" s="2421"/>
      <c r="E1034" s="2421"/>
      <c r="F1034" s="2421"/>
      <c r="G1034" s="2421"/>
      <c r="H1034" s="2421"/>
      <c r="I1034" s="2421"/>
      <c r="J1034" s="2432"/>
      <c r="K1034" s="40">
        <v>6500</v>
      </c>
      <c r="L1034" s="3295"/>
      <c r="M1034" s="3335" t="s">
        <v>307</v>
      </c>
      <c r="N1034" s="3336"/>
      <c r="O1034" s="37"/>
      <c r="P1034" s="38"/>
      <c r="Q1034" s="42">
        <f>$K1034/10</f>
        <v>650</v>
      </c>
      <c r="R1034" s="42">
        <f t="shared" ref="R1034:Z1034" si="128">$K1034/10</f>
        <v>650</v>
      </c>
      <c r="S1034" s="42">
        <f t="shared" si="128"/>
        <v>650</v>
      </c>
      <c r="T1034" s="42">
        <f t="shared" si="128"/>
        <v>650</v>
      </c>
      <c r="U1034" s="42">
        <f t="shared" si="128"/>
        <v>650</v>
      </c>
      <c r="V1034" s="42">
        <f t="shared" si="128"/>
        <v>650</v>
      </c>
      <c r="W1034" s="42">
        <f t="shared" si="128"/>
        <v>650</v>
      </c>
      <c r="X1034" s="42">
        <f t="shared" si="128"/>
        <v>650</v>
      </c>
      <c r="Y1034" s="42">
        <f t="shared" si="128"/>
        <v>650</v>
      </c>
      <c r="Z1034" s="57">
        <f t="shared" si="128"/>
        <v>650</v>
      </c>
      <c r="AA1034" s="966">
        <f t="shared" si="125"/>
        <v>6500</v>
      </c>
      <c r="AB1034" s="35"/>
      <c r="AC1034" s="183"/>
    </row>
    <row r="1035" spans="1:29" x14ac:dyDescent="0.2">
      <c r="A1035" s="1422"/>
      <c r="B1035" s="2522"/>
      <c r="C1035" s="2432"/>
      <c r="D1035" s="2421"/>
      <c r="E1035" s="2421"/>
      <c r="F1035" s="2421"/>
      <c r="G1035" s="2421"/>
      <c r="H1035" s="2421"/>
      <c r="I1035" s="2421"/>
      <c r="J1035" s="2432"/>
      <c r="K1035" s="40">
        <v>1000</v>
      </c>
      <c r="L1035" s="3295"/>
      <c r="M1035" s="3335" t="s">
        <v>309</v>
      </c>
      <c r="N1035" s="3336"/>
      <c r="O1035" s="37"/>
      <c r="P1035" s="38"/>
      <c r="Q1035" s="38"/>
      <c r="R1035" s="40">
        <f>$K1035/2</f>
        <v>500</v>
      </c>
      <c r="S1035" s="40"/>
      <c r="T1035" s="40"/>
      <c r="U1035" s="38"/>
      <c r="V1035" s="40">
        <f>$K1035/2</f>
        <v>500</v>
      </c>
      <c r="W1035" s="38"/>
      <c r="X1035" s="40"/>
      <c r="Y1035" s="38"/>
      <c r="Z1035" s="56"/>
      <c r="AA1035" s="966">
        <f t="shared" si="125"/>
        <v>1000</v>
      </c>
      <c r="AB1035" s="35"/>
      <c r="AC1035" s="183"/>
    </row>
    <row r="1036" spans="1:29" x14ac:dyDescent="0.2">
      <c r="A1036" s="1422"/>
      <c r="B1036" s="2522"/>
      <c r="C1036" s="2432"/>
      <c r="D1036" s="2421"/>
      <c r="E1036" s="2421"/>
      <c r="F1036" s="2421"/>
      <c r="G1036" s="2421"/>
      <c r="H1036" s="2421"/>
      <c r="I1036" s="2421"/>
      <c r="J1036" s="2432"/>
      <c r="K1036" s="40">
        <v>10579</v>
      </c>
      <c r="L1036" s="3295"/>
      <c r="M1036" s="3335" t="s">
        <v>311</v>
      </c>
      <c r="N1036" s="3336"/>
      <c r="O1036" s="37">
        <f t="shared" ref="O1036:Z1037" si="129">$K1036/12</f>
        <v>881.58333333333337</v>
      </c>
      <c r="P1036" s="37">
        <f t="shared" si="129"/>
        <v>881.58333333333337</v>
      </c>
      <c r="Q1036" s="37">
        <f t="shared" si="129"/>
        <v>881.58333333333337</v>
      </c>
      <c r="R1036" s="37">
        <f t="shared" si="129"/>
        <v>881.58333333333337</v>
      </c>
      <c r="S1036" s="37">
        <f t="shared" si="129"/>
        <v>881.58333333333337</v>
      </c>
      <c r="T1036" s="37">
        <f t="shared" si="129"/>
        <v>881.58333333333337</v>
      </c>
      <c r="U1036" s="37">
        <f t="shared" si="129"/>
        <v>881.58333333333337</v>
      </c>
      <c r="V1036" s="37">
        <f t="shared" si="129"/>
        <v>881.58333333333337</v>
      </c>
      <c r="W1036" s="37">
        <f t="shared" si="129"/>
        <v>881.58333333333337</v>
      </c>
      <c r="X1036" s="37">
        <f t="shared" si="129"/>
        <v>881.58333333333337</v>
      </c>
      <c r="Y1036" s="37">
        <f t="shared" si="129"/>
        <v>881.58333333333337</v>
      </c>
      <c r="Z1036" s="53">
        <f t="shared" si="129"/>
        <v>881.58333333333337</v>
      </c>
      <c r="AA1036" s="966">
        <f t="shared" si="125"/>
        <v>10579</v>
      </c>
      <c r="AB1036" s="35"/>
      <c r="AC1036" s="183"/>
    </row>
    <row r="1037" spans="1:29" x14ac:dyDescent="0.2">
      <c r="A1037" s="1422"/>
      <c r="B1037" s="2522"/>
      <c r="C1037" s="2437"/>
      <c r="D1037" s="2421"/>
      <c r="E1037" s="2421"/>
      <c r="F1037" s="2421"/>
      <c r="G1037" s="2421"/>
      <c r="H1037" s="2421"/>
      <c r="I1037" s="2421"/>
      <c r="J1037" s="2437"/>
      <c r="K1037" s="40">
        <v>176340</v>
      </c>
      <c r="L1037" s="3296"/>
      <c r="M1037" s="3335" t="s">
        <v>310</v>
      </c>
      <c r="N1037" s="3336"/>
      <c r="O1037" s="37">
        <f t="shared" si="129"/>
        <v>14695</v>
      </c>
      <c r="P1037" s="37">
        <f t="shared" si="129"/>
        <v>14695</v>
      </c>
      <c r="Q1037" s="37">
        <f t="shared" si="129"/>
        <v>14695</v>
      </c>
      <c r="R1037" s="37">
        <f t="shared" si="129"/>
        <v>14695</v>
      </c>
      <c r="S1037" s="37">
        <f t="shared" si="129"/>
        <v>14695</v>
      </c>
      <c r="T1037" s="37">
        <f t="shared" si="129"/>
        <v>14695</v>
      </c>
      <c r="U1037" s="37">
        <f t="shared" si="129"/>
        <v>14695</v>
      </c>
      <c r="V1037" s="37">
        <f t="shared" si="129"/>
        <v>14695</v>
      </c>
      <c r="W1037" s="37">
        <f t="shared" si="129"/>
        <v>14695</v>
      </c>
      <c r="X1037" s="37">
        <f t="shared" si="129"/>
        <v>14695</v>
      </c>
      <c r="Y1037" s="37">
        <f t="shared" si="129"/>
        <v>14695</v>
      </c>
      <c r="Z1037" s="53">
        <f t="shared" si="129"/>
        <v>14695</v>
      </c>
      <c r="AA1037" s="966">
        <f t="shared" si="125"/>
        <v>176340</v>
      </c>
      <c r="AB1037" s="35"/>
      <c r="AC1037" s="183"/>
    </row>
    <row r="1038" spans="1:29" ht="22.5" customHeight="1" x14ac:dyDescent="0.2">
      <c r="A1038" s="1422"/>
      <c r="B1038" s="1433" t="s">
        <v>276</v>
      </c>
      <c r="C1038" s="108"/>
      <c r="D1038" s="35">
        <v>3033299</v>
      </c>
      <c r="E1038" s="192" t="s">
        <v>498</v>
      </c>
      <c r="F1038" s="193"/>
      <c r="G1038" s="194"/>
      <c r="H1038" s="35"/>
      <c r="I1038" s="35"/>
      <c r="J1038" s="35"/>
      <c r="K1038" s="60"/>
      <c r="L1038" s="60"/>
      <c r="M1038" s="181"/>
      <c r="N1038" s="181"/>
      <c r="O1038" s="60"/>
      <c r="P1038" s="60"/>
      <c r="Q1038" s="60"/>
      <c r="R1038" s="60"/>
      <c r="S1038" s="2922" t="s">
        <v>15</v>
      </c>
      <c r="T1038" s="2922"/>
      <c r="U1038" s="2922"/>
      <c r="V1038" s="2922"/>
      <c r="W1038" s="2922"/>
      <c r="X1038" s="2922"/>
      <c r="Y1038" s="2922"/>
      <c r="Z1038" s="3019" t="s">
        <v>16</v>
      </c>
      <c r="AA1038" s="3020"/>
      <c r="AB1038" s="35"/>
      <c r="AC1038" s="183"/>
    </row>
    <row r="1039" spans="1:29" x14ac:dyDescent="0.2">
      <c r="A1039" s="1422"/>
      <c r="B1039" s="1433"/>
      <c r="C1039" s="108"/>
      <c r="D1039" s="35"/>
      <c r="E1039" s="192"/>
      <c r="F1039" s="193"/>
      <c r="G1039" s="194"/>
      <c r="H1039" s="35"/>
      <c r="I1039" s="35"/>
      <c r="J1039" s="35"/>
      <c r="K1039" s="60"/>
      <c r="L1039" s="60"/>
      <c r="M1039" s="181"/>
      <c r="N1039" s="181"/>
      <c r="O1039" s="60"/>
      <c r="P1039" s="60"/>
      <c r="Q1039" s="60"/>
      <c r="R1039" s="60"/>
      <c r="S1039" s="3233" t="s">
        <v>499</v>
      </c>
      <c r="T1039" s="3233"/>
      <c r="U1039" s="3233"/>
      <c r="V1039" s="3233"/>
      <c r="W1039" s="3233"/>
      <c r="X1039" s="3233"/>
      <c r="Y1039" s="3233"/>
      <c r="Z1039" s="1937" t="s">
        <v>500</v>
      </c>
      <c r="AA1039" s="1964"/>
      <c r="AB1039" s="35"/>
      <c r="AC1039" s="183"/>
    </row>
    <row r="1040" spans="1:29" x14ac:dyDescent="0.2">
      <c r="A1040" s="1422"/>
      <c r="B1040" s="2999" t="s">
        <v>278</v>
      </c>
      <c r="C1040" s="2988" t="s">
        <v>21</v>
      </c>
      <c r="D1040" s="2847" t="s">
        <v>22</v>
      </c>
      <c r="E1040" s="2847" t="s">
        <v>23</v>
      </c>
      <c r="F1040" s="2847" t="s">
        <v>24</v>
      </c>
      <c r="G1040" s="2847" t="s">
        <v>25</v>
      </c>
      <c r="H1040" s="2847" t="s">
        <v>26</v>
      </c>
      <c r="I1040" s="2847" t="s">
        <v>27</v>
      </c>
      <c r="J1040" s="3206" t="s">
        <v>28</v>
      </c>
      <c r="K1040" s="3301"/>
      <c r="L1040" s="2847" t="s">
        <v>279</v>
      </c>
      <c r="M1040" s="3273" t="s">
        <v>280</v>
      </c>
      <c r="N1040" s="3274"/>
      <c r="O1040" s="2847" t="s">
        <v>281</v>
      </c>
      <c r="P1040" s="2847"/>
      <c r="Q1040" s="2847"/>
      <c r="R1040" s="2847"/>
      <c r="S1040" s="2847"/>
      <c r="T1040" s="2847"/>
      <c r="U1040" s="2847"/>
      <c r="V1040" s="2847"/>
      <c r="W1040" s="2847"/>
      <c r="X1040" s="2847"/>
      <c r="Y1040" s="2847"/>
      <c r="Z1040" s="2847"/>
      <c r="AA1040" s="3217" t="s">
        <v>32</v>
      </c>
      <c r="AB1040" s="35"/>
      <c r="AC1040" s="183"/>
    </row>
    <row r="1041" spans="1:29" x14ac:dyDescent="0.2">
      <c r="A1041" s="1422"/>
      <c r="B1041" s="2999"/>
      <c r="C1041" s="3186"/>
      <c r="D1041" s="2847"/>
      <c r="E1041" s="2847"/>
      <c r="F1041" s="2847"/>
      <c r="G1041" s="2847"/>
      <c r="H1041" s="2847"/>
      <c r="I1041" s="2847"/>
      <c r="J1041" s="2988" t="s">
        <v>33</v>
      </c>
      <c r="K1041" s="3206" t="s">
        <v>282</v>
      </c>
      <c r="L1041" s="2847"/>
      <c r="M1041" s="3275"/>
      <c r="N1041" s="3276"/>
      <c r="O1041" s="1009" t="s">
        <v>283</v>
      </c>
      <c r="P1041" s="1009" t="s">
        <v>284</v>
      </c>
      <c r="Q1041" s="1009" t="s">
        <v>285</v>
      </c>
      <c r="R1041" s="1009" t="s">
        <v>88</v>
      </c>
      <c r="S1041" s="1009" t="s">
        <v>89</v>
      </c>
      <c r="T1041" s="1009" t="s">
        <v>90</v>
      </c>
      <c r="U1041" s="1009" t="s">
        <v>91</v>
      </c>
      <c r="V1041" s="1009" t="s">
        <v>92</v>
      </c>
      <c r="W1041" s="1009" t="s">
        <v>286</v>
      </c>
      <c r="X1041" s="1009" t="s">
        <v>93</v>
      </c>
      <c r="Y1041" s="1009" t="s">
        <v>94</v>
      </c>
      <c r="Z1041" s="1009" t="s">
        <v>95</v>
      </c>
      <c r="AA1041" s="3218"/>
      <c r="AB1041" s="35"/>
      <c r="AC1041" s="183"/>
    </row>
    <row r="1042" spans="1:29" x14ac:dyDescent="0.2">
      <c r="A1042" s="1422"/>
      <c r="B1042" s="2999"/>
      <c r="C1042" s="3186"/>
      <c r="D1042" s="2847"/>
      <c r="E1042" s="2847"/>
      <c r="F1042" s="2847"/>
      <c r="G1042" s="2847"/>
      <c r="H1042" s="2847"/>
      <c r="I1042" s="2847"/>
      <c r="J1042" s="3186"/>
      <c r="K1042" s="3206"/>
      <c r="L1042" s="2847"/>
      <c r="M1042" s="3271" t="s">
        <v>287</v>
      </c>
      <c r="N1042" s="3272"/>
      <c r="O1042" s="46">
        <v>48.25</v>
      </c>
      <c r="P1042" s="1095">
        <v>48</v>
      </c>
      <c r="Q1042" s="1095">
        <v>49</v>
      </c>
      <c r="R1042" s="1095">
        <v>49</v>
      </c>
      <c r="S1042" s="1095">
        <v>49</v>
      </c>
      <c r="T1042" s="1095">
        <v>48</v>
      </c>
      <c r="U1042" s="1095">
        <v>48</v>
      </c>
      <c r="V1042" s="1095">
        <v>48</v>
      </c>
      <c r="W1042" s="1095">
        <v>48</v>
      </c>
      <c r="X1042" s="1095">
        <v>48</v>
      </c>
      <c r="Y1042" s="1095">
        <v>48</v>
      </c>
      <c r="Z1042" s="1144">
        <v>48</v>
      </c>
      <c r="AA1042" s="1196">
        <f t="shared" ref="AA1042:AA1062" si="130">SUM(O1042:Z1042)</f>
        <v>579.25</v>
      </c>
      <c r="AB1042" s="35"/>
      <c r="AC1042" s="183"/>
    </row>
    <row r="1043" spans="1:29" x14ac:dyDescent="0.2">
      <c r="A1043" s="1422"/>
      <c r="B1043" s="2999"/>
      <c r="C1043" s="2989"/>
      <c r="D1043" s="2847"/>
      <c r="E1043" s="2847"/>
      <c r="F1043" s="2847"/>
      <c r="G1043" s="2847"/>
      <c r="H1043" s="2847"/>
      <c r="I1043" s="2847"/>
      <c r="J1043" s="2989"/>
      <c r="K1043" s="3206"/>
      <c r="L1043" s="2847"/>
      <c r="M1043" s="3271" t="s">
        <v>34</v>
      </c>
      <c r="N1043" s="3272"/>
      <c r="O1043" s="36">
        <f>SUM(O1044:O1062)</f>
        <v>476641.75000000006</v>
      </c>
      <c r="P1043" s="36">
        <f t="shared" ref="P1043:Z1043" si="131">SUM(P1044:P1062)</f>
        <v>416871.14393939404</v>
      </c>
      <c r="Q1043" s="36">
        <f t="shared" si="131"/>
        <v>414746.47727272735</v>
      </c>
      <c r="R1043" s="36">
        <f t="shared" si="131"/>
        <v>418749.58596837951</v>
      </c>
      <c r="S1043" s="36">
        <f t="shared" si="131"/>
        <v>418875.57872200274</v>
      </c>
      <c r="T1043" s="36">
        <f t="shared" si="131"/>
        <v>415507.69466403167</v>
      </c>
      <c r="U1043" s="36">
        <f t="shared" si="131"/>
        <v>457051.52075098822</v>
      </c>
      <c r="V1043" s="36">
        <f t="shared" si="131"/>
        <v>419130.19466403167</v>
      </c>
      <c r="W1043" s="36">
        <f t="shared" si="131"/>
        <v>418494.97002635058</v>
      </c>
      <c r="X1043" s="36">
        <f t="shared" si="131"/>
        <v>415507.69466403167</v>
      </c>
      <c r="Y1043" s="36">
        <f t="shared" si="131"/>
        <v>415888.30335968389</v>
      </c>
      <c r="Z1043" s="52">
        <f t="shared" si="131"/>
        <v>455529.08596837951</v>
      </c>
      <c r="AA1043" s="1196">
        <f t="shared" si="130"/>
        <v>5142994.0000000009</v>
      </c>
      <c r="AB1043" s="35"/>
      <c r="AC1043" s="183"/>
    </row>
    <row r="1044" spans="1:29" ht="11.25" customHeight="1" x14ac:dyDescent="0.2">
      <c r="A1044" s="1422"/>
      <c r="B1044" s="2522">
        <v>5000049</v>
      </c>
      <c r="C1044" s="2431" t="s">
        <v>3062</v>
      </c>
      <c r="D1044" s="2421">
        <v>36</v>
      </c>
      <c r="E1044" s="2421" t="s">
        <v>407</v>
      </c>
      <c r="F1044" s="2421" t="s">
        <v>386</v>
      </c>
      <c r="G1044" s="2421" t="s">
        <v>423</v>
      </c>
      <c r="H1044" s="2421" t="s">
        <v>337</v>
      </c>
      <c r="I1044" s="2421" t="s">
        <v>501</v>
      </c>
      <c r="J1044" s="2431">
        <v>579</v>
      </c>
      <c r="K1044" s="40">
        <v>17520</v>
      </c>
      <c r="L1044" s="3294" t="s">
        <v>446</v>
      </c>
      <c r="M1044" s="3335" t="s">
        <v>409</v>
      </c>
      <c r="N1044" s="3336"/>
      <c r="O1044" s="37">
        <f t="shared" ref="O1044:Z1054" si="132">$K1044/12</f>
        <v>1460</v>
      </c>
      <c r="P1044" s="37">
        <f t="shared" si="132"/>
        <v>1460</v>
      </c>
      <c r="Q1044" s="37">
        <f t="shared" si="132"/>
        <v>1460</v>
      </c>
      <c r="R1044" s="37">
        <f t="shared" si="132"/>
        <v>1460</v>
      </c>
      <c r="S1044" s="37">
        <f t="shared" si="132"/>
        <v>1460</v>
      </c>
      <c r="T1044" s="37">
        <f t="shared" si="132"/>
        <v>1460</v>
      </c>
      <c r="U1044" s="37">
        <f t="shared" si="132"/>
        <v>1460</v>
      </c>
      <c r="V1044" s="37">
        <f t="shared" si="132"/>
        <v>1460</v>
      </c>
      <c r="W1044" s="37">
        <f t="shared" si="132"/>
        <v>1460</v>
      </c>
      <c r="X1044" s="37">
        <f t="shared" si="132"/>
        <v>1460</v>
      </c>
      <c r="Y1044" s="37">
        <f t="shared" si="132"/>
        <v>1460</v>
      </c>
      <c r="Z1044" s="53">
        <f t="shared" si="132"/>
        <v>1460</v>
      </c>
      <c r="AA1044" s="966">
        <f t="shared" si="130"/>
        <v>17520</v>
      </c>
      <c r="AB1044" s="35"/>
      <c r="AC1044" s="183"/>
    </row>
    <row r="1045" spans="1:29" x14ac:dyDescent="0.2">
      <c r="A1045" s="1422"/>
      <c r="B1045" s="2522"/>
      <c r="C1045" s="2432"/>
      <c r="D1045" s="2421"/>
      <c r="E1045" s="2421"/>
      <c r="F1045" s="2421"/>
      <c r="G1045" s="2421"/>
      <c r="H1045" s="2421"/>
      <c r="I1045" s="2421"/>
      <c r="J1045" s="2432"/>
      <c r="K1045" s="40">
        <v>2332520</v>
      </c>
      <c r="L1045" s="3295"/>
      <c r="M1045" s="3335" t="s">
        <v>293</v>
      </c>
      <c r="N1045" s="3336"/>
      <c r="O1045" s="37">
        <f t="shared" si="132"/>
        <v>194376.66666666666</v>
      </c>
      <c r="P1045" s="37">
        <f t="shared" si="132"/>
        <v>194376.66666666666</v>
      </c>
      <c r="Q1045" s="37">
        <f t="shared" si="132"/>
        <v>194376.66666666666</v>
      </c>
      <c r="R1045" s="37">
        <f t="shared" si="132"/>
        <v>194376.66666666666</v>
      </c>
      <c r="S1045" s="37">
        <f t="shared" si="132"/>
        <v>194376.66666666666</v>
      </c>
      <c r="T1045" s="37">
        <f t="shared" si="132"/>
        <v>194376.66666666666</v>
      </c>
      <c r="U1045" s="37">
        <f t="shared" si="132"/>
        <v>194376.66666666666</v>
      </c>
      <c r="V1045" s="37">
        <f t="shared" si="132"/>
        <v>194376.66666666666</v>
      </c>
      <c r="W1045" s="37">
        <f t="shared" si="132"/>
        <v>194376.66666666666</v>
      </c>
      <c r="X1045" s="37">
        <f t="shared" si="132"/>
        <v>194376.66666666666</v>
      </c>
      <c r="Y1045" s="37">
        <f t="shared" si="132"/>
        <v>194376.66666666666</v>
      </c>
      <c r="Z1045" s="53">
        <f t="shared" si="132"/>
        <v>194376.66666666666</v>
      </c>
      <c r="AA1045" s="966">
        <f t="shared" si="130"/>
        <v>2332520</v>
      </c>
      <c r="AB1045" s="35"/>
      <c r="AC1045" s="183"/>
    </row>
    <row r="1046" spans="1:29" x14ac:dyDescent="0.2">
      <c r="A1046" s="1422"/>
      <c r="B1046" s="2522"/>
      <c r="C1046" s="2432"/>
      <c r="D1046" s="2421"/>
      <c r="E1046" s="2421"/>
      <c r="F1046" s="2421"/>
      <c r="G1046" s="2421"/>
      <c r="H1046" s="2421"/>
      <c r="I1046" s="2421"/>
      <c r="J1046" s="2432"/>
      <c r="K1046" s="40">
        <v>271860</v>
      </c>
      <c r="L1046" s="3295"/>
      <c r="M1046" s="3335" t="s">
        <v>321</v>
      </c>
      <c r="N1046" s="3336"/>
      <c r="O1046" s="37">
        <f t="shared" si="132"/>
        <v>22655</v>
      </c>
      <c r="P1046" s="37">
        <f t="shared" si="132"/>
        <v>22655</v>
      </c>
      <c r="Q1046" s="37">
        <f t="shared" si="132"/>
        <v>22655</v>
      </c>
      <c r="R1046" s="37">
        <f t="shared" si="132"/>
        <v>22655</v>
      </c>
      <c r="S1046" s="37">
        <f t="shared" si="132"/>
        <v>22655</v>
      </c>
      <c r="T1046" s="37">
        <f t="shared" si="132"/>
        <v>22655</v>
      </c>
      <c r="U1046" s="37">
        <f t="shared" si="132"/>
        <v>22655</v>
      </c>
      <c r="V1046" s="37">
        <f t="shared" si="132"/>
        <v>22655</v>
      </c>
      <c r="W1046" s="37">
        <f t="shared" si="132"/>
        <v>22655</v>
      </c>
      <c r="X1046" s="37">
        <f t="shared" si="132"/>
        <v>22655</v>
      </c>
      <c r="Y1046" s="37">
        <f t="shared" si="132"/>
        <v>22655</v>
      </c>
      <c r="Z1046" s="53">
        <f t="shared" si="132"/>
        <v>22655</v>
      </c>
      <c r="AA1046" s="966">
        <f t="shared" si="130"/>
        <v>271860</v>
      </c>
      <c r="AB1046" s="35"/>
      <c r="AC1046" s="183"/>
    </row>
    <row r="1047" spans="1:29" x14ac:dyDescent="0.2">
      <c r="A1047" s="1422"/>
      <c r="B1047" s="2522"/>
      <c r="C1047" s="2432"/>
      <c r="D1047" s="2421"/>
      <c r="E1047" s="2421"/>
      <c r="F1047" s="2421"/>
      <c r="G1047" s="2421"/>
      <c r="H1047" s="2421"/>
      <c r="I1047" s="2421"/>
      <c r="J1047" s="2432"/>
      <c r="K1047" s="40">
        <v>854860</v>
      </c>
      <c r="L1047" s="3295"/>
      <c r="M1047" s="3335" t="s">
        <v>295</v>
      </c>
      <c r="N1047" s="3336"/>
      <c r="O1047" s="37">
        <f t="shared" si="132"/>
        <v>71238.333333333328</v>
      </c>
      <c r="P1047" s="37">
        <f t="shared" si="132"/>
        <v>71238.333333333328</v>
      </c>
      <c r="Q1047" s="37">
        <f t="shared" si="132"/>
        <v>71238.333333333328</v>
      </c>
      <c r="R1047" s="37">
        <f t="shared" si="132"/>
        <v>71238.333333333328</v>
      </c>
      <c r="S1047" s="37">
        <f t="shared" si="132"/>
        <v>71238.333333333328</v>
      </c>
      <c r="T1047" s="37">
        <f t="shared" si="132"/>
        <v>71238.333333333328</v>
      </c>
      <c r="U1047" s="37">
        <f t="shared" si="132"/>
        <v>71238.333333333328</v>
      </c>
      <c r="V1047" s="37">
        <f t="shared" si="132"/>
        <v>71238.333333333328</v>
      </c>
      <c r="W1047" s="37">
        <f t="shared" si="132"/>
        <v>71238.333333333328</v>
      </c>
      <c r="X1047" s="37">
        <f t="shared" si="132"/>
        <v>71238.333333333328</v>
      </c>
      <c r="Y1047" s="37">
        <f t="shared" si="132"/>
        <v>71238.333333333328</v>
      </c>
      <c r="Z1047" s="53">
        <f t="shared" si="132"/>
        <v>71238.333333333328</v>
      </c>
      <c r="AA1047" s="966">
        <f t="shared" si="130"/>
        <v>854860.00000000012</v>
      </c>
      <c r="AB1047" s="35"/>
      <c r="AC1047" s="183"/>
    </row>
    <row r="1048" spans="1:29" x14ac:dyDescent="0.2">
      <c r="A1048" s="1422"/>
      <c r="B1048" s="2522"/>
      <c r="C1048" s="2432"/>
      <c r="D1048" s="2421"/>
      <c r="E1048" s="2421"/>
      <c r="F1048" s="2421"/>
      <c r="G1048" s="2421"/>
      <c r="H1048" s="2421"/>
      <c r="I1048" s="2421"/>
      <c r="J1048" s="2432"/>
      <c r="K1048" s="40">
        <v>69350</v>
      </c>
      <c r="L1048" s="3295"/>
      <c r="M1048" s="3335" t="s">
        <v>332</v>
      </c>
      <c r="N1048" s="3336"/>
      <c r="O1048" s="37">
        <f t="shared" si="132"/>
        <v>5779.166666666667</v>
      </c>
      <c r="P1048" s="37">
        <f t="shared" si="132"/>
        <v>5779.166666666667</v>
      </c>
      <c r="Q1048" s="37">
        <f t="shared" si="132"/>
        <v>5779.166666666667</v>
      </c>
      <c r="R1048" s="37">
        <f t="shared" si="132"/>
        <v>5779.166666666667</v>
      </c>
      <c r="S1048" s="37">
        <f t="shared" si="132"/>
        <v>5779.166666666667</v>
      </c>
      <c r="T1048" s="37">
        <f t="shared" si="132"/>
        <v>5779.166666666667</v>
      </c>
      <c r="U1048" s="37">
        <f t="shared" si="132"/>
        <v>5779.166666666667</v>
      </c>
      <c r="V1048" s="37">
        <f t="shared" si="132"/>
        <v>5779.166666666667</v>
      </c>
      <c r="W1048" s="37">
        <f t="shared" si="132"/>
        <v>5779.166666666667</v>
      </c>
      <c r="X1048" s="37">
        <f t="shared" si="132"/>
        <v>5779.166666666667</v>
      </c>
      <c r="Y1048" s="37">
        <f t="shared" si="132"/>
        <v>5779.166666666667</v>
      </c>
      <c r="Z1048" s="53">
        <f t="shared" si="132"/>
        <v>5779.166666666667</v>
      </c>
      <c r="AA1048" s="966">
        <f t="shared" si="130"/>
        <v>69349.999999999985</v>
      </c>
      <c r="AB1048" s="35"/>
      <c r="AC1048" s="183"/>
    </row>
    <row r="1049" spans="1:29" x14ac:dyDescent="0.2">
      <c r="A1049" s="1422"/>
      <c r="B1049" s="2522"/>
      <c r="C1049" s="2432"/>
      <c r="D1049" s="2421"/>
      <c r="E1049" s="2421"/>
      <c r="F1049" s="2421"/>
      <c r="G1049" s="2421"/>
      <c r="H1049" s="2421"/>
      <c r="I1049" s="2421"/>
      <c r="J1049" s="2432"/>
      <c r="K1049" s="40">
        <v>579617</v>
      </c>
      <c r="L1049" s="3295"/>
      <c r="M1049" s="3335" t="s">
        <v>296</v>
      </c>
      <c r="N1049" s="3336"/>
      <c r="O1049" s="37">
        <f t="shared" si="132"/>
        <v>48301.416666666664</v>
      </c>
      <c r="P1049" s="37">
        <f t="shared" si="132"/>
        <v>48301.416666666664</v>
      </c>
      <c r="Q1049" s="37">
        <f t="shared" si="132"/>
        <v>48301.416666666664</v>
      </c>
      <c r="R1049" s="37">
        <f t="shared" si="132"/>
        <v>48301.416666666664</v>
      </c>
      <c r="S1049" s="37">
        <f t="shared" si="132"/>
        <v>48301.416666666664</v>
      </c>
      <c r="T1049" s="37">
        <f t="shared" si="132"/>
        <v>48301.416666666664</v>
      </c>
      <c r="U1049" s="37">
        <f t="shared" si="132"/>
        <v>48301.416666666664</v>
      </c>
      <c r="V1049" s="37">
        <f t="shared" si="132"/>
        <v>48301.416666666664</v>
      </c>
      <c r="W1049" s="37">
        <f t="shared" si="132"/>
        <v>48301.416666666664</v>
      </c>
      <c r="X1049" s="37">
        <f t="shared" si="132"/>
        <v>48301.416666666664</v>
      </c>
      <c r="Y1049" s="37">
        <f t="shared" si="132"/>
        <v>48301.416666666664</v>
      </c>
      <c r="Z1049" s="53">
        <f t="shared" si="132"/>
        <v>48301.416666666664</v>
      </c>
      <c r="AA1049" s="966">
        <f t="shared" si="130"/>
        <v>579617</v>
      </c>
      <c r="AB1049" s="35"/>
      <c r="AC1049" s="183"/>
    </row>
    <row r="1050" spans="1:29" x14ac:dyDescent="0.2">
      <c r="A1050" s="1422"/>
      <c r="B1050" s="2522"/>
      <c r="C1050" s="2432"/>
      <c r="D1050" s="2421"/>
      <c r="E1050" s="2421"/>
      <c r="F1050" s="2421"/>
      <c r="G1050" s="2421"/>
      <c r="H1050" s="2421"/>
      <c r="I1050" s="2421"/>
      <c r="J1050" s="2432"/>
      <c r="K1050" s="40">
        <v>156873</v>
      </c>
      <c r="L1050" s="3295"/>
      <c r="M1050" s="3335" t="s">
        <v>297</v>
      </c>
      <c r="N1050" s="3336"/>
      <c r="O1050" s="37">
        <f t="shared" si="132"/>
        <v>13072.75</v>
      </c>
      <c r="P1050" s="37">
        <f t="shared" si="132"/>
        <v>13072.75</v>
      </c>
      <c r="Q1050" s="37">
        <f t="shared" si="132"/>
        <v>13072.75</v>
      </c>
      <c r="R1050" s="37">
        <f t="shared" si="132"/>
        <v>13072.75</v>
      </c>
      <c r="S1050" s="37">
        <f t="shared" si="132"/>
        <v>13072.75</v>
      </c>
      <c r="T1050" s="37">
        <f t="shared" si="132"/>
        <v>13072.75</v>
      </c>
      <c r="U1050" s="37">
        <f t="shared" si="132"/>
        <v>13072.75</v>
      </c>
      <c r="V1050" s="37">
        <f t="shared" si="132"/>
        <v>13072.75</v>
      </c>
      <c r="W1050" s="37">
        <f t="shared" si="132"/>
        <v>13072.75</v>
      </c>
      <c r="X1050" s="37">
        <f t="shared" si="132"/>
        <v>13072.75</v>
      </c>
      <c r="Y1050" s="37">
        <f t="shared" si="132"/>
        <v>13072.75</v>
      </c>
      <c r="Z1050" s="53">
        <f t="shared" si="132"/>
        <v>13072.75</v>
      </c>
      <c r="AA1050" s="966">
        <f t="shared" si="130"/>
        <v>156873</v>
      </c>
      <c r="AB1050" s="35"/>
      <c r="AC1050" s="183"/>
    </row>
    <row r="1051" spans="1:29" x14ac:dyDescent="0.2">
      <c r="A1051" s="1422"/>
      <c r="B1051" s="2522"/>
      <c r="C1051" s="2432"/>
      <c r="D1051" s="2421"/>
      <c r="E1051" s="2421"/>
      <c r="F1051" s="2421"/>
      <c r="G1051" s="2421"/>
      <c r="H1051" s="2421"/>
      <c r="I1051" s="2421"/>
      <c r="J1051" s="2432"/>
      <c r="K1051" s="40">
        <v>80804</v>
      </c>
      <c r="L1051" s="3295"/>
      <c r="M1051" s="3335" t="s">
        <v>298</v>
      </c>
      <c r="N1051" s="3336"/>
      <c r="O1051" s="37"/>
      <c r="P1051" s="38"/>
      <c r="Q1051" s="38"/>
      <c r="R1051" s="38"/>
      <c r="S1051" s="38"/>
      <c r="T1051" s="38"/>
      <c r="U1051" s="37">
        <f>$K1051/2</f>
        <v>40402</v>
      </c>
      <c r="V1051" s="38"/>
      <c r="W1051" s="38"/>
      <c r="X1051" s="38"/>
      <c r="Y1051" s="38"/>
      <c r="Z1051" s="53">
        <f>$K1051/2</f>
        <v>40402</v>
      </c>
      <c r="AA1051" s="966">
        <f t="shared" si="130"/>
        <v>80804</v>
      </c>
      <c r="AB1051" s="35"/>
      <c r="AC1051" s="183"/>
    </row>
    <row r="1052" spans="1:29" x14ac:dyDescent="0.2">
      <c r="A1052" s="1422"/>
      <c r="B1052" s="2522"/>
      <c r="C1052" s="2432"/>
      <c r="D1052" s="2421"/>
      <c r="E1052" s="2421"/>
      <c r="F1052" s="2421"/>
      <c r="G1052" s="2421"/>
      <c r="H1052" s="2421"/>
      <c r="I1052" s="2421"/>
      <c r="J1052" s="2432"/>
      <c r="K1052" s="40">
        <v>61750</v>
      </c>
      <c r="L1052" s="3295"/>
      <c r="M1052" s="3335" t="s">
        <v>299</v>
      </c>
      <c r="N1052" s="3336"/>
      <c r="O1052" s="37">
        <f>$K1052</f>
        <v>61750</v>
      </c>
      <c r="P1052" s="38"/>
      <c r="Q1052" s="37"/>
      <c r="R1052" s="38"/>
      <c r="S1052" s="38"/>
      <c r="T1052" s="38"/>
      <c r="U1052" s="38"/>
      <c r="V1052" s="38"/>
      <c r="W1052" s="38"/>
      <c r="X1052" s="38"/>
      <c r="Y1052" s="38"/>
      <c r="Z1052" s="54"/>
      <c r="AA1052" s="966">
        <f t="shared" si="130"/>
        <v>61750</v>
      </c>
      <c r="AB1052" s="35"/>
      <c r="AC1052" s="183"/>
    </row>
    <row r="1053" spans="1:29" x14ac:dyDescent="0.2">
      <c r="A1053" s="1422"/>
      <c r="B1053" s="2522"/>
      <c r="C1053" s="2432"/>
      <c r="D1053" s="2421"/>
      <c r="E1053" s="2421"/>
      <c r="F1053" s="2421"/>
      <c r="G1053" s="2421"/>
      <c r="H1053" s="2421"/>
      <c r="I1053" s="2421"/>
      <c r="J1053" s="2432"/>
      <c r="K1053" s="40">
        <v>226635</v>
      </c>
      <c r="L1053" s="3295"/>
      <c r="M1053" s="3335" t="s">
        <v>300</v>
      </c>
      <c r="N1053" s="3336"/>
      <c r="O1053" s="37">
        <f t="shared" si="132"/>
        <v>18886.25</v>
      </c>
      <c r="P1053" s="37">
        <f t="shared" si="132"/>
        <v>18886.25</v>
      </c>
      <c r="Q1053" s="37">
        <f t="shared" si="132"/>
        <v>18886.25</v>
      </c>
      <c r="R1053" s="37">
        <f t="shared" si="132"/>
        <v>18886.25</v>
      </c>
      <c r="S1053" s="37">
        <f t="shared" si="132"/>
        <v>18886.25</v>
      </c>
      <c r="T1053" s="37">
        <f t="shared" si="132"/>
        <v>18886.25</v>
      </c>
      <c r="U1053" s="37">
        <f t="shared" si="132"/>
        <v>18886.25</v>
      </c>
      <c r="V1053" s="37">
        <f t="shared" si="132"/>
        <v>18886.25</v>
      </c>
      <c r="W1053" s="37">
        <f t="shared" si="132"/>
        <v>18886.25</v>
      </c>
      <c r="X1053" s="37">
        <f t="shared" si="132"/>
        <v>18886.25</v>
      </c>
      <c r="Y1053" s="37">
        <f t="shared" si="132"/>
        <v>18886.25</v>
      </c>
      <c r="Z1053" s="53">
        <f t="shared" si="132"/>
        <v>18886.25</v>
      </c>
      <c r="AA1053" s="966">
        <f t="shared" si="130"/>
        <v>226635</v>
      </c>
      <c r="AB1053" s="35"/>
      <c r="AC1053" s="183"/>
    </row>
    <row r="1054" spans="1:29" x14ac:dyDescent="0.2">
      <c r="A1054" s="1422"/>
      <c r="B1054" s="2522"/>
      <c r="C1054" s="2432"/>
      <c r="D1054" s="2421"/>
      <c r="E1054" s="2421"/>
      <c r="F1054" s="2421"/>
      <c r="G1054" s="2421"/>
      <c r="H1054" s="2421"/>
      <c r="I1054" s="2421"/>
      <c r="J1054" s="2432"/>
      <c r="K1054" s="40">
        <v>10022</v>
      </c>
      <c r="L1054" s="3295"/>
      <c r="M1054" s="3335" t="s">
        <v>301</v>
      </c>
      <c r="N1054" s="3336"/>
      <c r="O1054" s="37">
        <f t="shared" si="132"/>
        <v>835.16666666666663</v>
      </c>
      <c r="P1054" s="37">
        <f t="shared" si="132"/>
        <v>835.16666666666663</v>
      </c>
      <c r="Q1054" s="37">
        <f t="shared" si="132"/>
        <v>835.16666666666663</v>
      </c>
      <c r="R1054" s="37">
        <f t="shared" si="132"/>
        <v>835.16666666666663</v>
      </c>
      <c r="S1054" s="37">
        <f t="shared" si="132"/>
        <v>835.16666666666663</v>
      </c>
      <c r="T1054" s="37">
        <f t="shared" si="132"/>
        <v>835.16666666666663</v>
      </c>
      <c r="U1054" s="37">
        <f t="shared" si="132"/>
        <v>835.16666666666663</v>
      </c>
      <c r="V1054" s="37">
        <f t="shared" si="132"/>
        <v>835.16666666666663</v>
      </c>
      <c r="W1054" s="37">
        <f t="shared" si="132"/>
        <v>835.16666666666663</v>
      </c>
      <c r="X1054" s="37">
        <f t="shared" si="132"/>
        <v>835.16666666666663</v>
      </c>
      <c r="Y1054" s="37">
        <f t="shared" si="132"/>
        <v>835.16666666666663</v>
      </c>
      <c r="Z1054" s="53">
        <f t="shared" si="132"/>
        <v>835.16666666666663</v>
      </c>
      <c r="AA1054" s="966">
        <f t="shared" si="130"/>
        <v>10022</v>
      </c>
      <c r="AB1054" s="35"/>
      <c r="AC1054" s="183"/>
    </row>
    <row r="1055" spans="1:29" x14ac:dyDescent="0.2">
      <c r="A1055" s="1422"/>
      <c r="B1055" s="2522"/>
      <c r="C1055" s="2432"/>
      <c r="D1055" s="2421"/>
      <c r="E1055" s="2421"/>
      <c r="F1055" s="2421"/>
      <c r="G1055" s="2421"/>
      <c r="H1055" s="2421"/>
      <c r="I1055" s="2421"/>
      <c r="J1055" s="2432"/>
      <c r="K1055" s="40">
        <v>1000</v>
      </c>
      <c r="L1055" s="3295"/>
      <c r="M1055" s="3335" t="s">
        <v>380</v>
      </c>
      <c r="N1055" s="3336"/>
      <c r="O1055" s="40">
        <f>$K1055</f>
        <v>1000</v>
      </c>
      <c r="P1055" s="38"/>
      <c r="Q1055" s="38"/>
      <c r="R1055" s="38"/>
      <c r="S1055" s="38"/>
      <c r="T1055" s="38"/>
      <c r="U1055" s="38"/>
      <c r="V1055" s="38"/>
      <c r="W1055" s="38"/>
      <c r="X1055" s="38"/>
      <c r="Y1055" s="38"/>
      <c r="Z1055" s="54"/>
      <c r="AA1055" s="966">
        <f t="shared" si="130"/>
        <v>1000</v>
      </c>
      <c r="AB1055" s="35"/>
      <c r="AC1055" s="183"/>
    </row>
    <row r="1056" spans="1:29" x14ac:dyDescent="0.2">
      <c r="A1056" s="1422"/>
      <c r="B1056" s="2522"/>
      <c r="C1056" s="2432"/>
      <c r="D1056" s="2421"/>
      <c r="E1056" s="2421"/>
      <c r="F1056" s="2421"/>
      <c r="G1056" s="2421"/>
      <c r="H1056" s="2421"/>
      <c r="I1056" s="2421"/>
      <c r="J1056" s="2432"/>
      <c r="K1056" s="40">
        <v>4100</v>
      </c>
      <c r="L1056" s="3295"/>
      <c r="M1056" s="3335" t="s">
        <v>482</v>
      </c>
      <c r="N1056" s="3336"/>
      <c r="O1056" s="40"/>
      <c r="P1056" s="40">
        <f t="shared" ref="P1056:Z1056" si="133">$K1056/11</f>
        <v>372.72727272727275</v>
      </c>
      <c r="Q1056" s="40">
        <f t="shared" si="133"/>
        <v>372.72727272727275</v>
      </c>
      <c r="R1056" s="40">
        <f t="shared" si="133"/>
        <v>372.72727272727275</v>
      </c>
      <c r="S1056" s="40">
        <f t="shared" si="133"/>
        <v>372.72727272727275</v>
      </c>
      <c r="T1056" s="40">
        <f t="shared" si="133"/>
        <v>372.72727272727275</v>
      </c>
      <c r="U1056" s="40">
        <f t="shared" si="133"/>
        <v>372.72727272727275</v>
      </c>
      <c r="V1056" s="40">
        <f t="shared" si="133"/>
        <v>372.72727272727275</v>
      </c>
      <c r="W1056" s="40">
        <f t="shared" si="133"/>
        <v>372.72727272727275</v>
      </c>
      <c r="X1056" s="40">
        <f t="shared" si="133"/>
        <v>372.72727272727275</v>
      </c>
      <c r="Y1056" s="40">
        <f t="shared" si="133"/>
        <v>372.72727272727275</v>
      </c>
      <c r="Z1056" s="56">
        <f t="shared" si="133"/>
        <v>372.72727272727275</v>
      </c>
      <c r="AA1056" s="966">
        <f t="shared" si="130"/>
        <v>4100.0000000000009</v>
      </c>
      <c r="AB1056" s="35"/>
      <c r="AC1056" s="183"/>
    </row>
    <row r="1057" spans="1:29" x14ac:dyDescent="0.2">
      <c r="A1057" s="1422"/>
      <c r="B1057" s="2522"/>
      <c r="C1057" s="2432"/>
      <c r="D1057" s="2421"/>
      <c r="E1057" s="2421"/>
      <c r="F1057" s="2421"/>
      <c r="G1057" s="2421"/>
      <c r="H1057" s="2421"/>
      <c r="I1057" s="2421"/>
      <c r="J1057" s="2432"/>
      <c r="K1057" s="40">
        <v>7820</v>
      </c>
      <c r="L1057" s="3295"/>
      <c r="M1057" s="3335" t="s">
        <v>324</v>
      </c>
      <c r="N1057" s="3336"/>
      <c r="O1057" s="37"/>
      <c r="P1057" s="40">
        <f>$K1057/3</f>
        <v>2606.6666666666665</v>
      </c>
      <c r="Q1057" s="38"/>
      <c r="R1057" s="38"/>
      <c r="S1057" s="40">
        <f>$K1057/3</f>
        <v>2606.6666666666665</v>
      </c>
      <c r="T1057" s="40"/>
      <c r="U1057" s="38"/>
      <c r="V1057" s="38"/>
      <c r="W1057" s="40">
        <f>$K1057/3</f>
        <v>2606.6666666666665</v>
      </c>
      <c r="X1057" s="38"/>
      <c r="Y1057" s="38"/>
      <c r="Z1057" s="54"/>
      <c r="AA1057" s="966">
        <f t="shared" si="130"/>
        <v>7820</v>
      </c>
      <c r="AB1057" s="35"/>
      <c r="AC1057" s="183"/>
    </row>
    <row r="1058" spans="1:29" x14ac:dyDescent="0.2">
      <c r="A1058" s="1422"/>
      <c r="B1058" s="2522"/>
      <c r="C1058" s="2432"/>
      <c r="D1058" s="2421"/>
      <c r="E1058" s="2421"/>
      <c r="F1058" s="2421"/>
      <c r="G1058" s="2421"/>
      <c r="H1058" s="2421"/>
      <c r="I1058" s="2421"/>
      <c r="J1058" s="2432"/>
      <c r="K1058" s="40">
        <v>7245</v>
      </c>
      <c r="L1058" s="3295"/>
      <c r="M1058" s="3335" t="s">
        <v>393</v>
      </c>
      <c r="N1058" s="3336"/>
      <c r="O1058" s="47"/>
      <c r="P1058" s="47"/>
      <c r="Q1058" s="47"/>
      <c r="R1058" s="40">
        <f>$K1058/2</f>
        <v>3622.5</v>
      </c>
      <c r="S1058" s="47"/>
      <c r="T1058" s="47"/>
      <c r="U1058" s="47"/>
      <c r="V1058" s="40">
        <f>$K1058/2</f>
        <v>3622.5</v>
      </c>
      <c r="W1058" s="47"/>
      <c r="X1058" s="47"/>
      <c r="Y1058" s="47"/>
      <c r="Z1058" s="55"/>
      <c r="AA1058" s="966">
        <f t="shared" si="130"/>
        <v>7245</v>
      </c>
      <c r="AB1058" s="35"/>
      <c r="AC1058" s="183"/>
    </row>
    <row r="1059" spans="1:29" x14ac:dyDescent="0.2">
      <c r="A1059" s="1422"/>
      <c r="B1059" s="2522"/>
      <c r="C1059" s="2432"/>
      <c r="D1059" s="2421"/>
      <c r="E1059" s="2421"/>
      <c r="F1059" s="2421"/>
      <c r="G1059" s="2421"/>
      <c r="H1059" s="2421"/>
      <c r="I1059" s="2421"/>
      <c r="J1059" s="2432"/>
      <c r="K1059" s="40">
        <v>8754</v>
      </c>
      <c r="L1059" s="3295"/>
      <c r="M1059" s="3335" t="s">
        <v>343</v>
      </c>
      <c r="N1059" s="3336"/>
      <c r="O1059" s="47"/>
      <c r="P1059" s="47"/>
      <c r="Q1059" s="47"/>
      <c r="R1059" s="47">
        <f>$K1059*(1/23)</f>
        <v>380.60869565217388</v>
      </c>
      <c r="S1059" s="47">
        <f>$K1059*(4/23)</f>
        <v>1522.4347826086955</v>
      </c>
      <c r="T1059" s="47">
        <f>$K1059*(2/23)</f>
        <v>761.21739130434776</v>
      </c>
      <c r="U1059" s="47">
        <f>$K1059*(5/23)</f>
        <v>1903.0434782608695</v>
      </c>
      <c r="V1059" s="47">
        <f>$K1059*(2/23)</f>
        <v>761.21739130434776</v>
      </c>
      <c r="W1059" s="47">
        <f>$K1059*(3/23)</f>
        <v>1141.8260869565217</v>
      </c>
      <c r="X1059" s="47">
        <f>$K1059*(2/23)</f>
        <v>761.21739130434776</v>
      </c>
      <c r="Y1059" s="47">
        <f>$K1059*(3/23)</f>
        <v>1141.8260869565217</v>
      </c>
      <c r="Z1059" s="55">
        <f>$K1059*(1/23)</f>
        <v>380.60869565217388</v>
      </c>
      <c r="AA1059" s="966">
        <f t="shared" si="130"/>
        <v>8754</v>
      </c>
      <c r="AB1059" s="35"/>
      <c r="AC1059" s="183"/>
    </row>
    <row r="1060" spans="1:29" x14ac:dyDescent="0.2">
      <c r="A1060" s="1422"/>
      <c r="B1060" s="2522"/>
      <c r="C1060" s="2432"/>
      <c r="D1060" s="2421"/>
      <c r="E1060" s="2421"/>
      <c r="F1060" s="2421"/>
      <c r="G1060" s="2421"/>
      <c r="H1060" s="2421"/>
      <c r="I1060" s="2421"/>
      <c r="J1060" s="2432"/>
      <c r="K1060" s="40">
        <v>4820</v>
      </c>
      <c r="L1060" s="3295"/>
      <c r="M1060" s="3335" t="s">
        <v>307</v>
      </c>
      <c r="N1060" s="3336"/>
      <c r="O1060" s="37"/>
      <c r="P1060" s="38"/>
      <c r="Q1060" s="42">
        <f>$K1060/10</f>
        <v>482</v>
      </c>
      <c r="R1060" s="42">
        <f t="shared" ref="R1060:Z1060" si="134">$K1060/10</f>
        <v>482</v>
      </c>
      <c r="S1060" s="42">
        <f t="shared" si="134"/>
        <v>482</v>
      </c>
      <c r="T1060" s="42">
        <f t="shared" si="134"/>
        <v>482</v>
      </c>
      <c r="U1060" s="42">
        <f t="shared" si="134"/>
        <v>482</v>
      </c>
      <c r="V1060" s="42">
        <f t="shared" si="134"/>
        <v>482</v>
      </c>
      <c r="W1060" s="42">
        <f t="shared" si="134"/>
        <v>482</v>
      </c>
      <c r="X1060" s="42">
        <f t="shared" si="134"/>
        <v>482</v>
      </c>
      <c r="Y1060" s="42">
        <f t="shared" si="134"/>
        <v>482</v>
      </c>
      <c r="Z1060" s="57">
        <f t="shared" si="134"/>
        <v>482</v>
      </c>
      <c r="AA1060" s="966">
        <f t="shared" si="130"/>
        <v>4820</v>
      </c>
      <c r="AB1060" s="35"/>
      <c r="AC1060" s="183"/>
    </row>
    <row r="1061" spans="1:29" x14ac:dyDescent="0.2">
      <c r="A1061" s="1422"/>
      <c r="B1061" s="2522"/>
      <c r="C1061" s="2432"/>
      <c r="D1061" s="2421"/>
      <c r="E1061" s="2421"/>
      <c r="F1061" s="2421"/>
      <c r="G1061" s="2421"/>
      <c r="H1061" s="2421"/>
      <c r="I1061" s="2421"/>
      <c r="J1061" s="2432"/>
      <c r="K1061" s="40">
        <v>26100</v>
      </c>
      <c r="L1061" s="3295"/>
      <c r="M1061" s="3335" t="s">
        <v>311</v>
      </c>
      <c r="N1061" s="3336"/>
      <c r="O1061" s="37">
        <f t="shared" ref="O1061:Z1062" si="135">$K1061/12</f>
        <v>2175</v>
      </c>
      <c r="P1061" s="37">
        <f t="shared" si="135"/>
        <v>2175</v>
      </c>
      <c r="Q1061" s="37">
        <f t="shared" si="135"/>
        <v>2175</v>
      </c>
      <c r="R1061" s="37">
        <f t="shared" si="135"/>
        <v>2175</v>
      </c>
      <c r="S1061" s="37">
        <f t="shared" si="135"/>
        <v>2175</v>
      </c>
      <c r="T1061" s="37">
        <f t="shared" si="135"/>
        <v>2175</v>
      </c>
      <c r="U1061" s="37">
        <f t="shared" si="135"/>
        <v>2175</v>
      </c>
      <c r="V1061" s="37">
        <f t="shared" si="135"/>
        <v>2175</v>
      </c>
      <c r="W1061" s="37">
        <f t="shared" si="135"/>
        <v>2175</v>
      </c>
      <c r="X1061" s="37">
        <f t="shared" si="135"/>
        <v>2175</v>
      </c>
      <c r="Y1061" s="37">
        <f t="shared" si="135"/>
        <v>2175</v>
      </c>
      <c r="Z1061" s="53">
        <f t="shared" si="135"/>
        <v>2175</v>
      </c>
      <c r="AA1061" s="966">
        <f t="shared" si="130"/>
        <v>26100</v>
      </c>
      <c r="AB1061" s="35"/>
      <c r="AC1061" s="183"/>
    </row>
    <row r="1062" spans="1:29" x14ac:dyDescent="0.2">
      <c r="A1062" s="1422"/>
      <c r="B1062" s="2522"/>
      <c r="C1062" s="2437"/>
      <c r="D1062" s="2421"/>
      <c r="E1062" s="2421"/>
      <c r="F1062" s="2421"/>
      <c r="G1062" s="2421"/>
      <c r="H1062" s="2421"/>
      <c r="I1062" s="2421"/>
      <c r="J1062" s="2437"/>
      <c r="K1062" s="40">
        <v>421344</v>
      </c>
      <c r="L1062" s="3296"/>
      <c r="M1062" s="3335" t="s">
        <v>310</v>
      </c>
      <c r="N1062" s="3336"/>
      <c r="O1062" s="37">
        <f t="shared" si="135"/>
        <v>35112</v>
      </c>
      <c r="P1062" s="37">
        <f t="shared" si="135"/>
        <v>35112</v>
      </c>
      <c r="Q1062" s="37">
        <f t="shared" si="135"/>
        <v>35112</v>
      </c>
      <c r="R1062" s="37">
        <f t="shared" si="135"/>
        <v>35112</v>
      </c>
      <c r="S1062" s="37">
        <f t="shared" si="135"/>
        <v>35112</v>
      </c>
      <c r="T1062" s="37">
        <f t="shared" si="135"/>
        <v>35112</v>
      </c>
      <c r="U1062" s="37">
        <f t="shared" si="135"/>
        <v>35112</v>
      </c>
      <c r="V1062" s="37">
        <f t="shared" si="135"/>
        <v>35112</v>
      </c>
      <c r="W1062" s="37">
        <f t="shared" si="135"/>
        <v>35112</v>
      </c>
      <c r="X1062" s="37">
        <f t="shared" si="135"/>
        <v>35112</v>
      </c>
      <c r="Y1062" s="37">
        <f t="shared" si="135"/>
        <v>35112</v>
      </c>
      <c r="Z1062" s="53">
        <f t="shared" si="135"/>
        <v>35112</v>
      </c>
      <c r="AA1062" s="966">
        <f t="shared" si="130"/>
        <v>421344</v>
      </c>
      <c r="AB1062" s="35"/>
      <c r="AC1062" s="183"/>
    </row>
    <row r="1063" spans="1:29" x14ac:dyDescent="0.2">
      <c r="A1063" s="1422"/>
      <c r="B1063" s="1427" t="s">
        <v>312</v>
      </c>
      <c r="C1063" s="38"/>
      <c r="D1063" s="38"/>
      <c r="E1063" s="38"/>
      <c r="F1063" s="38"/>
      <c r="G1063" s="38"/>
      <c r="H1063" s="38"/>
      <c r="I1063" s="38"/>
      <c r="J1063" s="38"/>
      <c r="K1063" s="40">
        <f>SUM(K1044:K1062)</f>
        <v>5142994</v>
      </c>
      <c r="L1063" s="38"/>
      <c r="M1063" s="49"/>
      <c r="N1063" s="49"/>
      <c r="O1063" s="37"/>
      <c r="P1063" s="38"/>
      <c r="Q1063" s="38"/>
      <c r="R1063" s="38"/>
      <c r="S1063" s="38"/>
      <c r="T1063" s="38"/>
      <c r="U1063" s="38"/>
      <c r="V1063" s="38"/>
      <c r="W1063" s="38"/>
      <c r="X1063" s="38"/>
      <c r="Y1063" s="38"/>
      <c r="Z1063" s="54"/>
      <c r="AA1063" s="1234"/>
      <c r="AB1063" s="35"/>
      <c r="AC1063" s="183"/>
    </row>
    <row r="1064" spans="1:29" ht="22.5" customHeight="1" x14ac:dyDescent="0.2">
      <c r="A1064" s="1422"/>
      <c r="B1064" s="1433" t="s">
        <v>276</v>
      </c>
      <c r="C1064" s="108"/>
      <c r="D1064" s="35">
        <v>3033300</v>
      </c>
      <c r="E1064" s="192" t="s">
        <v>502</v>
      </c>
      <c r="F1064" s="193"/>
      <c r="G1064" s="194"/>
      <c r="H1064" s="35"/>
      <c r="I1064" s="35"/>
      <c r="J1064" s="35"/>
      <c r="K1064" s="60"/>
      <c r="L1064" s="60"/>
      <c r="M1064" s="181"/>
      <c r="N1064" s="181"/>
      <c r="O1064" s="60"/>
      <c r="P1064" s="60"/>
      <c r="Q1064" s="60"/>
      <c r="R1064" s="60"/>
      <c r="S1064" s="60"/>
      <c r="T1064" s="35"/>
      <c r="U1064" s="35"/>
      <c r="V1064" s="3023" t="s">
        <v>15</v>
      </c>
      <c r="W1064" s="3337"/>
      <c r="X1064" s="3337"/>
      <c r="Y1064" s="3338"/>
      <c r="Z1064" s="3019" t="s">
        <v>16</v>
      </c>
      <c r="AA1064" s="3020"/>
      <c r="AB1064" s="35"/>
      <c r="AC1064" s="183"/>
    </row>
    <row r="1065" spans="1:29" x14ac:dyDescent="0.2">
      <c r="A1065" s="1422"/>
      <c r="B1065" s="1433"/>
      <c r="C1065" s="108"/>
      <c r="D1065" s="35"/>
      <c r="E1065" s="192"/>
      <c r="F1065" s="193"/>
      <c r="G1065" s="194"/>
      <c r="H1065" s="35"/>
      <c r="I1065" s="35"/>
      <c r="J1065" s="35"/>
      <c r="K1065" s="60"/>
      <c r="L1065" s="60"/>
      <c r="M1065" s="181"/>
      <c r="N1065" s="181"/>
      <c r="O1065" s="60"/>
      <c r="P1065" s="60"/>
      <c r="Q1065" s="60"/>
      <c r="R1065" s="60"/>
      <c r="S1065" s="60"/>
      <c r="T1065" s="35"/>
      <c r="U1065" s="35"/>
      <c r="V1065" s="3344" t="s">
        <v>503</v>
      </c>
      <c r="W1065" s="3345"/>
      <c r="X1065" s="3345"/>
      <c r="Y1065" s="3346"/>
      <c r="Z1065" s="2922" t="s">
        <v>500</v>
      </c>
      <c r="AA1065" s="2922"/>
      <c r="AB1065" s="35"/>
      <c r="AC1065" s="183"/>
    </row>
    <row r="1066" spans="1:29" x14ac:dyDescent="0.2">
      <c r="A1066" s="1422"/>
      <c r="B1066" s="2999" t="s">
        <v>278</v>
      </c>
      <c r="C1066" s="2988" t="s">
        <v>21</v>
      </c>
      <c r="D1066" s="2847" t="s">
        <v>22</v>
      </c>
      <c r="E1066" s="2847" t="s">
        <v>23</v>
      </c>
      <c r="F1066" s="2847" t="s">
        <v>24</v>
      </c>
      <c r="G1066" s="2847" t="s">
        <v>25</v>
      </c>
      <c r="H1066" s="2847" t="s">
        <v>26</v>
      </c>
      <c r="I1066" s="2847" t="s">
        <v>27</v>
      </c>
      <c r="J1066" s="3206" t="s">
        <v>28</v>
      </c>
      <c r="K1066" s="3301"/>
      <c r="L1066" s="2987" t="s">
        <v>279</v>
      </c>
      <c r="M1066" s="3273" t="s">
        <v>280</v>
      </c>
      <c r="N1066" s="3274"/>
      <c r="O1066" s="2847" t="s">
        <v>281</v>
      </c>
      <c r="P1066" s="2847"/>
      <c r="Q1066" s="2847"/>
      <c r="R1066" s="2847"/>
      <c r="S1066" s="2847"/>
      <c r="T1066" s="2847"/>
      <c r="U1066" s="2847"/>
      <c r="V1066" s="2847"/>
      <c r="W1066" s="2847"/>
      <c r="X1066" s="2847"/>
      <c r="Y1066" s="2847"/>
      <c r="Z1066" s="2847"/>
      <c r="AA1066" s="3217" t="s">
        <v>32</v>
      </c>
      <c r="AB1066" s="35"/>
      <c r="AC1066" s="183"/>
    </row>
    <row r="1067" spans="1:29" x14ac:dyDescent="0.2">
      <c r="A1067" s="1422"/>
      <c r="B1067" s="2999"/>
      <c r="C1067" s="3186"/>
      <c r="D1067" s="2847"/>
      <c r="E1067" s="2847"/>
      <c r="F1067" s="2847"/>
      <c r="G1067" s="2847"/>
      <c r="H1067" s="2847"/>
      <c r="I1067" s="2847"/>
      <c r="J1067" s="2988" t="s">
        <v>33</v>
      </c>
      <c r="K1067" s="2847" t="s">
        <v>282</v>
      </c>
      <c r="L1067" s="3341"/>
      <c r="M1067" s="3275"/>
      <c r="N1067" s="3276"/>
      <c r="O1067" s="1009" t="s">
        <v>283</v>
      </c>
      <c r="P1067" s="1009" t="s">
        <v>284</v>
      </c>
      <c r="Q1067" s="1009" t="s">
        <v>285</v>
      </c>
      <c r="R1067" s="1009" t="s">
        <v>88</v>
      </c>
      <c r="S1067" s="1009" t="s">
        <v>89</v>
      </c>
      <c r="T1067" s="1009" t="s">
        <v>90</v>
      </c>
      <c r="U1067" s="1009" t="s">
        <v>91</v>
      </c>
      <c r="V1067" s="1009" t="s">
        <v>92</v>
      </c>
      <c r="W1067" s="1009" t="s">
        <v>286</v>
      </c>
      <c r="X1067" s="1009" t="s">
        <v>93</v>
      </c>
      <c r="Y1067" s="1009" t="s">
        <v>94</v>
      </c>
      <c r="Z1067" s="1009" t="s">
        <v>95</v>
      </c>
      <c r="AA1067" s="3218"/>
      <c r="AB1067" s="35"/>
      <c r="AC1067" s="183"/>
    </row>
    <row r="1068" spans="1:29" x14ac:dyDescent="0.2">
      <c r="A1068" s="1422"/>
      <c r="B1068" s="2999"/>
      <c r="C1068" s="3186"/>
      <c r="D1068" s="2847"/>
      <c r="E1068" s="2847"/>
      <c r="F1068" s="2847"/>
      <c r="G1068" s="2847"/>
      <c r="H1068" s="2847"/>
      <c r="I1068" s="2847"/>
      <c r="J1068" s="3186"/>
      <c r="K1068" s="2847"/>
      <c r="L1068" s="3341"/>
      <c r="M1068" s="3271" t="s">
        <v>287</v>
      </c>
      <c r="N1068" s="3272"/>
      <c r="O1068" s="1095">
        <v>11</v>
      </c>
      <c r="P1068" s="1095">
        <v>12</v>
      </c>
      <c r="Q1068" s="1095">
        <v>11</v>
      </c>
      <c r="R1068" s="1095">
        <v>13</v>
      </c>
      <c r="S1068" s="1095">
        <v>13</v>
      </c>
      <c r="T1068" s="1095">
        <v>13</v>
      </c>
      <c r="U1068" s="1095">
        <v>13</v>
      </c>
      <c r="V1068" s="1095">
        <v>13</v>
      </c>
      <c r="W1068" s="1095">
        <v>13</v>
      </c>
      <c r="X1068" s="1095">
        <v>13</v>
      </c>
      <c r="Y1068" s="1095">
        <v>13</v>
      </c>
      <c r="Z1068" s="1144">
        <v>13</v>
      </c>
      <c r="AA1068" s="1196">
        <f t="shared" ref="AA1068:AA1083" si="136">SUM(O1068:Z1068)</f>
        <v>151</v>
      </c>
      <c r="AB1068" s="35"/>
      <c r="AC1068" s="183"/>
    </row>
    <row r="1069" spans="1:29" x14ac:dyDescent="0.2">
      <c r="A1069" s="1422"/>
      <c r="B1069" s="2999"/>
      <c r="C1069" s="2989"/>
      <c r="D1069" s="2847"/>
      <c r="E1069" s="2847"/>
      <c r="F1069" s="2847"/>
      <c r="G1069" s="2847"/>
      <c r="H1069" s="2847"/>
      <c r="I1069" s="2847"/>
      <c r="J1069" s="2989"/>
      <c r="K1069" s="2847"/>
      <c r="L1069" s="3001"/>
      <c r="M1069" s="3271" t="s">
        <v>34</v>
      </c>
      <c r="N1069" s="3272"/>
      <c r="O1069" s="36">
        <f>SUM(O1070:O1083)</f>
        <v>81761.083333333328</v>
      </c>
      <c r="P1069" s="36">
        <f t="shared" ref="P1069:Z1069" si="137">SUM(P1070:P1083)</f>
        <v>76961.083333333328</v>
      </c>
      <c r="Q1069" s="36">
        <f t="shared" si="137"/>
        <v>77461.083333333328</v>
      </c>
      <c r="R1069" s="36">
        <f t="shared" si="137"/>
        <v>77611.083333333328</v>
      </c>
      <c r="S1069" s="36">
        <f t="shared" si="137"/>
        <v>77111.083333333328</v>
      </c>
      <c r="T1069" s="36">
        <f t="shared" si="137"/>
        <v>77011.083333333328</v>
      </c>
      <c r="U1069" s="36">
        <f t="shared" si="137"/>
        <v>81035.083333333328</v>
      </c>
      <c r="V1069" s="36">
        <f t="shared" si="137"/>
        <v>77661.083333333328</v>
      </c>
      <c r="W1069" s="36">
        <f t="shared" si="137"/>
        <v>77061.083333333328</v>
      </c>
      <c r="X1069" s="36">
        <f t="shared" si="137"/>
        <v>77011.083333333328</v>
      </c>
      <c r="Y1069" s="36">
        <f t="shared" si="137"/>
        <v>77061.083333333328</v>
      </c>
      <c r="Z1069" s="52">
        <f t="shared" si="137"/>
        <v>80935.083333333328</v>
      </c>
      <c r="AA1069" s="1196">
        <f t="shared" si="136"/>
        <v>938681.00000000012</v>
      </c>
      <c r="AB1069" s="35"/>
      <c r="AC1069" s="183"/>
    </row>
    <row r="1070" spans="1:29" ht="11.25" customHeight="1" x14ac:dyDescent="0.2">
      <c r="A1070" s="1422"/>
      <c r="B1070" s="2522">
        <v>5000050</v>
      </c>
      <c r="C1070" s="2431" t="s">
        <v>3063</v>
      </c>
      <c r="D1070" s="3347"/>
      <c r="E1070" s="2421" t="s">
        <v>401</v>
      </c>
      <c r="F1070" s="2421" t="s">
        <v>386</v>
      </c>
      <c r="G1070" s="2421" t="s">
        <v>423</v>
      </c>
      <c r="H1070" s="2421" t="s">
        <v>337</v>
      </c>
      <c r="I1070" s="2421" t="s">
        <v>501</v>
      </c>
      <c r="J1070" s="2431">
        <v>151</v>
      </c>
      <c r="K1070" s="40">
        <v>252048</v>
      </c>
      <c r="L1070" s="3294" t="s">
        <v>446</v>
      </c>
      <c r="M1070" s="3335" t="s">
        <v>293</v>
      </c>
      <c r="N1070" s="3336"/>
      <c r="O1070" s="37">
        <f t="shared" ref="O1070:Z1077" si="138">$K1070/12</f>
        <v>21004</v>
      </c>
      <c r="P1070" s="37">
        <f t="shared" si="138"/>
        <v>21004</v>
      </c>
      <c r="Q1070" s="37">
        <f t="shared" si="138"/>
        <v>21004</v>
      </c>
      <c r="R1070" s="37">
        <f t="shared" si="138"/>
        <v>21004</v>
      </c>
      <c r="S1070" s="37">
        <f t="shared" si="138"/>
        <v>21004</v>
      </c>
      <c r="T1070" s="37">
        <f t="shared" si="138"/>
        <v>21004</v>
      </c>
      <c r="U1070" s="37">
        <f t="shared" si="138"/>
        <v>21004</v>
      </c>
      <c r="V1070" s="37">
        <f t="shared" si="138"/>
        <v>21004</v>
      </c>
      <c r="W1070" s="37">
        <f t="shared" si="138"/>
        <v>21004</v>
      </c>
      <c r="X1070" s="37">
        <f t="shared" si="138"/>
        <v>21004</v>
      </c>
      <c r="Y1070" s="37">
        <f t="shared" si="138"/>
        <v>21004</v>
      </c>
      <c r="Z1070" s="53">
        <f t="shared" si="138"/>
        <v>21004</v>
      </c>
      <c r="AA1070" s="966">
        <f t="shared" si="136"/>
        <v>252048</v>
      </c>
      <c r="AB1070" s="35"/>
      <c r="AC1070" s="183"/>
    </row>
    <row r="1071" spans="1:29" x14ac:dyDescent="0.2">
      <c r="A1071" s="1422"/>
      <c r="B1071" s="2522"/>
      <c r="C1071" s="2432"/>
      <c r="D1071" s="3347"/>
      <c r="E1071" s="2421"/>
      <c r="F1071" s="2421"/>
      <c r="G1071" s="2421"/>
      <c r="H1071" s="2421"/>
      <c r="I1071" s="2421"/>
      <c r="J1071" s="2432"/>
      <c r="K1071" s="40">
        <v>53736</v>
      </c>
      <c r="L1071" s="3295"/>
      <c r="M1071" s="3335" t="s">
        <v>321</v>
      </c>
      <c r="N1071" s="3336"/>
      <c r="O1071" s="37">
        <f t="shared" si="138"/>
        <v>4478</v>
      </c>
      <c r="P1071" s="37">
        <f t="shared" si="138"/>
        <v>4478</v>
      </c>
      <c r="Q1071" s="37">
        <f t="shared" si="138"/>
        <v>4478</v>
      </c>
      <c r="R1071" s="37">
        <f t="shared" si="138"/>
        <v>4478</v>
      </c>
      <c r="S1071" s="37">
        <f t="shared" si="138"/>
        <v>4478</v>
      </c>
      <c r="T1071" s="37">
        <f t="shared" si="138"/>
        <v>4478</v>
      </c>
      <c r="U1071" s="37">
        <f t="shared" si="138"/>
        <v>4478</v>
      </c>
      <c r="V1071" s="37">
        <f t="shared" si="138"/>
        <v>4478</v>
      </c>
      <c r="W1071" s="37">
        <f t="shared" si="138"/>
        <v>4478</v>
      </c>
      <c r="X1071" s="37">
        <f t="shared" si="138"/>
        <v>4478</v>
      </c>
      <c r="Y1071" s="37">
        <f t="shared" si="138"/>
        <v>4478</v>
      </c>
      <c r="Z1071" s="53">
        <f t="shared" si="138"/>
        <v>4478</v>
      </c>
      <c r="AA1071" s="966">
        <f t="shared" si="136"/>
        <v>53736</v>
      </c>
      <c r="AB1071" s="35"/>
      <c r="AC1071" s="183"/>
    </row>
    <row r="1072" spans="1:29" x14ac:dyDescent="0.2">
      <c r="A1072" s="1422"/>
      <c r="B1072" s="2522"/>
      <c r="C1072" s="2432"/>
      <c r="D1072" s="3347"/>
      <c r="E1072" s="2421"/>
      <c r="F1072" s="2421"/>
      <c r="G1072" s="2421"/>
      <c r="H1072" s="2421"/>
      <c r="I1072" s="2421"/>
      <c r="J1072" s="2432"/>
      <c r="K1072" s="40">
        <v>62496</v>
      </c>
      <c r="L1072" s="3295"/>
      <c r="M1072" s="3335" t="s">
        <v>295</v>
      </c>
      <c r="N1072" s="3336"/>
      <c r="O1072" s="37">
        <f t="shared" si="138"/>
        <v>5208</v>
      </c>
      <c r="P1072" s="37">
        <f t="shared" si="138"/>
        <v>5208</v>
      </c>
      <c r="Q1072" s="37">
        <f t="shared" si="138"/>
        <v>5208</v>
      </c>
      <c r="R1072" s="37">
        <f t="shared" si="138"/>
        <v>5208</v>
      </c>
      <c r="S1072" s="37">
        <f t="shared" si="138"/>
        <v>5208</v>
      </c>
      <c r="T1072" s="37">
        <f t="shared" si="138"/>
        <v>5208</v>
      </c>
      <c r="U1072" s="37">
        <f t="shared" si="138"/>
        <v>5208</v>
      </c>
      <c r="V1072" s="37">
        <f t="shared" si="138"/>
        <v>5208</v>
      </c>
      <c r="W1072" s="37">
        <f t="shared" si="138"/>
        <v>5208</v>
      </c>
      <c r="X1072" s="37">
        <f t="shared" si="138"/>
        <v>5208</v>
      </c>
      <c r="Y1072" s="37">
        <f t="shared" si="138"/>
        <v>5208</v>
      </c>
      <c r="Z1072" s="53">
        <f t="shared" si="138"/>
        <v>5208</v>
      </c>
      <c r="AA1072" s="966">
        <f t="shared" si="136"/>
        <v>62496</v>
      </c>
      <c r="AB1072" s="35"/>
      <c r="AC1072" s="183"/>
    </row>
    <row r="1073" spans="1:29" x14ac:dyDescent="0.2">
      <c r="A1073" s="1422"/>
      <c r="B1073" s="2522"/>
      <c r="C1073" s="2432"/>
      <c r="D1073" s="3347"/>
      <c r="E1073" s="2421"/>
      <c r="F1073" s="2421"/>
      <c r="G1073" s="2421"/>
      <c r="H1073" s="2421"/>
      <c r="I1073" s="2421"/>
      <c r="J1073" s="2432"/>
      <c r="K1073" s="40">
        <v>186968</v>
      </c>
      <c r="L1073" s="3295"/>
      <c r="M1073" s="3335" t="s">
        <v>296</v>
      </c>
      <c r="N1073" s="3336"/>
      <c r="O1073" s="37">
        <f t="shared" si="138"/>
        <v>15580.666666666666</v>
      </c>
      <c r="P1073" s="37">
        <f t="shared" si="138"/>
        <v>15580.666666666666</v>
      </c>
      <c r="Q1073" s="37">
        <f t="shared" si="138"/>
        <v>15580.666666666666</v>
      </c>
      <c r="R1073" s="37">
        <f t="shared" si="138"/>
        <v>15580.666666666666</v>
      </c>
      <c r="S1073" s="37">
        <f t="shared" si="138"/>
        <v>15580.666666666666</v>
      </c>
      <c r="T1073" s="37">
        <f t="shared" si="138"/>
        <v>15580.666666666666</v>
      </c>
      <c r="U1073" s="37">
        <f t="shared" si="138"/>
        <v>15580.666666666666</v>
      </c>
      <c r="V1073" s="37">
        <f t="shared" si="138"/>
        <v>15580.666666666666</v>
      </c>
      <c r="W1073" s="37">
        <f t="shared" si="138"/>
        <v>15580.666666666666</v>
      </c>
      <c r="X1073" s="37">
        <f t="shared" si="138"/>
        <v>15580.666666666666</v>
      </c>
      <c r="Y1073" s="37">
        <f t="shared" si="138"/>
        <v>15580.666666666666</v>
      </c>
      <c r="Z1073" s="53">
        <f t="shared" si="138"/>
        <v>15580.666666666666</v>
      </c>
      <c r="AA1073" s="966">
        <f t="shared" si="136"/>
        <v>186967.99999999997</v>
      </c>
      <c r="AB1073" s="35"/>
      <c r="AC1073" s="183"/>
    </row>
    <row r="1074" spans="1:29" x14ac:dyDescent="0.2">
      <c r="A1074" s="1422"/>
      <c r="B1074" s="2522"/>
      <c r="C1074" s="2432"/>
      <c r="D1074" s="3347"/>
      <c r="E1074" s="2421"/>
      <c r="F1074" s="2421"/>
      <c r="G1074" s="2421"/>
      <c r="H1074" s="2421"/>
      <c r="I1074" s="2421"/>
      <c r="J1074" s="2432"/>
      <c r="K1074" s="40">
        <v>39888</v>
      </c>
      <c r="L1074" s="3295"/>
      <c r="M1074" s="3335" t="s">
        <v>297</v>
      </c>
      <c r="N1074" s="3336"/>
      <c r="O1074" s="37">
        <f t="shared" si="138"/>
        <v>3324</v>
      </c>
      <c r="P1074" s="37">
        <f t="shared" si="138"/>
        <v>3324</v>
      </c>
      <c r="Q1074" s="37">
        <f t="shared" si="138"/>
        <v>3324</v>
      </c>
      <c r="R1074" s="37">
        <f t="shared" si="138"/>
        <v>3324</v>
      </c>
      <c r="S1074" s="37">
        <f t="shared" si="138"/>
        <v>3324</v>
      </c>
      <c r="T1074" s="37">
        <f t="shared" si="138"/>
        <v>3324</v>
      </c>
      <c r="U1074" s="37">
        <f t="shared" si="138"/>
        <v>3324</v>
      </c>
      <c r="V1074" s="37">
        <f t="shared" si="138"/>
        <v>3324</v>
      </c>
      <c r="W1074" s="37">
        <f t="shared" si="138"/>
        <v>3324</v>
      </c>
      <c r="X1074" s="37">
        <f t="shared" si="138"/>
        <v>3324</v>
      </c>
      <c r="Y1074" s="37">
        <f t="shared" si="138"/>
        <v>3324</v>
      </c>
      <c r="Z1074" s="53">
        <f t="shared" si="138"/>
        <v>3324</v>
      </c>
      <c r="AA1074" s="966">
        <f t="shared" si="136"/>
        <v>39888</v>
      </c>
      <c r="AB1074" s="35"/>
      <c r="AC1074" s="183"/>
    </row>
    <row r="1075" spans="1:29" x14ac:dyDescent="0.2">
      <c r="A1075" s="1422"/>
      <c r="B1075" s="2522"/>
      <c r="C1075" s="2432"/>
      <c r="D1075" s="3347"/>
      <c r="E1075" s="2421"/>
      <c r="F1075" s="2421"/>
      <c r="G1075" s="2421"/>
      <c r="H1075" s="2421"/>
      <c r="I1075" s="2421"/>
      <c r="J1075" s="2432"/>
      <c r="K1075" s="40">
        <v>7848</v>
      </c>
      <c r="L1075" s="3295"/>
      <c r="M1075" s="3335" t="s">
        <v>298</v>
      </c>
      <c r="N1075" s="3336"/>
      <c r="O1075" s="37"/>
      <c r="P1075" s="38"/>
      <c r="Q1075" s="38"/>
      <c r="R1075" s="38"/>
      <c r="S1075" s="38"/>
      <c r="T1075" s="38"/>
      <c r="U1075" s="37">
        <f>$K1075/2</f>
        <v>3924</v>
      </c>
      <c r="V1075" s="38"/>
      <c r="W1075" s="38"/>
      <c r="X1075" s="38"/>
      <c r="Y1075" s="38"/>
      <c r="Z1075" s="53">
        <f>$K1075/2</f>
        <v>3924</v>
      </c>
      <c r="AA1075" s="966">
        <f t="shared" si="136"/>
        <v>7848</v>
      </c>
      <c r="AB1075" s="35"/>
      <c r="AC1075" s="183"/>
    </row>
    <row r="1076" spans="1:29" x14ac:dyDescent="0.2">
      <c r="A1076" s="1422"/>
      <c r="B1076" s="2522"/>
      <c r="C1076" s="2432"/>
      <c r="D1076" s="3347"/>
      <c r="E1076" s="2421"/>
      <c r="F1076" s="2421"/>
      <c r="G1076" s="2421"/>
      <c r="H1076" s="2421"/>
      <c r="I1076" s="2421"/>
      <c r="J1076" s="2432"/>
      <c r="K1076" s="40">
        <v>4800</v>
      </c>
      <c r="L1076" s="3295"/>
      <c r="M1076" s="3335" t="s">
        <v>299</v>
      </c>
      <c r="N1076" s="3336"/>
      <c r="O1076" s="37">
        <f>$K1076</f>
        <v>4800</v>
      </c>
      <c r="P1076" s="38"/>
      <c r="Q1076" s="37"/>
      <c r="R1076" s="38"/>
      <c r="S1076" s="38"/>
      <c r="T1076" s="38"/>
      <c r="U1076" s="38"/>
      <c r="V1076" s="38"/>
      <c r="W1076" s="38"/>
      <c r="X1076" s="38"/>
      <c r="Y1076" s="38"/>
      <c r="Z1076" s="54"/>
      <c r="AA1076" s="966">
        <f t="shared" si="136"/>
        <v>4800</v>
      </c>
      <c r="AB1076" s="35"/>
      <c r="AC1076" s="183"/>
    </row>
    <row r="1077" spans="1:29" x14ac:dyDescent="0.2">
      <c r="A1077" s="1422"/>
      <c r="B1077" s="2522"/>
      <c r="C1077" s="2432"/>
      <c r="D1077" s="3347"/>
      <c r="E1077" s="2421"/>
      <c r="F1077" s="2421"/>
      <c r="G1077" s="2421"/>
      <c r="H1077" s="2421"/>
      <c r="I1077" s="2421"/>
      <c r="J1077" s="2432"/>
      <c r="K1077" s="40">
        <v>23412</v>
      </c>
      <c r="L1077" s="3295"/>
      <c r="M1077" s="3335" t="s">
        <v>300</v>
      </c>
      <c r="N1077" s="3336"/>
      <c r="O1077" s="37">
        <f t="shared" si="138"/>
        <v>1951</v>
      </c>
      <c r="P1077" s="37">
        <f t="shared" si="138"/>
        <v>1951</v>
      </c>
      <c r="Q1077" s="37">
        <f t="shared" si="138"/>
        <v>1951</v>
      </c>
      <c r="R1077" s="37">
        <f t="shared" si="138"/>
        <v>1951</v>
      </c>
      <c r="S1077" s="37">
        <f t="shared" si="138"/>
        <v>1951</v>
      </c>
      <c r="T1077" s="37">
        <f t="shared" si="138"/>
        <v>1951</v>
      </c>
      <c r="U1077" s="37">
        <f t="shared" si="138"/>
        <v>1951</v>
      </c>
      <c r="V1077" s="37">
        <f t="shared" si="138"/>
        <v>1951</v>
      </c>
      <c r="W1077" s="37">
        <f t="shared" si="138"/>
        <v>1951</v>
      </c>
      <c r="X1077" s="37">
        <f t="shared" si="138"/>
        <v>1951</v>
      </c>
      <c r="Y1077" s="37">
        <f t="shared" si="138"/>
        <v>1951</v>
      </c>
      <c r="Z1077" s="53">
        <f t="shared" si="138"/>
        <v>1951</v>
      </c>
      <c r="AA1077" s="966">
        <f t="shared" si="136"/>
        <v>23412</v>
      </c>
      <c r="AB1077" s="35"/>
      <c r="AC1077" s="183"/>
    </row>
    <row r="1078" spans="1:29" x14ac:dyDescent="0.2">
      <c r="A1078" s="1422"/>
      <c r="B1078" s="2522"/>
      <c r="C1078" s="2432"/>
      <c r="D1078" s="3347"/>
      <c r="E1078" s="2421"/>
      <c r="F1078" s="2421"/>
      <c r="G1078" s="2421"/>
      <c r="H1078" s="2421"/>
      <c r="I1078" s="2421"/>
      <c r="J1078" s="2432"/>
      <c r="K1078" s="40">
        <v>200</v>
      </c>
      <c r="L1078" s="3295"/>
      <c r="M1078" s="3335" t="s">
        <v>340</v>
      </c>
      <c r="N1078" s="3336"/>
      <c r="O1078" s="40"/>
      <c r="P1078" s="40"/>
      <c r="Q1078" s="40">
        <f>$K1078</f>
        <v>200</v>
      </c>
      <c r="R1078" s="40"/>
      <c r="S1078" s="40"/>
      <c r="T1078" s="40"/>
      <c r="U1078" s="40"/>
      <c r="V1078" s="40"/>
      <c r="W1078" s="40"/>
      <c r="X1078" s="40"/>
      <c r="Y1078" s="40"/>
      <c r="Z1078" s="56"/>
      <c r="AA1078" s="966">
        <f t="shared" si="136"/>
        <v>200</v>
      </c>
      <c r="AB1078" s="35"/>
      <c r="AC1078" s="183"/>
    </row>
    <row r="1079" spans="1:29" x14ac:dyDescent="0.2">
      <c r="A1079" s="1422"/>
      <c r="B1079" s="2522"/>
      <c r="C1079" s="2432"/>
      <c r="D1079" s="3347"/>
      <c r="E1079" s="2421"/>
      <c r="F1079" s="2421"/>
      <c r="G1079" s="2421"/>
      <c r="H1079" s="2421"/>
      <c r="I1079" s="2421"/>
      <c r="J1079" s="2432"/>
      <c r="K1079" s="40">
        <v>300</v>
      </c>
      <c r="L1079" s="3295"/>
      <c r="M1079" s="3335" t="s">
        <v>303</v>
      </c>
      <c r="N1079" s="3336"/>
      <c r="O1079" s="37"/>
      <c r="P1079" s="38"/>
      <c r="Q1079" s="40">
        <f>$K1079</f>
        <v>300</v>
      </c>
      <c r="R1079" s="38"/>
      <c r="S1079" s="38"/>
      <c r="T1079" s="38"/>
      <c r="U1079" s="38"/>
      <c r="V1079" s="38"/>
      <c r="W1079" s="38"/>
      <c r="X1079" s="38"/>
      <c r="Y1079" s="38"/>
      <c r="Z1079" s="54"/>
      <c r="AA1079" s="966">
        <f t="shared" si="136"/>
        <v>300</v>
      </c>
      <c r="AB1079" s="35"/>
      <c r="AC1079" s="183"/>
    </row>
    <row r="1080" spans="1:29" x14ac:dyDescent="0.2">
      <c r="A1080" s="1422"/>
      <c r="B1080" s="2522"/>
      <c r="C1080" s="2432"/>
      <c r="D1080" s="3347"/>
      <c r="E1080" s="2421"/>
      <c r="F1080" s="2421"/>
      <c r="G1080" s="2421"/>
      <c r="H1080" s="2421"/>
      <c r="I1080" s="2421"/>
      <c r="J1080" s="2432"/>
      <c r="K1080" s="40">
        <v>1000</v>
      </c>
      <c r="L1080" s="3295"/>
      <c r="M1080" s="3335" t="s">
        <v>393</v>
      </c>
      <c r="N1080" s="3336"/>
      <c r="O1080" s="47"/>
      <c r="P1080" s="47"/>
      <c r="Q1080" s="47"/>
      <c r="R1080" s="40">
        <f>$K1080/2</f>
        <v>500</v>
      </c>
      <c r="S1080" s="47"/>
      <c r="T1080" s="47"/>
      <c r="U1080" s="47"/>
      <c r="V1080" s="40">
        <f>$K1080/2</f>
        <v>500</v>
      </c>
      <c r="W1080" s="47"/>
      <c r="X1080" s="47"/>
      <c r="Y1080" s="47"/>
      <c r="Z1080" s="55"/>
      <c r="AA1080" s="966">
        <f t="shared" si="136"/>
        <v>1000</v>
      </c>
      <c r="AB1080" s="35"/>
      <c r="AC1080" s="183"/>
    </row>
    <row r="1081" spans="1:29" x14ac:dyDescent="0.2">
      <c r="A1081" s="1422"/>
      <c r="B1081" s="2522"/>
      <c r="C1081" s="2432"/>
      <c r="D1081" s="3347"/>
      <c r="E1081" s="2421"/>
      <c r="F1081" s="2421"/>
      <c r="G1081" s="2421"/>
      <c r="H1081" s="2421"/>
      <c r="I1081" s="2421"/>
      <c r="J1081" s="2432"/>
      <c r="K1081" s="40">
        <v>1000</v>
      </c>
      <c r="L1081" s="3295"/>
      <c r="M1081" s="3335" t="s">
        <v>343</v>
      </c>
      <c r="N1081" s="3336"/>
      <c r="O1081" s="47"/>
      <c r="P1081" s="47"/>
      <c r="Q1081" s="47"/>
      <c r="R1081" s="47">
        <f>$K1081*(3/20)</f>
        <v>150</v>
      </c>
      <c r="S1081" s="47">
        <f t="shared" ref="S1081" si="139">$K1081*(3/20)</f>
        <v>150</v>
      </c>
      <c r="T1081" s="47">
        <f>$K1081*(1/20)</f>
        <v>50</v>
      </c>
      <c r="U1081" s="47">
        <f>$K1081*(3/20)</f>
        <v>150</v>
      </c>
      <c r="V1081" s="47">
        <f>$K1081*(4/20)</f>
        <v>200</v>
      </c>
      <c r="W1081" s="47">
        <f>$K1081*(2/20)</f>
        <v>100</v>
      </c>
      <c r="X1081" s="47">
        <f>$K1081*(1/20)</f>
        <v>50</v>
      </c>
      <c r="Y1081" s="47">
        <f>$K1081*(2/20)</f>
        <v>100</v>
      </c>
      <c r="Z1081" s="55">
        <f>$K1081*(1/20)</f>
        <v>50</v>
      </c>
      <c r="AA1081" s="966">
        <f t="shared" si="136"/>
        <v>1000</v>
      </c>
      <c r="AB1081" s="35"/>
      <c r="AC1081" s="183"/>
    </row>
    <row r="1082" spans="1:29" x14ac:dyDescent="0.2">
      <c r="A1082" s="1422"/>
      <c r="B1082" s="2522"/>
      <c r="C1082" s="2432"/>
      <c r="D1082" s="3347"/>
      <c r="E1082" s="2421"/>
      <c r="F1082" s="2421"/>
      <c r="G1082" s="2421"/>
      <c r="H1082" s="2421"/>
      <c r="I1082" s="2421"/>
      <c r="J1082" s="2432"/>
      <c r="K1082" s="40">
        <v>24389</v>
      </c>
      <c r="L1082" s="3295"/>
      <c r="M1082" s="3335" t="s">
        <v>311</v>
      </c>
      <c r="N1082" s="3336"/>
      <c r="O1082" s="37">
        <f t="shared" ref="O1082:Z1083" si="140">$K1082/12</f>
        <v>2032.4166666666667</v>
      </c>
      <c r="P1082" s="37">
        <f t="shared" si="140"/>
        <v>2032.4166666666667</v>
      </c>
      <c r="Q1082" s="37">
        <f t="shared" si="140"/>
        <v>2032.4166666666667</v>
      </c>
      <c r="R1082" s="37">
        <f t="shared" si="140"/>
        <v>2032.4166666666667</v>
      </c>
      <c r="S1082" s="37">
        <f t="shared" si="140"/>
        <v>2032.4166666666667</v>
      </c>
      <c r="T1082" s="37">
        <f t="shared" si="140"/>
        <v>2032.4166666666667</v>
      </c>
      <c r="U1082" s="37">
        <f t="shared" si="140"/>
        <v>2032.4166666666667</v>
      </c>
      <c r="V1082" s="37">
        <f t="shared" si="140"/>
        <v>2032.4166666666667</v>
      </c>
      <c r="W1082" s="37">
        <f t="shared" si="140"/>
        <v>2032.4166666666667</v>
      </c>
      <c r="X1082" s="37">
        <f t="shared" si="140"/>
        <v>2032.4166666666667</v>
      </c>
      <c r="Y1082" s="37">
        <f t="shared" si="140"/>
        <v>2032.4166666666667</v>
      </c>
      <c r="Z1082" s="53">
        <f t="shared" si="140"/>
        <v>2032.4166666666667</v>
      </c>
      <c r="AA1082" s="966">
        <f t="shared" si="136"/>
        <v>24389.000000000004</v>
      </c>
      <c r="AB1082" s="35"/>
      <c r="AC1082" s="183"/>
    </row>
    <row r="1083" spans="1:29" x14ac:dyDescent="0.2">
      <c r="A1083" s="1422"/>
      <c r="B1083" s="2522"/>
      <c r="C1083" s="2437"/>
      <c r="D1083" s="3347"/>
      <c r="E1083" s="2421"/>
      <c r="F1083" s="2421"/>
      <c r="G1083" s="2421"/>
      <c r="H1083" s="2421"/>
      <c r="I1083" s="2421"/>
      <c r="J1083" s="2437"/>
      <c r="K1083" s="40">
        <v>280596</v>
      </c>
      <c r="L1083" s="3296"/>
      <c r="M1083" s="3335" t="s">
        <v>310</v>
      </c>
      <c r="N1083" s="3336"/>
      <c r="O1083" s="37">
        <f t="shared" si="140"/>
        <v>23383</v>
      </c>
      <c r="P1083" s="37">
        <f t="shared" si="140"/>
        <v>23383</v>
      </c>
      <c r="Q1083" s="37">
        <f t="shared" si="140"/>
        <v>23383</v>
      </c>
      <c r="R1083" s="37">
        <f t="shared" si="140"/>
        <v>23383</v>
      </c>
      <c r="S1083" s="37">
        <f t="shared" si="140"/>
        <v>23383</v>
      </c>
      <c r="T1083" s="37">
        <f t="shared" si="140"/>
        <v>23383</v>
      </c>
      <c r="U1083" s="37">
        <f t="shared" si="140"/>
        <v>23383</v>
      </c>
      <c r="V1083" s="37">
        <f t="shared" si="140"/>
        <v>23383</v>
      </c>
      <c r="W1083" s="37">
        <f t="shared" si="140"/>
        <v>23383</v>
      </c>
      <c r="X1083" s="37">
        <f t="shared" si="140"/>
        <v>23383</v>
      </c>
      <c r="Y1083" s="37">
        <f t="shared" si="140"/>
        <v>23383</v>
      </c>
      <c r="Z1083" s="53">
        <f t="shared" si="140"/>
        <v>23383</v>
      </c>
      <c r="AA1083" s="966">
        <f t="shared" si="136"/>
        <v>280596</v>
      </c>
      <c r="AB1083" s="35"/>
      <c r="AC1083" s="183"/>
    </row>
    <row r="1084" spans="1:29" ht="22.5" customHeight="1" x14ac:dyDescent="0.2">
      <c r="A1084" s="1422"/>
      <c r="B1084" s="1433" t="s">
        <v>276</v>
      </c>
      <c r="C1084" s="108"/>
      <c r="D1084" s="35">
        <v>3033304</v>
      </c>
      <c r="E1084" s="192" t="s">
        <v>504</v>
      </c>
      <c r="F1084" s="193"/>
      <c r="G1084" s="194"/>
      <c r="H1084" s="35"/>
      <c r="I1084" s="35"/>
      <c r="J1084" s="35"/>
      <c r="K1084" s="60"/>
      <c r="L1084" s="60"/>
      <c r="M1084" s="181"/>
      <c r="N1084" s="181"/>
      <c r="O1084" s="60"/>
      <c r="P1084" s="60"/>
      <c r="Q1084" s="60"/>
      <c r="R1084" s="60"/>
      <c r="S1084" s="2922" t="s">
        <v>15</v>
      </c>
      <c r="T1084" s="2922"/>
      <c r="U1084" s="2922"/>
      <c r="V1084" s="2922"/>
      <c r="W1084" s="2922"/>
      <c r="X1084" s="2922"/>
      <c r="Y1084" s="2922"/>
      <c r="Z1084" s="3019" t="s">
        <v>16</v>
      </c>
      <c r="AA1084" s="3020"/>
      <c r="AB1084" s="35"/>
      <c r="AC1084" s="183"/>
    </row>
    <row r="1085" spans="1:29" ht="24.75" customHeight="1" x14ac:dyDescent="0.2">
      <c r="A1085" s="1422"/>
      <c r="B1085" s="1433"/>
      <c r="C1085" s="108"/>
      <c r="D1085" s="35"/>
      <c r="E1085" s="192"/>
      <c r="F1085" s="193"/>
      <c r="G1085" s="194"/>
      <c r="H1085" s="35"/>
      <c r="I1085" s="35"/>
      <c r="J1085" s="35"/>
      <c r="K1085" s="60"/>
      <c r="L1085" s="60"/>
      <c r="M1085" s="181"/>
      <c r="N1085" s="181"/>
      <c r="O1085" s="60"/>
      <c r="P1085" s="60"/>
      <c r="Q1085" s="60"/>
      <c r="R1085" s="60"/>
      <c r="S1085" s="3233" t="s">
        <v>505</v>
      </c>
      <c r="T1085" s="3233"/>
      <c r="U1085" s="3233"/>
      <c r="V1085" s="3233"/>
      <c r="W1085" s="3233"/>
      <c r="X1085" s="3233"/>
      <c r="Y1085" s="3233"/>
      <c r="Z1085" s="2922" t="s">
        <v>506</v>
      </c>
      <c r="AA1085" s="2922"/>
      <c r="AB1085" s="35"/>
      <c r="AC1085" s="183"/>
    </row>
    <row r="1086" spans="1:29" x14ac:dyDescent="0.2">
      <c r="A1086" s="1422"/>
      <c r="B1086" s="2999" t="s">
        <v>278</v>
      </c>
      <c r="C1086" s="2988" t="s">
        <v>21</v>
      </c>
      <c r="D1086" s="2847" t="s">
        <v>22</v>
      </c>
      <c r="E1086" s="2847" t="s">
        <v>23</v>
      </c>
      <c r="F1086" s="2847" t="s">
        <v>24</v>
      </c>
      <c r="G1086" s="2847" t="s">
        <v>25</v>
      </c>
      <c r="H1086" s="2847" t="s">
        <v>26</v>
      </c>
      <c r="I1086" s="2847" t="s">
        <v>27</v>
      </c>
      <c r="J1086" s="3206" t="s">
        <v>28</v>
      </c>
      <c r="K1086" s="3301"/>
      <c r="L1086" s="2847" t="s">
        <v>279</v>
      </c>
      <c r="M1086" s="3273" t="s">
        <v>280</v>
      </c>
      <c r="N1086" s="3274"/>
      <c r="O1086" s="2847" t="s">
        <v>281</v>
      </c>
      <c r="P1086" s="2847"/>
      <c r="Q1086" s="2847"/>
      <c r="R1086" s="2847"/>
      <c r="S1086" s="2847"/>
      <c r="T1086" s="2847"/>
      <c r="U1086" s="2847"/>
      <c r="V1086" s="2847"/>
      <c r="W1086" s="2847"/>
      <c r="X1086" s="2847"/>
      <c r="Y1086" s="2847"/>
      <c r="Z1086" s="2847"/>
      <c r="AA1086" s="3217" t="s">
        <v>32</v>
      </c>
      <c r="AB1086" s="35"/>
      <c r="AC1086" s="183"/>
    </row>
    <row r="1087" spans="1:29" x14ac:dyDescent="0.2">
      <c r="A1087" s="1422"/>
      <c r="B1087" s="2999"/>
      <c r="C1087" s="3186"/>
      <c r="D1087" s="2847"/>
      <c r="E1087" s="2847"/>
      <c r="F1087" s="2847"/>
      <c r="G1087" s="2847"/>
      <c r="H1087" s="2847"/>
      <c r="I1087" s="2847"/>
      <c r="J1087" s="2988" t="s">
        <v>33</v>
      </c>
      <c r="K1087" s="2847" t="s">
        <v>282</v>
      </c>
      <c r="L1087" s="2847"/>
      <c r="M1087" s="3275"/>
      <c r="N1087" s="3276"/>
      <c r="O1087" s="1009" t="s">
        <v>283</v>
      </c>
      <c r="P1087" s="1009" t="s">
        <v>284</v>
      </c>
      <c r="Q1087" s="1009" t="s">
        <v>285</v>
      </c>
      <c r="R1087" s="1009" t="s">
        <v>88</v>
      </c>
      <c r="S1087" s="1009" t="s">
        <v>89</v>
      </c>
      <c r="T1087" s="1009" t="s">
        <v>90</v>
      </c>
      <c r="U1087" s="1009" t="s">
        <v>91</v>
      </c>
      <c r="V1087" s="1009" t="s">
        <v>92</v>
      </c>
      <c r="W1087" s="1009" t="s">
        <v>286</v>
      </c>
      <c r="X1087" s="1009" t="s">
        <v>93</v>
      </c>
      <c r="Y1087" s="1009" t="s">
        <v>94</v>
      </c>
      <c r="Z1087" s="1009" t="s">
        <v>95</v>
      </c>
      <c r="AA1087" s="3218"/>
      <c r="AB1087" s="35"/>
      <c r="AC1087" s="183"/>
    </row>
    <row r="1088" spans="1:29" x14ac:dyDescent="0.2">
      <c r="A1088" s="1422"/>
      <c r="B1088" s="2999"/>
      <c r="C1088" s="3186"/>
      <c r="D1088" s="2847"/>
      <c r="E1088" s="2847"/>
      <c r="F1088" s="2847"/>
      <c r="G1088" s="2847"/>
      <c r="H1088" s="2847"/>
      <c r="I1088" s="2847"/>
      <c r="J1088" s="3186"/>
      <c r="K1088" s="2847"/>
      <c r="L1088" s="2847"/>
      <c r="M1088" s="3271" t="s">
        <v>287</v>
      </c>
      <c r="N1088" s="3272"/>
      <c r="O1088" s="1095">
        <v>894</v>
      </c>
      <c r="P1088" s="1095">
        <v>895</v>
      </c>
      <c r="Q1088" s="1095">
        <v>895</v>
      </c>
      <c r="R1088" s="1095">
        <v>895</v>
      </c>
      <c r="S1088" s="1095">
        <v>895</v>
      </c>
      <c r="T1088" s="1095">
        <v>895</v>
      </c>
      <c r="U1088" s="1095">
        <v>895</v>
      </c>
      <c r="V1088" s="1095">
        <v>895</v>
      </c>
      <c r="W1088" s="1095">
        <v>895</v>
      </c>
      <c r="X1088" s="1095">
        <v>895</v>
      </c>
      <c r="Y1088" s="1095">
        <v>895</v>
      </c>
      <c r="Z1088" s="1144">
        <v>895</v>
      </c>
      <c r="AA1088" s="1196">
        <f>SUM(O1088:Z1088)</f>
        <v>10739</v>
      </c>
      <c r="AB1088" s="35"/>
      <c r="AC1088" s="183"/>
    </row>
    <row r="1089" spans="1:29" x14ac:dyDescent="0.2">
      <c r="A1089" s="1422"/>
      <c r="B1089" s="2999"/>
      <c r="C1089" s="2989"/>
      <c r="D1089" s="2847"/>
      <c r="E1089" s="2847"/>
      <c r="F1089" s="2847"/>
      <c r="G1089" s="2847"/>
      <c r="H1089" s="2847"/>
      <c r="I1089" s="2847"/>
      <c r="J1089" s="2989"/>
      <c r="K1089" s="2847"/>
      <c r="L1089" s="2847"/>
      <c r="M1089" s="3271" t="s">
        <v>34</v>
      </c>
      <c r="N1089" s="3272"/>
      <c r="O1089" s="36">
        <f>SUM(O1090:O1114)</f>
        <v>154523.66666666669</v>
      </c>
      <c r="P1089" s="36">
        <f t="shared" ref="P1089:Z1089" si="141">SUM(P1090:P1114)</f>
        <v>135923.66666666669</v>
      </c>
      <c r="Q1089" s="36">
        <f t="shared" si="141"/>
        <v>141923.66666666669</v>
      </c>
      <c r="R1089" s="36">
        <f t="shared" si="141"/>
        <v>141602.53333333333</v>
      </c>
      <c r="S1089" s="36">
        <f t="shared" si="141"/>
        <v>171423.66666666669</v>
      </c>
      <c r="T1089" s="36">
        <f t="shared" si="141"/>
        <v>144185.86666666667</v>
      </c>
      <c r="U1089" s="36">
        <f t="shared" si="141"/>
        <v>150154.33333333334</v>
      </c>
      <c r="V1089" s="36">
        <f t="shared" si="141"/>
        <v>139435.86666666667</v>
      </c>
      <c r="W1089" s="36">
        <f t="shared" si="141"/>
        <v>138423.66666666669</v>
      </c>
      <c r="X1089" s="36">
        <f t="shared" si="141"/>
        <v>139352.53333333333</v>
      </c>
      <c r="Y1089" s="36">
        <f t="shared" si="141"/>
        <v>135923.66666666669</v>
      </c>
      <c r="Z1089" s="52">
        <f t="shared" si="141"/>
        <v>153249.8666666667</v>
      </c>
      <c r="AA1089" s="1196">
        <f t="shared" ref="AA1089:AA1114" si="142">SUM(O1089:Z1089)</f>
        <v>1746123.0000000002</v>
      </c>
      <c r="AB1089" s="35"/>
      <c r="AC1089" s="183"/>
    </row>
    <row r="1090" spans="1:29" ht="11.25" customHeight="1" x14ac:dyDescent="0.2">
      <c r="A1090" s="1422"/>
      <c r="B1090" s="2522">
        <v>5000052</v>
      </c>
      <c r="C1090" s="2431" t="s">
        <v>3064</v>
      </c>
      <c r="D1090" s="2421">
        <v>37</v>
      </c>
      <c r="E1090" s="2421" t="s">
        <v>407</v>
      </c>
      <c r="F1090" s="2421" t="s">
        <v>386</v>
      </c>
      <c r="G1090" s="2421" t="s">
        <v>387</v>
      </c>
      <c r="H1090" s="2421" t="s">
        <v>337</v>
      </c>
      <c r="I1090" s="2421" t="s">
        <v>507</v>
      </c>
      <c r="J1090" s="2431">
        <v>10739</v>
      </c>
      <c r="K1090" s="40">
        <v>21185</v>
      </c>
      <c r="L1090" s="3294" t="s">
        <v>446</v>
      </c>
      <c r="M1090" s="3335" t="s">
        <v>319</v>
      </c>
      <c r="N1090" s="3336"/>
      <c r="O1090" s="37">
        <f t="shared" ref="O1090:Z1102" si="143">$K1090/12</f>
        <v>1765.4166666666667</v>
      </c>
      <c r="P1090" s="37">
        <f t="shared" si="143"/>
        <v>1765.4166666666667</v>
      </c>
      <c r="Q1090" s="37">
        <f t="shared" si="143"/>
        <v>1765.4166666666667</v>
      </c>
      <c r="R1090" s="37">
        <f t="shared" si="143"/>
        <v>1765.4166666666667</v>
      </c>
      <c r="S1090" s="37">
        <f t="shared" si="143"/>
        <v>1765.4166666666667</v>
      </c>
      <c r="T1090" s="37">
        <f t="shared" si="143"/>
        <v>1765.4166666666667</v>
      </c>
      <c r="U1090" s="37">
        <f t="shared" si="143"/>
        <v>1765.4166666666667</v>
      </c>
      <c r="V1090" s="37">
        <f t="shared" si="143"/>
        <v>1765.4166666666667</v>
      </c>
      <c r="W1090" s="37">
        <f t="shared" si="143"/>
        <v>1765.4166666666667</v>
      </c>
      <c r="X1090" s="37">
        <f t="shared" si="143"/>
        <v>1765.4166666666667</v>
      </c>
      <c r="Y1090" s="37">
        <f t="shared" si="143"/>
        <v>1765.4166666666667</v>
      </c>
      <c r="Z1090" s="53">
        <f t="shared" si="143"/>
        <v>1765.4166666666667</v>
      </c>
      <c r="AA1090" s="966">
        <f t="shared" si="142"/>
        <v>21185</v>
      </c>
      <c r="AB1090" s="35"/>
      <c r="AC1090" s="183"/>
    </row>
    <row r="1091" spans="1:29" x14ac:dyDescent="0.2">
      <c r="A1091" s="1422"/>
      <c r="B1091" s="2522"/>
      <c r="C1091" s="2432"/>
      <c r="D1091" s="2421"/>
      <c r="E1091" s="2421"/>
      <c r="F1091" s="2421"/>
      <c r="G1091" s="2421"/>
      <c r="H1091" s="2421"/>
      <c r="I1091" s="2421"/>
      <c r="J1091" s="2432"/>
      <c r="K1091" s="40">
        <v>8409</v>
      </c>
      <c r="L1091" s="3295"/>
      <c r="M1091" s="3335" t="s">
        <v>320</v>
      </c>
      <c r="N1091" s="3336"/>
      <c r="O1091" s="37">
        <f t="shared" si="143"/>
        <v>700.75</v>
      </c>
      <c r="P1091" s="37">
        <f t="shared" si="143"/>
        <v>700.75</v>
      </c>
      <c r="Q1091" s="37">
        <f t="shared" si="143"/>
        <v>700.75</v>
      </c>
      <c r="R1091" s="37">
        <f t="shared" si="143"/>
        <v>700.75</v>
      </c>
      <c r="S1091" s="37">
        <f t="shared" si="143"/>
        <v>700.75</v>
      </c>
      <c r="T1091" s="37">
        <f t="shared" si="143"/>
        <v>700.75</v>
      </c>
      <c r="U1091" s="37">
        <f t="shared" si="143"/>
        <v>700.75</v>
      </c>
      <c r="V1091" s="37">
        <f t="shared" si="143"/>
        <v>700.75</v>
      </c>
      <c r="W1091" s="37">
        <f t="shared" si="143"/>
        <v>700.75</v>
      </c>
      <c r="X1091" s="37">
        <f t="shared" si="143"/>
        <v>700.75</v>
      </c>
      <c r="Y1091" s="37">
        <f t="shared" si="143"/>
        <v>700.75</v>
      </c>
      <c r="Z1091" s="53">
        <f t="shared" si="143"/>
        <v>700.75</v>
      </c>
      <c r="AA1091" s="966">
        <f t="shared" si="142"/>
        <v>8409</v>
      </c>
      <c r="AB1091" s="35"/>
      <c r="AC1091" s="183"/>
    </row>
    <row r="1092" spans="1:29" x14ac:dyDescent="0.2">
      <c r="A1092" s="1422"/>
      <c r="B1092" s="2522"/>
      <c r="C1092" s="2432"/>
      <c r="D1092" s="2421"/>
      <c r="E1092" s="2421"/>
      <c r="F1092" s="2421"/>
      <c r="G1092" s="2421"/>
      <c r="H1092" s="2421"/>
      <c r="I1092" s="2421"/>
      <c r="J1092" s="2432"/>
      <c r="K1092" s="40">
        <v>57720</v>
      </c>
      <c r="L1092" s="3295"/>
      <c r="M1092" s="3335" t="s">
        <v>409</v>
      </c>
      <c r="N1092" s="3336"/>
      <c r="O1092" s="37">
        <f t="shared" si="143"/>
        <v>4810</v>
      </c>
      <c r="P1092" s="37">
        <f t="shared" si="143"/>
        <v>4810</v>
      </c>
      <c r="Q1092" s="37">
        <f t="shared" si="143"/>
        <v>4810</v>
      </c>
      <c r="R1092" s="37">
        <f t="shared" si="143"/>
        <v>4810</v>
      </c>
      <c r="S1092" s="37">
        <f t="shared" si="143"/>
        <v>4810</v>
      </c>
      <c r="T1092" s="37">
        <f t="shared" si="143"/>
        <v>4810</v>
      </c>
      <c r="U1092" s="37">
        <f t="shared" si="143"/>
        <v>4810</v>
      </c>
      <c r="V1092" s="37">
        <f t="shared" si="143"/>
        <v>4810</v>
      </c>
      <c r="W1092" s="37">
        <f t="shared" si="143"/>
        <v>4810</v>
      </c>
      <c r="X1092" s="37">
        <f t="shared" si="143"/>
        <v>4810</v>
      </c>
      <c r="Y1092" s="37">
        <f t="shared" si="143"/>
        <v>4810</v>
      </c>
      <c r="Z1092" s="53">
        <f t="shared" si="143"/>
        <v>4810</v>
      </c>
      <c r="AA1092" s="966">
        <f t="shared" si="142"/>
        <v>57720</v>
      </c>
      <c r="AB1092" s="35"/>
      <c r="AC1092" s="183"/>
    </row>
    <row r="1093" spans="1:29" x14ac:dyDescent="0.2">
      <c r="A1093" s="1422"/>
      <c r="B1093" s="2522"/>
      <c r="C1093" s="2432"/>
      <c r="D1093" s="2421"/>
      <c r="E1093" s="2421"/>
      <c r="F1093" s="2421"/>
      <c r="G1093" s="2421"/>
      <c r="H1093" s="2421"/>
      <c r="I1093" s="2421"/>
      <c r="J1093" s="2432"/>
      <c r="K1093" s="40">
        <v>166180</v>
      </c>
      <c r="L1093" s="3295"/>
      <c r="M1093" s="3335" t="s">
        <v>293</v>
      </c>
      <c r="N1093" s="3336"/>
      <c r="O1093" s="37">
        <f t="shared" si="143"/>
        <v>13848.333333333334</v>
      </c>
      <c r="P1093" s="37">
        <f t="shared" si="143"/>
        <v>13848.333333333334</v>
      </c>
      <c r="Q1093" s="37">
        <f t="shared" si="143"/>
        <v>13848.333333333334</v>
      </c>
      <c r="R1093" s="37">
        <f t="shared" si="143"/>
        <v>13848.333333333334</v>
      </c>
      <c r="S1093" s="37">
        <f t="shared" si="143"/>
        <v>13848.333333333334</v>
      </c>
      <c r="T1093" s="37">
        <f t="shared" si="143"/>
        <v>13848.333333333334</v>
      </c>
      <c r="U1093" s="37">
        <f t="shared" si="143"/>
        <v>13848.333333333334</v>
      </c>
      <c r="V1093" s="37">
        <f t="shared" si="143"/>
        <v>13848.333333333334</v>
      </c>
      <c r="W1093" s="37">
        <f t="shared" si="143"/>
        <v>13848.333333333334</v>
      </c>
      <c r="X1093" s="37">
        <f t="shared" si="143"/>
        <v>13848.333333333334</v>
      </c>
      <c r="Y1093" s="37">
        <f t="shared" si="143"/>
        <v>13848.333333333334</v>
      </c>
      <c r="Z1093" s="53">
        <f t="shared" si="143"/>
        <v>13848.333333333334</v>
      </c>
      <c r="AA1093" s="966">
        <f t="shared" si="142"/>
        <v>166180</v>
      </c>
      <c r="AB1093" s="35"/>
      <c r="AC1093" s="183"/>
    </row>
    <row r="1094" spans="1:29" x14ac:dyDescent="0.2">
      <c r="A1094" s="1422"/>
      <c r="B1094" s="2522"/>
      <c r="C1094" s="2432"/>
      <c r="D1094" s="2421"/>
      <c r="E1094" s="2421"/>
      <c r="F1094" s="2421"/>
      <c r="G1094" s="2421"/>
      <c r="H1094" s="2421"/>
      <c r="I1094" s="2421"/>
      <c r="J1094" s="2432"/>
      <c r="K1094" s="40">
        <v>32800</v>
      </c>
      <c r="L1094" s="3295"/>
      <c r="M1094" s="3335" t="s">
        <v>321</v>
      </c>
      <c r="N1094" s="3336"/>
      <c r="O1094" s="37">
        <f t="shared" si="143"/>
        <v>2733.3333333333335</v>
      </c>
      <c r="P1094" s="37">
        <f t="shared" si="143"/>
        <v>2733.3333333333335</v>
      </c>
      <c r="Q1094" s="37">
        <f t="shared" si="143"/>
        <v>2733.3333333333335</v>
      </c>
      <c r="R1094" s="37">
        <f t="shared" si="143"/>
        <v>2733.3333333333335</v>
      </c>
      <c r="S1094" s="37">
        <f t="shared" si="143"/>
        <v>2733.3333333333335</v>
      </c>
      <c r="T1094" s="37">
        <f t="shared" si="143"/>
        <v>2733.3333333333335</v>
      </c>
      <c r="U1094" s="37">
        <f t="shared" si="143"/>
        <v>2733.3333333333335</v>
      </c>
      <c r="V1094" s="37">
        <f t="shared" si="143"/>
        <v>2733.3333333333335</v>
      </c>
      <c r="W1094" s="37">
        <f t="shared" si="143"/>
        <v>2733.3333333333335</v>
      </c>
      <c r="X1094" s="37">
        <f t="shared" si="143"/>
        <v>2733.3333333333335</v>
      </c>
      <c r="Y1094" s="37">
        <f t="shared" si="143"/>
        <v>2733.3333333333335</v>
      </c>
      <c r="Z1094" s="53">
        <f t="shared" si="143"/>
        <v>2733.3333333333335</v>
      </c>
      <c r="AA1094" s="966">
        <f t="shared" si="142"/>
        <v>32799.999999999993</v>
      </c>
      <c r="AB1094" s="35"/>
      <c r="AC1094" s="183"/>
    </row>
    <row r="1095" spans="1:29" x14ac:dyDescent="0.2">
      <c r="A1095" s="1422"/>
      <c r="B1095" s="2522"/>
      <c r="C1095" s="2432"/>
      <c r="D1095" s="2421"/>
      <c r="E1095" s="2421"/>
      <c r="F1095" s="2421"/>
      <c r="G1095" s="2421"/>
      <c r="H1095" s="2421"/>
      <c r="I1095" s="2421"/>
      <c r="J1095" s="2432"/>
      <c r="K1095" s="40">
        <v>694252</v>
      </c>
      <c r="L1095" s="3295"/>
      <c r="M1095" s="3335" t="s">
        <v>295</v>
      </c>
      <c r="N1095" s="3336"/>
      <c r="O1095" s="37">
        <f t="shared" si="143"/>
        <v>57854.333333333336</v>
      </c>
      <c r="P1095" s="37">
        <f t="shared" si="143"/>
        <v>57854.333333333336</v>
      </c>
      <c r="Q1095" s="37">
        <f t="shared" si="143"/>
        <v>57854.333333333336</v>
      </c>
      <c r="R1095" s="37">
        <f t="shared" si="143"/>
        <v>57854.333333333336</v>
      </c>
      <c r="S1095" s="37">
        <f t="shared" si="143"/>
        <v>57854.333333333336</v>
      </c>
      <c r="T1095" s="37">
        <f t="shared" si="143"/>
        <v>57854.333333333336</v>
      </c>
      <c r="U1095" s="37">
        <f t="shared" si="143"/>
        <v>57854.333333333336</v>
      </c>
      <c r="V1095" s="37">
        <f t="shared" si="143"/>
        <v>57854.333333333336</v>
      </c>
      <c r="W1095" s="37">
        <f t="shared" si="143"/>
        <v>57854.333333333336</v>
      </c>
      <c r="X1095" s="37">
        <f t="shared" si="143"/>
        <v>57854.333333333336</v>
      </c>
      <c r="Y1095" s="37">
        <f t="shared" si="143"/>
        <v>57854.333333333336</v>
      </c>
      <c r="Z1095" s="53">
        <f t="shared" si="143"/>
        <v>57854.333333333336</v>
      </c>
      <c r="AA1095" s="966">
        <f t="shared" si="142"/>
        <v>694252</v>
      </c>
      <c r="AB1095" s="35"/>
      <c r="AC1095" s="183"/>
    </row>
    <row r="1096" spans="1:29" x14ac:dyDescent="0.2">
      <c r="A1096" s="1422"/>
      <c r="B1096" s="2522"/>
      <c r="C1096" s="2432"/>
      <c r="D1096" s="2421"/>
      <c r="E1096" s="2421"/>
      <c r="F1096" s="2421"/>
      <c r="G1096" s="2421"/>
      <c r="H1096" s="2421"/>
      <c r="I1096" s="2421"/>
      <c r="J1096" s="2432"/>
      <c r="K1096" s="40">
        <v>20784</v>
      </c>
      <c r="L1096" s="3295"/>
      <c r="M1096" s="3335" t="s">
        <v>332</v>
      </c>
      <c r="N1096" s="3336"/>
      <c r="O1096" s="37">
        <f t="shared" si="143"/>
        <v>1732</v>
      </c>
      <c r="P1096" s="37">
        <f t="shared" si="143"/>
        <v>1732</v>
      </c>
      <c r="Q1096" s="37">
        <f t="shared" si="143"/>
        <v>1732</v>
      </c>
      <c r="R1096" s="37">
        <f t="shared" si="143"/>
        <v>1732</v>
      </c>
      <c r="S1096" s="37">
        <f t="shared" si="143"/>
        <v>1732</v>
      </c>
      <c r="T1096" s="37">
        <f t="shared" si="143"/>
        <v>1732</v>
      </c>
      <c r="U1096" s="37">
        <f t="shared" si="143"/>
        <v>1732</v>
      </c>
      <c r="V1096" s="37">
        <f t="shared" si="143"/>
        <v>1732</v>
      </c>
      <c r="W1096" s="37">
        <f t="shared" si="143"/>
        <v>1732</v>
      </c>
      <c r="X1096" s="37">
        <f t="shared" si="143"/>
        <v>1732</v>
      </c>
      <c r="Y1096" s="37">
        <f t="shared" si="143"/>
        <v>1732</v>
      </c>
      <c r="Z1096" s="53">
        <f t="shared" si="143"/>
        <v>1732</v>
      </c>
      <c r="AA1096" s="966">
        <f t="shared" si="142"/>
        <v>20784</v>
      </c>
      <c r="AB1096" s="35"/>
      <c r="AC1096" s="183"/>
    </row>
    <row r="1097" spans="1:29" x14ac:dyDescent="0.2">
      <c r="A1097" s="1422"/>
      <c r="B1097" s="2522"/>
      <c r="C1097" s="2432"/>
      <c r="D1097" s="2421"/>
      <c r="E1097" s="2421"/>
      <c r="F1097" s="2421"/>
      <c r="G1097" s="2421"/>
      <c r="H1097" s="2421"/>
      <c r="I1097" s="2421"/>
      <c r="J1097" s="2432"/>
      <c r="K1097" s="40">
        <v>206688</v>
      </c>
      <c r="L1097" s="3295"/>
      <c r="M1097" s="3335" t="s">
        <v>296</v>
      </c>
      <c r="N1097" s="3336"/>
      <c r="O1097" s="37">
        <f t="shared" si="143"/>
        <v>17224</v>
      </c>
      <c r="P1097" s="37">
        <f t="shared" si="143"/>
        <v>17224</v>
      </c>
      <c r="Q1097" s="37">
        <f t="shared" si="143"/>
        <v>17224</v>
      </c>
      <c r="R1097" s="37">
        <f t="shared" si="143"/>
        <v>17224</v>
      </c>
      <c r="S1097" s="37">
        <f t="shared" si="143"/>
        <v>17224</v>
      </c>
      <c r="T1097" s="37">
        <f t="shared" si="143"/>
        <v>17224</v>
      </c>
      <c r="U1097" s="37">
        <f t="shared" si="143"/>
        <v>17224</v>
      </c>
      <c r="V1097" s="37">
        <f t="shared" si="143"/>
        <v>17224</v>
      </c>
      <c r="W1097" s="37">
        <f t="shared" si="143"/>
        <v>17224</v>
      </c>
      <c r="X1097" s="37">
        <f t="shared" si="143"/>
        <v>17224</v>
      </c>
      <c r="Y1097" s="37">
        <f t="shared" si="143"/>
        <v>17224</v>
      </c>
      <c r="Z1097" s="53">
        <f t="shared" si="143"/>
        <v>17224</v>
      </c>
      <c r="AA1097" s="966">
        <f t="shared" si="142"/>
        <v>206688</v>
      </c>
      <c r="AB1097" s="35"/>
      <c r="AC1097" s="183"/>
    </row>
    <row r="1098" spans="1:29" x14ac:dyDescent="0.2">
      <c r="A1098" s="1422"/>
      <c r="B1098" s="2522"/>
      <c r="C1098" s="2432"/>
      <c r="D1098" s="2421"/>
      <c r="E1098" s="2421"/>
      <c r="F1098" s="2421"/>
      <c r="G1098" s="2421"/>
      <c r="H1098" s="2421"/>
      <c r="I1098" s="2421"/>
      <c r="J1098" s="2432"/>
      <c r="K1098" s="40">
        <v>76992</v>
      </c>
      <c r="L1098" s="3295"/>
      <c r="M1098" s="3335" t="s">
        <v>297</v>
      </c>
      <c r="N1098" s="3336"/>
      <c r="O1098" s="37">
        <f t="shared" si="143"/>
        <v>6416</v>
      </c>
      <c r="P1098" s="37">
        <f t="shared" si="143"/>
        <v>6416</v>
      </c>
      <c r="Q1098" s="37">
        <f t="shared" si="143"/>
        <v>6416</v>
      </c>
      <c r="R1098" s="37">
        <f t="shared" si="143"/>
        <v>6416</v>
      </c>
      <c r="S1098" s="37">
        <f t="shared" si="143"/>
        <v>6416</v>
      </c>
      <c r="T1098" s="37">
        <f t="shared" si="143"/>
        <v>6416</v>
      </c>
      <c r="U1098" s="37">
        <f t="shared" si="143"/>
        <v>6416</v>
      </c>
      <c r="V1098" s="37">
        <f t="shared" si="143"/>
        <v>6416</v>
      </c>
      <c r="W1098" s="37">
        <f t="shared" si="143"/>
        <v>6416</v>
      </c>
      <c r="X1098" s="37">
        <f t="shared" si="143"/>
        <v>6416</v>
      </c>
      <c r="Y1098" s="37">
        <f t="shared" si="143"/>
        <v>6416</v>
      </c>
      <c r="Z1098" s="53">
        <f t="shared" si="143"/>
        <v>6416</v>
      </c>
      <c r="AA1098" s="966">
        <f t="shared" si="142"/>
        <v>76992</v>
      </c>
      <c r="AB1098" s="35"/>
      <c r="AC1098" s="183"/>
    </row>
    <row r="1099" spans="1:29" x14ac:dyDescent="0.2">
      <c r="A1099" s="1422"/>
      <c r="B1099" s="2522"/>
      <c r="C1099" s="2432"/>
      <c r="D1099" s="2421"/>
      <c r="E1099" s="2421"/>
      <c r="F1099" s="2421"/>
      <c r="G1099" s="2421"/>
      <c r="H1099" s="2421"/>
      <c r="I1099" s="2421"/>
      <c r="J1099" s="2432"/>
      <c r="K1099" s="40">
        <v>28128</v>
      </c>
      <c r="L1099" s="3295"/>
      <c r="M1099" s="3335" t="s">
        <v>298</v>
      </c>
      <c r="N1099" s="3336"/>
      <c r="O1099" s="37"/>
      <c r="P1099" s="38"/>
      <c r="Q1099" s="38"/>
      <c r="R1099" s="38"/>
      <c r="S1099" s="38"/>
      <c r="T1099" s="38"/>
      <c r="U1099" s="37">
        <f>$K1099/2</f>
        <v>14064</v>
      </c>
      <c r="V1099" s="38"/>
      <c r="W1099" s="38"/>
      <c r="X1099" s="38"/>
      <c r="Y1099" s="38"/>
      <c r="Z1099" s="53">
        <f>$K1099/2</f>
        <v>14064</v>
      </c>
      <c r="AA1099" s="966">
        <f t="shared" si="142"/>
        <v>28128</v>
      </c>
      <c r="AB1099" s="35"/>
      <c r="AC1099" s="183"/>
    </row>
    <row r="1100" spans="1:29" x14ac:dyDescent="0.2">
      <c r="A1100" s="1422"/>
      <c r="B1100" s="2522"/>
      <c r="C1100" s="2432"/>
      <c r="D1100" s="2421"/>
      <c r="E1100" s="2421"/>
      <c r="F1100" s="2421"/>
      <c r="G1100" s="2421"/>
      <c r="H1100" s="2421"/>
      <c r="I1100" s="2421"/>
      <c r="J1100" s="2432"/>
      <c r="K1100" s="40">
        <v>18600</v>
      </c>
      <c r="L1100" s="3295"/>
      <c r="M1100" s="3335" t="s">
        <v>299</v>
      </c>
      <c r="N1100" s="3336"/>
      <c r="O1100" s="37">
        <f>$K1100</f>
        <v>18600</v>
      </c>
      <c r="P1100" s="38"/>
      <c r="Q1100" s="37"/>
      <c r="R1100" s="38"/>
      <c r="S1100" s="38"/>
      <c r="T1100" s="38"/>
      <c r="U1100" s="38"/>
      <c r="V1100" s="38"/>
      <c r="W1100" s="38"/>
      <c r="X1100" s="38"/>
      <c r="Y1100" s="38"/>
      <c r="Z1100" s="54"/>
      <c r="AA1100" s="966">
        <f t="shared" si="142"/>
        <v>18600</v>
      </c>
      <c r="AB1100" s="35"/>
      <c r="AC1100" s="183"/>
    </row>
    <row r="1101" spans="1:29" x14ac:dyDescent="0.2">
      <c r="A1101" s="1422"/>
      <c r="B1101" s="2522"/>
      <c r="C1101" s="2432"/>
      <c r="D1101" s="2421"/>
      <c r="E1101" s="2421"/>
      <c r="F1101" s="2421"/>
      <c r="G1101" s="2421"/>
      <c r="H1101" s="2421"/>
      <c r="I1101" s="2421"/>
      <c r="J1101" s="2432"/>
      <c r="K1101" s="40">
        <v>64842</v>
      </c>
      <c r="L1101" s="3295"/>
      <c r="M1101" s="3335" t="s">
        <v>300</v>
      </c>
      <c r="N1101" s="3336"/>
      <c r="O1101" s="37">
        <f t="shared" si="143"/>
        <v>5403.5</v>
      </c>
      <c r="P1101" s="37">
        <f t="shared" si="143"/>
        <v>5403.5</v>
      </c>
      <c r="Q1101" s="37">
        <f t="shared" si="143"/>
        <v>5403.5</v>
      </c>
      <c r="R1101" s="37">
        <f t="shared" si="143"/>
        <v>5403.5</v>
      </c>
      <c r="S1101" s="37">
        <f t="shared" si="143"/>
        <v>5403.5</v>
      </c>
      <c r="T1101" s="37">
        <f t="shared" si="143"/>
        <v>5403.5</v>
      </c>
      <c r="U1101" s="37">
        <f t="shared" si="143"/>
        <v>5403.5</v>
      </c>
      <c r="V1101" s="37">
        <f t="shared" si="143"/>
        <v>5403.5</v>
      </c>
      <c r="W1101" s="37">
        <f t="shared" si="143"/>
        <v>5403.5</v>
      </c>
      <c r="X1101" s="37">
        <f t="shared" si="143"/>
        <v>5403.5</v>
      </c>
      <c r="Y1101" s="37">
        <f t="shared" si="143"/>
        <v>5403.5</v>
      </c>
      <c r="Z1101" s="53">
        <f t="shared" si="143"/>
        <v>5403.5</v>
      </c>
      <c r="AA1101" s="966">
        <f t="shared" si="142"/>
        <v>64842</v>
      </c>
      <c r="AB1101" s="35"/>
      <c r="AC1101" s="183"/>
    </row>
    <row r="1102" spans="1:29" x14ac:dyDescent="0.2">
      <c r="A1102" s="1422"/>
      <c r="B1102" s="2522"/>
      <c r="C1102" s="2432"/>
      <c r="D1102" s="2421"/>
      <c r="E1102" s="2421"/>
      <c r="F1102" s="2421"/>
      <c r="G1102" s="2421"/>
      <c r="H1102" s="2421"/>
      <c r="I1102" s="2421"/>
      <c r="J1102" s="2432"/>
      <c r="K1102" s="40">
        <v>2139</v>
      </c>
      <c r="L1102" s="3295"/>
      <c r="M1102" s="3335" t="s">
        <v>301</v>
      </c>
      <c r="N1102" s="3336"/>
      <c r="O1102" s="37">
        <f t="shared" si="143"/>
        <v>178.25</v>
      </c>
      <c r="P1102" s="37">
        <f t="shared" si="143"/>
        <v>178.25</v>
      </c>
      <c r="Q1102" s="37">
        <f t="shared" si="143"/>
        <v>178.25</v>
      </c>
      <c r="R1102" s="37">
        <f t="shared" si="143"/>
        <v>178.25</v>
      </c>
      <c r="S1102" s="37">
        <f t="shared" si="143"/>
        <v>178.25</v>
      </c>
      <c r="T1102" s="37">
        <f t="shared" si="143"/>
        <v>178.25</v>
      </c>
      <c r="U1102" s="37">
        <f t="shared" si="143"/>
        <v>178.25</v>
      </c>
      <c r="V1102" s="37">
        <f t="shared" si="143"/>
        <v>178.25</v>
      </c>
      <c r="W1102" s="37">
        <f t="shared" si="143"/>
        <v>178.25</v>
      </c>
      <c r="X1102" s="37">
        <f t="shared" si="143"/>
        <v>178.25</v>
      </c>
      <c r="Y1102" s="37">
        <f t="shared" si="143"/>
        <v>178.25</v>
      </c>
      <c r="Z1102" s="53">
        <f t="shared" si="143"/>
        <v>178.25</v>
      </c>
      <c r="AA1102" s="966">
        <f t="shared" si="142"/>
        <v>2139</v>
      </c>
      <c r="AB1102" s="35"/>
      <c r="AC1102" s="183"/>
    </row>
    <row r="1103" spans="1:29" x14ac:dyDescent="0.2">
      <c r="A1103" s="1422"/>
      <c r="B1103" s="2522"/>
      <c r="C1103" s="2432"/>
      <c r="D1103" s="2421"/>
      <c r="E1103" s="2421"/>
      <c r="F1103" s="2421"/>
      <c r="G1103" s="2421"/>
      <c r="H1103" s="2421"/>
      <c r="I1103" s="2421"/>
      <c r="J1103" s="2432"/>
      <c r="K1103" s="40">
        <v>33000</v>
      </c>
      <c r="L1103" s="3295"/>
      <c r="M1103" s="3335" t="s">
        <v>302</v>
      </c>
      <c r="N1103" s="3336"/>
      <c r="O1103" s="37"/>
      <c r="P1103" s="38"/>
      <c r="Q1103" s="38"/>
      <c r="R1103" s="38"/>
      <c r="S1103" s="41">
        <f>$K1103</f>
        <v>33000</v>
      </c>
      <c r="T1103" s="41"/>
      <c r="U1103" s="38"/>
      <c r="V1103" s="38"/>
      <c r="W1103" s="38"/>
      <c r="X1103" s="38"/>
      <c r="Y1103" s="38"/>
      <c r="Z1103" s="54"/>
      <c r="AA1103" s="966">
        <f t="shared" si="142"/>
        <v>33000</v>
      </c>
      <c r="AB1103" s="35"/>
      <c r="AC1103" s="183"/>
    </row>
    <row r="1104" spans="1:29" x14ac:dyDescent="0.2">
      <c r="A1104" s="1422"/>
      <c r="B1104" s="2522"/>
      <c r="C1104" s="2432"/>
      <c r="D1104" s="2421"/>
      <c r="E1104" s="2421"/>
      <c r="F1104" s="2421"/>
      <c r="G1104" s="2421"/>
      <c r="H1104" s="2421"/>
      <c r="I1104" s="2421"/>
      <c r="J1104" s="2432"/>
      <c r="K1104" s="40">
        <v>1000</v>
      </c>
      <c r="L1104" s="3295"/>
      <c r="M1104" s="3335" t="s">
        <v>303</v>
      </c>
      <c r="N1104" s="3336"/>
      <c r="O1104" s="37"/>
      <c r="P1104" s="38"/>
      <c r="Q1104" s="40">
        <f>$K1104</f>
        <v>1000</v>
      </c>
      <c r="R1104" s="38"/>
      <c r="S1104" s="38"/>
      <c r="T1104" s="38"/>
      <c r="U1104" s="38"/>
      <c r="V1104" s="38"/>
      <c r="W1104" s="38"/>
      <c r="X1104" s="38"/>
      <c r="Y1104" s="38"/>
      <c r="Z1104" s="54"/>
      <c r="AA1104" s="966">
        <f t="shared" si="142"/>
        <v>1000</v>
      </c>
      <c r="AB1104" s="35"/>
      <c r="AC1104" s="183"/>
    </row>
    <row r="1105" spans="1:29" x14ac:dyDescent="0.2">
      <c r="A1105" s="1422"/>
      <c r="B1105" s="2522"/>
      <c r="C1105" s="2432"/>
      <c r="D1105" s="2421"/>
      <c r="E1105" s="2421"/>
      <c r="F1105" s="2421"/>
      <c r="G1105" s="2421"/>
      <c r="H1105" s="2421"/>
      <c r="I1105" s="2421"/>
      <c r="J1105" s="2432"/>
      <c r="K1105" s="40">
        <v>1500</v>
      </c>
      <c r="L1105" s="3295"/>
      <c r="M1105" s="3335" t="s">
        <v>341</v>
      </c>
      <c r="N1105" s="3336"/>
      <c r="O1105" s="40">
        <f>$K1105/12</f>
        <v>125</v>
      </c>
      <c r="P1105" s="40">
        <f t="shared" ref="P1105:Y1105" si="144">$K1105/12</f>
        <v>125</v>
      </c>
      <c r="Q1105" s="40">
        <f t="shared" si="144"/>
        <v>125</v>
      </c>
      <c r="R1105" s="40">
        <f t="shared" si="144"/>
        <v>125</v>
      </c>
      <c r="S1105" s="40">
        <f t="shared" si="144"/>
        <v>125</v>
      </c>
      <c r="T1105" s="40">
        <f t="shared" si="144"/>
        <v>125</v>
      </c>
      <c r="U1105" s="40">
        <f t="shared" si="144"/>
        <v>125</v>
      </c>
      <c r="V1105" s="40">
        <f t="shared" si="144"/>
        <v>125</v>
      </c>
      <c r="W1105" s="40">
        <f t="shared" si="144"/>
        <v>125</v>
      </c>
      <c r="X1105" s="40">
        <f t="shared" si="144"/>
        <v>125</v>
      </c>
      <c r="Y1105" s="40">
        <f t="shared" si="144"/>
        <v>125</v>
      </c>
      <c r="Z1105" s="56">
        <f>$K1105/12</f>
        <v>125</v>
      </c>
      <c r="AA1105" s="966">
        <f t="shared" si="142"/>
        <v>1500</v>
      </c>
      <c r="AB1105" s="35"/>
      <c r="AC1105" s="183"/>
    </row>
    <row r="1106" spans="1:29" x14ac:dyDescent="0.2">
      <c r="A1106" s="1422"/>
      <c r="B1106" s="2522"/>
      <c r="C1106" s="2432"/>
      <c r="D1106" s="2421"/>
      <c r="E1106" s="2421"/>
      <c r="F1106" s="2421"/>
      <c r="G1106" s="2421"/>
      <c r="H1106" s="2421"/>
      <c r="I1106" s="2421"/>
      <c r="J1106" s="2432"/>
      <c r="K1106" s="40">
        <v>500</v>
      </c>
      <c r="L1106" s="3295"/>
      <c r="M1106" s="3335" t="s">
        <v>393</v>
      </c>
      <c r="N1106" s="3336"/>
      <c r="O1106" s="47"/>
      <c r="P1106" s="47"/>
      <c r="Q1106" s="47"/>
      <c r="R1106" s="40">
        <f>$K1106/2</f>
        <v>250</v>
      </c>
      <c r="S1106" s="47"/>
      <c r="T1106" s="47"/>
      <c r="U1106" s="47"/>
      <c r="V1106" s="40">
        <f>$K1106/2</f>
        <v>250</v>
      </c>
      <c r="W1106" s="47"/>
      <c r="X1106" s="47"/>
      <c r="Y1106" s="47"/>
      <c r="Z1106" s="55"/>
      <c r="AA1106" s="966">
        <f t="shared" si="142"/>
        <v>500</v>
      </c>
      <c r="AB1106" s="35"/>
      <c r="AC1106" s="183"/>
    </row>
    <row r="1107" spans="1:29" x14ac:dyDescent="0.2">
      <c r="A1107" s="1422"/>
      <c r="B1107" s="2522"/>
      <c r="C1107" s="2432"/>
      <c r="D1107" s="2421"/>
      <c r="E1107" s="2421"/>
      <c r="F1107" s="2421"/>
      <c r="G1107" s="2421"/>
      <c r="H1107" s="2421"/>
      <c r="I1107" s="2421"/>
      <c r="J1107" s="2432"/>
      <c r="K1107" s="40">
        <v>500</v>
      </c>
      <c r="L1107" s="3295"/>
      <c r="M1107" s="3335" t="s">
        <v>343</v>
      </c>
      <c r="N1107" s="3336"/>
      <c r="O1107" s="47"/>
      <c r="P1107" s="47"/>
      <c r="Q1107" s="47"/>
      <c r="R1107" s="47">
        <f>$K1107/3</f>
        <v>166.66666666666666</v>
      </c>
      <c r="S1107" s="47"/>
      <c r="T1107" s="47"/>
      <c r="U1107" s="47">
        <f>$K1107/3</f>
        <v>166.66666666666666</v>
      </c>
      <c r="V1107" s="47"/>
      <c r="W1107" s="47"/>
      <c r="X1107" s="47">
        <f>$K1107/3</f>
        <v>166.66666666666666</v>
      </c>
      <c r="Y1107" s="47"/>
      <c r="Z1107" s="55"/>
      <c r="AA1107" s="966">
        <f t="shared" si="142"/>
        <v>500</v>
      </c>
      <c r="AB1107" s="35"/>
      <c r="AC1107" s="183"/>
    </row>
    <row r="1108" spans="1:29" x14ac:dyDescent="0.2">
      <c r="A1108" s="1422"/>
      <c r="B1108" s="2522"/>
      <c r="C1108" s="2432"/>
      <c r="D1108" s="2421"/>
      <c r="E1108" s="2421"/>
      <c r="F1108" s="2421"/>
      <c r="G1108" s="2421"/>
      <c r="H1108" s="2421"/>
      <c r="I1108" s="2421"/>
      <c r="J1108" s="2432"/>
      <c r="K1108" s="40">
        <v>2000</v>
      </c>
      <c r="L1108" s="3295"/>
      <c r="M1108" s="3335" t="s">
        <v>304</v>
      </c>
      <c r="N1108" s="3336"/>
      <c r="O1108" s="37"/>
      <c r="P1108" s="38"/>
      <c r="Q1108" s="40"/>
      <c r="R1108" s="40">
        <f>$K1108</f>
        <v>2000</v>
      </c>
      <c r="S1108" s="38"/>
      <c r="T1108" s="38"/>
      <c r="U1108" s="38"/>
      <c r="V1108" s="38"/>
      <c r="W1108" s="38"/>
      <c r="X1108" s="38"/>
      <c r="Y1108" s="38"/>
      <c r="Z1108" s="54"/>
      <c r="AA1108" s="966">
        <f t="shared" si="142"/>
        <v>2000</v>
      </c>
      <c r="AB1108" s="35"/>
      <c r="AC1108" s="183"/>
    </row>
    <row r="1109" spans="1:29" x14ac:dyDescent="0.2">
      <c r="A1109" s="1422"/>
      <c r="B1109" s="2522"/>
      <c r="C1109" s="2432"/>
      <c r="D1109" s="2421"/>
      <c r="E1109" s="2421"/>
      <c r="F1109" s="2421"/>
      <c r="G1109" s="2421"/>
      <c r="H1109" s="2421"/>
      <c r="I1109" s="2421"/>
      <c r="J1109" s="2432"/>
      <c r="K1109" s="40">
        <v>1500</v>
      </c>
      <c r="L1109" s="3295"/>
      <c r="M1109" s="3335" t="s">
        <v>305</v>
      </c>
      <c r="N1109" s="3336"/>
      <c r="O1109" s="40"/>
      <c r="P1109" s="40"/>
      <c r="Q1109" s="40">
        <f>$K1109*(2/6)</f>
        <v>500</v>
      </c>
      <c r="R1109" s="40"/>
      <c r="S1109" s="40">
        <f>$K1109*(1/6)</f>
        <v>250</v>
      </c>
      <c r="T1109" s="40">
        <f>$K1109*(2/6)</f>
        <v>500</v>
      </c>
      <c r="U1109" s="38"/>
      <c r="V1109" s="38"/>
      <c r="W1109" s="40">
        <f>$K1109*(1/6)</f>
        <v>250</v>
      </c>
      <c r="X1109" s="38"/>
      <c r="Y1109" s="38"/>
      <c r="Z1109" s="54"/>
      <c r="AA1109" s="966">
        <f t="shared" si="142"/>
        <v>1500</v>
      </c>
      <c r="AB1109" s="35"/>
      <c r="AC1109" s="183"/>
    </row>
    <row r="1110" spans="1:29" x14ac:dyDescent="0.2">
      <c r="A1110" s="1422"/>
      <c r="B1110" s="2522"/>
      <c r="C1110" s="2432"/>
      <c r="D1110" s="2421"/>
      <c r="E1110" s="2421"/>
      <c r="F1110" s="2421"/>
      <c r="G1110" s="2421"/>
      <c r="H1110" s="2421"/>
      <c r="I1110" s="2421"/>
      <c r="J1110" s="2432"/>
      <c r="K1110" s="40">
        <v>13500</v>
      </c>
      <c r="L1110" s="3295"/>
      <c r="M1110" s="3335" t="s">
        <v>306</v>
      </c>
      <c r="N1110" s="3336"/>
      <c r="O1110" s="37"/>
      <c r="P1110" s="38"/>
      <c r="Q1110" s="40">
        <f>$K1110*(2/6)</f>
        <v>4500</v>
      </c>
      <c r="R1110" s="40"/>
      <c r="S1110" s="40">
        <f>$K1110*(1/6)</f>
        <v>2250</v>
      </c>
      <c r="T1110" s="40">
        <f>$K1110*(2/6)</f>
        <v>4500</v>
      </c>
      <c r="U1110" s="38"/>
      <c r="V1110" s="38"/>
      <c r="W1110" s="40">
        <f>$K1110*(1/6)</f>
        <v>2250</v>
      </c>
      <c r="X1110" s="38"/>
      <c r="Y1110" s="38"/>
      <c r="Z1110" s="54"/>
      <c r="AA1110" s="966">
        <f t="shared" si="142"/>
        <v>13500</v>
      </c>
      <c r="AB1110" s="35"/>
      <c r="AC1110" s="183"/>
    </row>
    <row r="1111" spans="1:29" x14ac:dyDescent="0.2">
      <c r="A1111" s="1422"/>
      <c r="B1111" s="2522"/>
      <c r="C1111" s="2432"/>
      <c r="D1111" s="2421"/>
      <c r="E1111" s="2421"/>
      <c r="F1111" s="2421"/>
      <c r="G1111" s="2421"/>
      <c r="H1111" s="2421"/>
      <c r="I1111" s="2421"/>
      <c r="J1111" s="2432"/>
      <c r="K1111" s="40">
        <v>106013</v>
      </c>
      <c r="L1111" s="3295"/>
      <c r="M1111" s="3335" t="s">
        <v>345</v>
      </c>
      <c r="N1111" s="3336"/>
      <c r="O1111" s="40">
        <f>$K1111/12</f>
        <v>8834.4166666666661</v>
      </c>
      <c r="P1111" s="40">
        <f t="shared" ref="P1111:Y1111" si="145">$K1111/12</f>
        <v>8834.4166666666661</v>
      </c>
      <c r="Q1111" s="40">
        <f t="shared" si="145"/>
        <v>8834.4166666666661</v>
      </c>
      <c r="R1111" s="40">
        <f t="shared" si="145"/>
        <v>8834.4166666666661</v>
      </c>
      <c r="S1111" s="40">
        <f t="shared" si="145"/>
        <v>8834.4166666666661</v>
      </c>
      <c r="T1111" s="40">
        <f t="shared" si="145"/>
        <v>8834.4166666666661</v>
      </c>
      <c r="U1111" s="40">
        <f t="shared" si="145"/>
        <v>8834.4166666666661</v>
      </c>
      <c r="V1111" s="40">
        <f t="shared" si="145"/>
        <v>8834.4166666666661</v>
      </c>
      <c r="W1111" s="40">
        <f t="shared" si="145"/>
        <v>8834.4166666666661</v>
      </c>
      <c r="X1111" s="40">
        <f t="shared" si="145"/>
        <v>8834.4166666666661</v>
      </c>
      <c r="Y1111" s="40">
        <f t="shared" si="145"/>
        <v>8834.4166666666661</v>
      </c>
      <c r="Z1111" s="56">
        <f>$K1111/12</f>
        <v>8834.4166666666661</v>
      </c>
      <c r="AA1111" s="966">
        <f t="shared" si="142"/>
        <v>106013.00000000001</v>
      </c>
      <c r="AB1111" s="35"/>
      <c r="AC1111" s="183"/>
    </row>
    <row r="1112" spans="1:29" x14ac:dyDescent="0.2">
      <c r="A1112" s="1422"/>
      <c r="B1112" s="2522"/>
      <c r="C1112" s="2432"/>
      <c r="D1112" s="2421"/>
      <c r="E1112" s="2421"/>
      <c r="F1112" s="2421"/>
      <c r="G1112" s="2421"/>
      <c r="H1112" s="2421"/>
      <c r="I1112" s="2421"/>
      <c r="J1112" s="2432"/>
      <c r="K1112" s="40">
        <v>16311</v>
      </c>
      <c r="L1112" s="3295"/>
      <c r="M1112" s="3335" t="s">
        <v>309</v>
      </c>
      <c r="N1112" s="3336"/>
      <c r="O1112" s="37"/>
      <c r="P1112" s="38"/>
      <c r="Q1112" s="38"/>
      <c r="R1112" s="40">
        <f>$K1112/5</f>
        <v>3262.2</v>
      </c>
      <c r="S1112" s="40"/>
      <c r="T1112" s="40">
        <f>$K1112/5</f>
        <v>3262.2</v>
      </c>
      <c r="U1112" s="38"/>
      <c r="V1112" s="40">
        <f>$K1112/5</f>
        <v>3262.2</v>
      </c>
      <c r="W1112" s="38"/>
      <c r="X1112" s="40">
        <f>$K1112/5</f>
        <v>3262.2</v>
      </c>
      <c r="Y1112" s="38"/>
      <c r="Z1112" s="56">
        <f>$K1112/5</f>
        <v>3262.2</v>
      </c>
      <c r="AA1112" s="966">
        <f t="shared" si="142"/>
        <v>16311</v>
      </c>
      <c r="AB1112" s="35"/>
      <c r="AC1112" s="183"/>
    </row>
    <row r="1113" spans="1:29" x14ac:dyDescent="0.2">
      <c r="A1113" s="1422"/>
      <c r="B1113" s="2522"/>
      <c r="C1113" s="2432"/>
      <c r="D1113" s="2421"/>
      <c r="E1113" s="2421"/>
      <c r="F1113" s="2421"/>
      <c r="G1113" s="2421"/>
      <c r="H1113" s="2421"/>
      <c r="I1113" s="2421"/>
      <c r="J1113" s="2432"/>
      <c r="K1113" s="40">
        <v>12826</v>
      </c>
      <c r="L1113" s="3295"/>
      <c r="M1113" s="3335" t="s">
        <v>311</v>
      </c>
      <c r="N1113" s="3336"/>
      <c r="O1113" s="37">
        <f t="shared" ref="O1113:Z1114" si="146">$K1113/12</f>
        <v>1068.8333333333333</v>
      </c>
      <c r="P1113" s="37">
        <f t="shared" si="146"/>
        <v>1068.8333333333333</v>
      </c>
      <c r="Q1113" s="37">
        <f t="shared" si="146"/>
        <v>1068.8333333333333</v>
      </c>
      <c r="R1113" s="37">
        <f t="shared" si="146"/>
        <v>1068.8333333333333</v>
      </c>
      <c r="S1113" s="37">
        <f t="shared" si="146"/>
        <v>1068.8333333333333</v>
      </c>
      <c r="T1113" s="37">
        <f t="shared" si="146"/>
        <v>1068.8333333333333</v>
      </c>
      <c r="U1113" s="37">
        <f t="shared" si="146"/>
        <v>1068.8333333333333</v>
      </c>
      <c r="V1113" s="37">
        <f t="shared" si="146"/>
        <v>1068.8333333333333</v>
      </c>
      <c r="W1113" s="37">
        <f t="shared" si="146"/>
        <v>1068.8333333333333</v>
      </c>
      <c r="X1113" s="37">
        <f t="shared" si="146"/>
        <v>1068.8333333333333</v>
      </c>
      <c r="Y1113" s="37">
        <f t="shared" si="146"/>
        <v>1068.8333333333333</v>
      </c>
      <c r="Z1113" s="53">
        <f t="shared" si="146"/>
        <v>1068.8333333333333</v>
      </c>
      <c r="AA1113" s="966">
        <f t="shared" si="142"/>
        <v>12826.000000000002</v>
      </c>
      <c r="AB1113" s="35"/>
      <c r="AC1113" s="183"/>
    </row>
    <row r="1114" spans="1:29" x14ac:dyDescent="0.2">
      <c r="A1114" s="1422"/>
      <c r="B1114" s="2522"/>
      <c r="C1114" s="2437"/>
      <c r="D1114" s="2421"/>
      <c r="E1114" s="2421"/>
      <c r="F1114" s="2421"/>
      <c r="G1114" s="2421"/>
      <c r="H1114" s="2421"/>
      <c r="I1114" s="2421"/>
      <c r="J1114" s="2437"/>
      <c r="K1114" s="40">
        <v>158754</v>
      </c>
      <c r="L1114" s="3296"/>
      <c r="M1114" s="3335" t="s">
        <v>310</v>
      </c>
      <c r="N1114" s="3336"/>
      <c r="O1114" s="37">
        <f t="shared" si="146"/>
        <v>13229.5</v>
      </c>
      <c r="P1114" s="37">
        <f t="shared" si="146"/>
        <v>13229.5</v>
      </c>
      <c r="Q1114" s="37">
        <f t="shared" si="146"/>
        <v>13229.5</v>
      </c>
      <c r="R1114" s="37">
        <f t="shared" si="146"/>
        <v>13229.5</v>
      </c>
      <c r="S1114" s="37">
        <f t="shared" si="146"/>
        <v>13229.5</v>
      </c>
      <c r="T1114" s="37">
        <f t="shared" si="146"/>
        <v>13229.5</v>
      </c>
      <c r="U1114" s="37">
        <f t="shared" si="146"/>
        <v>13229.5</v>
      </c>
      <c r="V1114" s="37">
        <f t="shared" si="146"/>
        <v>13229.5</v>
      </c>
      <c r="W1114" s="37">
        <f t="shared" si="146"/>
        <v>13229.5</v>
      </c>
      <c r="X1114" s="37">
        <f t="shared" si="146"/>
        <v>13229.5</v>
      </c>
      <c r="Y1114" s="37">
        <f t="shared" si="146"/>
        <v>13229.5</v>
      </c>
      <c r="Z1114" s="53">
        <f t="shared" si="146"/>
        <v>13229.5</v>
      </c>
      <c r="AA1114" s="966">
        <f t="shared" si="142"/>
        <v>158754</v>
      </c>
      <c r="AB1114" s="35"/>
      <c r="AC1114" s="183"/>
    </row>
    <row r="1115" spans="1:29" ht="22.5" customHeight="1" x14ac:dyDescent="0.2">
      <c r="A1115" s="1422"/>
      <c r="B1115" s="1433" t="s">
        <v>276</v>
      </c>
      <c r="C1115" s="108"/>
      <c r="D1115" s="35">
        <v>3033305</v>
      </c>
      <c r="E1115" s="192" t="s">
        <v>508</v>
      </c>
      <c r="F1115" s="193"/>
      <c r="G1115" s="194"/>
      <c r="H1115" s="35"/>
      <c r="I1115" s="35"/>
      <c r="J1115" s="35"/>
      <c r="K1115" s="60"/>
      <c r="L1115" s="60"/>
      <c r="M1115" s="181"/>
      <c r="N1115" s="181"/>
      <c r="O1115" s="60"/>
      <c r="P1115" s="60"/>
      <c r="Q1115" s="60"/>
      <c r="R1115" s="60"/>
      <c r="S1115" s="2922" t="s">
        <v>15</v>
      </c>
      <c r="T1115" s="2922"/>
      <c r="U1115" s="2922"/>
      <c r="V1115" s="2922"/>
      <c r="W1115" s="2922"/>
      <c r="X1115" s="2922"/>
      <c r="Y1115" s="2922"/>
      <c r="Z1115" s="3019" t="s">
        <v>16</v>
      </c>
      <c r="AA1115" s="3020"/>
      <c r="AB1115" s="35"/>
      <c r="AC1115" s="183"/>
    </row>
    <row r="1116" spans="1:29" ht="19.5" customHeight="1" x14ac:dyDescent="0.2">
      <c r="A1116" s="1422"/>
      <c r="B1116" s="1433"/>
      <c r="C1116" s="108"/>
      <c r="D1116" s="35"/>
      <c r="E1116" s="192"/>
      <c r="F1116" s="193"/>
      <c r="G1116" s="194"/>
      <c r="H1116" s="35"/>
      <c r="I1116" s="35"/>
      <c r="J1116" s="35"/>
      <c r="K1116" s="60"/>
      <c r="L1116" s="60"/>
      <c r="M1116" s="181"/>
      <c r="N1116" s="181"/>
      <c r="O1116" s="60"/>
      <c r="P1116" s="60"/>
      <c r="Q1116" s="60"/>
      <c r="R1116" s="60"/>
      <c r="S1116" s="3233" t="s">
        <v>509</v>
      </c>
      <c r="T1116" s="3233"/>
      <c r="U1116" s="3233"/>
      <c r="V1116" s="3233"/>
      <c r="W1116" s="3233"/>
      <c r="X1116" s="3233"/>
      <c r="Y1116" s="3233"/>
      <c r="Z1116" s="3023" t="s">
        <v>510</v>
      </c>
      <c r="AA1116" s="3338"/>
      <c r="AB1116" s="35"/>
      <c r="AC1116" s="183"/>
    </row>
    <row r="1117" spans="1:29" x14ac:dyDescent="0.2">
      <c r="A1117" s="1422"/>
      <c r="B1117" s="2999" t="s">
        <v>278</v>
      </c>
      <c r="C1117" s="2988" t="s">
        <v>21</v>
      </c>
      <c r="D1117" s="2847" t="s">
        <v>22</v>
      </c>
      <c r="E1117" s="2847" t="s">
        <v>23</v>
      </c>
      <c r="F1117" s="2847" t="s">
        <v>24</v>
      </c>
      <c r="G1117" s="2847" t="s">
        <v>25</v>
      </c>
      <c r="H1117" s="2847" t="s">
        <v>26</v>
      </c>
      <c r="I1117" s="2847" t="s">
        <v>27</v>
      </c>
      <c r="J1117" s="3206" t="s">
        <v>28</v>
      </c>
      <c r="K1117" s="3207"/>
      <c r="L1117" s="2847" t="s">
        <v>279</v>
      </c>
      <c r="M1117" s="3273" t="s">
        <v>280</v>
      </c>
      <c r="N1117" s="3274"/>
      <c r="O1117" s="2847" t="s">
        <v>281</v>
      </c>
      <c r="P1117" s="2847"/>
      <c r="Q1117" s="2847"/>
      <c r="R1117" s="2847"/>
      <c r="S1117" s="2847"/>
      <c r="T1117" s="2847"/>
      <c r="U1117" s="2847"/>
      <c r="V1117" s="2847"/>
      <c r="W1117" s="2847"/>
      <c r="X1117" s="2847"/>
      <c r="Y1117" s="2847"/>
      <c r="Z1117" s="2847"/>
      <c r="AA1117" s="3217" t="s">
        <v>32</v>
      </c>
      <c r="AB1117" s="35"/>
      <c r="AC1117" s="183"/>
    </row>
    <row r="1118" spans="1:29" ht="15" customHeight="1" x14ac:dyDescent="0.2">
      <c r="A1118" s="1422"/>
      <c r="B1118" s="2999"/>
      <c r="C1118" s="3186"/>
      <c r="D1118" s="2847"/>
      <c r="E1118" s="2847"/>
      <c r="F1118" s="2847"/>
      <c r="G1118" s="2847"/>
      <c r="H1118" s="2847"/>
      <c r="I1118" s="2847"/>
      <c r="J1118" s="2988" t="s">
        <v>33</v>
      </c>
      <c r="K1118" s="2988" t="s">
        <v>282</v>
      </c>
      <c r="L1118" s="2847"/>
      <c r="M1118" s="3275"/>
      <c r="N1118" s="3276"/>
      <c r="O1118" s="1009" t="s">
        <v>283</v>
      </c>
      <c r="P1118" s="1009" t="s">
        <v>284</v>
      </c>
      <c r="Q1118" s="1009" t="s">
        <v>285</v>
      </c>
      <c r="R1118" s="1009" t="s">
        <v>88</v>
      </c>
      <c r="S1118" s="1009" t="s">
        <v>89</v>
      </c>
      <c r="T1118" s="1009" t="s">
        <v>90</v>
      </c>
      <c r="U1118" s="1009" t="s">
        <v>91</v>
      </c>
      <c r="V1118" s="1009" t="s">
        <v>92</v>
      </c>
      <c r="W1118" s="1009" t="s">
        <v>286</v>
      </c>
      <c r="X1118" s="1009" t="s">
        <v>93</v>
      </c>
      <c r="Y1118" s="1009" t="s">
        <v>94</v>
      </c>
      <c r="Z1118" s="1009" t="s">
        <v>95</v>
      </c>
      <c r="AA1118" s="3218"/>
      <c r="AB1118" s="35"/>
      <c r="AC1118" s="183"/>
    </row>
    <row r="1119" spans="1:29" x14ac:dyDescent="0.2">
      <c r="A1119" s="1422"/>
      <c r="B1119" s="2999"/>
      <c r="C1119" s="3186"/>
      <c r="D1119" s="2847"/>
      <c r="E1119" s="2847"/>
      <c r="F1119" s="2847"/>
      <c r="G1119" s="2847"/>
      <c r="H1119" s="2847"/>
      <c r="I1119" s="2847"/>
      <c r="J1119" s="3186"/>
      <c r="K1119" s="3186"/>
      <c r="L1119" s="2847"/>
      <c r="M1119" s="3271" t="s">
        <v>287</v>
      </c>
      <c r="N1119" s="3272"/>
      <c r="O1119" s="1095">
        <v>2542.4166666666665</v>
      </c>
      <c r="P1119" s="1095">
        <v>2544</v>
      </c>
      <c r="Q1119" s="1095">
        <v>2545</v>
      </c>
      <c r="R1119" s="1095">
        <v>2542</v>
      </c>
      <c r="S1119" s="1095">
        <v>2542</v>
      </c>
      <c r="T1119" s="1095">
        <v>2542</v>
      </c>
      <c r="U1119" s="1095">
        <v>2542</v>
      </c>
      <c r="V1119" s="1095">
        <v>2542</v>
      </c>
      <c r="W1119" s="1095">
        <v>2542</v>
      </c>
      <c r="X1119" s="1095">
        <v>2542</v>
      </c>
      <c r="Y1119" s="1095">
        <v>2542</v>
      </c>
      <c r="Z1119" s="1144">
        <v>2542</v>
      </c>
      <c r="AA1119" s="1196">
        <f>SUM(O1119:Z1119)</f>
        <v>30509.416666666664</v>
      </c>
      <c r="AB1119" s="35"/>
      <c r="AC1119" s="183"/>
    </row>
    <row r="1120" spans="1:29" x14ac:dyDescent="0.2">
      <c r="A1120" s="1422"/>
      <c r="B1120" s="3015"/>
      <c r="C1120" s="2989"/>
      <c r="D1120" s="2988"/>
      <c r="E1120" s="2988"/>
      <c r="F1120" s="2988"/>
      <c r="G1120" s="2988"/>
      <c r="H1120" s="2988"/>
      <c r="I1120" s="2988"/>
      <c r="J1120" s="2989"/>
      <c r="K1120" s="2989"/>
      <c r="L1120" s="2847"/>
      <c r="M1120" s="3271" t="s">
        <v>34</v>
      </c>
      <c r="N1120" s="3272"/>
      <c r="O1120" s="36">
        <f>SUM(O1121:O1139)</f>
        <v>257054.58333333334</v>
      </c>
      <c r="P1120" s="36">
        <f t="shared" ref="P1120:Z1120" si="147">SUM(P1121:P1139)</f>
        <v>231854.58333333334</v>
      </c>
      <c r="Q1120" s="36">
        <f t="shared" si="147"/>
        <v>231854.58333333334</v>
      </c>
      <c r="R1120" s="36">
        <f t="shared" si="147"/>
        <v>236319.45512820515</v>
      </c>
      <c r="S1120" s="36">
        <f t="shared" si="147"/>
        <v>235167.66025641028</v>
      </c>
      <c r="T1120" s="36">
        <f t="shared" si="147"/>
        <v>234236.12179487181</v>
      </c>
      <c r="U1120" s="36">
        <f t="shared" si="147"/>
        <v>251763.12179487181</v>
      </c>
      <c r="V1120" s="36">
        <f t="shared" si="147"/>
        <v>238017.66025641028</v>
      </c>
      <c r="W1120" s="36">
        <f t="shared" si="147"/>
        <v>235199.19871794872</v>
      </c>
      <c r="X1120" s="36">
        <f t="shared" si="147"/>
        <v>234236.12179487181</v>
      </c>
      <c r="Y1120" s="36">
        <f t="shared" si="147"/>
        <v>234302.78846153847</v>
      </c>
      <c r="Z1120" s="52">
        <f t="shared" si="147"/>
        <v>253363.12179487181</v>
      </c>
      <c r="AA1120" s="1196">
        <f t="shared" ref="AA1120:AA1139" si="148">SUM(O1120:Z1120)</f>
        <v>2873369.0000000005</v>
      </c>
      <c r="AB1120" s="35"/>
      <c r="AC1120" s="183"/>
    </row>
    <row r="1121" spans="1:29" ht="11.25" customHeight="1" x14ac:dyDescent="0.2">
      <c r="A1121" s="1422"/>
      <c r="B1121" s="2522">
        <v>5000053</v>
      </c>
      <c r="C1121" s="2431" t="s">
        <v>511</v>
      </c>
      <c r="D1121" s="2421">
        <v>38</v>
      </c>
      <c r="E1121" s="2421" t="s">
        <v>407</v>
      </c>
      <c r="F1121" s="2421" t="s">
        <v>386</v>
      </c>
      <c r="G1121" s="2421" t="s">
        <v>512</v>
      </c>
      <c r="H1121" s="2421" t="s">
        <v>337</v>
      </c>
      <c r="I1121" s="2421" t="s">
        <v>513</v>
      </c>
      <c r="J1121" s="2431">
        <v>30509</v>
      </c>
      <c r="K1121" s="40">
        <v>1118020</v>
      </c>
      <c r="L1121" s="3294" t="s">
        <v>446</v>
      </c>
      <c r="M1121" s="3335" t="s">
        <v>293</v>
      </c>
      <c r="N1121" s="3336"/>
      <c r="O1121" s="37">
        <f>$K1121/12</f>
        <v>93168.333333333328</v>
      </c>
      <c r="P1121" s="37">
        <f t="shared" ref="P1121:Z1122" si="149">$K1121/12</f>
        <v>93168.333333333328</v>
      </c>
      <c r="Q1121" s="37">
        <f t="shared" si="149"/>
        <v>93168.333333333328</v>
      </c>
      <c r="R1121" s="37">
        <f t="shared" si="149"/>
        <v>93168.333333333328</v>
      </c>
      <c r="S1121" s="37">
        <f t="shared" si="149"/>
        <v>93168.333333333328</v>
      </c>
      <c r="T1121" s="37">
        <f t="shared" si="149"/>
        <v>93168.333333333328</v>
      </c>
      <c r="U1121" s="37">
        <f t="shared" si="149"/>
        <v>93168.333333333328</v>
      </c>
      <c r="V1121" s="37">
        <f t="shared" si="149"/>
        <v>93168.333333333328</v>
      </c>
      <c r="W1121" s="37">
        <f t="shared" si="149"/>
        <v>93168.333333333328</v>
      </c>
      <c r="X1121" s="37">
        <f t="shared" si="149"/>
        <v>93168.333333333328</v>
      </c>
      <c r="Y1121" s="37">
        <f t="shared" si="149"/>
        <v>93168.333333333328</v>
      </c>
      <c r="Z1121" s="53">
        <f t="shared" si="149"/>
        <v>93168.333333333328</v>
      </c>
      <c r="AA1121" s="966">
        <f t="shared" si="148"/>
        <v>1118020.0000000002</v>
      </c>
      <c r="AB1121" s="35"/>
      <c r="AC1121" s="183"/>
    </row>
    <row r="1122" spans="1:29" x14ac:dyDescent="0.2">
      <c r="A1122" s="1422"/>
      <c r="B1122" s="2522"/>
      <c r="C1122" s="2432"/>
      <c r="D1122" s="2421"/>
      <c r="E1122" s="2421"/>
      <c r="F1122" s="2421"/>
      <c r="G1122" s="2421"/>
      <c r="H1122" s="2421"/>
      <c r="I1122" s="2421"/>
      <c r="J1122" s="2432"/>
      <c r="K1122" s="40">
        <v>53736</v>
      </c>
      <c r="L1122" s="3295"/>
      <c r="M1122" s="3335" t="s">
        <v>321</v>
      </c>
      <c r="N1122" s="3336"/>
      <c r="O1122" s="37">
        <f>$K1122/12</f>
        <v>4478</v>
      </c>
      <c r="P1122" s="37">
        <f t="shared" si="149"/>
        <v>4478</v>
      </c>
      <c r="Q1122" s="37">
        <f t="shared" si="149"/>
        <v>4478</v>
      </c>
      <c r="R1122" s="37">
        <f t="shared" si="149"/>
        <v>4478</v>
      </c>
      <c r="S1122" s="37">
        <f t="shared" si="149"/>
        <v>4478</v>
      </c>
      <c r="T1122" s="37">
        <f t="shared" si="149"/>
        <v>4478</v>
      </c>
      <c r="U1122" s="37">
        <f t="shared" si="149"/>
        <v>4478</v>
      </c>
      <c r="V1122" s="37">
        <f t="shared" si="149"/>
        <v>4478</v>
      </c>
      <c r="W1122" s="37">
        <f t="shared" si="149"/>
        <v>4478</v>
      </c>
      <c r="X1122" s="37">
        <f t="shared" si="149"/>
        <v>4478</v>
      </c>
      <c r="Y1122" s="37">
        <f t="shared" si="149"/>
        <v>4478</v>
      </c>
      <c r="Z1122" s="53">
        <f t="shared" si="149"/>
        <v>4478</v>
      </c>
      <c r="AA1122" s="966">
        <f t="shared" si="148"/>
        <v>53736</v>
      </c>
      <c r="AB1122" s="35"/>
      <c r="AC1122" s="183"/>
    </row>
    <row r="1123" spans="1:29" x14ac:dyDescent="0.2">
      <c r="A1123" s="1422"/>
      <c r="B1123" s="2522"/>
      <c r="C1123" s="2432"/>
      <c r="D1123" s="2421"/>
      <c r="E1123" s="2421"/>
      <c r="F1123" s="2421"/>
      <c r="G1123" s="2421"/>
      <c r="H1123" s="2421"/>
      <c r="I1123" s="2421"/>
      <c r="J1123" s="2432"/>
      <c r="K1123" s="40">
        <v>310328</v>
      </c>
      <c r="L1123" s="3295"/>
      <c r="M1123" s="3335" t="s">
        <v>295</v>
      </c>
      <c r="N1123" s="3336"/>
      <c r="O1123" s="37">
        <f t="shared" ref="O1123:Z1130" si="150">$K1123/12</f>
        <v>25860.666666666668</v>
      </c>
      <c r="P1123" s="37">
        <f t="shared" si="150"/>
        <v>25860.666666666668</v>
      </c>
      <c r="Q1123" s="37">
        <f t="shared" si="150"/>
        <v>25860.666666666668</v>
      </c>
      <c r="R1123" s="37">
        <f t="shared" si="150"/>
        <v>25860.666666666668</v>
      </c>
      <c r="S1123" s="37">
        <f t="shared" si="150"/>
        <v>25860.666666666668</v>
      </c>
      <c r="T1123" s="37">
        <f t="shared" si="150"/>
        <v>25860.666666666668</v>
      </c>
      <c r="U1123" s="37">
        <f t="shared" si="150"/>
        <v>25860.666666666668</v>
      </c>
      <c r="V1123" s="37">
        <f t="shared" si="150"/>
        <v>25860.666666666668</v>
      </c>
      <c r="W1123" s="37">
        <f t="shared" si="150"/>
        <v>25860.666666666668</v>
      </c>
      <c r="X1123" s="37">
        <f t="shared" si="150"/>
        <v>25860.666666666668</v>
      </c>
      <c r="Y1123" s="37">
        <f t="shared" si="150"/>
        <v>25860.666666666668</v>
      </c>
      <c r="Z1123" s="53">
        <f t="shared" si="150"/>
        <v>25860.666666666668</v>
      </c>
      <c r="AA1123" s="966">
        <f t="shared" si="148"/>
        <v>310328</v>
      </c>
      <c r="AB1123" s="35"/>
      <c r="AC1123" s="183"/>
    </row>
    <row r="1124" spans="1:29" x14ac:dyDescent="0.2">
      <c r="A1124" s="1422"/>
      <c r="B1124" s="2522"/>
      <c r="C1124" s="2432"/>
      <c r="D1124" s="2421"/>
      <c r="E1124" s="2421"/>
      <c r="F1124" s="2421"/>
      <c r="G1124" s="2421"/>
      <c r="H1124" s="2421"/>
      <c r="I1124" s="2421"/>
      <c r="J1124" s="2432"/>
      <c r="K1124" s="40">
        <v>184140</v>
      </c>
      <c r="L1124" s="3295"/>
      <c r="M1124" s="3335" t="s">
        <v>332</v>
      </c>
      <c r="N1124" s="3336"/>
      <c r="O1124" s="37">
        <f t="shared" si="150"/>
        <v>15345</v>
      </c>
      <c r="P1124" s="37">
        <f t="shared" si="150"/>
        <v>15345</v>
      </c>
      <c r="Q1124" s="37">
        <f t="shared" si="150"/>
        <v>15345</v>
      </c>
      <c r="R1124" s="37">
        <f t="shared" si="150"/>
        <v>15345</v>
      </c>
      <c r="S1124" s="37">
        <f t="shared" si="150"/>
        <v>15345</v>
      </c>
      <c r="T1124" s="37">
        <f t="shared" si="150"/>
        <v>15345</v>
      </c>
      <c r="U1124" s="37">
        <f t="shared" si="150"/>
        <v>15345</v>
      </c>
      <c r="V1124" s="37">
        <f t="shared" si="150"/>
        <v>15345</v>
      </c>
      <c r="W1124" s="37">
        <f t="shared" si="150"/>
        <v>15345</v>
      </c>
      <c r="X1124" s="37">
        <f t="shared" si="150"/>
        <v>15345</v>
      </c>
      <c r="Y1124" s="37">
        <f t="shared" si="150"/>
        <v>15345</v>
      </c>
      <c r="Z1124" s="53">
        <f t="shared" si="150"/>
        <v>15345</v>
      </c>
      <c r="AA1124" s="966">
        <f t="shared" si="148"/>
        <v>184140</v>
      </c>
      <c r="AB1124" s="35"/>
      <c r="AC1124" s="183"/>
    </row>
    <row r="1125" spans="1:29" x14ac:dyDescent="0.2">
      <c r="A1125" s="1422"/>
      <c r="B1125" s="2522"/>
      <c r="C1125" s="2432"/>
      <c r="D1125" s="2421"/>
      <c r="E1125" s="2421"/>
      <c r="F1125" s="2421"/>
      <c r="G1125" s="2421"/>
      <c r="H1125" s="2421"/>
      <c r="I1125" s="2421"/>
      <c r="J1125" s="2432"/>
      <c r="K1125" s="40">
        <v>385146</v>
      </c>
      <c r="L1125" s="3295"/>
      <c r="M1125" s="3335" t="s">
        <v>296</v>
      </c>
      <c r="N1125" s="3336"/>
      <c r="O1125" s="37">
        <f t="shared" si="150"/>
        <v>32095.5</v>
      </c>
      <c r="P1125" s="37">
        <f t="shared" si="150"/>
        <v>32095.5</v>
      </c>
      <c r="Q1125" s="37">
        <f t="shared" si="150"/>
        <v>32095.5</v>
      </c>
      <c r="R1125" s="37">
        <f t="shared" si="150"/>
        <v>32095.5</v>
      </c>
      <c r="S1125" s="37">
        <f t="shared" si="150"/>
        <v>32095.5</v>
      </c>
      <c r="T1125" s="37">
        <f t="shared" si="150"/>
        <v>32095.5</v>
      </c>
      <c r="U1125" s="37">
        <f t="shared" si="150"/>
        <v>32095.5</v>
      </c>
      <c r="V1125" s="37">
        <f t="shared" si="150"/>
        <v>32095.5</v>
      </c>
      <c r="W1125" s="37">
        <f t="shared" si="150"/>
        <v>32095.5</v>
      </c>
      <c r="X1125" s="37">
        <f t="shared" si="150"/>
        <v>32095.5</v>
      </c>
      <c r="Y1125" s="37">
        <f t="shared" si="150"/>
        <v>32095.5</v>
      </c>
      <c r="Z1125" s="53">
        <f t="shared" si="150"/>
        <v>32095.5</v>
      </c>
      <c r="AA1125" s="966">
        <f t="shared" si="148"/>
        <v>385146</v>
      </c>
      <c r="AB1125" s="35"/>
      <c r="AC1125" s="183"/>
    </row>
    <row r="1126" spans="1:29" x14ac:dyDescent="0.2">
      <c r="A1126" s="1422"/>
      <c r="B1126" s="2522"/>
      <c r="C1126" s="2432"/>
      <c r="D1126" s="2421"/>
      <c r="E1126" s="2421"/>
      <c r="F1126" s="2421"/>
      <c r="G1126" s="2421"/>
      <c r="H1126" s="2421"/>
      <c r="I1126" s="2421"/>
      <c r="J1126" s="2432"/>
      <c r="K1126" s="40">
        <v>68417</v>
      </c>
      <c r="L1126" s="3295"/>
      <c r="M1126" s="3335" t="s">
        <v>297</v>
      </c>
      <c r="N1126" s="3336"/>
      <c r="O1126" s="37">
        <f t="shared" si="150"/>
        <v>5701.416666666667</v>
      </c>
      <c r="P1126" s="37">
        <f t="shared" si="150"/>
        <v>5701.416666666667</v>
      </c>
      <c r="Q1126" s="37">
        <f t="shared" si="150"/>
        <v>5701.416666666667</v>
      </c>
      <c r="R1126" s="37">
        <f t="shared" si="150"/>
        <v>5701.416666666667</v>
      </c>
      <c r="S1126" s="37">
        <f t="shared" si="150"/>
        <v>5701.416666666667</v>
      </c>
      <c r="T1126" s="37">
        <f t="shared" si="150"/>
        <v>5701.416666666667</v>
      </c>
      <c r="U1126" s="37">
        <f t="shared" si="150"/>
        <v>5701.416666666667</v>
      </c>
      <c r="V1126" s="37">
        <f t="shared" si="150"/>
        <v>5701.416666666667</v>
      </c>
      <c r="W1126" s="37">
        <f t="shared" si="150"/>
        <v>5701.416666666667</v>
      </c>
      <c r="X1126" s="37">
        <f t="shared" si="150"/>
        <v>5701.416666666667</v>
      </c>
      <c r="Y1126" s="37">
        <f t="shared" si="150"/>
        <v>5701.416666666667</v>
      </c>
      <c r="Z1126" s="53">
        <f t="shared" si="150"/>
        <v>5701.416666666667</v>
      </c>
      <c r="AA1126" s="966">
        <f t="shared" si="148"/>
        <v>68416.999999999985</v>
      </c>
      <c r="AB1126" s="35"/>
      <c r="AC1126" s="183"/>
    </row>
    <row r="1127" spans="1:29" x14ac:dyDescent="0.2">
      <c r="A1127" s="1422"/>
      <c r="B1127" s="2522"/>
      <c r="C1127" s="2432"/>
      <c r="D1127" s="2421"/>
      <c r="E1127" s="2421"/>
      <c r="F1127" s="2421"/>
      <c r="G1127" s="2421"/>
      <c r="H1127" s="2421"/>
      <c r="I1127" s="2421"/>
      <c r="J1127" s="2432"/>
      <c r="K1127" s="40">
        <v>38254</v>
      </c>
      <c r="L1127" s="3295"/>
      <c r="M1127" s="3335" t="s">
        <v>298</v>
      </c>
      <c r="N1127" s="3336"/>
      <c r="O1127" s="37"/>
      <c r="P1127" s="38"/>
      <c r="Q1127" s="38"/>
      <c r="R1127" s="38"/>
      <c r="S1127" s="38"/>
      <c r="T1127" s="38"/>
      <c r="U1127" s="37">
        <f>$K1127/2</f>
        <v>19127</v>
      </c>
      <c r="V1127" s="38"/>
      <c r="W1127" s="38"/>
      <c r="X1127" s="38"/>
      <c r="Y1127" s="38"/>
      <c r="Z1127" s="53">
        <f>$K1127/2</f>
        <v>19127</v>
      </c>
      <c r="AA1127" s="966">
        <f t="shared" si="148"/>
        <v>38254</v>
      </c>
      <c r="AB1127" s="35"/>
      <c r="AC1127" s="183"/>
    </row>
    <row r="1128" spans="1:29" x14ac:dyDescent="0.2">
      <c r="A1128" s="1422"/>
      <c r="B1128" s="2522"/>
      <c r="C1128" s="2432"/>
      <c r="D1128" s="2421"/>
      <c r="E1128" s="2421"/>
      <c r="F1128" s="2421"/>
      <c r="G1128" s="2421"/>
      <c r="H1128" s="2421"/>
      <c r="I1128" s="2421"/>
      <c r="J1128" s="2432"/>
      <c r="K1128" s="40">
        <v>25200</v>
      </c>
      <c r="L1128" s="3295"/>
      <c r="M1128" s="3335" t="s">
        <v>299</v>
      </c>
      <c r="N1128" s="3336"/>
      <c r="O1128" s="37">
        <f>$K1128</f>
        <v>25200</v>
      </c>
      <c r="P1128" s="38"/>
      <c r="Q1128" s="37"/>
      <c r="R1128" s="38"/>
      <c r="S1128" s="38"/>
      <c r="T1128" s="38"/>
      <c r="U1128" s="38"/>
      <c r="V1128" s="38"/>
      <c r="W1128" s="38"/>
      <c r="X1128" s="38"/>
      <c r="Y1128" s="38"/>
      <c r="Z1128" s="54"/>
      <c r="AA1128" s="966">
        <f t="shared" si="148"/>
        <v>25200</v>
      </c>
      <c r="AB1128" s="35"/>
      <c r="AC1128" s="183"/>
    </row>
    <row r="1129" spans="1:29" x14ac:dyDescent="0.2">
      <c r="A1129" s="1422"/>
      <c r="B1129" s="2522"/>
      <c r="C1129" s="2432"/>
      <c r="D1129" s="2421"/>
      <c r="E1129" s="2421"/>
      <c r="F1129" s="2421"/>
      <c r="G1129" s="2421"/>
      <c r="H1129" s="2421"/>
      <c r="I1129" s="2421"/>
      <c r="J1129" s="2432"/>
      <c r="K1129" s="40">
        <v>109573</v>
      </c>
      <c r="L1129" s="3295"/>
      <c r="M1129" s="3335" t="s">
        <v>300</v>
      </c>
      <c r="N1129" s="3336"/>
      <c r="O1129" s="37">
        <f t="shared" si="150"/>
        <v>9131.0833333333339</v>
      </c>
      <c r="P1129" s="37">
        <f t="shared" si="150"/>
        <v>9131.0833333333339</v>
      </c>
      <c r="Q1129" s="37">
        <f t="shared" si="150"/>
        <v>9131.0833333333339</v>
      </c>
      <c r="R1129" s="37">
        <f t="shared" si="150"/>
        <v>9131.0833333333339</v>
      </c>
      <c r="S1129" s="37">
        <f t="shared" si="150"/>
        <v>9131.0833333333339</v>
      </c>
      <c r="T1129" s="37">
        <f t="shared" si="150"/>
        <v>9131.0833333333339</v>
      </c>
      <c r="U1129" s="37">
        <f t="shared" si="150"/>
        <v>9131.0833333333339</v>
      </c>
      <c r="V1129" s="37">
        <f t="shared" si="150"/>
        <v>9131.0833333333339</v>
      </c>
      <c r="W1129" s="37">
        <f t="shared" si="150"/>
        <v>9131.0833333333339</v>
      </c>
      <c r="X1129" s="37">
        <f t="shared" si="150"/>
        <v>9131.0833333333339</v>
      </c>
      <c r="Y1129" s="37">
        <f t="shared" si="150"/>
        <v>9131.0833333333339</v>
      </c>
      <c r="Z1129" s="53">
        <f t="shared" si="150"/>
        <v>9131.0833333333339</v>
      </c>
      <c r="AA1129" s="966">
        <f t="shared" si="148"/>
        <v>109572.99999999999</v>
      </c>
      <c r="AB1129" s="35"/>
      <c r="AC1129" s="183"/>
    </row>
    <row r="1130" spans="1:29" x14ac:dyDescent="0.2">
      <c r="A1130" s="1422"/>
      <c r="B1130" s="2522"/>
      <c r="C1130" s="2432"/>
      <c r="D1130" s="2421"/>
      <c r="E1130" s="2421"/>
      <c r="F1130" s="2421"/>
      <c r="G1130" s="2421"/>
      <c r="H1130" s="2421"/>
      <c r="I1130" s="2421"/>
      <c r="J1130" s="2432"/>
      <c r="K1130" s="40">
        <v>3615</v>
      </c>
      <c r="L1130" s="3295"/>
      <c r="M1130" s="3335" t="s">
        <v>301</v>
      </c>
      <c r="N1130" s="3336"/>
      <c r="O1130" s="37">
        <f t="shared" si="150"/>
        <v>301.25</v>
      </c>
      <c r="P1130" s="37">
        <f t="shared" si="150"/>
        <v>301.25</v>
      </c>
      <c r="Q1130" s="37">
        <f t="shared" si="150"/>
        <v>301.25</v>
      </c>
      <c r="R1130" s="37">
        <f t="shared" si="150"/>
        <v>301.25</v>
      </c>
      <c r="S1130" s="37">
        <f t="shared" si="150"/>
        <v>301.25</v>
      </c>
      <c r="T1130" s="37">
        <f t="shared" si="150"/>
        <v>301.25</v>
      </c>
      <c r="U1130" s="37">
        <f t="shared" si="150"/>
        <v>301.25</v>
      </c>
      <c r="V1130" s="37">
        <f t="shared" si="150"/>
        <v>301.25</v>
      </c>
      <c r="W1130" s="37">
        <f t="shared" si="150"/>
        <v>301.25</v>
      </c>
      <c r="X1130" s="37">
        <f t="shared" si="150"/>
        <v>301.25</v>
      </c>
      <c r="Y1130" s="37">
        <f t="shared" si="150"/>
        <v>301.25</v>
      </c>
      <c r="Z1130" s="53">
        <f t="shared" si="150"/>
        <v>301.25</v>
      </c>
      <c r="AA1130" s="966">
        <f t="shared" si="148"/>
        <v>3615</v>
      </c>
      <c r="AB1130" s="35"/>
      <c r="AC1130" s="183"/>
    </row>
    <row r="1131" spans="1:29" x14ac:dyDescent="0.2">
      <c r="A1131" s="1422"/>
      <c r="B1131" s="2522"/>
      <c r="C1131" s="2432"/>
      <c r="D1131" s="2421"/>
      <c r="E1131" s="2421"/>
      <c r="F1131" s="2421"/>
      <c r="G1131" s="2421"/>
      <c r="H1131" s="2421"/>
      <c r="I1131" s="2421"/>
      <c r="J1131" s="2432"/>
      <c r="K1131" s="40">
        <v>500</v>
      </c>
      <c r="L1131" s="3295"/>
      <c r="M1131" s="3335" t="s">
        <v>380</v>
      </c>
      <c r="N1131" s="3336"/>
      <c r="O1131" s="40">
        <f>$K1131</f>
        <v>500</v>
      </c>
      <c r="P1131" s="38"/>
      <c r="Q1131" s="38"/>
      <c r="R1131" s="38"/>
      <c r="S1131" s="38"/>
      <c r="T1131" s="38"/>
      <c r="U1131" s="38"/>
      <c r="V1131" s="38"/>
      <c r="W1131" s="38"/>
      <c r="X1131" s="38"/>
      <c r="Y1131" s="38"/>
      <c r="Z1131" s="54"/>
      <c r="AA1131" s="966">
        <f t="shared" si="148"/>
        <v>500</v>
      </c>
      <c r="AB1131" s="35"/>
      <c r="AC1131" s="183"/>
    </row>
    <row r="1132" spans="1:29" x14ac:dyDescent="0.2">
      <c r="A1132" s="1422"/>
      <c r="B1132" s="2522"/>
      <c r="C1132" s="2432"/>
      <c r="D1132" s="2421"/>
      <c r="E1132" s="2421"/>
      <c r="F1132" s="2421"/>
      <c r="G1132" s="2421"/>
      <c r="H1132" s="2421"/>
      <c r="I1132" s="2421"/>
      <c r="J1132" s="2432"/>
      <c r="K1132" s="40">
        <v>500</v>
      </c>
      <c r="L1132" s="3295"/>
      <c r="M1132" s="3335" t="s">
        <v>482</v>
      </c>
      <c r="N1132" s="3336"/>
      <c r="O1132" s="40"/>
      <c r="P1132" s="40"/>
      <c r="Q1132" s="40">
        <f>$K1132</f>
        <v>500</v>
      </c>
      <c r="R1132" s="40"/>
      <c r="S1132" s="40"/>
      <c r="T1132" s="40"/>
      <c r="U1132" s="40"/>
      <c r="V1132" s="40"/>
      <c r="W1132" s="40"/>
      <c r="X1132" s="40"/>
      <c r="Y1132" s="40"/>
      <c r="Z1132" s="56"/>
      <c r="AA1132" s="966">
        <f t="shared" si="148"/>
        <v>500</v>
      </c>
      <c r="AB1132" s="35"/>
      <c r="AC1132" s="183"/>
    </row>
    <row r="1133" spans="1:29" x14ac:dyDescent="0.2">
      <c r="A1133" s="1422"/>
      <c r="B1133" s="2522"/>
      <c r="C1133" s="2432"/>
      <c r="D1133" s="2421"/>
      <c r="E1133" s="2421"/>
      <c r="F1133" s="2421"/>
      <c r="G1133" s="2421"/>
      <c r="H1133" s="2421"/>
      <c r="I1133" s="2421"/>
      <c r="J1133" s="2432"/>
      <c r="K1133" s="40">
        <v>500</v>
      </c>
      <c r="L1133" s="3295"/>
      <c r="M1133" s="3335" t="s">
        <v>324</v>
      </c>
      <c r="N1133" s="3336"/>
      <c r="O1133" s="37"/>
      <c r="P1133" s="40">
        <f>$K1133</f>
        <v>500</v>
      </c>
      <c r="Q1133" s="38"/>
      <c r="R1133" s="38"/>
      <c r="S1133" s="38"/>
      <c r="T1133" s="38"/>
      <c r="U1133" s="38"/>
      <c r="V1133" s="38"/>
      <c r="W1133" s="38"/>
      <c r="X1133" s="38"/>
      <c r="Y1133" s="38"/>
      <c r="Z1133" s="54"/>
      <c r="AA1133" s="966">
        <f t="shared" si="148"/>
        <v>500</v>
      </c>
      <c r="AB1133" s="35"/>
      <c r="AC1133" s="183"/>
    </row>
    <row r="1134" spans="1:29" x14ac:dyDescent="0.2">
      <c r="A1134" s="1422"/>
      <c r="B1134" s="2522"/>
      <c r="C1134" s="2432"/>
      <c r="D1134" s="2421"/>
      <c r="E1134" s="2421"/>
      <c r="F1134" s="2421"/>
      <c r="G1134" s="2421"/>
      <c r="H1134" s="2421"/>
      <c r="I1134" s="2421"/>
      <c r="J1134" s="2432"/>
      <c r="K1134" s="40">
        <v>2500</v>
      </c>
      <c r="L1134" s="3295"/>
      <c r="M1134" s="3335" t="s">
        <v>393</v>
      </c>
      <c r="N1134" s="3336"/>
      <c r="O1134" s="47"/>
      <c r="P1134" s="47"/>
      <c r="Q1134" s="47"/>
      <c r="R1134" s="40">
        <f>$K1134/2</f>
        <v>1250</v>
      </c>
      <c r="S1134" s="47"/>
      <c r="T1134" s="47"/>
      <c r="U1134" s="47"/>
      <c r="V1134" s="40">
        <f>$K1134/2</f>
        <v>1250</v>
      </c>
      <c r="W1134" s="47"/>
      <c r="X1134" s="47"/>
      <c r="Y1134" s="47"/>
      <c r="Z1134" s="55"/>
      <c r="AA1134" s="966">
        <f t="shared" si="148"/>
        <v>2500</v>
      </c>
      <c r="AB1134" s="35"/>
      <c r="AC1134" s="183"/>
    </row>
    <row r="1135" spans="1:29" x14ac:dyDescent="0.2">
      <c r="A1135" s="1422"/>
      <c r="B1135" s="2522"/>
      <c r="C1135" s="2432"/>
      <c r="D1135" s="2421"/>
      <c r="E1135" s="2421"/>
      <c r="F1135" s="2421"/>
      <c r="G1135" s="2421"/>
      <c r="H1135" s="2421"/>
      <c r="I1135" s="2421"/>
      <c r="J1135" s="2432"/>
      <c r="K1135" s="40">
        <v>16660</v>
      </c>
      <c r="L1135" s="3295"/>
      <c r="M1135" s="3335" t="s">
        <v>343</v>
      </c>
      <c r="N1135" s="3336"/>
      <c r="O1135" s="47"/>
      <c r="P1135" s="47"/>
      <c r="Q1135" s="47"/>
      <c r="R1135" s="47">
        <f>$K1135*(1/13)</f>
        <v>1281.5384615384617</v>
      </c>
      <c r="S1135" s="47">
        <f>$K1135*(2/13)</f>
        <v>2563.0769230769233</v>
      </c>
      <c r="T1135" s="47">
        <f t="shared" ref="T1135:Z1135" si="151">$K1135*(1/13)</f>
        <v>1281.5384615384617</v>
      </c>
      <c r="U1135" s="47">
        <f t="shared" si="151"/>
        <v>1281.5384615384617</v>
      </c>
      <c r="V1135" s="47">
        <f>$K1135*(2/13)</f>
        <v>2563.0769230769233</v>
      </c>
      <c r="W1135" s="47">
        <f>$K1135*(3/13)</f>
        <v>3844.6153846153848</v>
      </c>
      <c r="X1135" s="47">
        <f t="shared" si="151"/>
        <v>1281.5384615384617</v>
      </c>
      <c r="Y1135" s="47">
        <f>$K1135*(1/13)</f>
        <v>1281.5384615384617</v>
      </c>
      <c r="Z1135" s="55">
        <f t="shared" si="151"/>
        <v>1281.5384615384617</v>
      </c>
      <c r="AA1135" s="966">
        <f t="shared" si="148"/>
        <v>16660</v>
      </c>
      <c r="AB1135" s="35"/>
      <c r="AC1135" s="183"/>
    </row>
    <row r="1136" spans="1:29" x14ac:dyDescent="0.2">
      <c r="A1136" s="1422"/>
      <c r="B1136" s="2522"/>
      <c r="C1136" s="2432"/>
      <c r="D1136" s="2421"/>
      <c r="E1136" s="2421"/>
      <c r="F1136" s="2421"/>
      <c r="G1136" s="2421"/>
      <c r="H1136" s="2421"/>
      <c r="I1136" s="2421"/>
      <c r="J1136" s="2432"/>
      <c r="K1136" s="40">
        <v>5000</v>
      </c>
      <c r="L1136" s="3295"/>
      <c r="M1136" s="3335" t="s">
        <v>306</v>
      </c>
      <c r="N1136" s="3336"/>
      <c r="O1136" s="37"/>
      <c r="P1136" s="38"/>
      <c r="Q1136" s="38"/>
      <c r="R1136" s="40">
        <f>$K1136*(2/12)</f>
        <v>833.33333333333326</v>
      </c>
      <c r="S1136" s="40">
        <f>$K1136*(3/12)</f>
        <v>1250</v>
      </c>
      <c r="T1136" s="38"/>
      <c r="U1136" s="38"/>
      <c r="V1136" s="40">
        <f>$K1136*(3/12)</f>
        <v>1250</v>
      </c>
      <c r="W1136" s="38"/>
      <c r="X1136" s="38"/>
      <c r="Y1136" s="40">
        <f>$K1136*(4/12)</f>
        <v>1666.6666666666665</v>
      </c>
      <c r="Z1136" s="54"/>
      <c r="AA1136" s="966">
        <f t="shared" si="148"/>
        <v>5000</v>
      </c>
      <c r="AB1136" s="35"/>
      <c r="AC1136" s="183"/>
    </row>
    <row r="1137" spans="1:29" x14ac:dyDescent="0.2">
      <c r="A1137" s="1422"/>
      <c r="B1137" s="2522"/>
      <c r="C1137" s="2432"/>
      <c r="D1137" s="2421"/>
      <c r="E1137" s="2421"/>
      <c r="F1137" s="2421"/>
      <c r="G1137" s="2421"/>
      <c r="H1137" s="2421"/>
      <c r="I1137" s="2421"/>
      <c r="J1137" s="2432"/>
      <c r="K1137" s="40">
        <v>8000</v>
      </c>
      <c r="L1137" s="3295"/>
      <c r="M1137" s="3335" t="s">
        <v>309</v>
      </c>
      <c r="N1137" s="3336"/>
      <c r="O1137" s="37"/>
      <c r="P1137" s="38"/>
      <c r="Q1137" s="38"/>
      <c r="R1137" s="40">
        <f>$K1137/5</f>
        <v>1600</v>
      </c>
      <c r="S1137" s="40"/>
      <c r="T1137" s="40">
        <f>$K1137/5</f>
        <v>1600</v>
      </c>
      <c r="U1137" s="38"/>
      <c r="V1137" s="40">
        <f>$K1137/5</f>
        <v>1600</v>
      </c>
      <c r="W1137" s="38"/>
      <c r="X1137" s="40">
        <f>$K1137/5</f>
        <v>1600</v>
      </c>
      <c r="Y1137" s="38"/>
      <c r="Z1137" s="56">
        <f>$K1137/5</f>
        <v>1600</v>
      </c>
      <c r="AA1137" s="966">
        <f t="shared" si="148"/>
        <v>8000</v>
      </c>
      <c r="AB1137" s="35"/>
      <c r="AC1137" s="183"/>
    </row>
    <row r="1138" spans="1:29" x14ac:dyDescent="0.2">
      <c r="A1138" s="1422"/>
      <c r="B1138" s="2522"/>
      <c r="C1138" s="2432"/>
      <c r="D1138" s="2421"/>
      <c r="E1138" s="2421"/>
      <c r="F1138" s="2421"/>
      <c r="G1138" s="2421"/>
      <c r="H1138" s="2421"/>
      <c r="I1138" s="2421"/>
      <c r="J1138" s="2432"/>
      <c r="K1138" s="40">
        <v>34153</v>
      </c>
      <c r="L1138" s="3295"/>
      <c r="M1138" s="3335" t="s">
        <v>311</v>
      </c>
      <c r="N1138" s="3336"/>
      <c r="O1138" s="37">
        <f t="shared" ref="O1138:Z1139" si="152">$K1138/12</f>
        <v>2846.0833333333335</v>
      </c>
      <c r="P1138" s="37">
        <f t="shared" si="152"/>
        <v>2846.0833333333335</v>
      </c>
      <c r="Q1138" s="37">
        <f t="shared" si="152"/>
        <v>2846.0833333333335</v>
      </c>
      <c r="R1138" s="37">
        <f t="shared" si="152"/>
        <v>2846.0833333333335</v>
      </c>
      <c r="S1138" s="37">
        <f t="shared" si="152"/>
        <v>2846.0833333333335</v>
      </c>
      <c r="T1138" s="37">
        <f t="shared" si="152"/>
        <v>2846.0833333333335</v>
      </c>
      <c r="U1138" s="37">
        <f t="shared" si="152"/>
        <v>2846.0833333333335</v>
      </c>
      <c r="V1138" s="37">
        <f t="shared" si="152"/>
        <v>2846.0833333333335</v>
      </c>
      <c r="W1138" s="37">
        <f t="shared" si="152"/>
        <v>2846.0833333333335</v>
      </c>
      <c r="X1138" s="37">
        <f t="shared" si="152"/>
        <v>2846.0833333333335</v>
      </c>
      <c r="Y1138" s="37">
        <f t="shared" si="152"/>
        <v>2846.0833333333335</v>
      </c>
      <c r="Z1138" s="53">
        <f t="shared" si="152"/>
        <v>2846.0833333333335</v>
      </c>
      <c r="AA1138" s="966">
        <f t="shared" si="148"/>
        <v>34152.999999999993</v>
      </c>
      <c r="AB1138" s="35"/>
      <c r="AC1138" s="183"/>
    </row>
    <row r="1139" spans="1:29" x14ac:dyDescent="0.2">
      <c r="A1139" s="1422"/>
      <c r="B1139" s="2522"/>
      <c r="C1139" s="2437"/>
      <c r="D1139" s="2421"/>
      <c r="E1139" s="2421"/>
      <c r="F1139" s="2421"/>
      <c r="G1139" s="2421"/>
      <c r="H1139" s="2421"/>
      <c r="I1139" s="2421"/>
      <c r="J1139" s="2437"/>
      <c r="K1139" s="40">
        <v>509127</v>
      </c>
      <c r="L1139" s="3296"/>
      <c r="M1139" s="3335" t="s">
        <v>310</v>
      </c>
      <c r="N1139" s="3336"/>
      <c r="O1139" s="37">
        <f t="shared" si="152"/>
        <v>42427.25</v>
      </c>
      <c r="P1139" s="37">
        <f t="shared" si="152"/>
        <v>42427.25</v>
      </c>
      <c r="Q1139" s="37">
        <f t="shared" si="152"/>
        <v>42427.25</v>
      </c>
      <c r="R1139" s="37">
        <f t="shared" si="152"/>
        <v>42427.25</v>
      </c>
      <c r="S1139" s="37">
        <f t="shared" si="152"/>
        <v>42427.25</v>
      </c>
      <c r="T1139" s="37">
        <f t="shared" si="152"/>
        <v>42427.25</v>
      </c>
      <c r="U1139" s="37">
        <f t="shared" si="152"/>
        <v>42427.25</v>
      </c>
      <c r="V1139" s="37">
        <f t="shared" si="152"/>
        <v>42427.25</v>
      </c>
      <c r="W1139" s="37">
        <f t="shared" si="152"/>
        <v>42427.25</v>
      </c>
      <c r="X1139" s="37">
        <f t="shared" si="152"/>
        <v>42427.25</v>
      </c>
      <c r="Y1139" s="37">
        <f t="shared" si="152"/>
        <v>42427.25</v>
      </c>
      <c r="Z1139" s="53">
        <f t="shared" si="152"/>
        <v>42427.25</v>
      </c>
      <c r="AA1139" s="966">
        <f t="shared" si="148"/>
        <v>509127</v>
      </c>
      <c r="AB1139" s="35"/>
      <c r="AC1139" s="183"/>
    </row>
    <row r="1140" spans="1:29" ht="15.75" customHeight="1" x14ac:dyDescent="0.2">
      <c r="A1140" s="1422"/>
      <c r="B1140" s="1433"/>
      <c r="C1140" s="108"/>
      <c r="D1140" s="35"/>
      <c r="E1140" s="192"/>
      <c r="F1140" s="193"/>
      <c r="G1140" s="194"/>
      <c r="H1140" s="35"/>
      <c r="I1140" s="35"/>
      <c r="J1140" s="35"/>
      <c r="K1140" s="60"/>
      <c r="L1140" s="60"/>
      <c r="M1140" s="181"/>
      <c r="N1140" s="181"/>
      <c r="O1140" s="60"/>
      <c r="P1140" s="60"/>
      <c r="Q1140" s="60"/>
      <c r="R1140" s="60"/>
      <c r="S1140" s="2922" t="s">
        <v>15</v>
      </c>
      <c r="T1140" s="2922"/>
      <c r="U1140" s="2922"/>
      <c r="V1140" s="2922"/>
      <c r="W1140" s="2922"/>
      <c r="X1140" s="2922"/>
      <c r="Y1140" s="2922"/>
      <c r="Z1140" s="3019" t="s">
        <v>16</v>
      </c>
      <c r="AA1140" s="3020"/>
      <c r="AB1140" s="35"/>
      <c r="AC1140" s="183"/>
    </row>
    <row r="1141" spans="1:29" x14ac:dyDescent="0.2">
      <c r="A1141" s="1422"/>
      <c r="B1141" s="1433" t="s">
        <v>276</v>
      </c>
      <c r="C1141" s="108"/>
      <c r="D1141" s="35">
        <v>3033306</v>
      </c>
      <c r="E1141" s="192" t="s">
        <v>514</v>
      </c>
      <c r="F1141" s="193"/>
      <c r="G1141" s="194"/>
      <c r="H1141" s="35"/>
      <c r="I1141" s="35"/>
      <c r="J1141" s="35"/>
      <c r="K1141" s="60"/>
      <c r="L1141" s="60"/>
      <c r="M1141" s="181"/>
      <c r="N1141" s="181"/>
      <c r="O1141" s="60"/>
      <c r="P1141" s="60"/>
      <c r="Q1141" s="60"/>
      <c r="R1141" s="60"/>
      <c r="S1141" s="3294" t="s">
        <v>515</v>
      </c>
      <c r="T1141" s="3294"/>
      <c r="U1141" s="3294"/>
      <c r="V1141" s="3294"/>
      <c r="W1141" s="3294"/>
      <c r="X1141" s="3294"/>
      <c r="Y1141" s="3294"/>
      <c r="Z1141" s="2922" t="s">
        <v>500</v>
      </c>
      <c r="AA1141" s="2922"/>
      <c r="AB1141" s="35"/>
      <c r="AC1141" s="183"/>
    </row>
    <row r="1142" spans="1:29" x14ac:dyDescent="0.2">
      <c r="A1142" s="1422"/>
      <c r="B1142" s="2999" t="s">
        <v>278</v>
      </c>
      <c r="C1142" s="2988" t="s">
        <v>21</v>
      </c>
      <c r="D1142" s="2847" t="s">
        <v>22</v>
      </c>
      <c r="E1142" s="2847" t="s">
        <v>23</v>
      </c>
      <c r="F1142" s="2847" t="s">
        <v>24</v>
      </c>
      <c r="G1142" s="2847" t="s">
        <v>25</v>
      </c>
      <c r="H1142" s="2847" t="s">
        <v>26</v>
      </c>
      <c r="I1142" s="2847" t="s">
        <v>27</v>
      </c>
      <c r="J1142" s="3206" t="s">
        <v>28</v>
      </c>
      <c r="K1142" s="3301"/>
      <c r="L1142" s="2847" t="s">
        <v>279</v>
      </c>
      <c r="M1142" s="3273" t="s">
        <v>280</v>
      </c>
      <c r="N1142" s="3274"/>
      <c r="O1142" s="2847" t="s">
        <v>281</v>
      </c>
      <c r="P1142" s="2847"/>
      <c r="Q1142" s="2847"/>
      <c r="R1142" s="2847"/>
      <c r="S1142" s="2847"/>
      <c r="T1142" s="2847"/>
      <c r="U1142" s="2847"/>
      <c r="V1142" s="2847"/>
      <c r="W1142" s="2847"/>
      <c r="X1142" s="2847"/>
      <c r="Y1142" s="2847"/>
      <c r="Z1142" s="2847"/>
      <c r="AA1142" s="3217" t="s">
        <v>32</v>
      </c>
      <c r="AB1142" s="35"/>
      <c r="AC1142" s="183"/>
    </row>
    <row r="1143" spans="1:29" x14ac:dyDescent="0.2">
      <c r="A1143" s="1422"/>
      <c r="B1143" s="2999"/>
      <c r="C1143" s="3186"/>
      <c r="D1143" s="2847"/>
      <c r="E1143" s="2847"/>
      <c r="F1143" s="2847"/>
      <c r="G1143" s="2847"/>
      <c r="H1143" s="2847"/>
      <c r="I1143" s="2847"/>
      <c r="J1143" s="2988" t="s">
        <v>33</v>
      </c>
      <c r="K1143" s="3206" t="s">
        <v>282</v>
      </c>
      <c r="L1143" s="2847"/>
      <c r="M1143" s="3275"/>
      <c r="N1143" s="3276"/>
      <c r="O1143" s="1009" t="s">
        <v>283</v>
      </c>
      <c r="P1143" s="1009" t="s">
        <v>284</v>
      </c>
      <c r="Q1143" s="1009" t="s">
        <v>285</v>
      </c>
      <c r="R1143" s="1009" t="s">
        <v>88</v>
      </c>
      <c r="S1143" s="1009" t="s">
        <v>89</v>
      </c>
      <c r="T1143" s="1009" t="s">
        <v>90</v>
      </c>
      <c r="U1143" s="1009" t="s">
        <v>91</v>
      </c>
      <c r="V1143" s="1009" t="s">
        <v>92</v>
      </c>
      <c r="W1143" s="1009" t="s">
        <v>286</v>
      </c>
      <c r="X1143" s="1009" t="s">
        <v>93</v>
      </c>
      <c r="Y1143" s="1009" t="s">
        <v>94</v>
      </c>
      <c r="Z1143" s="1009" t="s">
        <v>95</v>
      </c>
      <c r="AA1143" s="3218"/>
      <c r="AB1143" s="35"/>
      <c r="AC1143" s="183"/>
    </row>
    <row r="1144" spans="1:29" x14ac:dyDescent="0.2">
      <c r="A1144" s="1422"/>
      <c r="B1144" s="2999"/>
      <c r="C1144" s="3186"/>
      <c r="D1144" s="2847"/>
      <c r="E1144" s="2847"/>
      <c r="F1144" s="2847"/>
      <c r="G1144" s="2847"/>
      <c r="H1144" s="2847"/>
      <c r="I1144" s="2847"/>
      <c r="J1144" s="3186"/>
      <c r="K1144" s="3206"/>
      <c r="L1144" s="2847"/>
      <c r="M1144" s="3271" t="s">
        <v>287</v>
      </c>
      <c r="N1144" s="3272"/>
      <c r="O1144" s="1095">
        <v>299</v>
      </c>
      <c r="P1144" s="1095">
        <v>299</v>
      </c>
      <c r="Q1144" s="1095">
        <v>300</v>
      </c>
      <c r="R1144" s="1095">
        <v>299</v>
      </c>
      <c r="S1144" s="1095">
        <v>299</v>
      </c>
      <c r="T1144" s="1095">
        <v>299</v>
      </c>
      <c r="U1144" s="1095">
        <v>299</v>
      </c>
      <c r="V1144" s="1095">
        <v>299</v>
      </c>
      <c r="W1144" s="1095">
        <v>299</v>
      </c>
      <c r="X1144" s="1095">
        <v>299</v>
      </c>
      <c r="Y1144" s="1095">
        <v>299</v>
      </c>
      <c r="Z1144" s="1144">
        <v>299</v>
      </c>
      <c r="AA1144" s="1204">
        <f>SUM(O1144:Z1144)</f>
        <v>3589</v>
      </c>
      <c r="AB1144" s="35"/>
      <c r="AC1144" s="183"/>
    </row>
    <row r="1145" spans="1:29" x14ac:dyDescent="0.2">
      <c r="A1145" s="1422"/>
      <c r="B1145" s="2999"/>
      <c r="C1145" s="2989"/>
      <c r="D1145" s="2847"/>
      <c r="E1145" s="2847"/>
      <c r="F1145" s="2847"/>
      <c r="G1145" s="2847"/>
      <c r="H1145" s="2847"/>
      <c r="I1145" s="2847"/>
      <c r="J1145" s="2989"/>
      <c r="K1145" s="3206"/>
      <c r="L1145" s="2847"/>
      <c r="M1145" s="3271" t="s">
        <v>34</v>
      </c>
      <c r="N1145" s="3272"/>
      <c r="O1145" s="36">
        <f>SUM(O1146:O1163)</f>
        <v>334962.08333333331</v>
      </c>
      <c r="P1145" s="36">
        <f t="shared" ref="P1145:Z1145" si="153">SUM(P1146:P1163)</f>
        <v>308512.08333333331</v>
      </c>
      <c r="Q1145" s="36">
        <f t="shared" si="153"/>
        <v>309662.08333333331</v>
      </c>
      <c r="R1145" s="36">
        <f t="shared" si="153"/>
        <v>323867.43333333329</v>
      </c>
      <c r="S1145" s="36">
        <f t="shared" si="153"/>
        <v>312040.43333333329</v>
      </c>
      <c r="T1145" s="36">
        <f t="shared" si="153"/>
        <v>311621.53333333333</v>
      </c>
      <c r="U1145" s="36">
        <f t="shared" si="153"/>
        <v>332192.43333333329</v>
      </c>
      <c r="V1145" s="36">
        <f t="shared" si="153"/>
        <v>325326.8833333333</v>
      </c>
      <c r="W1145" s="36">
        <f t="shared" si="153"/>
        <v>310580.98333333334</v>
      </c>
      <c r="X1145" s="36">
        <f t="shared" si="153"/>
        <v>309121.53333333333</v>
      </c>
      <c r="Y1145" s="36">
        <f t="shared" si="153"/>
        <v>310580.98333333334</v>
      </c>
      <c r="Z1145" s="52">
        <f t="shared" si="153"/>
        <v>328423.53333333333</v>
      </c>
      <c r="AA1145" s="1196">
        <f>SUM(O1145:Z1145)</f>
        <v>3816891.9999999995</v>
      </c>
      <c r="AB1145" s="35"/>
      <c r="AC1145" s="183"/>
    </row>
    <row r="1146" spans="1:29" ht="11.25" customHeight="1" x14ac:dyDescent="0.2">
      <c r="A1146" s="1422"/>
      <c r="B1146" s="2522">
        <v>5000054</v>
      </c>
      <c r="C1146" s="2431" t="s">
        <v>3065</v>
      </c>
      <c r="D1146" s="2421">
        <v>39</v>
      </c>
      <c r="E1146" s="2421" t="s">
        <v>407</v>
      </c>
      <c r="F1146" s="2421" t="s">
        <v>386</v>
      </c>
      <c r="G1146" s="2421" t="s">
        <v>423</v>
      </c>
      <c r="H1146" s="2421" t="s">
        <v>337</v>
      </c>
      <c r="I1146" s="2421" t="s">
        <v>501</v>
      </c>
      <c r="J1146" s="2431">
        <v>3589</v>
      </c>
      <c r="K1146" s="40">
        <v>1940127</v>
      </c>
      <c r="L1146" s="3294" t="s">
        <v>446</v>
      </c>
      <c r="M1146" s="3335" t="s">
        <v>293</v>
      </c>
      <c r="N1146" s="3336"/>
      <c r="O1146" s="37">
        <f t="shared" ref="O1146:Z1154" si="154">$K1146/12</f>
        <v>161677.25</v>
      </c>
      <c r="P1146" s="37">
        <f t="shared" si="154"/>
        <v>161677.25</v>
      </c>
      <c r="Q1146" s="37">
        <f t="shared" si="154"/>
        <v>161677.25</v>
      </c>
      <c r="R1146" s="37">
        <f t="shared" si="154"/>
        <v>161677.25</v>
      </c>
      <c r="S1146" s="37">
        <f t="shared" si="154"/>
        <v>161677.25</v>
      </c>
      <c r="T1146" s="37">
        <f t="shared" si="154"/>
        <v>161677.25</v>
      </c>
      <c r="U1146" s="37">
        <f t="shared" si="154"/>
        <v>161677.25</v>
      </c>
      <c r="V1146" s="37">
        <f t="shared" si="154"/>
        <v>161677.25</v>
      </c>
      <c r="W1146" s="37">
        <f t="shared" si="154"/>
        <v>161677.25</v>
      </c>
      <c r="X1146" s="37">
        <f t="shared" si="154"/>
        <v>161677.25</v>
      </c>
      <c r="Y1146" s="37">
        <f t="shared" si="154"/>
        <v>161677.25</v>
      </c>
      <c r="Z1146" s="53">
        <f t="shared" si="154"/>
        <v>161677.25</v>
      </c>
      <c r="AA1146" s="966">
        <f t="shared" ref="AA1146:AA1163" si="155">SUM(O1146:Z1146)</f>
        <v>1940127</v>
      </c>
      <c r="AB1146" s="35"/>
      <c r="AC1146" s="183"/>
    </row>
    <row r="1147" spans="1:29" x14ac:dyDescent="0.2">
      <c r="A1147" s="1422"/>
      <c r="B1147" s="2522"/>
      <c r="C1147" s="2432"/>
      <c r="D1147" s="2421"/>
      <c r="E1147" s="2421"/>
      <c r="F1147" s="2421"/>
      <c r="G1147" s="2421"/>
      <c r="H1147" s="2421"/>
      <c r="I1147" s="2421"/>
      <c r="J1147" s="2432"/>
      <c r="K1147" s="40">
        <v>376824</v>
      </c>
      <c r="L1147" s="3295"/>
      <c r="M1147" s="3335" t="s">
        <v>295</v>
      </c>
      <c r="N1147" s="3336"/>
      <c r="O1147" s="37">
        <f t="shared" si="154"/>
        <v>31402</v>
      </c>
      <c r="P1147" s="37">
        <f t="shared" si="154"/>
        <v>31402</v>
      </c>
      <c r="Q1147" s="37">
        <f t="shared" si="154"/>
        <v>31402</v>
      </c>
      <c r="R1147" s="37">
        <f t="shared" si="154"/>
        <v>31402</v>
      </c>
      <c r="S1147" s="37">
        <f t="shared" si="154"/>
        <v>31402</v>
      </c>
      <c r="T1147" s="37">
        <f t="shared" si="154"/>
        <v>31402</v>
      </c>
      <c r="U1147" s="37">
        <f t="shared" si="154"/>
        <v>31402</v>
      </c>
      <c r="V1147" s="37">
        <f t="shared" si="154"/>
        <v>31402</v>
      </c>
      <c r="W1147" s="37">
        <f t="shared" si="154"/>
        <v>31402</v>
      </c>
      <c r="X1147" s="37">
        <f t="shared" si="154"/>
        <v>31402</v>
      </c>
      <c r="Y1147" s="37">
        <f t="shared" si="154"/>
        <v>31402</v>
      </c>
      <c r="Z1147" s="53">
        <f t="shared" si="154"/>
        <v>31402</v>
      </c>
      <c r="AA1147" s="966">
        <f t="shared" si="155"/>
        <v>376824</v>
      </c>
      <c r="AB1147" s="35"/>
      <c r="AC1147" s="183"/>
    </row>
    <row r="1148" spans="1:29" x14ac:dyDescent="0.2">
      <c r="A1148" s="1422"/>
      <c r="B1148" s="2522"/>
      <c r="C1148" s="2432"/>
      <c r="D1148" s="2421"/>
      <c r="E1148" s="2421"/>
      <c r="F1148" s="2421"/>
      <c r="G1148" s="2421"/>
      <c r="H1148" s="2421"/>
      <c r="I1148" s="2421"/>
      <c r="J1148" s="2432"/>
      <c r="K1148" s="40">
        <v>20592</v>
      </c>
      <c r="L1148" s="3295"/>
      <c r="M1148" s="3335" t="s">
        <v>332</v>
      </c>
      <c r="N1148" s="3336"/>
      <c r="O1148" s="37">
        <f t="shared" si="154"/>
        <v>1716</v>
      </c>
      <c r="P1148" s="37">
        <f t="shared" si="154"/>
        <v>1716</v>
      </c>
      <c r="Q1148" s="37">
        <f t="shared" si="154"/>
        <v>1716</v>
      </c>
      <c r="R1148" s="37">
        <f t="shared" si="154"/>
        <v>1716</v>
      </c>
      <c r="S1148" s="37">
        <f t="shared" si="154"/>
        <v>1716</v>
      </c>
      <c r="T1148" s="37">
        <f t="shared" si="154"/>
        <v>1716</v>
      </c>
      <c r="U1148" s="37">
        <f t="shared" si="154"/>
        <v>1716</v>
      </c>
      <c r="V1148" s="37">
        <f t="shared" si="154"/>
        <v>1716</v>
      </c>
      <c r="W1148" s="37">
        <f t="shared" si="154"/>
        <v>1716</v>
      </c>
      <c r="X1148" s="37">
        <f t="shared" si="154"/>
        <v>1716</v>
      </c>
      <c r="Y1148" s="37">
        <f t="shared" si="154"/>
        <v>1716</v>
      </c>
      <c r="Z1148" s="53">
        <f t="shared" si="154"/>
        <v>1716</v>
      </c>
      <c r="AA1148" s="966">
        <f t="shared" si="155"/>
        <v>20592</v>
      </c>
      <c r="AB1148" s="35"/>
      <c r="AC1148" s="183"/>
    </row>
    <row r="1149" spans="1:29" x14ac:dyDescent="0.2">
      <c r="A1149" s="1422"/>
      <c r="B1149" s="2522"/>
      <c r="C1149" s="2432"/>
      <c r="D1149" s="2421"/>
      <c r="E1149" s="2421"/>
      <c r="F1149" s="2421"/>
      <c r="G1149" s="2421"/>
      <c r="H1149" s="2421"/>
      <c r="I1149" s="2421"/>
      <c r="J1149" s="2432"/>
      <c r="K1149" s="40">
        <v>691214</v>
      </c>
      <c r="L1149" s="3295"/>
      <c r="M1149" s="3335" t="s">
        <v>296</v>
      </c>
      <c r="N1149" s="3336"/>
      <c r="O1149" s="37">
        <f t="shared" si="154"/>
        <v>57601.166666666664</v>
      </c>
      <c r="P1149" s="37">
        <f t="shared" si="154"/>
        <v>57601.166666666664</v>
      </c>
      <c r="Q1149" s="37">
        <f t="shared" si="154"/>
        <v>57601.166666666664</v>
      </c>
      <c r="R1149" s="37">
        <f t="shared" si="154"/>
        <v>57601.166666666664</v>
      </c>
      <c r="S1149" s="37">
        <f t="shared" si="154"/>
        <v>57601.166666666664</v>
      </c>
      <c r="T1149" s="37">
        <f t="shared" si="154"/>
        <v>57601.166666666664</v>
      </c>
      <c r="U1149" s="37">
        <f t="shared" si="154"/>
        <v>57601.166666666664</v>
      </c>
      <c r="V1149" s="37">
        <f t="shared" si="154"/>
        <v>57601.166666666664</v>
      </c>
      <c r="W1149" s="37">
        <f t="shared" si="154"/>
        <v>57601.166666666664</v>
      </c>
      <c r="X1149" s="37">
        <f t="shared" si="154"/>
        <v>57601.166666666664</v>
      </c>
      <c r="Y1149" s="37">
        <f t="shared" si="154"/>
        <v>57601.166666666664</v>
      </c>
      <c r="Z1149" s="53">
        <f t="shared" si="154"/>
        <v>57601.166666666664</v>
      </c>
      <c r="AA1149" s="966">
        <f t="shared" si="155"/>
        <v>691214</v>
      </c>
      <c r="AB1149" s="35"/>
      <c r="AC1149" s="183"/>
    </row>
    <row r="1150" spans="1:29" x14ac:dyDescent="0.2">
      <c r="A1150" s="1422"/>
      <c r="B1150" s="2522"/>
      <c r="C1150" s="2432"/>
      <c r="D1150" s="2421"/>
      <c r="E1150" s="2421"/>
      <c r="F1150" s="2421"/>
      <c r="G1150" s="2421"/>
      <c r="H1150" s="2421"/>
      <c r="I1150" s="2421"/>
      <c r="J1150" s="2432"/>
      <c r="K1150" s="40">
        <v>185033</v>
      </c>
      <c r="L1150" s="3295"/>
      <c r="M1150" s="3335" t="s">
        <v>297</v>
      </c>
      <c r="N1150" s="3336"/>
      <c r="O1150" s="37">
        <f t="shared" si="154"/>
        <v>15419.416666666666</v>
      </c>
      <c r="P1150" s="37">
        <f t="shared" si="154"/>
        <v>15419.416666666666</v>
      </c>
      <c r="Q1150" s="37">
        <f t="shared" si="154"/>
        <v>15419.416666666666</v>
      </c>
      <c r="R1150" s="37">
        <f t="shared" si="154"/>
        <v>15419.416666666666</v>
      </c>
      <c r="S1150" s="37">
        <f t="shared" si="154"/>
        <v>15419.416666666666</v>
      </c>
      <c r="T1150" s="37">
        <f t="shared" si="154"/>
        <v>15419.416666666666</v>
      </c>
      <c r="U1150" s="37">
        <f t="shared" si="154"/>
        <v>15419.416666666666</v>
      </c>
      <c r="V1150" s="37">
        <f t="shared" si="154"/>
        <v>15419.416666666666</v>
      </c>
      <c r="W1150" s="37">
        <f t="shared" si="154"/>
        <v>15419.416666666666</v>
      </c>
      <c r="X1150" s="37">
        <f t="shared" si="154"/>
        <v>15419.416666666666</v>
      </c>
      <c r="Y1150" s="37">
        <f t="shared" si="154"/>
        <v>15419.416666666666</v>
      </c>
      <c r="Z1150" s="53">
        <f t="shared" si="154"/>
        <v>15419.416666666666</v>
      </c>
      <c r="AA1150" s="966">
        <f t="shared" si="155"/>
        <v>185032.99999999997</v>
      </c>
      <c r="AB1150" s="35"/>
      <c r="AC1150" s="183"/>
    </row>
    <row r="1151" spans="1:29" x14ac:dyDescent="0.2">
      <c r="A1151" s="1422"/>
      <c r="B1151" s="2522"/>
      <c r="C1151" s="2432"/>
      <c r="D1151" s="2421"/>
      <c r="E1151" s="2421"/>
      <c r="F1151" s="2421"/>
      <c r="G1151" s="2421"/>
      <c r="H1151" s="2421"/>
      <c r="I1151" s="2421"/>
      <c r="J1151" s="2432"/>
      <c r="K1151" s="40">
        <v>38604</v>
      </c>
      <c r="L1151" s="3295"/>
      <c r="M1151" s="3335" t="s">
        <v>298</v>
      </c>
      <c r="N1151" s="3336"/>
      <c r="O1151" s="37"/>
      <c r="P1151" s="38"/>
      <c r="Q1151" s="38"/>
      <c r="R1151" s="38"/>
      <c r="S1151" s="38"/>
      <c r="T1151" s="38"/>
      <c r="U1151" s="37">
        <f>$K1151/2</f>
        <v>19302</v>
      </c>
      <c r="V1151" s="38"/>
      <c r="W1151" s="38"/>
      <c r="X1151" s="38"/>
      <c r="Y1151" s="38"/>
      <c r="Z1151" s="53">
        <f>$K1151/2</f>
        <v>19302</v>
      </c>
      <c r="AA1151" s="966">
        <f t="shared" si="155"/>
        <v>38604</v>
      </c>
      <c r="AB1151" s="35"/>
      <c r="AC1151" s="183"/>
    </row>
    <row r="1152" spans="1:29" x14ac:dyDescent="0.2">
      <c r="A1152" s="1422"/>
      <c r="B1152" s="2522"/>
      <c r="C1152" s="2432"/>
      <c r="D1152" s="2421"/>
      <c r="E1152" s="2421"/>
      <c r="F1152" s="2421"/>
      <c r="G1152" s="2421"/>
      <c r="H1152" s="2421"/>
      <c r="I1152" s="2421"/>
      <c r="J1152" s="2432"/>
      <c r="K1152" s="40">
        <v>24800</v>
      </c>
      <c r="L1152" s="3295"/>
      <c r="M1152" s="3335" t="s">
        <v>299</v>
      </c>
      <c r="N1152" s="3336"/>
      <c r="O1152" s="37">
        <f>$K1152</f>
        <v>24800</v>
      </c>
      <c r="P1152" s="38"/>
      <c r="Q1152" s="37"/>
      <c r="R1152" s="38"/>
      <c r="S1152" s="38"/>
      <c r="T1152" s="38"/>
      <c r="U1152" s="38"/>
      <c r="V1152" s="38"/>
      <c r="W1152" s="38"/>
      <c r="X1152" s="38"/>
      <c r="Y1152" s="38"/>
      <c r="Z1152" s="54"/>
      <c r="AA1152" s="966">
        <f t="shared" si="155"/>
        <v>24800</v>
      </c>
      <c r="AB1152" s="35"/>
      <c r="AC1152" s="183"/>
    </row>
    <row r="1153" spans="1:29" x14ac:dyDescent="0.2">
      <c r="A1153" s="1422"/>
      <c r="B1153" s="2522"/>
      <c r="C1153" s="2432"/>
      <c r="D1153" s="2421"/>
      <c r="E1153" s="2421"/>
      <c r="F1153" s="2421"/>
      <c r="G1153" s="2421"/>
      <c r="H1153" s="2421"/>
      <c r="I1153" s="2421"/>
      <c r="J1153" s="2432"/>
      <c r="K1153" s="40">
        <v>139651</v>
      </c>
      <c r="L1153" s="3295"/>
      <c r="M1153" s="3335" t="s">
        <v>300</v>
      </c>
      <c r="N1153" s="3336"/>
      <c r="O1153" s="37">
        <f t="shared" si="154"/>
        <v>11637.583333333334</v>
      </c>
      <c r="P1153" s="37">
        <f t="shared" si="154"/>
        <v>11637.583333333334</v>
      </c>
      <c r="Q1153" s="37">
        <f t="shared" si="154"/>
        <v>11637.583333333334</v>
      </c>
      <c r="R1153" s="37">
        <f t="shared" si="154"/>
        <v>11637.583333333334</v>
      </c>
      <c r="S1153" s="37">
        <f t="shared" si="154"/>
        <v>11637.583333333334</v>
      </c>
      <c r="T1153" s="37">
        <f t="shared" si="154"/>
        <v>11637.583333333334</v>
      </c>
      <c r="U1153" s="37">
        <f t="shared" si="154"/>
        <v>11637.583333333334</v>
      </c>
      <c r="V1153" s="37">
        <f t="shared" si="154"/>
        <v>11637.583333333334</v>
      </c>
      <c r="W1153" s="37">
        <f t="shared" si="154"/>
        <v>11637.583333333334</v>
      </c>
      <c r="X1153" s="37">
        <f t="shared" si="154"/>
        <v>11637.583333333334</v>
      </c>
      <c r="Y1153" s="37">
        <f t="shared" si="154"/>
        <v>11637.583333333334</v>
      </c>
      <c r="Z1153" s="53">
        <f t="shared" si="154"/>
        <v>11637.583333333334</v>
      </c>
      <c r="AA1153" s="966">
        <f t="shared" si="155"/>
        <v>139650.99999999997</v>
      </c>
      <c r="AB1153" s="35"/>
      <c r="AC1153" s="183"/>
    </row>
    <row r="1154" spans="1:29" x14ac:dyDescent="0.2">
      <c r="A1154" s="1422"/>
      <c r="B1154" s="2522"/>
      <c r="C1154" s="2432"/>
      <c r="D1154" s="2421"/>
      <c r="E1154" s="2421"/>
      <c r="F1154" s="2421"/>
      <c r="G1154" s="2421"/>
      <c r="H1154" s="2421"/>
      <c r="I1154" s="2421"/>
      <c r="J1154" s="2432"/>
      <c r="K1154" s="40">
        <v>2402</v>
      </c>
      <c r="L1154" s="3295"/>
      <c r="M1154" s="3335" t="s">
        <v>301</v>
      </c>
      <c r="N1154" s="3336"/>
      <c r="O1154" s="37">
        <f t="shared" si="154"/>
        <v>200.16666666666666</v>
      </c>
      <c r="P1154" s="37">
        <f t="shared" si="154"/>
        <v>200.16666666666666</v>
      </c>
      <c r="Q1154" s="37">
        <f t="shared" si="154"/>
        <v>200.16666666666666</v>
      </c>
      <c r="R1154" s="37">
        <f t="shared" si="154"/>
        <v>200.16666666666666</v>
      </c>
      <c r="S1154" s="37">
        <f t="shared" si="154"/>
        <v>200.16666666666666</v>
      </c>
      <c r="T1154" s="37">
        <f t="shared" si="154"/>
        <v>200.16666666666666</v>
      </c>
      <c r="U1154" s="37">
        <f t="shared" si="154"/>
        <v>200.16666666666666</v>
      </c>
      <c r="V1154" s="37">
        <f t="shared" si="154"/>
        <v>200.16666666666666</v>
      </c>
      <c r="W1154" s="37">
        <f t="shared" si="154"/>
        <v>200.16666666666666</v>
      </c>
      <c r="X1154" s="37">
        <f t="shared" si="154"/>
        <v>200.16666666666666</v>
      </c>
      <c r="Y1154" s="37">
        <f t="shared" si="154"/>
        <v>200.16666666666666</v>
      </c>
      <c r="Z1154" s="53">
        <f t="shared" si="154"/>
        <v>200.16666666666666</v>
      </c>
      <c r="AA1154" s="966">
        <f t="shared" si="155"/>
        <v>2402</v>
      </c>
      <c r="AB1154" s="35"/>
      <c r="AC1154" s="183"/>
    </row>
    <row r="1155" spans="1:29" x14ac:dyDescent="0.2">
      <c r="A1155" s="1422"/>
      <c r="B1155" s="2522"/>
      <c r="C1155" s="2432"/>
      <c r="D1155" s="2421"/>
      <c r="E1155" s="2421"/>
      <c r="F1155" s="2421"/>
      <c r="G1155" s="2421"/>
      <c r="H1155" s="2421"/>
      <c r="I1155" s="2421"/>
      <c r="J1155" s="2432"/>
      <c r="K1155" s="40">
        <v>5000</v>
      </c>
      <c r="L1155" s="3295"/>
      <c r="M1155" s="3335" t="s">
        <v>380</v>
      </c>
      <c r="N1155" s="3336"/>
      <c r="O1155" s="40">
        <f>$K1155/2</f>
        <v>2500</v>
      </c>
      <c r="P1155" s="37"/>
      <c r="Q1155" s="37"/>
      <c r="R1155" s="37"/>
      <c r="S1155" s="37"/>
      <c r="T1155" s="40">
        <f>$K1155/2</f>
        <v>2500</v>
      </c>
      <c r="U1155" s="37"/>
      <c r="V1155" s="37"/>
      <c r="W1155" s="37"/>
      <c r="X1155" s="37"/>
      <c r="Y1155" s="37"/>
      <c r="Z1155" s="53"/>
      <c r="AA1155" s="966">
        <f t="shared" si="155"/>
        <v>5000</v>
      </c>
      <c r="AB1155" s="35"/>
      <c r="AC1155" s="183"/>
    </row>
    <row r="1156" spans="1:29" x14ac:dyDescent="0.2">
      <c r="A1156" s="1422"/>
      <c r="B1156" s="2522"/>
      <c r="C1156" s="2432"/>
      <c r="D1156" s="2421"/>
      <c r="E1156" s="2421"/>
      <c r="F1156" s="2421"/>
      <c r="G1156" s="2421"/>
      <c r="H1156" s="2421"/>
      <c r="I1156" s="2421"/>
      <c r="J1156" s="2432"/>
      <c r="K1156" s="40">
        <v>2000</v>
      </c>
      <c r="L1156" s="3295"/>
      <c r="M1156" s="3335" t="s">
        <v>303</v>
      </c>
      <c r="N1156" s="3336"/>
      <c r="O1156" s="37"/>
      <c r="P1156" s="38"/>
      <c r="Q1156" s="40">
        <f>$K1156</f>
        <v>2000</v>
      </c>
      <c r="R1156" s="38"/>
      <c r="S1156" s="38"/>
      <c r="T1156" s="38"/>
      <c r="U1156" s="38"/>
      <c r="V1156" s="38"/>
      <c r="W1156" s="38"/>
      <c r="X1156" s="38"/>
      <c r="Y1156" s="38"/>
      <c r="Z1156" s="54"/>
      <c r="AA1156" s="966">
        <f t="shared" si="155"/>
        <v>2000</v>
      </c>
      <c r="AB1156" s="35"/>
      <c r="AC1156" s="183"/>
    </row>
    <row r="1157" spans="1:29" x14ac:dyDescent="0.2">
      <c r="A1157" s="1422"/>
      <c r="B1157" s="2522"/>
      <c r="C1157" s="2432"/>
      <c r="D1157" s="2421"/>
      <c r="E1157" s="2421"/>
      <c r="F1157" s="2421"/>
      <c r="G1157" s="2421"/>
      <c r="H1157" s="2421"/>
      <c r="I1157" s="2421"/>
      <c r="J1157" s="2432"/>
      <c r="K1157" s="40">
        <v>1700</v>
      </c>
      <c r="L1157" s="3295"/>
      <c r="M1157" s="3335" t="s">
        <v>324</v>
      </c>
      <c r="N1157" s="3336"/>
      <c r="O1157" s="37"/>
      <c r="P1157" s="40">
        <f>$K1157/2</f>
        <v>850</v>
      </c>
      <c r="Q1157" s="38"/>
      <c r="R1157" s="38"/>
      <c r="S1157" s="38"/>
      <c r="T1157" s="38"/>
      <c r="U1157" s="40">
        <f>$K1157/2</f>
        <v>850</v>
      </c>
      <c r="V1157" s="38"/>
      <c r="W1157" s="38"/>
      <c r="X1157" s="38"/>
      <c r="Y1157" s="38"/>
      <c r="Z1157" s="54"/>
      <c r="AA1157" s="966">
        <f t="shared" si="155"/>
        <v>1700</v>
      </c>
      <c r="AB1157" s="35"/>
      <c r="AC1157" s="183"/>
    </row>
    <row r="1158" spans="1:29" x14ac:dyDescent="0.2">
      <c r="A1158" s="1422"/>
      <c r="B1158" s="2522"/>
      <c r="C1158" s="2432"/>
      <c r="D1158" s="2421"/>
      <c r="E1158" s="2421"/>
      <c r="F1158" s="2421"/>
      <c r="G1158" s="2421"/>
      <c r="H1158" s="2421"/>
      <c r="I1158" s="2421"/>
      <c r="J1158" s="2432"/>
      <c r="K1158" s="40">
        <v>23654</v>
      </c>
      <c r="L1158" s="3295"/>
      <c r="M1158" s="3335" t="s">
        <v>393</v>
      </c>
      <c r="N1158" s="3336"/>
      <c r="O1158" s="47"/>
      <c r="P1158" s="47"/>
      <c r="Q1158" s="47"/>
      <c r="R1158" s="40">
        <f>$K1158/2</f>
        <v>11827</v>
      </c>
      <c r="S1158" s="47"/>
      <c r="T1158" s="47"/>
      <c r="U1158" s="47"/>
      <c r="V1158" s="40">
        <f>$K1158/2</f>
        <v>11827</v>
      </c>
      <c r="W1158" s="47"/>
      <c r="X1158" s="47"/>
      <c r="Y1158" s="47"/>
      <c r="Z1158" s="55"/>
      <c r="AA1158" s="966">
        <f t="shared" si="155"/>
        <v>23654</v>
      </c>
      <c r="AB1158" s="35"/>
      <c r="AC1158" s="183"/>
    </row>
    <row r="1159" spans="1:29" x14ac:dyDescent="0.2">
      <c r="A1159" s="1422"/>
      <c r="B1159" s="2522"/>
      <c r="C1159" s="2432"/>
      <c r="D1159" s="2421"/>
      <c r="E1159" s="2421"/>
      <c r="F1159" s="2421"/>
      <c r="G1159" s="2421"/>
      <c r="H1159" s="2421"/>
      <c r="I1159" s="2421"/>
      <c r="J1159" s="2432"/>
      <c r="K1159" s="40">
        <v>29189</v>
      </c>
      <c r="L1159" s="3295"/>
      <c r="M1159" s="3335" t="s">
        <v>343</v>
      </c>
      <c r="N1159" s="3336"/>
      <c r="O1159" s="47"/>
      <c r="P1159" s="47"/>
      <c r="Q1159" s="47"/>
      <c r="R1159" s="47">
        <f>$K1159*(3/20)</f>
        <v>4378.3499999999995</v>
      </c>
      <c r="S1159" s="47">
        <f t="shared" ref="S1159" si="156">$K1159*(3/20)</f>
        <v>4378.3499999999995</v>
      </c>
      <c r="T1159" s="47">
        <f>$K1159*(1/20)</f>
        <v>1459.45</v>
      </c>
      <c r="U1159" s="47">
        <f>$K1159*(3/20)</f>
        <v>4378.3499999999995</v>
      </c>
      <c r="V1159" s="47">
        <f>$K1159*(4/20)</f>
        <v>5837.8</v>
      </c>
      <c r="W1159" s="47">
        <f>$K1159*(2/20)</f>
        <v>2918.9</v>
      </c>
      <c r="X1159" s="47">
        <f>$K1159*(1/20)</f>
        <v>1459.45</v>
      </c>
      <c r="Y1159" s="47">
        <f>$K1159*(2/20)</f>
        <v>2918.9</v>
      </c>
      <c r="Z1159" s="55">
        <f>$K1159*(1/20)</f>
        <v>1459.45</v>
      </c>
      <c r="AA1159" s="966">
        <f t="shared" si="155"/>
        <v>29189.000000000004</v>
      </c>
      <c r="AB1159" s="35"/>
      <c r="AC1159" s="183"/>
    </row>
    <row r="1160" spans="1:29" x14ac:dyDescent="0.2">
      <c r="A1160" s="1422"/>
      <c r="B1160" s="2522"/>
      <c r="C1160" s="2432"/>
      <c r="D1160" s="2421"/>
      <c r="E1160" s="2421"/>
      <c r="F1160" s="2421"/>
      <c r="G1160" s="2421"/>
      <c r="H1160" s="2421"/>
      <c r="I1160" s="2421"/>
      <c r="J1160" s="2432"/>
      <c r="K1160" s="40">
        <v>4000</v>
      </c>
      <c r="L1160" s="3295"/>
      <c r="M1160" s="3335" t="s">
        <v>349</v>
      </c>
      <c r="N1160" s="3336"/>
      <c r="O1160" s="40">
        <f t="shared" ref="O1160:Z1163" si="157">$K1160/12</f>
        <v>333.33333333333331</v>
      </c>
      <c r="P1160" s="40">
        <f t="shared" si="157"/>
        <v>333.33333333333331</v>
      </c>
      <c r="Q1160" s="40">
        <f t="shared" si="157"/>
        <v>333.33333333333331</v>
      </c>
      <c r="R1160" s="40">
        <f t="shared" si="157"/>
        <v>333.33333333333331</v>
      </c>
      <c r="S1160" s="40">
        <f t="shared" si="157"/>
        <v>333.33333333333331</v>
      </c>
      <c r="T1160" s="40">
        <f t="shared" si="157"/>
        <v>333.33333333333331</v>
      </c>
      <c r="U1160" s="40">
        <f t="shared" si="157"/>
        <v>333.33333333333331</v>
      </c>
      <c r="V1160" s="40">
        <f t="shared" si="157"/>
        <v>333.33333333333331</v>
      </c>
      <c r="W1160" s="40">
        <f t="shared" si="157"/>
        <v>333.33333333333331</v>
      </c>
      <c r="X1160" s="40">
        <f t="shared" si="157"/>
        <v>333.33333333333331</v>
      </c>
      <c r="Y1160" s="40">
        <f t="shared" si="157"/>
        <v>333.33333333333331</v>
      </c>
      <c r="Z1160" s="56">
        <f t="shared" si="157"/>
        <v>333.33333333333331</v>
      </c>
      <c r="AA1160" s="966">
        <f t="shared" si="155"/>
        <v>4000.0000000000005</v>
      </c>
      <c r="AB1160" s="35"/>
      <c r="AC1160" s="183"/>
    </row>
    <row r="1161" spans="1:29" x14ac:dyDescent="0.2">
      <c r="A1161" s="1422"/>
      <c r="B1161" s="2522"/>
      <c r="C1161" s="2432"/>
      <c r="D1161" s="2421"/>
      <c r="E1161" s="2421"/>
      <c r="F1161" s="2421"/>
      <c r="G1161" s="2421"/>
      <c r="H1161" s="2421"/>
      <c r="I1161" s="2421"/>
      <c r="J1161" s="2432"/>
      <c r="K1161" s="40">
        <v>5000</v>
      </c>
      <c r="L1161" s="3295"/>
      <c r="M1161" s="3335" t="s">
        <v>395</v>
      </c>
      <c r="N1161" s="3336"/>
      <c r="O1161" s="40">
        <f t="shared" si="157"/>
        <v>416.66666666666669</v>
      </c>
      <c r="P1161" s="40">
        <f t="shared" si="157"/>
        <v>416.66666666666669</v>
      </c>
      <c r="Q1161" s="40">
        <f t="shared" si="157"/>
        <v>416.66666666666669</v>
      </c>
      <c r="R1161" s="40">
        <f t="shared" si="157"/>
        <v>416.66666666666669</v>
      </c>
      <c r="S1161" s="40">
        <f t="shared" si="157"/>
        <v>416.66666666666669</v>
      </c>
      <c r="T1161" s="40">
        <f t="shared" si="157"/>
        <v>416.66666666666669</v>
      </c>
      <c r="U1161" s="40">
        <f t="shared" si="157"/>
        <v>416.66666666666669</v>
      </c>
      <c r="V1161" s="40">
        <f t="shared" si="157"/>
        <v>416.66666666666669</v>
      </c>
      <c r="W1161" s="40">
        <f t="shared" si="157"/>
        <v>416.66666666666669</v>
      </c>
      <c r="X1161" s="40">
        <f t="shared" si="157"/>
        <v>416.66666666666669</v>
      </c>
      <c r="Y1161" s="40">
        <f t="shared" si="157"/>
        <v>416.66666666666669</v>
      </c>
      <c r="Z1161" s="56">
        <f t="shared" si="157"/>
        <v>416.66666666666669</v>
      </c>
      <c r="AA1161" s="966">
        <f t="shared" si="155"/>
        <v>5000</v>
      </c>
      <c r="AB1161" s="35"/>
      <c r="AC1161" s="183"/>
    </row>
    <row r="1162" spans="1:29" x14ac:dyDescent="0.2">
      <c r="A1162" s="1422"/>
      <c r="B1162" s="2522"/>
      <c r="C1162" s="2432"/>
      <c r="D1162" s="2421"/>
      <c r="E1162" s="2421"/>
      <c r="F1162" s="2421"/>
      <c r="G1162" s="2421"/>
      <c r="H1162" s="2421"/>
      <c r="I1162" s="2421"/>
      <c r="J1162" s="2432"/>
      <c r="K1162" s="40">
        <v>21597</v>
      </c>
      <c r="L1162" s="3295"/>
      <c r="M1162" s="3335" t="s">
        <v>311</v>
      </c>
      <c r="N1162" s="3336"/>
      <c r="O1162" s="37">
        <f t="shared" si="157"/>
        <v>1799.75</v>
      </c>
      <c r="P1162" s="37">
        <f t="shared" si="157"/>
        <v>1799.75</v>
      </c>
      <c r="Q1162" s="37">
        <f t="shared" si="157"/>
        <v>1799.75</v>
      </c>
      <c r="R1162" s="37">
        <f t="shared" si="157"/>
        <v>1799.75</v>
      </c>
      <c r="S1162" s="37">
        <f t="shared" si="157"/>
        <v>1799.75</v>
      </c>
      <c r="T1162" s="37">
        <f t="shared" si="157"/>
        <v>1799.75</v>
      </c>
      <c r="U1162" s="37">
        <f t="shared" si="157"/>
        <v>1799.75</v>
      </c>
      <c r="V1162" s="37">
        <f t="shared" si="157"/>
        <v>1799.75</v>
      </c>
      <c r="W1162" s="37">
        <f t="shared" si="157"/>
        <v>1799.75</v>
      </c>
      <c r="X1162" s="37">
        <f t="shared" si="157"/>
        <v>1799.75</v>
      </c>
      <c r="Y1162" s="37">
        <f t="shared" si="157"/>
        <v>1799.75</v>
      </c>
      <c r="Z1162" s="53">
        <f t="shared" si="157"/>
        <v>1799.75</v>
      </c>
      <c r="AA1162" s="966">
        <f t="shared" si="155"/>
        <v>21597</v>
      </c>
      <c r="AB1162" s="35"/>
      <c r="AC1162" s="183"/>
    </row>
    <row r="1163" spans="1:29" x14ac:dyDescent="0.2">
      <c r="A1163" s="1422"/>
      <c r="B1163" s="2522"/>
      <c r="C1163" s="2437"/>
      <c r="D1163" s="2421"/>
      <c r="E1163" s="2421"/>
      <c r="F1163" s="2421"/>
      <c r="G1163" s="2421"/>
      <c r="H1163" s="2421"/>
      <c r="I1163" s="2421"/>
      <c r="J1163" s="2437"/>
      <c r="K1163" s="40">
        <v>305505</v>
      </c>
      <c r="L1163" s="3296"/>
      <c r="M1163" s="3335" t="s">
        <v>310</v>
      </c>
      <c r="N1163" s="3336"/>
      <c r="O1163" s="37">
        <f>$K1163/12</f>
        <v>25458.75</v>
      </c>
      <c r="P1163" s="37">
        <f t="shared" si="157"/>
        <v>25458.75</v>
      </c>
      <c r="Q1163" s="37">
        <f t="shared" si="157"/>
        <v>25458.75</v>
      </c>
      <c r="R1163" s="37">
        <f t="shared" si="157"/>
        <v>25458.75</v>
      </c>
      <c r="S1163" s="37">
        <f t="shared" si="157"/>
        <v>25458.75</v>
      </c>
      <c r="T1163" s="37">
        <f t="shared" si="157"/>
        <v>25458.75</v>
      </c>
      <c r="U1163" s="37">
        <f t="shared" si="157"/>
        <v>25458.75</v>
      </c>
      <c r="V1163" s="37">
        <f t="shared" si="157"/>
        <v>25458.75</v>
      </c>
      <c r="W1163" s="37">
        <f t="shared" si="157"/>
        <v>25458.75</v>
      </c>
      <c r="X1163" s="37">
        <f t="shared" si="157"/>
        <v>25458.75</v>
      </c>
      <c r="Y1163" s="37">
        <f t="shared" si="157"/>
        <v>25458.75</v>
      </c>
      <c r="Z1163" s="53">
        <f t="shared" si="157"/>
        <v>25458.75</v>
      </c>
      <c r="AA1163" s="966">
        <f t="shared" si="155"/>
        <v>305505</v>
      </c>
      <c r="AB1163" s="35"/>
      <c r="AC1163" s="183"/>
    </row>
    <row r="1164" spans="1:29" ht="15" customHeight="1" x14ac:dyDescent="0.2">
      <c r="A1164" s="1422"/>
      <c r="B1164" s="1433" t="s">
        <v>276</v>
      </c>
      <c r="C1164" s="108"/>
      <c r="D1164" s="35">
        <v>3033307</v>
      </c>
      <c r="E1164" s="192" t="s">
        <v>516</v>
      </c>
      <c r="F1164" s="193"/>
      <c r="G1164" s="194"/>
      <c r="H1164" s="35"/>
      <c r="I1164" s="35"/>
      <c r="J1164" s="35"/>
      <c r="K1164" s="60"/>
      <c r="L1164" s="60"/>
      <c r="M1164" s="181"/>
      <c r="N1164" s="181"/>
      <c r="O1164" s="60"/>
      <c r="P1164" s="60"/>
      <c r="Q1164" s="60"/>
      <c r="R1164" s="60"/>
      <c r="S1164" s="2922" t="s">
        <v>15</v>
      </c>
      <c r="T1164" s="2922"/>
      <c r="U1164" s="2922"/>
      <c r="V1164" s="2922"/>
      <c r="W1164" s="2922"/>
      <c r="X1164" s="2922"/>
      <c r="Y1164" s="2922"/>
      <c r="Z1164" s="3019" t="s">
        <v>16</v>
      </c>
      <c r="AA1164" s="3020"/>
      <c r="AB1164" s="35"/>
      <c r="AC1164" s="183"/>
    </row>
    <row r="1165" spans="1:29" x14ac:dyDescent="0.2">
      <c r="A1165" s="1422"/>
      <c r="B1165" s="1433"/>
      <c r="C1165" s="108"/>
      <c r="D1165" s="35"/>
      <c r="E1165" s="192"/>
      <c r="F1165" s="193"/>
      <c r="G1165" s="194"/>
      <c r="H1165" s="35"/>
      <c r="I1165" s="35"/>
      <c r="J1165" s="35"/>
      <c r="K1165" s="60"/>
      <c r="L1165" s="60"/>
      <c r="M1165" s="181"/>
      <c r="N1165" s="181"/>
      <c r="O1165" s="60"/>
      <c r="P1165" s="60"/>
      <c r="Q1165" s="60"/>
      <c r="R1165" s="60"/>
      <c r="S1165" s="3233" t="s">
        <v>517</v>
      </c>
      <c r="T1165" s="3233"/>
      <c r="U1165" s="3233"/>
      <c r="V1165" s="3233"/>
      <c r="W1165" s="3233"/>
      <c r="X1165" s="3233"/>
      <c r="Y1165" s="3233"/>
      <c r="Z1165" s="2922" t="s">
        <v>500</v>
      </c>
      <c r="AA1165" s="2922"/>
      <c r="AB1165" s="35"/>
      <c r="AC1165" s="183"/>
    </row>
    <row r="1166" spans="1:29" ht="15" customHeight="1" x14ac:dyDescent="0.2">
      <c r="A1166" s="1422"/>
      <c r="B1166" s="2999" t="s">
        <v>278</v>
      </c>
      <c r="C1166" s="2988" t="s">
        <v>21</v>
      </c>
      <c r="D1166" s="2847" t="s">
        <v>22</v>
      </c>
      <c r="E1166" s="2847" t="s">
        <v>23</v>
      </c>
      <c r="F1166" s="2847" t="s">
        <v>24</v>
      </c>
      <c r="G1166" s="2847" t="s">
        <v>25</v>
      </c>
      <c r="H1166" s="2847" t="s">
        <v>26</v>
      </c>
      <c r="I1166" s="2847" t="s">
        <v>27</v>
      </c>
      <c r="J1166" s="3206" t="s">
        <v>28</v>
      </c>
      <c r="K1166" s="3301"/>
      <c r="L1166" s="2847" t="s">
        <v>279</v>
      </c>
      <c r="M1166" s="3273" t="s">
        <v>280</v>
      </c>
      <c r="N1166" s="3274"/>
      <c r="O1166" s="2847" t="s">
        <v>281</v>
      </c>
      <c r="P1166" s="2847"/>
      <c r="Q1166" s="2847"/>
      <c r="R1166" s="2847"/>
      <c r="S1166" s="2847"/>
      <c r="T1166" s="2847"/>
      <c r="U1166" s="2847"/>
      <c r="V1166" s="2847"/>
      <c r="W1166" s="2847"/>
      <c r="X1166" s="2847"/>
      <c r="Y1166" s="2847"/>
      <c r="Z1166" s="2847"/>
      <c r="AA1166" s="3217" t="s">
        <v>32</v>
      </c>
      <c r="AB1166" s="35"/>
      <c r="AC1166" s="183"/>
    </row>
    <row r="1167" spans="1:29" ht="15" customHeight="1" x14ac:dyDescent="0.2">
      <c r="A1167" s="1422"/>
      <c r="B1167" s="2999"/>
      <c r="C1167" s="3186"/>
      <c r="D1167" s="2847"/>
      <c r="E1167" s="2847"/>
      <c r="F1167" s="2847"/>
      <c r="G1167" s="2847"/>
      <c r="H1167" s="2847"/>
      <c r="I1167" s="2847"/>
      <c r="J1167" s="2988" t="s">
        <v>33</v>
      </c>
      <c r="K1167" s="3206" t="s">
        <v>282</v>
      </c>
      <c r="L1167" s="2847"/>
      <c r="M1167" s="3275"/>
      <c r="N1167" s="3276"/>
      <c r="O1167" s="1009" t="s">
        <v>283</v>
      </c>
      <c r="P1167" s="1009" t="s">
        <v>284</v>
      </c>
      <c r="Q1167" s="1009" t="s">
        <v>285</v>
      </c>
      <c r="R1167" s="1009" t="s">
        <v>88</v>
      </c>
      <c r="S1167" s="1009" t="s">
        <v>89</v>
      </c>
      <c r="T1167" s="1009" t="s">
        <v>90</v>
      </c>
      <c r="U1167" s="1009" t="s">
        <v>91</v>
      </c>
      <c r="V1167" s="1009" t="s">
        <v>92</v>
      </c>
      <c r="W1167" s="1009" t="s">
        <v>286</v>
      </c>
      <c r="X1167" s="1009" t="s">
        <v>93</v>
      </c>
      <c r="Y1167" s="1009" t="s">
        <v>94</v>
      </c>
      <c r="Z1167" s="1009" t="s">
        <v>95</v>
      </c>
      <c r="AA1167" s="3218"/>
      <c r="AB1167" s="35"/>
      <c r="AC1167" s="183"/>
    </row>
    <row r="1168" spans="1:29" x14ac:dyDescent="0.2">
      <c r="A1168" s="1422"/>
      <c r="B1168" s="2999"/>
      <c r="C1168" s="3186"/>
      <c r="D1168" s="2847"/>
      <c r="E1168" s="2847"/>
      <c r="F1168" s="2847"/>
      <c r="G1168" s="2847"/>
      <c r="H1168" s="2847"/>
      <c r="I1168" s="2847"/>
      <c r="J1168" s="3186"/>
      <c r="K1168" s="3206"/>
      <c r="L1168" s="2847"/>
      <c r="M1168" s="3271" t="s">
        <v>287</v>
      </c>
      <c r="N1168" s="3272"/>
      <c r="O1168" s="1095">
        <v>85</v>
      </c>
      <c r="P1168" s="1095">
        <v>85</v>
      </c>
      <c r="Q1168" s="1095">
        <v>86</v>
      </c>
      <c r="R1168" s="1095">
        <v>87</v>
      </c>
      <c r="S1168" s="1095">
        <v>87</v>
      </c>
      <c r="T1168" s="1095">
        <v>87</v>
      </c>
      <c r="U1168" s="1095">
        <v>87</v>
      </c>
      <c r="V1168" s="1095">
        <v>87</v>
      </c>
      <c r="W1168" s="1095">
        <v>87</v>
      </c>
      <c r="X1168" s="1095">
        <v>87</v>
      </c>
      <c r="Y1168" s="1095">
        <v>87</v>
      </c>
      <c r="Z1168" s="1095">
        <v>87</v>
      </c>
      <c r="AA1168" s="1196">
        <f>SUM(O1168:Z1168)</f>
        <v>1039</v>
      </c>
      <c r="AB1168" s="35"/>
      <c r="AC1168" s="183"/>
    </row>
    <row r="1169" spans="1:29" x14ac:dyDescent="0.2">
      <c r="A1169" s="1422"/>
      <c r="B1169" s="2999"/>
      <c r="C1169" s="2989"/>
      <c r="D1169" s="2847"/>
      <c r="E1169" s="2847"/>
      <c r="F1169" s="2847"/>
      <c r="G1169" s="2847"/>
      <c r="H1169" s="2847"/>
      <c r="I1169" s="2847"/>
      <c r="J1169" s="2989"/>
      <c r="K1169" s="3206"/>
      <c r="L1169" s="2847"/>
      <c r="M1169" s="3271" t="s">
        <v>34</v>
      </c>
      <c r="N1169" s="3272"/>
      <c r="O1169" s="36">
        <f>SUM(O1170:O1183)</f>
        <v>73562.416666666657</v>
      </c>
      <c r="P1169" s="36">
        <f t="shared" ref="P1169:Z1169" si="158">SUM(P1170:P1183)</f>
        <v>70773.416666666657</v>
      </c>
      <c r="Q1169" s="36">
        <f t="shared" si="158"/>
        <v>70273.416666666657</v>
      </c>
      <c r="R1169" s="36">
        <f t="shared" si="158"/>
        <v>70273.416666666657</v>
      </c>
      <c r="S1169" s="36">
        <f t="shared" si="158"/>
        <v>70273.416666666657</v>
      </c>
      <c r="T1169" s="36">
        <f t="shared" si="158"/>
        <v>70273.416666666657</v>
      </c>
      <c r="U1169" s="36">
        <f t="shared" si="158"/>
        <v>72562.416666666657</v>
      </c>
      <c r="V1169" s="36">
        <f t="shared" si="158"/>
        <v>70273.416666666657</v>
      </c>
      <c r="W1169" s="36">
        <f t="shared" si="158"/>
        <v>70273.416666666657</v>
      </c>
      <c r="X1169" s="36">
        <f t="shared" si="158"/>
        <v>70273.416666666657</v>
      </c>
      <c r="Y1169" s="36">
        <f t="shared" si="158"/>
        <v>70273.416666666657</v>
      </c>
      <c r="Z1169" s="36">
        <f t="shared" si="158"/>
        <v>72562.416666666657</v>
      </c>
      <c r="AA1169" s="1196">
        <f t="shared" ref="AA1169:AA1183" si="159">SUM(O1169:Z1169)</f>
        <v>851647.99999999965</v>
      </c>
      <c r="AB1169" s="35"/>
      <c r="AC1169" s="183"/>
    </row>
    <row r="1170" spans="1:29" ht="11.25" customHeight="1" x14ac:dyDescent="0.2">
      <c r="A1170" s="1422"/>
      <c r="B1170" s="2522">
        <v>5000055</v>
      </c>
      <c r="C1170" s="2431" t="s">
        <v>3066</v>
      </c>
      <c r="D1170" s="3347"/>
      <c r="E1170" s="2421" t="s">
        <v>401</v>
      </c>
      <c r="F1170" s="2421" t="s">
        <v>386</v>
      </c>
      <c r="G1170" s="2421" t="s">
        <v>423</v>
      </c>
      <c r="H1170" s="2421" t="s">
        <v>337</v>
      </c>
      <c r="I1170" s="2421" t="s">
        <v>501</v>
      </c>
      <c r="J1170" s="3202">
        <v>1039</v>
      </c>
      <c r="K1170" s="40">
        <v>112644</v>
      </c>
      <c r="L1170" s="3294" t="s">
        <v>446</v>
      </c>
      <c r="M1170" s="3335" t="s">
        <v>293</v>
      </c>
      <c r="N1170" s="3336"/>
      <c r="O1170" s="37">
        <f t="shared" ref="O1170:Z1178" si="160">$K1170/12</f>
        <v>9387</v>
      </c>
      <c r="P1170" s="37">
        <f t="shared" si="160"/>
        <v>9387</v>
      </c>
      <c r="Q1170" s="37">
        <f t="shared" si="160"/>
        <v>9387</v>
      </c>
      <c r="R1170" s="37">
        <f t="shared" si="160"/>
        <v>9387</v>
      </c>
      <c r="S1170" s="37">
        <f t="shared" si="160"/>
        <v>9387</v>
      </c>
      <c r="T1170" s="37">
        <f t="shared" si="160"/>
        <v>9387</v>
      </c>
      <c r="U1170" s="37">
        <f t="shared" si="160"/>
        <v>9387</v>
      </c>
      <c r="V1170" s="37">
        <f t="shared" si="160"/>
        <v>9387</v>
      </c>
      <c r="W1170" s="37">
        <f t="shared" si="160"/>
        <v>9387</v>
      </c>
      <c r="X1170" s="37">
        <f t="shared" si="160"/>
        <v>9387</v>
      </c>
      <c r="Y1170" s="37">
        <f t="shared" si="160"/>
        <v>9387</v>
      </c>
      <c r="Z1170" s="37">
        <f t="shared" si="160"/>
        <v>9387</v>
      </c>
      <c r="AA1170" s="966">
        <f t="shared" si="159"/>
        <v>112644</v>
      </c>
      <c r="AB1170" s="35"/>
      <c r="AC1170" s="183"/>
    </row>
    <row r="1171" spans="1:29" x14ac:dyDescent="0.2">
      <c r="A1171" s="1422"/>
      <c r="B1171" s="2522"/>
      <c r="C1171" s="2432"/>
      <c r="D1171" s="3347"/>
      <c r="E1171" s="2421"/>
      <c r="F1171" s="2421"/>
      <c r="G1171" s="2421"/>
      <c r="H1171" s="2421"/>
      <c r="I1171" s="2421"/>
      <c r="J1171" s="3203"/>
      <c r="K1171" s="40">
        <v>23412</v>
      </c>
      <c r="L1171" s="3295"/>
      <c r="M1171" s="3335" t="s">
        <v>321</v>
      </c>
      <c r="N1171" s="3336"/>
      <c r="O1171" s="37">
        <f t="shared" si="160"/>
        <v>1951</v>
      </c>
      <c r="P1171" s="37">
        <f t="shared" si="160"/>
        <v>1951</v>
      </c>
      <c r="Q1171" s="37">
        <f t="shared" si="160"/>
        <v>1951</v>
      </c>
      <c r="R1171" s="37">
        <f t="shared" si="160"/>
        <v>1951</v>
      </c>
      <c r="S1171" s="37">
        <f t="shared" si="160"/>
        <v>1951</v>
      </c>
      <c r="T1171" s="37">
        <f t="shared" si="160"/>
        <v>1951</v>
      </c>
      <c r="U1171" s="37">
        <f t="shared" si="160"/>
        <v>1951</v>
      </c>
      <c r="V1171" s="37">
        <f t="shared" si="160"/>
        <v>1951</v>
      </c>
      <c r="W1171" s="37">
        <f t="shared" si="160"/>
        <v>1951</v>
      </c>
      <c r="X1171" s="37">
        <f t="shared" si="160"/>
        <v>1951</v>
      </c>
      <c r="Y1171" s="37">
        <f t="shared" si="160"/>
        <v>1951</v>
      </c>
      <c r="Z1171" s="37">
        <f t="shared" si="160"/>
        <v>1951</v>
      </c>
      <c r="AA1171" s="966">
        <f t="shared" si="159"/>
        <v>23412</v>
      </c>
      <c r="AB1171" s="35"/>
      <c r="AC1171" s="183"/>
    </row>
    <row r="1172" spans="1:29" x14ac:dyDescent="0.2">
      <c r="A1172" s="1422"/>
      <c r="B1172" s="2522"/>
      <c r="C1172" s="2432"/>
      <c r="D1172" s="3347"/>
      <c r="E1172" s="2421"/>
      <c r="F1172" s="2421"/>
      <c r="G1172" s="2421"/>
      <c r="H1172" s="2421"/>
      <c r="I1172" s="2421"/>
      <c r="J1172" s="3203"/>
      <c r="K1172" s="40">
        <v>41904</v>
      </c>
      <c r="L1172" s="3295"/>
      <c r="M1172" s="3335" t="s">
        <v>295</v>
      </c>
      <c r="N1172" s="3336"/>
      <c r="O1172" s="37">
        <f t="shared" si="160"/>
        <v>3492</v>
      </c>
      <c r="P1172" s="37">
        <f t="shared" si="160"/>
        <v>3492</v>
      </c>
      <c r="Q1172" s="37">
        <f t="shared" si="160"/>
        <v>3492</v>
      </c>
      <c r="R1172" s="37">
        <f t="shared" si="160"/>
        <v>3492</v>
      </c>
      <c r="S1172" s="37">
        <f t="shared" si="160"/>
        <v>3492</v>
      </c>
      <c r="T1172" s="37">
        <f t="shared" si="160"/>
        <v>3492</v>
      </c>
      <c r="U1172" s="37">
        <f t="shared" si="160"/>
        <v>3492</v>
      </c>
      <c r="V1172" s="37">
        <f t="shared" si="160"/>
        <v>3492</v>
      </c>
      <c r="W1172" s="37">
        <f t="shared" si="160"/>
        <v>3492</v>
      </c>
      <c r="X1172" s="37">
        <f t="shared" si="160"/>
        <v>3492</v>
      </c>
      <c r="Y1172" s="37">
        <f t="shared" si="160"/>
        <v>3492</v>
      </c>
      <c r="Z1172" s="37">
        <f t="shared" si="160"/>
        <v>3492</v>
      </c>
      <c r="AA1172" s="966">
        <f t="shared" si="159"/>
        <v>41904</v>
      </c>
      <c r="AB1172" s="35"/>
      <c r="AC1172" s="183"/>
    </row>
    <row r="1173" spans="1:29" x14ac:dyDescent="0.2">
      <c r="A1173" s="1422"/>
      <c r="B1173" s="2522"/>
      <c r="C1173" s="2432"/>
      <c r="D1173" s="3347"/>
      <c r="E1173" s="2421"/>
      <c r="F1173" s="2421"/>
      <c r="G1173" s="2421"/>
      <c r="H1173" s="2421"/>
      <c r="I1173" s="2421"/>
      <c r="J1173" s="3203"/>
      <c r="K1173" s="40">
        <v>20688</v>
      </c>
      <c r="L1173" s="3295"/>
      <c r="M1173" s="3335" t="s">
        <v>332</v>
      </c>
      <c r="N1173" s="3336"/>
      <c r="O1173" s="37">
        <f t="shared" si="160"/>
        <v>1724</v>
      </c>
      <c r="P1173" s="37">
        <f t="shared" si="160"/>
        <v>1724</v>
      </c>
      <c r="Q1173" s="37">
        <f t="shared" si="160"/>
        <v>1724</v>
      </c>
      <c r="R1173" s="37">
        <f t="shared" si="160"/>
        <v>1724</v>
      </c>
      <c r="S1173" s="37">
        <f t="shared" si="160"/>
        <v>1724</v>
      </c>
      <c r="T1173" s="37">
        <f t="shared" si="160"/>
        <v>1724</v>
      </c>
      <c r="U1173" s="37">
        <f t="shared" si="160"/>
        <v>1724</v>
      </c>
      <c r="V1173" s="37">
        <f t="shared" si="160"/>
        <v>1724</v>
      </c>
      <c r="W1173" s="37">
        <f t="shared" si="160"/>
        <v>1724</v>
      </c>
      <c r="X1173" s="37">
        <f t="shared" si="160"/>
        <v>1724</v>
      </c>
      <c r="Y1173" s="37">
        <f t="shared" si="160"/>
        <v>1724</v>
      </c>
      <c r="Z1173" s="37">
        <f t="shared" si="160"/>
        <v>1724</v>
      </c>
      <c r="AA1173" s="966">
        <f t="shared" si="159"/>
        <v>20688</v>
      </c>
      <c r="AB1173" s="35"/>
      <c r="AC1173" s="183"/>
    </row>
    <row r="1174" spans="1:29" x14ac:dyDescent="0.2">
      <c r="A1174" s="1422"/>
      <c r="B1174" s="2522"/>
      <c r="C1174" s="2432"/>
      <c r="D1174" s="3347"/>
      <c r="E1174" s="2421"/>
      <c r="F1174" s="2421"/>
      <c r="G1174" s="2421"/>
      <c r="H1174" s="2421"/>
      <c r="I1174" s="2421"/>
      <c r="J1174" s="3203"/>
      <c r="K1174" s="40">
        <v>82471</v>
      </c>
      <c r="L1174" s="3295"/>
      <c r="M1174" s="3335" t="s">
        <v>296</v>
      </c>
      <c r="N1174" s="3336"/>
      <c r="O1174" s="37">
        <f t="shared" si="160"/>
        <v>6872.583333333333</v>
      </c>
      <c r="P1174" s="37">
        <f t="shared" si="160"/>
        <v>6872.583333333333</v>
      </c>
      <c r="Q1174" s="37">
        <f t="shared" si="160"/>
        <v>6872.583333333333</v>
      </c>
      <c r="R1174" s="37">
        <f t="shared" si="160"/>
        <v>6872.583333333333</v>
      </c>
      <c r="S1174" s="37">
        <f t="shared" si="160"/>
        <v>6872.583333333333</v>
      </c>
      <c r="T1174" s="37">
        <f t="shared" si="160"/>
        <v>6872.583333333333</v>
      </c>
      <c r="U1174" s="37">
        <f t="shared" si="160"/>
        <v>6872.583333333333</v>
      </c>
      <c r="V1174" s="37">
        <f t="shared" si="160"/>
        <v>6872.583333333333</v>
      </c>
      <c r="W1174" s="37">
        <f t="shared" si="160"/>
        <v>6872.583333333333</v>
      </c>
      <c r="X1174" s="37">
        <f t="shared" si="160"/>
        <v>6872.583333333333</v>
      </c>
      <c r="Y1174" s="37">
        <f t="shared" si="160"/>
        <v>6872.583333333333</v>
      </c>
      <c r="Z1174" s="37">
        <f t="shared" si="160"/>
        <v>6872.583333333333</v>
      </c>
      <c r="AA1174" s="966">
        <f t="shared" si="159"/>
        <v>82471</v>
      </c>
      <c r="AB1174" s="35"/>
      <c r="AC1174" s="183"/>
    </row>
    <row r="1175" spans="1:29" x14ac:dyDescent="0.2">
      <c r="A1175" s="1422"/>
      <c r="B1175" s="2522"/>
      <c r="C1175" s="2432"/>
      <c r="D1175" s="3347"/>
      <c r="E1175" s="2421"/>
      <c r="F1175" s="2421"/>
      <c r="G1175" s="2421"/>
      <c r="H1175" s="2421"/>
      <c r="I1175" s="2421"/>
      <c r="J1175" s="3203"/>
      <c r="K1175" s="40">
        <v>5688</v>
      </c>
      <c r="L1175" s="3295"/>
      <c r="M1175" s="3335" t="s">
        <v>297</v>
      </c>
      <c r="N1175" s="3336"/>
      <c r="O1175" s="37">
        <f t="shared" si="160"/>
        <v>474</v>
      </c>
      <c r="P1175" s="37">
        <f t="shared" si="160"/>
        <v>474</v>
      </c>
      <c r="Q1175" s="37">
        <f t="shared" si="160"/>
        <v>474</v>
      </c>
      <c r="R1175" s="37">
        <f t="shared" si="160"/>
        <v>474</v>
      </c>
      <c r="S1175" s="37">
        <f t="shared" si="160"/>
        <v>474</v>
      </c>
      <c r="T1175" s="37">
        <f t="shared" si="160"/>
        <v>474</v>
      </c>
      <c r="U1175" s="37">
        <f t="shared" si="160"/>
        <v>474</v>
      </c>
      <c r="V1175" s="37">
        <f t="shared" si="160"/>
        <v>474</v>
      </c>
      <c r="W1175" s="37">
        <f t="shared" si="160"/>
        <v>474</v>
      </c>
      <c r="X1175" s="37">
        <f t="shared" si="160"/>
        <v>474</v>
      </c>
      <c r="Y1175" s="37">
        <f t="shared" si="160"/>
        <v>474</v>
      </c>
      <c r="Z1175" s="37">
        <f t="shared" si="160"/>
        <v>474</v>
      </c>
      <c r="AA1175" s="966">
        <f t="shared" si="159"/>
        <v>5688</v>
      </c>
      <c r="AB1175" s="35"/>
      <c r="AC1175" s="183"/>
    </row>
    <row r="1176" spans="1:29" x14ac:dyDescent="0.2">
      <c r="A1176" s="1422"/>
      <c r="B1176" s="2522"/>
      <c r="C1176" s="2432"/>
      <c r="D1176" s="3347"/>
      <c r="E1176" s="2421"/>
      <c r="F1176" s="2421"/>
      <c r="G1176" s="2421"/>
      <c r="H1176" s="2421"/>
      <c r="I1176" s="2421"/>
      <c r="J1176" s="3203"/>
      <c r="K1176" s="40">
        <v>4578</v>
      </c>
      <c r="L1176" s="3295"/>
      <c r="M1176" s="3335" t="s">
        <v>298</v>
      </c>
      <c r="N1176" s="3336"/>
      <c r="O1176" s="37"/>
      <c r="P1176" s="38"/>
      <c r="Q1176" s="38"/>
      <c r="R1176" s="38"/>
      <c r="S1176" s="38"/>
      <c r="T1176" s="38"/>
      <c r="U1176" s="37">
        <f>$K1176/2</f>
        <v>2289</v>
      </c>
      <c r="V1176" s="38"/>
      <c r="W1176" s="38"/>
      <c r="X1176" s="38"/>
      <c r="Y1176" s="38"/>
      <c r="Z1176" s="37">
        <f>$K1176/2</f>
        <v>2289</v>
      </c>
      <c r="AA1176" s="966">
        <f t="shared" si="159"/>
        <v>4578</v>
      </c>
      <c r="AB1176" s="35"/>
      <c r="AC1176" s="183"/>
    </row>
    <row r="1177" spans="1:29" x14ac:dyDescent="0.2">
      <c r="A1177" s="1422"/>
      <c r="B1177" s="2522"/>
      <c r="C1177" s="2432"/>
      <c r="D1177" s="3347"/>
      <c r="E1177" s="2421"/>
      <c r="F1177" s="2421"/>
      <c r="G1177" s="2421"/>
      <c r="H1177" s="2421"/>
      <c r="I1177" s="2421"/>
      <c r="J1177" s="3203"/>
      <c r="K1177" s="40">
        <v>2800</v>
      </c>
      <c r="L1177" s="3295"/>
      <c r="M1177" s="3335" t="s">
        <v>299</v>
      </c>
      <c r="N1177" s="3336"/>
      <c r="O1177" s="37">
        <f>$K1177</f>
        <v>2800</v>
      </c>
      <c r="P1177" s="38"/>
      <c r="Q1177" s="37"/>
      <c r="R1177" s="38"/>
      <c r="S1177" s="38"/>
      <c r="T1177" s="38"/>
      <c r="U1177" s="38"/>
      <c r="V1177" s="38"/>
      <c r="W1177" s="38"/>
      <c r="X1177" s="38"/>
      <c r="Y1177" s="38"/>
      <c r="Z1177" s="38"/>
      <c r="AA1177" s="966">
        <f t="shared" si="159"/>
        <v>2800</v>
      </c>
      <c r="AB1177" s="35"/>
      <c r="AC1177" s="183"/>
    </row>
    <row r="1178" spans="1:29" x14ac:dyDescent="0.2">
      <c r="A1178" s="1422"/>
      <c r="B1178" s="2522"/>
      <c r="C1178" s="2432"/>
      <c r="D1178" s="3347"/>
      <c r="E1178" s="2421"/>
      <c r="F1178" s="2421"/>
      <c r="G1178" s="2421"/>
      <c r="H1178" s="2421"/>
      <c r="I1178" s="2421"/>
      <c r="J1178" s="3203"/>
      <c r="K1178" s="40">
        <v>12628</v>
      </c>
      <c r="L1178" s="3295"/>
      <c r="M1178" s="3335" t="s">
        <v>300</v>
      </c>
      <c r="N1178" s="3336"/>
      <c r="O1178" s="37">
        <f t="shared" si="160"/>
        <v>1052.3333333333333</v>
      </c>
      <c r="P1178" s="37">
        <f t="shared" si="160"/>
        <v>1052.3333333333333</v>
      </c>
      <c r="Q1178" s="37">
        <f t="shared" si="160"/>
        <v>1052.3333333333333</v>
      </c>
      <c r="R1178" s="37">
        <f t="shared" si="160"/>
        <v>1052.3333333333333</v>
      </c>
      <c r="S1178" s="37">
        <f t="shared" si="160"/>
        <v>1052.3333333333333</v>
      </c>
      <c r="T1178" s="37">
        <f t="shared" si="160"/>
        <v>1052.3333333333333</v>
      </c>
      <c r="U1178" s="37">
        <f t="shared" si="160"/>
        <v>1052.3333333333333</v>
      </c>
      <c r="V1178" s="37">
        <f t="shared" si="160"/>
        <v>1052.3333333333333</v>
      </c>
      <c r="W1178" s="37">
        <f t="shared" si="160"/>
        <v>1052.3333333333333</v>
      </c>
      <c r="X1178" s="37">
        <f t="shared" si="160"/>
        <v>1052.3333333333333</v>
      </c>
      <c r="Y1178" s="37">
        <f t="shared" si="160"/>
        <v>1052.3333333333333</v>
      </c>
      <c r="Z1178" s="37">
        <f t="shared" si="160"/>
        <v>1052.3333333333333</v>
      </c>
      <c r="AA1178" s="966">
        <f t="shared" si="159"/>
        <v>12628.000000000002</v>
      </c>
      <c r="AB1178" s="35"/>
      <c r="AC1178" s="183"/>
    </row>
    <row r="1179" spans="1:29" x14ac:dyDescent="0.2">
      <c r="A1179" s="1422"/>
      <c r="B1179" s="2522"/>
      <c r="C1179" s="2432"/>
      <c r="D1179" s="3347"/>
      <c r="E1179" s="2421"/>
      <c r="F1179" s="2421"/>
      <c r="G1179" s="2421"/>
      <c r="H1179" s="2421"/>
      <c r="I1179" s="2421"/>
      <c r="J1179" s="3203"/>
      <c r="K1179" s="40">
        <v>489</v>
      </c>
      <c r="L1179" s="3295"/>
      <c r="M1179" s="3335" t="s">
        <v>380</v>
      </c>
      <c r="N1179" s="3336"/>
      <c r="O1179" s="40">
        <f>$K1179</f>
        <v>489</v>
      </c>
      <c r="P1179" s="38"/>
      <c r="Q1179" s="38"/>
      <c r="R1179" s="38"/>
      <c r="S1179" s="38"/>
      <c r="T1179" s="38"/>
      <c r="U1179" s="38"/>
      <c r="V1179" s="38"/>
      <c r="W1179" s="38"/>
      <c r="X1179" s="38"/>
      <c r="Y1179" s="38"/>
      <c r="Z1179" s="38"/>
      <c r="AA1179" s="966">
        <f t="shared" si="159"/>
        <v>489</v>
      </c>
      <c r="AB1179" s="35"/>
      <c r="AC1179" s="183"/>
    </row>
    <row r="1180" spans="1:29" x14ac:dyDescent="0.2">
      <c r="A1180" s="1422"/>
      <c r="B1180" s="2522"/>
      <c r="C1180" s="2432"/>
      <c r="D1180" s="3347"/>
      <c r="E1180" s="2421"/>
      <c r="F1180" s="2421"/>
      <c r="G1180" s="2421"/>
      <c r="H1180" s="2421"/>
      <c r="I1180" s="2421"/>
      <c r="J1180" s="3203"/>
      <c r="K1180" s="40">
        <v>500</v>
      </c>
      <c r="L1180" s="3295"/>
      <c r="M1180" s="3335" t="s">
        <v>324</v>
      </c>
      <c r="N1180" s="3336"/>
      <c r="O1180" s="37"/>
      <c r="P1180" s="40">
        <f>$K1180</f>
        <v>500</v>
      </c>
      <c r="Q1180" s="38"/>
      <c r="R1180" s="38"/>
      <c r="S1180" s="38"/>
      <c r="T1180" s="38"/>
      <c r="U1180" s="38"/>
      <c r="V1180" s="38"/>
      <c r="W1180" s="38"/>
      <c r="X1180" s="38"/>
      <c r="Y1180" s="38"/>
      <c r="Z1180" s="38"/>
      <c r="AA1180" s="966">
        <f t="shared" si="159"/>
        <v>500</v>
      </c>
      <c r="AB1180" s="35"/>
      <c r="AC1180" s="183"/>
    </row>
    <row r="1181" spans="1:29" x14ac:dyDescent="0.2">
      <c r="A1181" s="1422"/>
      <c r="B1181" s="2522"/>
      <c r="C1181" s="2432"/>
      <c r="D1181" s="3347"/>
      <c r="E1181" s="2421"/>
      <c r="F1181" s="2421"/>
      <c r="G1181" s="2421"/>
      <c r="H1181" s="2421"/>
      <c r="I1181" s="2421"/>
      <c r="J1181" s="3203"/>
      <c r="K1181" s="40">
        <v>4338</v>
      </c>
      <c r="L1181" s="3295"/>
      <c r="M1181" s="3335" t="s">
        <v>395</v>
      </c>
      <c r="N1181" s="3336"/>
      <c r="O1181" s="40">
        <f>$K1181/12</f>
        <v>361.5</v>
      </c>
      <c r="P1181" s="40">
        <f t="shared" ref="P1181:Y1181" si="161">$K1181/12</f>
        <v>361.5</v>
      </c>
      <c r="Q1181" s="40">
        <f t="shared" si="161"/>
        <v>361.5</v>
      </c>
      <c r="R1181" s="40">
        <f t="shared" si="161"/>
        <v>361.5</v>
      </c>
      <c r="S1181" s="40">
        <f t="shared" si="161"/>
        <v>361.5</v>
      </c>
      <c r="T1181" s="40">
        <f t="shared" si="161"/>
        <v>361.5</v>
      </c>
      <c r="U1181" s="40">
        <f t="shared" si="161"/>
        <v>361.5</v>
      </c>
      <c r="V1181" s="40">
        <f t="shared" si="161"/>
        <v>361.5</v>
      </c>
      <c r="W1181" s="40">
        <f t="shared" si="161"/>
        <v>361.5</v>
      </c>
      <c r="X1181" s="40">
        <f t="shared" si="161"/>
        <v>361.5</v>
      </c>
      <c r="Y1181" s="40">
        <f t="shared" si="161"/>
        <v>361.5</v>
      </c>
      <c r="Z1181" s="40">
        <f>$K1181/12</f>
        <v>361.5</v>
      </c>
      <c r="AA1181" s="966">
        <f t="shared" si="159"/>
        <v>4338</v>
      </c>
      <c r="AB1181" s="35"/>
      <c r="AC1181" s="183"/>
    </row>
    <row r="1182" spans="1:29" x14ac:dyDescent="0.2">
      <c r="A1182" s="1422"/>
      <c r="B1182" s="2522"/>
      <c r="C1182" s="2432"/>
      <c r="D1182" s="3347"/>
      <c r="E1182" s="2421"/>
      <c r="F1182" s="2421"/>
      <c r="G1182" s="2421"/>
      <c r="H1182" s="2421"/>
      <c r="I1182" s="2421"/>
      <c r="J1182" s="3203"/>
      <c r="K1182" s="40">
        <v>43308</v>
      </c>
      <c r="L1182" s="3295"/>
      <c r="M1182" s="3335" t="s">
        <v>311</v>
      </c>
      <c r="N1182" s="3336"/>
      <c r="O1182" s="37">
        <f t="shared" ref="O1182:Z1183" si="162">$K1182/12</f>
        <v>3609</v>
      </c>
      <c r="P1182" s="37">
        <f t="shared" si="162"/>
        <v>3609</v>
      </c>
      <c r="Q1182" s="37">
        <f t="shared" si="162"/>
        <v>3609</v>
      </c>
      <c r="R1182" s="37">
        <f t="shared" si="162"/>
        <v>3609</v>
      </c>
      <c r="S1182" s="37">
        <f t="shared" si="162"/>
        <v>3609</v>
      </c>
      <c r="T1182" s="37">
        <f t="shared" si="162"/>
        <v>3609</v>
      </c>
      <c r="U1182" s="37">
        <f t="shared" si="162"/>
        <v>3609</v>
      </c>
      <c r="V1182" s="37">
        <f t="shared" si="162"/>
        <v>3609</v>
      </c>
      <c r="W1182" s="37">
        <f t="shared" si="162"/>
        <v>3609</v>
      </c>
      <c r="X1182" s="37">
        <f t="shared" si="162"/>
        <v>3609</v>
      </c>
      <c r="Y1182" s="37">
        <f t="shared" si="162"/>
        <v>3609</v>
      </c>
      <c r="Z1182" s="37">
        <f t="shared" si="162"/>
        <v>3609</v>
      </c>
      <c r="AA1182" s="966">
        <f t="shared" si="159"/>
        <v>43308</v>
      </c>
      <c r="AB1182" s="35"/>
      <c r="AC1182" s="183"/>
    </row>
    <row r="1183" spans="1:29" x14ac:dyDescent="0.2">
      <c r="A1183" s="1422"/>
      <c r="B1183" s="2522"/>
      <c r="C1183" s="2437"/>
      <c r="D1183" s="3347"/>
      <c r="E1183" s="2421"/>
      <c r="F1183" s="2421"/>
      <c r="G1183" s="2421"/>
      <c r="H1183" s="2421"/>
      <c r="I1183" s="2421"/>
      <c r="J1183" s="3203"/>
      <c r="K1183" s="40">
        <v>496200</v>
      </c>
      <c r="L1183" s="3296"/>
      <c r="M1183" s="3335" t="s">
        <v>310</v>
      </c>
      <c r="N1183" s="3336"/>
      <c r="O1183" s="37">
        <f t="shared" si="162"/>
        <v>41350</v>
      </c>
      <c r="P1183" s="37">
        <f>$K1183/12</f>
        <v>41350</v>
      </c>
      <c r="Q1183" s="37">
        <f t="shared" si="162"/>
        <v>41350</v>
      </c>
      <c r="R1183" s="37">
        <f t="shared" si="162"/>
        <v>41350</v>
      </c>
      <c r="S1183" s="37">
        <f t="shared" si="162"/>
        <v>41350</v>
      </c>
      <c r="T1183" s="37">
        <f t="shared" si="162"/>
        <v>41350</v>
      </c>
      <c r="U1183" s="37">
        <f t="shared" si="162"/>
        <v>41350</v>
      </c>
      <c r="V1183" s="37">
        <f t="shared" si="162"/>
        <v>41350</v>
      </c>
      <c r="W1183" s="37">
        <f t="shared" si="162"/>
        <v>41350</v>
      </c>
      <c r="X1183" s="37">
        <f t="shared" si="162"/>
        <v>41350</v>
      </c>
      <c r="Y1183" s="37">
        <f t="shared" si="162"/>
        <v>41350</v>
      </c>
      <c r="Z1183" s="37">
        <f t="shared" si="162"/>
        <v>41350</v>
      </c>
      <c r="AA1183" s="966">
        <f t="shared" si="159"/>
        <v>496200</v>
      </c>
      <c r="AB1183" s="35"/>
      <c r="AC1183" s="183"/>
    </row>
    <row r="1184" spans="1:29" ht="22.5" customHeight="1" x14ac:dyDescent="0.2">
      <c r="A1184" s="1422"/>
      <c r="B1184" s="1433" t="s">
        <v>276</v>
      </c>
      <c r="C1184" s="108"/>
      <c r="D1184" s="35">
        <v>3033307</v>
      </c>
      <c r="E1184" s="192" t="s">
        <v>518</v>
      </c>
      <c r="F1184" s="193"/>
      <c r="G1184" s="194"/>
      <c r="H1184" s="35"/>
      <c r="I1184" s="35"/>
      <c r="J1184" s="35"/>
      <c r="K1184" s="60"/>
      <c r="L1184" s="60"/>
      <c r="M1184" s="181"/>
      <c r="N1184" s="181"/>
      <c r="O1184" s="60"/>
      <c r="P1184" s="60"/>
      <c r="Q1184" s="60"/>
      <c r="R1184" s="60"/>
      <c r="S1184" s="2922" t="s">
        <v>15</v>
      </c>
      <c r="T1184" s="2922"/>
      <c r="U1184" s="2922"/>
      <c r="V1184" s="2922"/>
      <c r="W1184" s="2922"/>
      <c r="X1184" s="2922"/>
      <c r="Y1184" s="2922"/>
      <c r="Z1184" s="3019" t="s">
        <v>16</v>
      </c>
      <c r="AA1184" s="3020"/>
      <c r="AB1184" s="35"/>
      <c r="AC1184" s="183"/>
    </row>
    <row r="1185" spans="1:29" ht="26.25" customHeight="1" x14ac:dyDescent="0.2">
      <c r="A1185" s="1422"/>
      <c r="B1185" s="1433"/>
      <c r="C1185" s="108"/>
      <c r="D1185" s="35"/>
      <c r="E1185" s="192"/>
      <c r="F1185" s="193"/>
      <c r="G1185" s="194"/>
      <c r="H1185" s="35"/>
      <c r="I1185" s="35"/>
      <c r="J1185" s="35"/>
      <c r="K1185" s="60"/>
      <c r="L1185" s="60"/>
      <c r="M1185" s="181"/>
      <c r="N1185" s="181"/>
      <c r="O1185" s="60"/>
      <c r="P1185" s="60"/>
      <c r="Q1185" s="60"/>
      <c r="R1185" s="60"/>
      <c r="S1185" s="3233" t="s">
        <v>519</v>
      </c>
      <c r="T1185" s="3233"/>
      <c r="U1185" s="3233"/>
      <c r="V1185" s="3233"/>
      <c r="W1185" s="3233"/>
      <c r="X1185" s="3233"/>
      <c r="Y1185" s="3233"/>
      <c r="Z1185" s="1110"/>
      <c r="AA1185" s="1199"/>
      <c r="AB1185" s="35"/>
      <c r="AC1185" s="183"/>
    </row>
    <row r="1186" spans="1:29" ht="15.75" customHeight="1" x14ac:dyDescent="0.2">
      <c r="A1186" s="1422"/>
      <c r="B1186" s="2999" t="s">
        <v>278</v>
      </c>
      <c r="C1186" s="2988" t="s">
        <v>21</v>
      </c>
      <c r="D1186" s="2847" t="s">
        <v>22</v>
      </c>
      <c r="E1186" s="2847" t="s">
        <v>23</v>
      </c>
      <c r="F1186" s="2847" t="s">
        <v>24</v>
      </c>
      <c r="G1186" s="2847" t="s">
        <v>25</v>
      </c>
      <c r="H1186" s="2847" t="s">
        <v>26</v>
      </c>
      <c r="I1186" s="2847" t="s">
        <v>27</v>
      </c>
      <c r="J1186" s="3206" t="s">
        <v>28</v>
      </c>
      <c r="K1186" s="3301"/>
      <c r="L1186" s="2847" t="s">
        <v>279</v>
      </c>
      <c r="M1186" s="3273" t="s">
        <v>280</v>
      </c>
      <c r="N1186" s="3274"/>
      <c r="O1186" s="2847" t="s">
        <v>281</v>
      </c>
      <c r="P1186" s="2847"/>
      <c r="Q1186" s="2847"/>
      <c r="R1186" s="2847"/>
      <c r="S1186" s="2847"/>
      <c r="T1186" s="2847"/>
      <c r="U1186" s="2847"/>
      <c r="V1186" s="2847"/>
      <c r="W1186" s="2847"/>
      <c r="X1186" s="2847"/>
      <c r="Y1186" s="2847"/>
      <c r="Z1186" s="2847"/>
      <c r="AA1186" s="3217" t="s">
        <v>32</v>
      </c>
      <c r="AB1186" s="35"/>
      <c r="AC1186" s="183"/>
    </row>
    <row r="1187" spans="1:29" ht="15.75" customHeight="1" x14ac:dyDescent="0.2">
      <c r="A1187" s="1422"/>
      <c r="B1187" s="2999"/>
      <c r="C1187" s="3186"/>
      <c r="D1187" s="2847"/>
      <c r="E1187" s="2847"/>
      <c r="F1187" s="2847"/>
      <c r="G1187" s="2847"/>
      <c r="H1187" s="2847"/>
      <c r="I1187" s="2847"/>
      <c r="J1187" s="2988" t="s">
        <v>33</v>
      </c>
      <c r="K1187" s="3206" t="s">
        <v>282</v>
      </c>
      <c r="L1187" s="2847"/>
      <c r="M1187" s="3275"/>
      <c r="N1187" s="3276"/>
      <c r="O1187" s="1009" t="s">
        <v>283</v>
      </c>
      <c r="P1187" s="1009" t="s">
        <v>284</v>
      </c>
      <c r="Q1187" s="1009" t="s">
        <v>285</v>
      </c>
      <c r="R1187" s="1009" t="s">
        <v>88</v>
      </c>
      <c r="S1187" s="1009" t="s">
        <v>89</v>
      </c>
      <c r="T1187" s="1009" t="s">
        <v>90</v>
      </c>
      <c r="U1187" s="1009" t="s">
        <v>91</v>
      </c>
      <c r="V1187" s="1009" t="s">
        <v>92</v>
      </c>
      <c r="W1187" s="1009" t="s">
        <v>286</v>
      </c>
      <c r="X1187" s="1009" t="s">
        <v>93</v>
      </c>
      <c r="Y1187" s="1009" t="s">
        <v>94</v>
      </c>
      <c r="Z1187" s="1009" t="s">
        <v>95</v>
      </c>
      <c r="AA1187" s="3218"/>
      <c r="AB1187" s="35"/>
      <c r="AC1187" s="183"/>
    </row>
    <row r="1188" spans="1:29" x14ac:dyDescent="0.2">
      <c r="A1188" s="1422"/>
      <c r="B1188" s="2999"/>
      <c r="C1188" s="3186"/>
      <c r="D1188" s="2847"/>
      <c r="E1188" s="2847"/>
      <c r="F1188" s="2847"/>
      <c r="G1188" s="2847"/>
      <c r="H1188" s="2847"/>
      <c r="I1188" s="2847"/>
      <c r="J1188" s="3186"/>
      <c r="K1188" s="3206"/>
      <c r="L1188" s="2847"/>
      <c r="M1188" s="3271" t="s">
        <v>287</v>
      </c>
      <c r="N1188" s="3272"/>
      <c r="O1188" s="1095">
        <v>2323</v>
      </c>
      <c r="P1188" s="1095">
        <v>2323</v>
      </c>
      <c r="Q1188" s="1095">
        <v>2323</v>
      </c>
      <c r="R1188" s="1095">
        <v>2323</v>
      </c>
      <c r="S1188" s="1095">
        <v>2323</v>
      </c>
      <c r="T1188" s="1095">
        <v>2323</v>
      </c>
      <c r="U1188" s="1095">
        <v>2323</v>
      </c>
      <c r="V1188" s="1095">
        <v>2323</v>
      </c>
      <c r="W1188" s="1095">
        <v>2323</v>
      </c>
      <c r="X1188" s="1095">
        <v>2323</v>
      </c>
      <c r="Y1188" s="1095">
        <v>2323</v>
      </c>
      <c r="Z1188" s="1095">
        <v>2323</v>
      </c>
      <c r="AA1188" s="1196">
        <f>SUM(O1188:Z1188)</f>
        <v>27876</v>
      </c>
      <c r="AB1188" s="35"/>
      <c r="AC1188" s="183"/>
    </row>
    <row r="1189" spans="1:29" x14ac:dyDescent="0.2">
      <c r="A1189" s="1422"/>
      <c r="B1189" s="2999"/>
      <c r="C1189" s="2989"/>
      <c r="D1189" s="2847"/>
      <c r="E1189" s="2847"/>
      <c r="F1189" s="2847"/>
      <c r="G1189" s="2847"/>
      <c r="H1189" s="2847"/>
      <c r="I1189" s="2847"/>
      <c r="J1189" s="2989"/>
      <c r="K1189" s="3206"/>
      <c r="L1189" s="2847"/>
      <c r="M1189" s="3271" t="s">
        <v>34</v>
      </c>
      <c r="N1189" s="3272"/>
      <c r="O1189" s="36">
        <f>SUM(O1190:O1207)</f>
        <v>98479.583333333328</v>
      </c>
      <c r="P1189" s="36">
        <f t="shared" ref="P1189:Z1189" si="163">SUM(P1190:P1207)</f>
        <v>87789.583333333328</v>
      </c>
      <c r="Q1189" s="36">
        <f t="shared" si="163"/>
        <v>92846.583333333328</v>
      </c>
      <c r="R1189" s="36">
        <f t="shared" si="163"/>
        <v>92496.583333333328</v>
      </c>
      <c r="S1189" s="36">
        <f t="shared" si="163"/>
        <v>91596.583333333328</v>
      </c>
      <c r="T1189" s="36">
        <f t="shared" si="163"/>
        <v>89996.583333333328</v>
      </c>
      <c r="U1189" s="36">
        <f t="shared" si="163"/>
        <v>97446.583333333328</v>
      </c>
      <c r="V1189" s="36">
        <f t="shared" si="163"/>
        <v>92246.583333333328</v>
      </c>
      <c r="W1189" s="36">
        <f t="shared" si="163"/>
        <v>90096.583333333328</v>
      </c>
      <c r="X1189" s="36">
        <f t="shared" si="163"/>
        <v>88996.583333333328</v>
      </c>
      <c r="Y1189" s="36">
        <f t="shared" si="163"/>
        <v>92096.583333333328</v>
      </c>
      <c r="Z1189" s="36">
        <f t="shared" si="163"/>
        <v>96346.583333333328</v>
      </c>
      <c r="AA1189" s="1196">
        <f>SUM(O1189:Z1189)</f>
        <v>1110435.0000000002</v>
      </c>
      <c r="AB1189" s="35"/>
      <c r="AC1189" s="183"/>
    </row>
    <row r="1190" spans="1:29" ht="11.25" customHeight="1" x14ac:dyDescent="0.2">
      <c r="A1190" s="1422"/>
      <c r="B1190" s="2522">
        <v>5000056</v>
      </c>
      <c r="C1190" s="2431" t="s">
        <v>3067</v>
      </c>
      <c r="D1190" s="2421">
        <v>40</v>
      </c>
      <c r="E1190" s="2421" t="s">
        <v>407</v>
      </c>
      <c r="F1190" s="2421" t="s">
        <v>313</v>
      </c>
      <c r="G1190" s="2421" t="s">
        <v>329</v>
      </c>
      <c r="H1190" s="2421" t="s">
        <v>337</v>
      </c>
      <c r="I1190" s="2421" t="s">
        <v>379</v>
      </c>
      <c r="J1190" s="3202">
        <v>27876</v>
      </c>
      <c r="K1190" s="40">
        <v>159300</v>
      </c>
      <c r="L1190" s="3294" t="s">
        <v>446</v>
      </c>
      <c r="M1190" s="3335" t="s">
        <v>293</v>
      </c>
      <c r="N1190" s="3336"/>
      <c r="O1190" s="37">
        <f t="shared" ref="O1190:Z1198" si="164">$K1190/12</f>
        <v>13275</v>
      </c>
      <c r="P1190" s="37">
        <f t="shared" si="164"/>
        <v>13275</v>
      </c>
      <c r="Q1190" s="37">
        <f t="shared" si="164"/>
        <v>13275</v>
      </c>
      <c r="R1190" s="37">
        <f t="shared" si="164"/>
        <v>13275</v>
      </c>
      <c r="S1190" s="37">
        <f t="shared" si="164"/>
        <v>13275</v>
      </c>
      <c r="T1190" s="37">
        <f t="shared" si="164"/>
        <v>13275</v>
      </c>
      <c r="U1190" s="37">
        <f t="shared" si="164"/>
        <v>13275</v>
      </c>
      <c r="V1190" s="37">
        <f t="shared" si="164"/>
        <v>13275</v>
      </c>
      <c r="W1190" s="37">
        <f t="shared" si="164"/>
        <v>13275</v>
      </c>
      <c r="X1190" s="37">
        <f t="shared" si="164"/>
        <v>13275</v>
      </c>
      <c r="Y1190" s="37">
        <f t="shared" si="164"/>
        <v>13275</v>
      </c>
      <c r="Z1190" s="37">
        <f t="shared" si="164"/>
        <v>13275</v>
      </c>
      <c r="AA1190" s="966">
        <f t="shared" ref="AA1190:AA1207" si="165">SUM(O1190:Z1190)</f>
        <v>159300</v>
      </c>
      <c r="AB1190" s="35"/>
      <c r="AC1190" s="183"/>
    </row>
    <row r="1191" spans="1:29" x14ac:dyDescent="0.2">
      <c r="A1191" s="1422"/>
      <c r="B1191" s="2522"/>
      <c r="C1191" s="2432"/>
      <c r="D1191" s="2421"/>
      <c r="E1191" s="2421"/>
      <c r="F1191" s="2421"/>
      <c r="G1191" s="2421"/>
      <c r="H1191" s="2421"/>
      <c r="I1191" s="2421"/>
      <c r="J1191" s="3203"/>
      <c r="K1191" s="40">
        <v>442896</v>
      </c>
      <c r="L1191" s="3295"/>
      <c r="M1191" s="3335" t="s">
        <v>295</v>
      </c>
      <c r="N1191" s="3336"/>
      <c r="O1191" s="37">
        <f t="shared" si="164"/>
        <v>36908</v>
      </c>
      <c r="P1191" s="37">
        <f t="shared" si="164"/>
        <v>36908</v>
      </c>
      <c r="Q1191" s="37">
        <f t="shared" si="164"/>
        <v>36908</v>
      </c>
      <c r="R1191" s="37">
        <f t="shared" si="164"/>
        <v>36908</v>
      </c>
      <c r="S1191" s="37">
        <f t="shared" si="164"/>
        <v>36908</v>
      </c>
      <c r="T1191" s="37">
        <f t="shared" si="164"/>
        <v>36908</v>
      </c>
      <c r="U1191" s="37">
        <f t="shared" si="164"/>
        <v>36908</v>
      </c>
      <c r="V1191" s="37">
        <f t="shared" si="164"/>
        <v>36908</v>
      </c>
      <c r="W1191" s="37">
        <f t="shared" si="164"/>
        <v>36908</v>
      </c>
      <c r="X1191" s="37">
        <f t="shared" si="164"/>
        <v>36908</v>
      </c>
      <c r="Y1191" s="37">
        <f t="shared" si="164"/>
        <v>36908</v>
      </c>
      <c r="Z1191" s="37">
        <f t="shared" si="164"/>
        <v>36908</v>
      </c>
      <c r="AA1191" s="966">
        <f t="shared" si="165"/>
        <v>442896</v>
      </c>
      <c r="AB1191" s="35"/>
      <c r="AC1191" s="183"/>
    </row>
    <row r="1192" spans="1:29" x14ac:dyDescent="0.2">
      <c r="A1192" s="1422"/>
      <c r="B1192" s="2522"/>
      <c r="C1192" s="2432"/>
      <c r="D1192" s="2421"/>
      <c r="E1192" s="2421"/>
      <c r="F1192" s="2421"/>
      <c r="G1192" s="2421"/>
      <c r="H1192" s="2421"/>
      <c r="I1192" s="2421"/>
      <c r="J1192" s="3203"/>
      <c r="K1192" s="40">
        <v>23016</v>
      </c>
      <c r="L1192" s="3295"/>
      <c r="M1192" s="3335" t="s">
        <v>332</v>
      </c>
      <c r="N1192" s="3336"/>
      <c r="O1192" s="37">
        <f t="shared" si="164"/>
        <v>1918</v>
      </c>
      <c r="P1192" s="37">
        <f t="shared" si="164"/>
        <v>1918</v>
      </c>
      <c r="Q1192" s="37">
        <f t="shared" si="164"/>
        <v>1918</v>
      </c>
      <c r="R1192" s="37">
        <f t="shared" si="164"/>
        <v>1918</v>
      </c>
      <c r="S1192" s="37">
        <f t="shared" si="164"/>
        <v>1918</v>
      </c>
      <c r="T1192" s="37">
        <f t="shared" si="164"/>
        <v>1918</v>
      </c>
      <c r="U1192" s="37">
        <f t="shared" si="164"/>
        <v>1918</v>
      </c>
      <c r="V1192" s="37">
        <f t="shared" si="164"/>
        <v>1918</v>
      </c>
      <c r="W1192" s="37">
        <f t="shared" si="164"/>
        <v>1918</v>
      </c>
      <c r="X1192" s="37">
        <f t="shared" si="164"/>
        <v>1918</v>
      </c>
      <c r="Y1192" s="37">
        <f t="shared" si="164"/>
        <v>1918</v>
      </c>
      <c r="Z1192" s="37">
        <f t="shared" si="164"/>
        <v>1918</v>
      </c>
      <c r="AA1192" s="966">
        <f t="shared" si="165"/>
        <v>23016</v>
      </c>
      <c r="AB1192" s="35"/>
      <c r="AC1192" s="183"/>
    </row>
    <row r="1193" spans="1:29" x14ac:dyDescent="0.2">
      <c r="A1193" s="1422"/>
      <c r="B1193" s="2522"/>
      <c r="C1193" s="2432"/>
      <c r="D1193" s="2421"/>
      <c r="E1193" s="2421"/>
      <c r="F1193" s="2421"/>
      <c r="G1193" s="2421"/>
      <c r="H1193" s="2421"/>
      <c r="I1193" s="2421"/>
      <c r="J1193" s="3203"/>
      <c r="K1193" s="40">
        <v>107261</v>
      </c>
      <c r="L1193" s="3295"/>
      <c r="M1193" s="3335" t="s">
        <v>296</v>
      </c>
      <c r="N1193" s="3336"/>
      <c r="O1193" s="37">
        <f t="shared" si="164"/>
        <v>8938.4166666666661</v>
      </c>
      <c r="P1193" s="37">
        <f t="shared" si="164"/>
        <v>8938.4166666666661</v>
      </c>
      <c r="Q1193" s="37">
        <f t="shared" si="164"/>
        <v>8938.4166666666661</v>
      </c>
      <c r="R1193" s="37">
        <f t="shared" si="164"/>
        <v>8938.4166666666661</v>
      </c>
      <c r="S1193" s="37">
        <f t="shared" si="164"/>
        <v>8938.4166666666661</v>
      </c>
      <c r="T1193" s="37">
        <f t="shared" si="164"/>
        <v>8938.4166666666661</v>
      </c>
      <c r="U1193" s="37">
        <f t="shared" si="164"/>
        <v>8938.4166666666661</v>
      </c>
      <c r="V1193" s="37">
        <f t="shared" si="164"/>
        <v>8938.4166666666661</v>
      </c>
      <c r="W1193" s="37">
        <f t="shared" si="164"/>
        <v>8938.4166666666661</v>
      </c>
      <c r="X1193" s="37">
        <f t="shared" si="164"/>
        <v>8938.4166666666661</v>
      </c>
      <c r="Y1193" s="37">
        <f t="shared" si="164"/>
        <v>8938.4166666666661</v>
      </c>
      <c r="Z1193" s="37">
        <f t="shared" si="164"/>
        <v>8938.4166666666661</v>
      </c>
      <c r="AA1193" s="966">
        <f t="shared" si="165"/>
        <v>107261.00000000001</v>
      </c>
      <c r="AB1193" s="35"/>
      <c r="AC1193" s="183"/>
    </row>
    <row r="1194" spans="1:29" x14ac:dyDescent="0.2">
      <c r="A1194" s="1422"/>
      <c r="B1194" s="2522"/>
      <c r="C1194" s="2432"/>
      <c r="D1194" s="2421"/>
      <c r="E1194" s="2421"/>
      <c r="F1194" s="2421"/>
      <c r="G1194" s="2421"/>
      <c r="H1194" s="2421"/>
      <c r="I1194" s="2421"/>
      <c r="J1194" s="3203"/>
      <c r="K1194" s="40">
        <v>66828</v>
      </c>
      <c r="L1194" s="3295"/>
      <c r="M1194" s="3335" t="s">
        <v>297</v>
      </c>
      <c r="N1194" s="3336"/>
      <c r="O1194" s="37">
        <f t="shared" si="164"/>
        <v>5569</v>
      </c>
      <c r="P1194" s="37">
        <f t="shared" si="164"/>
        <v>5569</v>
      </c>
      <c r="Q1194" s="37">
        <f t="shared" si="164"/>
        <v>5569</v>
      </c>
      <c r="R1194" s="37">
        <f t="shared" si="164"/>
        <v>5569</v>
      </c>
      <c r="S1194" s="37">
        <f t="shared" si="164"/>
        <v>5569</v>
      </c>
      <c r="T1194" s="37">
        <f t="shared" si="164"/>
        <v>5569</v>
      </c>
      <c r="U1194" s="37">
        <f t="shared" si="164"/>
        <v>5569</v>
      </c>
      <c r="V1194" s="37">
        <f t="shared" si="164"/>
        <v>5569</v>
      </c>
      <c r="W1194" s="37">
        <f t="shared" si="164"/>
        <v>5569</v>
      </c>
      <c r="X1194" s="37">
        <f t="shared" si="164"/>
        <v>5569</v>
      </c>
      <c r="Y1194" s="37">
        <f t="shared" si="164"/>
        <v>5569</v>
      </c>
      <c r="Z1194" s="37">
        <f t="shared" si="164"/>
        <v>5569</v>
      </c>
      <c r="AA1194" s="966">
        <f t="shared" si="165"/>
        <v>66828</v>
      </c>
      <c r="AB1194" s="35"/>
      <c r="AC1194" s="183"/>
    </row>
    <row r="1195" spans="1:29" x14ac:dyDescent="0.2">
      <c r="A1195" s="1422"/>
      <c r="B1195" s="2522"/>
      <c r="C1195" s="2432"/>
      <c r="D1195" s="2421"/>
      <c r="E1195" s="2421"/>
      <c r="F1195" s="2421"/>
      <c r="G1195" s="2421"/>
      <c r="H1195" s="2421"/>
      <c r="I1195" s="2421"/>
      <c r="J1195" s="3203"/>
      <c r="K1195" s="40">
        <v>14700</v>
      </c>
      <c r="L1195" s="3295"/>
      <c r="M1195" s="3335" t="s">
        <v>298</v>
      </c>
      <c r="N1195" s="3336"/>
      <c r="O1195" s="37"/>
      <c r="P1195" s="38"/>
      <c r="Q1195" s="38"/>
      <c r="R1195" s="38"/>
      <c r="S1195" s="38"/>
      <c r="T1195" s="38"/>
      <c r="U1195" s="37">
        <f>$K1195/2</f>
        <v>7350</v>
      </c>
      <c r="V1195" s="38"/>
      <c r="W1195" s="38"/>
      <c r="X1195" s="38"/>
      <c r="Y1195" s="38"/>
      <c r="Z1195" s="37">
        <f>$K1195/2</f>
        <v>7350</v>
      </c>
      <c r="AA1195" s="966">
        <f t="shared" si="165"/>
        <v>14700</v>
      </c>
      <c r="AB1195" s="35"/>
      <c r="AC1195" s="183"/>
    </row>
    <row r="1196" spans="1:29" x14ac:dyDescent="0.2">
      <c r="A1196" s="1422"/>
      <c r="B1196" s="2522"/>
      <c r="C1196" s="2432"/>
      <c r="D1196" s="2421"/>
      <c r="E1196" s="2421"/>
      <c r="F1196" s="2421"/>
      <c r="G1196" s="2421"/>
      <c r="H1196" s="2421"/>
      <c r="I1196" s="2421"/>
      <c r="J1196" s="3203"/>
      <c r="K1196" s="40">
        <v>9690</v>
      </c>
      <c r="L1196" s="3295"/>
      <c r="M1196" s="3335" t="s">
        <v>299</v>
      </c>
      <c r="N1196" s="3336"/>
      <c r="O1196" s="37">
        <f>$K1196</f>
        <v>9690</v>
      </c>
      <c r="P1196" s="38"/>
      <c r="Q1196" s="37"/>
      <c r="R1196" s="38"/>
      <c r="S1196" s="38"/>
      <c r="T1196" s="38"/>
      <c r="U1196" s="38"/>
      <c r="V1196" s="38"/>
      <c r="W1196" s="38"/>
      <c r="X1196" s="38"/>
      <c r="Y1196" s="38"/>
      <c r="Z1196" s="38"/>
      <c r="AA1196" s="966">
        <f t="shared" si="165"/>
        <v>9690</v>
      </c>
      <c r="AB1196" s="35"/>
      <c r="AC1196" s="183"/>
    </row>
    <row r="1197" spans="1:29" x14ac:dyDescent="0.2">
      <c r="A1197" s="1422"/>
      <c r="B1197" s="2522"/>
      <c r="C1197" s="2432"/>
      <c r="D1197" s="2421"/>
      <c r="E1197" s="2421"/>
      <c r="F1197" s="2421"/>
      <c r="G1197" s="2421"/>
      <c r="H1197" s="2421"/>
      <c r="I1197" s="2421"/>
      <c r="J1197" s="3203"/>
      <c r="K1197" s="40">
        <v>35412</v>
      </c>
      <c r="L1197" s="3295"/>
      <c r="M1197" s="3335" t="s">
        <v>300</v>
      </c>
      <c r="N1197" s="3336"/>
      <c r="O1197" s="37">
        <f t="shared" si="164"/>
        <v>2951</v>
      </c>
      <c r="P1197" s="37">
        <f t="shared" si="164"/>
        <v>2951</v>
      </c>
      <c r="Q1197" s="37">
        <f t="shared" si="164"/>
        <v>2951</v>
      </c>
      <c r="R1197" s="37">
        <f t="shared" si="164"/>
        <v>2951</v>
      </c>
      <c r="S1197" s="37">
        <f t="shared" si="164"/>
        <v>2951</v>
      </c>
      <c r="T1197" s="37">
        <f t="shared" si="164"/>
        <v>2951</v>
      </c>
      <c r="U1197" s="37">
        <f t="shared" si="164"/>
        <v>2951</v>
      </c>
      <c r="V1197" s="37">
        <f t="shared" si="164"/>
        <v>2951</v>
      </c>
      <c r="W1197" s="37">
        <f t="shared" si="164"/>
        <v>2951</v>
      </c>
      <c r="X1197" s="37">
        <f t="shared" si="164"/>
        <v>2951</v>
      </c>
      <c r="Y1197" s="37">
        <f t="shared" si="164"/>
        <v>2951</v>
      </c>
      <c r="Z1197" s="37">
        <f t="shared" si="164"/>
        <v>2951</v>
      </c>
      <c r="AA1197" s="966">
        <f t="shared" si="165"/>
        <v>35412</v>
      </c>
      <c r="AB1197" s="35"/>
      <c r="AC1197" s="183"/>
    </row>
    <row r="1198" spans="1:29" x14ac:dyDescent="0.2">
      <c r="A1198" s="1422"/>
      <c r="B1198" s="2522"/>
      <c r="C1198" s="2432"/>
      <c r="D1198" s="2421"/>
      <c r="E1198" s="2421"/>
      <c r="F1198" s="2421"/>
      <c r="G1198" s="2421"/>
      <c r="H1198" s="2421"/>
      <c r="I1198" s="2421"/>
      <c r="J1198" s="3203"/>
      <c r="K1198" s="40">
        <v>1391</v>
      </c>
      <c r="L1198" s="3295"/>
      <c r="M1198" s="3335" t="s">
        <v>301</v>
      </c>
      <c r="N1198" s="3336"/>
      <c r="O1198" s="37">
        <f t="shared" si="164"/>
        <v>115.91666666666667</v>
      </c>
      <c r="P1198" s="37">
        <f t="shared" si="164"/>
        <v>115.91666666666667</v>
      </c>
      <c r="Q1198" s="37">
        <f t="shared" si="164"/>
        <v>115.91666666666667</v>
      </c>
      <c r="R1198" s="37">
        <f t="shared" si="164"/>
        <v>115.91666666666667</v>
      </c>
      <c r="S1198" s="37">
        <f t="shared" si="164"/>
        <v>115.91666666666667</v>
      </c>
      <c r="T1198" s="37">
        <f t="shared" si="164"/>
        <v>115.91666666666667</v>
      </c>
      <c r="U1198" s="37">
        <f t="shared" si="164"/>
        <v>115.91666666666667</v>
      </c>
      <c r="V1198" s="37">
        <f t="shared" si="164"/>
        <v>115.91666666666667</v>
      </c>
      <c r="W1198" s="37">
        <f t="shared" si="164"/>
        <v>115.91666666666667</v>
      </c>
      <c r="X1198" s="37">
        <f t="shared" si="164"/>
        <v>115.91666666666667</v>
      </c>
      <c r="Y1198" s="37">
        <f t="shared" si="164"/>
        <v>115.91666666666667</v>
      </c>
      <c r="Z1198" s="37">
        <f t="shared" si="164"/>
        <v>115.91666666666667</v>
      </c>
      <c r="AA1198" s="966">
        <f t="shared" si="165"/>
        <v>1391.0000000000002</v>
      </c>
      <c r="AB1198" s="35"/>
      <c r="AC1198" s="183"/>
    </row>
    <row r="1199" spans="1:29" x14ac:dyDescent="0.2">
      <c r="A1199" s="1422"/>
      <c r="B1199" s="2522"/>
      <c r="C1199" s="2432"/>
      <c r="D1199" s="2421"/>
      <c r="E1199" s="2421"/>
      <c r="F1199" s="2421"/>
      <c r="G1199" s="2421"/>
      <c r="H1199" s="2421"/>
      <c r="I1199" s="2421"/>
      <c r="J1199" s="3203"/>
      <c r="K1199" s="40">
        <v>2000</v>
      </c>
      <c r="L1199" s="3295"/>
      <c r="M1199" s="3335" t="s">
        <v>380</v>
      </c>
      <c r="N1199" s="3336"/>
      <c r="O1199" s="40">
        <f>$K1199/2</f>
        <v>1000</v>
      </c>
      <c r="P1199" s="38"/>
      <c r="Q1199" s="38"/>
      <c r="R1199" s="38"/>
      <c r="S1199" s="38"/>
      <c r="T1199" s="40">
        <f>$K1199/2</f>
        <v>1000</v>
      </c>
      <c r="U1199" s="38"/>
      <c r="V1199" s="38"/>
      <c r="W1199" s="38"/>
      <c r="X1199" s="38"/>
      <c r="Y1199" s="38"/>
      <c r="Z1199" s="38"/>
      <c r="AA1199" s="966">
        <f t="shared" si="165"/>
        <v>2000</v>
      </c>
      <c r="AB1199" s="35"/>
      <c r="AC1199" s="183"/>
    </row>
    <row r="1200" spans="1:29" x14ac:dyDescent="0.2">
      <c r="A1200" s="1422"/>
      <c r="B1200" s="2522"/>
      <c r="C1200" s="2432"/>
      <c r="D1200" s="2421"/>
      <c r="E1200" s="2421"/>
      <c r="F1200" s="2421"/>
      <c r="G1200" s="2421"/>
      <c r="H1200" s="2421"/>
      <c r="I1200" s="2421"/>
      <c r="J1200" s="3203"/>
      <c r="K1200" s="40">
        <v>3500</v>
      </c>
      <c r="L1200" s="3295"/>
      <c r="M1200" s="3335" t="s">
        <v>303</v>
      </c>
      <c r="N1200" s="3336"/>
      <c r="O1200" s="37"/>
      <c r="P1200" s="38"/>
      <c r="Q1200" s="40">
        <f>$K1200/2</f>
        <v>1750</v>
      </c>
      <c r="R1200" s="38"/>
      <c r="S1200" s="38"/>
      <c r="T1200" s="38"/>
      <c r="U1200" s="38"/>
      <c r="V1200" s="40">
        <f>$K1200/2</f>
        <v>1750</v>
      </c>
      <c r="W1200" s="38"/>
      <c r="X1200" s="38"/>
      <c r="Y1200" s="38"/>
      <c r="Z1200" s="38"/>
      <c r="AA1200" s="966">
        <f t="shared" si="165"/>
        <v>3500</v>
      </c>
      <c r="AB1200" s="35"/>
      <c r="AC1200" s="183"/>
    </row>
    <row r="1201" spans="1:29" x14ac:dyDescent="0.2">
      <c r="A1201" s="1422"/>
      <c r="B1201" s="2522"/>
      <c r="C1201" s="2432"/>
      <c r="D1201" s="2421"/>
      <c r="E1201" s="2421"/>
      <c r="F1201" s="2421"/>
      <c r="G1201" s="2421"/>
      <c r="H1201" s="2421"/>
      <c r="I1201" s="2421"/>
      <c r="J1201" s="3203"/>
      <c r="K1201" s="40">
        <v>1000</v>
      </c>
      <c r="L1201" s="3295"/>
      <c r="M1201" s="3335" t="s">
        <v>381</v>
      </c>
      <c r="N1201" s="3336"/>
      <c r="O1201" s="40"/>
      <c r="P1201" s="40"/>
      <c r="Q1201" s="40">
        <f>$K1201</f>
        <v>1000</v>
      </c>
      <c r="R1201" s="40"/>
      <c r="S1201" s="40"/>
      <c r="T1201" s="40"/>
      <c r="U1201" s="40"/>
      <c r="V1201" s="40"/>
      <c r="W1201" s="40"/>
      <c r="X1201" s="40"/>
      <c r="Y1201" s="40"/>
      <c r="Z1201" s="40"/>
      <c r="AA1201" s="966">
        <f t="shared" si="165"/>
        <v>1000</v>
      </c>
      <c r="AB1201" s="35"/>
      <c r="AC1201" s="183"/>
    </row>
    <row r="1202" spans="1:29" x14ac:dyDescent="0.2">
      <c r="A1202" s="1422"/>
      <c r="B1202" s="2522"/>
      <c r="C1202" s="2432"/>
      <c r="D1202" s="2421"/>
      <c r="E1202" s="2421"/>
      <c r="F1202" s="2421"/>
      <c r="G1202" s="2421"/>
      <c r="H1202" s="2421"/>
      <c r="I1202" s="2421"/>
      <c r="J1202" s="3203"/>
      <c r="K1202" s="40">
        <v>6000</v>
      </c>
      <c r="L1202" s="3295"/>
      <c r="M1202" s="3335" t="s">
        <v>306</v>
      </c>
      <c r="N1202" s="3336"/>
      <c r="O1202" s="37"/>
      <c r="P1202" s="38"/>
      <c r="Q1202" s="38"/>
      <c r="R1202" s="40">
        <f>$K1202*(2/12)</f>
        <v>1000</v>
      </c>
      <c r="S1202" s="40">
        <f>$K1202*(3/12)</f>
        <v>1500</v>
      </c>
      <c r="T1202" s="38"/>
      <c r="U1202" s="38"/>
      <c r="V1202" s="40">
        <f>$K1202*(3/12)</f>
        <v>1500</v>
      </c>
      <c r="W1202" s="38"/>
      <c r="X1202" s="38"/>
      <c r="Y1202" s="40">
        <f>$K1202*(4/12)</f>
        <v>2000</v>
      </c>
      <c r="Z1202" s="38"/>
      <c r="AA1202" s="966">
        <f t="shared" si="165"/>
        <v>6000</v>
      </c>
      <c r="AB1202" s="35"/>
      <c r="AC1202" s="183"/>
    </row>
    <row r="1203" spans="1:29" x14ac:dyDescent="0.2">
      <c r="A1203" s="1422"/>
      <c r="B1203" s="2522"/>
      <c r="C1203" s="2432"/>
      <c r="D1203" s="2421"/>
      <c r="E1203" s="2421"/>
      <c r="F1203" s="2421"/>
      <c r="G1203" s="2421"/>
      <c r="H1203" s="2421"/>
      <c r="I1203" s="2421"/>
      <c r="J1203" s="3203"/>
      <c r="K1203" s="40">
        <v>12070</v>
      </c>
      <c r="L1203" s="3295"/>
      <c r="M1203" s="3335" t="s">
        <v>307</v>
      </c>
      <c r="N1203" s="3336"/>
      <c r="O1203" s="37"/>
      <c r="P1203" s="38"/>
      <c r="Q1203" s="42">
        <f>$K1203/10</f>
        <v>1207</v>
      </c>
      <c r="R1203" s="42">
        <f t="shared" ref="R1203:Z1203" si="166">$K1203/10</f>
        <v>1207</v>
      </c>
      <c r="S1203" s="42">
        <f t="shared" si="166"/>
        <v>1207</v>
      </c>
      <c r="T1203" s="42">
        <f t="shared" si="166"/>
        <v>1207</v>
      </c>
      <c r="U1203" s="42">
        <f t="shared" si="166"/>
        <v>1207</v>
      </c>
      <c r="V1203" s="42">
        <f t="shared" si="166"/>
        <v>1207</v>
      </c>
      <c r="W1203" s="42">
        <f t="shared" si="166"/>
        <v>1207</v>
      </c>
      <c r="X1203" s="42">
        <f t="shared" si="166"/>
        <v>1207</v>
      </c>
      <c r="Y1203" s="42">
        <f t="shared" si="166"/>
        <v>1207</v>
      </c>
      <c r="Z1203" s="42">
        <f t="shared" si="166"/>
        <v>1207</v>
      </c>
      <c r="AA1203" s="966">
        <f t="shared" si="165"/>
        <v>12070</v>
      </c>
      <c r="AB1203" s="35"/>
      <c r="AC1203" s="183"/>
    </row>
    <row r="1204" spans="1:29" x14ac:dyDescent="0.2">
      <c r="A1204" s="1422"/>
      <c r="B1204" s="2522"/>
      <c r="C1204" s="2432"/>
      <c r="D1204" s="2421"/>
      <c r="E1204" s="2421"/>
      <c r="F1204" s="2421"/>
      <c r="G1204" s="2421"/>
      <c r="H1204" s="2421"/>
      <c r="I1204" s="2421"/>
      <c r="J1204" s="3203"/>
      <c r="K1204" s="40">
        <v>2500</v>
      </c>
      <c r="L1204" s="3295"/>
      <c r="M1204" s="3335" t="s">
        <v>308</v>
      </c>
      <c r="N1204" s="3336"/>
      <c r="O1204" s="37"/>
      <c r="P1204" s="38"/>
      <c r="Q1204" s="40"/>
      <c r="R1204" s="40">
        <f>$K1204</f>
        <v>2500</v>
      </c>
      <c r="S1204" s="38"/>
      <c r="T1204" s="38"/>
      <c r="U1204" s="38"/>
      <c r="V1204" s="38"/>
      <c r="W1204" s="38"/>
      <c r="X1204" s="38"/>
      <c r="Y1204" s="38"/>
      <c r="Z1204" s="38"/>
      <c r="AA1204" s="966">
        <f t="shared" si="165"/>
        <v>2500</v>
      </c>
      <c r="AB1204" s="35"/>
      <c r="AC1204" s="183"/>
    </row>
    <row r="1205" spans="1:29" x14ac:dyDescent="0.2">
      <c r="A1205" s="1422"/>
      <c r="B1205" s="2522"/>
      <c r="C1205" s="2432"/>
      <c r="D1205" s="2421"/>
      <c r="E1205" s="2421"/>
      <c r="F1205" s="2421"/>
      <c r="G1205" s="2421"/>
      <c r="H1205" s="2421"/>
      <c r="I1205" s="2421"/>
      <c r="J1205" s="3203"/>
      <c r="K1205" s="40">
        <v>5500</v>
      </c>
      <c r="L1205" s="3295"/>
      <c r="M1205" s="3335" t="s">
        <v>309</v>
      </c>
      <c r="N1205" s="3336"/>
      <c r="O1205" s="37"/>
      <c r="P1205" s="38"/>
      <c r="Q1205" s="40">
        <f>$K1205/5</f>
        <v>1100</v>
      </c>
      <c r="R1205" s="40"/>
      <c r="S1205" s="40">
        <f>$K1205/5</f>
        <v>1100</v>
      </c>
      <c r="T1205" s="38"/>
      <c r="U1205" s="40">
        <f>$K1205/5</f>
        <v>1100</v>
      </c>
      <c r="V1205" s="38"/>
      <c r="W1205" s="40">
        <f>$K1205/5</f>
        <v>1100</v>
      </c>
      <c r="X1205" s="38"/>
      <c r="Y1205" s="40">
        <f>$K1205/5</f>
        <v>1100</v>
      </c>
      <c r="Z1205" s="38"/>
      <c r="AA1205" s="966">
        <f t="shared" si="165"/>
        <v>5500</v>
      </c>
      <c r="AB1205" s="35"/>
      <c r="AC1205" s="183"/>
    </row>
    <row r="1206" spans="1:29" x14ac:dyDescent="0.2">
      <c r="A1206" s="1422"/>
      <c r="B1206" s="2522"/>
      <c r="C1206" s="2432"/>
      <c r="D1206" s="2421"/>
      <c r="E1206" s="2421"/>
      <c r="F1206" s="2421"/>
      <c r="G1206" s="2421"/>
      <c r="H1206" s="2421"/>
      <c r="I1206" s="2421"/>
      <c r="J1206" s="3203"/>
      <c r="K1206" s="40">
        <v>14953</v>
      </c>
      <c r="L1206" s="3295"/>
      <c r="M1206" s="3335" t="s">
        <v>311</v>
      </c>
      <c r="N1206" s="3336"/>
      <c r="O1206" s="37">
        <f t="shared" ref="O1206:Z1207" si="167">$K1206/12</f>
        <v>1246.0833333333333</v>
      </c>
      <c r="P1206" s="37">
        <f t="shared" si="167"/>
        <v>1246.0833333333333</v>
      </c>
      <c r="Q1206" s="37">
        <f t="shared" si="167"/>
        <v>1246.0833333333333</v>
      </c>
      <c r="R1206" s="37">
        <f t="shared" si="167"/>
        <v>1246.0833333333333</v>
      </c>
      <c r="S1206" s="37">
        <f t="shared" si="167"/>
        <v>1246.0833333333333</v>
      </c>
      <c r="T1206" s="37">
        <f t="shared" si="167"/>
        <v>1246.0833333333333</v>
      </c>
      <c r="U1206" s="37">
        <f t="shared" si="167"/>
        <v>1246.0833333333333</v>
      </c>
      <c r="V1206" s="37">
        <f t="shared" si="167"/>
        <v>1246.0833333333333</v>
      </c>
      <c r="W1206" s="37">
        <f t="shared" si="167"/>
        <v>1246.0833333333333</v>
      </c>
      <c r="X1206" s="37">
        <f t="shared" si="167"/>
        <v>1246.0833333333333</v>
      </c>
      <c r="Y1206" s="37">
        <f t="shared" si="167"/>
        <v>1246.0833333333333</v>
      </c>
      <c r="Z1206" s="37">
        <f t="shared" si="167"/>
        <v>1246.0833333333333</v>
      </c>
      <c r="AA1206" s="966">
        <f t="shared" si="165"/>
        <v>14953.000000000002</v>
      </c>
      <c r="AB1206" s="35"/>
      <c r="AC1206" s="183"/>
    </row>
    <row r="1207" spans="1:29" x14ac:dyDescent="0.2">
      <c r="A1207" s="1422"/>
      <c r="B1207" s="2522"/>
      <c r="C1207" s="2437"/>
      <c r="D1207" s="2421"/>
      <c r="E1207" s="2421"/>
      <c r="F1207" s="2421"/>
      <c r="G1207" s="2421"/>
      <c r="H1207" s="2421"/>
      <c r="I1207" s="2421"/>
      <c r="J1207" s="3204"/>
      <c r="K1207" s="40">
        <v>202418</v>
      </c>
      <c r="L1207" s="3296"/>
      <c r="M1207" s="3335" t="s">
        <v>310</v>
      </c>
      <c r="N1207" s="3336"/>
      <c r="O1207" s="37">
        <f t="shared" si="167"/>
        <v>16868.166666666668</v>
      </c>
      <c r="P1207" s="37">
        <f>$K1207/12</f>
        <v>16868.166666666668</v>
      </c>
      <c r="Q1207" s="37">
        <f t="shared" si="167"/>
        <v>16868.166666666668</v>
      </c>
      <c r="R1207" s="37">
        <f t="shared" si="167"/>
        <v>16868.166666666668</v>
      </c>
      <c r="S1207" s="37">
        <f t="shared" si="167"/>
        <v>16868.166666666668</v>
      </c>
      <c r="T1207" s="37">
        <f t="shared" si="167"/>
        <v>16868.166666666668</v>
      </c>
      <c r="U1207" s="37">
        <f t="shared" si="167"/>
        <v>16868.166666666668</v>
      </c>
      <c r="V1207" s="37">
        <f t="shared" si="167"/>
        <v>16868.166666666668</v>
      </c>
      <c r="W1207" s="37">
        <f t="shared" si="167"/>
        <v>16868.166666666668</v>
      </c>
      <c r="X1207" s="37">
        <f t="shared" si="167"/>
        <v>16868.166666666668</v>
      </c>
      <c r="Y1207" s="37">
        <f t="shared" si="167"/>
        <v>16868.166666666668</v>
      </c>
      <c r="Z1207" s="37">
        <f t="shared" si="167"/>
        <v>16868.166666666668</v>
      </c>
      <c r="AA1207" s="966">
        <f t="shared" si="165"/>
        <v>202417.99999999997</v>
      </c>
      <c r="AB1207" s="35"/>
      <c r="AC1207" s="183"/>
    </row>
    <row r="1208" spans="1:29" ht="11.25" customHeight="1" x14ac:dyDescent="0.25">
      <c r="A1208" s="1422"/>
      <c r="B1208" s="3350" t="s">
        <v>269</v>
      </c>
      <c r="C1208" s="3352" t="s">
        <v>270</v>
      </c>
      <c r="D1208" s="3353"/>
      <c r="E1208" s="3353"/>
      <c r="F1208" s="3353"/>
      <c r="G1208" s="3353"/>
      <c r="H1208" s="3353"/>
      <c r="I1208" s="3353"/>
      <c r="J1208" s="3353"/>
      <c r="K1208" s="3353"/>
      <c r="L1208" s="3353"/>
      <c r="M1208" s="3353"/>
      <c r="N1208" s="3353"/>
      <c r="O1208" s="3353"/>
      <c r="P1208" s="3353"/>
      <c r="Q1208" s="3353"/>
      <c r="R1208" s="3353"/>
      <c r="S1208" s="3353"/>
      <c r="T1208" s="3353"/>
      <c r="U1208" s="3353"/>
      <c r="V1208" s="3353"/>
      <c r="W1208" s="3353"/>
      <c r="X1208" s="3353"/>
      <c r="Y1208" s="3353"/>
      <c r="Z1208" s="3353"/>
      <c r="AA1208" s="3354"/>
      <c r="AB1208" s="35"/>
      <c r="AC1208" s="183"/>
    </row>
    <row r="1209" spans="1:29" x14ac:dyDescent="0.2">
      <c r="A1209" s="1422"/>
      <c r="B1209" s="3351"/>
      <c r="C1209" s="3352" t="s">
        <v>271</v>
      </c>
      <c r="D1209" s="3352"/>
      <c r="E1209" s="3352"/>
      <c r="F1209" s="3352"/>
      <c r="G1209" s="3352"/>
      <c r="H1209" s="3352"/>
      <c r="I1209" s="3352"/>
      <c r="J1209" s="3352"/>
      <c r="K1209" s="3352"/>
      <c r="L1209" s="3352"/>
      <c r="M1209" s="3352"/>
      <c r="N1209" s="3352"/>
      <c r="O1209" s="3352"/>
      <c r="P1209" s="3352"/>
      <c r="Q1209" s="3352"/>
      <c r="R1209" s="3352"/>
      <c r="S1209" s="3352"/>
      <c r="T1209" s="3352"/>
      <c r="U1209" s="3352"/>
      <c r="V1209" s="3352"/>
      <c r="W1209" s="3352"/>
      <c r="X1209" s="3352"/>
      <c r="Y1209" s="3352"/>
      <c r="Z1209" s="3352"/>
      <c r="AA1209" s="3355"/>
      <c r="AB1209" s="35"/>
      <c r="AC1209" s="183"/>
    </row>
    <row r="1210" spans="1:29" ht="23.25" customHeight="1" x14ac:dyDescent="0.2">
      <c r="A1210" s="1422"/>
      <c r="B1210" s="1435" t="s">
        <v>272</v>
      </c>
      <c r="C1210" s="3356" t="s">
        <v>84</v>
      </c>
      <c r="D1210" s="3356"/>
      <c r="E1210" s="3356"/>
      <c r="F1210" s="3356"/>
      <c r="G1210" s="3356"/>
      <c r="H1210" s="3356"/>
      <c r="I1210" s="3356"/>
      <c r="J1210" s="3356"/>
      <c r="K1210" s="3356"/>
      <c r="L1210" s="3356"/>
      <c r="M1210" s="3356"/>
      <c r="N1210" s="3356"/>
      <c r="O1210" s="3356"/>
      <c r="P1210" s="3357"/>
      <c r="Q1210" s="2974" t="s">
        <v>15</v>
      </c>
      <c r="R1210" s="2975"/>
      <c r="S1210" s="2975"/>
      <c r="T1210" s="2976"/>
      <c r="U1210" s="2974" t="s">
        <v>16</v>
      </c>
      <c r="V1210" s="2976"/>
      <c r="W1210" s="2974" t="s">
        <v>15</v>
      </c>
      <c r="X1210" s="2975"/>
      <c r="Y1210" s="2975"/>
      <c r="Z1210" s="2976"/>
      <c r="AA1210" s="1937" t="s">
        <v>16</v>
      </c>
      <c r="AB1210" s="35"/>
      <c r="AC1210" s="183"/>
    </row>
    <row r="1211" spans="1:29" ht="15" customHeight="1" x14ac:dyDescent="0.2">
      <c r="A1211" s="1422"/>
      <c r="B1211" s="1435" t="s">
        <v>13</v>
      </c>
      <c r="C1211" s="3348" t="s">
        <v>558</v>
      </c>
      <c r="D1211" s="3348"/>
      <c r="E1211" s="3348"/>
      <c r="F1211" s="3348"/>
      <c r="G1211" s="3348"/>
      <c r="H1211" s="3348"/>
      <c r="I1211" s="3348"/>
      <c r="J1211" s="3348"/>
      <c r="K1211" s="3348"/>
      <c r="L1211" s="3348"/>
      <c r="M1211" s="3348"/>
      <c r="N1211" s="3348"/>
      <c r="O1211" s="3348"/>
      <c r="P1211" s="3349"/>
      <c r="Q1211" s="2974" t="s">
        <v>559</v>
      </c>
      <c r="R1211" s="2975"/>
      <c r="S1211" s="2975"/>
      <c r="T1211" s="2976"/>
      <c r="U1211" s="2974"/>
      <c r="V1211" s="2976"/>
      <c r="W1211" s="2974" t="s">
        <v>560</v>
      </c>
      <c r="X1211" s="2975"/>
      <c r="Y1211" s="2975"/>
      <c r="Z1211" s="2976"/>
      <c r="AA1211" s="1010"/>
      <c r="AB1211" s="35"/>
      <c r="AC1211" s="183"/>
    </row>
    <row r="1212" spans="1:29" ht="23.25" customHeight="1" x14ac:dyDescent="0.2">
      <c r="A1212" s="1422"/>
      <c r="B1212" s="1423" t="s">
        <v>276</v>
      </c>
      <c r="C1212" s="3291" t="s">
        <v>561</v>
      </c>
      <c r="D1212" s="3292"/>
      <c r="E1212" s="3292"/>
      <c r="F1212" s="3292"/>
      <c r="G1212" s="3292"/>
      <c r="H1212" s="3292"/>
      <c r="I1212" s="3292"/>
      <c r="J1212" s="3292"/>
      <c r="K1212" s="3292"/>
      <c r="L1212" s="3292"/>
      <c r="M1212" s="3292"/>
      <c r="N1212" s="3292"/>
      <c r="O1212" s="3292"/>
      <c r="P1212" s="3293"/>
      <c r="Q1212" s="60"/>
      <c r="R1212" s="60"/>
      <c r="S1212" s="60"/>
      <c r="T1212" s="102"/>
      <c r="U1212" s="102"/>
      <c r="V1212" s="102"/>
      <c r="W1212" s="102"/>
      <c r="X1212" s="102"/>
      <c r="Y1212" s="102"/>
      <c r="Z1212" s="102"/>
      <c r="AA1212" s="183"/>
      <c r="AB1212" s="35"/>
      <c r="AC1212" s="183"/>
    </row>
    <row r="1213" spans="1:29" x14ac:dyDescent="0.2">
      <c r="A1213" s="1422"/>
      <c r="B1213" s="2999" t="s">
        <v>562</v>
      </c>
      <c r="C1213" s="2988" t="s">
        <v>563</v>
      </c>
      <c r="D1213" s="2847" t="s">
        <v>22</v>
      </c>
      <c r="E1213" s="2847" t="s">
        <v>23</v>
      </c>
      <c r="F1213" s="2847" t="s">
        <v>24</v>
      </c>
      <c r="G1213" s="2847" t="s">
        <v>25</v>
      </c>
      <c r="H1213" s="2847" t="s">
        <v>26</v>
      </c>
      <c r="I1213" s="2847" t="s">
        <v>27</v>
      </c>
      <c r="J1213" s="3206" t="s">
        <v>28</v>
      </c>
      <c r="K1213" s="3301"/>
      <c r="L1213" s="2988" t="s">
        <v>279</v>
      </c>
      <c r="M1213" s="3273" t="s">
        <v>280</v>
      </c>
      <c r="N1213" s="3274"/>
      <c r="O1213" s="3206" t="s">
        <v>281</v>
      </c>
      <c r="P1213" s="3301"/>
      <c r="Q1213" s="3301"/>
      <c r="R1213" s="3301"/>
      <c r="S1213" s="3301"/>
      <c r="T1213" s="3301"/>
      <c r="U1213" s="3301"/>
      <c r="V1213" s="3301"/>
      <c r="W1213" s="3301"/>
      <c r="X1213" s="3301"/>
      <c r="Y1213" s="3301"/>
      <c r="Z1213" s="3207"/>
      <c r="AA1213" s="3358" t="s">
        <v>32</v>
      </c>
      <c r="AB1213" s="35"/>
      <c r="AC1213" s="183"/>
    </row>
    <row r="1214" spans="1:29" x14ac:dyDescent="0.2">
      <c r="A1214" s="1422"/>
      <c r="B1214" s="2999"/>
      <c r="C1214" s="3186"/>
      <c r="D1214" s="2847"/>
      <c r="E1214" s="2847"/>
      <c r="F1214" s="2847"/>
      <c r="G1214" s="2847"/>
      <c r="H1214" s="2847"/>
      <c r="I1214" s="2847"/>
      <c r="J1214" s="2988" t="s">
        <v>33</v>
      </c>
      <c r="K1214" s="2988" t="s">
        <v>282</v>
      </c>
      <c r="L1214" s="3186"/>
      <c r="M1214" s="3275"/>
      <c r="N1214" s="3276"/>
      <c r="O1214" s="1017" t="s">
        <v>283</v>
      </c>
      <c r="P1214" s="1017" t="s">
        <v>284</v>
      </c>
      <c r="Q1214" s="1017" t="s">
        <v>285</v>
      </c>
      <c r="R1214" s="1017" t="s">
        <v>88</v>
      </c>
      <c r="S1214" s="1017" t="s">
        <v>89</v>
      </c>
      <c r="T1214" s="1017" t="s">
        <v>90</v>
      </c>
      <c r="U1214" s="1017" t="s">
        <v>91</v>
      </c>
      <c r="V1214" s="1017" t="s">
        <v>92</v>
      </c>
      <c r="W1214" s="1017" t="s">
        <v>286</v>
      </c>
      <c r="X1214" s="1017" t="s">
        <v>93</v>
      </c>
      <c r="Y1214" s="1017" t="s">
        <v>94</v>
      </c>
      <c r="Z1214" s="1017" t="s">
        <v>95</v>
      </c>
      <c r="AA1214" s="3358"/>
      <c r="AB1214" s="35"/>
      <c r="AC1214" s="183"/>
    </row>
    <row r="1215" spans="1:29" x14ac:dyDescent="0.2">
      <c r="A1215" s="1422"/>
      <c r="B1215" s="2999"/>
      <c r="C1215" s="3186"/>
      <c r="D1215" s="2847"/>
      <c r="E1215" s="2847"/>
      <c r="F1215" s="2847"/>
      <c r="G1215" s="2847"/>
      <c r="H1215" s="2847"/>
      <c r="I1215" s="2847"/>
      <c r="J1215" s="3186"/>
      <c r="K1215" s="3186"/>
      <c r="L1215" s="3186"/>
      <c r="M1215" s="3271" t="s">
        <v>287</v>
      </c>
      <c r="N1215" s="3272"/>
      <c r="O1215" s="1093"/>
      <c r="P1215" s="1093">
        <v>11</v>
      </c>
      <c r="Q1215" s="1093">
        <v>11</v>
      </c>
      <c r="R1215" s="1093">
        <v>11</v>
      </c>
      <c r="S1215" s="1093">
        <v>11</v>
      </c>
      <c r="T1215" s="1093">
        <v>10</v>
      </c>
      <c r="U1215" s="1093">
        <v>11</v>
      </c>
      <c r="V1215" s="1093">
        <v>10</v>
      </c>
      <c r="W1215" s="1093">
        <v>10</v>
      </c>
      <c r="X1215" s="1093">
        <v>10</v>
      </c>
      <c r="Y1215" s="1093">
        <v>10</v>
      </c>
      <c r="Z1215" s="1093">
        <v>10</v>
      </c>
      <c r="AA1215" s="1196">
        <f t="shared" ref="AA1215:AA1240" si="168">SUM(O1215:Z1215)</f>
        <v>115</v>
      </c>
      <c r="AB1215" s="35"/>
      <c r="AC1215" s="183"/>
    </row>
    <row r="1216" spans="1:29" x14ac:dyDescent="0.2">
      <c r="A1216" s="1422"/>
      <c r="B1216" s="2999"/>
      <c r="C1216" s="2989"/>
      <c r="D1216" s="2847"/>
      <c r="E1216" s="2847"/>
      <c r="F1216" s="2847"/>
      <c r="G1216" s="2847"/>
      <c r="H1216" s="2847"/>
      <c r="I1216" s="2847"/>
      <c r="J1216" s="2989"/>
      <c r="K1216" s="2989"/>
      <c r="L1216" s="2989"/>
      <c r="M1216" s="3271" t="s">
        <v>34</v>
      </c>
      <c r="N1216" s="3272"/>
      <c r="O1216" s="66">
        <f>SUM(O1217:O1240)</f>
        <v>54661.166666666664</v>
      </c>
      <c r="P1216" s="66">
        <f t="shared" ref="P1216:Z1216" si="169">SUM(P1217:P1240)</f>
        <v>51969.371212121208</v>
      </c>
      <c r="Q1216" s="66">
        <f t="shared" si="169"/>
        <v>58570.121212121208</v>
      </c>
      <c r="R1216" s="66">
        <f t="shared" si="169"/>
        <v>52302.621212121208</v>
      </c>
      <c r="S1216" s="66">
        <f t="shared" si="169"/>
        <v>62689.371212121208</v>
      </c>
      <c r="T1216" s="66">
        <f t="shared" si="169"/>
        <v>53265.121212121208</v>
      </c>
      <c r="U1216" s="66">
        <f t="shared" si="169"/>
        <v>56410.621212121208</v>
      </c>
      <c r="V1216" s="66">
        <f t="shared" si="169"/>
        <v>54554.371212121208</v>
      </c>
      <c r="W1216" s="66">
        <f t="shared" si="169"/>
        <v>52022.621212121208</v>
      </c>
      <c r="X1216" s="66">
        <f t="shared" si="169"/>
        <v>50302.621212121208</v>
      </c>
      <c r="Y1216" s="66">
        <f t="shared" si="169"/>
        <v>53689.371212121208</v>
      </c>
      <c r="Z1216" s="66">
        <f t="shared" si="169"/>
        <v>54690.621212121208</v>
      </c>
      <c r="AA1216" s="1196">
        <f t="shared" si="168"/>
        <v>655128</v>
      </c>
      <c r="AB1216" s="35"/>
      <c r="AC1216" s="183"/>
    </row>
    <row r="1217" spans="1:29" ht="11.25" customHeight="1" x14ac:dyDescent="0.2">
      <c r="A1217" s="1422"/>
      <c r="B1217" s="2522">
        <v>5004433</v>
      </c>
      <c r="C1217" s="2431" t="s">
        <v>3068</v>
      </c>
      <c r="D1217" s="2421">
        <v>41</v>
      </c>
      <c r="E1217" s="2421" t="s">
        <v>407</v>
      </c>
      <c r="F1217" s="2420" t="s">
        <v>289</v>
      </c>
      <c r="G1217" s="2420" t="s">
        <v>290</v>
      </c>
      <c r="H1217" s="2420" t="s">
        <v>564</v>
      </c>
      <c r="I1217" s="2420" t="s">
        <v>292</v>
      </c>
      <c r="J1217" s="2514">
        <v>115</v>
      </c>
      <c r="K1217" s="40">
        <v>45809</v>
      </c>
      <c r="L1217" s="3294" t="s">
        <v>565</v>
      </c>
      <c r="M1217" s="3287" t="s">
        <v>319</v>
      </c>
      <c r="N1217" s="3288"/>
      <c r="O1217" s="40">
        <f>$K1217/12</f>
        <v>3817.4166666666665</v>
      </c>
      <c r="P1217" s="40">
        <f t="shared" ref="P1217:Z1217" si="170">$K1217/12</f>
        <v>3817.4166666666665</v>
      </c>
      <c r="Q1217" s="40">
        <f t="shared" si="170"/>
        <v>3817.4166666666665</v>
      </c>
      <c r="R1217" s="40">
        <f t="shared" si="170"/>
        <v>3817.4166666666665</v>
      </c>
      <c r="S1217" s="40">
        <f t="shared" si="170"/>
        <v>3817.4166666666665</v>
      </c>
      <c r="T1217" s="40">
        <f t="shared" si="170"/>
        <v>3817.4166666666665</v>
      </c>
      <c r="U1217" s="40">
        <f t="shared" si="170"/>
        <v>3817.4166666666665</v>
      </c>
      <c r="V1217" s="40">
        <f t="shared" si="170"/>
        <v>3817.4166666666665</v>
      </c>
      <c r="W1217" s="40">
        <f t="shared" si="170"/>
        <v>3817.4166666666665</v>
      </c>
      <c r="X1217" s="40">
        <f t="shared" si="170"/>
        <v>3817.4166666666665</v>
      </c>
      <c r="Y1217" s="40">
        <f t="shared" si="170"/>
        <v>3817.4166666666665</v>
      </c>
      <c r="Z1217" s="40">
        <f t="shared" si="170"/>
        <v>3817.4166666666665</v>
      </c>
      <c r="AA1217" s="966">
        <f t="shared" si="168"/>
        <v>45808.999999999993</v>
      </c>
      <c r="AB1217" s="35"/>
      <c r="AC1217" s="183"/>
    </row>
    <row r="1218" spans="1:29" x14ac:dyDescent="0.2">
      <c r="A1218" s="1422"/>
      <c r="B1218" s="2522"/>
      <c r="C1218" s="2432"/>
      <c r="D1218" s="2421"/>
      <c r="E1218" s="2421"/>
      <c r="F1218" s="2420"/>
      <c r="G1218" s="2420"/>
      <c r="H1218" s="2420"/>
      <c r="I1218" s="2420"/>
      <c r="J1218" s="2515"/>
      <c r="K1218" s="40">
        <v>38824</v>
      </c>
      <c r="L1218" s="3295"/>
      <c r="M1218" s="3287" t="s">
        <v>320</v>
      </c>
      <c r="N1218" s="3288"/>
      <c r="O1218" s="40">
        <f t="shared" ref="O1218:Z1229" si="171">$K1218/12</f>
        <v>3235.3333333333335</v>
      </c>
      <c r="P1218" s="40">
        <f t="shared" si="171"/>
        <v>3235.3333333333335</v>
      </c>
      <c r="Q1218" s="40">
        <f t="shared" si="171"/>
        <v>3235.3333333333335</v>
      </c>
      <c r="R1218" s="40">
        <f t="shared" si="171"/>
        <v>3235.3333333333335</v>
      </c>
      <c r="S1218" s="40">
        <f t="shared" si="171"/>
        <v>3235.3333333333335</v>
      </c>
      <c r="T1218" s="40">
        <f t="shared" si="171"/>
        <v>3235.3333333333335</v>
      </c>
      <c r="U1218" s="40">
        <f t="shared" si="171"/>
        <v>3235.3333333333335</v>
      </c>
      <c r="V1218" s="40">
        <f t="shared" si="171"/>
        <v>3235.3333333333335</v>
      </c>
      <c r="W1218" s="40">
        <f t="shared" si="171"/>
        <v>3235.3333333333335</v>
      </c>
      <c r="X1218" s="40">
        <f t="shared" si="171"/>
        <v>3235.3333333333335</v>
      </c>
      <c r="Y1218" s="40">
        <f t="shared" si="171"/>
        <v>3235.3333333333335</v>
      </c>
      <c r="Z1218" s="40">
        <f t="shared" si="171"/>
        <v>3235.3333333333335</v>
      </c>
      <c r="AA1218" s="966">
        <f t="shared" si="168"/>
        <v>38824</v>
      </c>
      <c r="AB1218" s="35"/>
      <c r="AC1218" s="183"/>
    </row>
    <row r="1219" spans="1:29" x14ac:dyDescent="0.2">
      <c r="A1219" s="1422"/>
      <c r="B1219" s="2522"/>
      <c r="C1219" s="2432"/>
      <c r="D1219" s="2421"/>
      <c r="E1219" s="2421"/>
      <c r="F1219" s="2420"/>
      <c r="G1219" s="2420"/>
      <c r="H1219" s="2420"/>
      <c r="I1219" s="2420"/>
      <c r="J1219" s="2515"/>
      <c r="K1219" s="40">
        <v>20458</v>
      </c>
      <c r="L1219" s="3295"/>
      <c r="M1219" s="3287" t="s">
        <v>409</v>
      </c>
      <c r="N1219" s="3288"/>
      <c r="O1219" s="40">
        <f t="shared" si="171"/>
        <v>1704.8333333333333</v>
      </c>
      <c r="P1219" s="40">
        <f t="shared" si="171"/>
        <v>1704.8333333333333</v>
      </c>
      <c r="Q1219" s="40">
        <f t="shared" si="171"/>
        <v>1704.8333333333333</v>
      </c>
      <c r="R1219" s="40">
        <f t="shared" si="171"/>
        <v>1704.8333333333333</v>
      </c>
      <c r="S1219" s="40">
        <f t="shared" si="171"/>
        <v>1704.8333333333333</v>
      </c>
      <c r="T1219" s="40">
        <f t="shared" si="171"/>
        <v>1704.8333333333333</v>
      </c>
      <c r="U1219" s="40">
        <f t="shared" si="171"/>
        <v>1704.8333333333333</v>
      </c>
      <c r="V1219" s="40">
        <f t="shared" si="171"/>
        <v>1704.8333333333333</v>
      </c>
      <c r="W1219" s="40">
        <f t="shared" si="171"/>
        <v>1704.8333333333333</v>
      </c>
      <c r="X1219" s="40">
        <f t="shared" si="171"/>
        <v>1704.8333333333333</v>
      </c>
      <c r="Y1219" s="40">
        <f t="shared" si="171"/>
        <v>1704.8333333333333</v>
      </c>
      <c r="Z1219" s="40">
        <f t="shared" si="171"/>
        <v>1704.8333333333333</v>
      </c>
      <c r="AA1219" s="966">
        <f t="shared" si="168"/>
        <v>20458</v>
      </c>
      <c r="AB1219" s="35"/>
      <c r="AC1219" s="183"/>
    </row>
    <row r="1220" spans="1:29" x14ac:dyDescent="0.2">
      <c r="A1220" s="1422"/>
      <c r="B1220" s="2522"/>
      <c r="C1220" s="2432"/>
      <c r="D1220" s="2421"/>
      <c r="E1220" s="2421"/>
      <c r="F1220" s="2420"/>
      <c r="G1220" s="2420"/>
      <c r="H1220" s="2420"/>
      <c r="I1220" s="2420"/>
      <c r="J1220" s="2515"/>
      <c r="K1220" s="40">
        <v>178394</v>
      </c>
      <c r="L1220" s="3295"/>
      <c r="M1220" s="3287" t="s">
        <v>293</v>
      </c>
      <c r="N1220" s="3288"/>
      <c r="O1220" s="40">
        <f t="shared" si="171"/>
        <v>14866.166666666666</v>
      </c>
      <c r="P1220" s="40">
        <f t="shared" si="171"/>
        <v>14866.166666666666</v>
      </c>
      <c r="Q1220" s="40">
        <f t="shared" si="171"/>
        <v>14866.166666666666</v>
      </c>
      <c r="R1220" s="40">
        <f t="shared" si="171"/>
        <v>14866.166666666666</v>
      </c>
      <c r="S1220" s="40">
        <f t="shared" si="171"/>
        <v>14866.166666666666</v>
      </c>
      <c r="T1220" s="40">
        <f t="shared" si="171"/>
        <v>14866.166666666666</v>
      </c>
      <c r="U1220" s="40">
        <f t="shared" si="171"/>
        <v>14866.166666666666</v>
      </c>
      <c r="V1220" s="40">
        <f t="shared" si="171"/>
        <v>14866.166666666666</v>
      </c>
      <c r="W1220" s="40">
        <f t="shared" si="171"/>
        <v>14866.166666666666</v>
      </c>
      <c r="X1220" s="40">
        <f t="shared" si="171"/>
        <v>14866.166666666666</v>
      </c>
      <c r="Y1220" s="40">
        <f t="shared" si="171"/>
        <v>14866.166666666666</v>
      </c>
      <c r="Z1220" s="40">
        <f t="shared" si="171"/>
        <v>14866.166666666666</v>
      </c>
      <c r="AA1220" s="966">
        <f t="shared" si="168"/>
        <v>178393.99999999997</v>
      </c>
      <c r="AB1220" s="35"/>
      <c r="AC1220" s="183"/>
    </row>
    <row r="1221" spans="1:29" x14ac:dyDescent="0.2">
      <c r="A1221" s="1422"/>
      <c r="B1221" s="2522"/>
      <c r="C1221" s="2432"/>
      <c r="D1221" s="2421"/>
      <c r="E1221" s="2421"/>
      <c r="F1221" s="2420"/>
      <c r="G1221" s="2420"/>
      <c r="H1221" s="2420"/>
      <c r="I1221" s="2420"/>
      <c r="J1221" s="2515"/>
      <c r="K1221" s="40">
        <v>48640</v>
      </c>
      <c r="L1221" s="3295"/>
      <c r="M1221" s="3287" t="s">
        <v>321</v>
      </c>
      <c r="N1221" s="3288"/>
      <c r="O1221" s="40">
        <f t="shared" si="171"/>
        <v>4053.3333333333335</v>
      </c>
      <c r="P1221" s="40">
        <f t="shared" si="171"/>
        <v>4053.3333333333335</v>
      </c>
      <c r="Q1221" s="40">
        <f t="shared" si="171"/>
        <v>4053.3333333333335</v>
      </c>
      <c r="R1221" s="40">
        <f t="shared" si="171"/>
        <v>4053.3333333333335</v>
      </c>
      <c r="S1221" s="40">
        <f t="shared" si="171"/>
        <v>4053.3333333333335</v>
      </c>
      <c r="T1221" s="40">
        <f t="shared" si="171"/>
        <v>4053.3333333333335</v>
      </c>
      <c r="U1221" s="40">
        <f t="shared" si="171"/>
        <v>4053.3333333333335</v>
      </c>
      <c r="V1221" s="40">
        <f t="shared" si="171"/>
        <v>4053.3333333333335</v>
      </c>
      <c r="W1221" s="40">
        <f t="shared" si="171"/>
        <v>4053.3333333333335</v>
      </c>
      <c r="X1221" s="40">
        <f t="shared" si="171"/>
        <v>4053.3333333333335</v>
      </c>
      <c r="Y1221" s="40">
        <f t="shared" si="171"/>
        <v>4053.3333333333335</v>
      </c>
      <c r="Z1221" s="40">
        <f t="shared" si="171"/>
        <v>4053.3333333333335</v>
      </c>
      <c r="AA1221" s="966">
        <f t="shared" si="168"/>
        <v>48640.000000000007</v>
      </c>
      <c r="AB1221" s="35"/>
      <c r="AC1221" s="183"/>
    </row>
    <row r="1222" spans="1:29" x14ac:dyDescent="0.2">
      <c r="A1222" s="1422"/>
      <c r="B1222" s="2522"/>
      <c r="C1222" s="2432"/>
      <c r="D1222" s="2421"/>
      <c r="E1222" s="2421"/>
      <c r="F1222" s="2420"/>
      <c r="G1222" s="2420"/>
      <c r="H1222" s="2420"/>
      <c r="I1222" s="2420"/>
      <c r="J1222" s="2515"/>
      <c r="K1222" s="40">
        <v>64920</v>
      </c>
      <c r="L1222" s="3295"/>
      <c r="M1222" s="3287" t="s">
        <v>295</v>
      </c>
      <c r="N1222" s="3288"/>
      <c r="O1222" s="40">
        <f t="shared" si="171"/>
        <v>5410</v>
      </c>
      <c r="P1222" s="40">
        <f t="shared" si="171"/>
        <v>5410</v>
      </c>
      <c r="Q1222" s="40">
        <f t="shared" si="171"/>
        <v>5410</v>
      </c>
      <c r="R1222" s="40">
        <f t="shared" si="171"/>
        <v>5410</v>
      </c>
      <c r="S1222" s="40">
        <f t="shared" si="171"/>
        <v>5410</v>
      </c>
      <c r="T1222" s="40">
        <f t="shared" si="171"/>
        <v>5410</v>
      </c>
      <c r="U1222" s="40">
        <f t="shared" si="171"/>
        <v>5410</v>
      </c>
      <c r="V1222" s="40">
        <f t="shared" si="171"/>
        <v>5410</v>
      </c>
      <c r="W1222" s="40">
        <f t="shared" si="171"/>
        <v>5410</v>
      </c>
      <c r="X1222" s="40">
        <f t="shared" si="171"/>
        <v>5410</v>
      </c>
      <c r="Y1222" s="40">
        <f t="shared" si="171"/>
        <v>5410</v>
      </c>
      <c r="Z1222" s="40">
        <f t="shared" si="171"/>
        <v>5410</v>
      </c>
      <c r="AA1222" s="966">
        <f t="shared" si="168"/>
        <v>64920</v>
      </c>
      <c r="AB1222" s="35"/>
      <c r="AC1222" s="183"/>
    </row>
    <row r="1223" spans="1:29" x14ac:dyDescent="0.2">
      <c r="A1223" s="1422"/>
      <c r="B1223" s="2522"/>
      <c r="C1223" s="2432"/>
      <c r="D1223" s="2421"/>
      <c r="E1223" s="2421"/>
      <c r="F1223" s="2420"/>
      <c r="G1223" s="2420"/>
      <c r="H1223" s="2420"/>
      <c r="I1223" s="2420"/>
      <c r="J1223" s="2515"/>
      <c r="K1223" s="40">
        <v>59532</v>
      </c>
      <c r="L1223" s="3295"/>
      <c r="M1223" s="3287" t="s">
        <v>296</v>
      </c>
      <c r="N1223" s="3288"/>
      <c r="O1223" s="40">
        <f t="shared" si="171"/>
        <v>4961</v>
      </c>
      <c r="P1223" s="40">
        <f t="shared" si="171"/>
        <v>4961</v>
      </c>
      <c r="Q1223" s="40">
        <f t="shared" si="171"/>
        <v>4961</v>
      </c>
      <c r="R1223" s="40">
        <f t="shared" si="171"/>
        <v>4961</v>
      </c>
      <c r="S1223" s="40">
        <f t="shared" si="171"/>
        <v>4961</v>
      </c>
      <c r="T1223" s="40">
        <f t="shared" si="171"/>
        <v>4961</v>
      </c>
      <c r="U1223" s="40">
        <f t="shared" si="171"/>
        <v>4961</v>
      </c>
      <c r="V1223" s="40">
        <f t="shared" si="171"/>
        <v>4961</v>
      </c>
      <c r="W1223" s="40">
        <f t="shared" si="171"/>
        <v>4961</v>
      </c>
      <c r="X1223" s="40">
        <f t="shared" si="171"/>
        <v>4961</v>
      </c>
      <c r="Y1223" s="40">
        <f t="shared" si="171"/>
        <v>4961</v>
      </c>
      <c r="Z1223" s="40">
        <f t="shared" si="171"/>
        <v>4961</v>
      </c>
      <c r="AA1223" s="966">
        <f t="shared" si="168"/>
        <v>59532</v>
      </c>
      <c r="AB1223" s="35"/>
      <c r="AC1223" s="183"/>
    </row>
    <row r="1224" spans="1:29" x14ac:dyDescent="0.2">
      <c r="A1224" s="1422"/>
      <c r="B1224" s="2522"/>
      <c r="C1224" s="2432"/>
      <c r="D1224" s="2421"/>
      <c r="E1224" s="2421"/>
      <c r="F1224" s="2420"/>
      <c r="G1224" s="2420"/>
      <c r="H1224" s="2420"/>
      <c r="I1224" s="2420"/>
      <c r="J1224" s="2515"/>
      <c r="K1224" s="40">
        <v>26268</v>
      </c>
      <c r="L1224" s="3295"/>
      <c r="M1224" s="3287" t="s">
        <v>297</v>
      </c>
      <c r="N1224" s="3288"/>
      <c r="O1224" s="40">
        <f t="shared" si="171"/>
        <v>2189</v>
      </c>
      <c r="P1224" s="40">
        <f t="shared" si="171"/>
        <v>2189</v>
      </c>
      <c r="Q1224" s="40">
        <f t="shared" si="171"/>
        <v>2189</v>
      </c>
      <c r="R1224" s="40">
        <f t="shared" si="171"/>
        <v>2189</v>
      </c>
      <c r="S1224" s="40">
        <f t="shared" si="171"/>
        <v>2189</v>
      </c>
      <c r="T1224" s="40">
        <f t="shared" si="171"/>
        <v>2189</v>
      </c>
      <c r="U1224" s="40">
        <f t="shared" si="171"/>
        <v>2189</v>
      </c>
      <c r="V1224" s="40">
        <f t="shared" si="171"/>
        <v>2189</v>
      </c>
      <c r="W1224" s="40">
        <f t="shared" si="171"/>
        <v>2189</v>
      </c>
      <c r="X1224" s="40">
        <f t="shared" si="171"/>
        <v>2189</v>
      </c>
      <c r="Y1224" s="40">
        <f t="shared" si="171"/>
        <v>2189</v>
      </c>
      <c r="Z1224" s="40">
        <f t="shared" si="171"/>
        <v>2189</v>
      </c>
      <c r="AA1224" s="966">
        <f t="shared" si="168"/>
        <v>26268</v>
      </c>
      <c r="AB1224" s="35"/>
      <c r="AC1224" s="183"/>
    </row>
    <row r="1225" spans="1:29" x14ac:dyDescent="0.2">
      <c r="A1225" s="1422"/>
      <c r="B1225" s="2522"/>
      <c r="C1225" s="2432"/>
      <c r="D1225" s="2421"/>
      <c r="E1225" s="2421"/>
      <c r="F1225" s="2420"/>
      <c r="G1225" s="2420"/>
      <c r="H1225" s="2420"/>
      <c r="I1225" s="2420"/>
      <c r="J1225" s="2515"/>
      <c r="K1225" s="40">
        <v>8776</v>
      </c>
      <c r="L1225" s="3295"/>
      <c r="M1225" s="3287" t="s">
        <v>298</v>
      </c>
      <c r="N1225" s="3288"/>
      <c r="O1225" s="1044"/>
      <c r="P1225" s="1044"/>
      <c r="Q1225" s="1044"/>
      <c r="R1225" s="1044"/>
      <c r="S1225" s="1044"/>
      <c r="T1225" s="1044"/>
      <c r="U1225" s="40">
        <f>$K1225/2</f>
        <v>4388</v>
      </c>
      <c r="V1225" s="1044"/>
      <c r="W1225" s="1044"/>
      <c r="X1225" s="1044"/>
      <c r="Y1225" s="1044"/>
      <c r="Z1225" s="40">
        <f>$K1225/2</f>
        <v>4388</v>
      </c>
      <c r="AA1225" s="966">
        <f t="shared" si="168"/>
        <v>8776</v>
      </c>
      <c r="AB1225" s="35"/>
      <c r="AC1225" s="183"/>
    </row>
    <row r="1226" spans="1:29" x14ac:dyDescent="0.2">
      <c r="A1226" s="1422"/>
      <c r="B1226" s="2522"/>
      <c r="C1226" s="2432"/>
      <c r="D1226" s="2421"/>
      <c r="E1226" s="2421"/>
      <c r="F1226" s="2420"/>
      <c r="G1226" s="2420"/>
      <c r="H1226" s="2420"/>
      <c r="I1226" s="2420"/>
      <c r="J1226" s="2515"/>
      <c r="K1226" s="40">
        <v>8000</v>
      </c>
      <c r="L1226" s="3295"/>
      <c r="M1226" s="3287" t="s">
        <v>299</v>
      </c>
      <c r="N1226" s="3288"/>
      <c r="O1226" s="40">
        <f>$K1226</f>
        <v>8000</v>
      </c>
      <c r="P1226" s="1044"/>
      <c r="Q1226" s="40"/>
      <c r="R1226" s="1044"/>
      <c r="S1226" s="1044"/>
      <c r="T1226" s="1044"/>
      <c r="U1226" s="1044"/>
      <c r="V1226" s="1044"/>
      <c r="W1226" s="1044"/>
      <c r="X1226" s="1044"/>
      <c r="Y1226" s="1044"/>
      <c r="Z1226" s="1044"/>
      <c r="AA1226" s="966">
        <f t="shared" si="168"/>
        <v>8000</v>
      </c>
      <c r="AB1226" s="35"/>
      <c r="AC1226" s="183"/>
    </row>
    <row r="1227" spans="1:29" x14ac:dyDescent="0.2">
      <c r="A1227" s="1422"/>
      <c r="B1227" s="2522"/>
      <c r="C1227" s="2432"/>
      <c r="D1227" s="2421"/>
      <c r="E1227" s="2421"/>
      <c r="F1227" s="2420"/>
      <c r="G1227" s="2420"/>
      <c r="H1227" s="2420"/>
      <c r="I1227" s="2420"/>
      <c r="J1227" s="2515"/>
      <c r="K1227" s="40">
        <v>30960</v>
      </c>
      <c r="L1227" s="3295"/>
      <c r="M1227" s="3287" t="s">
        <v>339</v>
      </c>
      <c r="N1227" s="3288"/>
      <c r="O1227" s="40">
        <f t="shared" si="171"/>
        <v>2580</v>
      </c>
      <c r="P1227" s="40">
        <f t="shared" si="171"/>
        <v>2580</v>
      </c>
      <c r="Q1227" s="40">
        <f t="shared" si="171"/>
        <v>2580</v>
      </c>
      <c r="R1227" s="40">
        <f t="shared" si="171"/>
        <v>2580</v>
      </c>
      <c r="S1227" s="40">
        <f t="shared" si="171"/>
        <v>2580</v>
      </c>
      <c r="T1227" s="40">
        <f t="shared" si="171"/>
        <v>2580</v>
      </c>
      <c r="U1227" s="40">
        <f t="shared" si="171"/>
        <v>2580</v>
      </c>
      <c r="V1227" s="40">
        <f t="shared" si="171"/>
        <v>2580</v>
      </c>
      <c r="W1227" s="40">
        <f t="shared" si="171"/>
        <v>2580</v>
      </c>
      <c r="X1227" s="40">
        <f t="shared" si="171"/>
        <v>2580</v>
      </c>
      <c r="Y1227" s="40">
        <f t="shared" si="171"/>
        <v>2580</v>
      </c>
      <c r="Z1227" s="40">
        <f t="shared" si="171"/>
        <v>2580</v>
      </c>
      <c r="AA1227" s="966">
        <f t="shared" si="168"/>
        <v>30960</v>
      </c>
      <c r="AB1227" s="35"/>
      <c r="AC1227" s="183"/>
    </row>
    <row r="1228" spans="1:29" x14ac:dyDescent="0.2">
      <c r="A1228" s="1422"/>
      <c r="B1228" s="2522"/>
      <c r="C1228" s="2432"/>
      <c r="D1228" s="2421"/>
      <c r="E1228" s="2421"/>
      <c r="F1228" s="2420"/>
      <c r="G1228" s="2420"/>
      <c r="H1228" s="2420"/>
      <c r="I1228" s="2420"/>
      <c r="J1228" s="2515"/>
      <c r="K1228" s="40">
        <v>44287</v>
      </c>
      <c r="L1228" s="3295"/>
      <c r="M1228" s="3287" t="s">
        <v>300</v>
      </c>
      <c r="N1228" s="3288"/>
      <c r="O1228" s="40">
        <f t="shared" si="171"/>
        <v>3690.5833333333335</v>
      </c>
      <c r="P1228" s="40">
        <f t="shared" si="171"/>
        <v>3690.5833333333335</v>
      </c>
      <c r="Q1228" s="40">
        <f t="shared" si="171"/>
        <v>3690.5833333333335</v>
      </c>
      <c r="R1228" s="40">
        <f t="shared" si="171"/>
        <v>3690.5833333333335</v>
      </c>
      <c r="S1228" s="40">
        <f t="shared" si="171"/>
        <v>3690.5833333333335</v>
      </c>
      <c r="T1228" s="40">
        <f t="shared" si="171"/>
        <v>3690.5833333333335</v>
      </c>
      <c r="U1228" s="40">
        <f t="shared" si="171"/>
        <v>3690.5833333333335</v>
      </c>
      <c r="V1228" s="40">
        <f t="shared" si="171"/>
        <v>3690.5833333333335</v>
      </c>
      <c r="W1228" s="40">
        <f t="shared" si="171"/>
        <v>3690.5833333333335</v>
      </c>
      <c r="X1228" s="40">
        <f t="shared" si="171"/>
        <v>3690.5833333333335</v>
      </c>
      <c r="Y1228" s="40">
        <f t="shared" si="171"/>
        <v>3690.5833333333335</v>
      </c>
      <c r="Z1228" s="40">
        <f t="shared" si="171"/>
        <v>3690.5833333333335</v>
      </c>
      <c r="AA1228" s="966">
        <f t="shared" si="168"/>
        <v>44287.000000000007</v>
      </c>
      <c r="AB1228" s="35"/>
      <c r="AC1228" s="183"/>
    </row>
    <row r="1229" spans="1:29" x14ac:dyDescent="0.2">
      <c r="A1229" s="1422"/>
      <c r="B1229" s="2522"/>
      <c r="C1229" s="2432"/>
      <c r="D1229" s="2421"/>
      <c r="E1229" s="2421"/>
      <c r="F1229" s="2420"/>
      <c r="G1229" s="2420"/>
      <c r="H1229" s="2420"/>
      <c r="I1229" s="2420"/>
      <c r="J1229" s="2515"/>
      <c r="K1229" s="40">
        <v>642</v>
      </c>
      <c r="L1229" s="3295"/>
      <c r="M1229" s="3287" t="s">
        <v>301</v>
      </c>
      <c r="N1229" s="3288"/>
      <c r="O1229" s="40">
        <f t="shared" si="171"/>
        <v>53.5</v>
      </c>
      <c r="P1229" s="40">
        <f t="shared" si="171"/>
        <v>53.5</v>
      </c>
      <c r="Q1229" s="40">
        <f t="shared" si="171"/>
        <v>53.5</v>
      </c>
      <c r="R1229" s="40">
        <f t="shared" si="171"/>
        <v>53.5</v>
      </c>
      <c r="S1229" s="40">
        <f t="shared" si="171"/>
        <v>53.5</v>
      </c>
      <c r="T1229" s="40">
        <f t="shared" si="171"/>
        <v>53.5</v>
      </c>
      <c r="U1229" s="40">
        <f t="shared" si="171"/>
        <v>53.5</v>
      </c>
      <c r="V1229" s="40">
        <f t="shared" si="171"/>
        <v>53.5</v>
      </c>
      <c r="W1229" s="40">
        <f t="shared" si="171"/>
        <v>53.5</v>
      </c>
      <c r="X1229" s="40">
        <f t="shared" si="171"/>
        <v>53.5</v>
      </c>
      <c r="Y1229" s="40">
        <f t="shared" si="171"/>
        <v>53.5</v>
      </c>
      <c r="Z1229" s="40">
        <f t="shared" si="171"/>
        <v>53.5</v>
      </c>
      <c r="AA1229" s="966">
        <f t="shared" si="168"/>
        <v>642</v>
      </c>
      <c r="AB1229" s="35"/>
      <c r="AC1229" s="183"/>
    </row>
    <row r="1230" spans="1:29" x14ac:dyDescent="0.2">
      <c r="A1230" s="1422"/>
      <c r="B1230" s="2522"/>
      <c r="C1230" s="2432"/>
      <c r="D1230" s="2421"/>
      <c r="E1230" s="2421"/>
      <c r="F1230" s="2420"/>
      <c r="G1230" s="2420"/>
      <c r="H1230" s="2420"/>
      <c r="I1230" s="2420"/>
      <c r="J1230" s="2515"/>
      <c r="K1230" s="40">
        <v>100</v>
      </c>
      <c r="L1230" s="3295"/>
      <c r="M1230" s="3287" t="s">
        <v>380</v>
      </c>
      <c r="N1230" s="3288"/>
      <c r="O1230" s="40">
        <f>$K1230</f>
        <v>100</v>
      </c>
      <c r="P1230" s="1044"/>
      <c r="Q1230" s="1044"/>
      <c r="R1230" s="1044"/>
      <c r="S1230" s="1044"/>
      <c r="T1230" s="1044"/>
      <c r="U1230" s="1044"/>
      <c r="V1230" s="1044"/>
      <c r="W1230" s="1044"/>
      <c r="X1230" s="1044"/>
      <c r="Y1230" s="1044"/>
      <c r="Z1230" s="1044"/>
      <c r="AA1230" s="966">
        <f t="shared" si="168"/>
        <v>100</v>
      </c>
      <c r="AB1230" s="35"/>
      <c r="AC1230" s="183"/>
    </row>
    <row r="1231" spans="1:29" x14ac:dyDescent="0.2">
      <c r="A1231" s="1422"/>
      <c r="B1231" s="2522"/>
      <c r="C1231" s="2432"/>
      <c r="D1231" s="2421"/>
      <c r="E1231" s="2421"/>
      <c r="F1231" s="2420"/>
      <c r="G1231" s="2420"/>
      <c r="H1231" s="2420"/>
      <c r="I1231" s="2420"/>
      <c r="J1231" s="2515"/>
      <c r="K1231" s="40">
        <v>9000</v>
      </c>
      <c r="L1231" s="3295"/>
      <c r="M1231" s="3287" t="s">
        <v>302</v>
      </c>
      <c r="N1231" s="3288"/>
      <c r="O1231" s="1044"/>
      <c r="P1231" s="1044"/>
      <c r="Q1231" s="1044"/>
      <c r="R1231" s="1044"/>
      <c r="S1231" s="1044">
        <f>K1231</f>
        <v>9000</v>
      </c>
      <c r="T1231" s="1044"/>
      <c r="U1231" s="1044"/>
      <c r="V1231" s="1044"/>
      <c r="W1231" s="1044"/>
      <c r="X1231" s="1044"/>
      <c r="Y1231" s="1044"/>
      <c r="Z1231" s="1044"/>
      <c r="AA1231" s="966">
        <f t="shared" si="168"/>
        <v>9000</v>
      </c>
      <c r="AB1231" s="35"/>
      <c r="AC1231" s="183"/>
    </row>
    <row r="1232" spans="1:29" x14ac:dyDescent="0.2">
      <c r="A1232" s="1422"/>
      <c r="B1232" s="2522"/>
      <c r="C1232" s="2432"/>
      <c r="D1232" s="2421"/>
      <c r="E1232" s="2421"/>
      <c r="F1232" s="2420"/>
      <c r="G1232" s="2420"/>
      <c r="H1232" s="2420"/>
      <c r="I1232" s="2420"/>
      <c r="J1232" s="2515"/>
      <c r="K1232" s="40">
        <v>5170</v>
      </c>
      <c r="L1232" s="3295"/>
      <c r="M1232" s="3287" t="s">
        <v>303</v>
      </c>
      <c r="N1232" s="3288"/>
      <c r="O1232" s="1044"/>
      <c r="P1232" s="1044"/>
      <c r="Q1232" s="40">
        <f>$K1232/2</f>
        <v>2585</v>
      </c>
      <c r="R1232" s="40"/>
      <c r="S1232" s="40"/>
      <c r="T1232" s="40"/>
      <c r="U1232" s="40"/>
      <c r="V1232" s="40">
        <f>$K1232/2</f>
        <v>2585</v>
      </c>
      <c r="W1232" s="40"/>
      <c r="X1232" s="40"/>
      <c r="Y1232" s="40"/>
      <c r="Z1232" s="40"/>
      <c r="AA1232" s="966">
        <f t="shared" si="168"/>
        <v>5170</v>
      </c>
      <c r="AB1232" s="35"/>
      <c r="AC1232" s="183"/>
    </row>
    <row r="1233" spans="1:29" x14ac:dyDescent="0.2">
      <c r="A1233" s="1422"/>
      <c r="B1233" s="2522"/>
      <c r="C1233" s="2432"/>
      <c r="D1233" s="2421"/>
      <c r="E1233" s="2421"/>
      <c r="F1233" s="2420"/>
      <c r="G1233" s="2420"/>
      <c r="H1233" s="2420"/>
      <c r="I1233" s="2420"/>
      <c r="J1233" s="2515"/>
      <c r="K1233" s="40">
        <v>2000</v>
      </c>
      <c r="L1233" s="3295"/>
      <c r="M1233" s="3287" t="s">
        <v>304</v>
      </c>
      <c r="N1233" s="3288"/>
      <c r="O1233" s="1044"/>
      <c r="P1233" s="1044"/>
      <c r="Q1233" s="40"/>
      <c r="R1233" s="40">
        <f>$K1233</f>
        <v>2000</v>
      </c>
      <c r="S1233" s="1044"/>
      <c r="T1233" s="1044"/>
      <c r="U1233" s="1044"/>
      <c r="V1233" s="1044"/>
      <c r="W1233" s="1044"/>
      <c r="X1233" s="1044"/>
      <c r="Y1233" s="1044"/>
      <c r="Z1233" s="1044"/>
      <c r="AA1233" s="966">
        <f t="shared" si="168"/>
        <v>2000</v>
      </c>
      <c r="AB1233" s="35"/>
      <c r="AC1233" s="183"/>
    </row>
    <row r="1234" spans="1:29" x14ac:dyDescent="0.2">
      <c r="A1234" s="1422"/>
      <c r="B1234" s="2522"/>
      <c r="C1234" s="2432"/>
      <c r="D1234" s="2421"/>
      <c r="E1234" s="2421"/>
      <c r="F1234" s="2420"/>
      <c r="G1234" s="2420"/>
      <c r="H1234" s="2420"/>
      <c r="I1234" s="2420"/>
      <c r="J1234" s="2515"/>
      <c r="K1234" s="40">
        <v>6667</v>
      </c>
      <c r="L1234" s="3295"/>
      <c r="M1234" s="3287" t="s">
        <v>305</v>
      </c>
      <c r="N1234" s="3288"/>
      <c r="O1234" s="1044"/>
      <c r="P1234" s="1044">
        <f>$K1234/4</f>
        <v>1666.75</v>
      </c>
      <c r="Q1234" s="1044"/>
      <c r="R1234" s="1044"/>
      <c r="S1234" s="1044">
        <f>$K1234/4</f>
        <v>1666.75</v>
      </c>
      <c r="T1234" s="1044"/>
      <c r="U1234" s="1044"/>
      <c r="V1234" s="1044">
        <f>$K1234/4</f>
        <v>1666.75</v>
      </c>
      <c r="W1234" s="1044"/>
      <c r="X1234" s="1044"/>
      <c r="Y1234" s="1044">
        <f>$K1234/4</f>
        <v>1666.75</v>
      </c>
      <c r="Z1234" s="1044"/>
      <c r="AA1234" s="966">
        <f t="shared" si="168"/>
        <v>6667</v>
      </c>
      <c r="AB1234" s="35"/>
      <c r="AC1234" s="183"/>
    </row>
    <row r="1235" spans="1:29" x14ac:dyDescent="0.2">
      <c r="A1235" s="1422"/>
      <c r="B1235" s="2522"/>
      <c r="C1235" s="2432"/>
      <c r="D1235" s="2421"/>
      <c r="E1235" s="2421"/>
      <c r="F1235" s="2420"/>
      <c r="G1235" s="2420"/>
      <c r="H1235" s="2420"/>
      <c r="I1235" s="2420"/>
      <c r="J1235" s="2515"/>
      <c r="K1235" s="40">
        <v>24967</v>
      </c>
      <c r="L1235" s="3295"/>
      <c r="M1235" s="3287" t="s">
        <v>306</v>
      </c>
      <c r="N1235" s="3288"/>
      <c r="O1235" s="1044"/>
      <c r="P1235" s="93">
        <f>$K1235/11</f>
        <v>2269.7272727272725</v>
      </c>
      <c r="Q1235" s="93">
        <f t="shared" ref="Q1235:Z1236" si="172">$K1235/11</f>
        <v>2269.7272727272725</v>
      </c>
      <c r="R1235" s="93">
        <f t="shared" si="172"/>
        <v>2269.7272727272725</v>
      </c>
      <c r="S1235" s="93">
        <f t="shared" si="172"/>
        <v>2269.7272727272725</v>
      </c>
      <c r="T1235" s="93">
        <f t="shared" si="172"/>
        <v>2269.7272727272725</v>
      </c>
      <c r="U1235" s="93">
        <f t="shared" si="172"/>
        <v>2269.7272727272725</v>
      </c>
      <c r="V1235" s="93">
        <f t="shared" si="172"/>
        <v>2269.7272727272725</v>
      </c>
      <c r="W1235" s="93">
        <f t="shared" si="172"/>
        <v>2269.7272727272725</v>
      </c>
      <c r="X1235" s="93">
        <f t="shared" si="172"/>
        <v>2269.7272727272725</v>
      </c>
      <c r="Y1235" s="93">
        <f t="shared" si="172"/>
        <v>2269.7272727272725</v>
      </c>
      <c r="Z1235" s="93">
        <f t="shared" si="172"/>
        <v>2269.7272727272725</v>
      </c>
      <c r="AA1235" s="966">
        <f t="shared" si="168"/>
        <v>24966.999999999996</v>
      </c>
      <c r="AB1235" s="35"/>
      <c r="AC1235" s="183"/>
    </row>
    <row r="1236" spans="1:29" x14ac:dyDescent="0.2">
      <c r="A1236" s="1422"/>
      <c r="B1236" s="2522"/>
      <c r="C1236" s="2432"/>
      <c r="D1236" s="2421"/>
      <c r="E1236" s="2421"/>
      <c r="F1236" s="2420"/>
      <c r="G1236" s="2420"/>
      <c r="H1236" s="2420"/>
      <c r="I1236" s="2420"/>
      <c r="J1236" s="2515"/>
      <c r="K1236" s="40">
        <v>4689</v>
      </c>
      <c r="L1236" s="3295"/>
      <c r="M1236" s="3287" t="s">
        <v>307</v>
      </c>
      <c r="N1236" s="3288"/>
      <c r="O1236" s="1044"/>
      <c r="P1236" s="94">
        <f>$K1236/11</f>
        <v>426.27272727272725</v>
      </c>
      <c r="Q1236" s="94">
        <f t="shared" si="172"/>
        <v>426.27272727272725</v>
      </c>
      <c r="R1236" s="94">
        <f t="shared" si="172"/>
        <v>426.27272727272725</v>
      </c>
      <c r="S1236" s="94">
        <f t="shared" si="172"/>
        <v>426.27272727272725</v>
      </c>
      <c r="T1236" s="94">
        <f t="shared" si="172"/>
        <v>426.27272727272725</v>
      </c>
      <c r="U1236" s="94">
        <f t="shared" si="172"/>
        <v>426.27272727272725</v>
      </c>
      <c r="V1236" s="94">
        <f t="shared" si="172"/>
        <v>426.27272727272725</v>
      </c>
      <c r="W1236" s="94">
        <f t="shared" si="172"/>
        <v>426.27272727272725</v>
      </c>
      <c r="X1236" s="94">
        <f t="shared" si="172"/>
        <v>426.27272727272725</v>
      </c>
      <c r="Y1236" s="94">
        <f t="shared" si="172"/>
        <v>426.27272727272725</v>
      </c>
      <c r="Z1236" s="94">
        <f t="shared" si="172"/>
        <v>426.27272727272725</v>
      </c>
      <c r="AA1236" s="966">
        <f t="shared" si="168"/>
        <v>4688.9999999999982</v>
      </c>
      <c r="AB1236" s="35"/>
      <c r="AC1236" s="183"/>
    </row>
    <row r="1237" spans="1:29" x14ac:dyDescent="0.2">
      <c r="A1237" s="1422"/>
      <c r="B1237" s="2522"/>
      <c r="C1237" s="2432"/>
      <c r="D1237" s="2421"/>
      <c r="E1237" s="2421"/>
      <c r="F1237" s="2420"/>
      <c r="G1237" s="2420"/>
      <c r="H1237" s="2420"/>
      <c r="I1237" s="2420"/>
      <c r="J1237" s="2515"/>
      <c r="K1237" s="40">
        <v>5925</v>
      </c>
      <c r="L1237" s="3295"/>
      <c r="M1237" s="3287" t="s">
        <v>308</v>
      </c>
      <c r="N1237" s="3288"/>
      <c r="O1237" s="1044"/>
      <c r="P1237" s="1044"/>
      <c r="Q1237" s="40">
        <f>$K1237/2</f>
        <v>2962.5</v>
      </c>
      <c r="R1237" s="1044"/>
      <c r="S1237" s="1044"/>
      <c r="T1237" s="40">
        <f>$K1237/2</f>
        <v>2962.5</v>
      </c>
      <c r="U1237" s="1044"/>
      <c r="V1237" s="1044"/>
      <c r="W1237" s="1044"/>
      <c r="X1237" s="1044"/>
      <c r="Y1237" s="1044"/>
      <c r="Z1237" s="1044"/>
      <c r="AA1237" s="966">
        <f t="shared" si="168"/>
        <v>5925</v>
      </c>
      <c r="AB1237" s="35"/>
      <c r="AC1237" s="183"/>
    </row>
    <row r="1238" spans="1:29" x14ac:dyDescent="0.2">
      <c r="A1238" s="1422"/>
      <c r="B1238" s="2522"/>
      <c r="C1238" s="2432"/>
      <c r="D1238" s="2421"/>
      <c r="E1238" s="2421"/>
      <c r="F1238" s="2420"/>
      <c r="G1238" s="2420"/>
      <c r="H1238" s="2420"/>
      <c r="I1238" s="2420"/>
      <c r="J1238" s="2515"/>
      <c r="K1238" s="40">
        <v>1000</v>
      </c>
      <c r="L1238" s="3295"/>
      <c r="M1238" s="3287" t="s">
        <v>345</v>
      </c>
      <c r="N1238" s="3288"/>
      <c r="O1238" s="95"/>
      <c r="P1238" s="95"/>
      <c r="Q1238" s="95">
        <f>$K1238</f>
        <v>1000</v>
      </c>
      <c r="R1238" s="95"/>
      <c r="S1238" s="95"/>
      <c r="T1238" s="95"/>
      <c r="U1238" s="95"/>
      <c r="V1238" s="95"/>
      <c r="W1238" s="95"/>
      <c r="X1238" s="95"/>
      <c r="Y1238" s="95"/>
      <c r="Z1238" s="95"/>
      <c r="AA1238" s="966">
        <f t="shared" si="168"/>
        <v>1000</v>
      </c>
      <c r="AB1238" s="35"/>
      <c r="AC1238" s="183"/>
    </row>
    <row r="1239" spans="1:29" x14ac:dyDescent="0.2">
      <c r="A1239" s="1422"/>
      <c r="B1239" s="2522"/>
      <c r="C1239" s="2432"/>
      <c r="D1239" s="2421"/>
      <c r="E1239" s="2421"/>
      <c r="F1239" s="2420"/>
      <c r="G1239" s="2420"/>
      <c r="H1239" s="2420"/>
      <c r="I1239" s="2420"/>
      <c r="J1239" s="2515"/>
      <c r="K1239" s="40">
        <v>8600</v>
      </c>
      <c r="L1239" s="3295"/>
      <c r="M1239" s="3287" t="s">
        <v>309</v>
      </c>
      <c r="N1239" s="3288"/>
      <c r="O1239" s="1044"/>
      <c r="P1239" s="1044"/>
      <c r="Q1239" s="40">
        <f>$K1239/5</f>
        <v>1720</v>
      </c>
      <c r="R1239" s="40"/>
      <c r="S1239" s="40">
        <f>$K1239/5</f>
        <v>1720</v>
      </c>
      <c r="T1239" s="1044"/>
      <c r="U1239" s="40">
        <f>$K1239/5</f>
        <v>1720</v>
      </c>
      <c r="V1239" s="1044"/>
      <c r="W1239" s="40">
        <f>$K1239/5</f>
        <v>1720</v>
      </c>
      <c r="X1239" s="1044"/>
      <c r="Y1239" s="40">
        <f>$K1239/5</f>
        <v>1720</v>
      </c>
      <c r="Z1239" s="1044"/>
      <c r="AA1239" s="966">
        <f t="shared" si="168"/>
        <v>8600</v>
      </c>
      <c r="AB1239" s="35"/>
      <c r="AC1239" s="183"/>
    </row>
    <row r="1240" spans="1:29" x14ac:dyDescent="0.2">
      <c r="A1240" s="1422"/>
      <c r="B1240" s="2522"/>
      <c r="C1240" s="2437"/>
      <c r="D1240" s="2421"/>
      <c r="E1240" s="2421"/>
      <c r="F1240" s="2420"/>
      <c r="G1240" s="2420"/>
      <c r="H1240" s="2420"/>
      <c r="I1240" s="2420"/>
      <c r="J1240" s="2516"/>
      <c r="K1240" s="40">
        <v>11500</v>
      </c>
      <c r="L1240" s="3296"/>
      <c r="M1240" s="3287" t="s">
        <v>358</v>
      </c>
      <c r="N1240" s="3288"/>
      <c r="O1240" s="95"/>
      <c r="P1240" s="95">
        <f>$K1240/11</f>
        <v>1045.4545454545455</v>
      </c>
      <c r="Q1240" s="95">
        <f t="shared" ref="Q1240:Z1240" si="173">$K1240/11</f>
        <v>1045.4545454545455</v>
      </c>
      <c r="R1240" s="95">
        <f t="shared" si="173"/>
        <v>1045.4545454545455</v>
      </c>
      <c r="S1240" s="95">
        <f t="shared" si="173"/>
        <v>1045.4545454545455</v>
      </c>
      <c r="T1240" s="95">
        <f t="shared" si="173"/>
        <v>1045.4545454545455</v>
      </c>
      <c r="U1240" s="95">
        <f t="shared" si="173"/>
        <v>1045.4545454545455</v>
      </c>
      <c r="V1240" s="95">
        <f t="shared" si="173"/>
        <v>1045.4545454545455</v>
      </c>
      <c r="W1240" s="95">
        <f t="shared" si="173"/>
        <v>1045.4545454545455</v>
      </c>
      <c r="X1240" s="95">
        <f t="shared" si="173"/>
        <v>1045.4545454545455</v>
      </c>
      <c r="Y1240" s="95">
        <f t="shared" si="173"/>
        <v>1045.4545454545455</v>
      </c>
      <c r="Z1240" s="95">
        <f t="shared" si="173"/>
        <v>1045.4545454545455</v>
      </c>
      <c r="AA1240" s="966">
        <f t="shared" si="168"/>
        <v>11500.000000000004</v>
      </c>
      <c r="AB1240" s="35"/>
      <c r="AC1240" s="183"/>
    </row>
    <row r="1241" spans="1:29" x14ac:dyDescent="0.2">
      <c r="A1241" s="1422"/>
      <c r="B1241" s="2999" t="s">
        <v>278</v>
      </c>
      <c r="C1241" s="2988" t="s">
        <v>563</v>
      </c>
      <c r="D1241" s="2847" t="s">
        <v>22</v>
      </c>
      <c r="E1241" s="2847" t="s">
        <v>23</v>
      </c>
      <c r="F1241" s="2847" t="s">
        <v>24</v>
      </c>
      <c r="G1241" s="2847" t="s">
        <v>25</v>
      </c>
      <c r="H1241" s="2847" t="s">
        <v>26</v>
      </c>
      <c r="I1241" s="2847" t="s">
        <v>27</v>
      </c>
      <c r="J1241" s="2847" t="s">
        <v>28</v>
      </c>
      <c r="K1241" s="2847"/>
      <c r="L1241" s="2988" t="s">
        <v>279</v>
      </c>
      <c r="M1241" s="3273" t="s">
        <v>280</v>
      </c>
      <c r="N1241" s="3274"/>
      <c r="O1241" s="2847" t="s">
        <v>281</v>
      </c>
      <c r="P1241" s="2847"/>
      <c r="Q1241" s="2847"/>
      <c r="R1241" s="2847"/>
      <c r="S1241" s="2847"/>
      <c r="T1241" s="2847"/>
      <c r="U1241" s="2847"/>
      <c r="V1241" s="2847"/>
      <c r="W1241" s="2847"/>
      <c r="X1241" s="2847"/>
      <c r="Y1241" s="2847"/>
      <c r="Z1241" s="2847"/>
      <c r="AA1241" s="2988" t="s">
        <v>32</v>
      </c>
      <c r="AB1241" s="35"/>
      <c r="AC1241" s="183"/>
    </row>
    <row r="1242" spans="1:29" x14ac:dyDescent="0.2">
      <c r="A1242" s="1422"/>
      <c r="B1242" s="2999"/>
      <c r="C1242" s="3186"/>
      <c r="D1242" s="2847"/>
      <c r="E1242" s="2847"/>
      <c r="F1242" s="2847"/>
      <c r="G1242" s="2847"/>
      <c r="H1242" s="2847"/>
      <c r="I1242" s="2847"/>
      <c r="J1242" s="2847" t="s">
        <v>33</v>
      </c>
      <c r="K1242" s="2847" t="s">
        <v>282</v>
      </c>
      <c r="L1242" s="3186"/>
      <c r="M1242" s="3275"/>
      <c r="N1242" s="3276"/>
      <c r="O1242" s="1017" t="s">
        <v>283</v>
      </c>
      <c r="P1242" s="1017" t="s">
        <v>284</v>
      </c>
      <c r="Q1242" s="1017" t="s">
        <v>285</v>
      </c>
      <c r="R1242" s="1017" t="s">
        <v>88</v>
      </c>
      <c r="S1242" s="1017" t="s">
        <v>89</v>
      </c>
      <c r="T1242" s="1017" t="s">
        <v>90</v>
      </c>
      <c r="U1242" s="1017" t="s">
        <v>91</v>
      </c>
      <c r="V1242" s="1017" t="s">
        <v>92</v>
      </c>
      <c r="W1242" s="1017" t="s">
        <v>286</v>
      </c>
      <c r="X1242" s="1017" t="s">
        <v>93</v>
      </c>
      <c r="Y1242" s="1017" t="s">
        <v>94</v>
      </c>
      <c r="Z1242" s="1017" t="s">
        <v>95</v>
      </c>
      <c r="AA1242" s="2989"/>
      <c r="AB1242" s="35"/>
      <c r="AC1242" s="183"/>
    </row>
    <row r="1243" spans="1:29" ht="12.75" x14ac:dyDescent="0.2">
      <c r="A1243" s="1422"/>
      <c r="B1243" s="2999"/>
      <c r="C1243" s="3186"/>
      <c r="D1243" s="2847"/>
      <c r="E1243" s="2847"/>
      <c r="F1243" s="2847"/>
      <c r="G1243" s="2847"/>
      <c r="H1243" s="2847"/>
      <c r="I1243" s="2847"/>
      <c r="J1243" s="2847"/>
      <c r="K1243" s="2847"/>
      <c r="L1243" s="3186"/>
      <c r="M1243" s="3271" t="s">
        <v>287</v>
      </c>
      <c r="N1243" s="3272"/>
      <c r="O1243" s="1093"/>
      <c r="P1243" s="1093"/>
      <c r="Q1243" s="1093">
        <v>1</v>
      </c>
      <c r="R1243" s="1093">
        <v>1</v>
      </c>
      <c r="S1243" s="1093">
        <v>1</v>
      </c>
      <c r="T1243" s="1093">
        <v>1</v>
      </c>
      <c r="U1243" s="1093"/>
      <c r="V1243" s="1093"/>
      <c r="W1243" s="1093"/>
      <c r="X1243" s="1093"/>
      <c r="Y1243" s="1093"/>
      <c r="Z1243" s="1093"/>
      <c r="AA1243" s="1205">
        <f>SUM(O1243:Z1243)</f>
        <v>4</v>
      </c>
      <c r="AB1243" s="35"/>
      <c r="AC1243" s="183"/>
    </row>
    <row r="1244" spans="1:29" ht="12.75" x14ac:dyDescent="0.2">
      <c r="A1244" s="1422"/>
      <c r="B1244" s="2999"/>
      <c r="C1244" s="2989"/>
      <c r="D1244" s="2847"/>
      <c r="E1244" s="2847"/>
      <c r="F1244" s="2847"/>
      <c r="G1244" s="2847"/>
      <c r="H1244" s="2847"/>
      <c r="I1244" s="2847"/>
      <c r="J1244" s="2847"/>
      <c r="K1244" s="2847"/>
      <c r="L1244" s="2989"/>
      <c r="M1244" s="3271" t="s">
        <v>34</v>
      </c>
      <c r="N1244" s="3272"/>
      <c r="O1244" s="66">
        <f>SUM(O1245:O1255)</f>
        <v>3373.5</v>
      </c>
      <c r="P1244" s="66">
        <f t="shared" ref="P1244:Y1244" si="174">SUM(P1245:P1255)</f>
        <v>5079.295454545455</v>
      </c>
      <c r="Q1244" s="66">
        <f t="shared" si="174"/>
        <v>7934.4454545454546</v>
      </c>
      <c r="R1244" s="66">
        <f t="shared" si="174"/>
        <v>4468.045454545455</v>
      </c>
      <c r="S1244" s="66">
        <f t="shared" si="174"/>
        <v>5935.6954545454546</v>
      </c>
      <c r="T1244" s="66">
        <f t="shared" si="174"/>
        <v>4468.045454545455</v>
      </c>
      <c r="U1244" s="66">
        <f t="shared" si="174"/>
        <v>6914.4454545454546</v>
      </c>
      <c r="V1244" s="66">
        <f t="shared" si="174"/>
        <v>5079.295454545455</v>
      </c>
      <c r="W1244" s="66">
        <f t="shared" si="174"/>
        <v>5324.4454545454546</v>
      </c>
      <c r="X1244" s="66">
        <f t="shared" si="174"/>
        <v>4468.045454545455</v>
      </c>
      <c r="Y1244" s="66">
        <f t="shared" si="174"/>
        <v>5935.6954545454546</v>
      </c>
      <c r="Z1244" s="66">
        <f>SUM(Z1245:Z1255)</f>
        <v>4768.045454545455</v>
      </c>
      <c r="AA1244" s="1205">
        <f t="shared" ref="AA1244:AA1255" si="175">SUM(O1244:Z1244)</f>
        <v>63749.000000000015</v>
      </c>
      <c r="AB1244" s="35"/>
      <c r="AC1244" s="183"/>
    </row>
    <row r="1245" spans="1:29" ht="11.25" customHeight="1" x14ac:dyDescent="0.2">
      <c r="A1245" s="1422"/>
      <c r="B1245" s="2522">
        <v>5004434</v>
      </c>
      <c r="C1245" s="2438" t="s">
        <v>3069</v>
      </c>
      <c r="D1245" s="2420">
        <v>42</v>
      </c>
      <c r="E1245" s="2420" t="s">
        <v>407</v>
      </c>
      <c r="F1245" s="2420" t="s">
        <v>313</v>
      </c>
      <c r="G1245" s="2420" t="s">
        <v>314</v>
      </c>
      <c r="H1245" s="2420" t="s">
        <v>566</v>
      </c>
      <c r="I1245" s="2420" t="s">
        <v>316</v>
      </c>
      <c r="J1245" s="3202">
        <v>4</v>
      </c>
      <c r="K1245" s="40">
        <v>33588</v>
      </c>
      <c r="L1245" s="3294" t="s">
        <v>565</v>
      </c>
      <c r="M1245" s="3287" t="s">
        <v>293</v>
      </c>
      <c r="N1245" s="3288"/>
      <c r="O1245" s="40">
        <f t="shared" ref="O1245:Z1245" si="176">$K1245/12</f>
        <v>2799</v>
      </c>
      <c r="P1245" s="40">
        <f t="shared" si="176"/>
        <v>2799</v>
      </c>
      <c r="Q1245" s="40">
        <f t="shared" si="176"/>
        <v>2799</v>
      </c>
      <c r="R1245" s="40">
        <f t="shared" si="176"/>
        <v>2799</v>
      </c>
      <c r="S1245" s="40">
        <f t="shared" si="176"/>
        <v>2799</v>
      </c>
      <c r="T1245" s="40">
        <f t="shared" si="176"/>
        <v>2799</v>
      </c>
      <c r="U1245" s="40">
        <f t="shared" si="176"/>
        <v>2799</v>
      </c>
      <c r="V1245" s="40">
        <f t="shared" si="176"/>
        <v>2799</v>
      </c>
      <c r="W1245" s="40">
        <f t="shared" si="176"/>
        <v>2799</v>
      </c>
      <c r="X1245" s="40">
        <f t="shared" si="176"/>
        <v>2799</v>
      </c>
      <c r="Y1245" s="40">
        <f t="shared" si="176"/>
        <v>2799</v>
      </c>
      <c r="Z1245" s="40">
        <f t="shared" si="176"/>
        <v>2799</v>
      </c>
      <c r="AA1245" s="966">
        <f t="shared" si="175"/>
        <v>33588</v>
      </c>
      <c r="AB1245" s="35"/>
      <c r="AC1245" s="183"/>
    </row>
    <row r="1246" spans="1:29" x14ac:dyDescent="0.2">
      <c r="A1246" s="1422"/>
      <c r="B1246" s="2522"/>
      <c r="C1246" s="2456"/>
      <c r="D1246" s="2420"/>
      <c r="E1246" s="2420"/>
      <c r="F1246" s="2420"/>
      <c r="G1246" s="2420"/>
      <c r="H1246" s="2420"/>
      <c r="I1246" s="2420"/>
      <c r="J1246" s="3203"/>
      <c r="K1246" s="40">
        <v>600</v>
      </c>
      <c r="L1246" s="3295"/>
      <c r="M1246" s="3287" t="s">
        <v>298</v>
      </c>
      <c r="N1246" s="3288"/>
      <c r="O1246" s="1044"/>
      <c r="P1246" s="1044"/>
      <c r="Q1246" s="1044"/>
      <c r="R1246" s="1044"/>
      <c r="S1246" s="1044"/>
      <c r="T1246" s="1044"/>
      <c r="U1246" s="40">
        <f>$K1246/2</f>
        <v>300</v>
      </c>
      <c r="V1246" s="1044"/>
      <c r="W1246" s="1044"/>
      <c r="X1246" s="1044"/>
      <c r="Y1246" s="1044"/>
      <c r="Z1246" s="40">
        <f>$K1246/2</f>
        <v>300</v>
      </c>
      <c r="AA1246" s="966">
        <f t="shared" si="175"/>
        <v>600</v>
      </c>
      <c r="AB1246" s="35"/>
      <c r="AC1246" s="183"/>
    </row>
    <row r="1247" spans="1:29" x14ac:dyDescent="0.2">
      <c r="A1247" s="1422"/>
      <c r="B1247" s="2522"/>
      <c r="C1247" s="2456"/>
      <c r="D1247" s="2420"/>
      <c r="E1247" s="2420"/>
      <c r="F1247" s="2420"/>
      <c r="G1247" s="2420"/>
      <c r="H1247" s="2420"/>
      <c r="I1247" s="2420"/>
      <c r="J1247" s="3203"/>
      <c r="K1247" s="40">
        <v>400</v>
      </c>
      <c r="L1247" s="3295"/>
      <c r="M1247" s="3287" t="s">
        <v>299</v>
      </c>
      <c r="N1247" s="3288"/>
      <c r="O1247" s="40">
        <f>$K1247</f>
        <v>400</v>
      </c>
      <c r="P1247" s="1044"/>
      <c r="Q1247" s="40"/>
      <c r="R1247" s="1044"/>
      <c r="S1247" s="1044"/>
      <c r="T1247" s="1044"/>
      <c r="U1247" s="1044"/>
      <c r="V1247" s="1044"/>
      <c r="W1247" s="1044"/>
      <c r="X1247" s="1044"/>
      <c r="Y1247" s="1044"/>
      <c r="Z1247" s="1044"/>
      <c r="AA1247" s="966">
        <f t="shared" si="175"/>
        <v>400</v>
      </c>
      <c r="AB1247" s="35"/>
      <c r="AC1247" s="183"/>
    </row>
    <row r="1248" spans="1:29" x14ac:dyDescent="0.2">
      <c r="A1248" s="1422"/>
      <c r="B1248" s="2522"/>
      <c r="C1248" s="2456"/>
      <c r="D1248" s="2420"/>
      <c r="E1248" s="2420"/>
      <c r="F1248" s="2420"/>
      <c r="G1248" s="2420"/>
      <c r="H1248" s="2420"/>
      <c r="I1248" s="2420"/>
      <c r="J1248" s="3203"/>
      <c r="K1248" s="40">
        <v>1965</v>
      </c>
      <c r="L1248" s="3295"/>
      <c r="M1248" s="3287" t="s">
        <v>300</v>
      </c>
      <c r="N1248" s="3288"/>
      <c r="O1248" s="40">
        <f t="shared" ref="O1248:Z1249" si="177">$K1248/12</f>
        <v>163.75</v>
      </c>
      <c r="P1248" s="40">
        <f t="shared" si="177"/>
        <v>163.75</v>
      </c>
      <c r="Q1248" s="40">
        <f t="shared" si="177"/>
        <v>163.75</v>
      </c>
      <c r="R1248" s="40">
        <f t="shared" si="177"/>
        <v>163.75</v>
      </c>
      <c r="S1248" s="40">
        <f t="shared" si="177"/>
        <v>163.75</v>
      </c>
      <c r="T1248" s="40">
        <f t="shared" si="177"/>
        <v>163.75</v>
      </c>
      <c r="U1248" s="40">
        <f t="shared" si="177"/>
        <v>163.75</v>
      </c>
      <c r="V1248" s="40">
        <f t="shared" si="177"/>
        <v>163.75</v>
      </c>
      <c r="W1248" s="40">
        <f t="shared" si="177"/>
        <v>163.75</v>
      </c>
      <c r="X1248" s="40">
        <f t="shared" si="177"/>
        <v>163.75</v>
      </c>
      <c r="Y1248" s="40">
        <f t="shared" si="177"/>
        <v>163.75</v>
      </c>
      <c r="Z1248" s="40">
        <f t="shared" si="177"/>
        <v>163.75</v>
      </c>
      <c r="AA1248" s="966">
        <f t="shared" si="175"/>
        <v>1965</v>
      </c>
      <c r="AB1248" s="35"/>
      <c r="AC1248" s="183"/>
    </row>
    <row r="1249" spans="1:29" x14ac:dyDescent="0.2">
      <c r="A1249" s="1422"/>
      <c r="B1249" s="2522"/>
      <c r="C1249" s="2456"/>
      <c r="D1249" s="2420"/>
      <c r="E1249" s="2420"/>
      <c r="F1249" s="2420"/>
      <c r="G1249" s="2420"/>
      <c r="H1249" s="2420"/>
      <c r="I1249" s="2420"/>
      <c r="J1249" s="3203"/>
      <c r="K1249" s="40">
        <v>129</v>
      </c>
      <c r="L1249" s="3295"/>
      <c r="M1249" s="3287" t="s">
        <v>301</v>
      </c>
      <c r="N1249" s="3288"/>
      <c r="O1249" s="40">
        <f t="shared" si="177"/>
        <v>10.75</v>
      </c>
      <c r="P1249" s="40">
        <f t="shared" si="177"/>
        <v>10.75</v>
      </c>
      <c r="Q1249" s="40">
        <f t="shared" si="177"/>
        <v>10.75</v>
      </c>
      <c r="R1249" s="40">
        <f t="shared" si="177"/>
        <v>10.75</v>
      </c>
      <c r="S1249" s="40">
        <f t="shared" si="177"/>
        <v>10.75</v>
      </c>
      <c r="T1249" s="40">
        <f t="shared" si="177"/>
        <v>10.75</v>
      </c>
      <c r="U1249" s="40">
        <f t="shared" si="177"/>
        <v>10.75</v>
      </c>
      <c r="V1249" s="40">
        <f t="shared" si="177"/>
        <v>10.75</v>
      </c>
      <c r="W1249" s="40">
        <f t="shared" si="177"/>
        <v>10.75</v>
      </c>
      <c r="X1249" s="40">
        <f t="shared" si="177"/>
        <v>10.75</v>
      </c>
      <c r="Y1249" s="40">
        <f t="shared" si="177"/>
        <v>10.75</v>
      </c>
      <c r="Z1249" s="40">
        <f t="shared" si="177"/>
        <v>10.75</v>
      </c>
      <c r="AA1249" s="966">
        <f t="shared" si="175"/>
        <v>129</v>
      </c>
      <c r="AB1249" s="35"/>
      <c r="AC1249" s="183"/>
    </row>
    <row r="1250" spans="1:29" x14ac:dyDescent="0.2">
      <c r="A1250" s="1422"/>
      <c r="B1250" s="2522"/>
      <c r="C1250" s="2456"/>
      <c r="D1250" s="2420"/>
      <c r="E1250" s="2420"/>
      <c r="F1250" s="2420"/>
      <c r="G1250" s="2420"/>
      <c r="H1250" s="2420"/>
      <c r="I1250" s="2420"/>
      <c r="J1250" s="3203"/>
      <c r="K1250" s="40">
        <v>1320</v>
      </c>
      <c r="L1250" s="3295"/>
      <c r="M1250" s="3287" t="s">
        <v>303</v>
      </c>
      <c r="N1250" s="3288"/>
      <c r="O1250" s="1044"/>
      <c r="P1250" s="1044"/>
      <c r="Q1250" s="40">
        <f>$K1250</f>
        <v>1320</v>
      </c>
      <c r="R1250" s="1044"/>
      <c r="S1250" s="1044"/>
      <c r="T1250" s="1044"/>
      <c r="U1250" s="1044"/>
      <c r="V1250" s="1044"/>
      <c r="W1250" s="1044"/>
      <c r="X1250" s="1044"/>
      <c r="Y1250" s="1044"/>
      <c r="Z1250" s="1044"/>
      <c r="AA1250" s="966">
        <f t="shared" si="175"/>
        <v>1320</v>
      </c>
      <c r="AB1250" s="35"/>
      <c r="AC1250" s="183"/>
    </row>
    <row r="1251" spans="1:29" x14ac:dyDescent="0.2">
      <c r="A1251" s="1422"/>
      <c r="B1251" s="2522"/>
      <c r="C1251" s="2456"/>
      <c r="D1251" s="2420"/>
      <c r="E1251" s="2420"/>
      <c r="F1251" s="2420"/>
      <c r="G1251" s="2420"/>
      <c r="H1251" s="2420"/>
      <c r="I1251" s="2420"/>
      <c r="J1251" s="3203"/>
      <c r="K1251" s="40">
        <v>2445</v>
      </c>
      <c r="L1251" s="3295"/>
      <c r="M1251" s="3287" t="s">
        <v>305</v>
      </c>
      <c r="N1251" s="3288"/>
      <c r="O1251" s="1044"/>
      <c r="P1251" s="1044">
        <f>$K1251/4</f>
        <v>611.25</v>
      </c>
      <c r="Q1251" s="1044"/>
      <c r="R1251" s="1044"/>
      <c r="S1251" s="1044">
        <f>$K1251/4</f>
        <v>611.25</v>
      </c>
      <c r="T1251" s="1044"/>
      <c r="U1251" s="1044"/>
      <c r="V1251" s="1044">
        <f>$K1251/4</f>
        <v>611.25</v>
      </c>
      <c r="W1251" s="1044"/>
      <c r="X1251" s="1044"/>
      <c r="Y1251" s="1044">
        <f>$K1251/4</f>
        <v>611.25</v>
      </c>
      <c r="Z1251" s="1044"/>
      <c r="AA1251" s="966">
        <f t="shared" si="175"/>
        <v>2445</v>
      </c>
      <c r="AB1251" s="35"/>
      <c r="AC1251" s="183"/>
    </row>
    <row r="1252" spans="1:29" x14ac:dyDescent="0.2">
      <c r="A1252" s="1422"/>
      <c r="B1252" s="2522"/>
      <c r="C1252" s="2456"/>
      <c r="D1252" s="2420"/>
      <c r="E1252" s="2420"/>
      <c r="F1252" s="2420"/>
      <c r="G1252" s="2420"/>
      <c r="H1252" s="2420"/>
      <c r="I1252" s="2420"/>
      <c r="J1252" s="3203"/>
      <c r="K1252" s="40">
        <v>14000</v>
      </c>
      <c r="L1252" s="3295"/>
      <c r="M1252" s="3287" t="s">
        <v>306</v>
      </c>
      <c r="N1252" s="3288"/>
      <c r="O1252" s="1044"/>
      <c r="P1252" s="93">
        <f>$K1252/11</f>
        <v>1272.7272727272727</v>
      </c>
      <c r="Q1252" s="93">
        <f t="shared" ref="Q1252:Z1253" si="178">$K1252/11</f>
        <v>1272.7272727272727</v>
      </c>
      <c r="R1252" s="93">
        <f t="shared" si="178"/>
        <v>1272.7272727272727</v>
      </c>
      <c r="S1252" s="93">
        <f t="shared" si="178"/>
        <v>1272.7272727272727</v>
      </c>
      <c r="T1252" s="93">
        <f t="shared" si="178"/>
        <v>1272.7272727272727</v>
      </c>
      <c r="U1252" s="93">
        <f t="shared" si="178"/>
        <v>1272.7272727272727</v>
      </c>
      <c r="V1252" s="93">
        <f t="shared" si="178"/>
        <v>1272.7272727272727</v>
      </c>
      <c r="W1252" s="93">
        <f t="shared" si="178"/>
        <v>1272.7272727272727</v>
      </c>
      <c r="X1252" s="93">
        <f t="shared" si="178"/>
        <v>1272.7272727272727</v>
      </c>
      <c r="Y1252" s="93">
        <f t="shared" si="178"/>
        <v>1272.7272727272727</v>
      </c>
      <c r="Z1252" s="93">
        <f t="shared" si="178"/>
        <v>1272.7272727272727</v>
      </c>
      <c r="AA1252" s="966">
        <f t="shared" si="175"/>
        <v>13999.999999999998</v>
      </c>
      <c r="AB1252" s="35"/>
      <c r="AC1252" s="183"/>
    </row>
    <row r="1253" spans="1:29" x14ac:dyDescent="0.2">
      <c r="A1253" s="1422"/>
      <c r="B1253" s="2522"/>
      <c r="C1253" s="2456"/>
      <c r="D1253" s="2420"/>
      <c r="E1253" s="2420"/>
      <c r="F1253" s="2420"/>
      <c r="G1253" s="2420"/>
      <c r="H1253" s="2420"/>
      <c r="I1253" s="2420"/>
      <c r="J1253" s="3203"/>
      <c r="K1253" s="40">
        <v>2440</v>
      </c>
      <c r="L1253" s="3295"/>
      <c r="M1253" s="3287" t="s">
        <v>307</v>
      </c>
      <c r="N1253" s="3288"/>
      <c r="O1253" s="1044"/>
      <c r="P1253" s="94">
        <f>$K1253/11</f>
        <v>221.81818181818181</v>
      </c>
      <c r="Q1253" s="94">
        <f t="shared" si="178"/>
        <v>221.81818181818181</v>
      </c>
      <c r="R1253" s="94">
        <f t="shared" si="178"/>
        <v>221.81818181818181</v>
      </c>
      <c r="S1253" s="94">
        <f t="shared" si="178"/>
        <v>221.81818181818181</v>
      </c>
      <c r="T1253" s="94">
        <f t="shared" si="178"/>
        <v>221.81818181818181</v>
      </c>
      <c r="U1253" s="94">
        <f t="shared" si="178"/>
        <v>221.81818181818181</v>
      </c>
      <c r="V1253" s="94">
        <f t="shared" si="178"/>
        <v>221.81818181818181</v>
      </c>
      <c r="W1253" s="94">
        <f t="shared" si="178"/>
        <v>221.81818181818181</v>
      </c>
      <c r="X1253" s="94">
        <f t="shared" si="178"/>
        <v>221.81818181818181</v>
      </c>
      <c r="Y1253" s="94">
        <f t="shared" si="178"/>
        <v>221.81818181818181</v>
      </c>
      <c r="Z1253" s="94">
        <f t="shared" si="178"/>
        <v>221.81818181818181</v>
      </c>
      <c r="AA1253" s="966">
        <f t="shared" si="175"/>
        <v>2440</v>
      </c>
      <c r="AB1253" s="35"/>
      <c r="AC1253" s="183"/>
    </row>
    <row r="1254" spans="1:29" x14ac:dyDescent="0.2">
      <c r="A1254" s="1422"/>
      <c r="B1254" s="2522"/>
      <c r="C1254" s="2456"/>
      <c r="D1254" s="2420"/>
      <c r="E1254" s="2420"/>
      <c r="F1254" s="2420"/>
      <c r="G1254" s="2420"/>
      <c r="H1254" s="2420"/>
      <c r="I1254" s="2420"/>
      <c r="J1254" s="3203"/>
      <c r="K1254" s="40">
        <v>2580</v>
      </c>
      <c r="L1254" s="3295"/>
      <c r="M1254" s="3287" t="s">
        <v>308</v>
      </c>
      <c r="N1254" s="3288"/>
      <c r="O1254" s="1044"/>
      <c r="P1254" s="1044"/>
      <c r="Q1254" s="40">
        <f>$K1254/2</f>
        <v>1290</v>
      </c>
      <c r="R1254" s="1044"/>
      <c r="S1254" s="1044"/>
      <c r="T1254" s="1044"/>
      <c r="U1254" s="40">
        <f>$K1254/2</f>
        <v>1290</v>
      </c>
      <c r="V1254" s="1044"/>
      <c r="W1254" s="1044"/>
      <c r="X1254" s="1044"/>
      <c r="Y1254" s="1044"/>
      <c r="Z1254" s="1044"/>
      <c r="AA1254" s="966">
        <f t="shared" si="175"/>
        <v>2580</v>
      </c>
      <c r="AB1254" s="35"/>
      <c r="AC1254" s="183"/>
    </row>
    <row r="1255" spans="1:29" x14ac:dyDescent="0.2">
      <c r="A1255" s="1422"/>
      <c r="B1255" s="2522"/>
      <c r="C1255" s="2450"/>
      <c r="D1255" s="2420"/>
      <c r="E1255" s="2420"/>
      <c r="F1255" s="2420"/>
      <c r="G1255" s="2420"/>
      <c r="H1255" s="2420"/>
      <c r="I1255" s="2420"/>
      <c r="J1255" s="3204"/>
      <c r="K1255" s="40">
        <v>4282</v>
      </c>
      <c r="L1255" s="3296"/>
      <c r="M1255" s="3287" t="s">
        <v>309</v>
      </c>
      <c r="N1255" s="3288"/>
      <c r="O1255" s="1044"/>
      <c r="P1255" s="1044"/>
      <c r="Q1255" s="40">
        <f>$K1255/5</f>
        <v>856.4</v>
      </c>
      <c r="R1255" s="40"/>
      <c r="S1255" s="40">
        <f>$K1255/5</f>
        <v>856.4</v>
      </c>
      <c r="T1255" s="1044"/>
      <c r="U1255" s="40">
        <f>$K1255/5</f>
        <v>856.4</v>
      </c>
      <c r="V1255" s="1044"/>
      <c r="W1255" s="40">
        <f>$K1255/5</f>
        <v>856.4</v>
      </c>
      <c r="X1255" s="1044"/>
      <c r="Y1255" s="40">
        <f>$K1255/5</f>
        <v>856.4</v>
      </c>
      <c r="Z1255" s="1044"/>
      <c r="AA1255" s="966">
        <f t="shared" si="175"/>
        <v>4282</v>
      </c>
      <c r="AB1255" s="35"/>
      <c r="AC1255" s="183"/>
    </row>
    <row r="1256" spans="1:29" x14ac:dyDescent="0.2">
      <c r="A1256" s="1422"/>
      <c r="B1256" s="1422"/>
      <c r="C1256" s="1124"/>
      <c r="D1256" s="35"/>
      <c r="E1256" s="35"/>
      <c r="F1256" s="161"/>
      <c r="G1256" s="161"/>
      <c r="H1256" s="161"/>
      <c r="I1256" s="161"/>
      <c r="J1256" s="161"/>
      <c r="K1256" s="161"/>
      <c r="L1256" s="161"/>
      <c r="M1256" s="161"/>
      <c r="N1256" s="161"/>
      <c r="O1256" s="161"/>
      <c r="P1256" s="161"/>
      <c r="Q1256" s="161"/>
      <c r="R1256" s="161"/>
      <c r="S1256" s="161"/>
      <c r="T1256" s="2976" t="s">
        <v>15</v>
      </c>
      <c r="U1256" s="2922"/>
      <c r="V1256" s="2922"/>
      <c r="W1256" s="2922"/>
      <c r="X1256" s="2922"/>
      <c r="Y1256" s="2922"/>
      <c r="Z1256" s="2974" t="s">
        <v>16</v>
      </c>
      <c r="AA1256" s="2976"/>
      <c r="AB1256" s="35"/>
      <c r="AC1256" s="183"/>
    </row>
    <row r="1257" spans="1:29" ht="19.5" customHeight="1" x14ac:dyDescent="0.2">
      <c r="A1257" s="1422"/>
      <c r="B1257" s="1047" t="s">
        <v>276</v>
      </c>
      <c r="C1257" s="1271"/>
      <c r="D1257" s="1127">
        <v>3000612</v>
      </c>
      <c r="E1257" s="3291" t="s">
        <v>567</v>
      </c>
      <c r="F1257" s="3292"/>
      <c r="G1257" s="3292"/>
      <c r="H1257" s="3292"/>
      <c r="I1257" s="3292"/>
      <c r="J1257" s="3292"/>
      <c r="K1257" s="3292"/>
      <c r="L1257" s="3292"/>
      <c r="M1257" s="3292"/>
      <c r="N1257" s="3292"/>
      <c r="O1257" s="3292"/>
      <c r="P1257" s="3292"/>
      <c r="Q1257" s="3292"/>
      <c r="R1257" s="3292"/>
      <c r="S1257" s="3293"/>
      <c r="T1257" s="3233" t="s">
        <v>568</v>
      </c>
      <c r="U1257" s="3233"/>
      <c r="V1257" s="3233"/>
      <c r="W1257" s="3233"/>
      <c r="X1257" s="3233"/>
      <c r="Y1257" s="3233"/>
      <c r="Z1257" s="3019" t="s">
        <v>569</v>
      </c>
      <c r="AA1257" s="3020"/>
      <c r="AB1257" s="35"/>
      <c r="AC1257" s="183"/>
    </row>
    <row r="1258" spans="1:29" x14ac:dyDescent="0.2">
      <c r="A1258" s="1422"/>
      <c r="B1258" s="2999" t="s">
        <v>278</v>
      </c>
      <c r="C1258" s="2999" t="s">
        <v>563</v>
      </c>
      <c r="D1258" s="2847" t="s">
        <v>22</v>
      </c>
      <c r="E1258" s="2847" t="s">
        <v>23</v>
      </c>
      <c r="F1258" s="2989" t="s">
        <v>24</v>
      </c>
      <c r="G1258" s="2989" t="s">
        <v>25</v>
      </c>
      <c r="H1258" s="2989" t="s">
        <v>26</v>
      </c>
      <c r="I1258" s="2847" t="s">
        <v>27</v>
      </c>
      <c r="J1258" s="2847" t="s">
        <v>28</v>
      </c>
      <c r="K1258" s="2847"/>
      <c r="L1258" s="2988" t="s">
        <v>279</v>
      </c>
      <c r="M1258" s="3273" t="s">
        <v>280</v>
      </c>
      <c r="N1258" s="3274"/>
      <c r="O1258" s="2847" t="s">
        <v>281</v>
      </c>
      <c r="P1258" s="2847"/>
      <c r="Q1258" s="2847"/>
      <c r="R1258" s="2847"/>
      <c r="S1258" s="2847"/>
      <c r="T1258" s="2847"/>
      <c r="U1258" s="2847"/>
      <c r="V1258" s="2847"/>
      <c r="W1258" s="2847"/>
      <c r="X1258" s="2847"/>
      <c r="Y1258" s="2847"/>
      <c r="Z1258" s="2847"/>
      <c r="AA1258" s="2847" t="s">
        <v>32</v>
      </c>
      <c r="AB1258" s="35"/>
      <c r="AC1258" s="183"/>
    </row>
    <row r="1259" spans="1:29" x14ac:dyDescent="0.2">
      <c r="A1259" s="1422"/>
      <c r="B1259" s="2999"/>
      <c r="C1259" s="2999"/>
      <c r="D1259" s="2847"/>
      <c r="E1259" s="2847"/>
      <c r="F1259" s="2847"/>
      <c r="G1259" s="2847"/>
      <c r="H1259" s="2847"/>
      <c r="I1259" s="2847"/>
      <c r="J1259" s="2847" t="s">
        <v>33</v>
      </c>
      <c r="K1259" s="2847" t="s">
        <v>282</v>
      </c>
      <c r="L1259" s="3186"/>
      <c r="M1259" s="3275"/>
      <c r="N1259" s="3276"/>
      <c r="O1259" s="1017" t="s">
        <v>283</v>
      </c>
      <c r="P1259" s="1017" t="s">
        <v>284</v>
      </c>
      <c r="Q1259" s="1017" t="s">
        <v>285</v>
      </c>
      <c r="R1259" s="1017" t="s">
        <v>88</v>
      </c>
      <c r="S1259" s="1017" t="s">
        <v>89</v>
      </c>
      <c r="T1259" s="1017" t="s">
        <v>90</v>
      </c>
      <c r="U1259" s="1017" t="s">
        <v>91</v>
      </c>
      <c r="V1259" s="1017" t="s">
        <v>92</v>
      </c>
      <c r="W1259" s="1017" t="s">
        <v>286</v>
      </c>
      <c r="X1259" s="1017" t="s">
        <v>93</v>
      </c>
      <c r="Y1259" s="1017" t="s">
        <v>94</v>
      </c>
      <c r="Z1259" s="1017" t="s">
        <v>95</v>
      </c>
      <c r="AA1259" s="2847"/>
      <c r="AB1259" s="35"/>
      <c r="AC1259" s="183"/>
    </row>
    <row r="1260" spans="1:29" x14ac:dyDescent="0.2">
      <c r="A1260" s="1422"/>
      <c r="B1260" s="2999"/>
      <c r="C1260" s="2999"/>
      <c r="D1260" s="2847"/>
      <c r="E1260" s="2847"/>
      <c r="F1260" s="2847"/>
      <c r="G1260" s="2847"/>
      <c r="H1260" s="2847"/>
      <c r="I1260" s="2847"/>
      <c r="J1260" s="2847"/>
      <c r="K1260" s="2847"/>
      <c r="L1260" s="3186"/>
      <c r="M1260" s="3271" t="s">
        <v>287</v>
      </c>
      <c r="N1260" s="3272"/>
      <c r="O1260" s="1093">
        <v>4200</v>
      </c>
      <c r="P1260" s="1093">
        <v>4500</v>
      </c>
      <c r="Q1260" s="1093">
        <v>4500</v>
      </c>
      <c r="R1260" s="1093">
        <v>4073</v>
      </c>
      <c r="S1260" s="1093">
        <v>4000</v>
      </c>
      <c r="T1260" s="1093">
        <v>4000</v>
      </c>
      <c r="U1260" s="1093">
        <v>4500</v>
      </c>
      <c r="V1260" s="1093">
        <v>4000</v>
      </c>
      <c r="W1260" s="1093">
        <v>4000</v>
      </c>
      <c r="X1260" s="1093">
        <v>4000</v>
      </c>
      <c r="Y1260" s="1093">
        <v>4500</v>
      </c>
      <c r="Z1260" s="1093">
        <v>4000</v>
      </c>
      <c r="AA1260" s="1196">
        <f>SUM(O1260:Z1260)</f>
        <v>50273</v>
      </c>
      <c r="AB1260" s="35"/>
      <c r="AC1260" s="183"/>
    </row>
    <row r="1261" spans="1:29" x14ac:dyDescent="0.2">
      <c r="A1261" s="1422"/>
      <c r="B1261" s="2999"/>
      <c r="C1261" s="2999"/>
      <c r="D1261" s="2847"/>
      <c r="E1261" s="2847"/>
      <c r="F1261" s="2847"/>
      <c r="G1261" s="2847"/>
      <c r="H1261" s="2847"/>
      <c r="I1261" s="2847"/>
      <c r="J1261" s="2847"/>
      <c r="K1261" s="2847"/>
      <c r="L1261" s="2989"/>
      <c r="M1261" s="3271" t="s">
        <v>34</v>
      </c>
      <c r="N1261" s="3272"/>
      <c r="O1261" s="66">
        <f>SUM(O1262:O1278)</f>
        <v>171014.66666666669</v>
      </c>
      <c r="P1261" s="66">
        <f t="shared" ref="P1261:Z1261" si="179">SUM(P1262:P1278)</f>
        <v>156449.84848484851</v>
      </c>
      <c r="Q1261" s="66">
        <f t="shared" si="179"/>
        <v>158306.16098484851</v>
      </c>
      <c r="R1261" s="66">
        <f t="shared" si="179"/>
        <v>165030.09848484851</v>
      </c>
      <c r="S1261" s="66">
        <f t="shared" si="179"/>
        <v>157957.16098484851</v>
      </c>
      <c r="T1261" s="66">
        <f t="shared" si="179"/>
        <v>157957.16098484851</v>
      </c>
      <c r="U1261" s="66">
        <f t="shared" si="179"/>
        <v>169567.16098484851</v>
      </c>
      <c r="V1261" s="66">
        <f t="shared" si="179"/>
        <v>165030.09848484851</v>
      </c>
      <c r="W1261" s="66">
        <f t="shared" si="179"/>
        <v>157957.16098484851</v>
      </c>
      <c r="X1261" s="66">
        <f t="shared" si="179"/>
        <v>157957.16098484851</v>
      </c>
      <c r="Y1261" s="66">
        <f t="shared" si="179"/>
        <v>157957.16098484851</v>
      </c>
      <c r="Z1261" s="66">
        <f t="shared" si="179"/>
        <v>169567.16098484851</v>
      </c>
      <c r="AA1261" s="1196">
        <f>SUM(O1261:Z1261)</f>
        <v>1944751.0000000009</v>
      </c>
      <c r="AB1261" s="35"/>
      <c r="AC1261" s="183"/>
    </row>
    <row r="1262" spans="1:29" ht="11.25" customHeight="1" x14ac:dyDescent="0.2">
      <c r="A1262" s="1422"/>
      <c r="B1262" s="2522">
        <v>5004436</v>
      </c>
      <c r="C1262" s="3190" t="s">
        <v>3070</v>
      </c>
      <c r="D1262" s="2421">
        <v>43</v>
      </c>
      <c r="E1262" s="2421" t="s">
        <v>407</v>
      </c>
      <c r="F1262" s="2420" t="s">
        <v>386</v>
      </c>
      <c r="G1262" s="2420" t="s">
        <v>387</v>
      </c>
      <c r="H1262" s="2420"/>
      <c r="I1262" s="2420" t="s">
        <v>570</v>
      </c>
      <c r="J1262" s="2514">
        <v>50273</v>
      </c>
      <c r="K1262" s="40">
        <v>472692</v>
      </c>
      <c r="L1262" s="3294" t="s">
        <v>565</v>
      </c>
      <c r="M1262" s="3287" t="s">
        <v>293</v>
      </c>
      <c r="N1262" s="3288"/>
      <c r="O1262" s="40">
        <f t="shared" ref="O1262:Z1266" si="180">$K1262/12</f>
        <v>39391</v>
      </c>
      <c r="P1262" s="40">
        <f t="shared" si="180"/>
        <v>39391</v>
      </c>
      <c r="Q1262" s="40">
        <f t="shared" si="180"/>
        <v>39391</v>
      </c>
      <c r="R1262" s="40">
        <f t="shared" si="180"/>
        <v>39391</v>
      </c>
      <c r="S1262" s="40">
        <f t="shared" si="180"/>
        <v>39391</v>
      </c>
      <c r="T1262" s="40">
        <f t="shared" si="180"/>
        <v>39391</v>
      </c>
      <c r="U1262" s="40">
        <f t="shared" si="180"/>
        <v>39391</v>
      </c>
      <c r="V1262" s="40">
        <f t="shared" si="180"/>
        <v>39391</v>
      </c>
      <c r="W1262" s="40">
        <f t="shared" si="180"/>
        <v>39391</v>
      </c>
      <c r="X1262" s="40">
        <f t="shared" si="180"/>
        <v>39391</v>
      </c>
      <c r="Y1262" s="40">
        <f t="shared" si="180"/>
        <v>39391</v>
      </c>
      <c r="Z1262" s="40">
        <f t="shared" si="180"/>
        <v>39391</v>
      </c>
      <c r="AA1262" s="966">
        <f t="shared" ref="AA1262:AA1278" si="181">SUM(O1262:Z1262)</f>
        <v>472692</v>
      </c>
      <c r="AB1262" s="35"/>
      <c r="AC1262" s="183"/>
    </row>
    <row r="1263" spans="1:29" x14ac:dyDescent="0.2">
      <c r="A1263" s="1422"/>
      <c r="B1263" s="2522"/>
      <c r="C1263" s="3191"/>
      <c r="D1263" s="2421"/>
      <c r="E1263" s="2421"/>
      <c r="F1263" s="2420"/>
      <c r="G1263" s="2420"/>
      <c r="H1263" s="2420"/>
      <c r="I1263" s="2420"/>
      <c r="J1263" s="2515"/>
      <c r="K1263" s="40">
        <v>397936</v>
      </c>
      <c r="L1263" s="3295"/>
      <c r="M1263" s="3287" t="s">
        <v>295</v>
      </c>
      <c r="N1263" s="3288"/>
      <c r="O1263" s="40">
        <f t="shared" si="180"/>
        <v>33161.333333333336</v>
      </c>
      <c r="P1263" s="40">
        <f t="shared" si="180"/>
        <v>33161.333333333336</v>
      </c>
      <c r="Q1263" s="40">
        <f t="shared" si="180"/>
        <v>33161.333333333336</v>
      </c>
      <c r="R1263" s="40">
        <f t="shared" si="180"/>
        <v>33161.333333333336</v>
      </c>
      <c r="S1263" s="40">
        <f t="shared" si="180"/>
        <v>33161.333333333336</v>
      </c>
      <c r="T1263" s="40">
        <f t="shared" si="180"/>
        <v>33161.333333333336</v>
      </c>
      <c r="U1263" s="40">
        <f t="shared" si="180"/>
        <v>33161.333333333336</v>
      </c>
      <c r="V1263" s="40">
        <f t="shared" si="180"/>
        <v>33161.333333333336</v>
      </c>
      <c r="W1263" s="40">
        <f t="shared" si="180"/>
        <v>33161.333333333336</v>
      </c>
      <c r="X1263" s="40">
        <f t="shared" si="180"/>
        <v>33161.333333333336</v>
      </c>
      <c r="Y1263" s="40">
        <f t="shared" si="180"/>
        <v>33161.333333333336</v>
      </c>
      <c r="Z1263" s="40">
        <f t="shared" si="180"/>
        <v>33161.333333333336</v>
      </c>
      <c r="AA1263" s="966">
        <f t="shared" si="181"/>
        <v>397935.99999999994</v>
      </c>
      <c r="AB1263" s="35"/>
      <c r="AC1263" s="183"/>
    </row>
    <row r="1264" spans="1:29" x14ac:dyDescent="0.2">
      <c r="A1264" s="1422"/>
      <c r="B1264" s="2522"/>
      <c r="C1264" s="3191"/>
      <c r="D1264" s="2421"/>
      <c r="E1264" s="2421"/>
      <c r="F1264" s="2420"/>
      <c r="G1264" s="2420"/>
      <c r="H1264" s="2420"/>
      <c r="I1264" s="2420"/>
      <c r="J1264" s="2515"/>
      <c r="K1264" s="40">
        <v>26640</v>
      </c>
      <c r="L1264" s="3295"/>
      <c r="M1264" s="3287" t="s">
        <v>332</v>
      </c>
      <c r="N1264" s="3288"/>
      <c r="O1264" s="40">
        <f t="shared" si="180"/>
        <v>2220</v>
      </c>
      <c r="P1264" s="40">
        <f t="shared" si="180"/>
        <v>2220</v>
      </c>
      <c r="Q1264" s="40">
        <f t="shared" si="180"/>
        <v>2220</v>
      </c>
      <c r="R1264" s="40">
        <f t="shared" si="180"/>
        <v>2220</v>
      </c>
      <c r="S1264" s="40">
        <f t="shared" si="180"/>
        <v>2220</v>
      </c>
      <c r="T1264" s="40">
        <f t="shared" si="180"/>
        <v>2220</v>
      </c>
      <c r="U1264" s="40">
        <f t="shared" si="180"/>
        <v>2220</v>
      </c>
      <c r="V1264" s="40">
        <f t="shared" si="180"/>
        <v>2220</v>
      </c>
      <c r="W1264" s="40">
        <f t="shared" si="180"/>
        <v>2220</v>
      </c>
      <c r="X1264" s="40">
        <f t="shared" si="180"/>
        <v>2220</v>
      </c>
      <c r="Y1264" s="40">
        <f t="shared" si="180"/>
        <v>2220</v>
      </c>
      <c r="Z1264" s="40">
        <f t="shared" si="180"/>
        <v>2220</v>
      </c>
      <c r="AA1264" s="966">
        <f t="shared" si="181"/>
        <v>26640</v>
      </c>
      <c r="AB1264" s="35"/>
      <c r="AC1264" s="183"/>
    </row>
    <row r="1265" spans="1:29" x14ac:dyDescent="0.2">
      <c r="A1265" s="1422"/>
      <c r="B1265" s="2522"/>
      <c r="C1265" s="3191"/>
      <c r="D1265" s="2421"/>
      <c r="E1265" s="2421"/>
      <c r="F1265" s="2420"/>
      <c r="G1265" s="2420"/>
      <c r="H1265" s="2420"/>
      <c r="I1265" s="2420"/>
      <c r="J1265" s="2515"/>
      <c r="K1265" s="40">
        <v>186041</v>
      </c>
      <c r="L1265" s="3295"/>
      <c r="M1265" s="3287" t="s">
        <v>296</v>
      </c>
      <c r="N1265" s="3288"/>
      <c r="O1265" s="40">
        <f t="shared" si="180"/>
        <v>15503.416666666666</v>
      </c>
      <c r="P1265" s="40">
        <f t="shared" si="180"/>
        <v>15503.416666666666</v>
      </c>
      <c r="Q1265" s="40">
        <f t="shared" si="180"/>
        <v>15503.416666666666</v>
      </c>
      <c r="R1265" s="40">
        <f t="shared" si="180"/>
        <v>15503.416666666666</v>
      </c>
      <c r="S1265" s="40">
        <f t="shared" si="180"/>
        <v>15503.416666666666</v>
      </c>
      <c r="T1265" s="40">
        <f t="shared" si="180"/>
        <v>15503.416666666666</v>
      </c>
      <c r="U1265" s="40">
        <f t="shared" si="180"/>
        <v>15503.416666666666</v>
      </c>
      <c r="V1265" s="40">
        <f t="shared" si="180"/>
        <v>15503.416666666666</v>
      </c>
      <c r="W1265" s="40">
        <f t="shared" si="180"/>
        <v>15503.416666666666</v>
      </c>
      <c r="X1265" s="40">
        <f t="shared" si="180"/>
        <v>15503.416666666666</v>
      </c>
      <c r="Y1265" s="40">
        <f t="shared" si="180"/>
        <v>15503.416666666666</v>
      </c>
      <c r="Z1265" s="40">
        <f t="shared" si="180"/>
        <v>15503.416666666666</v>
      </c>
      <c r="AA1265" s="966">
        <f t="shared" si="181"/>
        <v>186040.99999999997</v>
      </c>
      <c r="AB1265" s="35"/>
      <c r="AC1265" s="183"/>
    </row>
    <row r="1266" spans="1:29" x14ac:dyDescent="0.2">
      <c r="A1266" s="1422"/>
      <c r="B1266" s="2522"/>
      <c r="C1266" s="3191"/>
      <c r="D1266" s="2421"/>
      <c r="E1266" s="2421"/>
      <c r="F1266" s="2420"/>
      <c r="G1266" s="2420"/>
      <c r="H1266" s="2420"/>
      <c r="I1266" s="2420"/>
      <c r="J1266" s="2515"/>
      <c r="K1266" s="40">
        <v>149535</v>
      </c>
      <c r="L1266" s="3295"/>
      <c r="M1266" s="3287" t="s">
        <v>297</v>
      </c>
      <c r="N1266" s="3288"/>
      <c r="O1266" s="40">
        <f t="shared" si="180"/>
        <v>12461.25</v>
      </c>
      <c r="P1266" s="40">
        <f t="shared" si="180"/>
        <v>12461.25</v>
      </c>
      <c r="Q1266" s="40">
        <f t="shared" si="180"/>
        <v>12461.25</v>
      </c>
      <c r="R1266" s="40">
        <f t="shared" si="180"/>
        <v>12461.25</v>
      </c>
      <c r="S1266" s="40">
        <f t="shared" si="180"/>
        <v>12461.25</v>
      </c>
      <c r="T1266" s="40">
        <f t="shared" si="180"/>
        <v>12461.25</v>
      </c>
      <c r="U1266" s="40">
        <f t="shared" si="180"/>
        <v>12461.25</v>
      </c>
      <c r="V1266" s="40">
        <f t="shared" si="180"/>
        <v>12461.25</v>
      </c>
      <c r="W1266" s="40">
        <f t="shared" si="180"/>
        <v>12461.25</v>
      </c>
      <c r="X1266" s="40">
        <f t="shared" si="180"/>
        <v>12461.25</v>
      </c>
      <c r="Y1266" s="40">
        <f t="shared" si="180"/>
        <v>12461.25</v>
      </c>
      <c r="Z1266" s="40">
        <f t="shared" si="180"/>
        <v>12461.25</v>
      </c>
      <c r="AA1266" s="966">
        <f t="shared" si="181"/>
        <v>149535</v>
      </c>
      <c r="AB1266" s="35"/>
      <c r="AC1266" s="183"/>
    </row>
    <row r="1267" spans="1:29" x14ac:dyDescent="0.2">
      <c r="A1267" s="1422"/>
      <c r="B1267" s="2522"/>
      <c r="C1267" s="3191"/>
      <c r="D1267" s="2421"/>
      <c r="E1267" s="2421"/>
      <c r="F1267" s="2420"/>
      <c r="G1267" s="2420"/>
      <c r="H1267" s="2420"/>
      <c r="I1267" s="2420"/>
      <c r="J1267" s="2515"/>
      <c r="K1267" s="40">
        <v>23220</v>
      </c>
      <c r="L1267" s="3295"/>
      <c r="M1267" s="3287" t="s">
        <v>298</v>
      </c>
      <c r="N1267" s="3288"/>
      <c r="O1267" s="1044"/>
      <c r="P1267" s="1044"/>
      <c r="Q1267" s="1044"/>
      <c r="R1267" s="1044"/>
      <c r="S1267" s="1044"/>
      <c r="T1267" s="1044"/>
      <c r="U1267" s="40">
        <f>$K1267/2</f>
        <v>11610</v>
      </c>
      <c r="V1267" s="1044"/>
      <c r="W1267" s="1044"/>
      <c r="X1267" s="1044"/>
      <c r="Y1267" s="1044"/>
      <c r="Z1267" s="40">
        <f>$K1267/2</f>
        <v>11610</v>
      </c>
      <c r="AA1267" s="966">
        <f t="shared" si="181"/>
        <v>23220</v>
      </c>
      <c r="AB1267" s="35"/>
      <c r="AC1267" s="183"/>
    </row>
    <row r="1268" spans="1:29" x14ac:dyDescent="0.2">
      <c r="A1268" s="1422"/>
      <c r="B1268" s="2522"/>
      <c r="C1268" s="3191"/>
      <c r="D1268" s="2421"/>
      <c r="E1268" s="2421"/>
      <c r="F1268" s="2420"/>
      <c r="G1268" s="2420"/>
      <c r="H1268" s="2420"/>
      <c r="I1268" s="2420"/>
      <c r="J1268" s="2515"/>
      <c r="K1268" s="40">
        <v>15200</v>
      </c>
      <c r="L1268" s="3295"/>
      <c r="M1268" s="3287" t="s">
        <v>299</v>
      </c>
      <c r="N1268" s="3288"/>
      <c r="O1268" s="40">
        <f>$K1268</f>
        <v>15200</v>
      </c>
      <c r="P1268" s="40"/>
      <c r="Q1268" s="40"/>
      <c r="R1268" s="40"/>
      <c r="S1268" s="40"/>
      <c r="T1268" s="40"/>
      <c r="U1268" s="40"/>
      <c r="V1268" s="40"/>
      <c r="W1268" s="40"/>
      <c r="X1268" s="40"/>
      <c r="Y1268" s="40"/>
      <c r="Z1268" s="40"/>
      <c r="AA1268" s="966">
        <f t="shared" si="181"/>
        <v>15200</v>
      </c>
      <c r="AB1268" s="35"/>
      <c r="AC1268" s="183"/>
    </row>
    <row r="1269" spans="1:29" x14ac:dyDescent="0.2">
      <c r="A1269" s="1422"/>
      <c r="B1269" s="2522"/>
      <c r="C1269" s="3191"/>
      <c r="D1269" s="2421"/>
      <c r="E1269" s="2421"/>
      <c r="F1269" s="2420"/>
      <c r="G1269" s="2420"/>
      <c r="H1269" s="2420"/>
      <c r="I1269" s="2420"/>
      <c r="J1269" s="2515"/>
      <c r="K1269" s="40">
        <v>71822</v>
      </c>
      <c r="L1269" s="3295"/>
      <c r="M1269" s="3287" t="s">
        <v>300</v>
      </c>
      <c r="N1269" s="3288"/>
      <c r="O1269" s="40">
        <f t="shared" ref="O1269:Z1270" si="182">$K1269/12</f>
        <v>5985.166666666667</v>
      </c>
      <c r="P1269" s="40">
        <f t="shared" si="182"/>
        <v>5985.166666666667</v>
      </c>
      <c r="Q1269" s="40">
        <f t="shared" si="182"/>
        <v>5985.166666666667</v>
      </c>
      <c r="R1269" s="40">
        <f t="shared" si="182"/>
        <v>5985.166666666667</v>
      </c>
      <c r="S1269" s="40">
        <f t="shared" si="182"/>
        <v>5985.166666666667</v>
      </c>
      <c r="T1269" s="40">
        <f t="shared" si="182"/>
        <v>5985.166666666667</v>
      </c>
      <c r="U1269" s="40">
        <f t="shared" si="182"/>
        <v>5985.166666666667</v>
      </c>
      <c r="V1269" s="40">
        <f t="shared" si="182"/>
        <v>5985.166666666667</v>
      </c>
      <c r="W1269" s="40">
        <f t="shared" si="182"/>
        <v>5985.166666666667</v>
      </c>
      <c r="X1269" s="40">
        <f t="shared" si="182"/>
        <v>5985.166666666667</v>
      </c>
      <c r="Y1269" s="40">
        <f t="shared" si="182"/>
        <v>5985.166666666667</v>
      </c>
      <c r="Z1269" s="40">
        <f t="shared" si="182"/>
        <v>5985.166666666667</v>
      </c>
      <c r="AA1269" s="966">
        <f t="shared" si="181"/>
        <v>71822</v>
      </c>
      <c r="AB1269" s="35"/>
      <c r="AC1269" s="183"/>
    </row>
    <row r="1270" spans="1:29" x14ac:dyDescent="0.2">
      <c r="A1270" s="1422"/>
      <c r="B1270" s="2522"/>
      <c r="C1270" s="3191"/>
      <c r="D1270" s="2421"/>
      <c r="E1270" s="2421"/>
      <c r="F1270" s="2420"/>
      <c r="G1270" s="2420"/>
      <c r="H1270" s="2420"/>
      <c r="I1270" s="2420"/>
      <c r="J1270" s="2515"/>
      <c r="K1270" s="40">
        <v>1753</v>
      </c>
      <c r="L1270" s="3295"/>
      <c r="M1270" s="3287" t="s">
        <v>301</v>
      </c>
      <c r="N1270" s="3288"/>
      <c r="O1270" s="40">
        <f t="shared" si="182"/>
        <v>146.08333333333334</v>
      </c>
      <c r="P1270" s="40">
        <f t="shared" si="182"/>
        <v>146.08333333333334</v>
      </c>
      <c r="Q1270" s="40">
        <f t="shared" si="182"/>
        <v>146.08333333333334</v>
      </c>
      <c r="R1270" s="40">
        <f t="shared" si="182"/>
        <v>146.08333333333334</v>
      </c>
      <c r="S1270" s="40">
        <f t="shared" si="182"/>
        <v>146.08333333333334</v>
      </c>
      <c r="T1270" s="40">
        <f t="shared" si="182"/>
        <v>146.08333333333334</v>
      </c>
      <c r="U1270" s="40">
        <f t="shared" si="182"/>
        <v>146.08333333333334</v>
      </c>
      <c r="V1270" s="40">
        <f t="shared" si="182"/>
        <v>146.08333333333334</v>
      </c>
      <c r="W1270" s="40">
        <f t="shared" si="182"/>
        <v>146.08333333333334</v>
      </c>
      <c r="X1270" s="40">
        <f t="shared" si="182"/>
        <v>146.08333333333334</v>
      </c>
      <c r="Y1270" s="40">
        <f t="shared" si="182"/>
        <v>146.08333333333334</v>
      </c>
      <c r="Z1270" s="40">
        <f t="shared" si="182"/>
        <v>146.08333333333334</v>
      </c>
      <c r="AA1270" s="966">
        <f t="shared" si="181"/>
        <v>1752.9999999999998</v>
      </c>
      <c r="AB1270" s="35"/>
      <c r="AC1270" s="183"/>
    </row>
    <row r="1271" spans="1:29" x14ac:dyDescent="0.2">
      <c r="A1271" s="1422"/>
      <c r="B1271" s="2522"/>
      <c r="C1271" s="3191"/>
      <c r="D1271" s="2421"/>
      <c r="E1271" s="2421"/>
      <c r="F1271" s="2420"/>
      <c r="G1271" s="2420"/>
      <c r="H1271" s="2420"/>
      <c r="I1271" s="2420"/>
      <c r="J1271" s="2515"/>
      <c r="K1271" s="40">
        <v>349</v>
      </c>
      <c r="L1271" s="3295"/>
      <c r="M1271" s="3287" t="s">
        <v>303</v>
      </c>
      <c r="N1271" s="3288"/>
      <c r="O1271" s="1044"/>
      <c r="P1271" s="1044"/>
      <c r="Q1271" s="40">
        <f>$K1271</f>
        <v>349</v>
      </c>
      <c r="R1271" s="1044"/>
      <c r="S1271" s="1044"/>
      <c r="T1271" s="1044"/>
      <c r="U1271" s="1044"/>
      <c r="V1271" s="1044"/>
      <c r="W1271" s="1044"/>
      <c r="X1271" s="1044"/>
      <c r="Y1271" s="1044"/>
      <c r="Z1271" s="1044"/>
      <c r="AA1271" s="966">
        <f t="shared" si="181"/>
        <v>349</v>
      </c>
      <c r="AB1271" s="35"/>
      <c r="AC1271" s="183"/>
    </row>
    <row r="1272" spans="1:29" x14ac:dyDescent="0.2">
      <c r="A1272" s="1422"/>
      <c r="B1272" s="2522"/>
      <c r="C1272" s="3191"/>
      <c r="D1272" s="2421"/>
      <c r="E1272" s="2421"/>
      <c r="F1272" s="2420"/>
      <c r="G1272" s="2420"/>
      <c r="H1272" s="2420"/>
      <c r="I1272" s="2420"/>
      <c r="J1272" s="2515"/>
      <c r="K1272" s="40">
        <v>517</v>
      </c>
      <c r="L1272" s="3295"/>
      <c r="M1272" s="3287" t="s">
        <v>324</v>
      </c>
      <c r="N1272" s="3288"/>
      <c r="O1272" s="1044"/>
      <c r="P1272" s="40">
        <f>$K1272</f>
        <v>517</v>
      </c>
      <c r="Q1272" s="1044"/>
      <c r="R1272" s="1044"/>
      <c r="S1272" s="1044"/>
      <c r="T1272" s="1044"/>
      <c r="U1272" s="1044"/>
      <c r="V1272" s="1044"/>
      <c r="W1272" s="1044"/>
      <c r="X1272" s="1044"/>
      <c r="Y1272" s="1044"/>
      <c r="Z1272" s="1044"/>
      <c r="AA1272" s="966">
        <f t="shared" si="181"/>
        <v>517</v>
      </c>
      <c r="AB1272" s="35"/>
      <c r="AC1272" s="183"/>
    </row>
    <row r="1273" spans="1:29" x14ac:dyDescent="0.2">
      <c r="A1273" s="1422"/>
      <c r="B1273" s="2522"/>
      <c r="C1273" s="3191"/>
      <c r="D1273" s="2421"/>
      <c r="E1273" s="2421"/>
      <c r="F1273" s="2420"/>
      <c r="G1273" s="2420"/>
      <c r="H1273" s="2420"/>
      <c r="I1273" s="2420"/>
      <c r="J1273" s="2515"/>
      <c r="K1273" s="40">
        <v>2000</v>
      </c>
      <c r="L1273" s="3295"/>
      <c r="M1273" s="3287" t="s">
        <v>393</v>
      </c>
      <c r="N1273" s="3288"/>
      <c r="O1273" s="1044"/>
      <c r="P1273" s="1044"/>
      <c r="Q1273" s="1044"/>
      <c r="R1273" s="40">
        <f>$K1273/2</f>
        <v>1000</v>
      </c>
      <c r="S1273" s="1044"/>
      <c r="T1273" s="1044"/>
      <c r="U1273" s="1044"/>
      <c r="V1273" s="40">
        <f>$K1273/2</f>
        <v>1000</v>
      </c>
      <c r="W1273" s="1044"/>
      <c r="X1273" s="1044"/>
      <c r="Y1273" s="1044"/>
      <c r="Z1273" s="1044"/>
      <c r="AA1273" s="966">
        <f t="shared" si="181"/>
        <v>2000</v>
      </c>
      <c r="AB1273" s="35"/>
      <c r="AC1273" s="183"/>
    </row>
    <row r="1274" spans="1:29" x14ac:dyDescent="0.2">
      <c r="A1274" s="1422"/>
      <c r="B1274" s="2522"/>
      <c r="C1274" s="3191"/>
      <c r="D1274" s="2421"/>
      <c r="E1274" s="2421"/>
      <c r="F1274" s="2420"/>
      <c r="G1274" s="2420"/>
      <c r="H1274" s="2420"/>
      <c r="I1274" s="2420"/>
      <c r="J1274" s="2515"/>
      <c r="K1274" s="40">
        <v>32389</v>
      </c>
      <c r="L1274" s="3295"/>
      <c r="M1274" s="3287" t="s">
        <v>343</v>
      </c>
      <c r="N1274" s="3288"/>
      <c r="O1274" s="1044"/>
      <c r="P1274" s="1044"/>
      <c r="Q1274" s="94">
        <f>($K1274/2)*(1/8)</f>
        <v>2024.3125</v>
      </c>
      <c r="R1274" s="1044">
        <f>$K1274/4</f>
        <v>8097.25</v>
      </c>
      <c r="S1274" s="94">
        <f>($K1274/2)*(1/8)</f>
        <v>2024.3125</v>
      </c>
      <c r="T1274" s="94">
        <f t="shared" ref="T1274:U1274" si="183">($K1274/2)*(1/8)</f>
        <v>2024.3125</v>
      </c>
      <c r="U1274" s="94">
        <f t="shared" si="183"/>
        <v>2024.3125</v>
      </c>
      <c r="V1274" s="1044">
        <f>$K1274/4</f>
        <v>8097.25</v>
      </c>
      <c r="W1274" s="94">
        <f>($K1274/2)*(1/8)</f>
        <v>2024.3125</v>
      </c>
      <c r="X1274" s="94">
        <f t="shared" ref="X1274:Z1274" si="184">($K1274/2)*(1/8)</f>
        <v>2024.3125</v>
      </c>
      <c r="Y1274" s="94">
        <f t="shared" si="184"/>
        <v>2024.3125</v>
      </c>
      <c r="Z1274" s="94">
        <f t="shared" si="184"/>
        <v>2024.3125</v>
      </c>
      <c r="AA1274" s="966">
        <f t="shared" si="181"/>
        <v>32389</v>
      </c>
      <c r="AB1274" s="35"/>
      <c r="AC1274" s="183"/>
    </row>
    <row r="1275" spans="1:29" x14ac:dyDescent="0.2">
      <c r="A1275" s="1422"/>
      <c r="B1275" s="2522"/>
      <c r="C1275" s="3191"/>
      <c r="D1275" s="2421"/>
      <c r="E1275" s="2421"/>
      <c r="F1275" s="2420"/>
      <c r="G1275" s="2420"/>
      <c r="H1275" s="2420"/>
      <c r="I1275" s="2420"/>
      <c r="J1275" s="2515"/>
      <c r="K1275" s="40">
        <v>1300</v>
      </c>
      <c r="L1275" s="3295"/>
      <c r="M1275" s="3287" t="s">
        <v>307</v>
      </c>
      <c r="N1275" s="3288"/>
      <c r="O1275" s="1044"/>
      <c r="P1275" s="94">
        <f>$K1275/11</f>
        <v>118.18181818181819</v>
      </c>
      <c r="Q1275" s="94">
        <f t="shared" ref="Q1275:Z1275" si="185">$K1275/11</f>
        <v>118.18181818181819</v>
      </c>
      <c r="R1275" s="94">
        <f t="shared" si="185"/>
        <v>118.18181818181819</v>
      </c>
      <c r="S1275" s="94">
        <f t="shared" si="185"/>
        <v>118.18181818181819</v>
      </c>
      <c r="T1275" s="94">
        <f t="shared" si="185"/>
        <v>118.18181818181819</v>
      </c>
      <c r="U1275" s="94">
        <f t="shared" si="185"/>
        <v>118.18181818181819</v>
      </c>
      <c r="V1275" s="94">
        <f t="shared" si="185"/>
        <v>118.18181818181819</v>
      </c>
      <c r="W1275" s="94">
        <f t="shared" si="185"/>
        <v>118.18181818181819</v>
      </c>
      <c r="X1275" s="94">
        <f t="shared" si="185"/>
        <v>118.18181818181819</v>
      </c>
      <c r="Y1275" s="94">
        <f t="shared" si="185"/>
        <v>118.18181818181819</v>
      </c>
      <c r="Z1275" s="94">
        <f t="shared" si="185"/>
        <v>118.18181818181819</v>
      </c>
      <c r="AA1275" s="966">
        <f t="shared" si="181"/>
        <v>1300.0000000000005</v>
      </c>
      <c r="AB1275" s="35"/>
      <c r="AC1275" s="183"/>
    </row>
    <row r="1276" spans="1:29" x14ac:dyDescent="0.2">
      <c r="A1276" s="1422"/>
      <c r="B1276" s="2522"/>
      <c r="C1276" s="3191"/>
      <c r="D1276" s="2421"/>
      <c r="E1276" s="2421"/>
      <c r="F1276" s="2420"/>
      <c r="G1276" s="2420"/>
      <c r="H1276" s="2420"/>
      <c r="I1276" s="2420"/>
      <c r="J1276" s="2515"/>
      <c r="K1276" s="40">
        <v>296780</v>
      </c>
      <c r="L1276" s="3295"/>
      <c r="M1276" s="3287" t="s">
        <v>310</v>
      </c>
      <c r="N1276" s="3288"/>
      <c r="O1276" s="40">
        <f t="shared" ref="O1276:Z1278" si="186">$K1276/12</f>
        <v>24731.666666666668</v>
      </c>
      <c r="P1276" s="40">
        <f t="shared" si="186"/>
        <v>24731.666666666668</v>
      </c>
      <c r="Q1276" s="40">
        <f t="shared" si="186"/>
        <v>24731.666666666668</v>
      </c>
      <c r="R1276" s="40">
        <f t="shared" si="186"/>
        <v>24731.666666666668</v>
      </c>
      <c r="S1276" s="40">
        <f t="shared" si="186"/>
        <v>24731.666666666668</v>
      </c>
      <c r="T1276" s="40">
        <f t="shared" si="186"/>
        <v>24731.666666666668</v>
      </c>
      <c r="U1276" s="40">
        <f t="shared" si="186"/>
        <v>24731.666666666668</v>
      </c>
      <c r="V1276" s="40">
        <f t="shared" si="186"/>
        <v>24731.666666666668</v>
      </c>
      <c r="W1276" s="40">
        <f t="shared" si="186"/>
        <v>24731.666666666668</v>
      </c>
      <c r="X1276" s="40">
        <f t="shared" si="186"/>
        <v>24731.666666666668</v>
      </c>
      <c r="Y1276" s="40">
        <f t="shared" si="186"/>
        <v>24731.666666666668</v>
      </c>
      <c r="Z1276" s="40">
        <f t="shared" si="186"/>
        <v>24731.666666666668</v>
      </c>
      <c r="AA1276" s="966">
        <f t="shared" si="181"/>
        <v>296780</v>
      </c>
      <c r="AB1276" s="35"/>
      <c r="AC1276" s="183"/>
    </row>
    <row r="1277" spans="1:29" x14ac:dyDescent="0.2">
      <c r="A1277" s="1422"/>
      <c r="B1277" s="2522"/>
      <c r="C1277" s="3191"/>
      <c r="D1277" s="2421"/>
      <c r="E1277" s="2421"/>
      <c r="F1277" s="2420"/>
      <c r="G1277" s="2420"/>
      <c r="H1277" s="2420"/>
      <c r="I1277" s="2420"/>
      <c r="J1277" s="2515"/>
      <c r="K1277" s="40">
        <v>28517</v>
      </c>
      <c r="L1277" s="3295"/>
      <c r="M1277" s="3287" t="s">
        <v>311</v>
      </c>
      <c r="N1277" s="3288"/>
      <c r="O1277" s="40">
        <f t="shared" si="186"/>
        <v>2376.4166666666665</v>
      </c>
      <c r="P1277" s="40">
        <f t="shared" si="186"/>
        <v>2376.4166666666665</v>
      </c>
      <c r="Q1277" s="40">
        <f t="shared" si="186"/>
        <v>2376.4166666666665</v>
      </c>
      <c r="R1277" s="40">
        <f t="shared" si="186"/>
        <v>2376.4166666666665</v>
      </c>
      <c r="S1277" s="40">
        <f t="shared" si="186"/>
        <v>2376.4166666666665</v>
      </c>
      <c r="T1277" s="40">
        <f t="shared" si="186"/>
        <v>2376.4166666666665</v>
      </c>
      <c r="U1277" s="40">
        <f t="shared" si="186"/>
        <v>2376.4166666666665</v>
      </c>
      <c r="V1277" s="40">
        <f t="shared" si="186"/>
        <v>2376.4166666666665</v>
      </c>
      <c r="W1277" s="40">
        <f t="shared" si="186"/>
        <v>2376.4166666666665</v>
      </c>
      <c r="X1277" s="40">
        <f t="shared" si="186"/>
        <v>2376.4166666666665</v>
      </c>
      <c r="Y1277" s="40">
        <f t="shared" si="186"/>
        <v>2376.4166666666665</v>
      </c>
      <c r="Z1277" s="40">
        <f t="shared" si="186"/>
        <v>2376.4166666666665</v>
      </c>
      <c r="AA1277" s="966">
        <f t="shared" si="181"/>
        <v>28517.000000000004</v>
      </c>
      <c r="AB1277" s="35"/>
      <c r="AC1277" s="183"/>
    </row>
    <row r="1278" spans="1:29" x14ac:dyDescent="0.2">
      <c r="A1278" s="1422"/>
      <c r="B1278" s="2522"/>
      <c r="C1278" s="2439"/>
      <c r="D1278" s="2421"/>
      <c r="E1278" s="2421"/>
      <c r="F1278" s="2420"/>
      <c r="G1278" s="2420"/>
      <c r="H1278" s="2420"/>
      <c r="I1278" s="2420"/>
      <c r="J1278" s="2516"/>
      <c r="K1278" s="40">
        <v>238060</v>
      </c>
      <c r="L1278" s="3296"/>
      <c r="M1278" s="3287" t="s">
        <v>397</v>
      </c>
      <c r="N1278" s="3288"/>
      <c r="O1278" s="95">
        <f>$K1278/12</f>
        <v>19838.333333333332</v>
      </c>
      <c r="P1278" s="95">
        <f t="shared" si="186"/>
        <v>19838.333333333332</v>
      </c>
      <c r="Q1278" s="95">
        <f t="shared" si="186"/>
        <v>19838.333333333332</v>
      </c>
      <c r="R1278" s="95">
        <f t="shared" si="186"/>
        <v>19838.333333333332</v>
      </c>
      <c r="S1278" s="95">
        <f t="shared" si="186"/>
        <v>19838.333333333332</v>
      </c>
      <c r="T1278" s="95">
        <f t="shared" si="186"/>
        <v>19838.333333333332</v>
      </c>
      <c r="U1278" s="95">
        <f t="shared" si="186"/>
        <v>19838.333333333332</v>
      </c>
      <c r="V1278" s="95">
        <f t="shared" si="186"/>
        <v>19838.333333333332</v>
      </c>
      <c r="W1278" s="95">
        <f t="shared" si="186"/>
        <v>19838.333333333332</v>
      </c>
      <c r="X1278" s="95">
        <f t="shared" si="186"/>
        <v>19838.333333333332</v>
      </c>
      <c r="Y1278" s="95">
        <f t="shared" si="186"/>
        <v>19838.333333333332</v>
      </c>
      <c r="Z1278" s="95">
        <f t="shared" si="186"/>
        <v>19838.333333333332</v>
      </c>
      <c r="AA1278" s="966">
        <f t="shared" si="181"/>
        <v>238060.00000000003</v>
      </c>
      <c r="AB1278" s="35"/>
      <c r="AC1278" s="183"/>
    </row>
    <row r="1279" spans="1:29" x14ac:dyDescent="0.2">
      <c r="A1279" s="1422"/>
      <c r="B1279" s="1422"/>
      <c r="C1279" s="1124"/>
      <c r="D1279" s="35"/>
      <c r="E1279" s="35"/>
      <c r="F1279" s="35"/>
      <c r="G1279" s="35"/>
      <c r="H1279" s="35"/>
      <c r="I1279" s="35"/>
      <c r="J1279" s="35"/>
      <c r="K1279" s="35"/>
      <c r="L1279" s="35"/>
      <c r="M1279" s="35"/>
      <c r="N1279" s="60"/>
      <c r="O1279" s="60"/>
      <c r="P1279" s="60"/>
      <c r="Q1279" s="60"/>
      <c r="R1279" s="60"/>
      <c r="S1279" s="60"/>
      <c r="T1279" s="2922" t="s">
        <v>15</v>
      </c>
      <c r="U1279" s="2922"/>
      <c r="V1279" s="2922"/>
      <c r="W1279" s="2922"/>
      <c r="X1279" s="2922"/>
      <c r="Y1279" s="2922"/>
      <c r="Z1279" s="2974" t="s">
        <v>16</v>
      </c>
      <c r="AA1279" s="2976"/>
      <c r="AB1279" s="35"/>
      <c r="AC1279" s="183"/>
    </row>
    <row r="1280" spans="1:29" x14ac:dyDescent="0.2">
      <c r="A1280" s="1422"/>
      <c r="B1280" s="1428" t="s">
        <v>276</v>
      </c>
      <c r="C1280" s="1268"/>
      <c r="D1280" s="159">
        <v>3000613</v>
      </c>
      <c r="E1280" s="162" t="s">
        <v>571</v>
      </c>
      <c r="F1280" s="43"/>
      <c r="G1280" s="43"/>
      <c r="H1280" s="43"/>
      <c r="I1280" s="43"/>
      <c r="J1280" s="43"/>
      <c r="K1280" s="163"/>
      <c r="L1280" s="163"/>
      <c r="M1280" s="163"/>
      <c r="N1280" s="163"/>
      <c r="O1280" s="163"/>
      <c r="P1280" s="163"/>
      <c r="Q1280" s="163"/>
      <c r="R1280" s="163"/>
      <c r="S1280" s="164"/>
      <c r="T1280" s="3233" t="s">
        <v>572</v>
      </c>
      <c r="U1280" s="3233"/>
      <c r="V1280" s="3233"/>
      <c r="W1280" s="3233"/>
      <c r="X1280" s="3233"/>
      <c r="Y1280" s="3233"/>
      <c r="Z1280" s="3019" t="s">
        <v>579</v>
      </c>
      <c r="AA1280" s="3020"/>
      <c r="AB1280" s="35"/>
      <c r="AC1280" s="183"/>
    </row>
    <row r="1281" spans="1:29" x14ac:dyDescent="0.2">
      <c r="A1281" s="1422"/>
      <c r="B1281" s="2999" t="s">
        <v>278</v>
      </c>
      <c r="C1281" s="3015" t="s">
        <v>563</v>
      </c>
      <c r="D1281" s="2847" t="s">
        <v>22</v>
      </c>
      <c r="E1281" s="2847" t="s">
        <v>23</v>
      </c>
      <c r="F1281" s="2847" t="s">
        <v>24</v>
      </c>
      <c r="G1281" s="2847" t="s">
        <v>25</v>
      </c>
      <c r="H1281" s="2847" t="s">
        <v>26</v>
      </c>
      <c r="I1281" s="2847" t="s">
        <v>27</v>
      </c>
      <c r="J1281" s="2847" t="s">
        <v>28</v>
      </c>
      <c r="K1281" s="2847"/>
      <c r="L1281" s="2988" t="s">
        <v>279</v>
      </c>
      <c r="M1281" s="3273" t="s">
        <v>280</v>
      </c>
      <c r="N1281" s="3274"/>
      <c r="O1281" s="2847" t="s">
        <v>281</v>
      </c>
      <c r="P1281" s="2847"/>
      <c r="Q1281" s="2847"/>
      <c r="R1281" s="2847"/>
      <c r="S1281" s="2847"/>
      <c r="T1281" s="2847"/>
      <c r="U1281" s="2847"/>
      <c r="V1281" s="2847"/>
      <c r="W1281" s="2847"/>
      <c r="X1281" s="2847"/>
      <c r="Y1281" s="2847"/>
      <c r="Z1281" s="2847"/>
      <c r="AA1281" s="2847" t="s">
        <v>32</v>
      </c>
      <c r="AB1281" s="35"/>
      <c r="AC1281" s="183"/>
    </row>
    <row r="1282" spans="1:29" x14ac:dyDescent="0.2">
      <c r="A1282" s="1422"/>
      <c r="B1282" s="2999"/>
      <c r="C1282" s="3359"/>
      <c r="D1282" s="2847"/>
      <c r="E1282" s="2847"/>
      <c r="F1282" s="2847"/>
      <c r="G1282" s="2847"/>
      <c r="H1282" s="2847"/>
      <c r="I1282" s="2847"/>
      <c r="J1282" s="2847" t="s">
        <v>33</v>
      </c>
      <c r="K1282" s="2847" t="s">
        <v>282</v>
      </c>
      <c r="L1282" s="3186"/>
      <c r="M1282" s="3275"/>
      <c r="N1282" s="3276"/>
      <c r="O1282" s="1017" t="s">
        <v>283</v>
      </c>
      <c r="P1282" s="1017" t="s">
        <v>284</v>
      </c>
      <c r="Q1282" s="1017" t="s">
        <v>285</v>
      </c>
      <c r="R1282" s="1017" t="s">
        <v>88</v>
      </c>
      <c r="S1282" s="1017" t="s">
        <v>89</v>
      </c>
      <c r="T1282" s="1017" t="s">
        <v>90</v>
      </c>
      <c r="U1282" s="1017" t="s">
        <v>91</v>
      </c>
      <c r="V1282" s="1017" t="s">
        <v>92</v>
      </c>
      <c r="W1282" s="1017" t="s">
        <v>286</v>
      </c>
      <c r="X1282" s="1017" t="s">
        <v>93</v>
      </c>
      <c r="Y1282" s="1017" t="s">
        <v>94</v>
      </c>
      <c r="Z1282" s="1017" t="s">
        <v>95</v>
      </c>
      <c r="AA1282" s="2847"/>
      <c r="AB1282" s="35"/>
      <c r="AC1282" s="183"/>
    </row>
    <row r="1283" spans="1:29" ht="12.75" x14ac:dyDescent="0.2">
      <c r="A1283" s="1422"/>
      <c r="B1283" s="2999"/>
      <c r="C1283" s="3359"/>
      <c r="D1283" s="2847"/>
      <c r="E1283" s="2847"/>
      <c r="F1283" s="2847"/>
      <c r="G1283" s="2847"/>
      <c r="H1283" s="2847"/>
      <c r="I1283" s="2847"/>
      <c r="J1283" s="2847"/>
      <c r="K1283" s="2847"/>
      <c r="L1283" s="3186"/>
      <c r="M1283" s="3271" t="s">
        <v>287</v>
      </c>
      <c r="N1283" s="3272"/>
      <c r="O1283" s="1093">
        <v>81</v>
      </c>
      <c r="P1283" s="1093">
        <v>81</v>
      </c>
      <c r="Q1283" s="1093">
        <v>81</v>
      </c>
      <c r="R1283" s="1093">
        <v>81</v>
      </c>
      <c r="S1283" s="1093">
        <v>80</v>
      </c>
      <c r="T1283" s="1093">
        <v>81</v>
      </c>
      <c r="U1283" s="1093">
        <v>82</v>
      </c>
      <c r="V1283" s="1093">
        <v>81</v>
      </c>
      <c r="W1283" s="1093">
        <v>82</v>
      </c>
      <c r="X1283" s="1093">
        <v>82</v>
      </c>
      <c r="Y1283" s="1093">
        <v>81</v>
      </c>
      <c r="Z1283" s="1093">
        <v>80</v>
      </c>
      <c r="AA1283" s="1205">
        <f t="shared" ref="AA1283:AA1298" si="187">SUM(O1283:Z1283)</f>
        <v>973</v>
      </c>
      <c r="AB1283" s="35"/>
      <c r="AC1283" s="183"/>
    </row>
    <row r="1284" spans="1:29" ht="12.75" x14ac:dyDescent="0.2">
      <c r="A1284" s="1422"/>
      <c r="B1284" s="2999"/>
      <c r="C1284" s="3016"/>
      <c r="D1284" s="2847"/>
      <c r="E1284" s="2847"/>
      <c r="F1284" s="2847"/>
      <c r="G1284" s="2847"/>
      <c r="H1284" s="2847"/>
      <c r="I1284" s="2847"/>
      <c r="J1284" s="2847"/>
      <c r="K1284" s="2847"/>
      <c r="L1284" s="2989"/>
      <c r="M1284" s="3271" t="s">
        <v>34</v>
      </c>
      <c r="N1284" s="3272"/>
      <c r="O1284" s="66">
        <f>SUM(O1285:O1298)</f>
        <v>54228.166666666664</v>
      </c>
      <c r="P1284" s="66">
        <f t="shared" ref="P1284:Z1284" si="188">SUM(P1285:P1298)</f>
        <v>46100.893939393936</v>
      </c>
      <c r="Q1284" s="66">
        <f t="shared" si="188"/>
        <v>46100.893939393936</v>
      </c>
      <c r="R1284" s="66">
        <f t="shared" si="188"/>
        <v>56960.893939393936</v>
      </c>
      <c r="S1284" s="66">
        <f t="shared" si="188"/>
        <v>46100.893939393936</v>
      </c>
      <c r="T1284" s="66">
        <f t="shared" si="188"/>
        <v>46100.893939393936</v>
      </c>
      <c r="U1284" s="66">
        <f t="shared" si="188"/>
        <v>52690.893939393936</v>
      </c>
      <c r="V1284" s="66">
        <f t="shared" si="188"/>
        <v>56960.893939393936</v>
      </c>
      <c r="W1284" s="66">
        <f t="shared" si="188"/>
        <v>46100.893939393936</v>
      </c>
      <c r="X1284" s="66">
        <f t="shared" si="188"/>
        <v>46100.893939393936</v>
      </c>
      <c r="Y1284" s="66">
        <f t="shared" si="188"/>
        <v>46100.893939393936</v>
      </c>
      <c r="Z1284" s="66">
        <f t="shared" si="188"/>
        <v>52690.893939393936</v>
      </c>
      <c r="AA1284" s="1205">
        <f t="shared" si="187"/>
        <v>596237.99999999988</v>
      </c>
      <c r="AB1284" s="35"/>
      <c r="AC1284" s="183"/>
    </row>
    <row r="1285" spans="1:29" ht="11.25" customHeight="1" x14ac:dyDescent="0.2">
      <c r="A1285" s="1422"/>
      <c r="B1285" s="2522">
        <v>5004437</v>
      </c>
      <c r="C1285" s="3190" t="s">
        <v>3071</v>
      </c>
      <c r="D1285" s="2421">
        <v>44</v>
      </c>
      <c r="E1285" s="2421" t="s">
        <v>407</v>
      </c>
      <c r="F1285" s="2420" t="s">
        <v>386</v>
      </c>
      <c r="G1285" s="2420" t="s">
        <v>387</v>
      </c>
      <c r="H1285" s="2420"/>
      <c r="I1285" s="2420" t="s">
        <v>573</v>
      </c>
      <c r="J1285" s="2514">
        <v>973</v>
      </c>
      <c r="K1285" s="40">
        <v>104120</v>
      </c>
      <c r="L1285" s="3294" t="s">
        <v>565</v>
      </c>
      <c r="M1285" s="3287" t="s">
        <v>293</v>
      </c>
      <c r="N1285" s="3288"/>
      <c r="O1285" s="40">
        <f t="shared" ref="O1285:Z1289" si="189">$K1285/12</f>
        <v>8676.6666666666661</v>
      </c>
      <c r="P1285" s="40">
        <f t="shared" si="189"/>
        <v>8676.6666666666661</v>
      </c>
      <c r="Q1285" s="40">
        <f t="shared" si="189"/>
        <v>8676.6666666666661</v>
      </c>
      <c r="R1285" s="40">
        <f t="shared" si="189"/>
        <v>8676.6666666666661</v>
      </c>
      <c r="S1285" s="40">
        <f t="shared" si="189"/>
        <v>8676.6666666666661</v>
      </c>
      <c r="T1285" s="40">
        <f t="shared" si="189"/>
        <v>8676.6666666666661</v>
      </c>
      <c r="U1285" s="40">
        <f t="shared" si="189"/>
        <v>8676.6666666666661</v>
      </c>
      <c r="V1285" s="40">
        <f t="shared" si="189"/>
        <v>8676.6666666666661</v>
      </c>
      <c r="W1285" s="40">
        <f t="shared" si="189"/>
        <v>8676.6666666666661</v>
      </c>
      <c r="X1285" s="40">
        <f t="shared" si="189"/>
        <v>8676.6666666666661</v>
      </c>
      <c r="Y1285" s="40">
        <f t="shared" si="189"/>
        <v>8676.6666666666661</v>
      </c>
      <c r="Z1285" s="40">
        <f t="shared" si="189"/>
        <v>8676.6666666666661</v>
      </c>
      <c r="AA1285" s="966">
        <f t="shared" si="187"/>
        <v>104120.00000000001</v>
      </c>
      <c r="AB1285" s="35"/>
      <c r="AC1285" s="183"/>
    </row>
    <row r="1286" spans="1:29" x14ac:dyDescent="0.2">
      <c r="A1286" s="1422"/>
      <c r="B1286" s="2522"/>
      <c r="C1286" s="3191"/>
      <c r="D1286" s="2421"/>
      <c r="E1286" s="2421"/>
      <c r="F1286" s="2420"/>
      <c r="G1286" s="2420"/>
      <c r="H1286" s="2420"/>
      <c r="I1286" s="2420"/>
      <c r="J1286" s="2515"/>
      <c r="K1286" s="40">
        <v>38630</v>
      </c>
      <c r="L1286" s="3295"/>
      <c r="M1286" s="3287" t="s">
        <v>321</v>
      </c>
      <c r="N1286" s="3288"/>
      <c r="O1286" s="40">
        <f t="shared" si="189"/>
        <v>3219.1666666666665</v>
      </c>
      <c r="P1286" s="40">
        <f t="shared" si="189"/>
        <v>3219.1666666666665</v>
      </c>
      <c r="Q1286" s="40">
        <f t="shared" si="189"/>
        <v>3219.1666666666665</v>
      </c>
      <c r="R1286" s="40">
        <f t="shared" si="189"/>
        <v>3219.1666666666665</v>
      </c>
      <c r="S1286" s="40">
        <f t="shared" si="189"/>
        <v>3219.1666666666665</v>
      </c>
      <c r="T1286" s="40">
        <f t="shared" si="189"/>
        <v>3219.1666666666665</v>
      </c>
      <c r="U1286" s="40">
        <f t="shared" si="189"/>
        <v>3219.1666666666665</v>
      </c>
      <c r="V1286" s="40">
        <f t="shared" si="189"/>
        <v>3219.1666666666665</v>
      </c>
      <c r="W1286" s="40">
        <f t="shared" si="189"/>
        <v>3219.1666666666665</v>
      </c>
      <c r="X1286" s="40">
        <f t="shared" si="189"/>
        <v>3219.1666666666665</v>
      </c>
      <c r="Y1286" s="40">
        <f t="shared" si="189"/>
        <v>3219.1666666666665</v>
      </c>
      <c r="Z1286" s="40">
        <f t="shared" si="189"/>
        <v>3219.1666666666665</v>
      </c>
      <c r="AA1286" s="966">
        <f t="shared" si="187"/>
        <v>38630</v>
      </c>
      <c r="AB1286" s="35"/>
      <c r="AC1286" s="183"/>
    </row>
    <row r="1287" spans="1:29" x14ac:dyDescent="0.2">
      <c r="A1287" s="1422"/>
      <c r="B1287" s="2522"/>
      <c r="C1287" s="3191"/>
      <c r="D1287" s="2421"/>
      <c r="E1287" s="2421"/>
      <c r="F1287" s="2420"/>
      <c r="G1287" s="2420"/>
      <c r="H1287" s="2420"/>
      <c r="I1287" s="2420"/>
      <c r="J1287" s="2515"/>
      <c r="K1287" s="40">
        <v>225780</v>
      </c>
      <c r="L1287" s="3295"/>
      <c r="M1287" s="3287" t="s">
        <v>295</v>
      </c>
      <c r="N1287" s="3288"/>
      <c r="O1287" s="40">
        <f t="shared" si="189"/>
        <v>18815</v>
      </c>
      <c r="P1287" s="40">
        <f t="shared" si="189"/>
        <v>18815</v>
      </c>
      <c r="Q1287" s="40">
        <f t="shared" si="189"/>
        <v>18815</v>
      </c>
      <c r="R1287" s="40">
        <f t="shared" si="189"/>
        <v>18815</v>
      </c>
      <c r="S1287" s="40">
        <f t="shared" si="189"/>
        <v>18815</v>
      </c>
      <c r="T1287" s="40">
        <f t="shared" si="189"/>
        <v>18815</v>
      </c>
      <c r="U1287" s="40">
        <f t="shared" si="189"/>
        <v>18815</v>
      </c>
      <c r="V1287" s="40">
        <f t="shared" si="189"/>
        <v>18815</v>
      </c>
      <c r="W1287" s="40">
        <f t="shared" si="189"/>
        <v>18815</v>
      </c>
      <c r="X1287" s="40">
        <f t="shared" si="189"/>
        <v>18815</v>
      </c>
      <c r="Y1287" s="40">
        <f t="shared" si="189"/>
        <v>18815</v>
      </c>
      <c r="Z1287" s="40">
        <f t="shared" si="189"/>
        <v>18815</v>
      </c>
      <c r="AA1287" s="966">
        <f t="shared" si="187"/>
        <v>225780</v>
      </c>
      <c r="AB1287" s="35"/>
      <c r="AC1287" s="183"/>
    </row>
    <row r="1288" spans="1:29" x14ac:dyDescent="0.2">
      <c r="A1288" s="1422"/>
      <c r="B1288" s="2522"/>
      <c r="C1288" s="3191"/>
      <c r="D1288" s="2421"/>
      <c r="E1288" s="2421"/>
      <c r="F1288" s="2420"/>
      <c r="G1288" s="2420"/>
      <c r="H1288" s="2420"/>
      <c r="I1288" s="2420"/>
      <c r="J1288" s="2515"/>
      <c r="K1288" s="40">
        <v>69961</v>
      </c>
      <c r="L1288" s="3295"/>
      <c r="M1288" s="3287" t="s">
        <v>296</v>
      </c>
      <c r="N1288" s="3288"/>
      <c r="O1288" s="40">
        <f t="shared" si="189"/>
        <v>5830.083333333333</v>
      </c>
      <c r="P1288" s="40">
        <f t="shared" si="189"/>
        <v>5830.083333333333</v>
      </c>
      <c r="Q1288" s="40">
        <f t="shared" si="189"/>
        <v>5830.083333333333</v>
      </c>
      <c r="R1288" s="40">
        <f t="shared" si="189"/>
        <v>5830.083333333333</v>
      </c>
      <c r="S1288" s="40">
        <f t="shared" si="189"/>
        <v>5830.083333333333</v>
      </c>
      <c r="T1288" s="40">
        <f t="shared" si="189"/>
        <v>5830.083333333333</v>
      </c>
      <c r="U1288" s="40">
        <f t="shared" si="189"/>
        <v>5830.083333333333</v>
      </c>
      <c r="V1288" s="40">
        <f t="shared" si="189"/>
        <v>5830.083333333333</v>
      </c>
      <c r="W1288" s="40">
        <f t="shared" si="189"/>
        <v>5830.083333333333</v>
      </c>
      <c r="X1288" s="40">
        <f t="shared" si="189"/>
        <v>5830.083333333333</v>
      </c>
      <c r="Y1288" s="40">
        <f t="shared" si="189"/>
        <v>5830.083333333333</v>
      </c>
      <c r="Z1288" s="40">
        <f t="shared" si="189"/>
        <v>5830.083333333333</v>
      </c>
      <c r="AA1288" s="966">
        <f t="shared" si="187"/>
        <v>69961.000000000015</v>
      </c>
      <c r="AB1288" s="35"/>
      <c r="AC1288" s="183"/>
    </row>
    <row r="1289" spans="1:29" x14ac:dyDescent="0.2">
      <c r="A1289" s="1422"/>
      <c r="B1289" s="2522"/>
      <c r="C1289" s="3191"/>
      <c r="D1289" s="2421"/>
      <c r="E1289" s="2421"/>
      <c r="F1289" s="2420"/>
      <c r="G1289" s="2420"/>
      <c r="H1289" s="2420"/>
      <c r="I1289" s="2420"/>
      <c r="J1289" s="2515"/>
      <c r="K1289" s="40">
        <v>31860</v>
      </c>
      <c r="L1289" s="3295"/>
      <c r="M1289" s="3287" t="s">
        <v>297</v>
      </c>
      <c r="N1289" s="3288"/>
      <c r="O1289" s="40">
        <f t="shared" si="189"/>
        <v>2655</v>
      </c>
      <c r="P1289" s="40">
        <f t="shared" si="189"/>
        <v>2655</v>
      </c>
      <c r="Q1289" s="40">
        <f t="shared" si="189"/>
        <v>2655</v>
      </c>
      <c r="R1289" s="40">
        <f t="shared" si="189"/>
        <v>2655</v>
      </c>
      <c r="S1289" s="40">
        <f t="shared" si="189"/>
        <v>2655</v>
      </c>
      <c r="T1289" s="40">
        <f t="shared" si="189"/>
        <v>2655</v>
      </c>
      <c r="U1289" s="40">
        <f t="shared" si="189"/>
        <v>2655</v>
      </c>
      <c r="V1289" s="40">
        <f t="shared" si="189"/>
        <v>2655</v>
      </c>
      <c r="W1289" s="40">
        <f t="shared" si="189"/>
        <v>2655</v>
      </c>
      <c r="X1289" s="40">
        <f t="shared" si="189"/>
        <v>2655</v>
      </c>
      <c r="Y1289" s="40">
        <f t="shared" si="189"/>
        <v>2655</v>
      </c>
      <c r="Z1289" s="40">
        <f t="shared" si="189"/>
        <v>2655</v>
      </c>
      <c r="AA1289" s="966">
        <f t="shared" si="187"/>
        <v>31860</v>
      </c>
      <c r="AB1289" s="35"/>
      <c r="AC1289" s="183"/>
    </row>
    <row r="1290" spans="1:29" x14ac:dyDescent="0.2">
      <c r="A1290" s="1422"/>
      <c r="B1290" s="2522"/>
      <c r="C1290" s="3191"/>
      <c r="D1290" s="2421"/>
      <c r="E1290" s="2421"/>
      <c r="F1290" s="2420"/>
      <c r="G1290" s="2420"/>
      <c r="H1290" s="2420"/>
      <c r="I1290" s="2420"/>
      <c r="J1290" s="2515"/>
      <c r="K1290" s="40">
        <v>13180</v>
      </c>
      <c r="L1290" s="3295"/>
      <c r="M1290" s="3287" t="s">
        <v>298</v>
      </c>
      <c r="N1290" s="3288"/>
      <c r="O1290" s="1044"/>
      <c r="P1290" s="1044"/>
      <c r="Q1290" s="1044"/>
      <c r="R1290" s="1044"/>
      <c r="S1290" s="1044"/>
      <c r="T1290" s="1044"/>
      <c r="U1290" s="40">
        <f>$K1290/2</f>
        <v>6590</v>
      </c>
      <c r="V1290" s="1044"/>
      <c r="W1290" s="1044"/>
      <c r="X1290" s="1044"/>
      <c r="Y1290" s="1044"/>
      <c r="Z1290" s="40">
        <f>$K1290/2</f>
        <v>6590</v>
      </c>
      <c r="AA1290" s="966">
        <f t="shared" si="187"/>
        <v>13180</v>
      </c>
      <c r="AB1290" s="35"/>
      <c r="AC1290" s="183"/>
    </row>
    <row r="1291" spans="1:29" x14ac:dyDescent="0.2">
      <c r="A1291" s="1422"/>
      <c r="B1291" s="2522"/>
      <c r="C1291" s="3191"/>
      <c r="D1291" s="2421"/>
      <c r="E1291" s="2421"/>
      <c r="F1291" s="2420"/>
      <c r="G1291" s="2420"/>
      <c r="H1291" s="2420"/>
      <c r="I1291" s="2420"/>
      <c r="J1291" s="2515"/>
      <c r="K1291" s="40">
        <v>8400</v>
      </c>
      <c r="L1291" s="3295"/>
      <c r="M1291" s="3287" t="s">
        <v>299</v>
      </c>
      <c r="N1291" s="3288"/>
      <c r="O1291" s="40">
        <f>$K1291</f>
        <v>8400</v>
      </c>
      <c r="P1291" s="1044"/>
      <c r="Q1291" s="40"/>
      <c r="R1291" s="1044"/>
      <c r="S1291" s="1044"/>
      <c r="T1291" s="1044"/>
      <c r="U1291" s="1044"/>
      <c r="V1291" s="1044"/>
      <c r="W1291" s="1044"/>
      <c r="X1291" s="1044"/>
      <c r="Y1291" s="1044"/>
      <c r="Z1291" s="1044"/>
      <c r="AA1291" s="966">
        <f t="shared" si="187"/>
        <v>8400</v>
      </c>
      <c r="AB1291" s="35"/>
      <c r="AC1291" s="183"/>
    </row>
    <row r="1292" spans="1:29" x14ac:dyDescent="0.2">
      <c r="A1292" s="1422"/>
      <c r="B1292" s="2522"/>
      <c r="C1292" s="3191"/>
      <c r="D1292" s="2421"/>
      <c r="E1292" s="2421"/>
      <c r="F1292" s="2420"/>
      <c r="G1292" s="2420"/>
      <c r="H1292" s="2420"/>
      <c r="I1292" s="2420"/>
      <c r="J1292" s="2515"/>
      <c r="K1292" s="40">
        <v>38988</v>
      </c>
      <c r="L1292" s="3295"/>
      <c r="M1292" s="3287" t="s">
        <v>300</v>
      </c>
      <c r="N1292" s="3288"/>
      <c r="O1292" s="40">
        <f t="shared" ref="O1292:Z1293" si="190">$K1292/12</f>
        <v>3249</v>
      </c>
      <c r="P1292" s="40">
        <f t="shared" si="190"/>
        <v>3249</v>
      </c>
      <c r="Q1292" s="40">
        <f t="shared" si="190"/>
        <v>3249</v>
      </c>
      <c r="R1292" s="40">
        <f t="shared" si="190"/>
        <v>3249</v>
      </c>
      <c r="S1292" s="40">
        <f t="shared" si="190"/>
        <v>3249</v>
      </c>
      <c r="T1292" s="40">
        <f t="shared" si="190"/>
        <v>3249</v>
      </c>
      <c r="U1292" s="40">
        <f t="shared" si="190"/>
        <v>3249</v>
      </c>
      <c r="V1292" s="40">
        <f t="shared" si="190"/>
        <v>3249</v>
      </c>
      <c r="W1292" s="40">
        <f t="shared" si="190"/>
        <v>3249</v>
      </c>
      <c r="X1292" s="40">
        <f t="shared" si="190"/>
        <v>3249</v>
      </c>
      <c r="Y1292" s="40">
        <f t="shared" si="190"/>
        <v>3249</v>
      </c>
      <c r="Z1292" s="40">
        <f t="shared" si="190"/>
        <v>3249</v>
      </c>
      <c r="AA1292" s="966">
        <f t="shared" si="187"/>
        <v>38988</v>
      </c>
      <c r="AB1292" s="35"/>
      <c r="AC1292" s="183"/>
    </row>
    <row r="1293" spans="1:29" x14ac:dyDescent="0.2">
      <c r="A1293" s="1422"/>
      <c r="B1293" s="2522"/>
      <c r="C1293" s="3191"/>
      <c r="D1293" s="2421"/>
      <c r="E1293" s="2421"/>
      <c r="F1293" s="2420"/>
      <c r="G1293" s="2420"/>
      <c r="H1293" s="2420"/>
      <c r="I1293" s="2420"/>
      <c r="J1293" s="2515"/>
      <c r="K1293" s="40">
        <v>159</v>
      </c>
      <c r="L1293" s="3295"/>
      <c r="M1293" s="3287" t="s">
        <v>301</v>
      </c>
      <c r="N1293" s="3288"/>
      <c r="O1293" s="40">
        <f t="shared" si="190"/>
        <v>13.25</v>
      </c>
      <c r="P1293" s="40">
        <f t="shared" si="190"/>
        <v>13.25</v>
      </c>
      <c r="Q1293" s="40">
        <f t="shared" si="190"/>
        <v>13.25</v>
      </c>
      <c r="R1293" s="40">
        <f t="shared" si="190"/>
        <v>13.25</v>
      </c>
      <c r="S1293" s="40">
        <f t="shared" si="190"/>
        <v>13.25</v>
      </c>
      <c r="T1293" s="40">
        <f t="shared" si="190"/>
        <v>13.25</v>
      </c>
      <c r="U1293" s="40">
        <f t="shared" si="190"/>
        <v>13.25</v>
      </c>
      <c r="V1293" s="40">
        <f t="shared" si="190"/>
        <v>13.25</v>
      </c>
      <c r="W1293" s="40">
        <f t="shared" si="190"/>
        <v>13.25</v>
      </c>
      <c r="X1293" s="40">
        <f t="shared" si="190"/>
        <v>13.25</v>
      </c>
      <c r="Y1293" s="40">
        <f t="shared" si="190"/>
        <v>13.25</v>
      </c>
      <c r="Z1293" s="40">
        <f t="shared" si="190"/>
        <v>13.25</v>
      </c>
      <c r="AA1293" s="966">
        <f t="shared" si="187"/>
        <v>159</v>
      </c>
      <c r="AB1293" s="35"/>
      <c r="AC1293" s="183"/>
    </row>
    <row r="1294" spans="1:29" x14ac:dyDescent="0.2">
      <c r="A1294" s="1422"/>
      <c r="B1294" s="2522"/>
      <c r="C1294" s="3191"/>
      <c r="D1294" s="2421"/>
      <c r="E1294" s="2421"/>
      <c r="F1294" s="2420"/>
      <c r="G1294" s="2420"/>
      <c r="H1294" s="2420"/>
      <c r="I1294" s="2420"/>
      <c r="J1294" s="2515"/>
      <c r="K1294" s="40">
        <v>8720</v>
      </c>
      <c r="L1294" s="3295"/>
      <c r="M1294" s="3287" t="s">
        <v>393</v>
      </c>
      <c r="N1294" s="3288"/>
      <c r="O1294" s="1044"/>
      <c r="P1294" s="1044"/>
      <c r="Q1294" s="1044"/>
      <c r="R1294" s="40">
        <f>$K1294/2</f>
        <v>4360</v>
      </c>
      <c r="S1294" s="1044"/>
      <c r="T1294" s="1044"/>
      <c r="U1294" s="1044"/>
      <c r="V1294" s="40">
        <f>$K1294/2</f>
        <v>4360</v>
      </c>
      <c r="W1294" s="1044"/>
      <c r="X1294" s="1044"/>
      <c r="Y1294" s="1044"/>
      <c r="Z1294" s="1044"/>
      <c r="AA1294" s="966">
        <f t="shared" si="187"/>
        <v>8720</v>
      </c>
      <c r="AB1294" s="35"/>
      <c r="AC1294" s="183"/>
    </row>
    <row r="1295" spans="1:29" x14ac:dyDescent="0.2">
      <c r="A1295" s="1422"/>
      <c r="B1295" s="2522"/>
      <c r="C1295" s="3191"/>
      <c r="D1295" s="2421"/>
      <c r="E1295" s="2421"/>
      <c r="F1295" s="2420"/>
      <c r="G1295" s="2420"/>
      <c r="H1295" s="2420"/>
      <c r="I1295" s="2420"/>
      <c r="J1295" s="2515"/>
      <c r="K1295" s="40">
        <v>13000</v>
      </c>
      <c r="L1295" s="3295"/>
      <c r="M1295" s="3287" t="s">
        <v>343</v>
      </c>
      <c r="N1295" s="3288"/>
      <c r="O1295" s="1044"/>
      <c r="P1295" s="1044"/>
      <c r="Q1295" s="94"/>
      <c r="R1295" s="1044">
        <f>$K1295/2</f>
        <v>6500</v>
      </c>
      <c r="S1295" s="94"/>
      <c r="T1295" s="94"/>
      <c r="U1295" s="94"/>
      <c r="V1295" s="1044">
        <f>$K1295/2</f>
        <v>6500</v>
      </c>
      <c r="W1295" s="94"/>
      <c r="X1295" s="94"/>
      <c r="Y1295" s="94"/>
      <c r="Z1295" s="94"/>
      <c r="AA1295" s="966">
        <f t="shared" si="187"/>
        <v>13000</v>
      </c>
      <c r="AB1295" s="35"/>
      <c r="AC1295" s="183"/>
    </row>
    <row r="1296" spans="1:29" x14ac:dyDescent="0.2">
      <c r="A1296" s="1422"/>
      <c r="B1296" s="2522"/>
      <c r="C1296" s="3191"/>
      <c r="D1296" s="2421"/>
      <c r="E1296" s="2421"/>
      <c r="F1296" s="2420"/>
      <c r="G1296" s="2420"/>
      <c r="H1296" s="2420"/>
      <c r="I1296" s="2420"/>
      <c r="J1296" s="2515"/>
      <c r="K1296" s="40">
        <v>3000</v>
      </c>
      <c r="L1296" s="3295"/>
      <c r="M1296" s="3287" t="s">
        <v>307</v>
      </c>
      <c r="N1296" s="3288"/>
      <c r="O1296" s="1044"/>
      <c r="P1296" s="94">
        <f>$K1296/11</f>
        <v>272.72727272727275</v>
      </c>
      <c r="Q1296" s="94">
        <f t="shared" ref="Q1296:Z1296" si="191">$K1296/11</f>
        <v>272.72727272727275</v>
      </c>
      <c r="R1296" s="94">
        <f t="shared" si="191"/>
        <v>272.72727272727275</v>
      </c>
      <c r="S1296" s="94">
        <f t="shared" si="191"/>
        <v>272.72727272727275</v>
      </c>
      <c r="T1296" s="94">
        <f t="shared" si="191"/>
        <v>272.72727272727275</v>
      </c>
      <c r="U1296" s="94">
        <f t="shared" si="191"/>
        <v>272.72727272727275</v>
      </c>
      <c r="V1296" s="94">
        <f t="shared" si="191"/>
        <v>272.72727272727275</v>
      </c>
      <c r="W1296" s="94">
        <f t="shared" si="191"/>
        <v>272.72727272727275</v>
      </c>
      <c r="X1296" s="94">
        <f t="shared" si="191"/>
        <v>272.72727272727275</v>
      </c>
      <c r="Y1296" s="94">
        <f t="shared" si="191"/>
        <v>272.72727272727275</v>
      </c>
      <c r="Z1296" s="94">
        <f t="shared" si="191"/>
        <v>272.72727272727275</v>
      </c>
      <c r="AA1296" s="966">
        <f t="shared" si="187"/>
        <v>3000.0000000000009</v>
      </c>
      <c r="AB1296" s="35"/>
      <c r="AC1296" s="183"/>
    </row>
    <row r="1297" spans="1:29" x14ac:dyDescent="0.2">
      <c r="A1297" s="1422"/>
      <c r="B1297" s="2522"/>
      <c r="C1297" s="3191"/>
      <c r="D1297" s="2421"/>
      <c r="E1297" s="2421"/>
      <c r="F1297" s="2420"/>
      <c r="G1297" s="2420"/>
      <c r="H1297" s="2420"/>
      <c r="I1297" s="2420"/>
      <c r="J1297" s="2515"/>
      <c r="K1297" s="40">
        <v>37200</v>
      </c>
      <c r="L1297" s="3295"/>
      <c r="M1297" s="3287" t="s">
        <v>310</v>
      </c>
      <c r="N1297" s="3288"/>
      <c r="O1297" s="40">
        <f t="shared" ref="O1297:Z1298" si="192">$K1297/12</f>
        <v>3100</v>
      </c>
      <c r="P1297" s="40">
        <f t="shared" si="192"/>
        <v>3100</v>
      </c>
      <c r="Q1297" s="40">
        <f t="shared" si="192"/>
        <v>3100</v>
      </c>
      <c r="R1297" s="40">
        <f t="shared" si="192"/>
        <v>3100</v>
      </c>
      <c r="S1297" s="40">
        <f t="shared" si="192"/>
        <v>3100</v>
      </c>
      <c r="T1297" s="40">
        <f t="shared" si="192"/>
        <v>3100</v>
      </c>
      <c r="U1297" s="40">
        <f t="shared" si="192"/>
        <v>3100</v>
      </c>
      <c r="V1297" s="40">
        <f t="shared" si="192"/>
        <v>3100</v>
      </c>
      <c r="W1297" s="40">
        <f t="shared" si="192"/>
        <v>3100</v>
      </c>
      <c r="X1297" s="40">
        <f t="shared" si="192"/>
        <v>3100</v>
      </c>
      <c r="Y1297" s="40">
        <f t="shared" si="192"/>
        <v>3100</v>
      </c>
      <c r="Z1297" s="40">
        <f t="shared" si="192"/>
        <v>3100</v>
      </c>
      <c r="AA1297" s="966">
        <f t="shared" si="187"/>
        <v>37200</v>
      </c>
      <c r="AB1297" s="35"/>
      <c r="AC1297" s="183"/>
    </row>
    <row r="1298" spans="1:29" x14ac:dyDescent="0.2">
      <c r="A1298" s="1422"/>
      <c r="B1298" s="2438"/>
      <c r="C1298" s="3191"/>
      <c r="D1298" s="2431"/>
      <c r="E1298" s="2431"/>
      <c r="F1298" s="2514"/>
      <c r="G1298" s="2514"/>
      <c r="H1298" s="2514"/>
      <c r="I1298" s="2514"/>
      <c r="J1298" s="2515"/>
      <c r="K1298" s="165">
        <v>3240</v>
      </c>
      <c r="L1298" s="3295"/>
      <c r="M1298" s="3360" t="s">
        <v>311</v>
      </c>
      <c r="N1298" s="3361"/>
      <c r="O1298" s="165">
        <f>$K1298/12</f>
        <v>270</v>
      </c>
      <c r="P1298" s="165">
        <f t="shared" si="192"/>
        <v>270</v>
      </c>
      <c r="Q1298" s="165">
        <f t="shared" si="192"/>
        <v>270</v>
      </c>
      <c r="R1298" s="165">
        <f t="shared" si="192"/>
        <v>270</v>
      </c>
      <c r="S1298" s="165">
        <f t="shared" si="192"/>
        <v>270</v>
      </c>
      <c r="T1298" s="165">
        <f t="shared" si="192"/>
        <v>270</v>
      </c>
      <c r="U1298" s="165">
        <f t="shared" si="192"/>
        <v>270</v>
      </c>
      <c r="V1298" s="165">
        <f t="shared" si="192"/>
        <v>270</v>
      </c>
      <c r="W1298" s="165">
        <f t="shared" si="192"/>
        <v>270</v>
      </c>
      <c r="X1298" s="165">
        <f t="shared" si="192"/>
        <v>270</v>
      </c>
      <c r="Y1298" s="165">
        <f t="shared" si="192"/>
        <v>270</v>
      </c>
      <c r="Z1298" s="165">
        <f t="shared" si="192"/>
        <v>270</v>
      </c>
      <c r="AA1298" s="1206">
        <f t="shared" si="187"/>
        <v>3240</v>
      </c>
      <c r="AB1298" s="35"/>
      <c r="AC1298" s="183"/>
    </row>
    <row r="1299" spans="1:29" x14ac:dyDescent="0.2">
      <c r="A1299" s="1422"/>
      <c r="B1299" s="1420"/>
      <c r="C1299" s="1269"/>
      <c r="D1299" s="166"/>
      <c r="E1299" s="166"/>
      <c r="F1299" s="166"/>
      <c r="G1299" s="166"/>
      <c r="H1299" s="166"/>
      <c r="I1299" s="166"/>
      <c r="J1299" s="166"/>
      <c r="K1299" s="167"/>
      <c r="L1299" s="166"/>
      <c r="M1299" s="166"/>
      <c r="N1299" s="166"/>
      <c r="O1299" s="168"/>
      <c r="P1299" s="168"/>
      <c r="Q1299" s="168"/>
      <c r="R1299" s="168"/>
      <c r="S1299" s="168"/>
      <c r="T1299" s="168"/>
      <c r="U1299" s="168"/>
      <c r="V1299" s="168"/>
      <c r="W1299" s="168"/>
      <c r="X1299" s="168"/>
      <c r="Y1299" s="168"/>
      <c r="Z1299" s="168"/>
      <c r="AA1299" s="195"/>
      <c r="AB1299" s="35"/>
      <c r="AC1299" s="183"/>
    </row>
    <row r="1300" spans="1:29" x14ac:dyDescent="0.2">
      <c r="A1300" s="1422"/>
      <c r="B1300" s="1436"/>
      <c r="C1300" s="1270"/>
      <c r="D1300" s="99"/>
      <c r="E1300" s="99"/>
      <c r="F1300" s="99"/>
      <c r="G1300" s="99"/>
      <c r="H1300" s="99"/>
      <c r="I1300" s="99"/>
      <c r="J1300" s="99"/>
      <c r="K1300" s="100"/>
      <c r="L1300" s="99"/>
      <c r="M1300" s="99"/>
      <c r="N1300" s="99"/>
      <c r="O1300" s="100"/>
      <c r="P1300" s="100"/>
      <c r="Q1300" s="100"/>
      <c r="R1300" s="100"/>
      <c r="S1300" s="169"/>
      <c r="T1300" s="3338" t="s">
        <v>15</v>
      </c>
      <c r="U1300" s="3235"/>
      <c r="V1300" s="3235"/>
      <c r="W1300" s="3235"/>
      <c r="X1300" s="3235"/>
      <c r="Y1300" s="3235"/>
      <c r="Z1300" s="3023" t="s">
        <v>16</v>
      </c>
      <c r="AA1300" s="3338"/>
      <c r="AB1300" s="35"/>
      <c r="AC1300" s="183"/>
    </row>
    <row r="1301" spans="1:29" ht="24.75" customHeight="1" x14ac:dyDescent="0.2">
      <c r="A1301" s="1422"/>
      <c r="B1301" s="1137" t="s">
        <v>276</v>
      </c>
      <c r="C1301" s="1268"/>
      <c r="D1301" s="1115">
        <v>3000614</v>
      </c>
      <c r="E1301" s="3362" t="s">
        <v>574</v>
      </c>
      <c r="F1301" s="3363"/>
      <c r="G1301" s="3363"/>
      <c r="H1301" s="3363"/>
      <c r="I1301" s="3363"/>
      <c r="J1301" s="3363"/>
      <c r="K1301" s="3363"/>
      <c r="L1301" s="3363"/>
      <c r="M1301" s="3363"/>
      <c r="N1301" s="3363"/>
      <c r="O1301" s="3363"/>
      <c r="P1301" s="3363"/>
      <c r="Q1301" s="3363"/>
      <c r="R1301" s="3363"/>
      <c r="S1301" s="3364"/>
      <c r="T1301" s="3233" t="s">
        <v>575</v>
      </c>
      <c r="U1301" s="3233"/>
      <c r="V1301" s="3233"/>
      <c r="W1301" s="3233"/>
      <c r="X1301" s="3233"/>
      <c r="Y1301" s="3233"/>
      <c r="Z1301" s="3019" t="s">
        <v>576</v>
      </c>
      <c r="AA1301" s="3020"/>
      <c r="AB1301" s="35"/>
      <c r="AC1301" s="183"/>
    </row>
    <row r="1302" spans="1:29" x14ac:dyDescent="0.2">
      <c r="A1302" s="1422"/>
      <c r="B1302" s="2999" t="s">
        <v>278</v>
      </c>
      <c r="C1302" s="3015" t="s">
        <v>563</v>
      </c>
      <c r="D1302" s="2847" t="s">
        <v>22</v>
      </c>
      <c r="E1302" s="2847" t="s">
        <v>23</v>
      </c>
      <c r="F1302" s="2847" t="s">
        <v>24</v>
      </c>
      <c r="G1302" s="2847" t="s">
        <v>25</v>
      </c>
      <c r="H1302" s="2847" t="s">
        <v>26</v>
      </c>
      <c r="I1302" s="2847" t="s">
        <v>27</v>
      </c>
      <c r="J1302" s="2847" t="s">
        <v>28</v>
      </c>
      <c r="K1302" s="2847"/>
      <c r="L1302" s="2988" t="s">
        <v>279</v>
      </c>
      <c r="M1302" s="3273" t="s">
        <v>280</v>
      </c>
      <c r="N1302" s="3274"/>
      <c r="O1302" s="2847" t="s">
        <v>281</v>
      </c>
      <c r="P1302" s="2847"/>
      <c r="Q1302" s="2847"/>
      <c r="R1302" s="2847"/>
      <c r="S1302" s="2847"/>
      <c r="T1302" s="2847"/>
      <c r="U1302" s="2847"/>
      <c r="V1302" s="2847"/>
      <c r="W1302" s="2847"/>
      <c r="X1302" s="2847"/>
      <c r="Y1302" s="2847"/>
      <c r="Z1302" s="2847"/>
      <c r="AA1302" s="2847" t="s">
        <v>32</v>
      </c>
      <c r="AB1302" s="35"/>
      <c r="AC1302" s="183"/>
    </row>
    <row r="1303" spans="1:29" x14ac:dyDescent="0.2">
      <c r="A1303" s="1422"/>
      <c r="B1303" s="2999"/>
      <c r="C1303" s="3359"/>
      <c r="D1303" s="2847"/>
      <c r="E1303" s="2847"/>
      <c r="F1303" s="2847"/>
      <c r="G1303" s="2847"/>
      <c r="H1303" s="2847"/>
      <c r="I1303" s="2847"/>
      <c r="J1303" s="2847" t="s">
        <v>33</v>
      </c>
      <c r="K1303" s="2847" t="s">
        <v>282</v>
      </c>
      <c r="L1303" s="3186"/>
      <c r="M1303" s="3275"/>
      <c r="N1303" s="3276"/>
      <c r="O1303" s="1017" t="s">
        <v>283</v>
      </c>
      <c r="P1303" s="1017" t="s">
        <v>284</v>
      </c>
      <c r="Q1303" s="1017" t="s">
        <v>285</v>
      </c>
      <c r="R1303" s="1017" t="s">
        <v>88</v>
      </c>
      <c r="S1303" s="1017" t="s">
        <v>89</v>
      </c>
      <c r="T1303" s="1017" t="s">
        <v>90</v>
      </c>
      <c r="U1303" s="1017" t="s">
        <v>91</v>
      </c>
      <c r="V1303" s="1017" t="s">
        <v>92</v>
      </c>
      <c r="W1303" s="1017" t="s">
        <v>286</v>
      </c>
      <c r="X1303" s="1017" t="s">
        <v>93</v>
      </c>
      <c r="Y1303" s="1017" t="s">
        <v>94</v>
      </c>
      <c r="Z1303" s="1017" t="s">
        <v>95</v>
      </c>
      <c r="AA1303" s="2847"/>
      <c r="AB1303" s="35"/>
      <c r="AC1303" s="183"/>
    </row>
    <row r="1304" spans="1:29" ht="12.75" x14ac:dyDescent="0.2">
      <c r="A1304" s="1422"/>
      <c r="B1304" s="2999"/>
      <c r="C1304" s="3359"/>
      <c r="D1304" s="2847"/>
      <c r="E1304" s="2847"/>
      <c r="F1304" s="2847"/>
      <c r="G1304" s="2847"/>
      <c r="H1304" s="2847"/>
      <c r="I1304" s="2847"/>
      <c r="J1304" s="2847"/>
      <c r="K1304" s="2847"/>
      <c r="L1304" s="3186"/>
      <c r="M1304" s="3271" t="s">
        <v>287</v>
      </c>
      <c r="N1304" s="3272"/>
      <c r="O1304" s="1095">
        <v>26</v>
      </c>
      <c r="P1304" s="1095">
        <v>27</v>
      </c>
      <c r="Q1304" s="1095">
        <v>26</v>
      </c>
      <c r="R1304" s="1095">
        <v>27</v>
      </c>
      <c r="S1304" s="1095">
        <v>25</v>
      </c>
      <c r="T1304" s="1095">
        <v>25</v>
      </c>
      <c r="U1304" s="1095">
        <v>27</v>
      </c>
      <c r="V1304" s="1095">
        <v>26</v>
      </c>
      <c r="W1304" s="1095">
        <v>25</v>
      </c>
      <c r="X1304" s="1095">
        <v>25</v>
      </c>
      <c r="Y1304" s="1095">
        <v>25</v>
      </c>
      <c r="Z1304" s="1095">
        <v>26</v>
      </c>
      <c r="AA1304" s="1205">
        <f t="shared" ref="AA1304:AA1319" si="193">SUM(O1304:Z1304)</f>
        <v>310</v>
      </c>
      <c r="AB1304" s="35"/>
      <c r="AC1304" s="183"/>
    </row>
    <row r="1305" spans="1:29" ht="12.75" x14ac:dyDescent="0.2">
      <c r="A1305" s="1422"/>
      <c r="B1305" s="2999"/>
      <c r="C1305" s="3016"/>
      <c r="D1305" s="2847"/>
      <c r="E1305" s="2847"/>
      <c r="F1305" s="2847"/>
      <c r="G1305" s="2847"/>
      <c r="H1305" s="2847"/>
      <c r="I1305" s="2847"/>
      <c r="J1305" s="2847"/>
      <c r="K1305" s="2847"/>
      <c r="L1305" s="2989"/>
      <c r="M1305" s="3271" t="s">
        <v>34</v>
      </c>
      <c r="N1305" s="3272"/>
      <c r="O1305" s="36">
        <f>SUM(O1306:O1320)</f>
        <v>91787.000000000015</v>
      </c>
      <c r="P1305" s="36">
        <f t="shared" ref="P1305:Z1305" si="194">SUM(P1306:P1320)</f>
        <v>78987.000000000015</v>
      </c>
      <c r="Q1305" s="36">
        <f t="shared" si="194"/>
        <v>79537.000000000015</v>
      </c>
      <c r="R1305" s="36">
        <f t="shared" si="194"/>
        <v>104674.50000000001</v>
      </c>
      <c r="S1305" s="36">
        <f t="shared" si="194"/>
        <v>78987.000000000015</v>
      </c>
      <c r="T1305" s="36">
        <f t="shared" si="194"/>
        <v>78987.000000000015</v>
      </c>
      <c r="U1305" s="36">
        <f t="shared" si="194"/>
        <v>89138.000000000015</v>
      </c>
      <c r="V1305" s="36">
        <f t="shared" si="194"/>
        <v>104674.50000000001</v>
      </c>
      <c r="W1305" s="36">
        <f t="shared" si="194"/>
        <v>78987.000000000015</v>
      </c>
      <c r="X1305" s="36">
        <f t="shared" si="194"/>
        <v>78987.000000000015</v>
      </c>
      <c r="Y1305" s="36">
        <f t="shared" si="194"/>
        <v>78987.000000000015</v>
      </c>
      <c r="Z1305" s="36">
        <f t="shared" si="194"/>
        <v>89138.000000000015</v>
      </c>
      <c r="AA1305" s="1205">
        <f t="shared" si="193"/>
        <v>1032871.0000000001</v>
      </c>
      <c r="AB1305" s="35"/>
      <c r="AC1305" s="183"/>
    </row>
    <row r="1306" spans="1:29" ht="11.25" customHeight="1" x14ac:dyDescent="0.2">
      <c r="A1306" s="1422"/>
      <c r="B1306" s="2522">
        <v>5004438</v>
      </c>
      <c r="C1306" s="3190" t="s">
        <v>3072</v>
      </c>
      <c r="D1306" s="2421">
        <v>45</v>
      </c>
      <c r="E1306" s="2421" t="s">
        <v>407</v>
      </c>
      <c r="F1306" s="2420" t="s">
        <v>386</v>
      </c>
      <c r="G1306" s="2420" t="s">
        <v>387</v>
      </c>
      <c r="H1306" s="2420"/>
      <c r="I1306" s="2420" t="s">
        <v>577</v>
      </c>
      <c r="J1306" s="2514">
        <v>310</v>
      </c>
      <c r="K1306" s="101">
        <v>345380</v>
      </c>
      <c r="L1306" s="3294" t="s">
        <v>565</v>
      </c>
      <c r="M1306" s="3287" t="s">
        <v>293</v>
      </c>
      <c r="N1306" s="3288"/>
      <c r="O1306" s="40">
        <f t="shared" ref="O1306:Z1310" si="195">$K1306/12</f>
        <v>28781.666666666668</v>
      </c>
      <c r="P1306" s="40">
        <f t="shared" si="195"/>
        <v>28781.666666666668</v>
      </c>
      <c r="Q1306" s="40">
        <f t="shared" si="195"/>
        <v>28781.666666666668</v>
      </c>
      <c r="R1306" s="40">
        <f t="shared" si="195"/>
        <v>28781.666666666668</v>
      </c>
      <c r="S1306" s="40">
        <f t="shared" si="195"/>
        <v>28781.666666666668</v>
      </c>
      <c r="T1306" s="40">
        <f t="shared" si="195"/>
        <v>28781.666666666668</v>
      </c>
      <c r="U1306" s="40">
        <f t="shared" si="195"/>
        <v>28781.666666666668</v>
      </c>
      <c r="V1306" s="40">
        <f t="shared" si="195"/>
        <v>28781.666666666668</v>
      </c>
      <c r="W1306" s="40">
        <f t="shared" si="195"/>
        <v>28781.666666666668</v>
      </c>
      <c r="X1306" s="40">
        <f t="shared" si="195"/>
        <v>28781.666666666668</v>
      </c>
      <c r="Y1306" s="40">
        <f t="shared" si="195"/>
        <v>28781.666666666668</v>
      </c>
      <c r="Z1306" s="40">
        <f t="shared" si="195"/>
        <v>28781.666666666668</v>
      </c>
      <c r="AA1306" s="966">
        <f t="shared" si="193"/>
        <v>345380</v>
      </c>
      <c r="AB1306" s="35"/>
      <c r="AC1306" s="183"/>
    </row>
    <row r="1307" spans="1:29" x14ac:dyDescent="0.2">
      <c r="A1307" s="1422"/>
      <c r="B1307" s="2522"/>
      <c r="C1307" s="3191"/>
      <c r="D1307" s="2421"/>
      <c r="E1307" s="2421"/>
      <c r="F1307" s="2420"/>
      <c r="G1307" s="2420"/>
      <c r="H1307" s="2420"/>
      <c r="I1307" s="2420"/>
      <c r="J1307" s="2515"/>
      <c r="K1307" s="101">
        <v>128202</v>
      </c>
      <c r="L1307" s="3295"/>
      <c r="M1307" s="3287" t="s">
        <v>321</v>
      </c>
      <c r="N1307" s="3288"/>
      <c r="O1307" s="40">
        <f t="shared" si="195"/>
        <v>10683.5</v>
      </c>
      <c r="P1307" s="40">
        <f t="shared" si="195"/>
        <v>10683.5</v>
      </c>
      <c r="Q1307" s="40">
        <f t="shared" si="195"/>
        <v>10683.5</v>
      </c>
      <c r="R1307" s="40">
        <f t="shared" si="195"/>
        <v>10683.5</v>
      </c>
      <c r="S1307" s="40">
        <f t="shared" si="195"/>
        <v>10683.5</v>
      </c>
      <c r="T1307" s="40">
        <f t="shared" si="195"/>
        <v>10683.5</v>
      </c>
      <c r="U1307" s="40">
        <f t="shared" si="195"/>
        <v>10683.5</v>
      </c>
      <c r="V1307" s="40">
        <f t="shared" si="195"/>
        <v>10683.5</v>
      </c>
      <c r="W1307" s="40">
        <f t="shared" si="195"/>
        <v>10683.5</v>
      </c>
      <c r="X1307" s="40">
        <f t="shared" si="195"/>
        <v>10683.5</v>
      </c>
      <c r="Y1307" s="40">
        <f t="shared" si="195"/>
        <v>10683.5</v>
      </c>
      <c r="Z1307" s="40">
        <f t="shared" si="195"/>
        <v>10683.5</v>
      </c>
      <c r="AA1307" s="966">
        <f t="shared" si="193"/>
        <v>128202</v>
      </c>
      <c r="AB1307" s="35"/>
      <c r="AC1307" s="183"/>
    </row>
    <row r="1308" spans="1:29" x14ac:dyDescent="0.2">
      <c r="A1308" s="1422"/>
      <c r="B1308" s="2522"/>
      <c r="C1308" s="3191"/>
      <c r="D1308" s="2421"/>
      <c r="E1308" s="2421"/>
      <c r="F1308" s="2420"/>
      <c r="G1308" s="2420"/>
      <c r="H1308" s="2420"/>
      <c r="I1308" s="2420"/>
      <c r="J1308" s="2515"/>
      <c r="K1308" s="101">
        <v>154382</v>
      </c>
      <c r="L1308" s="3295"/>
      <c r="M1308" s="3287" t="s">
        <v>295</v>
      </c>
      <c r="N1308" s="3288"/>
      <c r="O1308" s="40">
        <f t="shared" si="195"/>
        <v>12865.166666666666</v>
      </c>
      <c r="P1308" s="40">
        <f t="shared" si="195"/>
        <v>12865.166666666666</v>
      </c>
      <c r="Q1308" s="40">
        <f t="shared" si="195"/>
        <v>12865.166666666666</v>
      </c>
      <c r="R1308" s="40">
        <f t="shared" si="195"/>
        <v>12865.166666666666</v>
      </c>
      <c r="S1308" s="40">
        <f t="shared" si="195"/>
        <v>12865.166666666666</v>
      </c>
      <c r="T1308" s="40">
        <f t="shared" si="195"/>
        <v>12865.166666666666</v>
      </c>
      <c r="U1308" s="40">
        <f t="shared" si="195"/>
        <v>12865.166666666666</v>
      </c>
      <c r="V1308" s="40">
        <f t="shared" si="195"/>
        <v>12865.166666666666</v>
      </c>
      <c r="W1308" s="40">
        <f t="shared" si="195"/>
        <v>12865.166666666666</v>
      </c>
      <c r="X1308" s="40">
        <f t="shared" si="195"/>
        <v>12865.166666666666</v>
      </c>
      <c r="Y1308" s="40">
        <f t="shared" si="195"/>
        <v>12865.166666666666</v>
      </c>
      <c r="Z1308" s="40">
        <f t="shared" si="195"/>
        <v>12865.166666666666</v>
      </c>
      <c r="AA1308" s="966">
        <f t="shared" si="193"/>
        <v>154382</v>
      </c>
      <c r="AB1308" s="35"/>
      <c r="AC1308" s="183"/>
    </row>
    <row r="1309" spans="1:29" x14ac:dyDescent="0.2">
      <c r="A1309" s="1422"/>
      <c r="B1309" s="2522"/>
      <c r="C1309" s="3191"/>
      <c r="D1309" s="2421"/>
      <c r="E1309" s="2421"/>
      <c r="F1309" s="2420"/>
      <c r="G1309" s="2420"/>
      <c r="H1309" s="2420"/>
      <c r="I1309" s="2420"/>
      <c r="J1309" s="2515"/>
      <c r="K1309" s="101">
        <v>143996</v>
      </c>
      <c r="L1309" s="3295"/>
      <c r="M1309" s="3287" t="s">
        <v>296</v>
      </c>
      <c r="N1309" s="3288"/>
      <c r="O1309" s="40">
        <f t="shared" si="195"/>
        <v>11999.666666666666</v>
      </c>
      <c r="P1309" s="40">
        <f t="shared" si="195"/>
        <v>11999.666666666666</v>
      </c>
      <c r="Q1309" s="40">
        <f t="shared" si="195"/>
        <v>11999.666666666666</v>
      </c>
      <c r="R1309" s="40">
        <f t="shared" si="195"/>
        <v>11999.666666666666</v>
      </c>
      <c r="S1309" s="40">
        <f t="shared" si="195"/>
        <v>11999.666666666666</v>
      </c>
      <c r="T1309" s="40">
        <f t="shared" si="195"/>
        <v>11999.666666666666</v>
      </c>
      <c r="U1309" s="40">
        <f t="shared" si="195"/>
        <v>11999.666666666666</v>
      </c>
      <c r="V1309" s="40">
        <f t="shared" si="195"/>
        <v>11999.666666666666</v>
      </c>
      <c r="W1309" s="40">
        <f t="shared" si="195"/>
        <v>11999.666666666666</v>
      </c>
      <c r="X1309" s="40">
        <f t="shared" si="195"/>
        <v>11999.666666666666</v>
      </c>
      <c r="Y1309" s="40">
        <f t="shared" si="195"/>
        <v>11999.666666666666</v>
      </c>
      <c r="Z1309" s="40">
        <f t="shared" si="195"/>
        <v>11999.666666666666</v>
      </c>
      <c r="AA1309" s="966">
        <f t="shared" si="193"/>
        <v>143996</v>
      </c>
      <c r="AB1309" s="35"/>
      <c r="AC1309" s="183"/>
    </row>
    <row r="1310" spans="1:29" x14ac:dyDescent="0.2">
      <c r="A1310" s="1422"/>
      <c r="B1310" s="2522"/>
      <c r="C1310" s="3191"/>
      <c r="D1310" s="2421"/>
      <c r="E1310" s="2421"/>
      <c r="F1310" s="2420"/>
      <c r="G1310" s="2420"/>
      <c r="H1310" s="2420"/>
      <c r="I1310" s="2420"/>
      <c r="J1310" s="2515"/>
      <c r="K1310" s="101">
        <v>44054</v>
      </c>
      <c r="L1310" s="3295"/>
      <c r="M1310" s="3287" t="s">
        <v>297</v>
      </c>
      <c r="N1310" s="3288"/>
      <c r="O1310" s="40">
        <f t="shared" si="195"/>
        <v>3671.1666666666665</v>
      </c>
      <c r="P1310" s="40">
        <f t="shared" si="195"/>
        <v>3671.1666666666665</v>
      </c>
      <c r="Q1310" s="40">
        <f t="shared" si="195"/>
        <v>3671.1666666666665</v>
      </c>
      <c r="R1310" s="40">
        <f t="shared" si="195"/>
        <v>3671.1666666666665</v>
      </c>
      <c r="S1310" s="40">
        <f t="shared" si="195"/>
        <v>3671.1666666666665</v>
      </c>
      <c r="T1310" s="40">
        <f t="shared" si="195"/>
        <v>3671.1666666666665</v>
      </c>
      <c r="U1310" s="40">
        <f t="shared" si="195"/>
        <v>3671.1666666666665</v>
      </c>
      <c r="V1310" s="40">
        <f t="shared" si="195"/>
        <v>3671.1666666666665</v>
      </c>
      <c r="W1310" s="40">
        <f t="shared" si="195"/>
        <v>3671.1666666666665</v>
      </c>
      <c r="X1310" s="40">
        <f t="shared" si="195"/>
        <v>3671.1666666666665</v>
      </c>
      <c r="Y1310" s="40">
        <f t="shared" si="195"/>
        <v>3671.1666666666665</v>
      </c>
      <c r="Z1310" s="40">
        <f t="shared" si="195"/>
        <v>3671.1666666666665</v>
      </c>
      <c r="AA1310" s="966">
        <f t="shared" si="193"/>
        <v>44053.999999999993</v>
      </c>
      <c r="AB1310" s="35"/>
      <c r="AC1310" s="183"/>
    </row>
    <row r="1311" spans="1:29" x14ac:dyDescent="0.2">
      <c r="A1311" s="1422"/>
      <c r="B1311" s="2522"/>
      <c r="C1311" s="3191"/>
      <c r="D1311" s="2421"/>
      <c r="E1311" s="2421"/>
      <c r="F1311" s="2420"/>
      <c r="G1311" s="2420"/>
      <c r="H1311" s="2420"/>
      <c r="I1311" s="2420"/>
      <c r="J1311" s="2515"/>
      <c r="K1311" s="101">
        <v>20302</v>
      </c>
      <c r="L1311" s="3295"/>
      <c r="M1311" s="3287" t="s">
        <v>298</v>
      </c>
      <c r="N1311" s="3288"/>
      <c r="O1311" s="1044"/>
      <c r="P1311" s="1044"/>
      <c r="Q1311" s="1044"/>
      <c r="R1311" s="1044"/>
      <c r="S1311" s="1044"/>
      <c r="T1311" s="1044"/>
      <c r="U1311" s="40">
        <f>$K1311/2</f>
        <v>10151</v>
      </c>
      <c r="V1311" s="1044"/>
      <c r="W1311" s="1044"/>
      <c r="X1311" s="1044"/>
      <c r="Y1311" s="1044"/>
      <c r="Z1311" s="40">
        <f>$K1311/2</f>
        <v>10151</v>
      </c>
      <c r="AA1311" s="966">
        <f t="shared" si="193"/>
        <v>20302</v>
      </c>
      <c r="AB1311" s="35"/>
      <c r="AC1311" s="183"/>
    </row>
    <row r="1312" spans="1:29" x14ac:dyDescent="0.2">
      <c r="A1312" s="1422"/>
      <c r="B1312" s="2522"/>
      <c r="C1312" s="3191"/>
      <c r="D1312" s="2421"/>
      <c r="E1312" s="2421"/>
      <c r="F1312" s="2420"/>
      <c r="G1312" s="2420"/>
      <c r="H1312" s="2420"/>
      <c r="I1312" s="2420"/>
      <c r="J1312" s="2515"/>
      <c r="K1312" s="101">
        <v>12800</v>
      </c>
      <c r="L1312" s="3295"/>
      <c r="M1312" s="3287" t="s">
        <v>299</v>
      </c>
      <c r="N1312" s="3288"/>
      <c r="O1312" s="40">
        <f>$K1312</f>
        <v>12800</v>
      </c>
      <c r="P1312" s="1044"/>
      <c r="Q1312" s="40"/>
      <c r="R1312" s="1044"/>
      <c r="S1312" s="1044"/>
      <c r="T1312" s="1044"/>
      <c r="U1312" s="1044"/>
      <c r="V1312" s="1044"/>
      <c r="W1312" s="1044"/>
      <c r="X1312" s="1044"/>
      <c r="Y1312" s="1044"/>
      <c r="Z1312" s="1044"/>
      <c r="AA1312" s="966">
        <f t="shared" si="193"/>
        <v>12800</v>
      </c>
      <c r="AB1312" s="35"/>
      <c r="AC1312" s="183"/>
    </row>
    <row r="1313" spans="1:29" x14ac:dyDescent="0.2">
      <c r="A1313" s="1422"/>
      <c r="B1313" s="2522"/>
      <c r="C1313" s="3191"/>
      <c r="D1313" s="2421"/>
      <c r="E1313" s="2421"/>
      <c r="F1313" s="2420"/>
      <c r="G1313" s="2420"/>
      <c r="H1313" s="2420"/>
      <c r="I1313" s="2420"/>
      <c r="J1313" s="2515"/>
      <c r="K1313" s="101">
        <v>56663</v>
      </c>
      <c r="L1313" s="3295"/>
      <c r="M1313" s="3287" t="s">
        <v>300</v>
      </c>
      <c r="N1313" s="3288"/>
      <c r="O1313" s="40">
        <f t="shared" ref="O1313:Z1314" si="196">$K1313/12</f>
        <v>4721.916666666667</v>
      </c>
      <c r="P1313" s="40">
        <f t="shared" si="196"/>
        <v>4721.916666666667</v>
      </c>
      <c r="Q1313" s="40">
        <f t="shared" si="196"/>
        <v>4721.916666666667</v>
      </c>
      <c r="R1313" s="40">
        <f t="shared" si="196"/>
        <v>4721.916666666667</v>
      </c>
      <c r="S1313" s="40">
        <f t="shared" si="196"/>
        <v>4721.916666666667</v>
      </c>
      <c r="T1313" s="40">
        <f t="shared" si="196"/>
        <v>4721.916666666667</v>
      </c>
      <c r="U1313" s="40">
        <f t="shared" si="196"/>
        <v>4721.916666666667</v>
      </c>
      <c r="V1313" s="40">
        <f t="shared" si="196"/>
        <v>4721.916666666667</v>
      </c>
      <c r="W1313" s="40">
        <f t="shared" si="196"/>
        <v>4721.916666666667</v>
      </c>
      <c r="X1313" s="40">
        <f t="shared" si="196"/>
        <v>4721.916666666667</v>
      </c>
      <c r="Y1313" s="40">
        <f t="shared" si="196"/>
        <v>4721.916666666667</v>
      </c>
      <c r="Z1313" s="40">
        <f t="shared" si="196"/>
        <v>4721.916666666667</v>
      </c>
      <c r="AA1313" s="966">
        <f t="shared" si="193"/>
        <v>56662.999999999993</v>
      </c>
      <c r="AB1313" s="35"/>
      <c r="AC1313" s="183"/>
    </row>
    <row r="1314" spans="1:29" x14ac:dyDescent="0.2">
      <c r="A1314" s="1422"/>
      <c r="B1314" s="2522"/>
      <c r="C1314" s="3191"/>
      <c r="D1314" s="2421"/>
      <c r="E1314" s="2421"/>
      <c r="F1314" s="2420"/>
      <c r="G1314" s="2420"/>
      <c r="H1314" s="2420"/>
      <c r="I1314" s="2420"/>
      <c r="J1314" s="2515"/>
      <c r="K1314" s="101">
        <v>1087</v>
      </c>
      <c r="L1314" s="3295"/>
      <c r="M1314" s="3287" t="s">
        <v>301</v>
      </c>
      <c r="N1314" s="3288"/>
      <c r="O1314" s="40">
        <f t="shared" si="196"/>
        <v>90.583333333333329</v>
      </c>
      <c r="P1314" s="40">
        <f t="shared" si="196"/>
        <v>90.583333333333329</v>
      </c>
      <c r="Q1314" s="40">
        <f t="shared" si="196"/>
        <v>90.583333333333329</v>
      </c>
      <c r="R1314" s="40">
        <f t="shared" si="196"/>
        <v>90.583333333333329</v>
      </c>
      <c r="S1314" s="40">
        <f t="shared" si="196"/>
        <v>90.583333333333329</v>
      </c>
      <c r="T1314" s="40">
        <f t="shared" si="196"/>
        <v>90.583333333333329</v>
      </c>
      <c r="U1314" s="40">
        <f t="shared" si="196"/>
        <v>90.583333333333329</v>
      </c>
      <c r="V1314" s="40">
        <f t="shared" si="196"/>
        <v>90.583333333333329</v>
      </c>
      <c r="W1314" s="40">
        <f t="shared" si="196"/>
        <v>90.583333333333329</v>
      </c>
      <c r="X1314" s="40">
        <f t="shared" si="196"/>
        <v>90.583333333333329</v>
      </c>
      <c r="Y1314" s="40">
        <f t="shared" si="196"/>
        <v>90.583333333333329</v>
      </c>
      <c r="Z1314" s="40">
        <f t="shared" si="196"/>
        <v>90.583333333333329</v>
      </c>
      <c r="AA1314" s="966">
        <f t="shared" si="193"/>
        <v>1087.0000000000002</v>
      </c>
      <c r="AB1314" s="35"/>
      <c r="AC1314" s="183"/>
    </row>
    <row r="1315" spans="1:29" x14ac:dyDescent="0.2">
      <c r="A1315" s="1422"/>
      <c r="B1315" s="2522"/>
      <c r="C1315" s="3191"/>
      <c r="D1315" s="2421"/>
      <c r="E1315" s="2421"/>
      <c r="F1315" s="2420"/>
      <c r="G1315" s="2420"/>
      <c r="H1315" s="2420"/>
      <c r="I1315" s="2420"/>
      <c r="J1315" s="2515"/>
      <c r="K1315" s="101">
        <v>550</v>
      </c>
      <c r="L1315" s="3295"/>
      <c r="M1315" s="3287" t="s">
        <v>303</v>
      </c>
      <c r="N1315" s="3288"/>
      <c r="O1315" s="1044"/>
      <c r="P1315" s="1044"/>
      <c r="Q1315" s="40">
        <f>$K1315</f>
        <v>550</v>
      </c>
      <c r="R1315" s="1044"/>
      <c r="S1315" s="1044"/>
      <c r="T1315" s="1044"/>
      <c r="U1315" s="1044"/>
      <c r="V1315" s="1044"/>
      <c r="W1315" s="1044"/>
      <c r="X1315" s="1044"/>
      <c r="Y1315" s="1044"/>
      <c r="Z1315" s="1044"/>
      <c r="AA1315" s="966">
        <f t="shared" si="193"/>
        <v>550</v>
      </c>
      <c r="AB1315" s="35"/>
      <c r="AC1315" s="183"/>
    </row>
    <row r="1316" spans="1:29" x14ac:dyDescent="0.2">
      <c r="A1316" s="1422"/>
      <c r="B1316" s="2522"/>
      <c r="C1316" s="3191"/>
      <c r="D1316" s="2421"/>
      <c r="E1316" s="2421"/>
      <c r="F1316" s="2420"/>
      <c r="G1316" s="2420"/>
      <c r="H1316" s="2420"/>
      <c r="I1316" s="2420"/>
      <c r="J1316" s="2515"/>
      <c r="K1316" s="101">
        <v>22500</v>
      </c>
      <c r="L1316" s="3295"/>
      <c r="M1316" s="3287" t="s">
        <v>393</v>
      </c>
      <c r="N1316" s="3288"/>
      <c r="O1316" s="1044"/>
      <c r="P1316" s="1044"/>
      <c r="Q1316" s="1044"/>
      <c r="R1316" s="40">
        <f>$K1316/2</f>
        <v>11250</v>
      </c>
      <c r="S1316" s="1044"/>
      <c r="T1316" s="1044"/>
      <c r="U1316" s="1044"/>
      <c r="V1316" s="40">
        <f>$K1316/2</f>
        <v>11250</v>
      </c>
      <c r="W1316" s="1044"/>
      <c r="X1316" s="1044"/>
      <c r="Y1316" s="1044"/>
      <c r="Z1316" s="1044"/>
      <c r="AA1316" s="966">
        <f t="shared" si="193"/>
        <v>22500</v>
      </c>
      <c r="AB1316" s="35"/>
      <c r="AC1316" s="183"/>
    </row>
    <row r="1317" spans="1:29" x14ac:dyDescent="0.2">
      <c r="A1317" s="1422"/>
      <c r="B1317" s="2522"/>
      <c r="C1317" s="3191"/>
      <c r="D1317" s="2421"/>
      <c r="E1317" s="2421"/>
      <c r="F1317" s="2420"/>
      <c r="G1317" s="2420"/>
      <c r="H1317" s="2420"/>
      <c r="I1317" s="2420"/>
      <c r="J1317" s="2515"/>
      <c r="K1317" s="101">
        <v>26375</v>
      </c>
      <c r="L1317" s="3295"/>
      <c r="M1317" s="3287" t="s">
        <v>343</v>
      </c>
      <c r="N1317" s="3288"/>
      <c r="O1317" s="1044"/>
      <c r="P1317" s="1044"/>
      <c r="Q1317" s="94"/>
      <c r="R1317" s="1044">
        <f>$K1317/2</f>
        <v>13187.5</v>
      </c>
      <c r="S1317" s="94"/>
      <c r="T1317" s="94"/>
      <c r="U1317" s="94"/>
      <c r="V1317" s="1044">
        <f>$K1317/2</f>
        <v>13187.5</v>
      </c>
      <c r="W1317" s="94"/>
      <c r="X1317" s="94"/>
      <c r="Y1317" s="94"/>
      <c r="Z1317" s="94"/>
      <c r="AA1317" s="966">
        <f t="shared" si="193"/>
        <v>26375</v>
      </c>
      <c r="AB1317" s="35"/>
      <c r="AC1317" s="183"/>
    </row>
    <row r="1318" spans="1:29" x14ac:dyDescent="0.2">
      <c r="A1318" s="1422"/>
      <c r="B1318" s="2522"/>
      <c r="C1318" s="3191"/>
      <c r="D1318" s="2421"/>
      <c r="E1318" s="2421"/>
      <c r="F1318" s="2420"/>
      <c r="G1318" s="2420"/>
      <c r="H1318" s="2420"/>
      <c r="I1318" s="2420"/>
      <c r="J1318" s="2515"/>
      <c r="K1318" s="101">
        <v>2500</v>
      </c>
      <c r="L1318" s="3295"/>
      <c r="M1318" s="3287" t="s">
        <v>309</v>
      </c>
      <c r="N1318" s="3288"/>
      <c r="O1318" s="1044"/>
      <c r="P1318" s="1044"/>
      <c r="Q1318" s="1044"/>
      <c r="R1318" s="40">
        <f>$K1318/2</f>
        <v>1250</v>
      </c>
      <c r="S1318" s="40"/>
      <c r="T1318" s="40"/>
      <c r="U1318" s="1044"/>
      <c r="V1318" s="40">
        <f>$K1318/2</f>
        <v>1250</v>
      </c>
      <c r="W1318" s="1044"/>
      <c r="X1318" s="40"/>
      <c r="Y1318" s="1044"/>
      <c r="Z1318" s="40"/>
      <c r="AA1318" s="966">
        <f t="shared" si="193"/>
        <v>2500</v>
      </c>
      <c r="AB1318" s="35"/>
      <c r="AC1318" s="183"/>
    </row>
    <row r="1319" spans="1:29" x14ac:dyDescent="0.2">
      <c r="A1319" s="1422"/>
      <c r="B1319" s="2522"/>
      <c r="C1319" s="3191"/>
      <c r="D1319" s="2421"/>
      <c r="E1319" s="2421"/>
      <c r="F1319" s="2420"/>
      <c r="G1319" s="2420"/>
      <c r="H1319" s="2420"/>
      <c r="I1319" s="2420"/>
      <c r="J1319" s="2515"/>
      <c r="K1319" s="101">
        <v>69401</v>
      </c>
      <c r="L1319" s="3295"/>
      <c r="M1319" s="3287" t="s">
        <v>310</v>
      </c>
      <c r="N1319" s="3288"/>
      <c r="O1319" s="40">
        <f t="shared" ref="O1319:Z1320" si="197">$K1319/12</f>
        <v>5783.416666666667</v>
      </c>
      <c r="P1319" s="40">
        <f t="shared" si="197"/>
        <v>5783.416666666667</v>
      </c>
      <c r="Q1319" s="40">
        <f t="shared" si="197"/>
        <v>5783.416666666667</v>
      </c>
      <c r="R1319" s="40">
        <f t="shared" si="197"/>
        <v>5783.416666666667</v>
      </c>
      <c r="S1319" s="40">
        <f t="shared" si="197"/>
        <v>5783.416666666667</v>
      </c>
      <c r="T1319" s="40">
        <f t="shared" si="197"/>
        <v>5783.416666666667</v>
      </c>
      <c r="U1319" s="40">
        <f t="shared" si="197"/>
        <v>5783.416666666667</v>
      </c>
      <c r="V1319" s="40">
        <f t="shared" si="197"/>
        <v>5783.416666666667</v>
      </c>
      <c r="W1319" s="40">
        <f t="shared" si="197"/>
        <v>5783.416666666667</v>
      </c>
      <c r="X1319" s="40">
        <f t="shared" si="197"/>
        <v>5783.416666666667</v>
      </c>
      <c r="Y1319" s="40">
        <f t="shared" si="197"/>
        <v>5783.416666666667</v>
      </c>
      <c r="Z1319" s="40">
        <f t="shared" si="197"/>
        <v>5783.416666666667</v>
      </c>
      <c r="AA1319" s="966">
        <f t="shared" si="193"/>
        <v>69400.999999999985</v>
      </c>
      <c r="AB1319" s="35"/>
      <c r="AC1319" s="183"/>
    </row>
    <row r="1320" spans="1:29" ht="8.25" customHeight="1" x14ac:dyDescent="0.2">
      <c r="A1320" s="1422"/>
      <c r="B1320" s="2522"/>
      <c r="C1320" s="2439"/>
      <c r="D1320" s="2421"/>
      <c r="E1320" s="2421"/>
      <c r="F1320" s="2420"/>
      <c r="G1320" s="2420"/>
      <c r="H1320" s="2420"/>
      <c r="I1320" s="2420"/>
      <c r="J1320" s="2516"/>
      <c r="K1320" s="101">
        <v>4679</v>
      </c>
      <c r="L1320" s="3296"/>
      <c r="M1320" s="3287" t="s">
        <v>311</v>
      </c>
      <c r="N1320" s="3288"/>
      <c r="O1320" s="40">
        <f t="shared" si="197"/>
        <v>389.91666666666669</v>
      </c>
      <c r="P1320" s="40">
        <f t="shared" si="197"/>
        <v>389.91666666666669</v>
      </c>
      <c r="Q1320" s="40">
        <f t="shared" si="197"/>
        <v>389.91666666666669</v>
      </c>
      <c r="R1320" s="40">
        <f t="shared" si="197"/>
        <v>389.91666666666669</v>
      </c>
      <c r="S1320" s="40">
        <f t="shared" si="197"/>
        <v>389.91666666666669</v>
      </c>
      <c r="T1320" s="40">
        <f t="shared" si="197"/>
        <v>389.91666666666669</v>
      </c>
      <c r="U1320" s="40">
        <f t="shared" si="197"/>
        <v>389.91666666666669</v>
      </c>
      <c r="V1320" s="40">
        <f t="shared" si="197"/>
        <v>389.91666666666669</v>
      </c>
      <c r="W1320" s="40">
        <f t="shared" si="197"/>
        <v>389.91666666666669</v>
      </c>
      <c r="X1320" s="40">
        <f t="shared" si="197"/>
        <v>389.91666666666669</v>
      </c>
      <c r="Y1320" s="40">
        <f t="shared" si="197"/>
        <v>389.91666666666669</v>
      </c>
      <c r="Z1320" s="40">
        <f t="shared" si="197"/>
        <v>389.91666666666669</v>
      </c>
      <c r="AA1320" s="1207">
        <f>SUM(O1320:Z1320)</f>
        <v>4679</v>
      </c>
      <c r="AB1320" s="35"/>
      <c r="AC1320" s="183"/>
    </row>
    <row r="1321" spans="1:29" ht="15" customHeight="1" x14ac:dyDescent="0.2">
      <c r="A1321" s="1422"/>
      <c r="B1321" s="1422"/>
      <c r="C1321" s="1124"/>
      <c r="D1321" s="35"/>
      <c r="E1321" s="35"/>
      <c r="F1321" s="35"/>
      <c r="G1321" s="35"/>
      <c r="H1321" s="35"/>
      <c r="I1321" s="35"/>
      <c r="J1321" s="35"/>
      <c r="K1321" s="60"/>
      <c r="L1321" s="60"/>
      <c r="M1321" s="60"/>
      <c r="N1321" s="60"/>
      <c r="O1321" s="60"/>
      <c r="P1321" s="60"/>
      <c r="Q1321" s="60"/>
      <c r="R1321" s="60"/>
      <c r="S1321" s="60"/>
      <c r="T1321" s="3235" t="s">
        <v>15</v>
      </c>
      <c r="U1321" s="3235"/>
      <c r="V1321" s="3235"/>
      <c r="W1321" s="3235"/>
      <c r="X1321" s="3235"/>
      <c r="Y1321" s="3235"/>
      <c r="Z1321" s="3023" t="s">
        <v>16</v>
      </c>
      <c r="AA1321" s="3338"/>
      <c r="AB1321" s="35"/>
      <c r="AC1321" s="183"/>
    </row>
    <row r="1322" spans="1:29" ht="22.5" x14ac:dyDescent="0.2">
      <c r="A1322" s="1422"/>
      <c r="B1322" s="1013" t="s">
        <v>278</v>
      </c>
      <c r="C1322" s="1115"/>
      <c r="D1322" s="1115">
        <v>3000615</v>
      </c>
      <c r="E1322" s="3291" t="s">
        <v>578</v>
      </c>
      <c r="F1322" s="3292"/>
      <c r="G1322" s="3292"/>
      <c r="H1322" s="3292"/>
      <c r="I1322" s="3292"/>
      <c r="J1322" s="3292"/>
      <c r="K1322" s="3292"/>
      <c r="L1322" s="3292"/>
      <c r="M1322" s="3292"/>
      <c r="N1322" s="3292"/>
      <c r="O1322" s="3292"/>
      <c r="P1322" s="3292"/>
      <c r="Q1322" s="3292"/>
      <c r="R1322" s="3292"/>
      <c r="S1322" s="3293"/>
      <c r="T1322" s="3233" t="s">
        <v>3722</v>
      </c>
      <c r="U1322" s="3233"/>
      <c r="V1322" s="3233"/>
      <c r="W1322" s="3233"/>
      <c r="X1322" s="3233"/>
      <c r="Y1322" s="3233"/>
      <c r="Z1322" s="3019" t="s">
        <v>579</v>
      </c>
      <c r="AA1322" s="3020"/>
      <c r="AB1322" s="35"/>
      <c r="AC1322" s="183"/>
    </row>
    <row r="1323" spans="1:29" x14ac:dyDescent="0.2">
      <c r="A1323" s="1422"/>
      <c r="B1323" s="2999" t="s">
        <v>278</v>
      </c>
      <c r="C1323" s="3015" t="s">
        <v>563</v>
      </c>
      <c r="D1323" s="2847" t="s">
        <v>22</v>
      </c>
      <c r="E1323" s="2847" t="s">
        <v>23</v>
      </c>
      <c r="F1323" s="2847" t="s">
        <v>24</v>
      </c>
      <c r="G1323" s="2847" t="s">
        <v>25</v>
      </c>
      <c r="H1323" s="2847" t="s">
        <v>26</v>
      </c>
      <c r="I1323" s="2847" t="s">
        <v>27</v>
      </c>
      <c r="J1323" s="2847" t="s">
        <v>28</v>
      </c>
      <c r="K1323" s="2847"/>
      <c r="L1323" s="2988" t="s">
        <v>279</v>
      </c>
      <c r="M1323" s="3273" t="s">
        <v>280</v>
      </c>
      <c r="N1323" s="3274"/>
      <c r="O1323" s="2847" t="s">
        <v>281</v>
      </c>
      <c r="P1323" s="2847"/>
      <c r="Q1323" s="2847"/>
      <c r="R1323" s="2847"/>
      <c r="S1323" s="2847"/>
      <c r="T1323" s="2847"/>
      <c r="U1323" s="2847"/>
      <c r="V1323" s="2847"/>
      <c r="W1323" s="2847"/>
      <c r="X1323" s="2847"/>
      <c r="Y1323" s="2847"/>
      <c r="Z1323" s="2847"/>
      <c r="AA1323" s="2847" t="s">
        <v>32</v>
      </c>
      <c r="AB1323" s="35"/>
      <c r="AC1323" s="183"/>
    </row>
    <row r="1324" spans="1:29" x14ac:dyDescent="0.2">
      <c r="A1324" s="1422"/>
      <c r="B1324" s="2999"/>
      <c r="C1324" s="3359"/>
      <c r="D1324" s="2847"/>
      <c r="E1324" s="2847"/>
      <c r="F1324" s="2847"/>
      <c r="G1324" s="2847"/>
      <c r="H1324" s="2847"/>
      <c r="I1324" s="2847"/>
      <c r="J1324" s="2847" t="s">
        <v>33</v>
      </c>
      <c r="K1324" s="2847" t="s">
        <v>282</v>
      </c>
      <c r="L1324" s="3186"/>
      <c r="M1324" s="3275"/>
      <c r="N1324" s="3276"/>
      <c r="O1324" s="1017" t="s">
        <v>283</v>
      </c>
      <c r="P1324" s="1017" t="s">
        <v>284</v>
      </c>
      <c r="Q1324" s="1017" t="s">
        <v>285</v>
      </c>
      <c r="R1324" s="1017" t="s">
        <v>88</v>
      </c>
      <c r="S1324" s="1017" t="s">
        <v>89</v>
      </c>
      <c r="T1324" s="1017" t="s">
        <v>90</v>
      </c>
      <c r="U1324" s="1017" t="s">
        <v>91</v>
      </c>
      <c r="V1324" s="1017" t="s">
        <v>92</v>
      </c>
      <c r="W1324" s="1017" t="s">
        <v>286</v>
      </c>
      <c r="X1324" s="1017" t="s">
        <v>93</v>
      </c>
      <c r="Y1324" s="1017" t="s">
        <v>94</v>
      </c>
      <c r="Z1324" s="1017" t="s">
        <v>95</v>
      </c>
      <c r="AA1324" s="2847"/>
      <c r="AB1324" s="35"/>
      <c r="AC1324" s="183"/>
    </row>
    <row r="1325" spans="1:29" ht="12.75" x14ac:dyDescent="0.2">
      <c r="A1325" s="1422"/>
      <c r="B1325" s="2999"/>
      <c r="C1325" s="3359"/>
      <c r="D1325" s="2847"/>
      <c r="E1325" s="2847"/>
      <c r="F1325" s="2847"/>
      <c r="G1325" s="2847"/>
      <c r="H1325" s="2847"/>
      <c r="I1325" s="2847"/>
      <c r="J1325" s="2847"/>
      <c r="K1325" s="2847"/>
      <c r="L1325" s="3186"/>
      <c r="M1325" s="3271" t="s">
        <v>287</v>
      </c>
      <c r="N1325" s="3272"/>
      <c r="O1325" s="1095"/>
      <c r="P1325" s="1095"/>
      <c r="Q1325" s="1095">
        <v>1</v>
      </c>
      <c r="R1325" s="1095"/>
      <c r="S1325" s="1095"/>
      <c r="T1325" s="1095"/>
      <c r="U1325" s="1095"/>
      <c r="V1325" s="1095"/>
      <c r="W1325" s="1095">
        <v>1</v>
      </c>
      <c r="X1325" s="1095"/>
      <c r="Y1325" s="1095"/>
      <c r="Z1325" s="1095"/>
      <c r="AA1325" s="97">
        <f t="shared" ref="AA1325:AA1328" si="198">SUM(O1325:Z1325)</f>
        <v>2</v>
      </c>
      <c r="AB1325" s="35"/>
      <c r="AC1325" s="183"/>
    </row>
    <row r="1326" spans="1:29" ht="12.75" x14ac:dyDescent="0.2">
      <c r="A1326" s="1422"/>
      <c r="B1326" s="2999"/>
      <c r="C1326" s="3016"/>
      <c r="D1326" s="2847"/>
      <c r="E1326" s="2847"/>
      <c r="F1326" s="2847"/>
      <c r="G1326" s="2847"/>
      <c r="H1326" s="2847"/>
      <c r="I1326" s="2847"/>
      <c r="J1326" s="2847"/>
      <c r="K1326" s="2847"/>
      <c r="L1326" s="2989"/>
      <c r="M1326" s="3271" t="s">
        <v>34</v>
      </c>
      <c r="N1326" s="3272"/>
      <c r="O1326" s="36">
        <f>SUM(O1327:O1328)</f>
        <v>0</v>
      </c>
      <c r="P1326" s="36">
        <f t="shared" ref="P1326:Z1326" si="199">SUM(P1327:P1328)</f>
        <v>0</v>
      </c>
      <c r="Q1326" s="36">
        <f t="shared" si="199"/>
        <v>0</v>
      </c>
      <c r="R1326" s="36">
        <f t="shared" si="199"/>
        <v>1500</v>
      </c>
      <c r="S1326" s="36">
        <f t="shared" si="199"/>
        <v>0</v>
      </c>
      <c r="T1326" s="36">
        <f t="shared" si="199"/>
        <v>0</v>
      </c>
      <c r="U1326" s="36">
        <f t="shared" si="199"/>
        <v>0</v>
      </c>
      <c r="V1326" s="36">
        <f t="shared" si="199"/>
        <v>1000</v>
      </c>
      <c r="W1326" s="36">
        <f t="shared" si="199"/>
        <v>0</v>
      </c>
      <c r="X1326" s="36">
        <f t="shared" si="199"/>
        <v>0</v>
      </c>
      <c r="Y1326" s="36">
        <f t="shared" si="199"/>
        <v>0</v>
      </c>
      <c r="Z1326" s="36">
        <f t="shared" si="199"/>
        <v>0</v>
      </c>
      <c r="AA1326" s="97">
        <f t="shared" si="198"/>
        <v>2500</v>
      </c>
      <c r="AB1326" s="35"/>
      <c r="AC1326" s="183"/>
    </row>
    <row r="1327" spans="1:29" ht="11.25" customHeight="1" x14ac:dyDescent="0.2">
      <c r="A1327" s="1422"/>
      <c r="B1327" s="2522">
        <v>5004439</v>
      </c>
      <c r="C1327" s="3190" t="s">
        <v>3073</v>
      </c>
      <c r="D1327" s="3347"/>
      <c r="E1327" s="2421" t="s">
        <v>580</v>
      </c>
      <c r="F1327" s="2420" t="s">
        <v>386</v>
      </c>
      <c r="G1327" s="2420" t="s">
        <v>387</v>
      </c>
      <c r="H1327" s="2420"/>
      <c r="I1327" s="2420" t="s">
        <v>573</v>
      </c>
      <c r="J1327" s="2514">
        <v>2</v>
      </c>
      <c r="K1327" s="40">
        <v>2000</v>
      </c>
      <c r="L1327" s="3294" t="s">
        <v>565</v>
      </c>
      <c r="M1327" s="3287" t="s">
        <v>393</v>
      </c>
      <c r="N1327" s="3288"/>
      <c r="O1327" s="1044"/>
      <c r="P1327" s="1044"/>
      <c r="Q1327" s="1044"/>
      <c r="R1327" s="40">
        <f>$K1327/2</f>
        <v>1000</v>
      </c>
      <c r="S1327" s="1044"/>
      <c r="T1327" s="1044"/>
      <c r="U1327" s="1044"/>
      <c r="V1327" s="40">
        <f>$K1327/2</f>
        <v>1000</v>
      </c>
      <c r="W1327" s="1044"/>
      <c r="X1327" s="1044"/>
      <c r="Y1327" s="1044"/>
      <c r="Z1327" s="1044"/>
      <c r="AA1327" s="40">
        <f t="shared" si="198"/>
        <v>2000</v>
      </c>
      <c r="AB1327" s="35"/>
      <c r="AC1327" s="183"/>
    </row>
    <row r="1328" spans="1:29" ht="50.25" customHeight="1" x14ac:dyDescent="0.2">
      <c r="A1328" s="1422"/>
      <c r="B1328" s="2522"/>
      <c r="C1328" s="2439"/>
      <c r="D1328" s="3347"/>
      <c r="E1328" s="2421"/>
      <c r="F1328" s="2420"/>
      <c r="G1328" s="2420"/>
      <c r="H1328" s="2420"/>
      <c r="I1328" s="2420"/>
      <c r="J1328" s="2516"/>
      <c r="K1328" s="154">
        <v>500</v>
      </c>
      <c r="L1328" s="3296"/>
      <c r="M1328" s="3335" t="s">
        <v>343</v>
      </c>
      <c r="N1328" s="3336"/>
      <c r="O1328" s="1044"/>
      <c r="P1328" s="1044"/>
      <c r="Q1328" s="94"/>
      <c r="R1328" s="1044">
        <f>$K1328</f>
        <v>500</v>
      </c>
      <c r="S1328" s="94"/>
      <c r="T1328" s="94"/>
      <c r="U1328" s="94"/>
      <c r="V1328" s="1044"/>
      <c r="W1328" s="94"/>
      <c r="X1328" s="94"/>
      <c r="Y1328" s="94"/>
      <c r="Z1328" s="94"/>
      <c r="AA1328" s="40">
        <f t="shared" si="198"/>
        <v>500</v>
      </c>
      <c r="AB1328" s="35"/>
      <c r="AC1328" s="183"/>
    </row>
    <row r="1329" spans="1:29" x14ac:dyDescent="0.2">
      <c r="A1329" s="1422"/>
      <c r="B1329" s="1433" t="s">
        <v>278</v>
      </c>
      <c r="C1329" s="1119"/>
      <c r="D1329" s="1119">
        <v>3000616</v>
      </c>
      <c r="E1329" s="192" t="s">
        <v>581</v>
      </c>
      <c r="F1329" s="35"/>
      <c r="G1329" s="35"/>
      <c r="H1329" s="35"/>
      <c r="I1329" s="35"/>
      <c r="J1329" s="35"/>
      <c r="K1329" s="60"/>
      <c r="L1329" s="60"/>
      <c r="M1329" s="60"/>
      <c r="N1329" s="60"/>
      <c r="O1329" s="60"/>
      <c r="P1329" s="60"/>
      <c r="Q1329" s="60"/>
      <c r="R1329" s="60"/>
      <c r="S1329" s="60"/>
      <c r="T1329" s="3235" t="s">
        <v>15</v>
      </c>
      <c r="U1329" s="3235"/>
      <c r="V1329" s="3235"/>
      <c r="W1329" s="3235"/>
      <c r="X1329" s="3235"/>
      <c r="Y1329" s="3235"/>
      <c r="Z1329" s="3023" t="s">
        <v>16</v>
      </c>
      <c r="AA1329" s="3338"/>
      <c r="AB1329" s="35"/>
      <c r="AC1329" s="183"/>
    </row>
    <row r="1330" spans="1:29" x14ac:dyDescent="0.2">
      <c r="A1330" s="1422"/>
      <c r="B1330" s="1433"/>
      <c r="C1330" s="1119"/>
      <c r="D1330" s="1119"/>
      <c r="E1330" s="192"/>
      <c r="F1330" s="35"/>
      <c r="G1330" s="35"/>
      <c r="H1330" s="35"/>
      <c r="I1330" s="35"/>
      <c r="J1330" s="35"/>
      <c r="K1330" s="60"/>
      <c r="L1330" s="60"/>
      <c r="M1330" s="60"/>
      <c r="N1330" s="60"/>
      <c r="O1330" s="60"/>
      <c r="P1330" s="60"/>
      <c r="Q1330" s="60"/>
      <c r="R1330" s="60"/>
      <c r="S1330" s="60"/>
      <c r="T1330" s="3233" t="s">
        <v>582</v>
      </c>
      <c r="U1330" s="3233"/>
      <c r="V1330" s="3233"/>
      <c r="W1330" s="3233"/>
      <c r="X1330" s="3233"/>
      <c r="Y1330" s="3233"/>
      <c r="Z1330" s="3019" t="s">
        <v>579</v>
      </c>
      <c r="AA1330" s="3020"/>
      <c r="AB1330" s="35"/>
      <c r="AC1330" s="183"/>
    </row>
    <row r="1331" spans="1:29" x14ac:dyDescent="0.2">
      <c r="A1331" s="1422"/>
      <c r="B1331" s="2999" t="s">
        <v>278</v>
      </c>
      <c r="C1331" s="3015" t="s">
        <v>563</v>
      </c>
      <c r="D1331" s="2847" t="s">
        <v>22</v>
      </c>
      <c r="E1331" s="2847" t="s">
        <v>23</v>
      </c>
      <c r="F1331" s="2847" t="s">
        <v>24</v>
      </c>
      <c r="G1331" s="2847" t="s">
        <v>25</v>
      </c>
      <c r="H1331" s="2847" t="s">
        <v>26</v>
      </c>
      <c r="I1331" s="2847" t="s">
        <v>27</v>
      </c>
      <c r="J1331" s="2847" t="s">
        <v>28</v>
      </c>
      <c r="K1331" s="2847"/>
      <c r="L1331" s="2988" t="s">
        <v>279</v>
      </c>
      <c r="M1331" s="3273" t="s">
        <v>280</v>
      </c>
      <c r="N1331" s="3274"/>
      <c r="O1331" s="2847" t="s">
        <v>281</v>
      </c>
      <c r="P1331" s="2847"/>
      <c r="Q1331" s="2847"/>
      <c r="R1331" s="2847"/>
      <c r="S1331" s="2847"/>
      <c r="T1331" s="2847"/>
      <c r="U1331" s="2847"/>
      <c r="V1331" s="2847"/>
      <c r="W1331" s="2847"/>
      <c r="X1331" s="2847"/>
      <c r="Y1331" s="2847"/>
      <c r="Z1331" s="2847"/>
      <c r="AA1331" s="2847" t="s">
        <v>32</v>
      </c>
      <c r="AB1331" s="35"/>
      <c r="AC1331" s="183"/>
    </row>
    <row r="1332" spans="1:29" x14ac:dyDescent="0.2">
      <c r="A1332" s="1422"/>
      <c r="B1332" s="2999"/>
      <c r="C1332" s="3359"/>
      <c r="D1332" s="2847"/>
      <c r="E1332" s="2847"/>
      <c r="F1332" s="2847"/>
      <c r="G1332" s="2847"/>
      <c r="H1332" s="2847"/>
      <c r="I1332" s="2847"/>
      <c r="J1332" s="2847" t="s">
        <v>33</v>
      </c>
      <c r="K1332" s="2847" t="s">
        <v>282</v>
      </c>
      <c r="L1332" s="3186"/>
      <c r="M1332" s="3275"/>
      <c r="N1332" s="3276"/>
      <c r="O1332" s="1017" t="s">
        <v>283</v>
      </c>
      <c r="P1332" s="1017" t="s">
        <v>284</v>
      </c>
      <c r="Q1332" s="1017" t="s">
        <v>285</v>
      </c>
      <c r="R1332" s="1017" t="s">
        <v>88</v>
      </c>
      <c r="S1332" s="1017" t="s">
        <v>89</v>
      </c>
      <c r="T1332" s="1017" t="s">
        <v>90</v>
      </c>
      <c r="U1332" s="1017" t="s">
        <v>91</v>
      </c>
      <c r="V1332" s="1017" t="s">
        <v>92</v>
      </c>
      <c r="W1332" s="1017" t="s">
        <v>286</v>
      </c>
      <c r="X1332" s="1017" t="s">
        <v>93</v>
      </c>
      <c r="Y1332" s="1017" t="s">
        <v>94</v>
      </c>
      <c r="Z1332" s="1017" t="s">
        <v>95</v>
      </c>
      <c r="AA1332" s="2847"/>
      <c r="AB1332" s="35"/>
      <c r="AC1332" s="183"/>
    </row>
    <row r="1333" spans="1:29" ht="12.75" x14ac:dyDescent="0.2">
      <c r="A1333" s="1422"/>
      <c r="B1333" s="2999"/>
      <c r="C1333" s="3359"/>
      <c r="D1333" s="2847"/>
      <c r="E1333" s="2847"/>
      <c r="F1333" s="2847"/>
      <c r="G1333" s="2847"/>
      <c r="H1333" s="2847"/>
      <c r="I1333" s="2847"/>
      <c r="J1333" s="2847"/>
      <c r="K1333" s="2847"/>
      <c r="L1333" s="3186"/>
      <c r="M1333" s="3271" t="s">
        <v>287</v>
      </c>
      <c r="N1333" s="3272"/>
      <c r="O1333" s="1095">
        <v>1</v>
      </c>
      <c r="P1333" s="1095">
        <v>1</v>
      </c>
      <c r="Q1333" s="1095">
        <v>2</v>
      </c>
      <c r="R1333" s="1095">
        <v>2</v>
      </c>
      <c r="S1333" s="1095">
        <v>2</v>
      </c>
      <c r="T1333" s="1095">
        <v>2</v>
      </c>
      <c r="U1333" s="1095">
        <v>1</v>
      </c>
      <c r="V1333" s="1095">
        <v>2</v>
      </c>
      <c r="W1333" s="1095">
        <v>2</v>
      </c>
      <c r="X1333" s="1095">
        <v>1</v>
      </c>
      <c r="Y1333" s="1095">
        <v>2</v>
      </c>
      <c r="Z1333" s="1095">
        <v>2</v>
      </c>
      <c r="AA1333" s="1205">
        <f t="shared" ref="AA1333:AA1347" si="200">SUM(O1333:Z1333)</f>
        <v>20</v>
      </c>
      <c r="AB1333" s="35"/>
      <c r="AC1333" s="183"/>
    </row>
    <row r="1334" spans="1:29" ht="12.75" x14ac:dyDescent="0.2">
      <c r="A1334" s="1422"/>
      <c r="B1334" s="2999"/>
      <c r="C1334" s="3016"/>
      <c r="D1334" s="2847"/>
      <c r="E1334" s="2847"/>
      <c r="F1334" s="2847"/>
      <c r="G1334" s="2847"/>
      <c r="H1334" s="2847"/>
      <c r="I1334" s="2847"/>
      <c r="J1334" s="2847"/>
      <c r="K1334" s="2847"/>
      <c r="L1334" s="2989"/>
      <c r="M1334" s="3271" t="s">
        <v>34</v>
      </c>
      <c r="N1334" s="3272"/>
      <c r="O1334" s="36">
        <f>SUM(O1335:O1347)</f>
        <v>38150.666666666672</v>
      </c>
      <c r="P1334" s="36">
        <f t="shared" ref="P1334:Y1334" si="201">SUM(P1335:P1347)</f>
        <v>33887.030303030311</v>
      </c>
      <c r="Q1334" s="36">
        <f t="shared" si="201"/>
        <v>34387.030303030311</v>
      </c>
      <c r="R1334" s="36">
        <f t="shared" si="201"/>
        <v>47662.030303030311</v>
      </c>
      <c r="S1334" s="36">
        <f t="shared" si="201"/>
        <v>33887.030303030311</v>
      </c>
      <c r="T1334" s="36">
        <f t="shared" si="201"/>
        <v>33887.030303030311</v>
      </c>
      <c r="U1334" s="36">
        <f t="shared" si="201"/>
        <v>37373.030303030311</v>
      </c>
      <c r="V1334" s="36">
        <f t="shared" si="201"/>
        <v>47662.030303030311</v>
      </c>
      <c r="W1334" s="36">
        <f t="shared" si="201"/>
        <v>33887.030303030311</v>
      </c>
      <c r="X1334" s="36">
        <f t="shared" si="201"/>
        <v>33887.030303030311</v>
      </c>
      <c r="Y1334" s="36">
        <f t="shared" si="201"/>
        <v>33887.030303030311</v>
      </c>
      <c r="Z1334" s="36">
        <f>SUM(Z1335:Z1347)</f>
        <v>37373.030303030311</v>
      </c>
      <c r="AA1334" s="1205">
        <f t="shared" si="200"/>
        <v>445930.00000000017</v>
      </c>
      <c r="AB1334" s="35"/>
      <c r="AC1334" s="183"/>
    </row>
    <row r="1335" spans="1:29" ht="11.25" customHeight="1" x14ac:dyDescent="0.2">
      <c r="A1335" s="1422"/>
      <c r="B1335" s="2522">
        <v>5004440</v>
      </c>
      <c r="C1335" s="3190" t="s">
        <v>3074</v>
      </c>
      <c r="D1335" s="3347"/>
      <c r="E1335" s="2421" t="s">
        <v>407</v>
      </c>
      <c r="F1335" s="2420" t="s">
        <v>386</v>
      </c>
      <c r="G1335" s="2420" t="s">
        <v>423</v>
      </c>
      <c r="H1335" s="2420"/>
      <c r="I1335" s="2426" t="s">
        <v>573</v>
      </c>
      <c r="J1335" s="2514">
        <v>20</v>
      </c>
      <c r="K1335" s="101">
        <v>228782</v>
      </c>
      <c r="L1335" s="3294" t="s">
        <v>565</v>
      </c>
      <c r="M1335" s="3287" t="s">
        <v>293</v>
      </c>
      <c r="N1335" s="3288"/>
      <c r="O1335" s="40">
        <f t="shared" ref="O1335:Z1338" si="202">$K1335/12</f>
        <v>19065.166666666668</v>
      </c>
      <c r="P1335" s="40">
        <f t="shared" si="202"/>
        <v>19065.166666666668</v>
      </c>
      <c r="Q1335" s="40">
        <f t="shared" si="202"/>
        <v>19065.166666666668</v>
      </c>
      <c r="R1335" s="40">
        <f t="shared" si="202"/>
        <v>19065.166666666668</v>
      </c>
      <c r="S1335" s="40">
        <f t="shared" si="202"/>
        <v>19065.166666666668</v>
      </c>
      <c r="T1335" s="40">
        <f t="shared" si="202"/>
        <v>19065.166666666668</v>
      </c>
      <c r="U1335" s="40">
        <f t="shared" si="202"/>
        <v>19065.166666666668</v>
      </c>
      <c r="V1335" s="40">
        <f t="shared" si="202"/>
        <v>19065.166666666668</v>
      </c>
      <c r="W1335" s="40">
        <f t="shared" si="202"/>
        <v>19065.166666666668</v>
      </c>
      <c r="X1335" s="40">
        <f t="shared" si="202"/>
        <v>19065.166666666668</v>
      </c>
      <c r="Y1335" s="40">
        <f t="shared" si="202"/>
        <v>19065.166666666668</v>
      </c>
      <c r="Z1335" s="40">
        <f t="shared" si="202"/>
        <v>19065.166666666668</v>
      </c>
      <c r="AA1335" s="966">
        <f t="shared" si="200"/>
        <v>228781.99999999997</v>
      </c>
      <c r="AB1335" s="35"/>
      <c r="AC1335" s="183"/>
    </row>
    <row r="1336" spans="1:29" x14ac:dyDescent="0.2">
      <c r="A1336" s="1422"/>
      <c r="B1336" s="2522"/>
      <c r="C1336" s="3191"/>
      <c r="D1336" s="3347"/>
      <c r="E1336" s="2421"/>
      <c r="F1336" s="2420"/>
      <c r="G1336" s="2420"/>
      <c r="H1336" s="2420"/>
      <c r="I1336" s="2426"/>
      <c r="J1336" s="2515"/>
      <c r="K1336" s="101">
        <v>61914</v>
      </c>
      <c r="L1336" s="3295"/>
      <c r="M1336" s="3287" t="s">
        <v>295</v>
      </c>
      <c r="N1336" s="3288"/>
      <c r="O1336" s="40">
        <f t="shared" si="202"/>
        <v>5159.5</v>
      </c>
      <c r="P1336" s="40">
        <f t="shared" si="202"/>
        <v>5159.5</v>
      </c>
      <c r="Q1336" s="40">
        <f t="shared" si="202"/>
        <v>5159.5</v>
      </c>
      <c r="R1336" s="40">
        <f t="shared" si="202"/>
        <v>5159.5</v>
      </c>
      <c r="S1336" s="40">
        <f t="shared" si="202"/>
        <v>5159.5</v>
      </c>
      <c r="T1336" s="40">
        <f t="shared" si="202"/>
        <v>5159.5</v>
      </c>
      <c r="U1336" s="40">
        <f t="shared" si="202"/>
        <v>5159.5</v>
      </c>
      <c r="V1336" s="40">
        <f t="shared" si="202"/>
        <v>5159.5</v>
      </c>
      <c r="W1336" s="40">
        <f t="shared" si="202"/>
        <v>5159.5</v>
      </c>
      <c r="X1336" s="40">
        <f t="shared" si="202"/>
        <v>5159.5</v>
      </c>
      <c r="Y1336" s="40">
        <f t="shared" si="202"/>
        <v>5159.5</v>
      </c>
      <c r="Z1336" s="40">
        <f t="shared" si="202"/>
        <v>5159.5</v>
      </c>
      <c r="AA1336" s="966">
        <f t="shared" si="200"/>
        <v>61914</v>
      </c>
      <c r="AB1336" s="35"/>
      <c r="AC1336" s="183"/>
    </row>
    <row r="1337" spans="1:29" ht="12.75" x14ac:dyDescent="0.2">
      <c r="A1337" s="1422"/>
      <c r="B1337" s="2522"/>
      <c r="C1337" s="3191"/>
      <c r="D1337" s="3347"/>
      <c r="E1337" s="2421"/>
      <c r="F1337" s="2420"/>
      <c r="G1337" s="2420"/>
      <c r="H1337" s="2420"/>
      <c r="I1337" s="2426"/>
      <c r="J1337" s="2515"/>
      <c r="K1337" s="101">
        <v>72626</v>
      </c>
      <c r="L1337" s="3295"/>
      <c r="M1337" s="3287" t="s">
        <v>296</v>
      </c>
      <c r="N1337" s="3288"/>
      <c r="O1337" s="40">
        <f t="shared" si="202"/>
        <v>6052.166666666667</v>
      </c>
      <c r="P1337" s="40">
        <f t="shared" si="202"/>
        <v>6052.166666666667</v>
      </c>
      <c r="Q1337" s="40">
        <f t="shared" si="202"/>
        <v>6052.166666666667</v>
      </c>
      <c r="R1337" s="40">
        <f t="shared" si="202"/>
        <v>6052.166666666667</v>
      </c>
      <c r="S1337" s="40">
        <f t="shared" si="202"/>
        <v>6052.166666666667</v>
      </c>
      <c r="T1337" s="40">
        <f t="shared" si="202"/>
        <v>6052.166666666667</v>
      </c>
      <c r="U1337" s="40">
        <f t="shared" si="202"/>
        <v>6052.166666666667</v>
      </c>
      <c r="V1337" s="40">
        <f t="shared" si="202"/>
        <v>6052.166666666667</v>
      </c>
      <c r="W1337" s="40">
        <f t="shared" si="202"/>
        <v>6052.166666666667</v>
      </c>
      <c r="X1337" s="40">
        <f t="shared" si="202"/>
        <v>6052.166666666667</v>
      </c>
      <c r="Y1337" s="40">
        <f t="shared" si="202"/>
        <v>6052.166666666667</v>
      </c>
      <c r="Z1337" s="40">
        <f t="shared" si="202"/>
        <v>6052.166666666667</v>
      </c>
      <c r="AA1337" s="1208">
        <f t="shared" si="200"/>
        <v>72626</v>
      </c>
      <c r="AB1337" s="35"/>
      <c r="AC1337" s="183"/>
    </row>
    <row r="1338" spans="1:29" ht="12.75" x14ac:dyDescent="0.2">
      <c r="A1338" s="1422"/>
      <c r="B1338" s="2522"/>
      <c r="C1338" s="3191"/>
      <c r="D1338" s="3347"/>
      <c r="E1338" s="2421"/>
      <c r="F1338" s="2420"/>
      <c r="G1338" s="2420"/>
      <c r="H1338" s="2420"/>
      <c r="I1338" s="2426"/>
      <c r="J1338" s="2515"/>
      <c r="K1338" s="101">
        <v>12888</v>
      </c>
      <c r="L1338" s="3295"/>
      <c r="M1338" s="3287" t="s">
        <v>297</v>
      </c>
      <c r="N1338" s="3288"/>
      <c r="O1338" s="40">
        <f t="shared" si="202"/>
        <v>1074</v>
      </c>
      <c r="P1338" s="40">
        <f t="shared" si="202"/>
        <v>1074</v>
      </c>
      <c r="Q1338" s="40">
        <f t="shared" si="202"/>
        <v>1074</v>
      </c>
      <c r="R1338" s="40">
        <f t="shared" si="202"/>
        <v>1074</v>
      </c>
      <c r="S1338" s="40">
        <f t="shared" si="202"/>
        <v>1074</v>
      </c>
      <c r="T1338" s="40">
        <f t="shared" si="202"/>
        <v>1074</v>
      </c>
      <c r="U1338" s="40">
        <f t="shared" si="202"/>
        <v>1074</v>
      </c>
      <c r="V1338" s="40">
        <f t="shared" si="202"/>
        <v>1074</v>
      </c>
      <c r="W1338" s="40">
        <f t="shared" si="202"/>
        <v>1074</v>
      </c>
      <c r="X1338" s="40">
        <f t="shared" si="202"/>
        <v>1074</v>
      </c>
      <c r="Y1338" s="40">
        <f t="shared" si="202"/>
        <v>1074</v>
      </c>
      <c r="Z1338" s="40">
        <f t="shared" si="202"/>
        <v>1074</v>
      </c>
      <c r="AA1338" s="1208">
        <f t="shared" si="200"/>
        <v>12888</v>
      </c>
      <c r="AB1338" s="35"/>
      <c r="AC1338" s="183"/>
    </row>
    <row r="1339" spans="1:29" x14ac:dyDescent="0.2">
      <c r="A1339" s="1422"/>
      <c r="B1339" s="2522"/>
      <c r="C1339" s="3191"/>
      <c r="D1339" s="3347"/>
      <c r="E1339" s="2421"/>
      <c r="F1339" s="2420"/>
      <c r="G1339" s="2420"/>
      <c r="H1339" s="2420"/>
      <c r="I1339" s="2426"/>
      <c r="J1339" s="2515"/>
      <c r="K1339" s="101">
        <v>6972</v>
      </c>
      <c r="L1339" s="3295"/>
      <c r="M1339" s="3287" t="s">
        <v>298</v>
      </c>
      <c r="N1339" s="3288"/>
      <c r="O1339" s="1044"/>
      <c r="P1339" s="1044"/>
      <c r="Q1339" s="1044"/>
      <c r="R1339" s="1044"/>
      <c r="S1339" s="1044"/>
      <c r="T1339" s="1044"/>
      <c r="U1339" s="40">
        <f>$K1339/2</f>
        <v>3486</v>
      </c>
      <c r="V1339" s="1044"/>
      <c r="W1339" s="1044"/>
      <c r="X1339" s="1044"/>
      <c r="Y1339" s="1044"/>
      <c r="Z1339" s="40">
        <f>$K1339/2</f>
        <v>3486</v>
      </c>
      <c r="AA1339" s="966">
        <f t="shared" si="200"/>
        <v>6972</v>
      </c>
      <c r="AB1339" s="35"/>
      <c r="AC1339" s="183"/>
    </row>
    <row r="1340" spans="1:29" x14ac:dyDescent="0.2">
      <c r="A1340" s="1422"/>
      <c r="B1340" s="2522"/>
      <c r="C1340" s="3191"/>
      <c r="D1340" s="3347"/>
      <c r="E1340" s="2421"/>
      <c r="F1340" s="2420"/>
      <c r="G1340" s="2420"/>
      <c r="H1340" s="2420"/>
      <c r="I1340" s="2426"/>
      <c r="J1340" s="2515"/>
      <c r="K1340" s="101">
        <v>4400</v>
      </c>
      <c r="L1340" s="3295"/>
      <c r="M1340" s="3287" t="s">
        <v>299</v>
      </c>
      <c r="N1340" s="3288"/>
      <c r="O1340" s="40">
        <f>$K1340</f>
        <v>4400</v>
      </c>
      <c r="P1340" s="40"/>
      <c r="Q1340" s="40"/>
      <c r="R1340" s="40"/>
      <c r="S1340" s="40"/>
      <c r="T1340" s="40"/>
      <c r="U1340" s="40"/>
      <c r="V1340" s="40"/>
      <c r="W1340" s="40"/>
      <c r="X1340" s="40"/>
      <c r="Y1340" s="40"/>
      <c r="Z1340" s="40"/>
      <c r="AA1340" s="966">
        <f t="shared" si="200"/>
        <v>4400</v>
      </c>
      <c r="AB1340" s="35"/>
      <c r="AC1340" s="183"/>
    </row>
    <row r="1341" spans="1:29" ht="12.75" x14ac:dyDescent="0.2">
      <c r="A1341" s="1422"/>
      <c r="B1341" s="2522"/>
      <c r="C1341" s="3191"/>
      <c r="D1341" s="3347"/>
      <c r="E1341" s="2421"/>
      <c r="F1341" s="2420"/>
      <c r="G1341" s="2420"/>
      <c r="H1341" s="2420"/>
      <c r="I1341" s="2426"/>
      <c r="J1341" s="2515"/>
      <c r="K1341" s="101">
        <v>25599</v>
      </c>
      <c r="L1341" s="3295"/>
      <c r="M1341" s="3287" t="s">
        <v>300</v>
      </c>
      <c r="N1341" s="3288"/>
      <c r="O1341" s="40">
        <f t="shared" ref="O1341:Z1341" si="203">$K1341/12</f>
        <v>2133.25</v>
      </c>
      <c r="P1341" s="40">
        <f t="shared" si="203"/>
        <v>2133.25</v>
      </c>
      <c r="Q1341" s="40">
        <f t="shared" si="203"/>
        <v>2133.25</v>
      </c>
      <c r="R1341" s="40">
        <f t="shared" si="203"/>
        <v>2133.25</v>
      </c>
      <c r="S1341" s="40">
        <f t="shared" si="203"/>
        <v>2133.25</v>
      </c>
      <c r="T1341" s="40">
        <f t="shared" si="203"/>
        <v>2133.25</v>
      </c>
      <c r="U1341" s="40">
        <f t="shared" si="203"/>
        <v>2133.25</v>
      </c>
      <c r="V1341" s="40">
        <f t="shared" si="203"/>
        <v>2133.25</v>
      </c>
      <c r="W1341" s="40">
        <f t="shared" si="203"/>
        <v>2133.25</v>
      </c>
      <c r="X1341" s="40">
        <f t="shared" si="203"/>
        <v>2133.25</v>
      </c>
      <c r="Y1341" s="40">
        <f t="shared" si="203"/>
        <v>2133.25</v>
      </c>
      <c r="Z1341" s="40">
        <f t="shared" si="203"/>
        <v>2133.25</v>
      </c>
      <c r="AA1341" s="1208">
        <f t="shared" si="200"/>
        <v>25599</v>
      </c>
      <c r="AB1341" s="35"/>
      <c r="AC1341" s="183"/>
    </row>
    <row r="1342" spans="1:29" ht="12.75" x14ac:dyDescent="0.2">
      <c r="A1342" s="1422"/>
      <c r="B1342" s="2522"/>
      <c r="C1342" s="3191"/>
      <c r="D1342" s="3347"/>
      <c r="E1342" s="2421"/>
      <c r="F1342" s="2420"/>
      <c r="G1342" s="2420"/>
      <c r="H1342" s="2420"/>
      <c r="I1342" s="2426"/>
      <c r="J1342" s="2515"/>
      <c r="K1342" s="101">
        <v>500</v>
      </c>
      <c r="L1342" s="3295"/>
      <c r="M1342" s="3287" t="s">
        <v>303</v>
      </c>
      <c r="N1342" s="3288"/>
      <c r="O1342" s="1044"/>
      <c r="P1342" s="1044"/>
      <c r="Q1342" s="40">
        <f>$K1342</f>
        <v>500</v>
      </c>
      <c r="R1342" s="1044"/>
      <c r="S1342" s="1044"/>
      <c r="T1342" s="1044"/>
      <c r="U1342" s="1044"/>
      <c r="V1342" s="1044"/>
      <c r="W1342" s="1044"/>
      <c r="X1342" s="1044"/>
      <c r="Y1342" s="1044"/>
      <c r="Z1342" s="1044"/>
      <c r="AA1342" s="1208">
        <f t="shared" si="200"/>
        <v>500</v>
      </c>
      <c r="AB1342" s="35"/>
      <c r="AC1342" s="183"/>
    </row>
    <row r="1343" spans="1:29" x14ac:dyDescent="0.2">
      <c r="A1343" s="1422"/>
      <c r="B1343" s="2522"/>
      <c r="C1343" s="3191"/>
      <c r="D1343" s="3347"/>
      <c r="E1343" s="2421"/>
      <c r="F1343" s="2420"/>
      <c r="G1343" s="2420"/>
      <c r="H1343" s="2420"/>
      <c r="I1343" s="2426"/>
      <c r="J1343" s="2515"/>
      <c r="K1343" s="101">
        <v>15050</v>
      </c>
      <c r="L1343" s="3295"/>
      <c r="M1343" s="3287" t="s">
        <v>393</v>
      </c>
      <c r="N1343" s="3288"/>
      <c r="O1343" s="1044"/>
      <c r="P1343" s="1044"/>
      <c r="Q1343" s="1044"/>
      <c r="R1343" s="40">
        <f>$K1343/2</f>
        <v>7525</v>
      </c>
      <c r="S1343" s="1044"/>
      <c r="T1343" s="1044"/>
      <c r="U1343" s="1044"/>
      <c r="V1343" s="40">
        <f>$K1343/2</f>
        <v>7525</v>
      </c>
      <c r="W1343" s="1044"/>
      <c r="X1343" s="1044"/>
      <c r="Y1343" s="1044"/>
      <c r="Z1343" s="1044"/>
      <c r="AA1343" s="966">
        <f t="shared" si="200"/>
        <v>15050</v>
      </c>
      <c r="AB1343" s="35"/>
      <c r="AC1343" s="183"/>
    </row>
    <row r="1344" spans="1:29" x14ac:dyDescent="0.2">
      <c r="A1344" s="1422"/>
      <c r="B1344" s="2522"/>
      <c r="C1344" s="3191"/>
      <c r="D1344" s="3347"/>
      <c r="E1344" s="2421"/>
      <c r="F1344" s="2420"/>
      <c r="G1344" s="2420"/>
      <c r="H1344" s="2420"/>
      <c r="I1344" s="2426"/>
      <c r="J1344" s="2515"/>
      <c r="K1344" s="101">
        <v>12500</v>
      </c>
      <c r="L1344" s="3295"/>
      <c r="M1344" s="3287" t="s">
        <v>343</v>
      </c>
      <c r="N1344" s="3288"/>
      <c r="O1344" s="1044"/>
      <c r="P1344" s="1044"/>
      <c r="Q1344" s="94"/>
      <c r="R1344" s="1044">
        <f>$K1344/2</f>
        <v>6250</v>
      </c>
      <c r="S1344" s="94"/>
      <c r="T1344" s="94"/>
      <c r="U1344" s="94"/>
      <c r="V1344" s="1044">
        <f>$K1344/2</f>
        <v>6250</v>
      </c>
      <c r="W1344" s="94"/>
      <c r="X1344" s="94"/>
      <c r="Y1344" s="94"/>
      <c r="Z1344" s="94"/>
      <c r="AA1344" s="966">
        <f t="shared" si="200"/>
        <v>12500</v>
      </c>
      <c r="AB1344" s="35"/>
      <c r="AC1344" s="183"/>
    </row>
    <row r="1345" spans="1:29" ht="12.75" x14ac:dyDescent="0.2">
      <c r="A1345" s="1422"/>
      <c r="B1345" s="2522"/>
      <c r="C1345" s="3191"/>
      <c r="D1345" s="3347"/>
      <c r="E1345" s="2421"/>
      <c r="F1345" s="2420"/>
      <c r="G1345" s="2420"/>
      <c r="H1345" s="2420"/>
      <c r="I1345" s="2426"/>
      <c r="J1345" s="2515"/>
      <c r="K1345" s="101">
        <v>1500</v>
      </c>
      <c r="L1345" s="3295"/>
      <c r="M1345" s="3287" t="s">
        <v>307</v>
      </c>
      <c r="N1345" s="3288"/>
      <c r="O1345" s="1044"/>
      <c r="P1345" s="94">
        <f>$K1345/11</f>
        <v>136.36363636363637</v>
      </c>
      <c r="Q1345" s="94">
        <f t="shared" ref="Q1345:Z1345" si="204">$K1345/11</f>
        <v>136.36363636363637</v>
      </c>
      <c r="R1345" s="94">
        <f t="shared" si="204"/>
        <v>136.36363636363637</v>
      </c>
      <c r="S1345" s="94">
        <f t="shared" si="204"/>
        <v>136.36363636363637</v>
      </c>
      <c r="T1345" s="94">
        <f t="shared" si="204"/>
        <v>136.36363636363637</v>
      </c>
      <c r="U1345" s="94">
        <f t="shared" si="204"/>
        <v>136.36363636363637</v>
      </c>
      <c r="V1345" s="94">
        <f t="shared" si="204"/>
        <v>136.36363636363637</v>
      </c>
      <c r="W1345" s="94">
        <f t="shared" si="204"/>
        <v>136.36363636363637</v>
      </c>
      <c r="X1345" s="94">
        <f t="shared" si="204"/>
        <v>136.36363636363637</v>
      </c>
      <c r="Y1345" s="94">
        <f t="shared" si="204"/>
        <v>136.36363636363637</v>
      </c>
      <c r="Z1345" s="94">
        <f t="shared" si="204"/>
        <v>136.36363636363637</v>
      </c>
      <c r="AA1345" s="1208">
        <f t="shared" si="200"/>
        <v>1500.0000000000005</v>
      </c>
      <c r="AB1345" s="35"/>
      <c r="AC1345" s="183"/>
    </row>
    <row r="1346" spans="1:29" ht="12.75" x14ac:dyDescent="0.2">
      <c r="A1346" s="1422"/>
      <c r="B1346" s="2522"/>
      <c r="C1346" s="3191"/>
      <c r="D1346" s="3347"/>
      <c r="E1346" s="2421"/>
      <c r="F1346" s="2420"/>
      <c r="G1346" s="2420"/>
      <c r="H1346" s="2420"/>
      <c r="I1346" s="2426"/>
      <c r="J1346" s="2515"/>
      <c r="K1346" s="101">
        <v>3100</v>
      </c>
      <c r="L1346" s="3295"/>
      <c r="M1346" s="3287" t="s">
        <v>310</v>
      </c>
      <c r="N1346" s="3288"/>
      <c r="O1346" s="40">
        <f t="shared" ref="O1346:Z1347" si="205">$K1346/12</f>
        <v>258.33333333333331</v>
      </c>
      <c r="P1346" s="40">
        <f t="shared" si="205"/>
        <v>258.33333333333331</v>
      </c>
      <c r="Q1346" s="40">
        <f t="shared" si="205"/>
        <v>258.33333333333331</v>
      </c>
      <c r="R1346" s="40">
        <f t="shared" si="205"/>
        <v>258.33333333333331</v>
      </c>
      <c r="S1346" s="40">
        <f t="shared" si="205"/>
        <v>258.33333333333331</v>
      </c>
      <c r="T1346" s="40">
        <f t="shared" si="205"/>
        <v>258.33333333333331</v>
      </c>
      <c r="U1346" s="40">
        <f t="shared" si="205"/>
        <v>258.33333333333331</v>
      </c>
      <c r="V1346" s="40">
        <f t="shared" si="205"/>
        <v>258.33333333333331</v>
      </c>
      <c r="W1346" s="40">
        <f t="shared" si="205"/>
        <v>258.33333333333331</v>
      </c>
      <c r="X1346" s="40">
        <f t="shared" si="205"/>
        <v>258.33333333333331</v>
      </c>
      <c r="Y1346" s="40">
        <f t="shared" si="205"/>
        <v>258.33333333333331</v>
      </c>
      <c r="Z1346" s="40">
        <f t="shared" si="205"/>
        <v>258.33333333333331</v>
      </c>
      <c r="AA1346" s="1208">
        <f t="shared" si="200"/>
        <v>3100.0000000000005</v>
      </c>
      <c r="AB1346" s="35"/>
      <c r="AC1346" s="183"/>
    </row>
    <row r="1347" spans="1:29" x14ac:dyDescent="0.2">
      <c r="A1347" s="1422"/>
      <c r="B1347" s="2522"/>
      <c r="C1347" s="2439"/>
      <c r="D1347" s="3347"/>
      <c r="E1347" s="2421"/>
      <c r="F1347" s="2420"/>
      <c r="G1347" s="2420"/>
      <c r="H1347" s="2420"/>
      <c r="I1347" s="2426"/>
      <c r="J1347" s="2516"/>
      <c r="K1347" s="101">
        <v>99</v>
      </c>
      <c r="L1347" s="3296"/>
      <c r="M1347" s="3287" t="s">
        <v>311</v>
      </c>
      <c r="N1347" s="3288"/>
      <c r="O1347" s="40">
        <f t="shared" si="205"/>
        <v>8.25</v>
      </c>
      <c r="P1347" s="40">
        <f t="shared" si="205"/>
        <v>8.25</v>
      </c>
      <c r="Q1347" s="40">
        <f t="shared" si="205"/>
        <v>8.25</v>
      </c>
      <c r="R1347" s="40">
        <f t="shared" si="205"/>
        <v>8.25</v>
      </c>
      <c r="S1347" s="40">
        <f t="shared" si="205"/>
        <v>8.25</v>
      </c>
      <c r="T1347" s="40">
        <f t="shared" si="205"/>
        <v>8.25</v>
      </c>
      <c r="U1347" s="40">
        <f t="shared" si="205"/>
        <v>8.25</v>
      </c>
      <c r="V1347" s="40">
        <f t="shared" si="205"/>
        <v>8.25</v>
      </c>
      <c r="W1347" s="40">
        <f t="shared" si="205"/>
        <v>8.25</v>
      </c>
      <c r="X1347" s="40">
        <f t="shared" si="205"/>
        <v>8.25</v>
      </c>
      <c r="Y1347" s="40">
        <f t="shared" si="205"/>
        <v>8.25</v>
      </c>
      <c r="Z1347" s="40">
        <f t="shared" si="205"/>
        <v>8.25</v>
      </c>
      <c r="AA1347" s="966">
        <f t="shared" si="200"/>
        <v>99</v>
      </c>
      <c r="AB1347" s="35"/>
      <c r="AC1347" s="183"/>
    </row>
    <row r="1348" spans="1:29" x14ac:dyDescent="0.2">
      <c r="A1348" s="1422"/>
      <c r="B1348" s="1433" t="s">
        <v>278</v>
      </c>
      <c r="C1348" s="1119"/>
      <c r="D1348" s="1119">
        <v>3000672</v>
      </c>
      <c r="E1348" s="192" t="s">
        <v>583</v>
      </c>
      <c r="F1348" s="35"/>
      <c r="G1348" s="35"/>
      <c r="H1348" s="35"/>
      <c r="I1348" s="35"/>
      <c r="J1348" s="35"/>
      <c r="K1348" s="60"/>
      <c r="L1348" s="60"/>
      <c r="M1348" s="60"/>
      <c r="N1348" s="60"/>
      <c r="O1348" s="60"/>
      <c r="P1348" s="60"/>
      <c r="Q1348" s="60"/>
      <c r="R1348" s="60"/>
      <c r="S1348" s="60"/>
      <c r="T1348" s="3235" t="s">
        <v>15</v>
      </c>
      <c r="U1348" s="3235"/>
      <c r="V1348" s="3235"/>
      <c r="W1348" s="3235"/>
      <c r="X1348" s="3235"/>
      <c r="Y1348" s="3235"/>
      <c r="Z1348" s="3023" t="s">
        <v>16</v>
      </c>
      <c r="AA1348" s="3338"/>
      <c r="AB1348" s="35"/>
      <c r="AC1348" s="183"/>
    </row>
    <row r="1349" spans="1:29" x14ac:dyDescent="0.2">
      <c r="A1349" s="1422"/>
      <c r="B1349" s="1433"/>
      <c r="C1349" s="1119"/>
      <c r="D1349" s="1119"/>
      <c r="E1349" s="192"/>
      <c r="F1349" s="35"/>
      <c r="G1349" s="35"/>
      <c r="H1349" s="35"/>
      <c r="I1349" s="35"/>
      <c r="J1349" s="35"/>
      <c r="K1349" s="60"/>
      <c r="L1349" s="60"/>
      <c r="M1349" s="60"/>
      <c r="N1349" s="60"/>
      <c r="O1349" s="60"/>
      <c r="P1349" s="60"/>
      <c r="Q1349" s="60"/>
      <c r="R1349" s="60"/>
      <c r="S1349" s="60"/>
      <c r="T1349" s="3233" t="s">
        <v>584</v>
      </c>
      <c r="U1349" s="3233"/>
      <c r="V1349" s="3233"/>
      <c r="W1349" s="3233"/>
      <c r="X1349" s="3233"/>
      <c r="Y1349" s="3233"/>
      <c r="Z1349" s="3019" t="s">
        <v>579</v>
      </c>
      <c r="AA1349" s="3020"/>
      <c r="AB1349" s="35"/>
      <c r="AC1349" s="183"/>
    </row>
    <row r="1350" spans="1:29" x14ac:dyDescent="0.2">
      <c r="A1350" s="1422"/>
      <c r="B1350" s="2999" t="s">
        <v>278</v>
      </c>
      <c r="C1350" s="3015" t="s">
        <v>563</v>
      </c>
      <c r="D1350" s="2847" t="s">
        <v>22</v>
      </c>
      <c r="E1350" s="2847" t="s">
        <v>23</v>
      </c>
      <c r="F1350" s="2847" t="s">
        <v>24</v>
      </c>
      <c r="G1350" s="2847" t="s">
        <v>25</v>
      </c>
      <c r="H1350" s="2847" t="s">
        <v>26</v>
      </c>
      <c r="I1350" s="2847" t="s">
        <v>27</v>
      </c>
      <c r="J1350" s="2847" t="s">
        <v>28</v>
      </c>
      <c r="K1350" s="2847"/>
      <c r="L1350" s="2988" t="s">
        <v>279</v>
      </c>
      <c r="M1350" s="3273" t="s">
        <v>280</v>
      </c>
      <c r="N1350" s="3274"/>
      <c r="O1350" s="2847" t="s">
        <v>281</v>
      </c>
      <c r="P1350" s="2847"/>
      <c r="Q1350" s="2847"/>
      <c r="R1350" s="2847"/>
      <c r="S1350" s="2847"/>
      <c r="T1350" s="2847"/>
      <c r="U1350" s="2847"/>
      <c r="V1350" s="2847"/>
      <c r="W1350" s="2847"/>
      <c r="X1350" s="2847"/>
      <c r="Y1350" s="2847"/>
      <c r="Z1350" s="2847"/>
      <c r="AA1350" s="2847" t="s">
        <v>32</v>
      </c>
      <c r="AB1350" s="35"/>
      <c r="AC1350" s="183"/>
    </row>
    <row r="1351" spans="1:29" x14ac:dyDescent="0.2">
      <c r="A1351" s="1422"/>
      <c r="B1351" s="2999"/>
      <c r="C1351" s="3359"/>
      <c r="D1351" s="2847"/>
      <c r="E1351" s="2847"/>
      <c r="F1351" s="2847"/>
      <c r="G1351" s="2847"/>
      <c r="H1351" s="2847"/>
      <c r="I1351" s="2847"/>
      <c r="J1351" s="2847" t="s">
        <v>33</v>
      </c>
      <c r="K1351" s="2847" t="s">
        <v>282</v>
      </c>
      <c r="L1351" s="3186"/>
      <c r="M1351" s="3275"/>
      <c r="N1351" s="3276"/>
      <c r="O1351" s="1017" t="s">
        <v>283</v>
      </c>
      <c r="P1351" s="1017" t="s">
        <v>284</v>
      </c>
      <c r="Q1351" s="1017" t="s">
        <v>285</v>
      </c>
      <c r="R1351" s="1017" t="s">
        <v>88</v>
      </c>
      <c r="S1351" s="1017" t="s">
        <v>89</v>
      </c>
      <c r="T1351" s="1017" t="s">
        <v>90</v>
      </c>
      <c r="U1351" s="1017" t="s">
        <v>91</v>
      </c>
      <c r="V1351" s="1017" t="s">
        <v>92</v>
      </c>
      <c r="W1351" s="1017" t="s">
        <v>286</v>
      </c>
      <c r="X1351" s="1017" t="s">
        <v>93</v>
      </c>
      <c r="Y1351" s="1017" t="s">
        <v>94</v>
      </c>
      <c r="Z1351" s="1017" t="s">
        <v>95</v>
      </c>
      <c r="AA1351" s="2847"/>
      <c r="AB1351" s="35"/>
      <c r="AC1351" s="183"/>
    </row>
    <row r="1352" spans="1:29" ht="12.75" x14ac:dyDescent="0.2">
      <c r="A1352" s="1422"/>
      <c r="B1352" s="2999"/>
      <c r="C1352" s="3359"/>
      <c r="D1352" s="2847"/>
      <c r="E1352" s="2847"/>
      <c r="F1352" s="2847"/>
      <c r="G1352" s="2847"/>
      <c r="H1352" s="2847"/>
      <c r="I1352" s="2847"/>
      <c r="J1352" s="2847"/>
      <c r="K1352" s="2847"/>
      <c r="L1352" s="3186"/>
      <c r="M1352" s="3271" t="s">
        <v>287</v>
      </c>
      <c r="N1352" s="3272"/>
      <c r="O1352" s="1095">
        <v>21</v>
      </c>
      <c r="P1352" s="1095">
        <v>21</v>
      </c>
      <c r="Q1352" s="1095">
        <v>21</v>
      </c>
      <c r="R1352" s="1095">
        <v>21</v>
      </c>
      <c r="S1352" s="1095">
        <v>21</v>
      </c>
      <c r="T1352" s="1095">
        <v>21</v>
      </c>
      <c r="U1352" s="1095">
        <v>21</v>
      </c>
      <c r="V1352" s="1095">
        <v>21</v>
      </c>
      <c r="W1352" s="1095">
        <v>21</v>
      </c>
      <c r="X1352" s="1095">
        <v>21</v>
      </c>
      <c r="Y1352" s="1095">
        <v>21</v>
      </c>
      <c r="Z1352" s="1095">
        <v>21</v>
      </c>
      <c r="AA1352" s="1205">
        <f t="shared" ref="AA1352:AA1367" si="206">SUM(O1352:Z1352)</f>
        <v>252</v>
      </c>
      <c r="AB1352" s="35"/>
      <c r="AC1352" s="183"/>
    </row>
    <row r="1353" spans="1:29" ht="12.75" x14ac:dyDescent="0.2">
      <c r="A1353" s="1422"/>
      <c r="B1353" s="2999"/>
      <c r="C1353" s="3016"/>
      <c r="D1353" s="2847"/>
      <c r="E1353" s="2847"/>
      <c r="F1353" s="2847"/>
      <c r="G1353" s="2847"/>
      <c r="H1353" s="2847"/>
      <c r="I1353" s="2847"/>
      <c r="J1353" s="2847"/>
      <c r="K1353" s="2847"/>
      <c r="L1353" s="2989"/>
      <c r="M1353" s="3271" t="s">
        <v>34</v>
      </c>
      <c r="N1353" s="3272"/>
      <c r="O1353" s="36">
        <f>SUM(O1354:O1367)</f>
        <v>68338.333333333328</v>
      </c>
      <c r="P1353" s="36">
        <f t="shared" ref="P1353:Y1353" si="207">SUM(P1354:P1367)</f>
        <v>57862.606060606056</v>
      </c>
      <c r="Q1353" s="36">
        <f t="shared" si="207"/>
        <v>57862.606060606056</v>
      </c>
      <c r="R1353" s="36">
        <f t="shared" si="207"/>
        <v>70296.606060606049</v>
      </c>
      <c r="S1353" s="36">
        <f t="shared" si="207"/>
        <v>57862.606060606056</v>
      </c>
      <c r="T1353" s="36">
        <f t="shared" si="207"/>
        <v>57862.606060606056</v>
      </c>
      <c r="U1353" s="36">
        <f t="shared" si="207"/>
        <v>64720.606060606056</v>
      </c>
      <c r="V1353" s="36">
        <f t="shared" si="207"/>
        <v>70296.606060606049</v>
      </c>
      <c r="W1353" s="36">
        <f t="shared" si="207"/>
        <v>57862.606060606056</v>
      </c>
      <c r="X1353" s="36">
        <f t="shared" si="207"/>
        <v>57862.606060606056</v>
      </c>
      <c r="Y1353" s="36">
        <f t="shared" si="207"/>
        <v>57862.606060606056</v>
      </c>
      <c r="Z1353" s="36">
        <f>SUM(Z1354:Z1367)</f>
        <v>64720.606060606056</v>
      </c>
      <c r="AA1353" s="1205">
        <f t="shared" si="206"/>
        <v>743411.00000000012</v>
      </c>
      <c r="AB1353" s="35"/>
      <c r="AC1353" s="183"/>
    </row>
    <row r="1354" spans="1:29" ht="11.25" customHeight="1" x14ac:dyDescent="0.2">
      <c r="A1354" s="1422"/>
      <c r="B1354" s="2522">
        <v>5005161</v>
      </c>
      <c r="C1354" s="3190" t="s">
        <v>3075</v>
      </c>
      <c r="D1354" s="2421">
        <v>46</v>
      </c>
      <c r="E1354" s="2421" t="s">
        <v>407</v>
      </c>
      <c r="F1354" s="2420" t="s">
        <v>386</v>
      </c>
      <c r="G1354" s="2420" t="s">
        <v>387</v>
      </c>
      <c r="H1354" s="2420"/>
      <c r="I1354" s="2420" t="s">
        <v>573</v>
      </c>
      <c r="J1354" s="2514">
        <v>252</v>
      </c>
      <c r="K1354" s="101">
        <v>399122</v>
      </c>
      <c r="L1354" s="3294" t="s">
        <v>565</v>
      </c>
      <c r="M1354" s="3287" t="s">
        <v>293</v>
      </c>
      <c r="N1354" s="3288"/>
      <c r="O1354" s="40">
        <f t="shared" ref="O1354:Z1358" si="208">$K1354/12</f>
        <v>33260.166666666664</v>
      </c>
      <c r="P1354" s="40">
        <f t="shared" si="208"/>
        <v>33260.166666666664</v>
      </c>
      <c r="Q1354" s="40">
        <f t="shared" si="208"/>
        <v>33260.166666666664</v>
      </c>
      <c r="R1354" s="40">
        <f t="shared" si="208"/>
        <v>33260.166666666664</v>
      </c>
      <c r="S1354" s="40">
        <f t="shared" si="208"/>
        <v>33260.166666666664</v>
      </c>
      <c r="T1354" s="40">
        <f t="shared" si="208"/>
        <v>33260.166666666664</v>
      </c>
      <c r="U1354" s="40">
        <f t="shared" si="208"/>
        <v>33260.166666666664</v>
      </c>
      <c r="V1354" s="40">
        <f t="shared" si="208"/>
        <v>33260.166666666664</v>
      </c>
      <c r="W1354" s="40">
        <f t="shared" si="208"/>
        <v>33260.166666666664</v>
      </c>
      <c r="X1354" s="40">
        <f t="shared" si="208"/>
        <v>33260.166666666664</v>
      </c>
      <c r="Y1354" s="40">
        <f t="shared" si="208"/>
        <v>33260.166666666664</v>
      </c>
      <c r="Z1354" s="40">
        <f t="shared" si="208"/>
        <v>33260.166666666664</v>
      </c>
      <c r="AA1354" s="966">
        <f>SUM(O1354:Z1354)</f>
        <v>399122.00000000006</v>
      </c>
      <c r="AB1354" s="35"/>
      <c r="AC1354" s="183"/>
    </row>
    <row r="1355" spans="1:29" x14ac:dyDescent="0.2">
      <c r="A1355" s="1422"/>
      <c r="B1355" s="2522"/>
      <c r="C1355" s="3191"/>
      <c r="D1355" s="2421"/>
      <c r="E1355" s="2421"/>
      <c r="F1355" s="2420"/>
      <c r="G1355" s="2420"/>
      <c r="H1355" s="2420"/>
      <c r="I1355" s="2420"/>
      <c r="J1355" s="2515"/>
      <c r="K1355" s="101">
        <v>122480</v>
      </c>
      <c r="L1355" s="3295"/>
      <c r="M1355" s="3287" t="s">
        <v>295</v>
      </c>
      <c r="N1355" s="3288"/>
      <c r="O1355" s="40">
        <f t="shared" si="208"/>
        <v>10206.666666666666</v>
      </c>
      <c r="P1355" s="40">
        <f t="shared" si="208"/>
        <v>10206.666666666666</v>
      </c>
      <c r="Q1355" s="40">
        <f t="shared" si="208"/>
        <v>10206.666666666666</v>
      </c>
      <c r="R1355" s="40">
        <f t="shared" si="208"/>
        <v>10206.666666666666</v>
      </c>
      <c r="S1355" s="40">
        <f t="shared" si="208"/>
        <v>10206.666666666666</v>
      </c>
      <c r="T1355" s="40">
        <f t="shared" si="208"/>
        <v>10206.666666666666</v>
      </c>
      <c r="U1355" s="40">
        <f t="shared" si="208"/>
        <v>10206.666666666666</v>
      </c>
      <c r="V1355" s="40">
        <f t="shared" si="208"/>
        <v>10206.666666666666</v>
      </c>
      <c r="W1355" s="40">
        <f t="shared" si="208"/>
        <v>10206.666666666666</v>
      </c>
      <c r="X1355" s="40">
        <f t="shared" si="208"/>
        <v>10206.666666666666</v>
      </c>
      <c r="Y1355" s="40">
        <f t="shared" si="208"/>
        <v>10206.666666666666</v>
      </c>
      <c r="Z1355" s="40">
        <f t="shared" si="208"/>
        <v>10206.666666666666</v>
      </c>
      <c r="AA1355" s="966">
        <f t="shared" si="206"/>
        <v>122480.00000000001</v>
      </c>
      <c r="AB1355" s="35"/>
      <c r="AC1355" s="183"/>
    </row>
    <row r="1356" spans="1:29" ht="12.75" x14ac:dyDescent="0.2">
      <c r="A1356" s="1422"/>
      <c r="B1356" s="2522"/>
      <c r="C1356" s="3191"/>
      <c r="D1356" s="2421"/>
      <c r="E1356" s="2421"/>
      <c r="F1356" s="2420"/>
      <c r="G1356" s="2420"/>
      <c r="H1356" s="2420"/>
      <c r="I1356" s="2420"/>
      <c r="J1356" s="2515"/>
      <c r="K1356" s="101">
        <v>10000</v>
      </c>
      <c r="L1356" s="3295"/>
      <c r="M1356" s="3287" t="s">
        <v>332</v>
      </c>
      <c r="N1356" s="3288"/>
      <c r="O1356" s="40">
        <f t="shared" si="208"/>
        <v>833.33333333333337</v>
      </c>
      <c r="P1356" s="40">
        <f t="shared" si="208"/>
        <v>833.33333333333337</v>
      </c>
      <c r="Q1356" s="40">
        <f t="shared" si="208"/>
        <v>833.33333333333337</v>
      </c>
      <c r="R1356" s="40">
        <f t="shared" si="208"/>
        <v>833.33333333333337</v>
      </c>
      <c r="S1356" s="40">
        <f t="shared" si="208"/>
        <v>833.33333333333337</v>
      </c>
      <c r="T1356" s="40">
        <f t="shared" si="208"/>
        <v>833.33333333333337</v>
      </c>
      <c r="U1356" s="40">
        <f t="shared" si="208"/>
        <v>833.33333333333337</v>
      </c>
      <c r="V1356" s="40">
        <f t="shared" si="208"/>
        <v>833.33333333333337</v>
      </c>
      <c r="W1356" s="40">
        <f t="shared" si="208"/>
        <v>833.33333333333337</v>
      </c>
      <c r="X1356" s="40">
        <f t="shared" si="208"/>
        <v>833.33333333333337</v>
      </c>
      <c r="Y1356" s="40">
        <f t="shared" si="208"/>
        <v>833.33333333333337</v>
      </c>
      <c r="Z1356" s="40">
        <f t="shared" si="208"/>
        <v>833.33333333333337</v>
      </c>
      <c r="AA1356" s="1208">
        <f t="shared" si="206"/>
        <v>10000</v>
      </c>
      <c r="AB1356" s="35"/>
      <c r="AC1356" s="183"/>
    </row>
    <row r="1357" spans="1:29" ht="12.75" x14ac:dyDescent="0.2">
      <c r="A1357" s="1422"/>
      <c r="B1357" s="2522"/>
      <c r="C1357" s="3191"/>
      <c r="D1357" s="2421"/>
      <c r="E1357" s="2421"/>
      <c r="F1357" s="2420"/>
      <c r="G1357" s="2420"/>
      <c r="H1357" s="2420"/>
      <c r="I1357" s="2420"/>
      <c r="J1357" s="2515"/>
      <c r="K1357" s="101">
        <v>113903</v>
      </c>
      <c r="L1357" s="3295"/>
      <c r="M1357" s="3287" t="s">
        <v>296</v>
      </c>
      <c r="N1357" s="3288"/>
      <c r="O1357" s="40">
        <f t="shared" si="208"/>
        <v>9491.9166666666661</v>
      </c>
      <c r="P1357" s="40">
        <f t="shared" si="208"/>
        <v>9491.9166666666661</v>
      </c>
      <c r="Q1357" s="40">
        <f t="shared" si="208"/>
        <v>9491.9166666666661</v>
      </c>
      <c r="R1357" s="40">
        <f t="shared" si="208"/>
        <v>9491.9166666666661</v>
      </c>
      <c r="S1357" s="40">
        <f t="shared" si="208"/>
        <v>9491.9166666666661</v>
      </c>
      <c r="T1357" s="40">
        <f t="shared" si="208"/>
        <v>9491.9166666666661</v>
      </c>
      <c r="U1357" s="40">
        <f t="shared" si="208"/>
        <v>9491.9166666666661</v>
      </c>
      <c r="V1357" s="40">
        <f t="shared" si="208"/>
        <v>9491.9166666666661</v>
      </c>
      <c r="W1357" s="40">
        <f t="shared" si="208"/>
        <v>9491.9166666666661</v>
      </c>
      <c r="X1357" s="40">
        <f t="shared" si="208"/>
        <v>9491.9166666666661</v>
      </c>
      <c r="Y1357" s="40">
        <f t="shared" si="208"/>
        <v>9491.9166666666661</v>
      </c>
      <c r="Z1357" s="40">
        <f t="shared" si="208"/>
        <v>9491.9166666666661</v>
      </c>
      <c r="AA1357" s="1208">
        <f t="shared" si="206"/>
        <v>113903.00000000001</v>
      </c>
      <c r="AB1357" s="35"/>
      <c r="AC1357" s="183"/>
    </row>
    <row r="1358" spans="1:29" x14ac:dyDescent="0.2">
      <c r="A1358" s="1422"/>
      <c r="B1358" s="2522"/>
      <c r="C1358" s="3191"/>
      <c r="D1358" s="2421"/>
      <c r="E1358" s="2421"/>
      <c r="F1358" s="2420"/>
      <c r="G1358" s="2420"/>
      <c r="H1358" s="2420"/>
      <c r="I1358" s="2420"/>
      <c r="J1358" s="2515"/>
      <c r="K1358" s="101">
        <v>6696</v>
      </c>
      <c r="L1358" s="3295"/>
      <c r="M1358" s="3287" t="s">
        <v>297</v>
      </c>
      <c r="N1358" s="3288"/>
      <c r="O1358" s="40">
        <f t="shared" si="208"/>
        <v>558</v>
      </c>
      <c r="P1358" s="40">
        <f t="shared" si="208"/>
        <v>558</v>
      </c>
      <c r="Q1358" s="40">
        <f t="shared" si="208"/>
        <v>558</v>
      </c>
      <c r="R1358" s="40">
        <f t="shared" si="208"/>
        <v>558</v>
      </c>
      <c r="S1358" s="40">
        <f t="shared" si="208"/>
        <v>558</v>
      </c>
      <c r="T1358" s="40">
        <f t="shared" si="208"/>
        <v>558</v>
      </c>
      <c r="U1358" s="40">
        <f t="shared" si="208"/>
        <v>558</v>
      </c>
      <c r="V1358" s="40">
        <f t="shared" si="208"/>
        <v>558</v>
      </c>
      <c r="W1358" s="40">
        <f t="shared" si="208"/>
        <v>558</v>
      </c>
      <c r="X1358" s="40">
        <f t="shared" si="208"/>
        <v>558</v>
      </c>
      <c r="Y1358" s="40">
        <f t="shared" si="208"/>
        <v>558</v>
      </c>
      <c r="Z1358" s="40">
        <f t="shared" si="208"/>
        <v>558</v>
      </c>
      <c r="AA1358" s="966">
        <f t="shared" si="206"/>
        <v>6696</v>
      </c>
      <c r="AB1358" s="35"/>
      <c r="AC1358" s="183"/>
    </row>
    <row r="1359" spans="1:29" x14ac:dyDescent="0.2">
      <c r="A1359" s="1422"/>
      <c r="B1359" s="2522"/>
      <c r="C1359" s="3191"/>
      <c r="D1359" s="2421"/>
      <c r="E1359" s="2421"/>
      <c r="F1359" s="2420"/>
      <c r="G1359" s="2420"/>
      <c r="H1359" s="2420"/>
      <c r="I1359" s="2420"/>
      <c r="J1359" s="2515"/>
      <c r="K1359" s="101">
        <v>13716</v>
      </c>
      <c r="L1359" s="3295"/>
      <c r="M1359" s="3287" t="s">
        <v>298</v>
      </c>
      <c r="N1359" s="3288"/>
      <c r="O1359" s="1044"/>
      <c r="P1359" s="1044"/>
      <c r="Q1359" s="1044"/>
      <c r="R1359" s="1044"/>
      <c r="S1359" s="1044"/>
      <c r="T1359" s="1044"/>
      <c r="U1359" s="40">
        <f>$K1359/2</f>
        <v>6858</v>
      </c>
      <c r="V1359" s="1044"/>
      <c r="W1359" s="1044"/>
      <c r="X1359" s="1044"/>
      <c r="Y1359" s="1044"/>
      <c r="Z1359" s="40">
        <f>$K1359/2</f>
        <v>6858</v>
      </c>
      <c r="AA1359" s="966">
        <f t="shared" si="206"/>
        <v>13716</v>
      </c>
      <c r="AB1359" s="35"/>
      <c r="AC1359" s="183"/>
    </row>
    <row r="1360" spans="1:29" ht="12.75" x14ac:dyDescent="0.2">
      <c r="A1360" s="1422"/>
      <c r="B1360" s="2522"/>
      <c r="C1360" s="3191"/>
      <c r="D1360" s="2421"/>
      <c r="E1360" s="2421"/>
      <c r="F1360" s="2420"/>
      <c r="G1360" s="2420"/>
      <c r="H1360" s="2420"/>
      <c r="I1360" s="2420"/>
      <c r="J1360" s="2515"/>
      <c r="K1360" s="101">
        <v>10500</v>
      </c>
      <c r="L1360" s="3295"/>
      <c r="M1360" s="3287" t="s">
        <v>299</v>
      </c>
      <c r="N1360" s="3288"/>
      <c r="O1360" s="40">
        <f>$K1360</f>
        <v>10500</v>
      </c>
      <c r="P1360" s="40"/>
      <c r="Q1360" s="40"/>
      <c r="R1360" s="40"/>
      <c r="S1360" s="40"/>
      <c r="T1360" s="40"/>
      <c r="U1360" s="40"/>
      <c r="V1360" s="40"/>
      <c r="W1360" s="40"/>
      <c r="X1360" s="40"/>
      <c r="Y1360" s="40"/>
      <c r="Z1360" s="40"/>
      <c r="AA1360" s="1208">
        <f t="shared" si="206"/>
        <v>10500</v>
      </c>
      <c r="AB1360" s="35"/>
      <c r="AC1360" s="183"/>
    </row>
    <row r="1361" spans="1:29" ht="12.75" x14ac:dyDescent="0.2">
      <c r="A1361" s="1422"/>
      <c r="B1361" s="2522"/>
      <c r="C1361" s="3191"/>
      <c r="D1361" s="2421"/>
      <c r="E1361" s="2421"/>
      <c r="F1361" s="2420"/>
      <c r="G1361" s="2420"/>
      <c r="H1361" s="2420"/>
      <c r="I1361" s="2420"/>
      <c r="J1361" s="2515"/>
      <c r="K1361" s="101">
        <v>30123</v>
      </c>
      <c r="L1361" s="3295"/>
      <c r="M1361" s="3287" t="s">
        <v>300</v>
      </c>
      <c r="N1361" s="3288"/>
      <c r="O1361" s="40">
        <f t="shared" ref="O1361:Z1362" si="209">$K1361/12</f>
        <v>2510.25</v>
      </c>
      <c r="P1361" s="40">
        <f t="shared" si="209"/>
        <v>2510.25</v>
      </c>
      <c r="Q1361" s="40">
        <f t="shared" si="209"/>
        <v>2510.25</v>
      </c>
      <c r="R1361" s="40">
        <f t="shared" si="209"/>
        <v>2510.25</v>
      </c>
      <c r="S1361" s="40">
        <f t="shared" si="209"/>
        <v>2510.25</v>
      </c>
      <c r="T1361" s="40">
        <f t="shared" si="209"/>
        <v>2510.25</v>
      </c>
      <c r="U1361" s="40">
        <f t="shared" si="209"/>
        <v>2510.25</v>
      </c>
      <c r="V1361" s="40">
        <f t="shared" si="209"/>
        <v>2510.25</v>
      </c>
      <c r="W1361" s="40">
        <f t="shared" si="209"/>
        <v>2510.25</v>
      </c>
      <c r="X1361" s="40">
        <f t="shared" si="209"/>
        <v>2510.25</v>
      </c>
      <c r="Y1361" s="40">
        <f t="shared" si="209"/>
        <v>2510.25</v>
      </c>
      <c r="Z1361" s="40">
        <f t="shared" si="209"/>
        <v>2510.25</v>
      </c>
      <c r="AA1361" s="1208">
        <f t="shared" si="206"/>
        <v>30123</v>
      </c>
      <c r="AB1361" s="35"/>
      <c r="AC1361" s="183"/>
    </row>
    <row r="1362" spans="1:29" x14ac:dyDescent="0.2">
      <c r="A1362" s="1422"/>
      <c r="B1362" s="2522"/>
      <c r="C1362" s="3191"/>
      <c r="D1362" s="2421"/>
      <c r="E1362" s="2421"/>
      <c r="F1362" s="2420"/>
      <c r="G1362" s="2420"/>
      <c r="H1362" s="2420"/>
      <c r="I1362" s="2420"/>
      <c r="J1362" s="2515"/>
      <c r="K1362" s="101">
        <v>541</v>
      </c>
      <c r="L1362" s="3295"/>
      <c r="M1362" s="3287" t="s">
        <v>301</v>
      </c>
      <c r="N1362" s="3288"/>
      <c r="O1362" s="40">
        <f t="shared" si="209"/>
        <v>45.083333333333336</v>
      </c>
      <c r="P1362" s="40">
        <f t="shared" si="209"/>
        <v>45.083333333333336</v>
      </c>
      <c r="Q1362" s="40">
        <f t="shared" si="209"/>
        <v>45.083333333333336</v>
      </c>
      <c r="R1362" s="40">
        <f t="shared" si="209"/>
        <v>45.083333333333336</v>
      </c>
      <c r="S1362" s="40">
        <f t="shared" si="209"/>
        <v>45.083333333333336</v>
      </c>
      <c r="T1362" s="40">
        <f t="shared" si="209"/>
        <v>45.083333333333336</v>
      </c>
      <c r="U1362" s="40">
        <f t="shared" si="209"/>
        <v>45.083333333333336</v>
      </c>
      <c r="V1362" s="40">
        <f t="shared" si="209"/>
        <v>45.083333333333336</v>
      </c>
      <c r="W1362" s="40">
        <f t="shared" si="209"/>
        <v>45.083333333333336</v>
      </c>
      <c r="X1362" s="40">
        <f t="shared" si="209"/>
        <v>45.083333333333336</v>
      </c>
      <c r="Y1362" s="40">
        <f t="shared" si="209"/>
        <v>45.083333333333336</v>
      </c>
      <c r="Z1362" s="40">
        <f t="shared" si="209"/>
        <v>45.083333333333336</v>
      </c>
      <c r="AA1362" s="966">
        <f t="shared" si="206"/>
        <v>540.99999999999989</v>
      </c>
      <c r="AB1362" s="35"/>
      <c r="AC1362" s="183"/>
    </row>
    <row r="1363" spans="1:29" x14ac:dyDescent="0.2">
      <c r="A1363" s="1422"/>
      <c r="B1363" s="2522"/>
      <c r="C1363" s="3191"/>
      <c r="D1363" s="2421"/>
      <c r="E1363" s="2421"/>
      <c r="F1363" s="2420"/>
      <c r="G1363" s="2420"/>
      <c r="H1363" s="2420"/>
      <c r="I1363" s="2420"/>
      <c r="J1363" s="2515"/>
      <c r="K1363" s="101">
        <v>11406</v>
      </c>
      <c r="L1363" s="3295"/>
      <c r="M1363" s="3287" t="s">
        <v>393</v>
      </c>
      <c r="N1363" s="3288"/>
      <c r="O1363" s="1044"/>
      <c r="P1363" s="1044"/>
      <c r="Q1363" s="1044"/>
      <c r="R1363" s="40">
        <f>$K1363/2</f>
        <v>5703</v>
      </c>
      <c r="S1363" s="1044"/>
      <c r="T1363" s="1044"/>
      <c r="U1363" s="1044"/>
      <c r="V1363" s="40">
        <f>$K1363/2</f>
        <v>5703</v>
      </c>
      <c r="W1363" s="1044"/>
      <c r="X1363" s="1044"/>
      <c r="Y1363" s="1044"/>
      <c r="Z1363" s="1044"/>
      <c r="AA1363" s="966">
        <f t="shared" si="206"/>
        <v>11406</v>
      </c>
      <c r="AB1363" s="35"/>
      <c r="AC1363" s="183"/>
    </row>
    <row r="1364" spans="1:29" ht="12.75" x14ac:dyDescent="0.2">
      <c r="A1364" s="1422"/>
      <c r="B1364" s="2522"/>
      <c r="C1364" s="3191"/>
      <c r="D1364" s="2421"/>
      <c r="E1364" s="2421"/>
      <c r="F1364" s="2420"/>
      <c r="G1364" s="2420"/>
      <c r="H1364" s="2420"/>
      <c r="I1364" s="2420"/>
      <c r="J1364" s="2515"/>
      <c r="K1364" s="101">
        <v>13462</v>
      </c>
      <c r="L1364" s="3295"/>
      <c r="M1364" s="3287" t="s">
        <v>343</v>
      </c>
      <c r="N1364" s="3288"/>
      <c r="O1364" s="1044"/>
      <c r="P1364" s="1044"/>
      <c r="Q1364" s="94"/>
      <c r="R1364" s="1044">
        <f>$K1364/2</f>
        <v>6731</v>
      </c>
      <c r="S1364" s="94"/>
      <c r="T1364" s="94"/>
      <c r="U1364" s="94"/>
      <c r="V1364" s="1044">
        <f>$K1364/2</f>
        <v>6731</v>
      </c>
      <c r="W1364" s="94"/>
      <c r="X1364" s="94"/>
      <c r="Y1364" s="94"/>
      <c r="Z1364" s="94"/>
      <c r="AA1364" s="1208">
        <f t="shared" si="206"/>
        <v>13462</v>
      </c>
      <c r="AB1364" s="35"/>
      <c r="AC1364" s="183"/>
    </row>
    <row r="1365" spans="1:29" ht="12.75" x14ac:dyDescent="0.2">
      <c r="A1365" s="1422"/>
      <c r="B1365" s="2522"/>
      <c r="C1365" s="3191"/>
      <c r="D1365" s="2421"/>
      <c r="E1365" s="2421"/>
      <c r="F1365" s="2420"/>
      <c r="G1365" s="2420"/>
      <c r="H1365" s="2420"/>
      <c r="I1365" s="2420"/>
      <c r="J1365" s="2515"/>
      <c r="K1365" s="101">
        <v>267</v>
      </c>
      <c r="L1365" s="3295"/>
      <c r="M1365" s="3287" t="s">
        <v>307</v>
      </c>
      <c r="N1365" s="3288"/>
      <c r="O1365" s="1044"/>
      <c r="P1365" s="94">
        <f>$K1365/11</f>
        <v>24.272727272727273</v>
      </c>
      <c r="Q1365" s="94">
        <f t="shared" ref="Q1365:Z1365" si="210">$K1365/11</f>
        <v>24.272727272727273</v>
      </c>
      <c r="R1365" s="94">
        <f t="shared" si="210"/>
        <v>24.272727272727273</v>
      </c>
      <c r="S1365" s="94">
        <f t="shared" si="210"/>
        <v>24.272727272727273</v>
      </c>
      <c r="T1365" s="94">
        <f t="shared" si="210"/>
        <v>24.272727272727273</v>
      </c>
      <c r="U1365" s="94">
        <f t="shared" si="210"/>
        <v>24.272727272727273</v>
      </c>
      <c r="V1365" s="94">
        <f t="shared" si="210"/>
        <v>24.272727272727273</v>
      </c>
      <c r="W1365" s="94">
        <f t="shared" si="210"/>
        <v>24.272727272727273</v>
      </c>
      <c r="X1365" s="94">
        <f t="shared" si="210"/>
        <v>24.272727272727273</v>
      </c>
      <c r="Y1365" s="94">
        <f t="shared" si="210"/>
        <v>24.272727272727273</v>
      </c>
      <c r="Z1365" s="94">
        <f t="shared" si="210"/>
        <v>24.272727272727273</v>
      </c>
      <c r="AA1365" s="1208">
        <f t="shared" si="206"/>
        <v>267.00000000000006</v>
      </c>
      <c r="AB1365" s="35"/>
      <c r="AC1365" s="183"/>
    </row>
    <row r="1366" spans="1:29" x14ac:dyDescent="0.2">
      <c r="A1366" s="1422"/>
      <c r="B1366" s="2522"/>
      <c r="C1366" s="3191"/>
      <c r="D1366" s="2421"/>
      <c r="E1366" s="2421"/>
      <c r="F1366" s="2420"/>
      <c r="G1366" s="2420"/>
      <c r="H1366" s="2420"/>
      <c r="I1366" s="2420"/>
      <c r="J1366" s="2515"/>
      <c r="K1366" s="101">
        <v>10320</v>
      </c>
      <c r="L1366" s="3295"/>
      <c r="M1366" s="3287" t="s">
        <v>310</v>
      </c>
      <c r="N1366" s="3288"/>
      <c r="O1366" s="40">
        <f t="shared" ref="O1366:Z1367" si="211">$K1366/12</f>
        <v>860</v>
      </c>
      <c r="P1366" s="40">
        <f t="shared" si="211"/>
        <v>860</v>
      </c>
      <c r="Q1366" s="40">
        <f t="shared" si="211"/>
        <v>860</v>
      </c>
      <c r="R1366" s="40">
        <f t="shared" si="211"/>
        <v>860</v>
      </c>
      <c r="S1366" s="40">
        <f t="shared" si="211"/>
        <v>860</v>
      </c>
      <c r="T1366" s="40">
        <f t="shared" si="211"/>
        <v>860</v>
      </c>
      <c r="U1366" s="40">
        <f t="shared" si="211"/>
        <v>860</v>
      </c>
      <c r="V1366" s="40">
        <f t="shared" si="211"/>
        <v>860</v>
      </c>
      <c r="W1366" s="40">
        <f t="shared" si="211"/>
        <v>860</v>
      </c>
      <c r="X1366" s="40">
        <f t="shared" si="211"/>
        <v>860</v>
      </c>
      <c r="Y1366" s="40">
        <f t="shared" si="211"/>
        <v>860</v>
      </c>
      <c r="Z1366" s="40">
        <f t="shared" si="211"/>
        <v>860</v>
      </c>
      <c r="AA1366" s="966">
        <f t="shared" si="206"/>
        <v>10320</v>
      </c>
      <c r="AB1366" s="35"/>
      <c r="AC1366" s="183"/>
    </row>
    <row r="1367" spans="1:29" ht="12.75" x14ac:dyDescent="0.2">
      <c r="A1367" s="1422"/>
      <c r="B1367" s="2522"/>
      <c r="C1367" s="2439"/>
      <c r="D1367" s="2421"/>
      <c r="E1367" s="2421"/>
      <c r="F1367" s="2420"/>
      <c r="G1367" s="2420"/>
      <c r="H1367" s="2420"/>
      <c r="I1367" s="2420"/>
      <c r="J1367" s="2516"/>
      <c r="K1367" s="101">
        <v>875</v>
      </c>
      <c r="L1367" s="3296"/>
      <c r="M1367" s="3287" t="s">
        <v>311</v>
      </c>
      <c r="N1367" s="3288"/>
      <c r="O1367" s="40">
        <f t="shared" si="211"/>
        <v>72.916666666666671</v>
      </c>
      <c r="P1367" s="40">
        <f t="shared" si="211"/>
        <v>72.916666666666671</v>
      </c>
      <c r="Q1367" s="40">
        <f t="shared" si="211"/>
        <v>72.916666666666671</v>
      </c>
      <c r="R1367" s="40">
        <f t="shared" si="211"/>
        <v>72.916666666666671</v>
      </c>
      <c r="S1367" s="40">
        <f t="shared" si="211"/>
        <v>72.916666666666671</v>
      </c>
      <c r="T1367" s="40">
        <f t="shared" si="211"/>
        <v>72.916666666666671</v>
      </c>
      <c r="U1367" s="40">
        <f t="shared" si="211"/>
        <v>72.916666666666671</v>
      </c>
      <c r="V1367" s="40">
        <f t="shared" si="211"/>
        <v>72.916666666666671</v>
      </c>
      <c r="W1367" s="40">
        <f t="shared" si="211"/>
        <v>72.916666666666671</v>
      </c>
      <c r="X1367" s="40">
        <f t="shared" si="211"/>
        <v>72.916666666666671</v>
      </c>
      <c r="Y1367" s="40">
        <f t="shared" si="211"/>
        <v>72.916666666666671</v>
      </c>
      <c r="Z1367" s="40">
        <f t="shared" si="211"/>
        <v>72.916666666666671</v>
      </c>
      <c r="AA1367" s="1205">
        <f t="shared" si="206"/>
        <v>874.99999999999989</v>
      </c>
      <c r="AB1367" s="35"/>
      <c r="AC1367" s="183"/>
    </row>
    <row r="1368" spans="1:29" x14ac:dyDescent="0.2">
      <c r="A1368" s="1422"/>
      <c r="B1368" s="1433" t="s">
        <v>278</v>
      </c>
      <c r="C1368" s="1119"/>
      <c r="D1368" s="1119">
        <v>3000673</v>
      </c>
      <c r="E1368" s="192" t="s">
        <v>585</v>
      </c>
      <c r="F1368" s="35"/>
      <c r="G1368" s="35"/>
      <c r="H1368" s="35"/>
      <c r="I1368" s="35"/>
      <c r="J1368" s="35"/>
      <c r="K1368" s="60"/>
      <c r="L1368" s="60"/>
      <c r="M1368" s="60"/>
      <c r="N1368" s="60"/>
      <c r="O1368" s="60"/>
      <c r="P1368" s="60"/>
      <c r="Q1368" s="60"/>
      <c r="R1368" s="60"/>
      <c r="S1368" s="60"/>
      <c r="T1368" s="3235" t="s">
        <v>15</v>
      </c>
      <c r="U1368" s="3235"/>
      <c r="V1368" s="3235"/>
      <c r="W1368" s="3235"/>
      <c r="X1368" s="3235"/>
      <c r="Y1368" s="3235"/>
      <c r="Z1368" s="3023" t="s">
        <v>16</v>
      </c>
      <c r="AA1368" s="3338"/>
      <c r="AB1368" s="35"/>
      <c r="AC1368" s="183"/>
    </row>
    <row r="1369" spans="1:29" ht="24.75" customHeight="1" x14ac:dyDescent="0.2">
      <c r="A1369" s="1422"/>
      <c r="B1369" s="1433"/>
      <c r="C1369" s="1119"/>
      <c r="D1369" s="1119"/>
      <c r="E1369" s="192"/>
      <c r="F1369" s="35"/>
      <c r="G1369" s="35"/>
      <c r="H1369" s="35"/>
      <c r="I1369" s="35"/>
      <c r="J1369" s="35"/>
      <c r="K1369" s="60"/>
      <c r="L1369" s="60"/>
      <c r="M1369" s="60"/>
      <c r="N1369" s="60"/>
      <c r="O1369" s="60"/>
      <c r="P1369" s="60"/>
      <c r="Q1369" s="60"/>
      <c r="R1369" s="60"/>
      <c r="S1369" s="60"/>
      <c r="T1369" s="3233" t="s">
        <v>586</v>
      </c>
      <c r="U1369" s="3233"/>
      <c r="V1369" s="3233"/>
      <c r="W1369" s="3233"/>
      <c r="X1369" s="3233"/>
      <c r="Y1369" s="3233"/>
      <c r="Z1369" s="3019" t="s">
        <v>579</v>
      </c>
      <c r="AA1369" s="3020"/>
      <c r="AB1369" s="35"/>
      <c r="AC1369" s="183"/>
    </row>
    <row r="1370" spans="1:29" x14ac:dyDescent="0.2">
      <c r="A1370" s="1422"/>
      <c r="B1370" s="2999" t="s">
        <v>278</v>
      </c>
      <c r="C1370" s="3015" t="s">
        <v>563</v>
      </c>
      <c r="D1370" s="2847" t="s">
        <v>22</v>
      </c>
      <c r="E1370" s="2847" t="s">
        <v>23</v>
      </c>
      <c r="F1370" s="2847" t="s">
        <v>24</v>
      </c>
      <c r="G1370" s="2847" t="s">
        <v>25</v>
      </c>
      <c r="H1370" s="2847" t="s">
        <v>26</v>
      </c>
      <c r="I1370" s="2847" t="s">
        <v>27</v>
      </c>
      <c r="J1370" s="2847" t="s">
        <v>28</v>
      </c>
      <c r="K1370" s="2847"/>
      <c r="L1370" s="2988" t="s">
        <v>279</v>
      </c>
      <c r="M1370" s="3273" t="s">
        <v>280</v>
      </c>
      <c r="N1370" s="3274"/>
      <c r="O1370" s="2847" t="s">
        <v>281</v>
      </c>
      <c r="P1370" s="2847"/>
      <c r="Q1370" s="2847"/>
      <c r="R1370" s="2847"/>
      <c r="S1370" s="2847"/>
      <c r="T1370" s="2847"/>
      <c r="U1370" s="2847"/>
      <c r="V1370" s="2847"/>
      <c r="W1370" s="2847"/>
      <c r="X1370" s="2847"/>
      <c r="Y1370" s="2847"/>
      <c r="Z1370" s="2847"/>
      <c r="AA1370" s="2847" t="s">
        <v>32</v>
      </c>
      <c r="AB1370" s="35"/>
      <c r="AC1370" s="183"/>
    </row>
    <row r="1371" spans="1:29" x14ac:dyDescent="0.2">
      <c r="A1371" s="1422"/>
      <c r="B1371" s="2999"/>
      <c r="C1371" s="3359"/>
      <c r="D1371" s="2847"/>
      <c r="E1371" s="2847"/>
      <c r="F1371" s="2847"/>
      <c r="G1371" s="2847"/>
      <c r="H1371" s="2847"/>
      <c r="I1371" s="2847"/>
      <c r="J1371" s="2847" t="s">
        <v>33</v>
      </c>
      <c r="K1371" s="2847" t="s">
        <v>282</v>
      </c>
      <c r="L1371" s="3186"/>
      <c r="M1371" s="3275"/>
      <c r="N1371" s="3276"/>
      <c r="O1371" s="1017" t="s">
        <v>283</v>
      </c>
      <c r="P1371" s="1017" t="s">
        <v>284</v>
      </c>
      <c r="Q1371" s="1017" t="s">
        <v>285</v>
      </c>
      <c r="R1371" s="1017" t="s">
        <v>88</v>
      </c>
      <c r="S1371" s="1017" t="s">
        <v>89</v>
      </c>
      <c r="T1371" s="1017" t="s">
        <v>90</v>
      </c>
      <c r="U1371" s="1017" t="s">
        <v>91</v>
      </c>
      <c r="V1371" s="1017" t="s">
        <v>92</v>
      </c>
      <c r="W1371" s="1017" t="s">
        <v>286</v>
      </c>
      <c r="X1371" s="1017" t="s">
        <v>93</v>
      </c>
      <c r="Y1371" s="1017" t="s">
        <v>94</v>
      </c>
      <c r="Z1371" s="1017" t="s">
        <v>95</v>
      </c>
      <c r="AA1371" s="2847"/>
      <c r="AB1371" s="35"/>
      <c r="AC1371" s="183"/>
    </row>
    <row r="1372" spans="1:29" ht="12.75" x14ac:dyDescent="0.2">
      <c r="A1372" s="1422"/>
      <c r="B1372" s="2999"/>
      <c r="C1372" s="3359"/>
      <c r="D1372" s="2847"/>
      <c r="E1372" s="2847"/>
      <c r="F1372" s="2847"/>
      <c r="G1372" s="2847"/>
      <c r="H1372" s="2847"/>
      <c r="I1372" s="2847"/>
      <c r="J1372" s="2847"/>
      <c r="K1372" s="2847"/>
      <c r="L1372" s="3186"/>
      <c r="M1372" s="3271" t="s">
        <v>287</v>
      </c>
      <c r="N1372" s="3272"/>
      <c r="O1372" s="1095">
        <v>1</v>
      </c>
      <c r="P1372" s="1095">
        <v>2</v>
      </c>
      <c r="Q1372" s="1095">
        <v>2</v>
      </c>
      <c r="R1372" s="1095">
        <v>2</v>
      </c>
      <c r="S1372" s="1095">
        <v>2</v>
      </c>
      <c r="T1372" s="1095">
        <v>1</v>
      </c>
      <c r="U1372" s="1095">
        <v>2</v>
      </c>
      <c r="V1372" s="1095">
        <v>1</v>
      </c>
      <c r="W1372" s="1095">
        <v>1</v>
      </c>
      <c r="X1372" s="1095">
        <v>1</v>
      </c>
      <c r="Y1372" s="1095">
        <v>1</v>
      </c>
      <c r="Z1372" s="1095">
        <v>1</v>
      </c>
      <c r="AA1372" s="1205">
        <f t="shared" ref="AA1372:AA1377" si="212">SUM(O1372:Z1372)</f>
        <v>17</v>
      </c>
      <c r="AB1372" s="35"/>
      <c r="AC1372" s="183"/>
    </row>
    <row r="1373" spans="1:29" ht="12.75" x14ac:dyDescent="0.2">
      <c r="A1373" s="1422"/>
      <c r="B1373" s="2999"/>
      <c r="C1373" s="3016"/>
      <c r="D1373" s="2847"/>
      <c r="E1373" s="2847"/>
      <c r="F1373" s="2847"/>
      <c r="G1373" s="2847"/>
      <c r="H1373" s="2847"/>
      <c r="I1373" s="2847"/>
      <c r="J1373" s="2847"/>
      <c r="K1373" s="2847"/>
      <c r="L1373" s="2989"/>
      <c r="M1373" s="3271" t="s">
        <v>34</v>
      </c>
      <c r="N1373" s="3272"/>
      <c r="O1373" s="36">
        <f>SUM(O1374:O1378)</f>
        <v>10902.25</v>
      </c>
      <c r="P1373" s="36">
        <f t="shared" ref="P1373:Z1373" si="213">SUM(P1374:P1378)</f>
        <v>10902.25</v>
      </c>
      <c r="Q1373" s="36">
        <f t="shared" si="213"/>
        <v>11902.25</v>
      </c>
      <c r="R1373" s="36">
        <f t="shared" si="213"/>
        <v>20317.25</v>
      </c>
      <c r="S1373" s="36">
        <f t="shared" si="213"/>
        <v>10902.25</v>
      </c>
      <c r="T1373" s="36">
        <f t="shared" si="213"/>
        <v>10902.25</v>
      </c>
      <c r="U1373" s="36">
        <f t="shared" si="213"/>
        <v>10902.25</v>
      </c>
      <c r="V1373" s="36">
        <f t="shared" si="213"/>
        <v>20317.25</v>
      </c>
      <c r="W1373" s="36">
        <f t="shared" si="213"/>
        <v>10902.25</v>
      </c>
      <c r="X1373" s="36">
        <f t="shared" si="213"/>
        <v>10902.25</v>
      </c>
      <c r="Y1373" s="36">
        <f t="shared" si="213"/>
        <v>10902.25</v>
      </c>
      <c r="Z1373" s="36">
        <f t="shared" si="213"/>
        <v>10902.25</v>
      </c>
      <c r="AA1373" s="1205">
        <f t="shared" si="212"/>
        <v>150657</v>
      </c>
      <c r="AB1373" s="35"/>
      <c r="AC1373" s="183"/>
    </row>
    <row r="1374" spans="1:29" ht="11.25" customHeight="1" x14ac:dyDescent="0.2">
      <c r="A1374" s="1422"/>
      <c r="B1374" s="2522">
        <v>5005158</v>
      </c>
      <c r="C1374" s="3190" t="s">
        <v>3076</v>
      </c>
      <c r="D1374" s="2421">
        <v>47</v>
      </c>
      <c r="E1374" s="2421" t="s">
        <v>407</v>
      </c>
      <c r="F1374" s="2420" t="s">
        <v>386</v>
      </c>
      <c r="G1374" s="2420" t="s">
        <v>423</v>
      </c>
      <c r="H1374" s="2420"/>
      <c r="I1374" s="2420" t="s">
        <v>573</v>
      </c>
      <c r="J1374" s="2514">
        <v>17</v>
      </c>
      <c r="K1374" s="101">
        <v>115827</v>
      </c>
      <c r="L1374" s="3294" t="s">
        <v>565</v>
      </c>
      <c r="M1374" s="3287" t="s">
        <v>293</v>
      </c>
      <c r="N1374" s="3288"/>
      <c r="O1374" s="40">
        <f t="shared" ref="O1374:Z1375" si="214">$K1374/12</f>
        <v>9652.25</v>
      </c>
      <c r="P1374" s="40">
        <f t="shared" si="214"/>
        <v>9652.25</v>
      </c>
      <c r="Q1374" s="40">
        <f t="shared" si="214"/>
        <v>9652.25</v>
      </c>
      <c r="R1374" s="40">
        <f t="shared" si="214"/>
        <v>9652.25</v>
      </c>
      <c r="S1374" s="40">
        <f t="shared" si="214"/>
        <v>9652.25</v>
      </c>
      <c r="T1374" s="40">
        <f t="shared" si="214"/>
        <v>9652.25</v>
      </c>
      <c r="U1374" s="40">
        <f t="shared" si="214"/>
        <v>9652.25</v>
      </c>
      <c r="V1374" s="40">
        <f t="shared" si="214"/>
        <v>9652.25</v>
      </c>
      <c r="W1374" s="40">
        <f t="shared" si="214"/>
        <v>9652.25</v>
      </c>
      <c r="X1374" s="40">
        <f t="shared" si="214"/>
        <v>9652.25</v>
      </c>
      <c r="Y1374" s="40">
        <f t="shared" si="214"/>
        <v>9652.25</v>
      </c>
      <c r="Z1374" s="40">
        <f t="shared" si="214"/>
        <v>9652.25</v>
      </c>
      <c r="AA1374" s="966">
        <f>SUM(O1374:Z1374)</f>
        <v>115827</v>
      </c>
      <c r="AB1374" s="35"/>
      <c r="AC1374" s="183"/>
    </row>
    <row r="1375" spans="1:29" x14ac:dyDescent="0.2">
      <c r="A1375" s="1422"/>
      <c r="B1375" s="2522"/>
      <c r="C1375" s="3191"/>
      <c r="D1375" s="2421"/>
      <c r="E1375" s="2421"/>
      <c r="F1375" s="2420"/>
      <c r="G1375" s="2420"/>
      <c r="H1375" s="2420"/>
      <c r="I1375" s="2420"/>
      <c r="J1375" s="2515"/>
      <c r="K1375" s="101">
        <v>15000</v>
      </c>
      <c r="L1375" s="3295"/>
      <c r="M1375" s="3287" t="s">
        <v>295</v>
      </c>
      <c r="N1375" s="3288"/>
      <c r="O1375" s="40">
        <f t="shared" si="214"/>
        <v>1250</v>
      </c>
      <c r="P1375" s="40">
        <f t="shared" si="214"/>
        <v>1250</v>
      </c>
      <c r="Q1375" s="40">
        <f t="shared" si="214"/>
        <v>1250</v>
      </c>
      <c r="R1375" s="40">
        <f t="shared" si="214"/>
        <v>1250</v>
      </c>
      <c r="S1375" s="40">
        <f t="shared" si="214"/>
        <v>1250</v>
      </c>
      <c r="T1375" s="40">
        <f t="shared" si="214"/>
        <v>1250</v>
      </c>
      <c r="U1375" s="40">
        <f t="shared" si="214"/>
        <v>1250</v>
      </c>
      <c r="V1375" s="40">
        <f t="shared" si="214"/>
        <v>1250</v>
      </c>
      <c r="W1375" s="40">
        <f t="shared" si="214"/>
        <v>1250</v>
      </c>
      <c r="X1375" s="40">
        <f t="shared" si="214"/>
        <v>1250</v>
      </c>
      <c r="Y1375" s="40">
        <f t="shared" si="214"/>
        <v>1250</v>
      </c>
      <c r="Z1375" s="40">
        <f t="shared" si="214"/>
        <v>1250</v>
      </c>
      <c r="AA1375" s="966">
        <f t="shared" si="212"/>
        <v>15000</v>
      </c>
      <c r="AB1375" s="35"/>
      <c r="AC1375" s="183"/>
    </row>
    <row r="1376" spans="1:29" ht="12.75" x14ac:dyDescent="0.2">
      <c r="A1376" s="1422"/>
      <c r="B1376" s="2522"/>
      <c r="C1376" s="3191"/>
      <c r="D1376" s="2421"/>
      <c r="E1376" s="2421"/>
      <c r="F1376" s="2420"/>
      <c r="G1376" s="2420"/>
      <c r="H1376" s="2420"/>
      <c r="I1376" s="2420"/>
      <c r="J1376" s="2515"/>
      <c r="K1376" s="101">
        <v>6330</v>
      </c>
      <c r="L1376" s="3295"/>
      <c r="M1376" s="3287" t="s">
        <v>393</v>
      </c>
      <c r="N1376" s="3288"/>
      <c r="O1376" s="1044"/>
      <c r="P1376" s="1044"/>
      <c r="Q1376" s="1044"/>
      <c r="R1376" s="40">
        <f>$K1376/2</f>
        <v>3165</v>
      </c>
      <c r="S1376" s="1044"/>
      <c r="T1376" s="1044"/>
      <c r="U1376" s="1044"/>
      <c r="V1376" s="40">
        <f>$K1376/2</f>
        <v>3165</v>
      </c>
      <c r="W1376" s="1044"/>
      <c r="X1376" s="1044"/>
      <c r="Y1376" s="1044"/>
      <c r="Z1376" s="1044"/>
      <c r="AA1376" s="1208">
        <f t="shared" si="212"/>
        <v>6330</v>
      </c>
      <c r="AB1376" s="35"/>
      <c r="AC1376" s="183"/>
    </row>
    <row r="1377" spans="1:29" ht="12.75" x14ac:dyDescent="0.2">
      <c r="A1377" s="1422"/>
      <c r="B1377" s="2522"/>
      <c r="C1377" s="3191"/>
      <c r="D1377" s="2421"/>
      <c r="E1377" s="2421"/>
      <c r="F1377" s="2420"/>
      <c r="G1377" s="2420"/>
      <c r="H1377" s="2420"/>
      <c r="I1377" s="2420"/>
      <c r="J1377" s="2515"/>
      <c r="K1377" s="101">
        <v>12500</v>
      </c>
      <c r="L1377" s="3295"/>
      <c r="M1377" s="3287" t="s">
        <v>343</v>
      </c>
      <c r="N1377" s="3288"/>
      <c r="O1377" s="1044"/>
      <c r="P1377" s="1044"/>
      <c r="Q1377" s="94"/>
      <c r="R1377" s="1044">
        <f>$K1377/2</f>
        <v>6250</v>
      </c>
      <c r="S1377" s="94"/>
      <c r="T1377" s="94"/>
      <c r="U1377" s="94"/>
      <c r="V1377" s="1044">
        <f>$K1377/2</f>
        <v>6250</v>
      </c>
      <c r="W1377" s="94"/>
      <c r="X1377" s="94"/>
      <c r="Y1377" s="94"/>
      <c r="Z1377" s="94"/>
      <c r="AA1377" s="1208">
        <f t="shared" si="212"/>
        <v>12500</v>
      </c>
      <c r="AB1377" s="35"/>
      <c r="AC1377" s="183"/>
    </row>
    <row r="1378" spans="1:29" x14ac:dyDescent="0.2">
      <c r="A1378" s="1422"/>
      <c r="B1378" s="2522"/>
      <c r="C1378" s="2439"/>
      <c r="D1378" s="2421"/>
      <c r="E1378" s="2421"/>
      <c r="F1378" s="2420"/>
      <c r="G1378" s="2420"/>
      <c r="H1378" s="2420"/>
      <c r="I1378" s="2420"/>
      <c r="J1378" s="2516"/>
      <c r="K1378" s="101">
        <v>1000</v>
      </c>
      <c r="L1378" s="3296"/>
      <c r="M1378" s="3287" t="s">
        <v>304</v>
      </c>
      <c r="N1378" s="3288"/>
      <c r="O1378" s="1044"/>
      <c r="P1378" s="1044"/>
      <c r="Q1378" s="40">
        <f>$K1378</f>
        <v>1000</v>
      </c>
      <c r="R1378" s="1044"/>
      <c r="S1378" s="1044"/>
      <c r="T1378" s="1044"/>
      <c r="U1378" s="1044"/>
      <c r="V1378" s="1044"/>
      <c r="W1378" s="1044"/>
      <c r="X1378" s="1044"/>
      <c r="Y1378" s="1044"/>
      <c r="Z1378" s="1044"/>
      <c r="AA1378" s="966">
        <f>SUM(O1378:Z1378)</f>
        <v>1000</v>
      </c>
      <c r="AB1378" s="35"/>
      <c r="AC1378" s="183"/>
    </row>
    <row r="1379" spans="1:29" x14ac:dyDescent="0.2">
      <c r="A1379" s="1422"/>
      <c r="B1379" s="1433" t="s">
        <v>278</v>
      </c>
      <c r="C1379" s="1119"/>
      <c r="D1379" s="1119">
        <v>3000691</v>
      </c>
      <c r="E1379" s="192" t="s">
        <v>587</v>
      </c>
      <c r="F1379" s="35"/>
      <c r="G1379" s="35"/>
      <c r="H1379" s="35"/>
      <c r="I1379" s="35"/>
      <c r="J1379" s="35"/>
      <c r="K1379" s="60"/>
      <c r="L1379" s="60"/>
      <c r="M1379" s="60"/>
      <c r="N1379" s="60"/>
      <c r="O1379" s="60"/>
      <c r="P1379" s="60"/>
      <c r="Q1379" s="60"/>
      <c r="R1379" s="60"/>
      <c r="S1379" s="60"/>
      <c r="T1379" s="3235" t="s">
        <v>15</v>
      </c>
      <c r="U1379" s="3235"/>
      <c r="V1379" s="3235"/>
      <c r="W1379" s="3235"/>
      <c r="X1379" s="3235"/>
      <c r="Y1379" s="3235"/>
      <c r="Z1379" s="3023" t="s">
        <v>16</v>
      </c>
      <c r="AA1379" s="3338"/>
      <c r="AB1379" s="35"/>
      <c r="AC1379" s="183"/>
    </row>
    <row r="1380" spans="1:29" ht="17.25" customHeight="1" x14ac:dyDescent="0.2">
      <c r="A1380" s="1422"/>
      <c r="B1380" s="1433"/>
      <c r="C1380" s="1119"/>
      <c r="D1380" s="1119"/>
      <c r="E1380" s="192"/>
      <c r="F1380" s="35"/>
      <c r="G1380" s="35"/>
      <c r="H1380" s="35"/>
      <c r="I1380" s="35"/>
      <c r="J1380" s="35"/>
      <c r="K1380" s="60"/>
      <c r="L1380" s="60"/>
      <c r="M1380" s="60"/>
      <c r="N1380" s="60"/>
      <c r="O1380" s="60"/>
      <c r="P1380" s="60"/>
      <c r="Q1380" s="60"/>
      <c r="R1380" s="60"/>
      <c r="S1380" s="60"/>
      <c r="T1380" s="3233" t="s">
        <v>588</v>
      </c>
      <c r="U1380" s="3233"/>
      <c r="V1380" s="3233"/>
      <c r="W1380" s="3233"/>
      <c r="X1380" s="3233"/>
      <c r="Y1380" s="3233"/>
      <c r="Z1380" s="3019" t="s">
        <v>589</v>
      </c>
      <c r="AA1380" s="3020"/>
      <c r="AB1380" s="35"/>
      <c r="AC1380" s="183"/>
    </row>
    <row r="1381" spans="1:29" x14ac:dyDescent="0.2">
      <c r="A1381" s="1422"/>
      <c r="B1381" s="2999" t="s">
        <v>278</v>
      </c>
      <c r="C1381" s="3015" t="s">
        <v>563</v>
      </c>
      <c r="D1381" s="2847" t="s">
        <v>22</v>
      </c>
      <c r="E1381" s="2847" t="s">
        <v>23</v>
      </c>
      <c r="F1381" s="2847" t="s">
        <v>24</v>
      </c>
      <c r="G1381" s="2847" t="s">
        <v>25</v>
      </c>
      <c r="H1381" s="2847" t="s">
        <v>26</v>
      </c>
      <c r="I1381" s="2847" t="s">
        <v>27</v>
      </c>
      <c r="J1381" s="2847" t="s">
        <v>28</v>
      </c>
      <c r="K1381" s="2847"/>
      <c r="L1381" s="2988" t="s">
        <v>279</v>
      </c>
      <c r="M1381" s="3273" t="s">
        <v>280</v>
      </c>
      <c r="N1381" s="3274"/>
      <c r="O1381" s="2847" t="s">
        <v>281</v>
      </c>
      <c r="P1381" s="2847"/>
      <c r="Q1381" s="2847"/>
      <c r="R1381" s="2847"/>
      <c r="S1381" s="2847"/>
      <c r="T1381" s="2847"/>
      <c r="U1381" s="2847"/>
      <c r="V1381" s="2847"/>
      <c r="W1381" s="2847"/>
      <c r="X1381" s="2847"/>
      <c r="Y1381" s="2847"/>
      <c r="Z1381" s="2847"/>
      <c r="AA1381" s="2847" t="s">
        <v>32</v>
      </c>
      <c r="AB1381" s="35"/>
      <c r="AC1381" s="183"/>
    </row>
    <row r="1382" spans="1:29" x14ac:dyDescent="0.2">
      <c r="A1382" s="1422"/>
      <c r="B1382" s="2999"/>
      <c r="C1382" s="3359"/>
      <c r="D1382" s="2847"/>
      <c r="E1382" s="2847"/>
      <c r="F1382" s="2847"/>
      <c r="G1382" s="2847"/>
      <c r="H1382" s="2847"/>
      <c r="I1382" s="2847"/>
      <c r="J1382" s="2847" t="s">
        <v>33</v>
      </c>
      <c r="K1382" s="2847" t="s">
        <v>282</v>
      </c>
      <c r="L1382" s="3186"/>
      <c r="M1382" s="3275"/>
      <c r="N1382" s="3276"/>
      <c r="O1382" s="1017" t="s">
        <v>283</v>
      </c>
      <c r="P1382" s="1017" t="s">
        <v>284</v>
      </c>
      <c r="Q1382" s="1017" t="s">
        <v>285</v>
      </c>
      <c r="R1382" s="1017" t="s">
        <v>88</v>
      </c>
      <c r="S1382" s="1017" t="s">
        <v>89</v>
      </c>
      <c r="T1382" s="1017" t="s">
        <v>90</v>
      </c>
      <c r="U1382" s="1017" t="s">
        <v>91</v>
      </c>
      <c r="V1382" s="1017" t="s">
        <v>92</v>
      </c>
      <c r="W1382" s="1017" t="s">
        <v>286</v>
      </c>
      <c r="X1382" s="1017" t="s">
        <v>93</v>
      </c>
      <c r="Y1382" s="1017" t="s">
        <v>94</v>
      </c>
      <c r="Z1382" s="1017" t="s">
        <v>95</v>
      </c>
      <c r="AA1382" s="2847"/>
      <c r="AB1382" s="35"/>
      <c r="AC1382" s="183"/>
    </row>
    <row r="1383" spans="1:29" ht="12.75" x14ac:dyDescent="0.2">
      <c r="A1383" s="1422"/>
      <c r="B1383" s="2999"/>
      <c r="C1383" s="3359"/>
      <c r="D1383" s="2847"/>
      <c r="E1383" s="2847"/>
      <c r="F1383" s="2847"/>
      <c r="G1383" s="2847"/>
      <c r="H1383" s="2847"/>
      <c r="I1383" s="2847"/>
      <c r="J1383" s="2847"/>
      <c r="K1383" s="2847"/>
      <c r="L1383" s="3186"/>
      <c r="M1383" s="3271" t="s">
        <v>287</v>
      </c>
      <c r="N1383" s="3272"/>
      <c r="O1383" s="1095"/>
      <c r="P1383" s="1095">
        <v>8</v>
      </c>
      <c r="Q1383" s="1095">
        <v>8</v>
      </c>
      <c r="R1383" s="1095">
        <v>8</v>
      </c>
      <c r="S1383" s="1095">
        <v>8</v>
      </c>
      <c r="T1383" s="1095">
        <v>8</v>
      </c>
      <c r="U1383" s="1095">
        <v>8</v>
      </c>
      <c r="V1383" s="1095">
        <v>8</v>
      </c>
      <c r="W1383" s="1095">
        <v>8</v>
      </c>
      <c r="X1383" s="1095">
        <v>8</v>
      </c>
      <c r="Y1383" s="1095">
        <v>8</v>
      </c>
      <c r="Z1383" s="1095">
        <v>8</v>
      </c>
      <c r="AA1383" s="1205">
        <f t="shared" ref="AA1383:AA1388" si="215">SUM(O1383:Z1383)</f>
        <v>88</v>
      </c>
      <c r="AB1383" s="35"/>
      <c r="AC1383" s="183"/>
    </row>
    <row r="1384" spans="1:29" ht="12.75" x14ac:dyDescent="0.2">
      <c r="A1384" s="1422"/>
      <c r="B1384" s="2999"/>
      <c r="C1384" s="3016"/>
      <c r="D1384" s="2847"/>
      <c r="E1384" s="2847"/>
      <c r="F1384" s="2847"/>
      <c r="G1384" s="2847"/>
      <c r="H1384" s="2847"/>
      <c r="I1384" s="2847"/>
      <c r="J1384" s="2847"/>
      <c r="K1384" s="2847"/>
      <c r="L1384" s="2989"/>
      <c r="M1384" s="3271" t="s">
        <v>34</v>
      </c>
      <c r="N1384" s="3272"/>
      <c r="O1384" s="36">
        <f>SUM(O1385:O1396)</f>
        <v>104704.33333333334</v>
      </c>
      <c r="P1384" s="36">
        <f t="shared" ref="P1384:Z1384" si="216">SUM(P1385:P1396)</f>
        <v>91262.833333333343</v>
      </c>
      <c r="Q1384" s="36">
        <f t="shared" si="216"/>
        <v>90304.333333333343</v>
      </c>
      <c r="R1384" s="36">
        <f t="shared" si="216"/>
        <v>93804.333333333343</v>
      </c>
      <c r="S1384" s="36">
        <f t="shared" si="216"/>
        <v>90304.333333333343</v>
      </c>
      <c r="T1384" s="36">
        <f t="shared" si="216"/>
        <v>90304.333333333343</v>
      </c>
      <c r="U1384" s="36">
        <f t="shared" si="216"/>
        <v>102089.83333333334</v>
      </c>
      <c r="V1384" s="36">
        <f t="shared" si="216"/>
        <v>93804.333333333343</v>
      </c>
      <c r="W1384" s="36">
        <f t="shared" si="216"/>
        <v>90304.333333333343</v>
      </c>
      <c r="X1384" s="36">
        <f t="shared" si="216"/>
        <v>90304.333333333343</v>
      </c>
      <c r="Y1384" s="36">
        <f t="shared" si="216"/>
        <v>90304.333333333343</v>
      </c>
      <c r="Z1384" s="36">
        <f t="shared" si="216"/>
        <v>101131.33333333334</v>
      </c>
      <c r="AA1384" s="1205">
        <f t="shared" si="215"/>
        <v>1128623.0000000002</v>
      </c>
      <c r="AB1384" s="35"/>
      <c r="AC1384" s="183"/>
    </row>
    <row r="1385" spans="1:29" ht="11.25" customHeight="1" x14ac:dyDescent="0.2">
      <c r="A1385" s="1422"/>
      <c r="B1385" s="2522">
        <v>5005157</v>
      </c>
      <c r="C1385" s="3190" t="s">
        <v>3077</v>
      </c>
      <c r="D1385" s="2421">
        <v>48</v>
      </c>
      <c r="E1385" s="2421" t="s">
        <v>407</v>
      </c>
      <c r="F1385" s="2420" t="s">
        <v>313</v>
      </c>
      <c r="G1385" s="2420" t="s">
        <v>329</v>
      </c>
      <c r="H1385" s="2420"/>
      <c r="I1385" s="2420" t="s">
        <v>590</v>
      </c>
      <c r="J1385" s="2514">
        <v>88</v>
      </c>
      <c r="K1385" s="101">
        <v>22584</v>
      </c>
      <c r="L1385" s="3294" t="s">
        <v>565</v>
      </c>
      <c r="M1385" s="3287" t="s">
        <v>320</v>
      </c>
      <c r="N1385" s="3288"/>
      <c r="O1385" s="40">
        <f t="shared" ref="O1385:Z1389" si="217">$K1385/12</f>
        <v>1882</v>
      </c>
      <c r="P1385" s="40">
        <f t="shared" si="217"/>
        <v>1882</v>
      </c>
      <c r="Q1385" s="40">
        <f t="shared" si="217"/>
        <v>1882</v>
      </c>
      <c r="R1385" s="40">
        <f t="shared" si="217"/>
        <v>1882</v>
      </c>
      <c r="S1385" s="40">
        <f t="shared" si="217"/>
        <v>1882</v>
      </c>
      <c r="T1385" s="40">
        <f t="shared" si="217"/>
        <v>1882</v>
      </c>
      <c r="U1385" s="40">
        <f t="shared" si="217"/>
        <v>1882</v>
      </c>
      <c r="V1385" s="40">
        <f t="shared" si="217"/>
        <v>1882</v>
      </c>
      <c r="W1385" s="40">
        <f t="shared" si="217"/>
        <v>1882</v>
      </c>
      <c r="X1385" s="40">
        <f t="shared" si="217"/>
        <v>1882</v>
      </c>
      <c r="Y1385" s="40">
        <f t="shared" si="217"/>
        <v>1882</v>
      </c>
      <c r="Z1385" s="40">
        <f t="shared" si="217"/>
        <v>1882</v>
      </c>
      <c r="AA1385" s="966">
        <f>SUM(O1385:Z1385)</f>
        <v>22584</v>
      </c>
      <c r="AB1385" s="35"/>
      <c r="AC1385" s="183"/>
    </row>
    <row r="1386" spans="1:29" x14ac:dyDescent="0.2">
      <c r="A1386" s="1422"/>
      <c r="B1386" s="2522"/>
      <c r="C1386" s="3191"/>
      <c r="D1386" s="2421"/>
      <c r="E1386" s="2421"/>
      <c r="F1386" s="2420"/>
      <c r="G1386" s="2420"/>
      <c r="H1386" s="2420"/>
      <c r="I1386" s="2420"/>
      <c r="J1386" s="2515"/>
      <c r="K1386" s="101">
        <v>202242</v>
      </c>
      <c r="L1386" s="3295"/>
      <c r="M1386" s="3287" t="s">
        <v>293</v>
      </c>
      <c r="N1386" s="3288"/>
      <c r="O1386" s="40">
        <f t="shared" si="217"/>
        <v>16853.5</v>
      </c>
      <c r="P1386" s="40">
        <f t="shared" si="217"/>
        <v>16853.5</v>
      </c>
      <c r="Q1386" s="40">
        <f t="shared" si="217"/>
        <v>16853.5</v>
      </c>
      <c r="R1386" s="40">
        <f t="shared" si="217"/>
        <v>16853.5</v>
      </c>
      <c r="S1386" s="40">
        <f t="shared" si="217"/>
        <v>16853.5</v>
      </c>
      <c r="T1386" s="40">
        <f t="shared" si="217"/>
        <v>16853.5</v>
      </c>
      <c r="U1386" s="40">
        <f t="shared" si="217"/>
        <v>16853.5</v>
      </c>
      <c r="V1386" s="40">
        <f t="shared" si="217"/>
        <v>16853.5</v>
      </c>
      <c r="W1386" s="40">
        <f t="shared" si="217"/>
        <v>16853.5</v>
      </c>
      <c r="X1386" s="40">
        <f t="shared" si="217"/>
        <v>16853.5</v>
      </c>
      <c r="Y1386" s="40">
        <f t="shared" si="217"/>
        <v>16853.5</v>
      </c>
      <c r="Z1386" s="40">
        <f t="shared" si="217"/>
        <v>16853.5</v>
      </c>
      <c r="AA1386" s="966">
        <f t="shared" si="215"/>
        <v>202242</v>
      </c>
      <c r="AB1386" s="35"/>
      <c r="AC1386" s="183"/>
    </row>
    <row r="1387" spans="1:29" ht="12.75" x14ac:dyDescent="0.2">
      <c r="A1387" s="1422"/>
      <c r="B1387" s="2522"/>
      <c r="C1387" s="3191"/>
      <c r="D1387" s="2421"/>
      <c r="E1387" s="2421"/>
      <c r="F1387" s="2420"/>
      <c r="G1387" s="2420"/>
      <c r="H1387" s="2420"/>
      <c r="I1387" s="2420"/>
      <c r="J1387" s="2515"/>
      <c r="K1387" s="101">
        <v>626424</v>
      </c>
      <c r="L1387" s="3295"/>
      <c r="M1387" s="3287" t="s">
        <v>295</v>
      </c>
      <c r="N1387" s="3288"/>
      <c r="O1387" s="40">
        <f t="shared" si="217"/>
        <v>52202</v>
      </c>
      <c r="P1387" s="40">
        <f t="shared" si="217"/>
        <v>52202</v>
      </c>
      <c r="Q1387" s="40">
        <f t="shared" si="217"/>
        <v>52202</v>
      </c>
      <c r="R1387" s="40">
        <f t="shared" si="217"/>
        <v>52202</v>
      </c>
      <c r="S1387" s="40">
        <f t="shared" si="217"/>
        <v>52202</v>
      </c>
      <c r="T1387" s="40">
        <f t="shared" si="217"/>
        <v>52202</v>
      </c>
      <c r="U1387" s="40">
        <f t="shared" si="217"/>
        <v>52202</v>
      </c>
      <c r="V1387" s="40">
        <f t="shared" si="217"/>
        <v>52202</v>
      </c>
      <c r="W1387" s="40">
        <f t="shared" si="217"/>
        <v>52202</v>
      </c>
      <c r="X1387" s="40">
        <f t="shared" si="217"/>
        <v>52202</v>
      </c>
      <c r="Y1387" s="40">
        <f t="shared" si="217"/>
        <v>52202</v>
      </c>
      <c r="Z1387" s="40">
        <f t="shared" si="217"/>
        <v>52202</v>
      </c>
      <c r="AA1387" s="1208">
        <f t="shared" si="215"/>
        <v>626424</v>
      </c>
      <c r="AB1387" s="35"/>
      <c r="AC1387" s="183"/>
    </row>
    <row r="1388" spans="1:29" ht="12.75" x14ac:dyDescent="0.2">
      <c r="A1388" s="1422"/>
      <c r="B1388" s="2522"/>
      <c r="C1388" s="3191"/>
      <c r="D1388" s="2421"/>
      <c r="E1388" s="2421"/>
      <c r="F1388" s="2420"/>
      <c r="G1388" s="2420"/>
      <c r="H1388" s="2420"/>
      <c r="I1388" s="2420"/>
      <c r="J1388" s="2515"/>
      <c r="K1388" s="101">
        <v>129131</v>
      </c>
      <c r="L1388" s="3295"/>
      <c r="M1388" s="3287" t="s">
        <v>296</v>
      </c>
      <c r="N1388" s="3288"/>
      <c r="O1388" s="40">
        <f t="shared" si="217"/>
        <v>10760.916666666666</v>
      </c>
      <c r="P1388" s="40">
        <f t="shared" si="217"/>
        <v>10760.916666666666</v>
      </c>
      <c r="Q1388" s="40">
        <f t="shared" si="217"/>
        <v>10760.916666666666</v>
      </c>
      <c r="R1388" s="40">
        <f t="shared" si="217"/>
        <v>10760.916666666666</v>
      </c>
      <c r="S1388" s="40">
        <f t="shared" si="217"/>
        <v>10760.916666666666</v>
      </c>
      <c r="T1388" s="40">
        <f t="shared" si="217"/>
        <v>10760.916666666666</v>
      </c>
      <c r="U1388" s="40">
        <f t="shared" si="217"/>
        <v>10760.916666666666</v>
      </c>
      <c r="V1388" s="40">
        <f t="shared" si="217"/>
        <v>10760.916666666666</v>
      </c>
      <c r="W1388" s="40">
        <f t="shared" si="217"/>
        <v>10760.916666666666</v>
      </c>
      <c r="X1388" s="40">
        <f t="shared" si="217"/>
        <v>10760.916666666666</v>
      </c>
      <c r="Y1388" s="40">
        <f t="shared" si="217"/>
        <v>10760.916666666666</v>
      </c>
      <c r="Z1388" s="40">
        <f t="shared" si="217"/>
        <v>10760.916666666666</v>
      </c>
      <c r="AA1388" s="1208">
        <f t="shared" si="215"/>
        <v>129131.00000000001</v>
      </c>
      <c r="AB1388" s="35"/>
      <c r="AC1388" s="183"/>
    </row>
    <row r="1389" spans="1:29" x14ac:dyDescent="0.2">
      <c r="A1389" s="1422"/>
      <c r="B1389" s="2522"/>
      <c r="C1389" s="3191"/>
      <c r="D1389" s="2421"/>
      <c r="E1389" s="2421"/>
      <c r="F1389" s="2420"/>
      <c r="G1389" s="2420"/>
      <c r="H1389" s="2420"/>
      <c r="I1389" s="2420"/>
      <c r="J1389" s="2515"/>
      <c r="K1389" s="101">
        <v>45426</v>
      </c>
      <c r="L1389" s="3295"/>
      <c r="M1389" s="3287" t="s">
        <v>297</v>
      </c>
      <c r="N1389" s="3288"/>
      <c r="O1389" s="40">
        <f t="shared" si="217"/>
        <v>3785.5</v>
      </c>
      <c r="P1389" s="40">
        <f t="shared" si="217"/>
        <v>3785.5</v>
      </c>
      <c r="Q1389" s="40">
        <f t="shared" si="217"/>
        <v>3785.5</v>
      </c>
      <c r="R1389" s="40">
        <f t="shared" si="217"/>
        <v>3785.5</v>
      </c>
      <c r="S1389" s="40">
        <f t="shared" si="217"/>
        <v>3785.5</v>
      </c>
      <c r="T1389" s="40">
        <f t="shared" si="217"/>
        <v>3785.5</v>
      </c>
      <c r="U1389" s="40">
        <f t="shared" si="217"/>
        <v>3785.5</v>
      </c>
      <c r="V1389" s="40">
        <f t="shared" si="217"/>
        <v>3785.5</v>
      </c>
      <c r="W1389" s="40">
        <f t="shared" si="217"/>
        <v>3785.5</v>
      </c>
      <c r="X1389" s="40">
        <f t="shared" si="217"/>
        <v>3785.5</v>
      </c>
      <c r="Y1389" s="40">
        <f t="shared" si="217"/>
        <v>3785.5</v>
      </c>
      <c r="Z1389" s="40">
        <f t="shared" si="217"/>
        <v>3785.5</v>
      </c>
      <c r="AA1389" s="966">
        <f>SUM(O1389:Z1389)</f>
        <v>45426</v>
      </c>
      <c r="AB1389" s="35"/>
      <c r="AC1389" s="183"/>
    </row>
    <row r="1390" spans="1:29" x14ac:dyDescent="0.2">
      <c r="A1390" s="1422"/>
      <c r="B1390" s="2522"/>
      <c r="C1390" s="3191"/>
      <c r="D1390" s="2421"/>
      <c r="E1390" s="2421"/>
      <c r="F1390" s="2420"/>
      <c r="G1390" s="2420"/>
      <c r="H1390" s="2420"/>
      <c r="I1390" s="2420"/>
      <c r="J1390" s="2515"/>
      <c r="K1390" s="101">
        <v>21654</v>
      </c>
      <c r="L1390" s="3295"/>
      <c r="M1390" s="3287" t="s">
        <v>298</v>
      </c>
      <c r="N1390" s="3288"/>
      <c r="O1390" s="1044"/>
      <c r="P1390" s="1044"/>
      <c r="Q1390" s="1044"/>
      <c r="R1390" s="1044"/>
      <c r="S1390" s="1044"/>
      <c r="T1390" s="1044"/>
      <c r="U1390" s="40">
        <f>$K1390/2</f>
        <v>10827</v>
      </c>
      <c r="V1390" s="1044"/>
      <c r="W1390" s="1044"/>
      <c r="X1390" s="1044"/>
      <c r="Y1390" s="1044"/>
      <c r="Z1390" s="40">
        <f>$K1390/2</f>
        <v>10827</v>
      </c>
      <c r="AA1390" s="966">
        <f t="shared" ref="AA1390:AA1396" si="218">SUM(O1390:Z1390)</f>
        <v>21654</v>
      </c>
      <c r="AB1390" s="35"/>
      <c r="AC1390" s="183"/>
    </row>
    <row r="1391" spans="1:29" x14ac:dyDescent="0.2">
      <c r="A1391" s="1422"/>
      <c r="B1391" s="2522"/>
      <c r="C1391" s="3191"/>
      <c r="D1391" s="2421"/>
      <c r="E1391" s="2421"/>
      <c r="F1391" s="2420"/>
      <c r="G1391" s="2420"/>
      <c r="H1391" s="2420"/>
      <c r="I1391" s="2420"/>
      <c r="J1391" s="2515"/>
      <c r="K1391" s="101">
        <v>14400</v>
      </c>
      <c r="L1391" s="3295"/>
      <c r="M1391" s="3287" t="s">
        <v>299</v>
      </c>
      <c r="N1391" s="3288"/>
      <c r="O1391" s="40">
        <f>$K1391</f>
        <v>14400</v>
      </c>
      <c r="P1391" s="1044"/>
      <c r="Q1391" s="40"/>
      <c r="R1391" s="1044"/>
      <c r="S1391" s="1044"/>
      <c r="T1391" s="1044"/>
      <c r="U1391" s="1044"/>
      <c r="V1391" s="1044"/>
      <c r="W1391" s="1044"/>
      <c r="X1391" s="1044"/>
      <c r="Y1391" s="1044"/>
      <c r="Z1391" s="1044"/>
      <c r="AA1391" s="966">
        <f t="shared" si="218"/>
        <v>14400</v>
      </c>
      <c r="AB1391" s="35"/>
      <c r="AC1391" s="183"/>
    </row>
    <row r="1392" spans="1:29" x14ac:dyDescent="0.2">
      <c r="A1392" s="1422"/>
      <c r="B1392" s="2522"/>
      <c r="C1392" s="3191"/>
      <c r="D1392" s="2421"/>
      <c r="E1392" s="2421"/>
      <c r="F1392" s="2420"/>
      <c r="G1392" s="2420"/>
      <c r="H1392" s="2420"/>
      <c r="I1392" s="2420"/>
      <c r="J1392" s="2515"/>
      <c r="K1392" s="101">
        <v>55421</v>
      </c>
      <c r="L1392" s="3295"/>
      <c r="M1392" s="3287" t="s">
        <v>300</v>
      </c>
      <c r="N1392" s="3288"/>
      <c r="O1392" s="40">
        <f t="shared" ref="O1392:Z1393" si="219">$K1392/12</f>
        <v>4618.416666666667</v>
      </c>
      <c r="P1392" s="40">
        <f t="shared" si="219"/>
        <v>4618.416666666667</v>
      </c>
      <c r="Q1392" s="40">
        <f t="shared" si="219"/>
        <v>4618.416666666667</v>
      </c>
      <c r="R1392" s="40">
        <f t="shared" si="219"/>
        <v>4618.416666666667</v>
      </c>
      <c r="S1392" s="40">
        <f t="shared" si="219"/>
        <v>4618.416666666667</v>
      </c>
      <c r="T1392" s="40">
        <f t="shared" si="219"/>
        <v>4618.416666666667</v>
      </c>
      <c r="U1392" s="40">
        <f t="shared" si="219"/>
        <v>4618.416666666667</v>
      </c>
      <c r="V1392" s="40">
        <f t="shared" si="219"/>
        <v>4618.416666666667</v>
      </c>
      <c r="W1392" s="40">
        <f t="shared" si="219"/>
        <v>4618.416666666667</v>
      </c>
      <c r="X1392" s="40">
        <f t="shared" si="219"/>
        <v>4618.416666666667</v>
      </c>
      <c r="Y1392" s="40">
        <f t="shared" si="219"/>
        <v>4618.416666666667</v>
      </c>
      <c r="Z1392" s="40">
        <f t="shared" si="219"/>
        <v>4618.416666666667</v>
      </c>
      <c r="AA1392" s="966">
        <f t="shared" si="218"/>
        <v>55420.999999999993</v>
      </c>
      <c r="AB1392" s="35"/>
      <c r="AC1392" s="183"/>
    </row>
    <row r="1393" spans="1:29" x14ac:dyDescent="0.2">
      <c r="A1393" s="1422"/>
      <c r="B1393" s="2522"/>
      <c r="C1393" s="3191"/>
      <c r="D1393" s="2421"/>
      <c r="E1393" s="2421"/>
      <c r="F1393" s="2420"/>
      <c r="G1393" s="2420"/>
      <c r="H1393" s="2420"/>
      <c r="I1393" s="2420"/>
      <c r="J1393" s="2515"/>
      <c r="K1393" s="101">
        <v>2424</v>
      </c>
      <c r="L1393" s="3295"/>
      <c r="M1393" s="3287" t="s">
        <v>301</v>
      </c>
      <c r="N1393" s="3288"/>
      <c r="O1393" s="40">
        <f t="shared" si="219"/>
        <v>202</v>
      </c>
      <c r="P1393" s="40">
        <f t="shared" si="219"/>
        <v>202</v>
      </c>
      <c r="Q1393" s="40">
        <f t="shared" si="219"/>
        <v>202</v>
      </c>
      <c r="R1393" s="40">
        <f t="shared" si="219"/>
        <v>202</v>
      </c>
      <c r="S1393" s="40">
        <f t="shared" si="219"/>
        <v>202</v>
      </c>
      <c r="T1393" s="40">
        <f t="shared" si="219"/>
        <v>202</v>
      </c>
      <c r="U1393" s="40">
        <f t="shared" si="219"/>
        <v>202</v>
      </c>
      <c r="V1393" s="40">
        <f t="shared" si="219"/>
        <v>202</v>
      </c>
      <c r="W1393" s="40">
        <f t="shared" si="219"/>
        <v>202</v>
      </c>
      <c r="X1393" s="40">
        <f t="shared" si="219"/>
        <v>202</v>
      </c>
      <c r="Y1393" s="40">
        <f t="shared" si="219"/>
        <v>202</v>
      </c>
      <c r="Z1393" s="40">
        <f t="shared" si="219"/>
        <v>202</v>
      </c>
      <c r="AA1393" s="966">
        <f t="shared" si="218"/>
        <v>2424</v>
      </c>
      <c r="AB1393" s="35"/>
      <c r="AC1393" s="183"/>
    </row>
    <row r="1394" spans="1:29" ht="0.75" customHeight="1" x14ac:dyDescent="0.2">
      <c r="A1394" s="1422"/>
      <c r="B1394" s="2522"/>
      <c r="C1394" s="3191"/>
      <c r="D1394" s="2421"/>
      <c r="E1394" s="2421"/>
      <c r="F1394" s="2420"/>
      <c r="G1394" s="2420"/>
      <c r="H1394" s="2420"/>
      <c r="I1394" s="2420"/>
      <c r="J1394" s="2515"/>
      <c r="K1394" s="101">
        <v>1917</v>
      </c>
      <c r="L1394" s="3295"/>
      <c r="M1394" s="3287" t="s">
        <v>324</v>
      </c>
      <c r="N1394" s="3288"/>
      <c r="O1394" s="1044"/>
      <c r="P1394" s="40">
        <f>$K1394/2</f>
        <v>958.5</v>
      </c>
      <c r="Q1394" s="1044"/>
      <c r="R1394" s="1044"/>
      <c r="S1394" s="1044"/>
      <c r="T1394" s="1044"/>
      <c r="U1394" s="40">
        <f>$K1394/2</f>
        <v>958.5</v>
      </c>
      <c r="V1394" s="1044"/>
      <c r="W1394" s="1044"/>
      <c r="X1394" s="1044"/>
      <c r="Y1394" s="1044"/>
      <c r="Z1394" s="1044"/>
      <c r="AA1394" s="966">
        <f t="shared" si="218"/>
        <v>1917</v>
      </c>
      <c r="AB1394" s="35"/>
      <c r="AC1394" s="183"/>
    </row>
    <row r="1395" spans="1:29" hidden="1" x14ac:dyDescent="0.2">
      <c r="A1395" s="1422"/>
      <c r="B1395" s="2522"/>
      <c r="C1395" s="3191"/>
      <c r="D1395" s="2421"/>
      <c r="E1395" s="2421"/>
      <c r="F1395" s="2420"/>
      <c r="G1395" s="2420"/>
      <c r="H1395" s="2420"/>
      <c r="I1395" s="2420"/>
      <c r="J1395" s="2515"/>
      <c r="K1395" s="101">
        <v>2000</v>
      </c>
      <c r="L1395" s="3295"/>
      <c r="M1395" s="3287" t="s">
        <v>393</v>
      </c>
      <c r="N1395" s="3288"/>
      <c r="O1395" s="1044"/>
      <c r="P1395" s="1044"/>
      <c r="Q1395" s="1044"/>
      <c r="R1395" s="40">
        <f>$K1395/2</f>
        <v>1000</v>
      </c>
      <c r="S1395" s="1044"/>
      <c r="T1395" s="1044"/>
      <c r="U1395" s="1044"/>
      <c r="V1395" s="40">
        <f>$K1395/2</f>
        <v>1000</v>
      </c>
      <c r="W1395" s="1044"/>
      <c r="X1395" s="1044"/>
      <c r="Y1395" s="1044"/>
      <c r="Z1395" s="1044"/>
      <c r="AA1395" s="966">
        <f t="shared" si="218"/>
        <v>2000</v>
      </c>
      <c r="AB1395" s="35"/>
      <c r="AC1395" s="183"/>
    </row>
    <row r="1396" spans="1:29" hidden="1" x14ac:dyDescent="0.2">
      <c r="A1396" s="1422"/>
      <c r="B1396" s="2522"/>
      <c r="C1396" s="2439"/>
      <c r="D1396" s="2421"/>
      <c r="E1396" s="2421"/>
      <c r="F1396" s="2420"/>
      <c r="G1396" s="2420"/>
      <c r="H1396" s="2420"/>
      <c r="I1396" s="2420"/>
      <c r="J1396" s="2516"/>
      <c r="K1396" s="101">
        <v>5000</v>
      </c>
      <c r="L1396" s="3296"/>
      <c r="M1396" s="3287" t="s">
        <v>343</v>
      </c>
      <c r="N1396" s="3288"/>
      <c r="O1396" s="1044"/>
      <c r="P1396" s="1044"/>
      <c r="Q1396" s="94"/>
      <c r="R1396" s="1044">
        <f>$K1396/2</f>
        <v>2500</v>
      </c>
      <c r="S1396" s="94"/>
      <c r="T1396" s="94"/>
      <c r="U1396" s="94"/>
      <c r="V1396" s="1044">
        <f>$K1396/2</f>
        <v>2500</v>
      </c>
      <c r="W1396" s="94"/>
      <c r="X1396" s="94"/>
      <c r="Y1396" s="94"/>
      <c r="Z1396" s="94"/>
      <c r="AA1396" s="966">
        <f t="shared" si="218"/>
        <v>5000</v>
      </c>
      <c r="AB1396" s="35"/>
      <c r="AC1396" s="183"/>
    </row>
    <row r="1397" spans="1:29" hidden="1" x14ac:dyDescent="0.2">
      <c r="A1397" s="1422"/>
      <c r="B1397" s="1427" t="s">
        <v>312</v>
      </c>
      <c r="C1397" s="1128"/>
      <c r="D1397" s="38"/>
      <c r="E1397" s="38"/>
      <c r="F1397" s="38"/>
      <c r="G1397" s="38"/>
      <c r="H1397" s="38"/>
      <c r="I1397" s="38"/>
      <c r="J1397" s="38"/>
      <c r="K1397" s="1044">
        <f>SUM(K1385:K1396)</f>
        <v>1128623</v>
      </c>
      <c r="L1397" s="38"/>
      <c r="M1397" s="38"/>
      <c r="N1397" s="38"/>
      <c r="O1397" s="1044"/>
      <c r="P1397" s="1044"/>
      <c r="Q1397" s="1044"/>
      <c r="R1397" s="1044"/>
      <c r="S1397" s="1044"/>
      <c r="T1397" s="1044"/>
      <c r="U1397" s="1044"/>
      <c r="V1397" s="1044"/>
      <c r="W1397" s="1044"/>
      <c r="X1397" s="1044"/>
      <c r="Y1397" s="1044"/>
      <c r="Z1397" s="1044"/>
      <c r="AA1397" s="1234"/>
      <c r="AB1397" s="35"/>
      <c r="AC1397" s="183"/>
    </row>
    <row r="1398" spans="1:29" hidden="1" x14ac:dyDescent="0.2">
      <c r="A1398" s="1422"/>
      <c r="B1398" s="1433" t="s">
        <v>278</v>
      </c>
      <c r="C1398" s="1119"/>
      <c r="D1398" s="1119">
        <v>3043952</v>
      </c>
      <c r="E1398" s="192" t="s">
        <v>591</v>
      </c>
      <c r="F1398" s="35"/>
      <c r="G1398" s="35"/>
      <c r="H1398" s="35"/>
      <c r="I1398" s="35"/>
      <c r="J1398" s="35"/>
      <c r="K1398" s="60"/>
      <c r="L1398" s="60"/>
      <c r="M1398" s="60"/>
      <c r="N1398" s="60"/>
      <c r="O1398" s="60"/>
      <c r="P1398" s="60"/>
      <c r="Q1398" s="60"/>
      <c r="R1398" s="60"/>
      <c r="S1398" s="60"/>
      <c r="T1398" s="3235" t="s">
        <v>15</v>
      </c>
      <c r="U1398" s="3235"/>
      <c r="V1398" s="3235"/>
      <c r="W1398" s="3235"/>
      <c r="X1398" s="3235"/>
      <c r="Y1398" s="3235"/>
      <c r="Z1398" s="3023" t="s">
        <v>16</v>
      </c>
      <c r="AA1398" s="3338"/>
      <c r="AB1398" s="35"/>
      <c r="AC1398" s="183"/>
    </row>
    <row r="1399" spans="1:29" ht="25.5" hidden="1" customHeight="1" x14ac:dyDescent="0.2">
      <c r="A1399" s="1422"/>
      <c r="B1399" s="1433"/>
      <c r="C1399" s="1119"/>
      <c r="D1399" s="1119"/>
      <c r="E1399" s="192"/>
      <c r="F1399" s="35"/>
      <c r="G1399" s="35"/>
      <c r="H1399" s="35"/>
      <c r="I1399" s="35"/>
      <c r="J1399" s="35"/>
      <c r="K1399" s="60"/>
      <c r="L1399" s="60"/>
      <c r="M1399" s="60"/>
      <c r="N1399" s="60"/>
      <c r="O1399" s="60"/>
      <c r="P1399" s="60"/>
      <c r="Q1399" s="60"/>
      <c r="R1399" s="60"/>
      <c r="S1399" s="60"/>
      <c r="T1399" s="3233" t="s">
        <v>592</v>
      </c>
      <c r="U1399" s="3233"/>
      <c r="V1399" s="3233"/>
      <c r="W1399" s="3233"/>
      <c r="X1399" s="3233"/>
      <c r="Y1399" s="3233"/>
      <c r="Z1399" s="3019" t="s">
        <v>376</v>
      </c>
      <c r="AA1399" s="3020"/>
      <c r="AB1399" s="35"/>
      <c r="AC1399" s="183"/>
    </row>
    <row r="1400" spans="1:29" hidden="1" x14ac:dyDescent="0.2">
      <c r="A1400" s="1422"/>
      <c r="B1400" s="2999" t="s">
        <v>278</v>
      </c>
      <c r="C1400" s="3015" t="s">
        <v>563</v>
      </c>
      <c r="D1400" s="2847" t="s">
        <v>22</v>
      </c>
      <c r="E1400" s="2847" t="s">
        <v>23</v>
      </c>
      <c r="F1400" s="2847" t="s">
        <v>24</v>
      </c>
      <c r="G1400" s="2847" t="s">
        <v>25</v>
      </c>
      <c r="H1400" s="2847" t="s">
        <v>26</v>
      </c>
      <c r="I1400" s="2847" t="s">
        <v>27</v>
      </c>
      <c r="J1400" s="2847" t="s">
        <v>28</v>
      </c>
      <c r="K1400" s="2847"/>
      <c r="L1400" s="2988" t="s">
        <v>279</v>
      </c>
      <c r="M1400" s="3273" t="s">
        <v>280</v>
      </c>
      <c r="N1400" s="3274"/>
      <c r="O1400" s="2847" t="s">
        <v>281</v>
      </c>
      <c r="P1400" s="2847"/>
      <c r="Q1400" s="2847"/>
      <c r="R1400" s="2847"/>
      <c r="S1400" s="2847"/>
      <c r="T1400" s="2847"/>
      <c r="U1400" s="2847"/>
      <c r="V1400" s="2847"/>
      <c r="W1400" s="2847"/>
      <c r="X1400" s="2847"/>
      <c r="Y1400" s="2847"/>
      <c r="Z1400" s="2847"/>
      <c r="AA1400" s="2847" t="s">
        <v>32</v>
      </c>
      <c r="AB1400" s="35"/>
      <c r="AC1400" s="183"/>
    </row>
    <row r="1401" spans="1:29" hidden="1" x14ac:dyDescent="0.2">
      <c r="A1401" s="1422"/>
      <c r="B1401" s="2999"/>
      <c r="C1401" s="3359"/>
      <c r="D1401" s="2847"/>
      <c r="E1401" s="2847"/>
      <c r="F1401" s="2847"/>
      <c r="G1401" s="2847"/>
      <c r="H1401" s="2847"/>
      <c r="I1401" s="2847"/>
      <c r="J1401" s="2847" t="s">
        <v>33</v>
      </c>
      <c r="K1401" s="2847" t="s">
        <v>282</v>
      </c>
      <c r="L1401" s="3186"/>
      <c r="M1401" s="3275"/>
      <c r="N1401" s="3276"/>
      <c r="O1401" s="1017" t="s">
        <v>283</v>
      </c>
      <c r="P1401" s="1017" t="s">
        <v>284</v>
      </c>
      <c r="Q1401" s="1017" t="s">
        <v>285</v>
      </c>
      <c r="R1401" s="1017" t="s">
        <v>88</v>
      </c>
      <c r="S1401" s="1017" t="s">
        <v>89</v>
      </c>
      <c r="T1401" s="1017" t="s">
        <v>90</v>
      </c>
      <c r="U1401" s="1017" t="s">
        <v>91</v>
      </c>
      <c r="V1401" s="1017" t="s">
        <v>92</v>
      </c>
      <c r="W1401" s="1017" t="s">
        <v>286</v>
      </c>
      <c r="X1401" s="1017" t="s">
        <v>93</v>
      </c>
      <c r="Y1401" s="1017" t="s">
        <v>94</v>
      </c>
      <c r="Z1401" s="1017" t="s">
        <v>95</v>
      </c>
      <c r="AA1401" s="2847"/>
      <c r="AB1401" s="35"/>
      <c r="AC1401" s="183"/>
    </row>
    <row r="1402" spans="1:29" ht="12.75" hidden="1" x14ac:dyDescent="0.2">
      <c r="A1402" s="1422"/>
      <c r="B1402" s="2999"/>
      <c r="C1402" s="3359"/>
      <c r="D1402" s="2847"/>
      <c r="E1402" s="2847"/>
      <c r="F1402" s="2847"/>
      <c r="G1402" s="2847"/>
      <c r="H1402" s="2847"/>
      <c r="I1402" s="2847"/>
      <c r="J1402" s="2847"/>
      <c r="K1402" s="2847"/>
      <c r="L1402" s="3186"/>
      <c r="M1402" s="3271" t="s">
        <v>287</v>
      </c>
      <c r="N1402" s="3272"/>
      <c r="O1402" s="1095">
        <v>130</v>
      </c>
      <c r="P1402" s="1095">
        <v>130</v>
      </c>
      <c r="Q1402" s="1095">
        <v>131</v>
      </c>
      <c r="R1402" s="1095">
        <v>130</v>
      </c>
      <c r="S1402" s="1095">
        <v>130</v>
      </c>
      <c r="T1402" s="1095">
        <v>130</v>
      </c>
      <c r="U1402" s="1095">
        <v>130</v>
      </c>
      <c r="V1402" s="1095">
        <v>130</v>
      </c>
      <c r="W1402" s="1095">
        <v>130</v>
      </c>
      <c r="X1402" s="1095">
        <v>130</v>
      </c>
      <c r="Y1402" s="1095">
        <v>130</v>
      </c>
      <c r="Z1402" s="1095">
        <v>130</v>
      </c>
      <c r="AA1402" s="1205">
        <f t="shared" ref="AA1402:AA1407" si="220">SUM(O1402:Z1402)</f>
        <v>1561</v>
      </c>
      <c r="AB1402" s="35"/>
      <c r="AC1402" s="183"/>
    </row>
    <row r="1403" spans="1:29" ht="12.75" hidden="1" x14ac:dyDescent="0.2">
      <c r="A1403" s="1422"/>
      <c r="B1403" s="2999"/>
      <c r="C1403" s="3016"/>
      <c r="D1403" s="2847"/>
      <c r="E1403" s="2847"/>
      <c r="F1403" s="2847"/>
      <c r="G1403" s="2847"/>
      <c r="H1403" s="2847"/>
      <c r="I1403" s="2847"/>
      <c r="J1403" s="2847"/>
      <c r="K1403" s="2847"/>
      <c r="L1403" s="2989"/>
      <c r="M1403" s="3271" t="s">
        <v>34</v>
      </c>
      <c r="N1403" s="3272"/>
      <c r="O1403" s="36">
        <f>SUM(O1404:O1419)</f>
        <v>28459.416666666668</v>
      </c>
      <c r="P1403" s="36">
        <f t="shared" ref="P1403:Z1403" si="221">SUM(P1404:P1419)</f>
        <v>23441.234848484848</v>
      </c>
      <c r="Q1403" s="36">
        <f t="shared" si="221"/>
        <v>24606.234848484848</v>
      </c>
      <c r="R1403" s="36">
        <f t="shared" si="221"/>
        <v>24519.434848484849</v>
      </c>
      <c r="S1403" s="36">
        <f t="shared" si="221"/>
        <v>22941.234848484848</v>
      </c>
      <c r="T1403" s="36">
        <f t="shared" si="221"/>
        <v>24519.434848484849</v>
      </c>
      <c r="U1403" s="36">
        <f t="shared" si="221"/>
        <v>26091.234848484848</v>
      </c>
      <c r="V1403" s="36">
        <f t="shared" si="221"/>
        <v>25719.434848484849</v>
      </c>
      <c r="W1403" s="36">
        <f t="shared" si="221"/>
        <v>22941.234848484848</v>
      </c>
      <c r="X1403" s="36">
        <f t="shared" si="221"/>
        <v>24519.434848484849</v>
      </c>
      <c r="Y1403" s="36">
        <f t="shared" si="221"/>
        <v>22941.234848484848</v>
      </c>
      <c r="Z1403" s="36">
        <f t="shared" si="221"/>
        <v>27669.434848484849</v>
      </c>
      <c r="AA1403" s="1205">
        <f t="shared" si="220"/>
        <v>298369</v>
      </c>
      <c r="AB1403" s="35"/>
      <c r="AC1403" s="183"/>
    </row>
    <row r="1404" spans="1:29" ht="11.25" hidden="1" customHeight="1" x14ac:dyDescent="0.2">
      <c r="A1404" s="1422"/>
      <c r="B1404" s="2522">
        <v>5000062</v>
      </c>
      <c r="C1404" s="3190" t="s">
        <v>3078</v>
      </c>
      <c r="D1404" s="3347"/>
      <c r="E1404" s="2421" t="s">
        <v>407</v>
      </c>
      <c r="F1404" s="2420" t="s">
        <v>313</v>
      </c>
      <c r="G1404" s="2420" t="s">
        <v>329</v>
      </c>
      <c r="H1404" s="2420"/>
      <c r="I1404" s="2420" t="s">
        <v>379</v>
      </c>
      <c r="J1404" s="2514">
        <v>1561</v>
      </c>
      <c r="K1404" s="101">
        <v>60000</v>
      </c>
      <c r="L1404" s="3294" t="s">
        <v>565</v>
      </c>
      <c r="M1404" s="3287" t="s">
        <v>293</v>
      </c>
      <c r="N1404" s="3288"/>
      <c r="O1404" s="40">
        <f t="shared" ref="O1404:Z1408" si="222">$K1404/12</f>
        <v>5000</v>
      </c>
      <c r="P1404" s="40">
        <f t="shared" si="222"/>
        <v>5000</v>
      </c>
      <c r="Q1404" s="40">
        <f t="shared" si="222"/>
        <v>5000</v>
      </c>
      <c r="R1404" s="40">
        <f t="shared" si="222"/>
        <v>5000</v>
      </c>
      <c r="S1404" s="40">
        <f t="shared" si="222"/>
        <v>5000</v>
      </c>
      <c r="T1404" s="40">
        <f t="shared" si="222"/>
        <v>5000</v>
      </c>
      <c r="U1404" s="40">
        <f t="shared" si="222"/>
        <v>5000</v>
      </c>
      <c r="V1404" s="40">
        <f t="shared" si="222"/>
        <v>5000</v>
      </c>
      <c r="W1404" s="40">
        <f t="shared" si="222"/>
        <v>5000</v>
      </c>
      <c r="X1404" s="40">
        <f t="shared" si="222"/>
        <v>5000</v>
      </c>
      <c r="Y1404" s="40">
        <f t="shared" si="222"/>
        <v>5000</v>
      </c>
      <c r="Z1404" s="40">
        <f t="shared" si="222"/>
        <v>5000</v>
      </c>
      <c r="AA1404" s="966">
        <f>SUM(O1404:Z1404)</f>
        <v>60000</v>
      </c>
      <c r="AB1404" s="35"/>
      <c r="AC1404" s="183"/>
    </row>
    <row r="1405" spans="1:29" hidden="1" x14ac:dyDescent="0.2">
      <c r="A1405" s="1422"/>
      <c r="B1405" s="2522"/>
      <c r="C1405" s="3191"/>
      <c r="D1405" s="3347"/>
      <c r="E1405" s="2421"/>
      <c r="F1405" s="2420"/>
      <c r="G1405" s="2420"/>
      <c r="H1405" s="2420"/>
      <c r="I1405" s="2420"/>
      <c r="J1405" s="2515"/>
      <c r="K1405" s="101">
        <v>93744</v>
      </c>
      <c r="L1405" s="3295"/>
      <c r="M1405" s="3287" t="s">
        <v>295</v>
      </c>
      <c r="N1405" s="3288"/>
      <c r="O1405" s="40">
        <f t="shared" si="222"/>
        <v>7812</v>
      </c>
      <c r="P1405" s="40">
        <f t="shared" si="222"/>
        <v>7812</v>
      </c>
      <c r="Q1405" s="40">
        <f t="shared" si="222"/>
        <v>7812</v>
      </c>
      <c r="R1405" s="40">
        <f t="shared" si="222"/>
        <v>7812</v>
      </c>
      <c r="S1405" s="40">
        <f t="shared" si="222"/>
        <v>7812</v>
      </c>
      <c r="T1405" s="40">
        <f t="shared" si="222"/>
        <v>7812</v>
      </c>
      <c r="U1405" s="40">
        <f t="shared" si="222"/>
        <v>7812</v>
      </c>
      <c r="V1405" s="40">
        <f t="shared" si="222"/>
        <v>7812</v>
      </c>
      <c r="W1405" s="40">
        <f t="shared" si="222"/>
        <v>7812</v>
      </c>
      <c r="X1405" s="40">
        <f t="shared" si="222"/>
        <v>7812</v>
      </c>
      <c r="Y1405" s="40">
        <f t="shared" si="222"/>
        <v>7812</v>
      </c>
      <c r="Z1405" s="40">
        <f t="shared" si="222"/>
        <v>7812</v>
      </c>
      <c r="AA1405" s="966">
        <f t="shared" si="220"/>
        <v>93744</v>
      </c>
      <c r="AB1405" s="35"/>
      <c r="AC1405" s="183"/>
    </row>
    <row r="1406" spans="1:29" hidden="1" x14ac:dyDescent="0.2">
      <c r="A1406" s="1422"/>
      <c r="B1406" s="2522"/>
      <c r="C1406" s="3191"/>
      <c r="D1406" s="3347"/>
      <c r="E1406" s="2421"/>
      <c r="F1406" s="2420"/>
      <c r="G1406" s="2420"/>
      <c r="H1406" s="2420"/>
      <c r="I1406" s="2420"/>
      <c r="J1406" s="2515"/>
      <c r="K1406" s="101">
        <v>10000</v>
      </c>
      <c r="L1406" s="3295"/>
      <c r="M1406" s="3287" t="s">
        <v>332</v>
      </c>
      <c r="N1406" s="3288"/>
      <c r="O1406" s="40">
        <f t="shared" si="222"/>
        <v>833.33333333333337</v>
      </c>
      <c r="P1406" s="40">
        <f t="shared" si="222"/>
        <v>833.33333333333337</v>
      </c>
      <c r="Q1406" s="40">
        <f t="shared" si="222"/>
        <v>833.33333333333337</v>
      </c>
      <c r="R1406" s="40">
        <f t="shared" si="222"/>
        <v>833.33333333333337</v>
      </c>
      <c r="S1406" s="40">
        <f t="shared" si="222"/>
        <v>833.33333333333337</v>
      </c>
      <c r="T1406" s="40">
        <f t="shared" si="222"/>
        <v>833.33333333333337</v>
      </c>
      <c r="U1406" s="40">
        <f t="shared" si="222"/>
        <v>833.33333333333337</v>
      </c>
      <c r="V1406" s="40">
        <f t="shared" si="222"/>
        <v>833.33333333333337</v>
      </c>
      <c r="W1406" s="40">
        <f t="shared" si="222"/>
        <v>833.33333333333337</v>
      </c>
      <c r="X1406" s="40">
        <f t="shared" si="222"/>
        <v>833.33333333333337</v>
      </c>
      <c r="Y1406" s="40">
        <f t="shared" si="222"/>
        <v>833.33333333333337</v>
      </c>
      <c r="Z1406" s="40">
        <f t="shared" si="222"/>
        <v>833.33333333333337</v>
      </c>
      <c r="AA1406" s="966">
        <f t="shared" si="220"/>
        <v>10000</v>
      </c>
      <c r="AB1406" s="35"/>
      <c r="AC1406" s="183"/>
    </row>
    <row r="1407" spans="1:29" hidden="1" x14ac:dyDescent="0.2">
      <c r="A1407" s="1422"/>
      <c r="B1407" s="2522"/>
      <c r="C1407" s="3191"/>
      <c r="D1407" s="3347"/>
      <c r="E1407" s="2421"/>
      <c r="F1407" s="2420"/>
      <c r="G1407" s="2420"/>
      <c r="H1407" s="2420"/>
      <c r="I1407" s="2420"/>
      <c r="J1407" s="2515"/>
      <c r="K1407" s="101">
        <v>17080</v>
      </c>
      <c r="L1407" s="3295"/>
      <c r="M1407" s="3287" t="s">
        <v>296</v>
      </c>
      <c r="N1407" s="3288"/>
      <c r="O1407" s="40">
        <f t="shared" si="222"/>
        <v>1423.3333333333333</v>
      </c>
      <c r="P1407" s="40">
        <f t="shared" si="222"/>
        <v>1423.3333333333333</v>
      </c>
      <c r="Q1407" s="40">
        <f t="shared" si="222"/>
        <v>1423.3333333333333</v>
      </c>
      <c r="R1407" s="40">
        <f t="shared" si="222"/>
        <v>1423.3333333333333</v>
      </c>
      <c r="S1407" s="40">
        <f t="shared" si="222"/>
        <v>1423.3333333333333</v>
      </c>
      <c r="T1407" s="40">
        <f t="shared" si="222"/>
        <v>1423.3333333333333</v>
      </c>
      <c r="U1407" s="40">
        <f t="shared" si="222"/>
        <v>1423.3333333333333</v>
      </c>
      <c r="V1407" s="40">
        <f t="shared" si="222"/>
        <v>1423.3333333333333</v>
      </c>
      <c r="W1407" s="40">
        <f t="shared" si="222"/>
        <v>1423.3333333333333</v>
      </c>
      <c r="X1407" s="40">
        <f t="shared" si="222"/>
        <v>1423.3333333333333</v>
      </c>
      <c r="Y1407" s="40">
        <f t="shared" si="222"/>
        <v>1423.3333333333333</v>
      </c>
      <c r="Z1407" s="40">
        <f t="shared" si="222"/>
        <v>1423.3333333333333</v>
      </c>
      <c r="AA1407" s="966">
        <f t="shared" si="220"/>
        <v>17080.000000000004</v>
      </c>
      <c r="AB1407" s="35"/>
      <c r="AC1407" s="183"/>
    </row>
    <row r="1408" spans="1:29" hidden="1" x14ac:dyDescent="0.2">
      <c r="A1408" s="1422"/>
      <c r="B1408" s="2522"/>
      <c r="C1408" s="3191"/>
      <c r="D1408" s="3347"/>
      <c r="E1408" s="2421"/>
      <c r="F1408" s="2420"/>
      <c r="G1408" s="2420"/>
      <c r="H1408" s="2420"/>
      <c r="I1408" s="2420"/>
      <c r="J1408" s="2515"/>
      <c r="K1408" s="101">
        <v>13428</v>
      </c>
      <c r="L1408" s="3295"/>
      <c r="M1408" s="3287" t="s">
        <v>297</v>
      </c>
      <c r="N1408" s="3288"/>
      <c r="O1408" s="40">
        <f t="shared" si="222"/>
        <v>1119</v>
      </c>
      <c r="P1408" s="40">
        <f t="shared" si="222"/>
        <v>1119</v>
      </c>
      <c r="Q1408" s="40">
        <f t="shared" si="222"/>
        <v>1119</v>
      </c>
      <c r="R1408" s="40">
        <f t="shared" si="222"/>
        <v>1119</v>
      </c>
      <c r="S1408" s="40">
        <f t="shared" si="222"/>
        <v>1119</v>
      </c>
      <c r="T1408" s="40">
        <f t="shared" si="222"/>
        <v>1119</v>
      </c>
      <c r="U1408" s="40">
        <f t="shared" si="222"/>
        <v>1119</v>
      </c>
      <c r="V1408" s="40">
        <f t="shared" si="222"/>
        <v>1119</v>
      </c>
      <c r="W1408" s="40">
        <f t="shared" si="222"/>
        <v>1119</v>
      </c>
      <c r="X1408" s="40">
        <f t="shared" si="222"/>
        <v>1119</v>
      </c>
      <c r="Y1408" s="40">
        <f t="shared" si="222"/>
        <v>1119</v>
      </c>
      <c r="Z1408" s="40">
        <f t="shared" si="222"/>
        <v>1119</v>
      </c>
      <c r="AA1408" s="966">
        <f>SUM(O1408:Z1408)</f>
        <v>13428</v>
      </c>
      <c r="AB1408" s="35"/>
      <c r="AC1408" s="183"/>
    </row>
    <row r="1409" spans="1:29" hidden="1" x14ac:dyDescent="0.2">
      <c r="A1409" s="1422"/>
      <c r="B1409" s="2522"/>
      <c r="C1409" s="3191"/>
      <c r="D1409" s="3347"/>
      <c r="E1409" s="2421"/>
      <c r="F1409" s="2420"/>
      <c r="G1409" s="2420"/>
      <c r="H1409" s="2420"/>
      <c r="I1409" s="2420"/>
      <c r="J1409" s="2515"/>
      <c r="K1409" s="101">
        <v>6300</v>
      </c>
      <c r="L1409" s="3295"/>
      <c r="M1409" s="3287" t="s">
        <v>298</v>
      </c>
      <c r="N1409" s="3288"/>
      <c r="O1409" s="1044"/>
      <c r="P1409" s="1044"/>
      <c r="Q1409" s="1044"/>
      <c r="R1409" s="1044"/>
      <c r="S1409" s="1044"/>
      <c r="T1409" s="1044"/>
      <c r="U1409" s="40">
        <f>$K1409/2</f>
        <v>3150</v>
      </c>
      <c r="V1409" s="1044"/>
      <c r="W1409" s="1044"/>
      <c r="X1409" s="1044"/>
      <c r="Y1409" s="1044"/>
      <c r="Z1409" s="40">
        <f>$K1409/2</f>
        <v>3150</v>
      </c>
      <c r="AA1409" s="966">
        <f t="shared" ref="AA1409:AA1419" si="223">SUM(O1409:Z1409)</f>
        <v>6300</v>
      </c>
      <c r="AB1409" s="35"/>
      <c r="AC1409" s="183"/>
    </row>
    <row r="1410" spans="1:29" hidden="1" x14ac:dyDescent="0.2">
      <c r="A1410" s="1422"/>
      <c r="B1410" s="2522"/>
      <c r="C1410" s="3191"/>
      <c r="D1410" s="3347"/>
      <c r="E1410" s="2421"/>
      <c r="F1410" s="2420"/>
      <c r="G1410" s="2420"/>
      <c r="H1410" s="2420"/>
      <c r="I1410" s="2420"/>
      <c r="J1410" s="2515"/>
      <c r="K1410" s="101">
        <v>5700</v>
      </c>
      <c r="L1410" s="3295"/>
      <c r="M1410" s="3287" t="s">
        <v>299</v>
      </c>
      <c r="N1410" s="3288"/>
      <c r="O1410" s="40">
        <f>$K1410</f>
        <v>5700</v>
      </c>
      <c r="P1410" s="1044"/>
      <c r="Q1410" s="40"/>
      <c r="R1410" s="1044"/>
      <c r="S1410" s="1044"/>
      <c r="T1410" s="1044"/>
      <c r="U1410" s="1044"/>
      <c r="V1410" s="1044"/>
      <c r="W1410" s="1044"/>
      <c r="X1410" s="1044"/>
      <c r="Y1410" s="1044"/>
      <c r="Z1410" s="1044"/>
      <c r="AA1410" s="966">
        <f t="shared" si="223"/>
        <v>5700</v>
      </c>
      <c r="AB1410" s="35"/>
      <c r="AC1410" s="183"/>
    </row>
    <row r="1411" spans="1:29" x14ac:dyDescent="0.2">
      <c r="A1411" s="1422"/>
      <c r="B1411" s="2522"/>
      <c r="C1411" s="3191"/>
      <c r="D1411" s="3347"/>
      <c r="E1411" s="2421"/>
      <c r="F1411" s="2420"/>
      <c r="G1411" s="2420"/>
      <c r="H1411" s="2420"/>
      <c r="I1411" s="2420"/>
      <c r="J1411" s="2515"/>
      <c r="K1411" s="101">
        <v>9568</v>
      </c>
      <c r="L1411" s="3295"/>
      <c r="M1411" s="3287" t="s">
        <v>300</v>
      </c>
      <c r="N1411" s="3288"/>
      <c r="O1411" s="40">
        <f t="shared" ref="O1411:Z1411" si="224">$K1411/12</f>
        <v>797.33333333333337</v>
      </c>
      <c r="P1411" s="40">
        <f t="shared" si="224"/>
        <v>797.33333333333337</v>
      </c>
      <c r="Q1411" s="40">
        <f t="shared" si="224"/>
        <v>797.33333333333337</v>
      </c>
      <c r="R1411" s="40">
        <f t="shared" si="224"/>
        <v>797.33333333333337</v>
      </c>
      <c r="S1411" s="40">
        <f t="shared" si="224"/>
        <v>797.33333333333337</v>
      </c>
      <c r="T1411" s="40">
        <f t="shared" si="224"/>
        <v>797.33333333333337</v>
      </c>
      <c r="U1411" s="40">
        <f t="shared" si="224"/>
        <v>797.33333333333337</v>
      </c>
      <c r="V1411" s="40">
        <f t="shared" si="224"/>
        <v>797.33333333333337</v>
      </c>
      <c r="W1411" s="40">
        <f t="shared" si="224"/>
        <v>797.33333333333337</v>
      </c>
      <c r="X1411" s="40">
        <f t="shared" si="224"/>
        <v>797.33333333333337</v>
      </c>
      <c r="Y1411" s="40">
        <f t="shared" si="224"/>
        <v>797.33333333333337</v>
      </c>
      <c r="Z1411" s="40">
        <f t="shared" si="224"/>
        <v>797.33333333333337</v>
      </c>
      <c r="AA1411" s="966">
        <f t="shared" si="223"/>
        <v>9568</v>
      </c>
      <c r="AB1411" s="35"/>
      <c r="AC1411" s="183"/>
    </row>
    <row r="1412" spans="1:29" x14ac:dyDescent="0.2">
      <c r="A1412" s="1422"/>
      <c r="B1412" s="2522"/>
      <c r="C1412" s="3191"/>
      <c r="D1412" s="3347"/>
      <c r="E1412" s="2421"/>
      <c r="F1412" s="2420"/>
      <c r="G1412" s="2420"/>
      <c r="H1412" s="2420"/>
      <c r="I1412" s="2420"/>
      <c r="J1412" s="2515"/>
      <c r="K1412" s="101">
        <v>215</v>
      </c>
      <c r="L1412" s="3295"/>
      <c r="M1412" s="3287" t="s">
        <v>303</v>
      </c>
      <c r="N1412" s="3288"/>
      <c r="O1412" s="1044"/>
      <c r="P1412" s="1044"/>
      <c r="Q1412" s="40">
        <f>$K1412</f>
        <v>215</v>
      </c>
      <c r="R1412" s="1044"/>
      <c r="S1412" s="1044"/>
      <c r="T1412" s="1044"/>
      <c r="U1412" s="1044"/>
      <c r="V1412" s="1044"/>
      <c r="W1412" s="1044"/>
      <c r="X1412" s="1044"/>
      <c r="Y1412" s="1044"/>
      <c r="Z1412" s="1044"/>
      <c r="AA1412" s="966">
        <f t="shared" si="223"/>
        <v>215</v>
      </c>
      <c r="AB1412" s="35"/>
      <c r="AC1412" s="183"/>
    </row>
    <row r="1413" spans="1:29" x14ac:dyDescent="0.2">
      <c r="A1413" s="1422"/>
      <c r="B1413" s="2522"/>
      <c r="C1413" s="3191"/>
      <c r="D1413" s="3347"/>
      <c r="E1413" s="2421"/>
      <c r="F1413" s="2420"/>
      <c r="G1413" s="2420"/>
      <c r="H1413" s="2420"/>
      <c r="I1413" s="2420"/>
      <c r="J1413" s="2515"/>
      <c r="K1413" s="101">
        <v>250</v>
      </c>
      <c r="L1413" s="3295"/>
      <c r="M1413" s="3287" t="s">
        <v>593</v>
      </c>
      <c r="N1413" s="3288"/>
      <c r="O1413" s="1044"/>
      <c r="P1413" s="1044"/>
      <c r="Q1413" s="40">
        <f t="shared" ref="Q1413" si="225">$K1413</f>
        <v>250</v>
      </c>
      <c r="R1413" s="1044"/>
      <c r="S1413" s="1044"/>
      <c r="T1413" s="1044"/>
      <c r="U1413" s="1044"/>
      <c r="V1413" s="1044"/>
      <c r="W1413" s="1044"/>
      <c r="X1413" s="1044"/>
      <c r="Y1413" s="1044"/>
      <c r="Z1413" s="1044"/>
      <c r="AA1413" s="966">
        <f t="shared" si="223"/>
        <v>250</v>
      </c>
      <c r="AB1413" s="35"/>
      <c r="AC1413" s="183"/>
    </row>
    <row r="1414" spans="1:29" x14ac:dyDescent="0.2">
      <c r="A1414" s="1422"/>
      <c r="B1414" s="2522"/>
      <c r="C1414" s="3191"/>
      <c r="D1414" s="3347"/>
      <c r="E1414" s="2421"/>
      <c r="F1414" s="2420"/>
      <c r="G1414" s="2420"/>
      <c r="H1414" s="2420"/>
      <c r="I1414" s="2420"/>
      <c r="J1414" s="2515"/>
      <c r="K1414" s="101">
        <v>2400</v>
      </c>
      <c r="L1414" s="3295"/>
      <c r="M1414" s="3287" t="s">
        <v>304</v>
      </c>
      <c r="N1414" s="3288"/>
      <c r="O1414" s="1044"/>
      <c r="P1414" s="1044"/>
      <c r="Q1414" s="40">
        <f>$K1414/2</f>
        <v>1200</v>
      </c>
      <c r="R1414" s="1044"/>
      <c r="S1414" s="1044"/>
      <c r="T1414" s="1044"/>
      <c r="U1414" s="1044"/>
      <c r="V1414" s="40">
        <f>$K1414/2</f>
        <v>1200</v>
      </c>
      <c r="W1414" s="1044"/>
      <c r="X1414" s="1044"/>
      <c r="Y1414" s="1044"/>
      <c r="Z1414" s="1044"/>
      <c r="AA1414" s="966">
        <f t="shared" si="223"/>
        <v>2400</v>
      </c>
      <c r="AB1414" s="35"/>
      <c r="AC1414" s="183"/>
    </row>
    <row r="1415" spans="1:29" x14ac:dyDescent="0.2">
      <c r="A1415" s="1422"/>
      <c r="B1415" s="2522"/>
      <c r="C1415" s="3191"/>
      <c r="D1415" s="3347"/>
      <c r="E1415" s="2421"/>
      <c r="F1415" s="2420"/>
      <c r="G1415" s="2420"/>
      <c r="H1415" s="2420"/>
      <c r="I1415" s="2420"/>
      <c r="J1415" s="2515"/>
      <c r="K1415" s="101">
        <v>500</v>
      </c>
      <c r="L1415" s="3295"/>
      <c r="M1415" s="3287" t="s">
        <v>306</v>
      </c>
      <c r="N1415" s="3288"/>
      <c r="O1415" s="1044"/>
      <c r="P1415" s="93">
        <v>500</v>
      </c>
      <c r="Q1415" s="93"/>
      <c r="R1415" s="93"/>
      <c r="S1415" s="93"/>
      <c r="T1415" s="93"/>
      <c r="U1415" s="93"/>
      <c r="V1415" s="93"/>
      <c r="W1415" s="93"/>
      <c r="X1415" s="93"/>
      <c r="Y1415" s="93"/>
      <c r="Z1415" s="93"/>
      <c r="AA1415" s="966">
        <f t="shared" si="223"/>
        <v>500</v>
      </c>
      <c r="AB1415" s="35"/>
      <c r="AC1415" s="183"/>
    </row>
    <row r="1416" spans="1:29" x14ac:dyDescent="0.2">
      <c r="A1416" s="1422"/>
      <c r="B1416" s="2522"/>
      <c r="C1416" s="3191"/>
      <c r="D1416" s="3347"/>
      <c r="E1416" s="2421"/>
      <c r="F1416" s="2420"/>
      <c r="G1416" s="2420"/>
      <c r="H1416" s="2420"/>
      <c r="I1416" s="2420"/>
      <c r="J1416" s="2515"/>
      <c r="K1416" s="101">
        <v>2000</v>
      </c>
      <c r="L1416" s="3295"/>
      <c r="M1416" s="3287" t="s">
        <v>307</v>
      </c>
      <c r="N1416" s="3288"/>
      <c r="O1416" s="1044"/>
      <c r="P1416" s="94">
        <f>$K1416/11</f>
        <v>181.81818181818181</v>
      </c>
      <c r="Q1416" s="94">
        <f t="shared" ref="Q1416:Z1416" si="226">$K1416/11</f>
        <v>181.81818181818181</v>
      </c>
      <c r="R1416" s="94">
        <f t="shared" si="226"/>
        <v>181.81818181818181</v>
      </c>
      <c r="S1416" s="94">
        <f t="shared" si="226"/>
        <v>181.81818181818181</v>
      </c>
      <c r="T1416" s="94">
        <f t="shared" si="226"/>
        <v>181.81818181818181</v>
      </c>
      <c r="U1416" s="94">
        <f t="shared" si="226"/>
        <v>181.81818181818181</v>
      </c>
      <c r="V1416" s="94">
        <f t="shared" si="226"/>
        <v>181.81818181818181</v>
      </c>
      <c r="W1416" s="94">
        <f t="shared" si="226"/>
        <v>181.81818181818181</v>
      </c>
      <c r="X1416" s="94">
        <f t="shared" si="226"/>
        <v>181.81818181818181</v>
      </c>
      <c r="Y1416" s="94">
        <f t="shared" si="226"/>
        <v>181.81818181818181</v>
      </c>
      <c r="Z1416" s="94">
        <f t="shared" si="226"/>
        <v>181.81818181818181</v>
      </c>
      <c r="AA1416" s="966">
        <f t="shared" si="223"/>
        <v>1999.9999999999995</v>
      </c>
      <c r="AB1416" s="35"/>
      <c r="AC1416" s="183"/>
    </row>
    <row r="1417" spans="1:29" x14ac:dyDescent="0.2">
      <c r="A1417" s="1422"/>
      <c r="B1417" s="2522"/>
      <c r="C1417" s="3191"/>
      <c r="D1417" s="3347"/>
      <c r="E1417" s="2421"/>
      <c r="F1417" s="2420"/>
      <c r="G1417" s="2420"/>
      <c r="H1417" s="2420"/>
      <c r="I1417" s="2420"/>
      <c r="J1417" s="2515"/>
      <c r="K1417" s="101">
        <v>7891</v>
      </c>
      <c r="L1417" s="3295"/>
      <c r="M1417" s="3287" t="s">
        <v>309</v>
      </c>
      <c r="N1417" s="3288"/>
      <c r="O1417" s="1044"/>
      <c r="P1417" s="1044"/>
      <c r="Q1417" s="1044"/>
      <c r="R1417" s="40">
        <f>$K1417/5</f>
        <v>1578.2</v>
      </c>
      <c r="S1417" s="40"/>
      <c r="T1417" s="40">
        <f>$K1417/5</f>
        <v>1578.2</v>
      </c>
      <c r="U1417" s="1044"/>
      <c r="V1417" s="40">
        <f>$K1417/5</f>
        <v>1578.2</v>
      </c>
      <c r="W1417" s="1044"/>
      <c r="X1417" s="40">
        <f>$K1417/5</f>
        <v>1578.2</v>
      </c>
      <c r="Y1417" s="1044"/>
      <c r="Z1417" s="40">
        <f>$K1417/5</f>
        <v>1578.2</v>
      </c>
      <c r="AA1417" s="966">
        <f t="shared" si="223"/>
        <v>7891</v>
      </c>
      <c r="AB1417" s="35"/>
      <c r="AC1417" s="183"/>
    </row>
    <row r="1418" spans="1:29" x14ac:dyDescent="0.2">
      <c r="A1418" s="1422"/>
      <c r="B1418" s="2522"/>
      <c r="C1418" s="3191"/>
      <c r="D1418" s="3347"/>
      <c r="E1418" s="2421"/>
      <c r="F1418" s="2420"/>
      <c r="G1418" s="2420"/>
      <c r="H1418" s="2420"/>
      <c r="I1418" s="2420"/>
      <c r="J1418" s="2515"/>
      <c r="K1418" s="101">
        <v>64320</v>
      </c>
      <c r="L1418" s="3295"/>
      <c r="M1418" s="3287" t="s">
        <v>310</v>
      </c>
      <c r="N1418" s="3288"/>
      <c r="O1418" s="40">
        <f t="shared" ref="O1418:Z1419" si="227">$K1418/12</f>
        <v>5360</v>
      </c>
      <c r="P1418" s="40">
        <f t="shared" si="227"/>
        <v>5360</v>
      </c>
      <c r="Q1418" s="40">
        <f t="shared" si="227"/>
        <v>5360</v>
      </c>
      <c r="R1418" s="40">
        <f t="shared" si="227"/>
        <v>5360</v>
      </c>
      <c r="S1418" s="40">
        <f t="shared" si="227"/>
        <v>5360</v>
      </c>
      <c r="T1418" s="40">
        <f t="shared" si="227"/>
        <v>5360</v>
      </c>
      <c r="U1418" s="40">
        <f t="shared" si="227"/>
        <v>5360</v>
      </c>
      <c r="V1418" s="40">
        <f t="shared" si="227"/>
        <v>5360</v>
      </c>
      <c r="W1418" s="40">
        <f t="shared" si="227"/>
        <v>5360</v>
      </c>
      <c r="X1418" s="40">
        <f t="shared" si="227"/>
        <v>5360</v>
      </c>
      <c r="Y1418" s="40">
        <f t="shared" si="227"/>
        <v>5360</v>
      </c>
      <c r="Z1418" s="40">
        <f t="shared" si="227"/>
        <v>5360</v>
      </c>
      <c r="AA1418" s="966">
        <f t="shared" si="223"/>
        <v>64320</v>
      </c>
      <c r="AB1418" s="35"/>
      <c r="AC1418" s="183"/>
    </row>
    <row r="1419" spans="1:29" x14ac:dyDescent="0.2">
      <c r="A1419" s="1422"/>
      <c r="B1419" s="2522"/>
      <c r="C1419" s="2439"/>
      <c r="D1419" s="3347"/>
      <c r="E1419" s="2421"/>
      <c r="F1419" s="2420"/>
      <c r="G1419" s="2420"/>
      <c r="H1419" s="2420"/>
      <c r="I1419" s="2420"/>
      <c r="J1419" s="2516"/>
      <c r="K1419" s="101">
        <v>4973</v>
      </c>
      <c r="L1419" s="3296"/>
      <c r="M1419" s="3287" t="s">
        <v>311</v>
      </c>
      <c r="N1419" s="3288"/>
      <c r="O1419" s="40">
        <f t="shared" si="227"/>
        <v>414.41666666666669</v>
      </c>
      <c r="P1419" s="40">
        <f t="shared" si="227"/>
        <v>414.41666666666669</v>
      </c>
      <c r="Q1419" s="40">
        <f t="shared" si="227"/>
        <v>414.41666666666669</v>
      </c>
      <c r="R1419" s="40">
        <f t="shared" si="227"/>
        <v>414.41666666666669</v>
      </c>
      <c r="S1419" s="40">
        <f t="shared" si="227"/>
        <v>414.41666666666669</v>
      </c>
      <c r="T1419" s="40">
        <f t="shared" si="227"/>
        <v>414.41666666666669</v>
      </c>
      <c r="U1419" s="40">
        <f t="shared" si="227"/>
        <v>414.41666666666669</v>
      </c>
      <c r="V1419" s="40">
        <f t="shared" si="227"/>
        <v>414.41666666666669</v>
      </c>
      <c r="W1419" s="40">
        <f t="shared" si="227"/>
        <v>414.41666666666669</v>
      </c>
      <c r="X1419" s="40">
        <f t="shared" si="227"/>
        <v>414.41666666666669</v>
      </c>
      <c r="Y1419" s="40">
        <f t="shared" si="227"/>
        <v>414.41666666666669</v>
      </c>
      <c r="Z1419" s="40">
        <f t="shared" si="227"/>
        <v>414.41666666666669</v>
      </c>
      <c r="AA1419" s="966">
        <f t="shared" si="223"/>
        <v>4973</v>
      </c>
      <c r="AB1419" s="35"/>
      <c r="AC1419" s="183"/>
    </row>
    <row r="1420" spans="1:29" x14ac:dyDescent="0.2">
      <c r="A1420" s="1422"/>
      <c r="B1420" s="1427" t="s">
        <v>312</v>
      </c>
      <c r="C1420" s="1128"/>
      <c r="D1420" s="38"/>
      <c r="E1420" s="38"/>
      <c r="F1420" s="38"/>
      <c r="G1420" s="38"/>
      <c r="H1420" s="38"/>
      <c r="I1420" s="38"/>
      <c r="J1420" s="38"/>
      <c r="K1420" s="1044">
        <f>SUM(K1404:K1419)</f>
        <v>298369</v>
      </c>
      <c r="L1420" s="38"/>
      <c r="M1420" s="38"/>
      <c r="N1420" s="38"/>
      <c r="O1420" s="1044"/>
      <c r="P1420" s="1044"/>
      <c r="Q1420" s="1044"/>
      <c r="R1420" s="1044"/>
      <c r="S1420" s="1044"/>
      <c r="T1420" s="1044"/>
      <c r="U1420" s="1044"/>
      <c r="V1420" s="1044"/>
      <c r="W1420" s="1044"/>
      <c r="X1420" s="1044"/>
      <c r="Y1420" s="1044"/>
      <c r="Z1420" s="1044"/>
      <c r="AA1420" s="1234"/>
      <c r="AB1420" s="35"/>
      <c r="AC1420" s="183"/>
    </row>
    <row r="1421" spans="1:29" x14ac:dyDescent="0.2">
      <c r="A1421" s="1422"/>
      <c r="B1421" s="1433" t="s">
        <v>278</v>
      </c>
      <c r="C1421" s="1119"/>
      <c r="D1421" s="1119">
        <v>3043953</v>
      </c>
      <c r="E1421" s="192" t="s">
        <v>594</v>
      </c>
      <c r="F1421" s="35"/>
      <c r="G1421" s="35"/>
      <c r="H1421" s="35"/>
      <c r="I1421" s="35"/>
      <c r="J1421" s="35"/>
      <c r="K1421" s="60"/>
      <c r="L1421" s="60"/>
      <c r="M1421" s="60"/>
      <c r="N1421" s="60"/>
      <c r="O1421" s="60"/>
      <c r="P1421" s="60"/>
      <c r="Q1421" s="60"/>
      <c r="R1421" s="60"/>
      <c r="S1421" s="60"/>
      <c r="T1421" s="3235" t="s">
        <v>15</v>
      </c>
      <c r="U1421" s="3235"/>
      <c r="V1421" s="3235"/>
      <c r="W1421" s="3235"/>
      <c r="X1421" s="3235"/>
      <c r="Y1421" s="3235"/>
      <c r="Z1421" s="3023" t="s">
        <v>16</v>
      </c>
      <c r="AA1421" s="3338"/>
      <c r="AB1421" s="35"/>
      <c r="AC1421" s="183"/>
    </row>
    <row r="1422" spans="1:29" ht="36.75" customHeight="1" x14ac:dyDescent="0.2">
      <c r="A1422" s="1422"/>
      <c r="B1422" s="1433"/>
      <c r="C1422" s="1119"/>
      <c r="D1422" s="1119"/>
      <c r="E1422" s="192"/>
      <c r="F1422" s="35"/>
      <c r="G1422" s="35"/>
      <c r="H1422" s="35"/>
      <c r="I1422" s="35"/>
      <c r="J1422" s="35"/>
      <c r="K1422" s="60"/>
      <c r="L1422" s="60"/>
      <c r="M1422" s="60"/>
      <c r="N1422" s="60"/>
      <c r="O1422" s="60"/>
      <c r="P1422" s="60"/>
      <c r="Q1422" s="60"/>
      <c r="R1422" s="60"/>
      <c r="S1422" s="60"/>
      <c r="T1422" s="3233" t="s">
        <v>3723</v>
      </c>
      <c r="U1422" s="3233"/>
      <c r="V1422" s="3233"/>
      <c r="W1422" s="3233"/>
      <c r="X1422" s="3233"/>
      <c r="Y1422" s="3233"/>
      <c r="Z1422" s="3019" t="s">
        <v>595</v>
      </c>
      <c r="AA1422" s="3020"/>
      <c r="AB1422" s="35"/>
      <c r="AC1422" s="183"/>
    </row>
    <row r="1423" spans="1:29" x14ac:dyDescent="0.2">
      <c r="A1423" s="1422"/>
      <c r="B1423" s="2999" t="s">
        <v>278</v>
      </c>
      <c r="C1423" s="3015" t="s">
        <v>563</v>
      </c>
      <c r="D1423" s="2847" t="s">
        <v>22</v>
      </c>
      <c r="E1423" s="2847" t="s">
        <v>23</v>
      </c>
      <c r="F1423" s="2847" t="s">
        <v>24</v>
      </c>
      <c r="G1423" s="2847" t="s">
        <v>25</v>
      </c>
      <c r="H1423" s="2847" t="s">
        <v>26</v>
      </c>
      <c r="I1423" s="2847" t="s">
        <v>27</v>
      </c>
      <c r="J1423" s="2847" t="s">
        <v>28</v>
      </c>
      <c r="K1423" s="2847"/>
      <c r="L1423" s="2988" t="s">
        <v>279</v>
      </c>
      <c r="M1423" s="3273" t="s">
        <v>280</v>
      </c>
      <c r="N1423" s="3274"/>
      <c r="O1423" s="2847" t="s">
        <v>281</v>
      </c>
      <c r="P1423" s="2847"/>
      <c r="Q1423" s="2847"/>
      <c r="R1423" s="2847"/>
      <c r="S1423" s="2847"/>
      <c r="T1423" s="2847"/>
      <c r="U1423" s="2847"/>
      <c r="V1423" s="2847"/>
      <c r="W1423" s="2847"/>
      <c r="X1423" s="2847"/>
      <c r="Y1423" s="2847"/>
      <c r="Z1423" s="2847"/>
      <c r="AA1423" s="2847" t="s">
        <v>32</v>
      </c>
      <c r="AB1423" s="35"/>
      <c r="AC1423" s="183"/>
    </row>
    <row r="1424" spans="1:29" x14ac:dyDescent="0.2">
      <c r="A1424" s="1422"/>
      <c r="B1424" s="2999"/>
      <c r="C1424" s="3359"/>
      <c r="D1424" s="2847"/>
      <c r="E1424" s="2847"/>
      <c r="F1424" s="2847"/>
      <c r="G1424" s="2847"/>
      <c r="H1424" s="2847"/>
      <c r="I1424" s="2847"/>
      <c r="J1424" s="2847" t="s">
        <v>33</v>
      </c>
      <c r="K1424" s="2847" t="s">
        <v>282</v>
      </c>
      <c r="L1424" s="3186"/>
      <c r="M1424" s="3275"/>
      <c r="N1424" s="3276"/>
      <c r="O1424" s="1017" t="s">
        <v>283</v>
      </c>
      <c r="P1424" s="1017" t="s">
        <v>284</v>
      </c>
      <c r="Q1424" s="1017" t="s">
        <v>285</v>
      </c>
      <c r="R1424" s="1017" t="s">
        <v>88</v>
      </c>
      <c r="S1424" s="1017" t="s">
        <v>89</v>
      </c>
      <c r="T1424" s="1017" t="s">
        <v>90</v>
      </c>
      <c r="U1424" s="1017" t="s">
        <v>91</v>
      </c>
      <c r="V1424" s="1017" t="s">
        <v>92</v>
      </c>
      <c r="W1424" s="1017" t="s">
        <v>286</v>
      </c>
      <c r="X1424" s="1017" t="s">
        <v>93</v>
      </c>
      <c r="Y1424" s="1017" t="s">
        <v>94</v>
      </c>
      <c r="Z1424" s="1017" t="s">
        <v>95</v>
      </c>
      <c r="AA1424" s="2847"/>
      <c r="AB1424" s="35"/>
      <c r="AC1424" s="183"/>
    </row>
    <row r="1425" spans="1:29" ht="12.75" x14ac:dyDescent="0.2">
      <c r="A1425" s="1422"/>
      <c r="B1425" s="2999"/>
      <c r="C1425" s="3359"/>
      <c r="D1425" s="2847"/>
      <c r="E1425" s="2847"/>
      <c r="F1425" s="2847"/>
      <c r="G1425" s="2847"/>
      <c r="H1425" s="2847"/>
      <c r="I1425" s="2847"/>
      <c r="J1425" s="2847"/>
      <c r="K1425" s="2847"/>
      <c r="L1425" s="3186"/>
      <c r="M1425" s="3271" t="s">
        <v>287</v>
      </c>
      <c r="N1425" s="3272"/>
      <c r="O1425" s="1095"/>
      <c r="P1425" s="1095"/>
      <c r="Q1425" s="1095">
        <v>20</v>
      </c>
      <c r="R1425" s="1095">
        <v>25</v>
      </c>
      <c r="S1425" s="1095">
        <v>25</v>
      </c>
      <c r="T1425" s="1095">
        <v>25</v>
      </c>
      <c r="U1425" s="1095">
        <v>25</v>
      </c>
      <c r="V1425" s="1095">
        <v>25</v>
      </c>
      <c r="W1425" s="1095">
        <v>25</v>
      </c>
      <c r="X1425" s="1095">
        <v>25</v>
      </c>
      <c r="Y1425" s="1095">
        <v>25</v>
      </c>
      <c r="Z1425" s="1095">
        <v>25</v>
      </c>
      <c r="AA1425" s="1205">
        <f t="shared" ref="AA1425:AA1430" si="228">SUM(O1425:Z1425)</f>
        <v>245</v>
      </c>
      <c r="AB1425" s="35"/>
      <c r="AC1425" s="183"/>
    </row>
    <row r="1426" spans="1:29" ht="12.75" x14ac:dyDescent="0.2">
      <c r="A1426" s="1422"/>
      <c r="B1426" s="2999"/>
      <c r="C1426" s="3016"/>
      <c r="D1426" s="2847"/>
      <c r="E1426" s="2847"/>
      <c r="F1426" s="2847"/>
      <c r="G1426" s="2847"/>
      <c r="H1426" s="2847"/>
      <c r="I1426" s="2847"/>
      <c r="J1426" s="2847"/>
      <c r="K1426" s="2847"/>
      <c r="L1426" s="2989"/>
      <c r="M1426" s="3271" t="s">
        <v>34</v>
      </c>
      <c r="N1426" s="3272"/>
      <c r="O1426" s="36">
        <f>SUM(O1427:O1438)</f>
        <v>43000.666666666664</v>
      </c>
      <c r="P1426" s="36">
        <f t="shared" ref="P1426:Z1426" si="229">SUM(P1427:P1438)</f>
        <v>37415.030303030304</v>
      </c>
      <c r="Q1426" s="36">
        <f t="shared" si="229"/>
        <v>37415.030303030304</v>
      </c>
      <c r="R1426" s="36">
        <f t="shared" si="229"/>
        <v>37415.030303030304</v>
      </c>
      <c r="S1426" s="36">
        <f t="shared" si="229"/>
        <v>37415.030303030304</v>
      </c>
      <c r="T1426" s="36">
        <f t="shared" si="229"/>
        <v>37415.030303030304</v>
      </c>
      <c r="U1426" s="36">
        <f t="shared" si="229"/>
        <v>41615.030303030304</v>
      </c>
      <c r="V1426" s="36">
        <f t="shared" si="229"/>
        <v>37415.030303030304</v>
      </c>
      <c r="W1426" s="36">
        <f t="shared" si="229"/>
        <v>37415.030303030304</v>
      </c>
      <c r="X1426" s="36">
        <f t="shared" si="229"/>
        <v>37415.030303030304</v>
      </c>
      <c r="Y1426" s="36">
        <f t="shared" si="229"/>
        <v>37415.030303030304</v>
      </c>
      <c r="Z1426" s="36">
        <f t="shared" si="229"/>
        <v>41615.030303030304</v>
      </c>
      <c r="AA1426" s="1205">
        <f t="shared" si="228"/>
        <v>462965.99999999988</v>
      </c>
      <c r="AB1426" s="35"/>
      <c r="AC1426" s="183"/>
    </row>
    <row r="1427" spans="1:29" ht="11.25" customHeight="1" x14ac:dyDescent="0.2">
      <c r="A1427" s="1422"/>
      <c r="B1427" s="2522">
        <v>5000063</v>
      </c>
      <c r="C1427" s="3190" t="s">
        <v>3079</v>
      </c>
      <c r="D1427" s="2421"/>
      <c r="E1427" s="2421" t="s">
        <v>407</v>
      </c>
      <c r="F1427" s="2420" t="s">
        <v>313</v>
      </c>
      <c r="G1427" s="2420" t="s">
        <v>329</v>
      </c>
      <c r="H1427" s="2420"/>
      <c r="I1427" s="2420" t="s">
        <v>373</v>
      </c>
      <c r="J1427" s="2514">
        <v>245</v>
      </c>
      <c r="K1427" s="101">
        <v>56424</v>
      </c>
      <c r="L1427" s="3294" t="s">
        <v>565</v>
      </c>
      <c r="M1427" s="3287" t="s">
        <v>293</v>
      </c>
      <c r="N1427" s="3288"/>
      <c r="O1427" s="40">
        <f t="shared" ref="O1427:Z1431" si="230">$K1427/12</f>
        <v>4702</v>
      </c>
      <c r="P1427" s="40">
        <f t="shared" si="230"/>
        <v>4702</v>
      </c>
      <c r="Q1427" s="40">
        <f t="shared" si="230"/>
        <v>4702</v>
      </c>
      <c r="R1427" s="40">
        <f t="shared" si="230"/>
        <v>4702</v>
      </c>
      <c r="S1427" s="40">
        <f t="shared" si="230"/>
        <v>4702</v>
      </c>
      <c r="T1427" s="40">
        <f t="shared" si="230"/>
        <v>4702</v>
      </c>
      <c r="U1427" s="40">
        <f t="shared" si="230"/>
        <v>4702</v>
      </c>
      <c r="V1427" s="40">
        <f t="shared" si="230"/>
        <v>4702</v>
      </c>
      <c r="W1427" s="40">
        <f t="shared" si="230"/>
        <v>4702</v>
      </c>
      <c r="X1427" s="40">
        <f t="shared" si="230"/>
        <v>4702</v>
      </c>
      <c r="Y1427" s="40">
        <f t="shared" si="230"/>
        <v>4702</v>
      </c>
      <c r="Z1427" s="40">
        <f t="shared" si="230"/>
        <v>4702</v>
      </c>
      <c r="AA1427" s="966">
        <f>SUM(O1427:Z1427)</f>
        <v>56424</v>
      </c>
      <c r="AB1427" s="35"/>
      <c r="AC1427" s="183"/>
    </row>
    <row r="1428" spans="1:29" x14ac:dyDescent="0.2">
      <c r="A1428" s="1422"/>
      <c r="B1428" s="2522"/>
      <c r="C1428" s="3191"/>
      <c r="D1428" s="2421"/>
      <c r="E1428" s="2421"/>
      <c r="F1428" s="2420"/>
      <c r="G1428" s="2420"/>
      <c r="H1428" s="2420"/>
      <c r="I1428" s="2420"/>
      <c r="J1428" s="2515"/>
      <c r="K1428" s="101">
        <v>243168</v>
      </c>
      <c r="L1428" s="3295"/>
      <c r="M1428" s="3287" t="s">
        <v>295</v>
      </c>
      <c r="N1428" s="3288"/>
      <c r="O1428" s="40">
        <f t="shared" si="230"/>
        <v>20264</v>
      </c>
      <c r="P1428" s="40">
        <f t="shared" si="230"/>
        <v>20264</v>
      </c>
      <c r="Q1428" s="40">
        <f t="shared" si="230"/>
        <v>20264</v>
      </c>
      <c r="R1428" s="40">
        <f t="shared" si="230"/>
        <v>20264</v>
      </c>
      <c r="S1428" s="40">
        <f t="shared" si="230"/>
        <v>20264</v>
      </c>
      <c r="T1428" s="40">
        <f t="shared" si="230"/>
        <v>20264</v>
      </c>
      <c r="U1428" s="40">
        <f t="shared" si="230"/>
        <v>20264</v>
      </c>
      <c r="V1428" s="40">
        <f t="shared" si="230"/>
        <v>20264</v>
      </c>
      <c r="W1428" s="40">
        <f t="shared" si="230"/>
        <v>20264</v>
      </c>
      <c r="X1428" s="40">
        <f t="shared" si="230"/>
        <v>20264</v>
      </c>
      <c r="Y1428" s="40">
        <f t="shared" si="230"/>
        <v>20264</v>
      </c>
      <c r="Z1428" s="40">
        <f t="shared" si="230"/>
        <v>20264</v>
      </c>
      <c r="AA1428" s="966">
        <f t="shared" si="228"/>
        <v>243168</v>
      </c>
      <c r="AB1428" s="35"/>
      <c r="AC1428" s="183"/>
    </row>
    <row r="1429" spans="1:29" x14ac:dyDescent="0.2">
      <c r="A1429" s="1422"/>
      <c r="B1429" s="2522"/>
      <c r="C1429" s="3191"/>
      <c r="D1429" s="2421"/>
      <c r="E1429" s="2421"/>
      <c r="F1429" s="2420"/>
      <c r="G1429" s="2420"/>
      <c r="H1429" s="2420"/>
      <c r="I1429" s="2420"/>
      <c r="J1429" s="2515"/>
      <c r="K1429" s="101">
        <v>20592</v>
      </c>
      <c r="L1429" s="3295"/>
      <c r="M1429" s="3287" t="s">
        <v>332</v>
      </c>
      <c r="N1429" s="3288"/>
      <c r="O1429" s="40">
        <f t="shared" si="230"/>
        <v>1716</v>
      </c>
      <c r="P1429" s="40">
        <f t="shared" si="230"/>
        <v>1716</v>
      </c>
      <c r="Q1429" s="40">
        <f t="shared" si="230"/>
        <v>1716</v>
      </c>
      <c r="R1429" s="40">
        <f t="shared" si="230"/>
        <v>1716</v>
      </c>
      <c r="S1429" s="40">
        <f t="shared" si="230"/>
        <v>1716</v>
      </c>
      <c r="T1429" s="40">
        <f t="shared" si="230"/>
        <v>1716</v>
      </c>
      <c r="U1429" s="40">
        <f t="shared" si="230"/>
        <v>1716</v>
      </c>
      <c r="V1429" s="40">
        <f t="shared" si="230"/>
        <v>1716</v>
      </c>
      <c r="W1429" s="40">
        <f t="shared" si="230"/>
        <v>1716</v>
      </c>
      <c r="X1429" s="40">
        <f t="shared" si="230"/>
        <v>1716</v>
      </c>
      <c r="Y1429" s="40">
        <f t="shared" si="230"/>
        <v>1716</v>
      </c>
      <c r="Z1429" s="40">
        <f t="shared" si="230"/>
        <v>1716</v>
      </c>
      <c r="AA1429" s="966">
        <f t="shared" si="228"/>
        <v>20592</v>
      </c>
      <c r="AB1429" s="35"/>
      <c r="AC1429" s="183"/>
    </row>
    <row r="1430" spans="1:29" x14ac:dyDescent="0.2">
      <c r="A1430" s="1422"/>
      <c r="B1430" s="2522"/>
      <c r="C1430" s="3191"/>
      <c r="D1430" s="2421"/>
      <c r="E1430" s="2421"/>
      <c r="F1430" s="2420"/>
      <c r="G1430" s="2420"/>
      <c r="H1430" s="2420"/>
      <c r="I1430" s="2420"/>
      <c r="J1430" s="2515"/>
      <c r="K1430" s="101">
        <v>67309</v>
      </c>
      <c r="L1430" s="3295"/>
      <c r="M1430" s="3287" t="s">
        <v>296</v>
      </c>
      <c r="N1430" s="3288"/>
      <c r="O1430" s="40">
        <f t="shared" si="230"/>
        <v>5609.083333333333</v>
      </c>
      <c r="P1430" s="40">
        <f t="shared" si="230"/>
        <v>5609.083333333333</v>
      </c>
      <c r="Q1430" s="40">
        <f t="shared" si="230"/>
        <v>5609.083333333333</v>
      </c>
      <c r="R1430" s="40">
        <f t="shared" si="230"/>
        <v>5609.083333333333</v>
      </c>
      <c r="S1430" s="40">
        <f t="shared" si="230"/>
        <v>5609.083333333333</v>
      </c>
      <c r="T1430" s="40">
        <f t="shared" si="230"/>
        <v>5609.083333333333</v>
      </c>
      <c r="U1430" s="40">
        <f t="shared" si="230"/>
        <v>5609.083333333333</v>
      </c>
      <c r="V1430" s="40">
        <f t="shared" si="230"/>
        <v>5609.083333333333</v>
      </c>
      <c r="W1430" s="40">
        <f t="shared" si="230"/>
        <v>5609.083333333333</v>
      </c>
      <c r="X1430" s="40">
        <f t="shared" si="230"/>
        <v>5609.083333333333</v>
      </c>
      <c r="Y1430" s="40">
        <f t="shared" si="230"/>
        <v>5609.083333333333</v>
      </c>
      <c r="Z1430" s="40">
        <f t="shared" si="230"/>
        <v>5609.083333333333</v>
      </c>
      <c r="AA1430" s="966">
        <f t="shared" si="228"/>
        <v>67309.000000000015</v>
      </c>
      <c r="AB1430" s="35"/>
      <c r="AC1430" s="183"/>
    </row>
    <row r="1431" spans="1:29" x14ac:dyDescent="0.2">
      <c r="A1431" s="1422"/>
      <c r="B1431" s="2522"/>
      <c r="C1431" s="3191"/>
      <c r="D1431" s="2421"/>
      <c r="E1431" s="2421"/>
      <c r="F1431" s="2420"/>
      <c r="G1431" s="2420"/>
      <c r="H1431" s="2420"/>
      <c r="I1431" s="2420"/>
      <c r="J1431" s="2515"/>
      <c r="K1431" s="101">
        <v>27228</v>
      </c>
      <c r="L1431" s="3295"/>
      <c r="M1431" s="3287" t="s">
        <v>297</v>
      </c>
      <c r="N1431" s="3288"/>
      <c r="O1431" s="40">
        <f t="shared" si="230"/>
        <v>2269</v>
      </c>
      <c r="P1431" s="40">
        <f t="shared" si="230"/>
        <v>2269</v>
      </c>
      <c r="Q1431" s="40">
        <f t="shared" si="230"/>
        <v>2269</v>
      </c>
      <c r="R1431" s="40">
        <f t="shared" si="230"/>
        <v>2269</v>
      </c>
      <c r="S1431" s="40">
        <f t="shared" si="230"/>
        <v>2269</v>
      </c>
      <c r="T1431" s="40">
        <f t="shared" si="230"/>
        <v>2269</v>
      </c>
      <c r="U1431" s="40">
        <f t="shared" si="230"/>
        <v>2269</v>
      </c>
      <c r="V1431" s="40">
        <f t="shared" si="230"/>
        <v>2269</v>
      </c>
      <c r="W1431" s="40">
        <f t="shared" si="230"/>
        <v>2269</v>
      </c>
      <c r="X1431" s="40">
        <f t="shared" si="230"/>
        <v>2269</v>
      </c>
      <c r="Y1431" s="40">
        <f t="shared" si="230"/>
        <v>2269</v>
      </c>
      <c r="Z1431" s="40">
        <f t="shared" si="230"/>
        <v>2269</v>
      </c>
      <c r="AA1431" s="966">
        <f>SUM(O1431:Z1431)</f>
        <v>27228</v>
      </c>
      <c r="AB1431" s="35"/>
      <c r="AC1431" s="183"/>
    </row>
    <row r="1432" spans="1:29" x14ac:dyDescent="0.2">
      <c r="A1432" s="1422"/>
      <c r="B1432" s="2522"/>
      <c r="C1432" s="3191"/>
      <c r="D1432" s="2421"/>
      <c r="E1432" s="2421"/>
      <c r="F1432" s="2420"/>
      <c r="G1432" s="2420"/>
      <c r="H1432" s="2420"/>
      <c r="I1432" s="2420"/>
      <c r="J1432" s="2515"/>
      <c r="K1432" s="101">
        <v>8400</v>
      </c>
      <c r="L1432" s="3295"/>
      <c r="M1432" s="3287" t="s">
        <v>298</v>
      </c>
      <c r="N1432" s="3288"/>
      <c r="O1432" s="1044"/>
      <c r="P1432" s="1044"/>
      <c r="Q1432" s="1044"/>
      <c r="R1432" s="1044"/>
      <c r="S1432" s="1044"/>
      <c r="T1432" s="1044"/>
      <c r="U1432" s="40">
        <f>$K1432/2</f>
        <v>4200</v>
      </c>
      <c r="V1432" s="1044"/>
      <c r="W1432" s="1044"/>
      <c r="X1432" s="1044"/>
      <c r="Y1432" s="1044"/>
      <c r="Z1432" s="40">
        <f>$K1432/2</f>
        <v>4200</v>
      </c>
      <c r="AA1432" s="966">
        <f t="shared" ref="AA1432:AA1438" si="231">SUM(O1432:Z1432)</f>
        <v>8400</v>
      </c>
      <c r="AB1432" s="35"/>
      <c r="AC1432" s="183"/>
    </row>
    <row r="1433" spans="1:29" x14ac:dyDescent="0.2">
      <c r="A1433" s="1422"/>
      <c r="B1433" s="2522"/>
      <c r="C1433" s="3191"/>
      <c r="D1433" s="2421"/>
      <c r="E1433" s="2421"/>
      <c r="F1433" s="2420"/>
      <c r="G1433" s="2420"/>
      <c r="H1433" s="2420"/>
      <c r="I1433" s="2420"/>
      <c r="J1433" s="2515"/>
      <c r="K1433" s="101">
        <v>5600</v>
      </c>
      <c r="L1433" s="3295"/>
      <c r="M1433" s="3287" t="s">
        <v>299</v>
      </c>
      <c r="N1433" s="3288"/>
      <c r="O1433" s="40">
        <f>$K1433</f>
        <v>5600</v>
      </c>
      <c r="P1433" s="40"/>
      <c r="Q1433" s="40"/>
      <c r="R1433" s="40"/>
      <c r="S1433" s="40"/>
      <c r="T1433" s="40"/>
      <c r="U1433" s="40"/>
      <c r="V1433" s="40"/>
      <c r="W1433" s="40"/>
      <c r="X1433" s="40"/>
      <c r="Y1433" s="40"/>
      <c r="Z1433" s="40"/>
      <c r="AA1433" s="966">
        <f t="shared" si="231"/>
        <v>5600</v>
      </c>
      <c r="AB1433" s="35"/>
      <c r="AC1433" s="183"/>
    </row>
    <row r="1434" spans="1:29" x14ac:dyDescent="0.2">
      <c r="A1434" s="1422"/>
      <c r="B1434" s="2522"/>
      <c r="C1434" s="3191"/>
      <c r="D1434" s="2421"/>
      <c r="E1434" s="2421"/>
      <c r="F1434" s="2420"/>
      <c r="G1434" s="2420"/>
      <c r="H1434" s="2420"/>
      <c r="I1434" s="2420"/>
      <c r="J1434" s="2515"/>
      <c r="K1434" s="101">
        <v>23575</v>
      </c>
      <c r="L1434" s="3295"/>
      <c r="M1434" s="3287" t="s">
        <v>300</v>
      </c>
      <c r="N1434" s="3288"/>
      <c r="O1434" s="40">
        <f t="shared" ref="O1434:Z1435" si="232">$K1434/12</f>
        <v>1964.5833333333333</v>
      </c>
      <c r="P1434" s="40">
        <f t="shared" si="232"/>
        <v>1964.5833333333333</v>
      </c>
      <c r="Q1434" s="40">
        <f t="shared" si="232"/>
        <v>1964.5833333333333</v>
      </c>
      <c r="R1434" s="40">
        <f t="shared" si="232"/>
        <v>1964.5833333333333</v>
      </c>
      <c r="S1434" s="40">
        <f t="shared" si="232"/>
        <v>1964.5833333333333</v>
      </c>
      <c r="T1434" s="40">
        <f t="shared" si="232"/>
        <v>1964.5833333333333</v>
      </c>
      <c r="U1434" s="40">
        <f t="shared" si="232"/>
        <v>1964.5833333333333</v>
      </c>
      <c r="V1434" s="40">
        <f t="shared" si="232"/>
        <v>1964.5833333333333</v>
      </c>
      <c r="W1434" s="40">
        <f t="shared" si="232"/>
        <v>1964.5833333333333</v>
      </c>
      <c r="X1434" s="40">
        <f t="shared" si="232"/>
        <v>1964.5833333333333</v>
      </c>
      <c r="Y1434" s="40">
        <f t="shared" si="232"/>
        <v>1964.5833333333333</v>
      </c>
      <c r="Z1434" s="40">
        <f t="shared" si="232"/>
        <v>1964.5833333333333</v>
      </c>
      <c r="AA1434" s="966">
        <f t="shared" si="231"/>
        <v>23574.999999999996</v>
      </c>
      <c r="AB1434" s="35"/>
      <c r="AC1434" s="183"/>
    </row>
    <row r="1435" spans="1:29" x14ac:dyDescent="0.2">
      <c r="A1435" s="1422"/>
      <c r="B1435" s="2522"/>
      <c r="C1435" s="3191"/>
      <c r="D1435" s="2421"/>
      <c r="E1435" s="2421"/>
      <c r="F1435" s="2420"/>
      <c r="G1435" s="2420"/>
      <c r="H1435" s="2420"/>
      <c r="I1435" s="2420"/>
      <c r="J1435" s="2515"/>
      <c r="K1435" s="101">
        <v>702</v>
      </c>
      <c r="L1435" s="3295"/>
      <c r="M1435" s="3287" t="s">
        <v>301</v>
      </c>
      <c r="N1435" s="3288"/>
      <c r="O1435" s="40">
        <f t="shared" si="232"/>
        <v>58.5</v>
      </c>
      <c r="P1435" s="40">
        <f t="shared" si="232"/>
        <v>58.5</v>
      </c>
      <c r="Q1435" s="40">
        <f t="shared" si="232"/>
        <v>58.5</v>
      </c>
      <c r="R1435" s="40">
        <f t="shared" si="232"/>
        <v>58.5</v>
      </c>
      <c r="S1435" s="40">
        <f t="shared" si="232"/>
        <v>58.5</v>
      </c>
      <c r="T1435" s="40">
        <f t="shared" si="232"/>
        <v>58.5</v>
      </c>
      <c r="U1435" s="40">
        <f t="shared" si="232"/>
        <v>58.5</v>
      </c>
      <c r="V1435" s="40">
        <f t="shared" si="232"/>
        <v>58.5</v>
      </c>
      <c r="W1435" s="40">
        <f t="shared" si="232"/>
        <v>58.5</v>
      </c>
      <c r="X1435" s="40">
        <f t="shared" si="232"/>
        <v>58.5</v>
      </c>
      <c r="Y1435" s="40">
        <f t="shared" si="232"/>
        <v>58.5</v>
      </c>
      <c r="Z1435" s="40">
        <f t="shared" si="232"/>
        <v>58.5</v>
      </c>
      <c r="AA1435" s="966">
        <f t="shared" si="231"/>
        <v>702</v>
      </c>
      <c r="AB1435" s="35"/>
      <c r="AC1435" s="183"/>
    </row>
    <row r="1436" spans="1:29" x14ac:dyDescent="0.2">
      <c r="A1436" s="1422"/>
      <c r="B1436" s="2522"/>
      <c r="C1436" s="3191"/>
      <c r="D1436" s="2421"/>
      <c r="E1436" s="2421"/>
      <c r="F1436" s="2420"/>
      <c r="G1436" s="2420"/>
      <c r="H1436" s="2420"/>
      <c r="I1436" s="2420"/>
      <c r="J1436" s="2515"/>
      <c r="K1436" s="101">
        <v>158</v>
      </c>
      <c r="L1436" s="3295"/>
      <c r="M1436" s="3287" t="s">
        <v>307</v>
      </c>
      <c r="N1436" s="3288"/>
      <c r="O1436" s="1044"/>
      <c r="P1436" s="94">
        <f>$K1436/11</f>
        <v>14.363636363636363</v>
      </c>
      <c r="Q1436" s="94">
        <f t="shared" ref="Q1436:Z1436" si="233">$K1436/11</f>
        <v>14.363636363636363</v>
      </c>
      <c r="R1436" s="94">
        <f t="shared" si="233"/>
        <v>14.363636363636363</v>
      </c>
      <c r="S1436" s="94">
        <f t="shared" si="233"/>
        <v>14.363636363636363</v>
      </c>
      <c r="T1436" s="94">
        <f t="shared" si="233"/>
        <v>14.363636363636363</v>
      </c>
      <c r="U1436" s="94">
        <f t="shared" si="233"/>
        <v>14.363636363636363</v>
      </c>
      <c r="V1436" s="94">
        <f t="shared" si="233"/>
        <v>14.363636363636363</v>
      </c>
      <c r="W1436" s="94">
        <f t="shared" si="233"/>
        <v>14.363636363636363</v>
      </c>
      <c r="X1436" s="94">
        <f t="shared" si="233"/>
        <v>14.363636363636363</v>
      </c>
      <c r="Y1436" s="94">
        <f t="shared" si="233"/>
        <v>14.363636363636363</v>
      </c>
      <c r="Z1436" s="94">
        <f t="shared" si="233"/>
        <v>14.363636363636363</v>
      </c>
      <c r="AA1436" s="966">
        <f t="shared" si="231"/>
        <v>158</v>
      </c>
      <c r="AB1436" s="35"/>
      <c r="AC1436" s="183"/>
    </row>
    <row r="1437" spans="1:29" x14ac:dyDescent="0.2">
      <c r="A1437" s="1422"/>
      <c r="B1437" s="2522"/>
      <c r="C1437" s="3191"/>
      <c r="D1437" s="2421"/>
      <c r="E1437" s="2421"/>
      <c r="F1437" s="2420"/>
      <c r="G1437" s="2420"/>
      <c r="H1437" s="2420"/>
      <c r="I1437" s="2420"/>
      <c r="J1437" s="2515"/>
      <c r="K1437" s="101">
        <v>9000</v>
      </c>
      <c r="L1437" s="3295"/>
      <c r="M1437" s="3287" t="s">
        <v>310</v>
      </c>
      <c r="N1437" s="3288"/>
      <c r="O1437" s="40">
        <f t="shared" ref="O1437:Z1438" si="234">$K1437/12</f>
        <v>750</v>
      </c>
      <c r="P1437" s="40">
        <f t="shared" si="234"/>
        <v>750</v>
      </c>
      <c r="Q1437" s="40">
        <f t="shared" si="234"/>
        <v>750</v>
      </c>
      <c r="R1437" s="40">
        <f t="shared" si="234"/>
        <v>750</v>
      </c>
      <c r="S1437" s="40">
        <f t="shared" si="234"/>
        <v>750</v>
      </c>
      <c r="T1437" s="40">
        <f t="shared" si="234"/>
        <v>750</v>
      </c>
      <c r="U1437" s="40">
        <f t="shared" si="234"/>
        <v>750</v>
      </c>
      <c r="V1437" s="40">
        <f t="shared" si="234"/>
        <v>750</v>
      </c>
      <c r="W1437" s="40">
        <f t="shared" si="234"/>
        <v>750</v>
      </c>
      <c r="X1437" s="40">
        <f t="shared" si="234"/>
        <v>750</v>
      </c>
      <c r="Y1437" s="40">
        <f t="shared" si="234"/>
        <v>750</v>
      </c>
      <c r="Z1437" s="40">
        <f t="shared" si="234"/>
        <v>750</v>
      </c>
      <c r="AA1437" s="966">
        <f t="shared" si="231"/>
        <v>9000</v>
      </c>
      <c r="AB1437" s="35"/>
      <c r="AC1437" s="183"/>
    </row>
    <row r="1438" spans="1:29" x14ac:dyDescent="0.2">
      <c r="A1438" s="1422"/>
      <c r="B1438" s="2522"/>
      <c r="C1438" s="2439"/>
      <c r="D1438" s="2421"/>
      <c r="E1438" s="2421"/>
      <c r="F1438" s="2420"/>
      <c r="G1438" s="2420"/>
      <c r="H1438" s="2420"/>
      <c r="I1438" s="2420"/>
      <c r="J1438" s="2516"/>
      <c r="K1438" s="101">
        <v>810</v>
      </c>
      <c r="L1438" s="3296"/>
      <c r="M1438" s="3287" t="s">
        <v>311</v>
      </c>
      <c r="N1438" s="3288"/>
      <c r="O1438" s="40">
        <f t="shared" si="234"/>
        <v>67.5</v>
      </c>
      <c r="P1438" s="40">
        <f t="shared" si="234"/>
        <v>67.5</v>
      </c>
      <c r="Q1438" s="40">
        <f t="shared" si="234"/>
        <v>67.5</v>
      </c>
      <c r="R1438" s="40">
        <f t="shared" si="234"/>
        <v>67.5</v>
      </c>
      <c r="S1438" s="40">
        <f t="shared" si="234"/>
        <v>67.5</v>
      </c>
      <c r="T1438" s="40">
        <f t="shared" si="234"/>
        <v>67.5</v>
      </c>
      <c r="U1438" s="40">
        <f t="shared" si="234"/>
        <v>67.5</v>
      </c>
      <c r="V1438" s="40">
        <f t="shared" si="234"/>
        <v>67.5</v>
      </c>
      <c r="W1438" s="40">
        <f t="shared" si="234"/>
        <v>67.5</v>
      </c>
      <c r="X1438" s="40">
        <f t="shared" si="234"/>
        <v>67.5</v>
      </c>
      <c r="Y1438" s="40">
        <f t="shared" si="234"/>
        <v>67.5</v>
      </c>
      <c r="Z1438" s="40">
        <f t="shared" si="234"/>
        <v>67.5</v>
      </c>
      <c r="AA1438" s="966">
        <f t="shared" si="231"/>
        <v>810</v>
      </c>
      <c r="AB1438" s="35"/>
      <c r="AC1438" s="183"/>
    </row>
    <row r="1439" spans="1:29" x14ac:dyDescent="0.2">
      <c r="A1439" s="1422"/>
      <c r="B1439" s="1427" t="s">
        <v>312</v>
      </c>
      <c r="C1439" s="1128"/>
      <c r="D1439" s="38"/>
      <c r="E1439" s="38"/>
      <c r="F1439" s="38"/>
      <c r="G1439" s="38"/>
      <c r="H1439" s="38"/>
      <c r="I1439" s="38"/>
      <c r="J1439" s="38"/>
      <c r="K1439" s="1044">
        <f>SUM(K1427:K1438)</f>
        <v>462966</v>
      </c>
      <c r="L1439" s="38"/>
      <c r="M1439" s="38"/>
      <c r="N1439" s="38"/>
      <c r="O1439" s="1044"/>
      <c r="P1439" s="1044"/>
      <c r="Q1439" s="1044"/>
      <c r="R1439" s="1044"/>
      <c r="S1439" s="1044"/>
      <c r="T1439" s="1044"/>
      <c r="U1439" s="1044"/>
      <c r="V1439" s="1044"/>
      <c r="W1439" s="1044"/>
      <c r="X1439" s="1044"/>
      <c r="Y1439" s="1044"/>
      <c r="Z1439" s="1044"/>
      <c r="AA1439" s="38"/>
      <c r="AB1439" s="35"/>
      <c r="AC1439" s="183"/>
    </row>
    <row r="1440" spans="1:29" ht="22.5" customHeight="1" x14ac:dyDescent="0.2">
      <c r="A1440" s="1422"/>
      <c r="B1440" s="1422"/>
      <c r="C1440" s="1124"/>
      <c r="D1440" s="35"/>
      <c r="E1440" s="35"/>
      <c r="F1440" s="35"/>
      <c r="G1440" s="35"/>
      <c r="H1440" s="35"/>
      <c r="I1440" s="35"/>
      <c r="J1440" s="35"/>
      <c r="K1440" s="102"/>
      <c r="L1440" s="35"/>
      <c r="M1440" s="35"/>
      <c r="N1440" s="35"/>
      <c r="O1440" s="102"/>
      <c r="P1440" s="102"/>
      <c r="Q1440" s="102"/>
      <c r="R1440" s="102"/>
      <c r="S1440" s="102"/>
      <c r="T1440" s="3235" t="s">
        <v>15</v>
      </c>
      <c r="U1440" s="3235"/>
      <c r="V1440" s="3235"/>
      <c r="W1440" s="3235"/>
      <c r="X1440" s="3235"/>
      <c r="Y1440" s="3235"/>
      <c r="Z1440" s="2974" t="s">
        <v>16</v>
      </c>
      <c r="AA1440" s="2976"/>
      <c r="AB1440" s="35"/>
      <c r="AC1440" s="183"/>
    </row>
    <row r="1441" spans="1:29" ht="26.25" customHeight="1" x14ac:dyDescent="0.2">
      <c r="A1441" s="1422"/>
      <c r="B1441" s="1433" t="s">
        <v>278</v>
      </c>
      <c r="C1441" s="1119"/>
      <c r="D1441" s="1119">
        <v>3043954</v>
      </c>
      <c r="E1441" s="192" t="s">
        <v>596</v>
      </c>
      <c r="F1441" s="35"/>
      <c r="G1441" s="35"/>
      <c r="H1441" s="35"/>
      <c r="I1441" s="35"/>
      <c r="J1441" s="35"/>
      <c r="K1441" s="60"/>
      <c r="L1441" s="60"/>
      <c r="M1441" s="60"/>
      <c r="N1441" s="60"/>
      <c r="O1441" s="60"/>
      <c r="P1441" s="60"/>
      <c r="Q1441" s="60"/>
      <c r="R1441" s="60"/>
      <c r="S1441" s="60"/>
      <c r="T1441" s="3233" t="s">
        <v>597</v>
      </c>
      <c r="U1441" s="3233"/>
      <c r="V1441" s="3233"/>
      <c r="W1441" s="3233"/>
      <c r="X1441" s="3233"/>
      <c r="Y1441" s="3233"/>
      <c r="Z1441" s="3019" t="s">
        <v>598</v>
      </c>
      <c r="AA1441" s="3020"/>
      <c r="AB1441" s="35"/>
      <c r="AC1441" s="183"/>
    </row>
    <row r="1442" spans="1:29" x14ac:dyDescent="0.2">
      <c r="A1442" s="1422"/>
      <c r="B1442" s="2999" t="s">
        <v>278</v>
      </c>
      <c r="C1442" s="3015" t="s">
        <v>563</v>
      </c>
      <c r="D1442" s="2847" t="s">
        <v>22</v>
      </c>
      <c r="E1442" s="2847" t="s">
        <v>23</v>
      </c>
      <c r="F1442" s="2847" t="s">
        <v>24</v>
      </c>
      <c r="G1442" s="2847" t="s">
        <v>25</v>
      </c>
      <c r="H1442" s="2847" t="s">
        <v>26</v>
      </c>
      <c r="I1442" s="2847" t="s">
        <v>27</v>
      </c>
      <c r="J1442" s="2847" t="s">
        <v>28</v>
      </c>
      <c r="K1442" s="2847"/>
      <c r="L1442" s="2988" t="s">
        <v>279</v>
      </c>
      <c r="M1442" s="3273" t="s">
        <v>280</v>
      </c>
      <c r="N1442" s="3274"/>
      <c r="O1442" s="2847" t="s">
        <v>281</v>
      </c>
      <c r="P1442" s="2847"/>
      <c r="Q1442" s="2847"/>
      <c r="R1442" s="2847"/>
      <c r="S1442" s="2847"/>
      <c r="T1442" s="2847"/>
      <c r="U1442" s="2847"/>
      <c r="V1442" s="2847"/>
      <c r="W1442" s="2847"/>
      <c r="X1442" s="2847"/>
      <c r="Y1442" s="2847"/>
      <c r="Z1442" s="2847"/>
      <c r="AA1442" s="2847" t="s">
        <v>32</v>
      </c>
      <c r="AB1442" s="35"/>
      <c r="AC1442" s="183"/>
    </row>
    <row r="1443" spans="1:29" x14ac:dyDescent="0.2">
      <c r="A1443" s="1422"/>
      <c r="B1443" s="2999"/>
      <c r="C1443" s="3359"/>
      <c r="D1443" s="2847"/>
      <c r="E1443" s="2847"/>
      <c r="F1443" s="2847"/>
      <c r="G1443" s="2847"/>
      <c r="H1443" s="2847"/>
      <c r="I1443" s="2847"/>
      <c r="J1443" s="2847" t="s">
        <v>33</v>
      </c>
      <c r="K1443" s="2847" t="s">
        <v>282</v>
      </c>
      <c r="L1443" s="3186"/>
      <c r="M1443" s="3275"/>
      <c r="N1443" s="3276"/>
      <c r="O1443" s="1017" t="s">
        <v>283</v>
      </c>
      <c r="P1443" s="1017" t="s">
        <v>284</v>
      </c>
      <c r="Q1443" s="1017" t="s">
        <v>285</v>
      </c>
      <c r="R1443" s="1017" t="s">
        <v>88</v>
      </c>
      <c r="S1443" s="1017" t="s">
        <v>89</v>
      </c>
      <c r="T1443" s="1017" t="s">
        <v>90</v>
      </c>
      <c r="U1443" s="1017" t="s">
        <v>91</v>
      </c>
      <c r="V1443" s="1017" t="s">
        <v>92</v>
      </c>
      <c r="W1443" s="1017" t="s">
        <v>286</v>
      </c>
      <c r="X1443" s="1017" t="s">
        <v>93</v>
      </c>
      <c r="Y1443" s="1017" t="s">
        <v>94</v>
      </c>
      <c r="Z1443" s="1017" t="s">
        <v>95</v>
      </c>
      <c r="AA1443" s="2847"/>
      <c r="AB1443" s="35"/>
      <c r="AC1443" s="183"/>
    </row>
    <row r="1444" spans="1:29" ht="12.75" x14ac:dyDescent="0.2">
      <c r="A1444" s="1422"/>
      <c r="B1444" s="2999"/>
      <c r="C1444" s="3359"/>
      <c r="D1444" s="2847"/>
      <c r="E1444" s="2847"/>
      <c r="F1444" s="2847"/>
      <c r="G1444" s="2847"/>
      <c r="H1444" s="2847"/>
      <c r="I1444" s="2847"/>
      <c r="J1444" s="2847"/>
      <c r="K1444" s="2847"/>
      <c r="L1444" s="3186"/>
      <c r="M1444" s="3271" t="s">
        <v>287</v>
      </c>
      <c r="N1444" s="3272"/>
      <c r="O1444" s="1095">
        <v>25</v>
      </c>
      <c r="P1444" s="1095">
        <v>25</v>
      </c>
      <c r="Q1444" s="1095">
        <v>25</v>
      </c>
      <c r="R1444" s="1095">
        <v>24</v>
      </c>
      <c r="S1444" s="1095">
        <v>24</v>
      </c>
      <c r="T1444" s="1095">
        <v>24</v>
      </c>
      <c r="U1444" s="1095">
        <v>25</v>
      </c>
      <c r="V1444" s="1095">
        <v>24</v>
      </c>
      <c r="W1444" s="1095">
        <v>25</v>
      </c>
      <c r="X1444" s="1095">
        <v>25</v>
      </c>
      <c r="Y1444" s="1095">
        <v>24</v>
      </c>
      <c r="Z1444" s="1095">
        <v>20</v>
      </c>
      <c r="AA1444" s="2225">
        <f t="shared" ref="AA1444:AA1449" si="235">SUM(O1444:Z1444)</f>
        <v>290</v>
      </c>
      <c r="AB1444" s="35"/>
      <c r="AC1444" s="183"/>
    </row>
    <row r="1445" spans="1:29" ht="12.75" x14ac:dyDescent="0.2">
      <c r="A1445" s="1422"/>
      <c r="B1445" s="2999"/>
      <c r="C1445" s="3016"/>
      <c r="D1445" s="2847"/>
      <c r="E1445" s="2847"/>
      <c r="F1445" s="2847"/>
      <c r="G1445" s="2847"/>
      <c r="H1445" s="2847"/>
      <c r="I1445" s="2847"/>
      <c r="J1445" s="2847"/>
      <c r="K1445" s="2847"/>
      <c r="L1445" s="2989"/>
      <c r="M1445" s="3271" t="s">
        <v>34</v>
      </c>
      <c r="N1445" s="3272"/>
      <c r="O1445" s="36">
        <f>SUM(O1446:O1457)</f>
        <v>57137.083333333336</v>
      </c>
      <c r="P1445" s="36">
        <f t="shared" ref="P1445:Z1445" si="236">SUM(P1446:P1457)</f>
        <v>53450.719696969696</v>
      </c>
      <c r="Q1445" s="36">
        <f t="shared" si="236"/>
        <v>53600.719696969696</v>
      </c>
      <c r="R1445" s="36">
        <f t="shared" si="236"/>
        <v>53450.719696969696</v>
      </c>
      <c r="S1445" s="36">
        <f t="shared" si="236"/>
        <v>53450.719696969696</v>
      </c>
      <c r="T1445" s="36">
        <f t="shared" si="236"/>
        <v>53450.719696969696</v>
      </c>
      <c r="U1445" s="36">
        <f t="shared" si="236"/>
        <v>56150.719696969696</v>
      </c>
      <c r="V1445" s="36">
        <f t="shared" si="236"/>
        <v>53450.719696969696</v>
      </c>
      <c r="W1445" s="36">
        <f t="shared" si="236"/>
        <v>53450.719696969696</v>
      </c>
      <c r="X1445" s="36">
        <f t="shared" si="236"/>
        <v>53450.719696969696</v>
      </c>
      <c r="Y1445" s="36">
        <f t="shared" si="236"/>
        <v>53450.719696969696</v>
      </c>
      <c r="Z1445" s="36">
        <f t="shared" si="236"/>
        <v>56150.719696969696</v>
      </c>
      <c r="AA1445" s="2225">
        <f t="shared" si="235"/>
        <v>650645.00000000023</v>
      </c>
      <c r="AB1445" s="35"/>
      <c r="AC1445" s="183"/>
    </row>
    <row r="1446" spans="1:29" ht="11.25" customHeight="1" x14ac:dyDescent="0.2">
      <c r="A1446" s="1422"/>
      <c r="B1446" s="2522">
        <v>5000064</v>
      </c>
      <c r="C1446" s="3190" t="s">
        <v>3080</v>
      </c>
      <c r="D1446" s="2421"/>
      <c r="E1446" s="2421" t="s">
        <v>407</v>
      </c>
      <c r="F1446" s="2420" t="s">
        <v>313</v>
      </c>
      <c r="G1446" s="2420" t="s">
        <v>329</v>
      </c>
      <c r="H1446" s="2420"/>
      <c r="I1446" s="2420" t="s">
        <v>599</v>
      </c>
      <c r="J1446" s="2514">
        <v>290</v>
      </c>
      <c r="K1446" s="101">
        <v>33588</v>
      </c>
      <c r="L1446" s="3294" t="s">
        <v>565</v>
      </c>
      <c r="M1446" s="3287" t="s">
        <v>293</v>
      </c>
      <c r="N1446" s="3288"/>
      <c r="O1446" s="40">
        <f t="shared" ref="O1446:Z1449" si="237">$K1446/12</f>
        <v>2799</v>
      </c>
      <c r="P1446" s="40">
        <f t="shared" si="237"/>
        <v>2799</v>
      </c>
      <c r="Q1446" s="40">
        <f t="shared" si="237"/>
        <v>2799</v>
      </c>
      <c r="R1446" s="40">
        <f t="shared" si="237"/>
        <v>2799</v>
      </c>
      <c r="S1446" s="40">
        <f t="shared" si="237"/>
        <v>2799</v>
      </c>
      <c r="T1446" s="40">
        <f t="shared" si="237"/>
        <v>2799</v>
      </c>
      <c r="U1446" s="40">
        <f t="shared" si="237"/>
        <v>2799</v>
      </c>
      <c r="V1446" s="40">
        <f t="shared" si="237"/>
        <v>2799</v>
      </c>
      <c r="W1446" s="40">
        <f t="shared" si="237"/>
        <v>2799</v>
      </c>
      <c r="X1446" s="40">
        <f t="shared" si="237"/>
        <v>2799</v>
      </c>
      <c r="Y1446" s="40">
        <f t="shared" si="237"/>
        <v>2799</v>
      </c>
      <c r="Z1446" s="40">
        <f t="shared" si="237"/>
        <v>2799</v>
      </c>
      <c r="AA1446" s="966">
        <f>SUM(O1446:Z1446)</f>
        <v>33588</v>
      </c>
      <c r="AB1446" s="35"/>
      <c r="AC1446" s="183"/>
    </row>
    <row r="1447" spans="1:29" x14ac:dyDescent="0.2">
      <c r="A1447" s="1422"/>
      <c r="B1447" s="2522"/>
      <c r="C1447" s="3191"/>
      <c r="D1447" s="2421"/>
      <c r="E1447" s="2421"/>
      <c r="F1447" s="2420"/>
      <c r="G1447" s="2420"/>
      <c r="H1447" s="2420"/>
      <c r="I1447" s="2420"/>
      <c r="J1447" s="2515"/>
      <c r="K1447" s="101">
        <v>170328</v>
      </c>
      <c r="L1447" s="3295"/>
      <c r="M1447" s="3287" t="s">
        <v>295</v>
      </c>
      <c r="N1447" s="3288"/>
      <c r="O1447" s="40">
        <f t="shared" si="237"/>
        <v>14194</v>
      </c>
      <c r="P1447" s="40">
        <f t="shared" si="237"/>
        <v>14194</v>
      </c>
      <c r="Q1447" s="40">
        <f t="shared" si="237"/>
        <v>14194</v>
      </c>
      <c r="R1447" s="40">
        <f t="shared" si="237"/>
        <v>14194</v>
      </c>
      <c r="S1447" s="40">
        <f t="shared" si="237"/>
        <v>14194</v>
      </c>
      <c r="T1447" s="40">
        <f t="shared" si="237"/>
        <v>14194</v>
      </c>
      <c r="U1447" s="40">
        <f t="shared" si="237"/>
        <v>14194</v>
      </c>
      <c r="V1447" s="40">
        <f t="shared" si="237"/>
        <v>14194</v>
      </c>
      <c r="W1447" s="40">
        <f t="shared" si="237"/>
        <v>14194</v>
      </c>
      <c r="X1447" s="40">
        <f t="shared" si="237"/>
        <v>14194</v>
      </c>
      <c r="Y1447" s="40">
        <f t="shared" si="237"/>
        <v>14194</v>
      </c>
      <c r="Z1447" s="40">
        <f t="shared" si="237"/>
        <v>14194</v>
      </c>
      <c r="AA1447" s="966">
        <f t="shared" si="235"/>
        <v>170328</v>
      </c>
      <c r="AB1447" s="35"/>
      <c r="AC1447" s="183"/>
    </row>
    <row r="1448" spans="1:29" ht="12.75" x14ac:dyDescent="0.2">
      <c r="A1448" s="1422"/>
      <c r="B1448" s="2522"/>
      <c r="C1448" s="3191"/>
      <c r="D1448" s="2421"/>
      <c r="E1448" s="2421"/>
      <c r="F1448" s="2420"/>
      <c r="G1448" s="2420"/>
      <c r="H1448" s="2420"/>
      <c r="I1448" s="2420"/>
      <c r="J1448" s="2515"/>
      <c r="K1448" s="101">
        <v>38765</v>
      </c>
      <c r="L1448" s="3295"/>
      <c r="M1448" s="3287" t="s">
        <v>296</v>
      </c>
      <c r="N1448" s="3288"/>
      <c r="O1448" s="40">
        <f t="shared" si="237"/>
        <v>3230.4166666666665</v>
      </c>
      <c r="P1448" s="40">
        <f t="shared" si="237"/>
        <v>3230.4166666666665</v>
      </c>
      <c r="Q1448" s="40">
        <f t="shared" si="237"/>
        <v>3230.4166666666665</v>
      </c>
      <c r="R1448" s="40">
        <f t="shared" si="237"/>
        <v>3230.4166666666665</v>
      </c>
      <c r="S1448" s="40">
        <f t="shared" si="237"/>
        <v>3230.4166666666665</v>
      </c>
      <c r="T1448" s="40">
        <f t="shared" si="237"/>
        <v>3230.4166666666665</v>
      </c>
      <c r="U1448" s="40">
        <f t="shared" si="237"/>
        <v>3230.4166666666665</v>
      </c>
      <c r="V1448" s="40">
        <f t="shared" si="237"/>
        <v>3230.4166666666665</v>
      </c>
      <c r="W1448" s="40">
        <f t="shared" si="237"/>
        <v>3230.4166666666665</v>
      </c>
      <c r="X1448" s="40">
        <f t="shared" si="237"/>
        <v>3230.4166666666665</v>
      </c>
      <c r="Y1448" s="40">
        <f t="shared" si="237"/>
        <v>3230.4166666666665</v>
      </c>
      <c r="Z1448" s="40">
        <f t="shared" si="237"/>
        <v>3230.4166666666665</v>
      </c>
      <c r="AA1448" s="1208">
        <f t="shared" si="235"/>
        <v>38765</v>
      </c>
      <c r="AB1448" s="35"/>
      <c r="AC1448" s="183"/>
    </row>
    <row r="1449" spans="1:29" ht="12.75" x14ac:dyDescent="0.2">
      <c r="A1449" s="1422"/>
      <c r="B1449" s="2522"/>
      <c r="C1449" s="3191"/>
      <c r="D1449" s="2421"/>
      <c r="E1449" s="2421"/>
      <c r="F1449" s="2420"/>
      <c r="G1449" s="2420"/>
      <c r="H1449" s="2420"/>
      <c r="I1449" s="2420"/>
      <c r="J1449" s="2515"/>
      <c r="K1449" s="101">
        <v>45312</v>
      </c>
      <c r="L1449" s="3295"/>
      <c r="M1449" s="3287" t="s">
        <v>297</v>
      </c>
      <c r="N1449" s="3288"/>
      <c r="O1449" s="40">
        <f t="shared" si="237"/>
        <v>3776</v>
      </c>
      <c r="P1449" s="40">
        <f t="shared" si="237"/>
        <v>3776</v>
      </c>
      <c r="Q1449" s="40">
        <f t="shared" si="237"/>
        <v>3776</v>
      </c>
      <c r="R1449" s="40">
        <f t="shared" si="237"/>
        <v>3776</v>
      </c>
      <c r="S1449" s="40">
        <f t="shared" si="237"/>
        <v>3776</v>
      </c>
      <c r="T1449" s="40">
        <f t="shared" si="237"/>
        <v>3776</v>
      </c>
      <c r="U1449" s="40">
        <f t="shared" si="237"/>
        <v>3776</v>
      </c>
      <c r="V1449" s="40">
        <f t="shared" si="237"/>
        <v>3776</v>
      </c>
      <c r="W1449" s="40">
        <f t="shared" si="237"/>
        <v>3776</v>
      </c>
      <c r="X1449" s="40">
        <f t="shared" si="237"/>
        <v>3776</v>
      </c>
      <c r="Y1449" s="40">
        <f t="shared" si="237"/>
        <v>3776</v>
      </c>
      <c r="Z1449" s="40">
        <f t="shared" si="237"/>
        <v>3776</v>
      </c>
      <c r="AA1449" s="1208">
        <f t="shared" si="235"/>
        <v>45312</v>
      </c>
      <c r="AB1449" s="35"/>
      <c r="AC1449" s="183"/>
    </row>
    <row r="1450" spans="1:29" x14ac:dyDescent="0.2">
      <c r="A1450" s="1422"/>
      <c r="B1450" s="2522"/>
      <c r="C1450" s="3191"/>
      <c r="D1450" s="2421"/>
      <c r="E1450" s="2421"/>
      <c r="F1450" s="2420"/>
      <c r="G1450" s="2420"/>
      <c r="H1450" s="2420"/>
      <c r="I1450" s="2420"/>
      <c r="J1450" s="2515"/>
      <c r="K1450" s="101">
        <v>5400</v>
      </c>
      <c r="L1450" s="3295"/>
      <c r="M1450" s="3287" t="s">
        <v>298</v>
      </c>
      <c r="N1450" s="3288"/>
      <c r="O1450" s="1044"/>
      <c r="P1450" s="1044"/>
      <c r="Q1450" s="1044"/>
      <c r="R1450" s="1044"/>
      <c r="S1450" s="1044"/>
      <c r="T1450" s="1044"/>
      <c r="U1450" s="40">
        <f>$K1450/2</f>
        <v>2700</v>
      </c>
      <c r="V1450" s="1044"/>
      <c r="W1450" s="1044"/>
      <c r="X1450" s="1044"/>
      <c r="Y1450" s="1044"/>
      <c r="Z1450" s="40">
        <f>$K1450/2</f>
        <v>2700</v>
      </c>
      <c r="AA1450" s="966">
        <f>SUM(O1450:Z1450)</f>
        <v>5400</v>
      </c>
      <c r="AB1450" s="35"/>
      <c r="AC1450" s="183"/>
    </row>
    <row r="1451" spans="1:29" x14ac:dyDescent="0.2">
      <c r="A1451" s="1422"/>
      <c r="B1451" s="2522"/>
      <c r="C1451" s="3191"/>
      <c r="D1451" s="2421"/>
      <c r="E1451" s="2421"/>
      <c r="F1451" s="2420"/>
      <c r="G1451" s="2420"/>
      <c r="H1451" s="2420"/>
      <c r="I1451" s="2420"/>
      <c r="J1451" s="2515"/>
      <c r="K1451" s="101">
        <v>3600</v>
      </c>
      <c r="L1451" s="3295"/>
      <c r="M1451" s="3287" t="s">
        <v>299</v>
      </c>
      <c r="N1451" s="3288"/>
      <c r="O1451" s="40">
        <f>$K1451</f>
        <v>3600</v>
      </c>
      <c r="P1451" s="1044"/>
      <c r="Q1451" s="40"/>
      <c r="R1451" s="1044"/>
      <c r="S1451" s="1044"/>
      <c r="T1451" s="1044"/>
      <c r="U1451" s="1044"/>
      <c r="V1451" s="1044"/>
      <c r="W1451" s="1044"/>
      <c r="X1451" s="1044"/>
      <c r="Y1451" s="1044"/>
      <c r="Z1451" s="1044"/>
      <c r="AA1451" s="966">
        <f t="shared" ref="AA1451:AA1457" si="238">SUM(O1451:Z1451)</f>
        <v>3600</v>
      </c>
      <c r="AB1451" s="35"/>
      <c r="AC1451" s="183"/>
    </row>
    <row r="1452" spans="1:29" x14ac:dyDescent="0.2">
      <c r="A1452" s="1422"/>
      <c r="B1452" s="2522"/>
      <c r="C1452" s="3191"/>
      <c r="D1452" s="2421"/>
      <c r="E1452" s="2421"/>
      <c r="F1452" s="2420"/>
      <c r="G1452" s="2420"/>
      <c r="H1452" s="2420"/>
      <c r="I1452" s="2420"/>
      <c r="J1452" s="2515"/>
      <c r="K1452" s="101">
        <v>12899</v>
      </c>
      <c r="L1452" s="3295"/>
      <c r="M1452" s="3287" t="s">
        <v>300</v>
      </c>
      <c r="N1452" s="3288"/>
      <c r="O1452" s="40">
        <f t="shared" ref="O1452:Z1453" si="239">$K1452/12</f>
        <v>1074.9166666666667</v>
      </c>
      <c r="P1452" s="40">
        <f t="shared" si="239"/>
        <v>1074.9166666666667</v>
      </c>
      <c r="Q1452" s="40">
        <f t="shared" si="239"/>
        <v>1074.9166666666667</v>
      </c>
      <c r="R1452" s="40">
        <f t="shared" si="239"/>
        <v>1074.9166666666667</v>
      </c>
      <c r="S1452" s="40">
        <f t="shared" si="239"/>
        <v>1074.9166666666667</v>
      </c>
      <c r="T1452" s="40">
        <f t="shared" si="239"/>
        <v>1074.9166666666667</v>
      </c>
      <c r="U1452" s="40">
        <f t="shared" si="239"/>
        <v>1074.9166666666667</v>
      </c>
      <c r="V1452" s="40">
        <f t="shared" si="239"/>
        <v>1074.9166666666667</v>
      </c>
      <c r="W1452" s="40">
        <f t="shared" si="239"/>
        <v>1074.9166666666667</v>
      </c>
      <c r="X1452" s="40">
        <f t="shared" si="239"/>
        <v>1074.9166666666667</v>
      </c>
      <c r="Y1452" s="40">
        <f t="shared" si="239"/>
        <v>1074.9166666666667</v>
      </c>
      <c r="Z1452" s="40">
        <f t="shared" si="239"/>
        <v>1074.9166666666667</v>
      </c>
      <c r="AA1452" s="966">
        <f t="shared" si="238"/>
        <v>12898.999999999998</v>
      </c>
      <c r="AB1452" s="35"/>
      <c r="AC1452" s="183"/>
    </row>
    <row r="1453" spans="1:29" x14ac:dyDescent="0.2">
      <c r="A1453" s="1422"/>
      <c r="B1453" s="2522"/>
      <c r="C1453" s="3191"/>
      <c r="D1453" s="2421"/>
      <c r="E1453" s="2421"/>
      <c r="F1453" s="2420"/>
      <c r="G1453" s="2420"/>
      <c r="H1453" s="2420"/>
      <c r="I1453" s="2420"/>
      <c r="J1453" s="2515"/>
      <c r="K1453" s="101">
        <v>81</v>
      </c>
      <c r="L1453" s="3295"/>
      <c r="M1453" s="3287" t="s">
        <v>301</v>
      </c>
      <c r="N1453" s="3288"/>
      <c r="O1453" s="40">
        <f t="shared" si="239"/>
        <v>6.75</v>
      </c>
      <c r="P1453" s="40">
        <f t="shared" si="239"/>
        <v>6.75</v>
      </c>
      <c r="Q1453" s="40">
        <f t="shared" si="239"/>
        <v>6.75</v>
      </c>
      <c r="R1453" s="40">
        <f t="shared" si="239"/>
        <v>6.75</v>
      </c>
      <c r="S1453" s="40">
        <f t="shared" si="239"/>
        <v>6.75</v>
      </c>
      <c r="T1453" s="40">
        <f t="shared" si="239"/>
        <v>6.75</v>
      </c>
      <c r="U1453" s="40">
        <f t="shared" si="239"/>
        <v>6.75</v>
      </c>
      <c r="V1453" s="40">
        <f t="shared" si="239"/>
        <v>6.75</v>
      </c>
      <c r="W1453" s="40">
        <f t="shared" si="239"/>
        <v>6.75</v>
      </c>
      <c r="X1453" s="40">
        <f t="shared" si="239"/>
        <v>6.75</v>
      </c>
      <c r="Y1453" s="40">
        <f t="shared" si="239"/>
        <v>6.75</v>
      </c>
      <c r="Z1453" s="40">
        <f t="shared" si="239"/>
        <v>6.75</v>
      </c>
      <c r="AA1453" s="966">
        <f t="shared" si="238"/>
        <v>81</v>
      </c>
      <c r="AB1453" s="35"/>
      <c r="AC1453" s="183"/>
    </row>
    <row r="1454" spans="1:29" x14ac:dyDescent="0.2">
      <c r="A1454" s="1422"/>
      <c r="B1454" s="2522"/>
      <c r="C1454" s="3191"/>
      <c r="D1454" s="2421"/>
      <c r="E1454" s="2421"/>
      <c r="F1454" s="2420"/>
      <c r="G1454" s="2420"/>
      <c r="H1454" s="2420"/>
      <c r="I1454" s="2420"/>
      <c r="J1454" s="2515"/>
      <c r="K1454" s="101">
        <v>150</v>
      </c>
      <c r="L1454" s="3295"/>
      <c r="M1454" s="3287" t="s">
        <v>380</v>
      </c>
      <c r="N1454" s="3288"/>
      <c r="O1454" s="40">
        <f>$K1454</f>
        <v>150</v>
      </c>
      <c r="P1454" s="1044"/>
      <c r="Q1454" s="1044"/>
      <c r="R1454" s="1044"/>
      <c r="S1454" s="1044"/>
      <c r="T1454" s="1044"/>
      <c r="U1454" s="1044"/>
      <c r="V1454" s="1044"/>
      <c r="W1454" s="1044"/>
      <c r="X1454" s="1044"/>
      <c r="Y1454" s="1044"/>
      <c r="Z1454" s="1044"/>
      <c r="AA1454" s="966">
        <f t="shared" si="238"/>
        <v>150</v>
      </c>
      <c r="AB1454" s="35"/>
      <c r="AC1454" s="183"/>
    </row>
    <row r="1455" spans="1:29" x14ac:dyDescent="0.2">
      <c r="A1455" s="1422"/>
      <c r="B1455" s="2522"/>
      <c r="C1455" s="3191"/>
      <c r="D1455" s="2421"/>
      <c r="E1455" s="2421"/>
      <c r="F1455" s="2420"/>
      <c r="G1455" s="2420"/>
      <c r="H1455" s="2420"/>
      <c r="I1455" s="2420"/>
      <c r="J1455" s="2515"/>
      <c r="K1455" s="101">
        <v>150</v>
      </c>
      <c r="L1455" s="3295"/>
      <c r="M1455" s="3287" t="s">
        <v>381</v>
      </c>
      <c r="N1455" s="3288"/>
      <c r="O1455" s="95"/>
      <c r="P1455" s="95"/>
      <c r="Q1455" s="95">
        <f>$K1455</f>
        <v>150</v>
      </c>
      <c r="R1455" s="95"/>
      <c r="S1455" s="95"/>
      <c r="T1455" s="95"/>
      <c r="U1455" s="95"/>
      <c r="V1455" s="95"/>
      <c r="W1455" s="95"/>
      <c r="X1455" s="95"/>
      <c r="Y1455" s="95"/>
      <c r="Z1455" s="95"/>
      <c r="AA1455" s="966">
        <f t="shared" si="238"/>
        <v>150</v>
      </c>
      <c r="AB1455" s="35"/>
      <c r="AC1455" s="183"/>
    </row>
    <row r="1456" spans="1:29" x14ac:dyDescent="0.2">
      <c r="A1456" s="1422"/>
      <c r="B1456" s="2522"/>
      <c r="C1456" s="3191"/>
      <c r="D1456" s="2421"/>
      <c r="E1456" s="2421"/>
      <c r="F1456" s="2420"/>
      <c r="G1456" s="2420"/>
      <c r="H1456" s="2420"/>
      <c r="I1456" s="2420"/>
      <c r="J1456" s="2515"/>
      <c r="K1456" s="101">
        <v>700</v>
      </c>
      <c r="L1456" s="3295"/>
      <c r="M1456" s="3287" t="s">
        <v>307</v>
      </c>
      <c r="N1456" s="3288"/>
      <c r="O1456" s="1044"/>
      <c r="P1456" s="94">
        <f>$K1456/11</f>
        <v>63.636363636363633</v>
      </c>
      <c r="Q1456" s="94">
        <f t="shared" ref="Q1456:Z1456" si="240">$K1456/11</f>
        <v>63.636363636363633</v>
      </c>
      <c r="R1456" s="94">
        <f t="shared" si="240"/>
        <v>63.636363636363633</v>
      </c>
      <c r="S1456" s="94">
        <f t="shared" si="240"/>
        <v>63.636363636363633</v>
      </c>
      <c r="T1456" s="94">
        <f t="shared" si="240"/>
        <v>63.636363636363633</v>
      </c>
      <c r="U1456" s="94">
        <f t="shared" si="240"/>
        <v>63.636363636363633</v>
      </c>
      <c r="V1456" s="94">
        <f t="shared" si="240"/>
        <v>63.636363636363633</v>
      </c>
      <c r="W1456" s="94">
        <f t="shared" si="240"/>
        <v>63.636363636363633</v>
      </c>
      <c r="X1456" s="94">
        <f t="shared" si="240"/>
        <v>63.636363636363633</v>
      </c>
      <c r="Y1456" s="94">
        <f t="shared" si="240"/>
        <v>63.636363636363633</v>
      </c>
      <c r="Z1456" s="94">
        <f t="shared" si="240"/>
        <v>63.636363636363633</v>
      </c>
      <c r="AA1456" s="966">
        <f t="shared" si="238"/>
        <v>700</v>
      </c>
      <c r="AB1456" s="35"/>
      <c r="AC1456" s="183"/>
    </row>
    <row r="1457" spans="1:29" x14ac:dyDescent="0.2">
      <c r="A1457" s="1422"/>
      <c r="B1457" s="2522"/>
      <c r="C1457" s="2439"/>
      <c r="D1457" s="2421"/>
      <c r="E1457" s="2421"/>
      <c r="F1457" s="2420"/>
      <c r="G1457" s="2420"/>
      <c r="H1457" s="2420"/>
      <c r="I1457" s="2420"/>
      <c r="J1457" s="2516"/>
      <c r="K1457" s="101">
        <v>339672</v>
      </c>
      <c r="L1457" s="3296"/>
      <c r="M1457" s="3287" t="s">
        <v>397</v>
      </c>
      <c r="N1457" s="3288"/>
      <c r="O1457" s="95">
        <f>$K1457/12</f>
        <v>28306</v>
      </c>
      <c r="P1457" s="95">
        <f t="shared" ref="P1457:Z1457" si="241">$K1457/12</f>
        <v>28306</v>
      </c>
      <c r="Q1457" s="95">
        <f t="shared" si="241"/>
        <v>28306</v>
      </c>
      <c r="R1457" s="95">
        <f t="shared" si="241"/>
        <v>28306</v>
      </c>
      <c r="S1457" s="95">
        <f t="shared" si="241"/>
        <v>28306</v>
      </c>
      <c r="T1457" s="95">
        <f t="shared" si="241"/>
        <v>28306</v>
      </c>
      <c r="U1457" s="95">
        <f t="shared" si="241"/>
        <v>28306</v>
      </c>
      <c r="V1457" s="95">
        <f t="shared" si="241"/>
        <v>28306</v>
      </c>
      <c r="W1457" s="95">
        <f t="shared" si="241"/>
        <v>28306</v>
      </c>
      <c r="X1457" s="95">
        <f t="shared" si="241"/>
        <v>28306</v>
      </c>
      <c r="Y1457" s="95">
        <f t="shared" si="241"/>
        <v>28306</v>
      </c>
      <c r="Z1457" s="95">
        <f t="shared" si="241"/>
        <v>28306</v>
      </c>
      <c r="AA1457" s="966">
        <f t="shared" si="238"/>
        <v>339672</v>
      </c>
      <c r="AB1457" s="35"/>
      <c r="AC1457" s="183"/>
    </row>
    <row r="1458" spans="1:29" x14ac:dyDescent="0.2">
      <c r="A1458" s="1422"/>
      <c r="B1458" s="1427" t="s">
        <v>312</v>
      </c>
      <c r="C1458" s="1128"/>
      <c r="D1458" s="38"/>
      <c r="E1458" s="38"/>
      <c r="F1458" s="38"/>
      <c r="G1458" s="38"/>
      <c r="H1458" s="38"/>
      <c r="I1458" s="38"/>
      <c r="J1458" s="38"/>
      <c r="K1458" s="1044">
        <f>SUM(K1446:K1457)</f>
        <v>650645</v>
      </c>
      <c r="L1458" s="38"/>
      <c r="M1458" s="38"/>
      <c r="N1458" s="38"/>
      <c r="O1458" s="1044"/>
      <c r="P1458" s="1044"/>
      <c r="Q1458" s="1044"/>
      <c r="R1458" s="1044"/>
      <c r="S1458" s="1044"/>
      <c r="T1458" s="1044"/>
      <c r="U1458" s="1044"/>
      <c r="V1458" s="1044"/>
      <c r="W1458" s="1044"/>
      <c r="X1458" s="1044"/>
      <c r="Y1458" s="1044"/>
      <c r="Z1458" s="1044"/>
      <c r="AA1458" s="38"/>
      <c r="AB1458" s="35"/>
      <c r="AC1458" s="183"/>
    </row>
    <row r="1459" spans="1:29" x14ac:dyDescent="0.2">
      <c r="A1459" s="1422"/>
      <c r="B1459" s="1433" t="s">
        <v>278</v>
      </c>
      <c r="C1459" s="1119"/>
      <c r="D1459" s="1119">
        <v>3043956</v>
      </c>
      <c r="E1459" s="192" t="s">
        <v>600</v>
      </c>
      <c r="F1459" s="35"/>
      <c r="G1459" s="35"/>
      <c r="H1459" s="35"/>
      <c r="I1459" s="35"/>
      <c r="J1459" s="35"/>
      <c r="K1459" s="60"/>
      <c r="L1459" s="60"/>
      <c r="M1459" s="60"/>
      <c r="N1459" s="60"/>
      <c r="O1459" s="60"/>
      <c r="P1459" s="60"/>
      <c r="Q1459" s="60"/>
      <c r="R1459" s="60"/>
      <c r="S1459" s="60"/>
      <c r="T1459" s="3235" t="s">
        <v>15</v>
      </c>
      <c r="U1459" s="3235"/>
      <c r="V1459" s="3235"/>
      <c r="W1459" s="3235"/>
      <c r="X1459" s="3235"/>
      <c r="Y1459" s="3235"/>
      <c r="Z1459" s="3023" t="s">
        <v>16</v>
      </c>
      <c r="AA1459" s="3338"/>
      <c r="AB1459" s="35"/>
      <c r="AC1459" s="183"/>
    </row>
    <row r="1460" spans="1:29" x14ac:dyDescent="0.2">
      <c r="A1460" s="1422"/>
      <c r="B1460" s="1433"/>
      <c r="C1460" s="1119"/>
      <c r="D1460" s="1119"/>
      <c r="E1460" s="192"/>
      <c r="F1460" s="35"/>
      <c r="G1460" s="35"/>
      <c r="H1460" s="35"/>
      <c r="I1460" s="35"/>
      <c r="J1460" s="35"/>
      <c r="K1460" s="60"/>
      <c r="L1460" s="60"/>
      <c r="M1460" s="60"/>
      <c r="N1460" s="60"/>
      <c r="O1460" s="60"/>
      <c r="P1460" s="60"/>
      <c r="Q1460" s="60"/>
      <c r="R1460" s="60"/>
      <c r="S1460" s="60"/>
      <c r="T1460" s="3233" t="s">
        <v>601</v>
      </c>
      <c r="U1460" s="3233"/>
      <c r="V1460" s="3233"/>
      <c r="W1460" s="3233"/>
      <c r="X1460" s="3233"/>
      <c r="Y1460" s="3233"/>
      <c r="Z1460" s="3019" t="s">
        <v>602</v>
      </c>
      <c r="AA1460" s="3020"/>
      <c r="AB1460" s="35"/>
      <c r="AC1460" s="183"/>
    </row>
    <row r="1461" spans="1:29" x14ac:dyDescent="0.2">
      <c r="A1461" s="1422"/>
      <c r="B1461" s="2999" t="s">
        <v>278</v>
      </c>
      <c r="C1461" s="3015" t="s">
        <v>563</v>
      </c>
      <c r="D1461" s="2847" t="s">
        <v>22</v>
      </c>
      <c r="E1461" s="2847" t="s">
        <v>23</v>
      </c>
      <c r="F1461" s="2847" t="s">
        <v>24</v>
      </c>
      <c r="G1461" s="2847" t="s">
        <v>25</v>
      </c>
      <c r="H1461" s="2847" t="s">
        <v>26</v>
      </c>
      <c r="I1461" s="2847" t="s">
        <v>27</v>
      </c>
      <c r="J1461" s="2847" t="s">
        <v>28</v>
      </c>
      <c r="K1461" s="2847"/>
      <c r="L1461" s="2988" t="s">
        <v>279</v>
      </c>
      <c r="M1461" s="3273" t="s">
        <v>280</v>
      </c>
      <c r="N1461" s="3274"/>
      <c r="O1461" s="2847" t="s">
        <v>281</v>
      </c>
      <c r="P1461" s="2847"/>
      <c r="Q1461" s="2847"/>
      <c r="R1461" s="2847"/>
      <c r="S1461" s="2847"/>
      <c r="T1461" s="2847"/>
      <c r="U1461" s="2847"/>
      <c r="V1461" s="2847"/>
      <c r="W1461" s="2847"/>
      <c r="X1461" s="2847"/>
      <c r="Y1461" s="2847"/>
      <c r="Z1461" s="2847"/>
      <c r="AA1461" s="2847" t="s">
        <v>32</v>
      </c>
      <c r="AB1461" s="35"/>
      <c r="AC1461" s="183"/>
    </row>
    <row r="1462" spans="1:29" x14ac:dyDescent="0.2">
      <c r="A1462" s="1422"/>
      <c r="B1462" s="2999"/>
      <c r="C1462" s="3359"/>
      <c r="D1462" s="2847"/>
      <c r="E1462" s="2847"/>
      <c r="F1462" s="2847"/>
      <c r="G1462" s="2847"/>
      <c r="H1462" s="2847"/>
      <c r="I1462" s="2847"/>
      <c r="J1462" s="2847" t="s">
        <v>33</v>
      </c>
      <c r="K1462" s="2847" t="s">
        <v>282</v>
      </c>
      <c r="L1462" s="3186"/>
      <c r="M1462" s="3275"/>
      <c r="N1462" s="3276"/>
      <c r="O1462" s="1017" t="s">
        <v>283</v>
      </c>
      <c r="P1462" s="1017" t="s">
        <v>284</v>
      </c>
      <c r="Q1462" s="1017" t="s">
        <v>285</v>
      </c>
      <c r="R1462" s="1017" t="s">
        <v>88</v>
      </c>
      <c r="S1462" s="1017" t="s">
        <v>89</v>
      </c>
      <c r="T1462" s="1017" t="s">
        <v>90</v>
      </c>
      <c r="U1462" s="1017" t="s">
        <v>91</v>
      </c>
      <c r="V1462" s="1017" t="s">
        <v>92</v>
      </c>
      <c r="W1462" s="1017" t="s">
        <v>286</v>
      </c>
      <c r="X1462" s="1017" t="s">
        <v>93</v>
      </c>
      <c r="Y1462" s="1017" t="s">
        <v>94</v>
      </c>
      <c r="Z1462" s="1017" t="s">
        <v>95</v>
      </c>
      <c r="AA1462" s="2847"/>
      <c r="AB1462" s="35"/>
      <c r="AC1462" s="183"/>
    </row>
    <row r="1463" spans="1:29" ht="12.75" x14ac:dyDescent="0.2">
      <c r="A1463" s="1422"/>
      <c r="B1463" s="2999"/>
      <c r="C1463" s="3359"/>
      <c r="D1463" s="2847"/>
      <c r="E1463" s="2847"/>
      <c r="F1463" s="2847"/>
      <c r="G1463" s="2847"/>
      <c r="H1463" s="2847"/>
      <c r="I1463" s="2847"/>
      <c r="J1463" s="2847"/>
      <c r="K1463" s="2847"/>
      <c r="L1463" s="3186"/>
      <c r="M1463" s="3271" t="s">
        <v>287</v>
      </c>
      <c r="N1463" s="3272"/>
      <c r="O1463" s="1095">
        <v>1</v>
      </c>
      <c r="P1463" s="1095"/>
      <c r="Q1463" s="1095">
        <v>1</v>
      </c>
      <c r="R1463" s="1095"/>
      <c r="S1463" s="1095">
        <v>1</v>
      </c>
      <c r="T1463" s="1095"/>
      <c r="U1463" s="1095">
        <v>1</v>
      </c>
      <c r="V1463" s="1095"/>
      <c r="W1463" s="1095">
        <v>1</v>
      </c>
      <c r="X1463" s="1095"/>
      <c r="Y1463" s="1095">
        <v>1</v>
      </c>
      <c r="Z1463" s="1095"/>
      <c r="AA1463" s="1205">
        <f t="shared" ref="AA1463:AA1468" si="242">SUM(O1463:Z1463)</f>
        <v>6</v>
      </c>
      <c r="AB1463" s="35"/>
      <c r="AC1463" s="183"/>
    </row>
    <row r="1464" spans="1:29" ht="12.75" x14ac:dyDescent="0.2">
      <c r="A1464" s="1422"/>
      <c r="B1464" s="2999"/>
      <c r="C1464" s="3016"/>
      <c r="D1464" s="2847"/>
      <c r="E1464" s="2847"/>
      <c r="F1464" s="2847"/>
      <c r="G1464" s="2847"/>
      <c r="H1464" s="2847"/>
      <c r="I1464" s="2847"/>
      <c r="J1464" s="2847"/>
      <c r="K1464" s="2847"/>
      <c r="L1464" s="2989"/>
      <c r="M1464" s="3271" t="s">
        <v>34</v>
      </c>
      <c r="N1464" s="3272"/>
      <c r="O1464" s="36">
        <f>SUM(O1465:O1477)</f>
        <v>24149.416666666664</v>
      </c>
      <c r="P1464" s="36">
        <f t="shared" ref="P1464:Z1464" si="243">SUM(P1465:P1477)</f>
        <v>21283.96212121212</v>
      </c>
      <c r="Q1464" s="36">
        <f t="shared" si="243"/>
        <v>21783.96212121212</v>
      </c>
      <c r="R1464" s="36">
        <f t="shared" si="243"/>
        <v>22883.96212121212</v>
      </c>
      <c r="S1464" s="36">
        <f t="shared" si="243"/>
        <v>23283.96212121212</v>
      </c>
      <c r="T1464" s="36">
        <f t="shared" si="243"/>
        <v>22883.96212121212</v>
      </c>
      <c r="U1464" s="36">
        <f t="shared" si="243"/>
        <v>24659.46212121212</v>
      </c>
      <c r="V1464" s="36">
        <f t="shared" si="243"/>
        <v>22883.96212121212</v>
      </c>
      <c r="W1464" s="36">
        <f t="shared" si="243"/>
        <v>21283.96212121212</v>
      </c>
      <c r="X1464" s="36">
        <f t="shared" si="243"/>
        <v>22883.96212121212</v>
      </c>
      <c r="Y1464" s="36">
        <f t="shared" si="243"/>
        <v>21283.96212121212</v>
      </c>
      <c r="Z1464" s="36">
        <f t="shared" si="243"/>
        <v>26259.46212121212</v>
      </c>
      <c r="AA1464" s="1205">
        <f t="shared" si="242"/>
        <v>275524.00000000006</v>
      </c>
      <c r="AB1464" s="35"/>
      <c r="AC1464" s="183"/>
    </row>
    <row r="1465" spans="1:29" ht="11.25" customHeight="1" x14ac:dyDescent="0.2">
      <c r="A1465" s="1422"/>
      <c r="B1465" s="2522">
        <v>5000066</v>
      </c>
      <c r="C1465" s="3190" t="s">
        <v>3081</v>
      </c>
      <c r="D1465" s="2421">
        <v>49</v>
      </c>
      <c r="E1465" s="2421" t="s">
        <v>580</v>
      </c>
      <c r="F1465" s="2420" t="s">
        <v>313</v>
      </c>
      <c r="G1465" s="2420" t="s">
        <v>329</v>
      </c>
      <c r="H1465" s="2420"/>
      <c r="I1465" s="2420" t="s">
        <v>603</v>
      </c>
      <c r="J1465" s="2514">
        <v>6</v>
      </c>
      <c r="K1465" s="101">
        <v>38756</v>
      </c>
      <c r="L1465" s="3294" t="s">
        <v>565</v>
      </c>
      <c r="M1465" s="3287" t="s">
        <v>321</v>
      </c>
      <c r="N1465" s="3288"/>
      <c r="O1465" s="40">
        <f t="shared" ref="O1465:Z1469" si="244">$K1465/12</f>
        <v>3229.6666666666665</v>
      </c>
      <c r="P1465" s="40">
        <f t="shared" si="244"/>
        <v>3229.6666666666665</v>
      </c>
      <c r="Q1465" s="40">
        <f t="shared" si="244"/>
        <v>3229.6666666666665</v>
      </c>
      <c r="R1465" s="40">
        <f t="shared" si="244"/>
        <v>3229.6666666666665</v>
      </c>
      <c r="S1465" s="40">
        <f t="shared" si="244"/>
        <v>3229.6666666666665</v>
      </c>
      <c r="T1465" s="40">
        <f t="shared" si="244"/>
        <v>3229.6666666666665</v>
      </c>
      <c r="U1465" s="40">
        <f t="shared" si="244"/>
        <v>3229.6666666666665</v>
      </c>
      <c r="V1465" s="40">
        <f t="shared" si="244"/>
        <v>3229.6666666666665</v>
      </c>
      <c r="W1465" s="40">
        <f t="shared" si="244"/>
        <v>3229.6666666666665</v>
      </c>
      <c r="X1465" s="40">
        <f t="shared" si="244"/>
        <v>3229.6666666666665</v>
      </c>
      <c r="Y1465" s="40">
        <f t="shared" si="244"/>
        <v>3229.6666666666665</v>
      </c>
      <c r="Z1465" s="40">
        <f t="shared" si="244"/>
        <v>3229.6666666666665</v>
      </c>
      <c r="AA1465" s="966">
        <f>SUM(O1465:Z1465)</f>
        <v>38756</v>
      </c>
      <c r="AB1465" s="35"/>
      <c r="AC1465" s="183"/>
    </row>
    <row r="1466" spans="1:29" x14ac:dyDescent="0.2">
      <c r="A1466" s="1422"/>
      <c r="B1466" s="2522"/>
      <c r="C1466" s="3191"/>
      <c r="D1466" s="2421"/>
      <c r="E1466" s="2421"/>
      <c r="F1466" s="2420"/>
      <c r="G1466" s="2420"/>
      <c r="H1466" s="2420"/>
      <c r="I1466" s="2420"/>
      <c r="J1466" s="2515"/>
      <c r="K1466" s="101">
        <v>52800</v>
      </c>
      <c r="L1466" s="3295"/>
      <c r="M1466" s="3287" t="s">
        <v>604</v>
      </c>
      <c r="N1466" s="3288"/>
      <c r="O1466" s="40">
        <f t="shared" si="244"/>
        <v>4400</v>
      </c>
      <c r="P1466" s="40">
        <f t="shared" si="244"/>
        <v>4400</v>
      </c>
      <c r="Q1466" s="40">
        <f t="shared" si="244"/>
        <v>4400</v>
      </c>
      <c r="R1466" s="40">
        <f t="shared" si="244"/>
        <v>4400</v>
      </c>
      <c r="S1466" s="40">
        <f t="shared" si="244"/>
        <v>4400</v>
      </c>
      <c r="T1466" s="40">
        <f t="shared" si="244"/>
        <v>4400</v>
      </c>
      <c r="U1466" s="40">
        <f t="shared" si="244"/>
        <v>4400</v>
      </c>
      <c r="V1466" s="40">
        <f t="shared" si="244"/>
        <v>4400</v>
      </c>
      <c r="W1466" s="40">
        <f t="shared" si="244"/>
        <v>4400</v>
      </c>
      <c r="X1466" s="40">
        <f t="shared" si="244"/>
        <v>4400</v>
      </c>
      <c r="Y1466" s="40">
        <f t="shared" si="244"/>
        <v>4400</v>
      </c>
      <c r="Z1466" s="40">
        <f t="shared" si="244"/>
        <v>4400</v>
      </c>
      <c r="AA1466" s="966">
        <f t="shared" si="242"/>
        <v>52800</v>
      </c>
      <c r="AB1466" s="35"/>
      <c r="AC1466" s="183"/>
    </row>
    <row r="1467" spans="1:29" ht="12.75" x14ac:dyDescent="0.2">
      <c r="A1467" s="1422"/>
      <c r="B1467" s="2522"/>
      <c r="C1467" s="3191"/>
      <c r="D1467" s="2421"/>
      <c r="E1467" s="2421"/>
      <c r="F1467" s="2420"/>
      <c r="G1467" s="2420"/>
      <c r="H1467" s="2420"/>
      <c r="I1467" s="2420"/>
      <c r="J1467" s="2515"/>
      <c r="K1467" s="101">
        <v>120569</v>
      </c>
      <c r="L1467" s="3295"/>
      <c r="M1467" s="3287" t="s">
        <v>295</v>
      </c>
      <c r="N1467" s="3288"/>
      <c r="O1467" s="40">
        <f t="shared" si="244"/>
        <v>10047.416666666666</v>
      </c>
      <c r="P1467" s="40">
        <f t="shared" si="244"/>
        <v>10047.416666666666</v>
      </c>
      <c r="Q1467" s="40">
        <f t="shared" si="244"/>
        <v>10047.416666666666</v>
      </c>
      <c r="R1467" s="40">
        <f t="shared" si="244"/>
        <v>10047.416666666666</v>
      </c>
      <c r="S1467" s="40">
        <f t="shared" si="244"/>
        <v>10047.416666666666</v>
      </c>
      <c r="T1467" s="40">
        <f t="shared" si="244"/>
        <v>10047.416666666666</v>
      </c>
      <c r="U1467" s="40">
        <f t="shared" si="244"/>
        <v>10047.416666666666</v>
      </c>
      <c r="V1467" s="40">
        <f t="shared" si="244"/>
        <v>10047.416666666666</v>
      </c>
      <c r="W1467" s="40">
        <f t="shared" si="244"/>
        <v>10047.416666666666</v>
      </c>
      <c r="X1467" s="40">
        <f t="shared" si="244"/>
        <v>10047.416666666666</v>
      </c>
      <c r="Y1467" s="40">
        <f t="shared" si="244"/>
        <v>10047.416666666666</v>
      </c>
      <c r="Z1467" s="40">
        <f t="shared" si="244"/>
        <v>10047.416666666666</v>
      </c>
      <c r="AA1467" s="1208">
        <f t="shared" si="242"/>
        <v>120569.00000000001</v>
      </c>
      <c r="AB1467" s="35"/>
      <c r="AC1467" s="183"/>
    </row>
    <row r="1468" spans="1:29" ht="12.75" x14ac:dyDescent="0.2">
      <c r="A1468" s="1422"/>
      <c r="B1468" s="2522"/>
      <c r="C1468" s="3191"/>
      <c r="D1468" s="2421"/>
      <c r="E1468" s="2421"/>
      <c r="F1468" s="2420"/>
      <c r="G1468" s="2420"/>
      <c r="H1468" s="2420"/>
      <c r="I1468" s="2420"/>
      <c r="J1468" s="2515"/>
      <c r="K1468" s="101">
        <v>29860</v>
      </c>
      <c r="L1468" s="3295"/>
      <c r="M1468" s="3287" t="s">
        <v>296</v>
      </c>
      <c r="N1468" s="3288"/>
      <c r="O1468" s="40">
        <f t="shared" si="244"/>
        <v>2488.3333333333335</v>
      </c>
      <c r="P1468" s="40">
        <f t="shared" si="244"/>
        <v>2488.3333333333335</v>
      </c>
      <c r="Q1468" s="40">
        <f t="shared" si="244"/>
        <v>2488.3333333333335</v>
      </c>
      <c r="R1468" s="40">
        <f t="shared" si="244"/>
        <v>2488.3333333333335</v>
      </c>
      <c r="S1468" s="40">
        <f t="shared" si="244"/>
        <v>2488.3333333333335</v>
      </c>
      <c r="T1468" s="40">
        <f t="shared" si="244"/>
        <v>2488.3333333333335</v>
      </c>
      <c r="U1468" s="40">
        <f t="shared" si="244"/>
        <v>2488.3333333333335</v>
      </c>
      <c r="V1468" s="40">
        <f t="shared" si="244"/>
        <v>2488.3333333333335</v>
      </c>
      <c r="W1468" s="40">
        <f t="shared" si="244"/>
        <v>2488.3333333333335</v>
      </c>
      <c r="X1468" s="40">
        <f t="shared" si="244"/>
        <v>2488.3333333333335</v>
      </c>
      <c r="Y1468" s="40">
        <f t="shared" si="244"/>
        <v>2488.3333333333335</v>
      </c>
      <c r="Z1468" s="40">
        <f t="shared" si="244"/>
        <v>2488.3333333333335</v>
      </c>
      <c r="AA1468" s="1208">
        <f t="shared" si="242"/>
        <v>29859.999999999996</v>
      </c>
      <c r="AB1468" s="35"/>
      <c r="AC1468" s="183"/>
    </row>
    <row r="1469" spans="1:29" x14ac:dyDescent="0.2">
      <c r="A1469" s="1422"/>
      <c r="B1469" s="2522"/>
      <c r="C1469" s="3191"/>
      <c r="D1469" s="2421"/>
      <c r="E1469" s="2421"/>
      <c r="F1469" s="2420"/>
      <c r="G1469" s="2420"/>
      <c r="H1469" s="2420"/>
      <c r="I1469" s="2420"/>
      <c r="J1469" s="2515"/>
      <c r="K1469" s="101">
        <v>7584</v>
      </c>
      <c r="L1469" s="3295"/>
      <c r="M1469" s="3287" t="s">
        <v>297</v>
      </c>
      <c r="N1469" s="3288"/>
      <c r="O1469" s="40">
        <f t="shared" si="244"/>
        <v>632</v>
      </c>
      <c r="P1469" s="40">
        <f t="shared" si="244"/>
        <v>632</v>
      </c>
      <c r="Q1469" s="40">
        <f t="shared" si="244"/>
        <v>632</v>
      </c>
      <c r="R1469" s="40">
        <f t="shared" si="244"/>
        <v>632</v>
      </c>
      <c r="S1469" s="40">
        <f t="shared" si="244"/>
        <v>632</v>
      </c>
      <c r="T1469" s="40">
        <f t="shared" si="244"/>
        <v>632</v>
      </c>
      <c r="U1469" s="40">
        <f t="shared" si="244"/>
        <v>632</v>
      </c>
      <c r="V1469" s="40">
        <f t="shared" si="244"/>
        <v>632</v>
      </c>
      <c r="W1469" s="40">
        <f t="shared" si="244"/>
        <v>632</v>
      </c>
      <c r="X1469" s="40">
        <f t="shared" si="244"/>
        <v>632</v>
      </c>
      <c r="Y1469" s="40">
        <f t="shared" si="244"/>
        <v>632</v>
      </c>
      <c r="Z1469" s="40">
        <f t="shared" si="244"/>
        <v>632</v>
      </c>
      <c r="AA1469" s="966">
        <f>SUM(O1469:Z1469)</f>
        <v>7584</v>
      </c>
      <c r="AB1469" s="35"/>
      <c r="AC1469" s="183"/>
    </row>
    <row r="1470" spans="1:29" x14ac:dyDescent="0.2">
      <c r="A1470" s="1422"/>
      <c r="B1470" s="2522"/>
      <c r="C1470" s="3191"/>
      <c r="D1470" s="2421"/>
      <c r="E1470" s="2421"/>
      <c r="F1470" s="2420"/>
      <c r="G1470" s="2420"/>
      <c r="H1470" s="2420"/>
      <c r="I1470" s="2420"/>
      <c r="J1470" s="2515"/>
      <c r="K1470" s="101">
        <v>6751</v>
      </c>
      <c r="L1470" s="3295"/>
      <c r="M1470" s="3287" t="s">
        <v>298</v>
      </c>
      <c r="N1470" s="3288"/>
      <c r="O1470" s="1044"/>
      <c r="P1470" s="1044"/>
      <c r="Q1470" s="1044"/>
      <c r="R1470" s="1044"/>
      <c r="S1470" s="1044"/>
      <c r="T1470" s="1044"/>
      <c r="U1470" s="40">
        <f>$K1470/2</f>
        <v>3375.5</v>
      </c>
      <c r="V1470" s="1044"/>
      <c r="W1470" s="1044"/>
      <c r="X1470" s="1044"/>
      <c r="Y1470" s="1044"/>
      <c r="Z1470" s="40">
        <f>$K1470/2</f>
        <v>3375.5</v>
      </c>
      <c r="AA1470" s="966">
        <f t="shared" ref="AA1470:AA1477" si="245">SUM(O1470:Z1470)</f>
        <v>6751</v>
      </c>
      <c r="AB1470" s="35"/>
      <c r="AC1470" s="183"/>
    </row>
    <row r="1471" spans="1:29" x14ac:dyDescent="0.2">
      <c r="A1471" s="1422"/>
      <c r="B1471" s="2522"/>
      <c r="C1471" s="3191"/>
      <c r="D1471" s="2421"/>
      <c r="E1471" s="2421"/>
      <c r="F1471" s="2420"/>
      <c r="G1471" s="2420"/>
      <c r="H1471" s="2420"/>
      <c r="I1471" s="2420"/>
      <c r="J1471" s="2515"/>
      <c r="K1471" s="101">
        <v>2920</v>
      </c>
      <c r="L1471" s="3295"/>
      <c r="M1471" s="3287" t="s">
        <v>299</v>
      </c>
      <c r="N1471" s="3288"/>
      <c r="O1471" s="40">
        <f>$K1471</f>
        <v>2920</v>
      </c>
      <c r="P1471" s="1044"/>
      <c r="Q1471" s="40"/>
      <c r="R1471" s="1044"/>
      <c r="S1471" s="1044"/>
      <c r="T1471" s="1044"/>
      <c r="U1471" s="1044"/>
      <c r="V1471" s="1044"/>
      <c r="W1471" s="1044"/>
      <c r="X1471" s="1044"/>
      <c r="Y1471" s="1044"/>
      <c r="Z1471" s="1044"/>
      <c r="AA1471" s="966">
        <f t="shared" si="245"/>
        <v>2920</v>
      </c>
      <c r="AB1471" s="35"/>
      <c r="AC1471" s="183"/>
    </row>
    <row r="1472" spans="1:29" x14ac:dyDescent="0.2">
      <c r="A1472" s="1422"/>
      <c r="B1472" s="2522"/>
      <c r="C1472" s="3191"/>
      <c r="D1472" s="2421"/>
      <c r="E1472" s="2421"/>
      <c r="F1472" s="2420"/>
      <c r="G1472" s="2420"/>
      <c r="H1472" s="2420"/>
      <c r="I1472" s="2420"/>
      <c r="J1472" s="2515"/>
      <c r="K1472" s="101">
        <v>4866</v>
      </c>
      <c r="L1472" s="3295"/>
      <c r="M1472" s="3287" t="s">
        <v>300</v>
      </c>
      <c r="N1472" s="3288"/>
      <c r="O1472" s="40">
        <f t="shared" ref="O1472:Z1473" si="246">$K1472/12</f>
        <v>405.5</v>
      </c>
      <c r="P1472" s="40">
        <f t="shared" si="246"/>
        <v>405.5</v>
      </c>
      <c r="Q1472" s="40">
        <f t="shared" si="246"/>
        <v>405.5</v>
      </c>
      <c r="R1472" s="40">
        <f t="shared" si="246"/>
        <v>405.5</v>
      </c>
      <c r="S1472" s="40">
        <f t="shared" si="246"/>
        <v>405.5</v>
      </c>
      <c r="T1472" s="40">
        <f t="shared" si="246"/>
        <v>405.5</v>
      </c>
      <c r="U1472" s="40">
        <f t="shared" si="246"/>
        <v>405.5</v>
      </c>
      <c r="V1472" s="40">
        <f t="shared" si="246"/>
        <v>405.5</v>
      </c>
      <c r="W1472" s="40">
        <f t="shared" si="246"/>
        <v>405.5</v>
      </c>
      <c r="X1472" s="40">
        <f t="shared" si="246"/>
        <v>405.5</v>
      </c>
      <c r="Y1472" s="40">
        <f t="shared" si="246"/>
        <v>405.5</v>
      </c>
      <c r="Z1472" s="40">
        <f t="shared" si="246"/>
        <v>405.5</v>
      </c>
      <c r="AA1472" s="966">
        <f t="shared" si="245"/>
        <v>4866</v>
      </c>
      <c r="AB1472" s="35"/>
      <c r="AC1472" s="183"/>
    </row>
    <row r="1473" spans="1:29" x14ac:dyDescent="0.2">
      <c r="A1473" s="1422"/>
      <c r="B1473" s="2522"/>
      <c r="C1473" s="3191"/>
      <c r="D1473" s="2421"/>
      <c r="E1473" s="2421"/>
      <c r="F1473" s="2420"/>
      <c r="G1473" s="2420"/>
      <c r="H1473" s="2420"/>
      <c r="I1473" s="2420"/>
      <c r="J1473" s="2515"/>
      <c r="K1473" s="101">
        <v>318</v>
      </c>
      <c r="L1473" s="3295"/>
      <c r="M1473" s="3287" t="s">
        <v>301</v>
      </c>
      <c r="N1473" s="3288"/>
      <c r="O1473" s="40">
        <f t="shared" si="246"/>
        <v>26.5</v>
      </c>
      <c r="P1473" s="40">
        <f t="shared" si="246"/>
        <v>26.5</v>
      </c>
      <c r="Q1473" s="40">
        <f t="shared" si="246"/>
        <v>26.5</v>
      </c>
      <c r="R1473" s="40">
        <f t="shared" si="246"/>
        <v>26.5</v>
      </c>
      <c r="S1473" s="40">
        <f t="shared" si="246"/>
        <v>26.5</v>
      </c>
      <c r="T1473" s="40">
        <f t="shared" si="246"/>
        <v>26.5</v>
      </c>
      <c r="U1473" s="40">
        <f t="shared" si="246"/>
        <v>26.5</v>
      </c>
      <c r="V1473" s="40">
        <f t="shared" si="246"/>
        <v>26.5</v>
      </c>
      <c r="W1473" s="40">
        <f t="shared" si="246"/>
        <v>26.5</v>
      </c>
      <c r="X1473" s="40">
        <f t="shared" si="246"/>
        <v>26.5</v>
      </c>
      <c r="Y1473" s="40">
        <f t="shared" si="246"/>
        <v>26.5</v>
      </c>
      <c r="Z1473" s="40">
        <f t="shared" si="246"/>
        <v>26.5</v>
      </c>
      <c r="AA1473" s="966">
        <f t="shared" si="245"/>
        <v>318</v>
      </c>
      <c r="AB1473" s="35"/>
      <c r="AC1473" s="183"/>
    </row>
    <row r="1474" spans="1:29" x14ac:dyDescent="0.2">
      <c r="A1474" s="1422"/>
      <c r="B1474" s="2522"/>
      <c r="C1474" s="3191"/>
      <c r="D1474" s="2421"/>
      <c r="E1474" s="2421"/>
      <c r="F1474" s="2420"/>
      <c r="G1474" s="2420"/>
      <c r="H1474" s="2420"/>
      <c r="I1474" s="2420"/>
      <c r="J1474" s="2515"/>
      <c r="K1474" s="101">
        <v>2000</v>
      </c>
      <c r="L1474" s="3295"/>
      <c r="M1474" s="3287" t="s">
        <v>302</v>
      </c>
      <c r="N1474" s="3288"/>
      <c r="O1474" s="1044"/>
      <c r="P1474" s="1044"/>
      <c r="Q1474" s="1044"/>
      <c r="R1474" s="1044"/>
      <c r="S1474" s="1044">
        <f>K1474</f>
        <v>2000</v>
      </c>
      <c r="T1474" s="1044"/>
      <c r="U1474" s="1044"/>
      <c r="V1474" s="1044"/>
      <c r="W1474" s="1044"/>
      <c r="X1474" s="1044"/>
      <c r="Y1474" s="1044"/>
      <c r="Z1474" s="1044"/>
      <c r="AA1474" s="966">
        <f t="shared" si="245"/>
        <v>2000</v>
      </c>
      <c r="AB1474" s="35"/>
      <c r="AC1474" s="183"/>
    </row>
    <row r="1475" spans="1:29" x14ac:dyDescent="0.2">
      <c r="A1475" s="1422"/>
      <c r="B1475" s="2522"/>
      <c r="C1475" s="3191"/>
      <c r="D1475" s="2421"/>
      <c r="E1475" s="2421"/>
      <c r="F1475" s="2420"/>
      <c r="G1475" s="2420"/>
      <c r="H1475" s="2420"/>
      <c r="I1475" s="2420"/>
      <c r="J1475" s="2515"/>
      <c r="K1475" s="101">
        <v>500</v>
      </c>
      <c r="L1475" s="3295"/>
      <c r="M1475" s="3287" t="s">
        <v>303</v>
      </c>
      <c r="N1475" s="3288"/>
      <c r="O1475" s="1044"/>
      <c r="P1475" s="1044"/>
      <c r="Q1475" s="40">
        <f>$K1475</f>
        <v>500</v>
      </c>
      <c r="R1475" s="1044"/>
      <c r="S1475" s="1044"/>
      <c r="T1475" s="1044"/>
      <c r="U1475" s="1044"/>
      <c r="V1475" s="1044"/>
      <c r="W1475" s="1044"/>
      <c r="X1475" s="1044"/>
      <c r="Y1475" s="1044"/>
      <c r="Z1475" s="1044"/>
      <c r="AA1475" s="966">
        <f t="shared" si="245"/>
        <v>500</v>
      </c>
      <c r="AB1475" s="35"/>
      <c r="AC1475" s="183"/>
    </row>
    <row r="1476" spans="1:29" x14ac:dyDescent="0.2">
      <c r="A1476" s="1422"/>
      <c r="B1476" s="2522"/>
      <c r="C1476" s="3191"/>
      <c r="D1476" s="2421"/>
      <c r="E1476" s="2421"/>
      <c r="F1476" s="2420"/>
      <c r="G1476" s="2420"/>
      <c r="H1476" s="2420"/>
      <c r="I1476" s="2420"/>
      <c r="J1476" s="2515"/>
      <c r="K1476" s="101">
        <v>600</v>
      </c>
      <c r="L1476" s="3295"/>
      <c r="M1476" s="3287" t="s">
        <v>307</v>
      </c>
      <c r="N1476" s="3288"/>
      <c r="O1476" s="1044"/>
      <c r="P1476" s="94">
        <f>$K1476/11</f>
        <v>54.545454545454547</v>
      </c>
      <c r="Q1476" s="94">
        <f t="shared" ref="Q1476:Z1476" si="247">$K1476/11</f>
        <v>54.545454545454547</v>
      </c>
      <c r="R1476" s="94">
        <f t="shared" si="247"/>
        <v>54.545454545454547</v>
      </c>
      <c r="S1476" s="94">
        <f t="shared" si="247"/>
        <v>54.545454545454547</v>
      </c>
      <c r="T1476" s="94">
        <f t="shared" si="247"/>
        <v>54.545454545454547</v>
      </c>
      <c r="U1476" s="94">
        <f t="shared" si="247"/>
        <v>54.545454545454547</v>
      </c>
      <c r="V1476" s="94">
        <f t="shared" si="247"/>
        <v>54.545454545454547</v>
      </c>
      <c r="W1476" s="94">
        <f t="shared" si="247"/>
        <v>54.545454545454547</v>
      </c>
      <c r="X1476" s="94">
        <f t="shared" si="247"/>
        <v>54.545454545454547</v>
      </c>
      <c r="Y1476" s="94">
        <f t="shared" si="247"/>
        <v>54.545454545454547</v>
      </c>
      <c r="Z1476" s="94">
        <f t="shared" si="247"/>
        <v>54.545454545454547</v>
      </c>
      <c r="AA1476" s="966">
        <f t="shared" si="245"/>
        <v>600</v>
      </c>
      <c r="AB1476" s="35"/>
      <c r="AC1476" s="183"/>
    </row>
    <row r="1477" spans="1:29" x14ac:dyDescent="0.2">
      <c r="A1477" s="1422"/>
      <c r="B1477" s="2522"/>
      <c r="C1477" s="2439"/>
      <c r="D1477" s="2421"/>
      <c r="E1477" s="2421"/>
      <c r="F1477" s="2420"/>
      <c r="G1477" s="2420"/>
      <c r="H1477" s="2420"/>
      <c r="I1477" s="2420"/>
      <c r="J1477" s="2516"/>
      <c r="K1477" s="101">
        <v>8000</v>
      </c>
      <c r="L1477" s="3296"/>
      <c r="M1477" s="3287" t="s">
        <v>309</v>
      </c>
      <c r="N1477" s="3288"/>
      <c r="O1477" s="1044"/>
      <c r="P1477" s="1044"/>
      <c r="Q1477" s="1044"/>
      <c r="R1477" s="40">
        <f>$K1477/5</f>
        <v>1600</v>
      </c>
      <c r="S1477" s="40"/>
      <c r="T1477" s="40">
        <f>$K1477/5</f>
        <v>1600</v>
      </c>
      <c r="U1477" s="1044"/>
      <c r="V1477" s="40">
        <f>$K1477/5</f>
        <v>1600</v>
      </c>
      <c r="W1477" s="1044"/>
      <c r="X1477" s="40">
        <f>$K1477/5</f>
        <v>1600</v>
      </c>
      <c r="Y1477" s="1044"/>
      <c r="Z1477" s="40">
        <f>$K1477/5</f>
        <v>1600</v>
      </c>
      <c r="AA1477" s="966">
        <f t="shared" si="245"/>
        <v>8000</v>
      </c>
      <c r="AB1477" s="35"/>
      <c r="AC1477" s="183"/>
    </row>
    <row r="1478" spans="1:29" x14ac:dyDescent="0.2">
      <c r="A1478" s="1422"/>
      <c r="B1478" s="1429" t="s">
        <v>312</v>
      </c>
      <c r="C1478" s="1051"/>
      <c r="D1478" s="96"/>
      <c r="E1478" s="96"/>
      <c r="F1478" s="96"/>
      <c r="G1478" s="96"/>
      <c r="H1478" s="96"/>
      <c r="I1478" s="96"/>
      <c r="J1478" s="96"/>
      <c r="K1478" s="1044">
        <f>SUM(K1465:K1477)</f>
        <v>275524</v>
      </c>
      <c r="L1478" s="38"/>
      <c r="M1478" s="38"/>
      <c r="N1478" s="38"/>
      <c r="O1478" s="1044"/>
      <c r="P1478" s="1044"/>
      <c r="Q1478" s="1044"/>
      <c r="R1478" s="1044"/>
      <c r="S1478" s="1044"/>
      <c r="T1478" s="1044"/>
      <c r="U1478" s="1044"/>
      <c r="V1478" s="1044"/>
      <c r="W1478" s="1044"/>
      <c r="X1478" s="1044"/>
      <c r="Y1478" s="1044"/>
      <c r="Z1478" s="1044"/>
      <c r="AA1478" s="38"/>
      <c r="AB1478" s="35"/>
      <c r="AC1478" s="183"/>
    </row>
    <row r="1479" spans="1:29" x14ac:dyDescent="0.2">
      <c r="A1479" s="1422"/>
      <c r="B1479" s="1433" t="s">
        <v>278</v>
      </c>
      <c r="C1479" s="1119"/>
      <c r="D1479" s="1119">
        <v>3043958</v>
      </c>
      <c r="E1479" s="192" t="s">
        <v>605</v>
      </c>
      <c r="F1479" s="35"/>
      <c r="G1479" s="35"/>
      <c r="H1479" s="35"/>
      <c r="I1479" s="35"/>
      <c r="J1479" s="35"/>
      <c r="K1479" s="60"/>
      <c r="L1479" s="60"/>
      <c r="M1479" s="60"/>
      <c r="N1479" s="60"/>
      <c r="O1479" s="60"/>
      <c r="P1479" s="60"/>
      <c r="Q1479" s="60"/>
      <c r="R1479" s="60"/>
      <c r="S1479" s="60"/>
      <c r="T1479" s="3235" t="s">
        <v>15</v>
      </c>
      <c r="U1479" s="3235"/>
      <c r="V1479" s="3235"/>
      <c r="W1479" s="3235"/>
      <c r="X1479" s="3235"/>
      <c r="Y1479" s="3235"/>
      <c r="Z1479" s="3023" t="s">
        <v>16</v>
      </c>
      <c r="AA1479" s="3338"/>
      <c r="AB1479" s="35"/>
      <c r="AC1479" s="183"/>
    </row>
    <row r="1480" spans="1:29" x14ac:dyDescent="0.2">
      <c r="A1480" s="1422"/>
      <c r="B1480" s="1433"/>
      <c r="C1480" s="1119"/>
      <c r="D1480" s="1119"/>
      <c r="E1480" s="192"/>
      <c r="F1480" s="35"/>
      <c r="G1480" s="35"/>
      <c r="H1480" s="35"/>
      <c r="I1480" s="35"/>
      <c r="J1480" s="35"/>
      <c r="K1480" s="60"/>
      <c r="L1480" s="60"/>
      <c r="M1480" s="60"/>
      <c r="N1480" s="60"/>
      <c r="O1480" s="60"/>
      <c r="P1480" s="60"/>
      <c r="Q1480" s="60"/>
      <c r="R1480" s="60"/>
      <c r="S1480" s="60"/>
      <c r="T1480" s="3233" t="s">
        <v>606</v>
      </c>
      <c r="U1480" s="3233"/>
      <c r="V1480" s="3233"/>
      <c r="W1480" s="3233"/>
      <c r="X1480" s="3233"/>
      <c r="Y1480" s="3233"/>
      <c r="Z1480" s="3019" t="s">
        <v>352</v>
      </c>
      <c r="AA1480" s="3020"/>
      <c r="AB1480" s="35"/>
      <c r="AC1480" s="183"/>
    </row>
    <row r="1481" spans="1:29" x14ac:dyDescent="0.2">
      <c r="A1481" s="1422"/>
      <c r="B1481" s="2999" t="s">
        <v>278</v>
      </c>
      <c r="C1481" s="3015" t="s">
        <v>563</v>
      </c>
      <c r="D1481" s="2847" t="s">
        <v>22</v>
      </c>
      <c r="E1481" s="2847" t="s">
        <v>23</v>
      </c>
      <c r="F1481" s="2847" t="s">
        <v>24</v>
      </c>
      <c r="G1481" s="2847" t="s">
        <v>25</v>
      </c>
      <c r="H1481" s="2847" t="s">
        <v>26</v>
      </c>
      <c r="I1481" s="2847" t="s">
        <v>27</v>
      </c>
      <c r="J1481" s="2847" t="s">
        <v>28</v>
      </c>
      <c r="K1481" s="2847"/>
      <c r="L1481" s="2988" t="s">
        <v>279</v>
      </c>
      <c r="M1481" s="3273" t="s">
        <v>280</v>
      </c>
      <c r="N1481" s="3274"/>
      <c r="O1481" s="2847" t="s">
        <v>281</v>
      </c>
      <c r="P1481" s="2847"/>
      <c r="Q1481" s="2847"/>
      <c r="R1481" s="2847"/>
      <c r="S1481" s="2847"/>
      <c r="T1481" s="2847"/>
      <c r="U1481" s="2847"/>
      <c r="V1481" s="2847"/>
      <c r="W1481" s="2847"/>
      <c r="X1481" s="2847"/>
      <c r="Y1481" s="2847"/>
      <c r="Z1481" s="2847"/>
      <c r="AA1481" s="2847" t="s">
        <v>32</v>
      </c>
      <c r="AB1481" s="35"/>
      <c r="AC1481" s="183"/>
    </row>
    <row r="1482" spans="1:29" x14ac:dyDescent="0.2">
      <c r="A1482" s="1422"/>
      <c r="B1482" s="2999"/>
      <c r="C1482" s="3359"/>
      <c r="D1482" s="2847"/>
      <c r="E1482" s="2847"/>
      <c r="F1482" s="2847"/>
      <c r="G1482" s="2847"/>
      <c r="H1482" s="2847"/>
      <c r="I1482" s="2847"/>
      <c r="J1482" s="2847" t="s">
        <v>33</v>
      </c>
      <c r="K1482" s="2847" t="s">
        <v>282</v>
      </c>
      <c r="L1482" s="3186"/>
      <c r="M1482" s="3275"/>
      <c r="N1482" s="3276"/>
      <c r="O1482" s="1017" t="s">
        <v>283</v>
      </c>
      <c r="P1482" s="1017" t="s">
        <v>284</v>
      </c>
      <c r="Q1482" s="1017" t="s">
        <v>285</v>
      </c>
      <c r="R1482" s="1017" t="s">
        <v>88</v>
      </c>
      <c r="S1482" s="1017" t="s">
        <v>89</v>
      </c>
      <c r="T1482" s="1017" t="s">
        <v>90</v>
      </c>
      <c r="U1482" s="1017" t="s">
        <v>91</v>
      </c>
      <c r="V1482" s="1017" t="s">
        <v>92</v>
      </c>
      <c r="W1482" s="1017" t="s">
        <v>286</v>
      </c>
      <c r="X1482" s="1017" t="s">
        <v>93</v>
      </c>
      <c r="Y1482" s="1017" t="s">
        <v>94</v>
      </c>
      <c r="Z1482" s="1017" t="s">
        <v>95</v>
      </c>
      <c r="AA1482" s="2847"/>
      <c r="AB1482" s="35"/>
      <c r="AC1482" s="183"/>
    </row>
    <row r="1483" spans="1:29" ht="12.75" x14ac:dyDescent="0.2">
      <c r="A1483" s="1422"/>
      <c r="B1483" s="2999"/>
      <c r="C1483" s="3359"/>
      <c r="D1483" s="2847"/>
      <c r="E1483" s="2847"/>
      <c r="F1483" s="2847"/>
      <c r="G1483" s="2847"/>
      <c r="H1483" s="2847"/>
      <c r="I1483" s="2847"/>
      <c r="J1483" s="2847"/>
      <c r="K1483" s="2847"/>
      <c r="L1483" s="3186"/>
      <c r="M1483" s="3271" t="s">
        <v>287</v>
      </c>
      <c r="N1483" s="3272"/>
      <c r="O1483" s="1095">
        <v>4500</v>
      </c>
      <c r="P1483" s="1095">
        <v>4400</v>
      </c>
      <c r="Q1483" s="1095">
        <v>4450</v>
      </c>
      <c r="R1483" s="1095">
        <v>5000</v>
      </c>
      <c r="S1483" s="1095">
        <v>5000</v>
      </c>
      <c r="T1483" s="1095">
        <v>4031</v>
      </c>
      <c r="U1483" s="1095">
        <v>4000</v>
      </c>
      <c r="V1483" s="1095">
        <v>4500</v>
      </c>
      <c r="W1483" s="1095">
        <v>4000</v>
      </c>
      <c r="X1483" s="1095">
        <v>4400</v>
      </c>
      <c r="Y1483" s="1095">
        <v>4400</v>
      </c>
      <c r="Z1483" s="1095">
        <v>4400</v>
      </c>
      <c r="AA1483" s="1205">
        <f t="shared" ref="AA1483:AA1488" si="248">SUM(O1483:Z1483)</f>
        <v>53081</v>
      </c>
      <c r="AB1483" s="35"/>
      <c r="AC1483" s="183"/>
    </row>
    <row r="1484" spans="1:29" ht="12.75" x14ac:dyDescent="0.2">
      <c r="A1484" s="1422"/>
      <c r="B1484" s="2999"/>
      <c r="C1484" s="3016"/>
      <c r="D1484" s="2847"/>
      <c r="E1484" s="2847"/>
      <c r="F1484" s="2847"/>
      <c r="G1484" s="2847"/>
      <c r="H1484" s="2847"/>
      <c r="I1484" s="2847"/>
      <c r="J1484" s="2847"/>
      <c r="K1484" s="2847"/>
      <c r="L1484" s="2989"/>
      <c r="M1484" s="3271" t="s">
        <v>34</v>
      </c>
      <c r="N1484" s="3272"/>
      <c r="O1484" s="36">
        <f>SUM(O1485:O1497)</f>
        <v>59797.000000000007</v>
      </c>
      <c r="P1484" s="36">
        <f t="shared" ref="P1484:Z1484" si="249">SUM(P1485:P1497)</f>
        <v>52365.181818181823</v>
      </c>
      <c r="Q1484" s="36">
        <f t="shared" si="249"/>
        <v>53255.181818181823</v>
      </c>
      <c r="R1484" s="36">
        <f t="shared" si="249"/>
        <v>52365.181818181823</v>
      </c>
      <c r="S1484" s="36">
        <f t="shared" si="249"/>
        <v>52365.181818181823</v>
      </c>
      <c r="T1484" s="36">
        <f t="shared" si="249"/>
        <v>52365.181818181823</v>
      </c>
      <c r="U1484" s="36">
        <f t="shared" si="249"/>
        <v>58715.181818181823</v>
      </c>
      <c r="V1484" s="36">
        <f t="shared" si="249"/>
        <v>52365.181818181823</v>
      </c>
      <c r="W1484" s="36">
        <f t="shared" si="249"/>
        <v>52365.181818181823</v>
      </c>
      <c r="X1484" s="36">
        <f t="shared" si="249"/>
        <v>52365.181818181823</v>
      </c>
      <c r="Y1484" s="36">
        <f t="shared" si="249"/>
        <v>52365.181818181823</v>
      </c>
      <c r="Z1484" s="36">
        <f t="shared" si="249"/>
        <v>58715.181818181823</v>
      </c>
      <c r="AA1484" s="1205">
        <f t="shared" si="248"/>
        <v>649404.00000000023</v>
      </c>
      <c r="AB1484" s="35"/>
      <c r="AC1484" s="183"/>
    </row>
    <row r="1485" spans="1:29" ht="11.25" customHeight="1" x14ac:dyDescent="0.2">
      <c r="A1485" s="1422"/>
      <c r="B1485" s="2522">
        <v>5000068</v>
      </c>
      <c r="C1485" s="3190" t="s">
        <v>3082</v>
      </c>
      <c r="D1485" s="2421"/>
      <c r="E1485" s="2421" t="s">
        <v>407</v>
      </c>
      <c r="F1485" s="2420" t="s">
        <v>313</v>
      </c>
      <c r="G1485" s="2420" t="s">
        <v>329</v>
      </c>
      <c r="H1485" s="2420"/>
      <c r="I1485" s="2420" t="s">
        <v>354</v>
      </c>
      <c r="J1485" s="2514">
        <v>53081</v>
      </c>
      <c r="K1485" s="101">
        <v>162165</v>
      </c>
      <c r="L1485" s="3294" t="s">
        <v>565</v>
      </c>
      <c r="M1485" s="3287" t="s">
        <v>293</v>
      </c>
      <c r="N1485" s="3288"/>
      <c r="O1485" s="40">
        <f t="shared" ref="O1485:Z1488" si="250">$K1485/12</f>
        <v>13513.75</v>
      </c>
      <c r="P1485" s="40">
        <f t="shared" si="250"/>
        <v>13513.75</v>
      </c>
      <c r="Q1485" s="40">
        <f t="shared" si="250"/>
        <v>13513.75</v>
      </c>
      <c r="R1485" s="40">
        <f t="shared" si="250"/>
        <v>13513.75</v>
      </c>
      <c r="S1485" s="40">
        <f t="shared" si="250"/>
        <v>13513.75</v>
      </c>
      <c r="T1485" s="40">
        <f t="shared" si="250"/>
        <v>13513.75</v>
      </c>
      <c r="U1485" s="40">
        <f t="shared" si="250"/>
        <v>13513.75</v>
      </c>
      <c r="V1485" s="40">
        <f t="shared" si="250"/>
        <v>13513.75</v>
      </c>
      <c r="W1485" s="40">
        <f t="shared" si="250"/>
        <v>13513.75</v>
      </c>
      <c r="X1485" s="40">
        <f t="shared" si="250"/>
        <v>13513.75</v>
      </c>
      <c r="Y1485" s="40">
        <f t="shared" si="250"/>
        <v>13513.75</v>
      </c>
      <c r="Z1485" s="40">
        <f t="shared" si="250"/>
        <v>13513.75</v>
      </c>
      <c r="AA1485" s="966">
        <f>SUM(O1485:Z1485)</f>
        <v>162165</v>
      </c>
      <c r="AB1485" s="35"/>
      <c r="AC1485" s="183"/>
    </row>
    <row r="1486" spans="1:29" x14ac:dyDescent="0.2">
      <c r="A1486" s="1422"/>
      <c r="B1486" s="2522"/>
      <c r="C1486" s="3191"/>
      <c r="D1486" s="2421"/>
      <c r="E1486" s="2421"/>
      <c r="F1486" s="2420"/>
      <c r="G1486" s="2420"/>
      <c r="H1486" s="2420"/>
      <c r="I1486" s="2420"/>
      <c r="J1486" s="2515"/>
      <c r="K1486" s="101">
        <v>285773</v>
      </c>
      <c r="L1486" s="3295"/>
      <c r="M1486" s="3287" t="s">
        <v>295</v>
      </c>
      <c r="N1486" s="3288"/>
      <c r="O1486" s="40">
        <f t="shared" si="250"/>
        <v>23814.416666666668</v>
      </c>
      <c r="P1486" s="40">
        <f t="shared" si="250"/>
        <v>23814.416666666668</v>
      </c>
      <c r="Q1486" s="40">
        <f t="shared" si="250"/>
        <v>23814.416666666668</v>
      </c>
      <c r="R1486" s="40">
        <f t="shared" si="250"/>
        <v>23814.416666666668</v>
      </c>
      <c r="S1486" s="40">
        <f t="shared" si="250"/>
        <v>23814.416666666668</v>
      </c>
      <c r="T1486" s="40">
        <f t="shared" si="250"/>
        <v>23814.416666666668</v>
      </c>
      <c r="U1486" s="40">
        <f t="shared" si="250"/>
        <v>23814.416666666668</v>
      </c>
      <c r="V1486" s="40">
        <f t="shared" si="250"/>
        <v>23814.416666666668</v>
      </c>
      <c r="W1486" s="40">
        <f t="shared" si="250"/>
        <v>23814.416666666668</v>
      </c>
      <c r="X1486" s="40">
        <f t="shared" si="250"/>
        <v>23814.416666666668</v>
      </c>
      <c r="Y1486" s="40">
        <f t="shared" si="250"/>
        <v>23814.416666666668</v>
      </c>
      <c r="Z1486" s="40">
        <f t="shared" si="250"/>
        <v>23814.416666666668</v>
      </c>
      <c r="AA1486" s="966">
        <f t="shared" si="248"/>
        <v>285772.99999999994</v>
      </c>
      <c r="AB1486" s="35"/>
      <c r="AC1486" s="183"/>
    </row>
    <row r="1487" spans="1:29" ht="12.75" x14ac:dyDescent="0.2">
      <c r="A1487" s="1422"/>
      <c r="B1487" s="2522"/>
      <c r="C1487" s="3191"/>
      <c r="D1487" s="2421"/>
      <c r="E1487" s="2421"/>
      <c r="F1487" s="2420"/>
      <c r="G1487" s="2420"/>
      <c r="H1487" s="2420"/>
      <c r="I1487" s="2420"/>
      <c r="J1487" s="2515"/>
      <c r="K1487" s="101">
        <v>89823</v>
      </c>
      <c r="L1487" s="3295"/>
      <c r="M1487" s="3287" t="s">
        <v>296</v>
      </c>
      <c r="N1487" s="3288"/>
      <c r="O1487" s="40">
        <f t="shared" si="250"/>
        <v>7485.25</v>
      </c>
      <c r="P1487" s="40">
        <f t="shared" si="250"/>
        <v>7485.25</v>
      </c>
      <c r="Q1487" s="40">
        <f t="shared" si="250"/>
        <v>7485.25</v>
      </c>
      <c r="R1487" s="40">
        <f t="shared" si="250"/>
        <v>7485.25</v>
      </c>
      <c r="S1487" s="40">
        <f t="shared" si="250"/>
        <v>7485.25</v>
      </c>
      <c r="T1487" s="40">
        <f t="shared" si="250"/>
        <v>7485.25</v>
      </c>
      <c r="U1487" s="40">
        <f t="shared" si="250"/>
        <v>7485.25</v>
      </c>
      <c r="V1487" s="40">
        <f t="shared" si="250"/>
        <v>7485.25</v>
      </c>
      <c r="W1487" s="40">
        <f t="shared" si="250"/>
        <v>7485.25</v>
      </c>
      <c r="X1487" s="40">
        <f t="shared" si="250"/>
        <v>7485.25</v>
      </c>
      <c r="Y1487" s="40">
        <f t="shared" si="250"/>
        <v>7485.25</v>
      </c>
      <c r="Z1487" s="40">
        <f t="shared" si="250"/>
        <v>7485.25</v>
      </c>
      <c r="AA1487" s="1208">
        <f t="shared" si="248"/>
        <v>89823</v>
      </c>
      <c r="AB1487" s="35"/>
      <c r="AC1487" s="183"/>
    </row>
    <row r="1488" spans="1:29" ht="12.75" x14ac:dyDescent="0.2">
      <c r="A1488" s="1422"/>
      <c r="B1488" s="2522"/>
      <c r="C1488" s="3191"/>
      <c r="D1488" s="2421"/>
      <c r="E1488" s="2421"/>
      <c r="F1488" s="2420"/>
      <c r="G1488" s="2420"/>
      <c r="H1488" s="2420"/>
      <c r="I1488" s="2420"/>
      <c r="J1488" s="2515"/>
      <c r="K1488" s="101">
        <v>48984</v>
      </c>
      <c r="L1488" s="3295"/>
      <c r="M1488" s="3287" t="s">
        <v>297</v>
      </c>
      <c r="N1488" s="3288"/>
      <c r="O1488" s="40">
        <f t="shared" si="250"/>
        <v>4082</v>
      </c>
      <c r="P1488" s="40">
        <f t="shared" si="250"/>
        <v>4082</v>
      </c>
      <c r="Q1488" s="40">
        <f t="shared" si="250"/>
        <v>4082</v>
      </c>
      <c r="R1488" s="40">
        <f t="shared" si="250"/>
        <v>4082</v>
      </c>
      <c r="S1488" s="40">
        <f t="shared" si="250"/>
        <v>4082</v>
      </c>
      <c r="T1488" s="40">
        <f t="shared" si="250"/>
        <v>4082</v>
      </c>
      <c r="U1488" s="40">
        <f t="shared" si="250"/>
        <v>4082</v>
      </c>
      <c r="V1488" s="40">
        <f t="shared" si="250"/>
        <v>4082</v>
      </c>
      <c r="W1488" s="40">
        <f t="shared" si="250"/>
        <v>4082</v>
      </c>
      <c r="X1488" s="40">
        <f t="shared" si="250"/>
        <v>4082</v>
      </c>
      <c r="Y1488" s="40">
        <f t="shared" si="250"/>
        <v>4082</v>
      </c>
      <c r="Z1488" s="40">
        <f t="shared" si="250"/>
        <v>4082</v>
      </c>
      <c r="AA1488" s="1208">
        <f t="shared" si="248"/>
        <v>48984</v>
      </c>
      <c r="AB1488" s="35"/>
      <c r="AC1488" s="183"/>
    </row>
    <row r="1489" spans="1:29" x14ac:dyDescent="0.2">
      <c r="A1489" s="1422"/>
      <c r="B1489" s="2522"/>
      <c r="C1489" s="3191"/>
      <c r="D1489" s="2421"/>
      <c r="E1489" s="2421"/>
      <c r="F1489" s="2420"/>
      <c r="G1489" s="2420"/>
      <c r="H1489" s="2420"/>
      <c r="I1489" s="2420"/>
      <c r="J1489" s="2515"/>
      <c r="K1489" s="101">
        <v>12700</v>
      </c>
      <c r="L1489" s="3295"/>
      <c r="M1489" s="3287" t="s">
        <v>298</v>
      </c>
      <c r="N1489" s="3288"/>
      <c r="O1489" s="1044"/>
      <c r="P1489" s="1044"/>
      <c r="Q1489" s="1044"/>
      <c r="R1489" s="1044"/>
      <c r="S1489" s="1044"/>
      <c r="T1489" s="1044"/>
      <c r="U1489" s="40">
        <f>$K1489/2</f>
        <v>6350</v>
      </c>
      <c r="V1489" s="1044"/>
      <c r="W1489" s="1044"/>
      <c r="X1489" s="1044"/>
      <c r="Y1489" s="1044"/>
      <c r="Z1489" s="40">
        <f>$K1489/2</f>
        <v>6350</v>
      </c>
      <c r="AA1489" s="966">
        <f>SUM(O1489:Z1489)</f>
        <v>12700</v>
      </c>
      <c r="AB1489" s="35"/>
      <c r="AC1489" s="183"/>
    </row>
    <row r="1490" spans="1:29" x14ac:dyDescent="0.2">
      <c r="A1490" s="1422"/>
      <c r="B1490" s="2522"/>
      <c r="C1490" s="3191"/>
      <c r="D1490" s="2421"/>
      <c r="E1490" s="2421"/>
      <c r="F1490" s="2420"/>
      <c r="G1490" s="2420"/>
      <c r="H1490" s="2420"/>
      <c r="I1490" s="2420"/>
      <c r="J1490" s="2515"/>
      <c r="K1490" s="101">
        <v>8250</v>
      </c>
      <c r="L1490" s="3295"/>
      <c r="M1490" s="3287" t="s">
        <v>299</v>
      </c>
      <c r="N1490" s="3288"/>
      <c r="O1490" s="40">
        <f>$K1490</f>
        <v>8250</v>
      </c>
      <c r="P1490" s="40"/>
      <c r="Q1490" s="40"/>
      <c r="R1490" s="40"/>
      <c r="S1490" s="40"/>
      <c r="T1490" s="40"/>
      <c r="U1490" s="40"/>
      <c r="V1490" s="40"/>
      <c r="W1490" s="40"/>
      <c r="X1490" s="40"/>
      <c r="Y1490" s="40"/>
      <c r="Z1490" s="40"/>
      <c r="AA1490" s="966">
        <f t="shared" ref="AA1490:AA1497" si="251">SUM(O1490:Z1490)</f>
        <v>8250</v>
      </c>
      <c r="AB1490" s="35"/>
      <c r="AC1490" s="183"/>
    </row>
    <row r="1491" spans="1:29" x14ac:dyDescent="0.2">
      <c r="A1491" s="1422"/>
      <c r="B1491" s="2522"/>
      <c r="C1491" s="3191"/>
      <c r="D1491" s="2421"/>
      <c r="E1491" s="2421"/>
      <c r="F1491" s="2420"/>
      <c r="G1491" s="2420"/>
      <c r="H1491" s="2420"/>
      <c r="I1491" s="2420"/>
      <c r="J1491" s="2515"/>
      <c r="K1491" s="101">
        <v>31414</v>
      </c>
      <c r="L1491" s="3295"/>
      <c r="M1491" s="3287" t="s">
        <v>300</v>
      </c>
      <c r="N1491" s="3288"/>
      <c r="O1491" s="40">
        <f t="shared" ref="O1491:Z1492" si="252">$K1491/12</f>
        <v>2617.8333333333335</v>
      </c>
      <c r="P1491" s="40">
        <f t="shared" si="252"/>
        <v>2617.8333333333335</v>
      </c>
      <c r="Q1491" s="40">
        <f t="shared" si="252"/>
        <v>2617.8333333333335</v>
      </c>
      <c r="R1491" s="40">
        <f t="shared" si="252"/>
        <v>2617.8333333333335</v>
      </c>
      <c r="S1491" s="40">
        <f t="shared" si="252"/>
        <v>2617.8333333333335</v>
      </c>
      <c r="T1491" s="40">
        <f t="shared" si="252"/>
        <v>2617.8333333333335</v>
      </c>
      <c r="U1491" s="40">
        <f t="shared" si="252"/>
        <v>2617.8333333333335</v>
      </c>
      <c r="V1491" s="40">
        <f t="shared" si="252"/>
        <v>2617.8333333333335</v>
      </c>
      <c r="W1491" s="40">
        <f t="shared" si="252"/>
        <v>2617.8333333333335</v>
      </c>
      <c r="X1491" s="40">
        <f t="shared" si="252"/>
        <v>2617.8333333333335</v>
      </c>
      <c r="Y1491" s="40">
        <f t="shared" si="252"/>
        <v>2617.8333333333335</v>
      </c>
      <c r="Z1491" s="40">
        <f t="shared" si="252"/>
        <v>2617.8333333333335</v>
      </c>
      <c r="AA1491" s="966">
        <f t="shared" si="251"/>
        <v>31413.999999999996</v>
      </c>
      <c r="AB1491" s="35"/>
      <c r="AC1491" s="183"/>
    </row>
    <row r="1492" spans="1:29" x14ac:dyDescent="0.2">
      <c r="A1492" s="1422"/>
      <c r="B1492" s="2522"/>
      <c r="C1492" s="3191"/>
      <c r="D1492" s="2421"/>
      <c r="E1492" s="2421"/>
      <c r="F1492" s="2420"/>
      <c r="G1492" s="2420"/>
      <c r="H1492" s="2420"/>
      <c r="I1492" s="2420"/>
      <c r="J1492" s="2515"/>
      <c r="K1492" s="101">
        <v>405</v>
      </c>
      <c r="L1492" s="3295"/>
      <c r="M1492" s="3287" t="s">
        <v>301</v>
      </c>
      <c r="N1492" s="3288"/>
      <c r="O1492" s="40">
        <f t="shared" si="252"/>
        <v>33.75</v>
      </c>
      <c r="P1492" s="40">
        <f t="shared" si="252"/>
        <v>33.75</v>
      </c>
      <c r="Q1492" s="40">
        <f t="shared" si="252"/>
        <v>33.75</v>
      </c>
      <c r="R1492" s="40">
        <f t="shared" si="252"/>
        <v>33.75</v>
      </c>
      <c r="S1492" s="40">
        <f t="shared" si="252"/>
        <v>33.75</v>
      </c>
      <c r="T1492" s="40">
        <f t="shared" si="252"/>
        <v>33.75</v>
      </c>
      <c r="U1492" s="40">
        <f t="shared" si="252"/>
        <v>33.75</v>
      </c>
      <c r="V1492" s="40">
        <f t="shared" si="252"/>
        <v>33.75</v>
      </c>
      <c r="W1492" s="40">
        <f t="shared" si="252"/>
        <v>33.75</v>
      </c>
      <c r="X1492" s="40">
        <f t="shared" si="252"/>
        <v>33.75</v>
      </c>
      <c r="Y1492" s="40">
        <f t="shared" si="252"/>
        <v>33.75</v>
      </c>
      <c r="Z1492" s="40">
        <f t="shared" si="252"/>
        <v>33.75</v>
      </c>
      <c r="AA1492" s="966">
        <f t="shared" si="251"/>
        <v>405</v>
      </c>
      <c r="AB1492" s="35"/>
      <c r="AC1492" s="183"/>
    </row>
    <row r="1493" spans="1:29" x14ac:dyDescent="0.2">
      <c r="A1493" s="1422"/>
      <c r="B1493" s="2522"/>
      <c r="C1493" s="3191"/>
      <c r="D1493" s="2421"/>
      <c r="E1493" s="2421"/>
      <c r="F1493" s="2420"/>
      <c r="G1493" s="2420"/>
      <c r="H1493" s="2420"/>
      <c r="I1493" s="2420"/>
      <c r="J1493" s="2515"/>
      <c r="K1493" s="101">
        <v>240</v>
      </c>
      <c r="L1493" s="3295"/>
      <c r="M1493" s="3287" t="s">
        <v>303</v>
      </c>
      <c r="N1493" s="3288"/>
      <c r="O1493" s="1044"/>
      <c r="P1493" s="1044"/>
      <c r="Q1493" s="40">
        <f>$K1493</f>
        <v>240</v>
      </c>
      <c r="R1493" s="1044"/>
      <c r="S1493" s="1044"/>
      <c r="T1493" s="1044"/>
      <c r="U1493" s="1044"/>
      <c r="V1493" s="1044"/>
      <c r="W1493" s="1044"/>
      <c r="X1493" s="1044"/>
      <c r="Y1493" s="1044"/>
      <c r="Z1493" s="1044"/>
      <c r="AA1493" s="966">
        <f t="shared" si="251"/>
        <v>240</v>
      </c>
      <c r="AB1493" s="35"/>
      <c r="AC1493" s="183"/>
    </row>
    <row r="1494" spans="1:29" x14ac:dyDescent="0.2">
      <c r="A1494" s="1422"/>
      <c r="B1494" s="2522"/>
      <c r="C1494" s="3191"/>
      <c r="D1494" s="2421"/>
      <c r="E1494" s="2421"/>
      <c r="F1494" s="2420"/>
      <c r="G1494" s="2420"/>
      <c r="H1494" s="2420"/>
      <c r="I1494" s="2420"/>
      <c r="J1494" s="2515"/>
      <c r="K1494" s="101">
        <v>2500</v>
      </c>
      <c r="L1494" s="3295"/>
      <c r="M1494" s="3287" t="s">
        <v>306</v>
      </c>
      <c r="N1494" s="3288"/>
      <c r="O1494" s="1044"/>
      <c r="P1494" s="93">
        <f>$K1494/11</f>
        <v>227.27272727272728</v>
      </c>
      <c r="Q1494" s="93">
        <f t="shared" ref="Q1494:Z1495" si="253">$K1494/11</f>
        <v>227.27272727272728</v>
      </c>
      <c r="R1494" s="93">
        <f t="shared" si="253"/>
        <v>227.27272727272728</v>
      </c>
      <c r="S1494" s="93">
        <f t="shared" si="253"/>
        <v>227.27272727272728</v>
      </c>
      <c r="T1494" s="93">
        <f t="shared" si="253"/>
        <v>227.27272727272728</v>
      </c>
      <c r="U1494" s="93">
        <f t="shared" si="253"/>
        <v>227.27272727272728</v>
      </c>
      <c r="V1494" s="93">
        <f t="shared" si="253"/>
        <v>227.27272727272728</v>
      </c>
      <c r="W1494" s="93">
        <f t="shared" si="253"/>
        <v>227.27272727272728</v>
      </c>
      <c r="X1494" s="93">
        <f t="shared" si="253"/>
        <v>227.27272727272728</v>
      </c>
      <c r="Y1494" s="93">
        <f t="shared" si="253"/>
        <v>227.27272727272728</v>
      </c>
      <c r="Z1494" s="93">
        <f t="shared" si="253"/>
        <v>227.27272727272728</v>
      </c>
      <c r="AA1494" s="966">
        <f t="shared" si="251"/>
        <v>2500.0000000000005</v>
      </c>
      <c r="AB1494" s="35"/>
      <c r="AC1494" s="183"/>
    </row>
    <row r="1495" spans="1:29" x14ac:dyDescent="0.2">
      <c r="A1495" s="1422"/>
      <c r="B1495" s="2522"/>
      <c r="C1495" s="3191"/>
      <c r="D1495" s="2421"/>
      <c r="E1495" s="2421"/>
      <c r="F1495" s="2420"/>
      <c r="G1495" s="2420"/>
      <c r="H1495" s="2420"/>
      <c r="I1495" s="2420"/>
      <c r="J1495" s="2515"/>
      <c r="K1495" s="101">
        <v>6500</v>
      </c>
      <c r="L1495" s="3295"/>
      <c r="M1495" s="3287" t="s">
        <v>307</v>
      </c>
      <c r="N1495" s="3288"/>
      <c r="O1495" s="1044"/>
      <c r="P1495" s="94">
        <f>$K1495/11</f>
        <v>590.90909090909088</v>
      </c>
      <c r="Q1495" s="94">
        <f t="shared" si="253"/>
        <v>590.90909090909088</v>
      </c>
      <c r="R1495" s="94">
        <f t="shared" si="253"/>
        <v>590.90909090909088</v>
      </c>
      <c r="S1495" s="94">
        <f t="shared" si="253"/>
        <v>590.90909090909088</v>
      </c>
      <c r="T1495" s="94">
        <f t="shared" si="253"/>
        <v>590.90909090909088</v>
      </c>
      <c r="U1495" s="94">
        <f t="shared" si="253"/>
        <v>590.90909090909088</v>
      </c>
      <c r="V1495" s="94">
        <f t="shared" si="253"/>
        <v>590.90909090909088</v>
      </c>
      <c r="W1495" s="94">
        <f t="shared" si="253"/>
        <v>590.90909090909088</v>
      </c>
      <c r="X1495" s="94">
        <f t="shared" si="253"/>
        <v>590.90909090909088</v>
      </c>
      <c r="Y1495" s="94">
        <f t="shared" si="253"/>
        <v>590.90909090909088</v>
      </c>
      <c r="Z1495" s="94">
        <f t="shared" si="253"/>
        <v>590.90909090909088</v>
      </c>
      <c r="AA1495" s="966">
        <f t="shared" si="251"/>
        <v>6500</v>
      </c>
      <c r="AB1495" s="35"/>
      <c r="AC1495" s="183"/>
    </row>
    <row r="1496" spans="1:29" x14ac:dyDescent="0.2">
      <c r="A1496" s="1422"/>
      <c r="B1496" s="2522"/>
      <c r="C1496" s="3191"/>
      <c r="D1496" s="2421"/>
      <c r="E1496" s="2421"/>
      <c r="F1496" s="2420"/>
      <c r="G1496" s="2420"/>
      <c r="H1496" s="2420"/>
      <c r="I1496" s="2420"/>
      <c r="J1496" s="2515"/>
      <c r="K1496" s="101">
        <v>50</v>
      </c>
      <c r="L1496" s="3295"/>
      <c r="M1496" s="3287" t="s">
        <v>355</v>
      </c>
      <c r="N1496" s="3288"/>
      <c r="O1496" s="95"/>
      <c r="P1496" s="95"/>
      <c r="Q1496" s="95">
        <f>$K1496</f>
        <v>50</v>
      </c>
      <c r="R1496" s="95"/>
      <c r="S1496" s="95"/>
      <c r="T1496" s="95"/>
      <c r="U1496" s="95"/>
      <c r="V1496" s="95"/>
      <c r="W1496" s="95"/>
      <c r="X1496" s="95"/>
      <c r="Y1496" s="95"/>
      <c r="Z1496" s="95"/>
      <c r="AA1496" s="966">
        <f t="shared" si="251"/>
        <v>50</v>
      </c>
      <c r="AB1496" s="35"/>
      <c r="AC1496" s="183"/>
    </row>
    <row r="1497" spans="1:29" x14ac:dyDescent="0.2">
      <c r="A1497" s="1422"/>
      <c r="B1497" s="2522"/>
      <c r="C1497" s="2439"/>
      <c r="D1497" s="2421"/>
      <c r="E1497" s="2421"/>
      <c r="F1497" s="2420"/>
      <c r="G1497" s="2420"/>
      <c r="H1497" s="2420"/>
      <c r="I1497" s="2420"/>
      <c r="J1497" s="2516"/>
      <c r="K1497" s="101">
        <v>600</v>
      </c>
      <c r="L1497" s="3296"/>
      <c r="M1497" s="3287" t="s">
        <v>308</v>
      </c>
      <c r="N1497" s="3288"/>
      <c r="O1497" s="1044"/>
      <c r="P1497" s="1044"/>
      <c r="Q1497" s="40">
        <f>$K1497</f>
        <v>600</v>
      </c>
      <c r="R1497" s="1044"/>
      <c r="S1497" s="1044"/>
      <c r="T1497" s="1044"/>
      <c r="U1497" s="1044"/>
      <c r="V1497" s="1044"/>
      <c r="W1497" s="1044"/>
      <c r="X1497" s="1044"/>
      <c r="Y1497" s="1044"/>
      <c r="Z1497" s="1044"/>
      <c r="AA1497" s="966">
        <f t="shared" si="251"/>
        <v>600</v>
      </c>
      <c r="AB1497" s="35"/>
      <c r="AC1497" s="183"/>
    </row>
    <row r="1498" spans="1:29" x14ac:dyDescent="0.2">
      <c r="A1498" s="1422"/>
      <c r="B1498" s="1427" t="s">
        <v>312</v>
      </c>
      <c r="C1498" s="1128"/>
      <c r="D1498" s="38"/>
      <c r="E1498" s="38"/>
      <c r="F1498" s="38"/>
      <c r="G1498" s="38"/>
      <c r="H1498" s="38"/>
      <c r="I1498" s="38"/>
      <c r="J1498" s="38"/>
      <c r="K1498" s="1044">
        <f>SUM(K1485:K1497)</f>
        <v>649404</v>
      </c>
      <c r="L1498" s="38"/>
      <c r="M1498" s="38"/>
      <c r="N1498" s="38"/>
      <c r="O1498" s="1044"/>
      <c r="P1498" s="1044"/>
      <c r="Q1498" s="1044"/>
      <c r="R1498" s="1044"/>
      <c r="S1498" s="1044"/>
      <c r="T1498" s="1044"/>
      <c r="U1498" s="1044"/>
      <c r="V1498" s="1044"/>
      <c r="W1498" s="1044"/>
      <c r="X1498" s="1044"/>
      <c r="Y1498" s="1044"/>
      <c r="Z1498" s="1044"/>
      <c r="AA1498" s="1209"/>
      <c r="AB1498" s="35"/>
      <c r="AC1498" s="183"/>
    </row>
    <row r="1499" spans="1:29" x14ac:dyDescent="0.2">
      <c r="A1499" s="1422"/>
      <c r="B1499" s="1433" t="s">
        <v>278</v>
      </c>
      <c r="C1499" s="1119"/>
      <c r="D1499" s="1119">
        <v>3043959</v>
      </c>
      <c r="E1499" s="192" t="s">
        <v>607</v>
      </c>
      <c r="F1499" s="35"/>
      <c r="G1499" s="35"/>
      <c r="H1499" s="35"/>
      <c r="I1499" s="35"/>
      <c r="J1499" s="35"/>
      <c r="K1499" s="60"/>
      <c r="L1499" s="60"/>
      <c r="M1499" s="60"/>
      <c r="N1499" s="60"/>
      <c r="O1499" s="60"/>
      <c r="P1499" s="60"/>
      <c r="Q1499" s="60"/>
      <c r="R1499" s="60"/>
      <c r="S1499" s="60"/>
      <c r="T1499" s="3235" t="s">
        <v>15</v>
      </c>
      <c r="U1499" s="3235"/>
      <c r="V1499" s="3235"/>
      <c r="W1499" s="3235"/>
      <c r="X1499" s="3235"/>
      <c r="Y1499" s="3235"/>
      <c r="Z1499" s="3023" t="s">
        <v>16</v>
      </c>
      <c r="AA1499" s="3338"/>
      <c r="AB1499" s="35"/>
      <c r="AC1499" s="183"/>
    </row>
    <row r="1500" spans="1:29" x14ac:dyDescent="0.2">
      <c r="A1500" s="1422"/>
      <c r="B1500" s="1433"/>
      <c r="C1500" s="1119"/>
      <c r="D1500" s="1119"/>
      <c r="E1500" s="192"/>
      <c r="F1500" s="35"/>
      <c r="G1500" s="35"/>
      <c r="H1500" s="35"/>
      <c r="I1500" s="35"/>
      <c r="J1500" s="35"/>
      <c r="K1500" s="60"/>
      <c r="L1500" s="60"/>
      <c r="M1500" s="60"/>
      <c r="N1500" s="60"/>
      <c r="O1500" s="60"/>
      <c r="P1500" s="60"/>
      <c r="Q1500" s="60"/>
      <c r="R1500" s="60"/>
      <c r="S1500" s="60"/>
      <c r="T1500" s="3233" t="s">
        <v>608</v>
      </c>
      <c r="U1500" s="3233"/>
      <c r="V1500" s="3233"/>
      <c r="W1500" s="3233"/>
      <c r="X1500" s="3233"/>
      <c r="Y1500" s="3233"/>
      <c r="Z1500" s="3019" t="s">
        <v>609</v>
      </c>
      <c r="AA1500" s="3020"/>
      <c r="AB1500" s="35"/>
      <c r="AC1500" s="183"/>
    </row>
    <row r="1501" spans="1:29" x14ac:dyDescent="0.2">
      <c r="A1501" s="1422"/>
      <c r="B1501" s="2999" t="s">
        <v>278</v>
      </c>
      <c r="C1501" s="3015" t="s">
        <v>563</v>
      </c>
      <c r="D1501" s="2847" t="s">
        <v>22</v>
      </c>
      <c r="E1501" s="2847" t="s">
        <v>23</v>
      </c>
      <c r="F1501" s="2847" t="s">
        <v>24</v>
      </c>
      <c r="G1501" s="2847" t="s">
        <v>25</v>
      </c>
      <c r="H1501" s="2847" t="s">
        <v>26</v>
      </c>
      <c r="I1501" s="2847" t="s">
        <v>27</v>
      </c>
      <c r="J1501" s="2847" t="s">
        <v>28</v>
      </c>
      <c r="K1501" s="2847"/>
      <c r="L1501" s="2988" t="s">
        <v>279</v>
      </c>
      <c r="M1501" s="3273" t="s">
        <v>280</v>
      </c>
      <c r="N1501" s="3274"/>
      <c r="O1501" s="2847" t="s">
        <v>281</v>
      </c>
      <c r="P1501" s="2847"/>
      <c r="Q1501" s="2847"/>
      <c r="R1501" s="2847"/>
      <c r="S1501" s="2847"/>
      <c r="T1501" s="2847"/>
      <c r="U1501" s="2847"/>
      <c r="V1501" s="2847"/>
      <c r="W1501" s="2847"/>
      <c r="X1501" s="2847"/>
      <c r="Y1501" s="2847"/>
      <c r="Z1501" s="2847"/>
      <c r="AA1501" s="2847" t="s">
        <v>32</v>
      </c>
      <c r="AB1501" s="35"/>
      <c r="AC1501" s="183"/>
    </row>
    <row r="1502" spans="1:29" x14ac:dyDescent="0.2">
      <c r="A1502" s="1422"/>
      <c r="B1502" s="2999"/>
      <c r="C1502" s="3359"/>
      <c r="D1502" s="2847"/>
      <c r="E1502" s="2847"/>
      <c r="F1502" s="2847"/>
      <c r="G1502" s="2847"/>
      <c r="H1502" s="2847"/>
      <c r="I1502" s="2847"/>
      <c r="J1502" s="2847" t="s">
        <v>33</v>
      </c>
      <c r="K1502" s="2847" t="s">
        <v>282</v>
      </c>
      <c r="L1502" s="3186"/>
      <c r="M1502" s="3275"/>
      <c r="N1502" s="3276"/>
      <c r="O1502" s="1017" t="s">
        <v>283</v>
      </c>
      <c r="P1502" s="1017" t="s">
        <v>284</v>
      </c>
      <c r="Q1502" s="1017" t="s">
        <v>285</v>
      </c>
      <c r="R1502" s="1017" t="s">
        <v>88</v>
      </c>
      <c r="S1502" s="1017" t="s">
        <v>89</v>
      </c>
      <c r="T1502" s="1017" t="s">
        <v>90</v>
      </c>
      <c r="U1502" s="1017" t="s">
        <v>91</v>
      </c>
      <c r="V1502" s="1017" t="s">
        <v>92</v>
      </c>
      <c r="W1502" s="1017" t="s">
        <v>286</v>
      </c>
      <c r="X1502" s="1017" t="s">
        <v>93</v>
      </c>
      <c r="Y1502" s="1017" t="s">
        <v>94</v>
      </c>
      <c r="Z1502" s="1017" t="s">
        <v>95</v>
      </c>
      <c r="AA1502" s="2847"/>
      <c r="AB1502" s="35"/>
      <c r="AC1502" s="183"/>
    </row>
    <row r="1503" spans="1:29" ht="12.75" x14ac:dyDescent="0.2">
      <c r="A1503" s="1422"/>
      <c r="B1503" s="2999"/>
      <c r="C1503" s="3359"/>
      <c r="D1503" s="2847"/>
      <c r="E1503" s="2847"/>
      <c r="F1503" s="2847"/>
      <c r="G1503" s="2847"/>
      <c r="H1503" s="2847"/>
      <c r="I1503" s="2847"/>
      <c r="J1503" s="2847"/>
      <c r="K1503" s="2847"/>
      <c r="L1503" s="3186"/>
      <c r="M1503" s="3271" t="s">
        <v>287</v>
      </c>
      <c r="N1503" s="3272"/>
      <c r="O1503" s="1095">
        <v>4200</v>
      </c>
      <c r="P1503" s="1095">
        <v>4200</v>
      </c>
      <c r="Q1503" s="1095">
        <v>4021</v>
      </c>
      <c r="R1503" s="1095">
        <v>4200</v>
      </c>
      <c r="S1503" s="1095">
        <v>4300</v>
      </c>
      <c r="T1503" s="1095">
        <v>4300</v>
      </c>
      <c r="U1503" s="1095">
        <v>4200</v>
      </c>
      <c r="V1503" s="1095">
        <v>4200</v>
      </c>
      <c r="W1503" s="1095">
        <v>4000</v>
      </c>
      <c r="X1503" s="1095">
        <v>4000</v>
      </c>
      <c r="Y1503" s="1095">
        <v>4200</v>
      </c>
      <c r="Z1503" s="1095">
        <v>4200</v>
      </c>
      <c r="AA1503" s="1205">
        <f t="shared" ref="AA1503:AA1508" si="254">SUM(O1503:Z1503)</f>
        <v>50021</v>
      </c>
      <c r="AB1503" s="35"/>
      <c r="AC1503" s="183"/>
    </row>
    <row r="1504" spans="1:29" ht="12.75" x14ac:dyDescent="0.2">
      <c r="A1504" s="1422"/>
      <c r="B1504" s="2999"/>
      <c r="C1504" s="3016"/>
      <c r="D1504" s="2847"/>
      <c r="E1504" s="2847"/>
      <c r="F1504" s="2847"/>
      <c r="G1504" s="2847"/>
      <c r="H1504" s="2847"/>
      <c r="I1504" s="2847"/>
      <c r="J1504" s="2847"/>
      <c r="K1504" s="2847"/>
      <c r="L1504" s="2989"/>
      <c r="M1504" s="3271" t="s">
        <v>34</v>
      </c>
      <c r="N1504" s="3272"/>
      <c r="O1504" s="36">
        <f>SUM(O1505:O1525)</f>
        <v>100212.83333333334</v>
      </c>
      <c r="P1504" s="36">
        <f t="shared" ref="P1504:Z1504" si="255">SUM(P1505:P1525)</f>
        <v>100697.68181818184</v>
      </c>
      <c r="Q1504" s="36">
        <f t="shared" si="255"/>
        <v>106001.68181818182</v>
      </c>
      <c r="R1504" s="36">
        <f t="shared" si="255"/>
        <v>105704.01515151517</v>
      </c>
      <c r="S1504" s="36">
        <f t="shared" si="255"/>
        <v>96591.015151515152</v>
      </c>
      <c r="T1504" s="36">
        <f t="shared" si="255"/>
        <v>107264.34848484849</v>
      </c>
      <c r="U1504" s="36">
        <f t="shared" si="255"/>
        <v>100791.01515151517</v>
      </c>
      <c r="V1504" s="36">
        <f t="shared" si="255"/>
        <v>105248.01515151517</v>
      </c>
      <c r="W1504" s="36">
        <f t="shared" si="255"/>
        <v>100174.34848484849</v>
      </c>
      <c r="X1504" s="36">
        <f t="shared" si="255"/>
        <v>103681.01515151517</v>
      </c>
      <c r="Y1504" s="36">
        <f t="shared" si="255"/>
        <v>96591.015151515152</v>
      </c>
      <c r="Z1504" s="36">
        <f t="shared" si="255"/>
        <v>99931.015151515167</v>
      </c>
      <c r="AA1504" s="1205">
        <f t="shared" si="254"/>
        <v>1222888</v>
      </c>
      <c r="AB1504" s="35"/>
      <c r="AC1504" s="183"/>
    </row>
    <row r="1505" spans="1:29" x14ac:dyDescent="0.2">
      <c r="A1505" s="1422"/>
      <c r="B1505" s="2522">
        <v>5000069</v>
      </c>
      <c r="C1505" s="3190" t="s">
        <v>610</v>
      </c>
      <c r="D1505" s="2421">
        <v>50</v>
      </c>
      <c r="E1505" s="2421" t="s">
        <v>407</v>
      </c>
      <c r="F1505" s="2420" t="s">
        <v>313</v>
      </c>
      <c r="G1505" s="2420" t="s">
        <v>329</v>
      </c>
      <c r="H1505" s="2420"/>
      <c r="I1505" s="2420" t="s">
        <v>354</v>
      </c>
      <c r="J1505" s="2514">
        <v>50021</v>
      </c>
      <c r="K1505" s="101">
        <v>379308</v>
      </c>
      <c r="L1505" s="3294" t="s">
        <v>565</v>
      </c>
      <c r="M1505" s="3287" t="s">
        <v>293</v>
      </c>
      <c r="N1505" s="3288"/>
      <c r="O1505" s="40">
        <f t="shared" ref="O1505:Z1508" si="256">$K1505/12</f>
        <v>31609</v>
      </c>
      <c r="P1505" s="40">
        <f t="shared" si="256"/>
        <v>31609</v>
      </c>
      <c r="Q1505" s="40">
        <f t="shared" si="256"/>
        <v>31609</v>
      </c>
      <c r="R1505" s="40">
        <f t="shared" si="256"/>
        <v>31609</v>
      </c>
      <c r="S1505" s="40">
        <f t="shared" si="256"/>
        <v>31609</v>
      </c>
      <c r="T1505" s="40">
        <f t="shared" si="256"/>
        <v>31609</v>
      </c>
      <c r="U1505" s="40">
        <f t="shared" si="256"/>
        <v>31609</v>
      </c>
      <c r="V1505" s="40">
        <f t="shared" si="256"/>
        <v>31609</v>
      </c>
      <c r="W1505" s="40">
        <f t="shared" si="256"/>
        <v>31609</v>
      </c>
      <c r="X1505" s="40">
        <f t="shared" si="256"/>
        <v>31609</v>
      </c>
      <c r="Y1505" s="40">
        <f t="shared" si="256"/>
        <v>31609</v>
      </c>
      <c r="Z1505" s="40">
        <f t="shared" si="256"/>
        <v>31609</v>
      </c>
      <c r="AA1505" s="966">
        <f>SUM(O1505:Z1505)</f>
        <v>379308</v>
      </c>
      <c r="AB1505" s="35"/>
      <c r="AC1505" s="183"/>
    </row>
    <row r="1506" spans="1:29" x14ac:dyDescent="0.2">
      <c r="A1506" s="1422"/>
      <c r="B1506" s="2522"/>
      <c r="C1506" s="3191"/>
      <c r="D1506" s="2421"/>
      <c r="E1506" s="2421"/>
      <c r="F1506" s="2420"/>
      <c r="G1506" s="2420"/>
      <c r="H1506" s="2420"/>
      <c r="I1506" s="2420"/>
      <c r="J1506" s="2515"/>
      <c r="K1506" s="101">
        <v>166976</v>
      </c>
      <c r="L1506" s="3295"/>
      <c r="M1506" s="3287" t="s">
        <v>295</v>
      </c>
      <c r="N1506" s="3288"/>
      <c r="O1506" s="40">
        <f t="shared" si="256"/>
        <v>13914.666666666666</v>
      </c>
      <c r="P1506" s="40">
        <f t="shared" si="256"/>
        <v>13914.666666666666</v>
      </c>
      <c r="Q1506" s="40">
        <f t="shared" si="256"/>
        <v>13914.666666666666</v>
      </c>
      <c r="R1506" s="40">
        <f t="shared" si="256"/>
        <v>13914.666666666666</v>
      </c>
      <c r="S1506" s="40">
        <f t="shared" si="256"/>
        <v>13914.666666666666</v>
      </c>
      <c r="T1506" s="40">
        <f t="shared" si="256"/>
        <v>13914.666666666666</v>
      </c>
      <c r="U1506" s="40">
        <f t="shared" si="256"/>
        <v>13914.666666666666</v>
      </c>
      <c r="V1506" s="40">
        <f t="shared" si="256"/>
        <v>13914.666666666666</v>
      </c>
      <c r="W1506" s="40">
        <f t="shared" si="256"/>
        <v>13914.666666666666</v>
      </c>
      <c r="X1506" s="40">
        <f t="shared" si="256"/>
        <v>13914.666666666666</v>
      </c>
      <c r="Y1506" s="40">
        <f t="shared" si="256"/>
        <v>13914.666666666666</v>
      </c>
      <c r="Z1506" s="40">
        <f t="shared" si="256"/>
        <v>13914.666666666666</v>
      </c>
      <c r="AA1506" s="966">
        <f t="shared" si="254"/>
        <v>166976</v>
      </c>
      <c r="AB1506" s="35"/>
      <c r="AC1506" s="183"/>
    </row>
    <row r="1507" spans="1:29" ht="12.75" x14ac:dyDescent="0.2">
      <c r="A1507" s="1422"/>
      <c r="B1507" s="2522"/>
      <c r="C1507" s="3191"/>
      <c r="D1507" s="2421"/>
      <c r="E1507" s="2421"/>
      <c r="F1507" s="2420"/>
      <c r="G1507" s="2420"/>
      <c r="H1507" s="2420"/>
      <c r="I1507" s="2420"/>
      <c r="J1507" s="2515"/>
      <c r="K1507" s="101">
        <v>116067</v>
      </c>
      <c r="L1507" s="3295"/>
      <c r="M1507" s="3287" t="s">
        <v>296</v>
      </c>
      <c r="N1507" s="3288"/>
      <c r="O1507" s="40">
        <f t="shared" si="256"/>
        <v>9672.25</v>
      </c>
      <c r="P1507" s="40">
        <f t="shared" si="256"/>
        <v>9672.25</v>
      </c>
      <c r="Q1507" s="40">
        <f t="shared" si="256"/>
        <v>9672.25</v>
      </c>
      <c r="R1507" s="40">
        <f t="shared" si="256"/>
        <v>9672.25</v>
      </c>
      <c r="S1507" s="40">
        <f t="shared" si="256"/>
        <v>9672.25</v>
      </c>
      <c r="T1507" s="40">
        <f t="shared" si="256"/>
        <v>9672.25</v>
      </c>
      <c r="U1507" s="40">
        <f t="shared" si="256"/>
        <v>9672.25</v>
      </c>
      <c r="V1507" s="40">
        <f t="shared" si="256"/>
        <v>9672.25</v>
      </c>
      <c r="W1507" s="40">
        <f t="shared" si="256"/>
        <v>9672.25</v>
      </c>
      <c r="X1507" s="40">
        <f t="shared" si="256"/>
        <v>9672.25</v>
      </c>
      <c r="Y1507" s="40">
        <f t="shared" si="256"/>
        <v>9672.25</v>
      </c>
      <c r="Z1507" s="40">
        <f t="shared" si="256"/>
        <v>9672.25</v>
      </c>
      <c r="AA1507" s="1208">
        <f t="shared" si="254"/>
        <v>116067</v>
      </c>
      <c r="AB1507" s="35"/>
      <c r="AC1507" s="183"/>
    </row>
    <row r="1508" spans="1:29" ht="12.75" x14ac:dyDescent="0.2">
      <c r="A1508" s="1422"/>
      <c r="B1508" s="2522"/>
      <c r="C1508" s="3191"/>
      <c r="D1508" s="2421"/>
      <c r="E1508" s="2421"/>
      <c r="F1508" s="2420"/>
      <c r="G1508" s="2420"/>
      <c r="H1508" s="2420"/>
      <c r="I1508" s="2420"/>
      <c r="J1508" s="2515"/>
      <c r="K1508" s="101">
        <v>69094</v>
      </c>
      <c r="L1508" s="3295"/>
      <c r="M1508" s="3287" t="s">
        <v>297</v>
      </c>
      <c r="N1508" s="3288"/>
      <c r="O1508" s="40">
        <f t="shared" si="256"/>
        <v>5757.833333333333</v>
      </c>
      <c r="P1508" s="40">
        <f t="shared" si="256"/>
        <v>5757.833333333333</v>
      </c>
      <c r="Q1508" s="40">
        <f t="shared" si="256"/>
        <v>5757.833333333333</v>
      </c>
      <c r="R1508" s="40">
        <f t="shared" si="256"/>
        <v>5757.833333333333</v>
      </c>
      <c r="S1508" s="40">
        <f t="shared" si="256"/>
        <v>5757.833333333333</v>
      </c>
      <c r="T1508" s="40">
        <f t="shared" si="256"/>
        <v>5757.833333333333</v>
      </c>
      <c r="U1508" s="40">
        <f t="shared" si="256"/>
        <v>5757.833333333333</v>
      </c>
      <c r="V1508" s="40">
        <f t="shared" si="256"/>
        <v>5757.833333333333</v>
      </c>
      <c r="W1508" s="40">
        <f t="shared" si="256"/>
        <v>5757.833333333333</v>
      </c>
      <c r="X1508" s="40">
        <f t="shared" si="256"/>
        <v>5757.833333333333</v>
      </c>
      <c r="Y1508" s="40">
        <f t="shared" si="256"/>
        <v>5757.833333333333</v>
      </c>
      <c r="Z1508" s="40">
        <f t="shared" si="256"/>
        <v>5757.833333333333</v>
      </c>
      <c r="AA1508" s="1208">
        <f t="shared" si="254"/>
        <v>69094.000000000015</v>
      </c>
      <c r="AB1508" s="35"/>
      <c r="AC1508" s="183"/>
    </row>
    <row r="1509" spans="1:29" x14ac:dyDescent="0.2">
      <c r="A1509" s="1422"/>
      <c r="B1509" s="2522"/>
      <c r="C1509" s="3191"/>
      <c r="D1509" s="2421"/>
      <c r="E1509" s="2421"/>
      <c r="F1509" s="2420"/>
      <c r="G1509" s="2420"/>
      <c r="H1509" s="2420"/>
      <c r="I1509" s="2420"/>
      <c r="J1509" s="2515"/>
      <c r="K1509" s="101">
        <v>8400</v>
      </c>
      <c r="L1509" s="3295"/>
      <c r="M1509" s="3287" t="s">
        <v>298</v>
      </c>
      <c r="N1509" s="3288"/>
      <c r="O1509" s="40"/>
      <c r="P1509" s="40"/>
      <c r="Q1509" s="40"/>
      <c r="R1509" s="40"/>
      <c r="S1509" s="40"/>
      <c r="T1509" s="40"/>
      <c r="U1509" s="40">
        <f>$K1509/2</f>
        <v>4200</v>
      </c>
      <c r="V1509" s="40"/>
      <c r="W1509" s="40"/>
      <c r="X1509" s="40"/>
      <c r="Y1509" s="40"/>
      <c r="Z1509" s="40">
        <f>$K1509/2</f>
        <v>4200</v>
      </c>
      <c r="AA1509" s="966">
        <f>SUM(O1509:Z1509)</f>
        <v>8400</v>
      </c>
      <c r="AB1509" s="35"/>
      <c r="AC1509" s="183"/>
    </row>
    <row r="1510" spans="1:29" x14ac:dyDescent="0.2">
      <c r="A1510" s="1422"/>
      <c r="B1510" s="2522"/>
      <c r="C1510" s="3191"/>
      <c r="D1510" s="2421"/>
      <c r="E1510" s="2421"/>
      <c r="F1510" s="2420"/>
      <c r="G1510" s="2420"/>
      <c r="H1510" s="2420"/>
      <c r="I1510" s="2420"/>
      <c r="J1510" s="2515"/>
      <c r="K1510" s="101">
        <v>5600</v>
      </c>
      <c r="L1510" s="3295"/>
      <c r="M1510" s="3287" t="s">
        <v>299</v>
      </c>
      <c r="N1510" s="3288"/>
      <c r="O1510" s="40">
        <f>$K1510</f>
        <v>5600</v>
      </c>
      <c r="P1510" s="1044"/>
      <c r="Q1510" s="40"/>
      <c r="R1510" s="1044"/>
      <c r="S1510" s="1044"/>
      <c r="T1510" s="1044"/>
      <c r="U1510" s="1044"/>
      <c r="V1510" s="1044"/>
      <c r="W1510" s="1044"/>
      <c r="X1510" s="1044"/>
      <c r="Y1510" s="1044"/>
      <c r="Z1510" s="1044"/>
      <c r="AA1510" s="966">
        <f t="shared" ref="AA1510:AA1523" si="257">SUM(O1510:Z1510)</f>
        <v>5600</v>
      </c>
      <c r="AB1510" s="35"/>
      <c r="AC1510" s="183"/>
    </row>
    <row r="1511" spans="1:29" x14ac:dyDescent="0.2">
      <c r="A1511" s="1422"/>
      <c r="B1511" s="2522"/>
      <c r="C1511" s="3191"/>
      <c r="D1511" s="2421"/>
      <c r="E1511" s="2421"/>
      <c r="F1511" s="2420"/>
      <c r="G1511" s="2420"/>
      <c r="H1511" s="2420"/>
      <c r="I1511" s="2420"/>
      <c r="J1511" s="2515"/>
      <c r="K1511" s="101">
        <v>25293</v>
      </c>
      <c r="L1511" s="3295"/>
      <c r="M1511" s="3287" t="s">
        <v>300</v>
      </c>
      <c r="N1511" s="3288"/>
      <c r="O1511" s="40">
        <f t="shared" ref="O1511:Z1512" si="258">$K1511/12</f>
        <v>2107.75</v>
      </c>
      <c r="P1511" s="40">
        <f t="shared" si="258"/>
        <v>2107.75</v>
      </c>
      <c r="Q1511" s="40">
        <f t="shared" si="258"/>
        <v>2107.75</v>
      </c>
      <c r="R1511" s="40">
        <f t="shared" si="258"/>
        <v>2107.75</v>
      </c>
      <c r="S1511" s="40">
        <f t="shared" si="258"/>
        <v>2107.75</v>
      </c>
      <c r="T1511" s="40">
        <f t="shared" si="258"/>
        <v>2107.75</v>
      </c>
      <c r="U1511" s="40">
        <f t="shared" si="258"/>
        <v>2107.75</v>
      </c>
      <c r="V1511" s="40">
        <f t="shared" si="258"/>
        <v>2107.75</v>
      </c>
      <c r="W1511" s="40">
        <f t="shared" si="258"/>
        <v>2107.75</v>
      </c>
      <c r="X1511" s="40">
        <f t="shared" si="258"/>
        <v>2107.75</v>
      </c>
      <c r="Y1511" s="40">
        <f t="shared" si="258"/>
        <v>2107.75</v>
      </c>
      <c r="Z1511" s="40">
        <f t="shared" si="258"/>
        <v>2107.75</v>
      </c>
      <c r="AA1511" s="966">
        <f t="shared" si="257"/>
        <v>25293</v>
      </c>
      <c r="AB1511" s="35"/>
      <c r="AC1511" s="183"/>
    </row>
    <row r="1512" spans="1:29" x14ac:dyDescent="0.2">
      <c r="A1512" s="1422"/>
      <c r="B1512" s="2522"/>
      <c r="C1512" s="3191"/>
      <c r="D1512" s="2421"/>
      <c r="E1512" s="2421"/>
      <c r="F1512" s="2420"/>
      <c r="G1512" s="2420"/>
      <c r="H1512" s="2420"/>
      <c r="I1512" s="2420"/>
      <c r="J1512" s="2515"/>
      <c r="K1512" s="101">
        <v>1077</v>
      </c>
      <c r="L1512" s="3295"/>
      <c r="M1512" s="3287" t="s">
        <v>301</v>
      </c>
      <c r="N1512" s="3288"/>
      <c r="O1512" s="40">
        <f t="shared" si="258"/>
        <v>89.75</v>
      </c>
      <c r="P1512" s="40">
        <f t="shared" si="258"/>
        <v>89.75</v>
      </c>
      <c r="Q1512" s="40">
        <f t="shared" si="258"/>
        <v>89.75</v>
      </c>
      <c r="R1512" s="40">
        <f t="shared" si="258"/>
        <v>89.75</v>
      </c>
      <c r="S1512" s="40">
        <f t="shared" si="258"/>
        <v>89.75</v>
      </c>
      <c r="T1512" s="40">
        <f t="shared" si="258"/>
        <v>89.75</v>
      </c>
      <c r="U1512" s="40">
        <f t="shared" si="258"/>
        <v>89.75</v>
      </c>
      <c r="V1512" s="40">
        <f t="shared" si="258"/>
        <v>89.75</v>
      </c>
      <c r="W1512" s="40">
        <f t="shared" si="258"/>
        <v>89.75</v>
      </c>
      <c r="X1512" s="40">
        <f t="shared" si="258"/>
        <v>89.75</v>
      </c>
      <c r="Y1512" s="40">
        <f t="shared" si="258"/>
        <v>89.75</v>
      </c>
      <c r="Z1512" s="40">
        <f t="shared" si="258"/>
        <v>89.75</v>
      </c>
      <c r="AA1512" s="966">
        <f t="shared" si="257"/>
        <v>1077</v>
      </c>
      <c r="AB1512" s="35"/>
      <c r="AC1512" s="183"/>
    </row>
    <row r="1513" spans="1:29" x14ac:dyDescent="0.2">
      <c r="A1513" s="1422"/>
      <c r="B1513" s="2522"/>
      <c r="C1513" s="3191"/>
      <c r="D1513" s="2421"/>
      <c r="E1513" s="2421"/>
      <c r="F1513" s="2420"/>
      <c r="G1513" s="2420"/>
      <c r="H1513" s="2420"/>
      <c r="I1513" s="2420"/>
      <c r="J1513" s="2515"/>
      <c r="K1513" s="101">
        <v>8950</v>
      </c>
      <c r="L1513" s="3295"/>
      <c r="M1513" s="3287" t="s">
        <v>303</v>
      </c>
      <c r="N1513" s="3288"/>
      <c r="O1513" s="1044"/>
      <c r="P1513" s="1044"/>
      <c r="Q1513" s="40">
        <f>$K1513/3</f>
        <v>2983.3333333333335</v>
      </c>
      <c r="R1513" s="1044"/>
      <c r="S1513" s="1044"/>
      <c r="T1513" s="40">
        <f>$K1513/3</f>
        <v>2983.3333333333335</v>
      </c>
      <c r="U1513" s="1044"/>
      <c r="V1513" s="1044"/>
      <c r="W1513" s="1044"/>
      <c r="X1513" s="40">
        <f>$K1513/3</f>
        <v>2983.3333333333335</v>
      </c>
      <c r="Y1513" s="1044"/>
      <c r="Z1513" s="1044"/>
      <c r="AA1513" s="966">
        <f t="shared" si="257"/>
        <v>8950</v>
      </c>
      <c r="AB1513" s="35"/>
      <c r="AC1513" s="183"/>
    </row>
    <row r="1514" spans="1:29" x14ac:dyDescent="0.2">
      <c r="A1514" s="1422"/>
      <c r="B1514" s="2522"/>
      <c r="C1514" s="3191"/>
      <c r="D1514" s="2421"/>
      <c r="E1514" s="2421"/>
      <c r="F1514" s="2420"/>
      <c r="G1514" s="2420"/>
      <c r="H1514" s="2420"/>
      <c r="I1514" s="2420"/>
      <c r="J1514" s="2515"/>
      <c r="K1514" s="101">
        <v>14900</v>
      </c>
      <c r="L1514" s="3295"/>
      <c r="M1514" s="3287" t="s">
        <v>324</v>
      </c>
      <c r="N1514" s="3288"/>
      <c r="O1514" s="1044"/>
      <c r="P1514" s="40">
        <f>$K1514/3</f>
        <v>4966.666666666667</v>
      </c>
      <c r="Q1514" s="1044"/>
      <c r="R1514" s="1044"/>
      <c r="S1514" s="40"/>
      <c r="T1514" s="40">
        <f>$K1514/3</f>
        <v>4966.666666666667</v>
      </c>
      <c r="U1514" s="1044"/>
      <c r="V1514" s="1044"/>
      <c r="W1514" s="1044"/>
      <c r="X1514" s="40">
        <f>$K1514/3</f>
        <v>4966.666666666667</v>
      </c>
      <c r="Y1514" s="1044"/>
      <c r="Z1514" s="1044"/>
      <c r="AA1514" s="966">
        <f t="shared" si="257"/>
        <v>14900</v>
      </c>
      <c r="AB1514" s="35"/>
      <c r="AC1514" s="183"/>
    </row>
    <row r="1515" spans="1:29" x14ac:dyDescent="0.2">
      <c r="A1515" s="1422"/>
      <c r="B1515" s="2522"/>
      <c r="C1515" s="3191"/>
      <c r="D1515" s="2421"/>
      <c r="E1515" s="2421"/>
      <c r="F1515" s="2420"/>
      <c r="G1515" s="2420"/>
      <c r="H1515" s="2420"/>
      <c r="I1515" s="2420"/>
      <c r="J1515" s="2515"/>
      <c r="K1515" s="101">
        <v>5000</v>
      </c>
      <c r="L1515" s="3295"/>
      <c r="M1515" s="3287" t="s">
        <v>348</v>
      </c>
      <c r="N1515" s="3288"/>
      <c r="O1515" s="95"/>
      <c r="P1515" s="95">
        <f t="shared" ref="P1515:Z1515" si="259">$K1515/11</f>
        <v>454.54545454545456</v>
      </c>
      <c r="Q1515" s="95">
        <f t="shared" si="259"/>
        <v>454.54545454545456</v>
      </c>
      <c r="R1515" s="95">
        <f t="shared" si="259"/>
        <v>454.54545454545456</v>
      </c>
      <c r="S1515" s="95">
        <f t="shared" si="259"/>
        <v>454.54545454545456</v>
      </c>
      <c r="T1515" s="95">
        <f t="shared" si="259"/>
        <v>454.54545454545456</v>
      </c>
      <c r="U1515" s="95">
        <f t="shared" si="259"/>
        <v>454.54545454545456</v>
      </c>
      <c r="V1515" s="95">
        <f t="shared" si="259"/>
        <v>454.54545454545456</v>
      </c>
      <c r="W1515" s="95">
        <f t="shared" si="259"/>
        <v>454.54545454545456</v>
      </c>
      <c r="X1515" s="95">
        <f t="shared" si="259"/>
        <v>454.54545454545456</v>
      </c>
      <c r="Y1515" s="95">
        <f t="shared" si="259"/>
        <v>454.54545454545456</v>
      </c>
      <c r="Z1515" s="95">
        <f t="shared" si="259"/>
        <v>454.54545454545456</v>
      </c>
      <c r="AA1515" s="966">
        <f t="shared" si="257"/>
        <v>5000.0000000000009</v>
      </c>
      <c r="AB1515" s="35"/>
      <c r="AC1515" s="183"/>
    </row>
    <row r="1516" spans="1:29" x14ac:dyDescent="0.2">
      <c r="A1516" s="1422"/>
      <c r="B1516" s="2522"/>
      <c r="C1516" s="3191"/>
      <c r="D1516" s="2421"/>
      <c r="E1516" s="2421"/>
      <c r="F1516" s="2420"/>
      <c r="G1516" s="2420"/>
      <c r="H1516" s="2420"/>
      <c r="I1516" s="2420"/>
      <c r="J1516" s="2515"/>
      <c r="K1516" s="101">
        <v>1600</v>
      </c>
      <c r="L1516" s="3295"/>
      <c r="M1516" s="3287" t="s">
        <v>611</v>
      </c>
      <c r="N1516" s="3288"/>
      <c r="O1516" s="95"/>
      <c r="P1516" s="95"/>
      <c r="Q1516" s="95">
        <f>$K1516</f>
        <v>1600</v>
      </c>
      <c r="R1516" s="95"/>
      <c r="S1516" s="95"/>
      <c r="T1516" s="95"/>
      <c r="U1516" s="95"/>
      <c r="V1516" s="95"/>
      <c r="W1516" s="95"/>
      <c r="X1516" s="95"/>
      <c r="Y1516" s="95"/>
      <c r="Z1516" s="95"/>
      <c r="AA1516" s="966">
        <f t="shared" si="257"/>
        <v>1600</v>
      </c>
      <c r="AB1516" s="35"/>
      <c r="AC1516" s="183"/>
    </row>
    <row r="1517" spans="1:29" x14ac:dyDescent="0.2">
      <c r="A1517" s="1422"/>
      <c r="B1517" s="2522"/>
      <c r="C1517" s="3191"/>
      <c r="D1517" s="2421"/>
      <c r="E1517" s="2421"/>
      <c r="F1517" s="2420"/>
      <c r="G1517" s="2420"/>
      <c r="H1517" s="2420"/>
      <c r="I1517" s="2420"/>
      <c r="J1517" s="2515"/>
      <c r="K1517" s="101">
        <v>19034</v>
      </c>
      <c r="L1517" s="3295"/>
      <c r="M1517" s="3287" t="s">
        <v>343</v>
      </c>
      <c r="N1517" s="3288"/>
      <c r="O1517" s="1044"/>
      <c r="P1517" s="1044"/>
      <c r="Q1517" s="94"/>
      <c r="R1517" s="1044">
        <f>$K1517/2</f>
        <v>9517</v>
      </c>
      <c r="S1517" s="94"/>
      <c r="T1517" s="94"/>
      <c r="U1517" s="94"/>
      <c r="V1517" s="1044">
        <f>$K1517/2</f>
        <v>9517</v>
      </c>
      <c r="W1517" s="94"/>
      <c r="X1517" s="94"/>
      <c r="Y1517" s="94"/>
      <c r="Z1517" s="94"/>
      <c r="AA1517" s="966">
        <f t="shared" si="257"/>
        <v>19034</v>
      </c>
      <c r="AB1517" s="35"/>
      <c r="AC1517" s="183"/>
    </row>
    <row r="1518" spans="1:29" ht="12.75" x14ac:dyDescent="0.2">
      <c r="A1518" s="1422"/>
      <c r="B1518" s="2522"/>
      <c r="C1518" s="3191"/>
      <c r="D1518" s="2421"/>
      <c r="E1518" s="2421"/>
      <c r="F1518" s="2420"/>
      <c r="G1518" s="2420"/>
      <c r="H1518" s="2420"/>
      <c r="I1518" s="2420"/>
      <c r="J1518" s="2515"/>
      <c r="K1518" s="101">
        <v>256</v>
      </c>
      <c r="L1518" s="3295"/>
      <c r="M1518" s="3287" t="s">
        <v>381</v>
      </c>
      <c r="N1518" s="3288"/>
      <c r="O1518" s="95"/>
      <c r="P1518" s="95"/>
      <c r="Q1518" s="95"/>
      <c r="R1518" s="95">
        <f>$K1518</f>
        <v>256</v>
      </c>
      <c r="S1518" s="95"/>
      <c r="T1518" s="95"/>
      <c r="U1518" s="95"/>
      <c r="V1518" s="95"/>
      <c r="W1518" s="95"/>
      <c r="X1518" s="95"/>
      <c r="Y1518" s="95"/>
      <c r="Z1518" s="95"/>
      <c r="AA1518" s="1208">
        <f t="shared" si="257"/>
        <v>256</v>
      </c>
      <c r="AB1518" s="35"/>
      <c r="AC1518" s="183"/>
    </row>
    <row r="1519" spans="1:29" ht="12.75" x14ac:dyDescent="0.2">
      <c r="A1519" s="1422"/>
      <c r="B1519" s="2522"/>
      <c r="C1519" s="3191"/>
      <c r="D1519" s="2421"/>
      <c r="E1519" s="2421"/>
      <c r="F1519" s="2420"/>
      <c r="G1519" s="2420"/>
      <c r="H1519" s="2420"/>
      <c r="I1519" s="2420"/>
      <c r="J1519" s="2515"/>
      <c r="K1519" s="101">
        <v>10750</v>
      </c>
      <c r="L1519" s="3295"/>
      <c r="M1519" s="3287" t="s">
        <v>304</v>
      </c>
      <c r="N1519" s="3288"/>
      <c r="O1519" s="1044"/>
      <c r="P1519" s="1044"/>
      <c r="Q1519" s="40">
        <f>$K1519/3</f>
        <v>3583.3333333333335</v>
      </c>
      <c r="R1519" s="1044"/>
      <c r="S1519" s="1044"/>
      <c r="T1519" s="40">
        <f>$K1519/3</f>
        <v>3583.3333333333335</v>
      </c>
      <c r="U1519" s="1044"/>
      <c r="V1519" s="1044"/>
      <c r="W1519" s="40">
        <f>$K1519/3</f>
        <v>3583.3333333333335</v>
      </c>
      <c r="X1519" s="1044"/>
      <c r="Y1519" s="1044"/>
      <c r="Z1519" s="1044"/>
      <c r="AA1519" s="1208">
        <f t="shared" si="257"/>
        <v>10750</v>
      </c>
      <c r="AB1519" s="35"/>
      <c r="AC1519" s="183"/>
    </row>
    <row r="1520" spans="1:29" x14ac:dyDescent="0.2">
      <c r="A1520" s="1422"/>
      <c r="B1520" s="2522"/>
      <c r="C1520" s="3191"/>
      <c r="D1520" s="2421"/>
      <c r="E1520" s="2421"/>
      <c r="F1520" s="2420"/>
      <c r="G1520" s="2420"/>
      <c r="H1520" s="2420"/>
      <c r="I1520" s="2420"/>
      <c r="J1520" s="2515"/>
      <c r="K1520" s="101">
        <v>7300</v>
      </c>
      <c r="L1520" s="3295"/>
      <c r="M1520" s="3287" t="s">
        <v>307</v>
      </c>
      <c r="N1520" s="3288"/>
      <c r="O1520" s="1044"/>
      <c r="P1520" s="94">
        <f>$K1520/11</f>
        <v>663.63636363636363</v>
      </c>
      <c r="Q1520" s="94">
        <f t="shared" ref="Q1520:Z1520" si="260">$K1520/11</f>
        <v>663.63636363636363</v>
      </c>
      <c r="R1520" s="94">
        <f t="shared" si="260"/>
        <v>663.63636363636363</v>
      </c>
      <c r="S1520" s="94">
        <f t="shared" si="260"/>
        <v>663.63636363636363</v>
      </c>
      <c r="T1520" s="94">
        <f t="shared" si="260"/>
        <v>663.63636363636363</v>
      </c>
      <c r="U1520" s="94">
        <f t="shared" si="260"/>
        <v>663.63636363636363</v>
      </c>
      <c r="V1520" s="94">
        <f t="shared" si="260"/>
        <v>663.63636363636363</v>
      </c>
      <c r="W1520" s="94">
        <f t="shared" si="260"/>
        <v>663.63636363636363</v>
      </c>
      <c r="X1520" s="94">
        <f t="shared" si="260"/>
        <v>663.63636363636363</v>
      </c>
      <c r="Y1520" s="94">
        <f t="shared" si="260"/>
        <v>663.63636363636363</v>
      </c>
      <c r="Z1520" s="94">
        <f t="shared" si="260"/>
        <v>663.63636363636363</v>
      </c>
      <c r="AA1520" s="966">
        <f>SUM(O1520:Z1520)</f>
        <v>7300.0000000000009</v>
      </c>
      <c r="AB1520" s="35"/>
      <c r="AC1520" s="183"/>
    </row>
    <row r="1521" spans="1:31" x14ac:dyDescent="0.2">
      <c r="A1521" s="1422"/>
      <c r="B1521" s="2522"/>
      <c r="C1521" s="3191"/>
      <c r="D1521" s="2421"/>
      <c r="E1521" s="2421"/>
      <c r="F1521" s="2420"/>
      <c r="G1521" s="2420"/>
      <c r="H1521" s="2420"/>
      <c r="I1521" s="2420"/>
      <c r="J1521" s="2515"/>
      <c r="K1521" s="101">
        <v>1244</v>
      </c>
      <c r="L1521" s="3295"/>
      <c r="M1521" s="3287" t="s">
        <v>308</v>
      </c>
      <c r="N1521" s="3288"/>
      <c r="O1521" s="1044"/>
      <c r="P1521" s="1044"/>
      <c r="Q1521" s="40">
        <f>$K1521</f>
        <v>1244</v>
      </c>
      <c r="R1521" s="1044"/>
      <c r="S1521" s="1044"/>
      <c r="T1521" s="1044"/>
      <c r="U1521" s="1044"/>
      <c r="V1521" s="1044"/>
      <c r="W1521" s="1044"/>
      <c r="X1521" s="1044"/>
      <c r="Y1521" s="1044"/>
      <c r="Z1521" s="1044"/>
      <c r="AA1521" s="966">
        <f t="shared" si="257"/>
        <v>1244</v>
      </c>
      <c r="AB1521" s="35"/>
      <c r="AC1521" s="183"/>
    </row>
    <row r="1522" spans="1:31" ht="12.75" x14ac:dyDescent="0.2">
      <c r="A1522" s="1422"/>
      <c r="B1522" s="2522"/>
      <c r="C1522" s="3191"/>
      <c r="D1522" s="2421"/>
      <c r="E1522" s="2421"/>
      <c r="F1522" s="2420"/>
      <c r="G1522" s="2420"/>
      <c r="H1522" s="2420"/>
      <c r="I1522" s="2420"/>
      <c r="J1522" s="2515"/>
      <c r="K1522" s="101">
        <v>4300</v>
      </c>
      <c r="L1522" s="3295"/>
      <c r="M1522" s="3287" t="s">
        <v>309</v>
      </c>
      <c r="N1522" s="3288"/>
      <c r="O1522" s="1044"/>
      <c r="P1522" s="1044"/>
      <c r="Q1522" s="40">
        <f>$K1522/5</f>
        <v>860</v>
      </c>
      <c r="R1522" s="40"/>
      <c r="S1522" s="40">
        <f>$K1522/5</f>
        <v>860</v>
      </c>
      <c r="T1522" s="1044"/>
      <c r="U1522" s="40">
        <f>$K1522/5</f>
        <v>860</v>
      </c>
      <c r="V1522" s="1044"/>
      <c r="W1522" s="40">
        <f>$K1522/5</f>
        <v>860</v>
      </c>
      <c r="X1522" s="1044"/>
      <c r="Y1522" s="40">
        <f>$K1522/5</f>
        <v>860</v>
      </c>
      <c r="Z1522" s="1044"/>
      <c r="AA1522" s="1208">
        <f>SUM(O1522:Z1522)</f>
        <v>4300</v>
      </c>
      <c r="AB1522" s="35"/>
      <c r="AC1522" s="183"/>
    </row>
    <row r="1523" spans="1:31" ht="12.75" x14ac:dyDescent="0.2">
      <c r="A1523" s="1422"/>
      <c r="B1523" s="2522"/>
      <c r="C1523" s="3191"/>
      <c r="D1523" s="2421"/>
      <c r="E1523" s="2421"/>
      <c r="F1523" s="2420"/>
      <c r="G1523" s="2420"/>
      <c r="H1523" s="2420"/>
      <c r="I1523" s="2420"/>
      <c r="J1523" s="2515"/>
      <c r="K1523" s="101">
        <v>200</v>
      </c>
      <c r="L1523" s="3295"/>
      <c r="M1523" s="3287" t="s">
        <v>382</v>
      </c>
      <c r="N1523" s="3288"/>
      <c r="O1523" s="95"/>
      <c r="P1523" s="95"/>
      <c r="Q1523" s="95"/>
      <c r="R1523" s="95">
        <f>$K1523</f>
        <v>200</v>
      </c>
      <c r="S1523" s="95"/>
      <c r="T1523" s="95"/>
      <c r="U1523" s="95"/>
      <c r="V1523" s="95"/>
      <c r="W1523" s="95"/>
      <c r="X1523" s="95"/>
      <c r="Y1523" s="95"/>
      <c r="Z1523" s="95"/>
      <c r="AA1523" s="1208">
        <f t="shared" si="257"/>
        <v>200</v>
      </c>
      <c r="AB1523" s="35"/>
      <c r="AC1523" s="183"/>
    </row>
    <row r="1524" spans="1:31" x14ac:dyDescent="0.2">
      <c r="A1524" s="1422"/>
      <c r="B1524" s="2522"/>
      <c r="C1524" s="3191"/>
      <c r="D1524" s="2421"/>
      <c r="E1524" s="2421"/>
      <c r="F1524" s="2420"/>
      <c r="G1524" s="2420"/>
      <c r="H1524" s="2420"/>
      <c r="I1524" s="2420"/>
      <c r="J1524" s="2515"/>
      <c r="K1524" s="101">
        <v>349037</v>
      </c>
      <c r="L1524" s="3295"/>
      <c r="M1524" s="3287" t="s">
        <v>310</v>
      </c>
      <c r="N1524" s="3288"/>
      <c r="O1524" s="40">
        <f t="shared" ref="O1524:Z1525" si="261">$K1524/12</f>
        <v>29086.416666666668</v>
      </c>
      <c r="P1524" s="40">
        <f t="shared" si="261"/>
        <v>29086.416666666668</v>
      </c>
      <c r="Q1524" s="40">
        <f t="shared" si="261"/>
        <v>29086.416666666668</v>
      </c>
      <c r="R1524" s="40">
        <f t="shared" si="261"/>
        <v>29086.416666666668</v>
      </c>
      <c r="S1524" s="40">
        <f t="shared" si="261"/>
        <v>29086.416666666668</v>
      </c>
      <c r="T1524" s="40">
        <f t="shared" si="261"/>
        <v>29086.416666666668</v>
      </c>
      <c r="U1524" s="40">
        <f t="shared" si="261"/>
        <v>29086.416666666668</v>
      </c>
      <c r="V1524" s="40">
        <f t="shared" si="261"/>
        <v>29086.416666666668</v>
      </c>
      <c r="W1524" s="40">
        <f t="shared" si="261"/>
        <v>29086.416666666668</v>
      </c>
      <c r="X1524" s="40">
        <f t="shared" si="261"/>
        <v>29086.416666666668</v>
      </c>
      <c r="Y1524" s="40">
        <f t="shared" si="261"/>
        <v>29086.416666666668</v>
      </c>
      <c r="Z1524" s="40">
        <f t="shared" si="261"/>
        <v>29086.416666666668</v>
      </c>
      <c r="AA1524" s="966">
        <f>SUM(O1524:Z1524)</f>
        <v>349037</v>
      </c>
      <c r="AB1524" s="35"/>
      <c r="AC1524" s="183"/>
    </row>
    <row r="1525" spans="1:31" x14ac:dyDescent="0.2">
      <c r="A1525" s="1422"/>
      <c r="B1525" s="2522"/>
      <c r="C1525" s="2439"/>
      <c r="D1525" s="2421"/>
      <c r="E1525" s="2421"/>
      <c r="F1525" s="2420"/>
      <c r="G1525" s="2420"/>
      <c r="H1525" s="2420"/>
      <c r="I1525" s="2420"/>
      <c r="J1525" s="2516"/>
      <c r="K1525" s="101">
        <v>28502</v>
      </c>
      <c r="L1525" s="3296"/>
      <c r="M1525" s="3287" t="s">
        <v>311</v>
      </c>
      <c r="N1525" s="3288"/>
      <c r="O1525" s="40">
        <f t="shared" si="261"/>
        <v>2375.1666666666665</v>
      </c>
      <c r="P1525" s="40">
        <f t="shared" si="261"/>
        <v>2375.1666666666665</v>
      </c>
      <c r="Q1525" s="40">
        <f t="shared" si="261"/>
        <v>2375.1666666666665</v>
      </c>
      <c r="R1525" s="40">
        <f t="shared" si="261"/>
        <v>2375.1666666666665</v>
      </c>
      <c r="S1525" s="40">
        <f t="shared" si="261"/>
        <v>2375.1666666666665</v>
      </c>
      <c r="T1525" s="40">
        <f t="shared" si="261"/>
        <v>2375.1666666666665</v>
      </c>
      <c r="U1525" s="40">
        <f t="shared" si="261"/>
        <v>2375.1666666666665</v>
      </c>
      <c r="V1525" s="40">
        <f t="shared" si="261"/>
        <v>2375.1666666666665</v>
      </c>
      <c r="W1525" s="40">
        <f t="shared" si="261"/>
        <v>2375.1666666666665</v>
      </c>
      <c r="X1525" s="40">
        <f t="shared" si="261"/>
        <v>2375.1666666666665</v>
      </c>
      <c r="Y1525" s="40">
        <f t="shared" si="261"/>
        <v>2375.1666666666665</v>
      </c>
      <c r="Z1525" s="40">
        <f t="shared" si="261"/>
        <v>2375.1666666666665</v>
      </c>
      <c r="AA1525" s="966">
        <f t="shared" ref="AA1525" si="262">SUM(O1525:Z1525)</f>
        <v>28502.000000000004</v>
      </c>
      <c r="AB1525" s="35"/>
      <c r="AC1525" s="183"/>
    </row>
    <row r="1526" spans="1:31" x14ac:dyDescent="0.2">
      <c r="A1526" s="1422"/>
      <c r="B1526" s="1427" t="s">
        <v>312</v>
      </c>
      <c r="C1526" s="1128"/>
      <c r="D1526" s="38"/>
      <c r="E1526" s="38"/>
      <c r="F1526" s="38"/>
      <c r="G1526" s="38"/>
      <c r="H1526" s="38"/>
      <c r="I1526" s="38"/>
      <c r="J1526" s="38"/>
      <c r="K1526" s="1044">
        <f>SUM(K1505:K1525)</f>
        <v>1222888</v>
      </c>
      <c r="L1526" s="38"/>
      <c r="M1526" s="38"/>
      <c r="N1526" s="38"/>
      <c r="O1526" s="1044"/>
      <c r="P1526" s="1044"/>
      <c r="Q1526" s="1044"/>
      <c r="R1526" s="1044"/>
      <c r="S1526" s="1044"/>
      <c r="T1526" s="1044"/>
      <c r="U1526" s="1044"/>
      <c r="V1526" s="1044"/>
      <c r="W1526" s="1044"/>
      <c r="X1526" s="1044"/>
      <c r="Y1526" s="1044"/>
      <c r="Z1526" s="1044"/>
      <c r="AA1526" s="1234"/>
      <c r="AB1526" s="35"/>
      <c r="AC1526" s="183"/>
    </row>
    <row r="1527" spans="1:31" x14ac:dyDescent="0.2">
      <c r="A1527" s="1422"/>
      <c r="B1527" s="1433" t="s">
        <v>278</v>
      </c>
      <c r="C1527" s="1119"/>
      <c r="D1527" s="1119">
        <v>3043960</v>
      </c>
      <c r="E1527" s="192" t="s">
        <v>612</v>
      </c>
      <c r="F1527" s="35"/>
      <c r="G1527" s="35"/>
      <c r="H1527" s="35"/>
      <c r="I1527" s="35"/>
      <c r="J1527" s="35"/>
      <c r="K1527" s="60"/>
      <c r="L1527" s="60"/>
      <c r="M1527" s="60"/>
      <c r="N1527" s="60"/>
      <c r="O1527" s="60"/>
      <c r="P1527" s="60"/>
      <c r="Q1527" s="60"/>
      <c r="R1527" s="60"/>
      <c r="S1527" s="60"/>
      <c r="T1527" s="3235" t="s">
        <v>15</v>
      </c>
      <c r="U1527" s="3235"/>
      <c r="V1527" s="3235"/>
      <c r="W1527" s="3235"/>
      <c r="X1527" s="3235"/>
      <c r="Y1527" s="3235"/>
      <c r="Z1527" s="3023" t="s">
        <v>16</v>
      </c>
      <c r="AA1527" s="3338"/>
      <c r="AB1527" s="35"/>
      <c r="AC1527" s="183"/>
    </row>
    <row r="1528" spans="1:31" x14ac:dyDescent="0.2">
      <c r="A1528" s="1422"/>
      <c r="B1528" s="1433"/>
      <c r="C1528" s="1119"/>
      <c r="D1528" s="1119"/>
      <c r="E1528" s="192"/>
      <c r="F1528" s="35"/>
      <c r="G1528" s="35"/>
      <c r="H1528" s="35"/>
      <c r="I1528" s="35"/>
      <c r="J1528" s="35"/>
      <c r="K1528" s="60"/>
      <c r="L1528" s="60"/>
      <c r="M1528" s="60"/>
      <c r="N1528" s="60"/>
      <c r="O1528" s="60"/>
      <c r="P1528" s="60"/>
      <c r="Q1528" s="60"/>
      <c r="R1528" s="60"/>
      <c r="S1528" s="60"/>
      <c r="T1528" s="3233" t="s">
        <v>613</v>
      </c>
      <c r="U1528" s="3233"/>
      <c r="V1528" s="3233"/>
      <c r="W1528" s="3233"/>
      <c r="X1528" s="3233"/>
      <c r="Y1528" s="3233"/>
      <c r="Z1528" s="3019" t="s">
        <v>614</v>
      </c>
      <c r="AA1528" s="3020"/>
      <c r="AB1528" s="35"/>
      <c r="AC1528" s="183"/>
    </row>
    <row r="1529" spans="1:31" x14ac:dyDescent="0.2">
      <c r="A1529" s="1422"/>
      <c r="B1529" s="2999" t="s">
        <v>278</v>
      </c>
      <c r="C1529" s="3015" t="s">
        <v>563</v>
      </c>
      <c r="D1529" s="2847" t="s">
        <v>22</v>
      </c>
      <c r="E1529" s="2847" t="s">
        <v>23</v>
      </c>
      <c r="F1529" s="2847" t="s">
        <v>24</v>
      </c>
      <c r="G1529" s="2847" t="s">
        <v>25</v>
      </c>
      <c r="H1529" s="2847" t="s">
        <v>26</v>
      </c>
      <c r="I1529" s="2847" t="s">
        <v>27</v>
      </c>
      <c r="J1529" s="2847" t="s">
        <v>28</v>
      </c>
      <c r="K1529" s="2847"/>
      <c r="L1529" s="2988" t="s">
        <v>279</v>
      </c>
      <c r="M1529" s="3273" t="s">
        <v>280</v>
      </c>
      <c r="N1529" s="3274"/>
      <c r="O1529" s="2847" t="s">
        <v>281</v>
      </c>
      <c r="P1529" s="2847"/>
      <c r="Q1529" s="2847"/>
      <c r="R1529" s="2847"/>
      <c r="S1529" s="2847"/>
      <c r="T1529" s="2847"/>
      <c r="U1529" s="2847"/>
      <c r="V1529" s="2847"/>
      <c r="W1529" s="2847"/>
      <c r="X1529" s="2847"/>
      <c r="Y1529" s="2847"/>
      <c r="Z1529" s="2847"/>
      <c r="AA1529" s="3358" t="s">
        <v>32</v>
      </c>
      <c r="AB1529" s="1210"/>
      <c r="AC1529" s="1199"/>
      <c r="AD1529" s="1211"/>
      <c r="AE1529" s="1211"/>
    </row>
    <row r="1530" spans="1:31" x14ac:dyDescent="0.2">
      <c r="A1530" s="1422"/>
      <c r="B1530" s="2999"/>
      <c r="C1530" s="3359"/>
      <c r="D1530" s="2847"/>
      <c r="E1530" s="2847"/>
      <c r="F1530" s="2847"/>
      <c r="G1530" s="2847"/>
      <c r="H1530" s="2847"/>
      <c r="I1530" s="2847"/>
      <c r="J1530" s="2847" t="s">
        <v>33</v>
      </c>
      <c r="K1530" s="2847" t="s">
        <v>282</v>
      </c>
      <c r="L1530" s="3186"/>
      <c r="M1530" s="3275"/>
      <c r="N1530" s="3276"/>
      <c r="O1530" s="1017" t="s">
        <v>283</v>
      </c>
      <c r="P1530" s="1017" t="s">
        <v>284</v>
      </c>
      <c r="Q1530" s="1017" t="s">
        <v>285</v>
      </c>
      <c r="R1530" s="1017" t="s">
        <v>88</v>
      </c>
      <c r="S1530" s="1017" t="s">
        <v>89</v>
      </c>
      <c r="T1530" s="1017" t="s">
        <v>90</v>
      </c>
      <c r="U1530" s="1017" t="s">
        <v>91</v>
      </c>
      <c r="V1530" s="1017" t="s">
        <v>92</v>
      </c>
      <c r="W1530" s="1017" t="s">
        <v>286</v>
      </c>
      <c r="X1530" s="1017" t="s">
        <v>93</v>
      </c>
      <c r="Y1530" s="1017" t="s">
        <v>94</v>
      </c>
      <c r="Z1530" s="1017" t="s">
        <v>95</v>
      </c>
      <c r="AA1530" s="3358"/>
      <c r="AB1530" s="1210"/>
      <c r="AC1530" s="1199"/>
      <c r="AD1530" s="1211"/>
      <c r="AE1530" s="1211"/>
    </row>
    <row r="1531" spans="1:31" ht="12.75" x14ac:dyDescent="0.2">
      <c r="A1531" s="1422"/>
      <c r="B1531" s="2999"/>
      <c r="C1531" s="3359"/>
      <c r="D1531" s="2847"/>
      <c r="E1531" s="2847"/>
      <c r="F1531" s="2847"/>
      <c r="G1531" s="2847"/>
      <c r="H1531" s="2847"/>
      <c r="I1531" s="2847"/>
      <c r="J1531" s="2847"/>
      <c r="K1531" s="2847"/>
      <c r="L1531" s="3186"/>
      <c r="M1531" s="3271" t="s">
        <v>287</v>
      </c>
      <c r="N1531" s="3272"/>
      <c r="O1531" s="1095">
        <v>2400</v>
      </c>
      <c r="P1531" s="1095">
        <v>2400</v>
      </c>
      <c r="Q1531" s="1095">
        <v>2500</v>
      </c>
      <c r="R1531" s="1095">
        <v>2400</v>
      </c>
      <c r="S1531" s="1095">
        <v>2366</v>
      </c>
      <c r="T1531" s="1095">
        <v>2300</v>
      </c>
      <c r="U1531" s="1095">
        <v>2400</v>
      </c>
      <c r="V1531" s="1095">
        <v>2400</v>
      </c>
      <c r="W1531" s="1095">
        <v>2300</v>
      </c>
      <c r="X1531" s="1095">
        <v>2400</v>
      </c>
      <c r="Y1531" s="1095">
        <v>2400</v>
      </c>
      <c r="Z1531" s="1095">
        <v>2300</v>
      </c>
      <c r="AA1531" s="1205">
        <f t="shared" ref="AA1531:AA1536" si="263">SUM(O1531:Z1531)</f>
        <v>28566</v>
      </c>
      <c r="AB1531" s="1210"/>
      <c r="AC1531" s="1199"/>
      <c r="AD1531" s="1211"/>
      <c r="AE1531" s="1211"/>
    </row>
    <row r="1532" spans="1:31" ht="12.75" x14ac:dyDescent="0.2">
      <c r="A1532" s="1422"/>
      <c r="B1532" s="2999"/>
      <c r="C1532" s="3016"/>
      <c r="D1532" s="2847"/>
      <c r="E1532" s="2847"/>
      <c r="F1532" s="2847"/>
      <c r="G1532" s="2847"/>
      <c r="H1532" s="2847"/>
      <c r="I1532" s="2847"/>
      <c r="J1532" s="2847"/>
      <c r="K1532" s="2847"/>
      <c r="L1532" s="2989"/>
      <c r="M1532" s="3271" t="s">
        <v>34</v>
      </c>
      <c r="N1532" s="3272"/>
      <c r="O1532" s="36">
        <f>SUM(O1533:O1550)</f>
        <v>100352.58333333334</v>
      </c>
      <c r="P1532" s="36">
        <f t="shared" ref="P1532:Z1532" si="264">SUM(P1533:P1550)</f>
        <v>90134.401515151534</v>
      </c>
      <c r="Q1532" s="36">
        <f t="shared" si="264"/>
        <v>92084.401515151534</v>
      </c>
      <c r="R1532" s="36">
        <f t="shared" si="264"/>
        <v>96434.401515151534</v>
      </c>
      <c r="S1532" s="36">
        <f t="shared" si="264"/>
        <v>90134.401515151534</v>
      </c>
      <c r="T1532" s="36">
        <f t="shared" si="264"/>
        <v>90134.401515151534</v>
      </c>
      <c r="U1532" s="36">
        <f t="shared" si="264"/>
        <v>98684.401515151534</v>
      </c>
      <c r="V1532" s="36">
        <f t="shared" si="264"/>
        <v>97984.401515151534</v>
      </c>
      <c r="W1532" s="36">
        <f t="shared" si="264"/>
        <v>90134.401515151534</v>
      </c>
      <c r="X1532" s="36">
        <f t="shared" si="264"/>
        <v>90134.401515151534</v>
      </c>
      <c r="Y1532" s="36">
        <f t="shared" si="264"/>
        <v>90134.401515151534</v>
      </c>
      <c r="Z1532" s="36">
        <f t="shared" si="264"/>
        <v>98684.401515151534</v>
      </c>
      <c r="AA1532" s="1205">
        <f t="shared" si="263"/>
        <v>1125031</v>
      </c>
      <c r="AB1532" s="1210"/>
      <c r="AC1532" s="1199"/>
      <c r="AD1532" s="1211"/>
      <c r="AE1532" s="1211"/>
    </row>
    <row r="1533" spans="1:31" x14ac:dyDescent="0.2">
      <c r="A1533" s="1422"/>
      <c r="B1533" s="2522">
        <v>5000070</v>
      </c>
      <c r="C1533" s="3190" t="s">
        <v>615</v>
      </c>
      <c r="D1533" s="2421">
        <v>51</v>
      </c>
      <c r="E1533" s="2421" t="s">
        <v>407</v>
      </c>
      <c r="F1533" s="2420" t="s">
        <v>313</v>
      </c>
      <c r="G1533" s="2420" t="s">
        <v>329</v>
      </c>
      <c r="H1533" s="2420"/>
      <c r="I1533" s="2420" t="s">
        <v>599</v>
      </c>
      <c r="J1533" s="2514">
        <v>28566</v>
      </c>
      <c r="K1533" s="101">
        <v>298746</v>
      </c>
      <c r="L1533" s="3294" t="s">
        <v>565</v>
      </c>
      <c r="M1533" s="3287" t="s">
        <v>293</v>
      </c>
      <c r="N1533" s="3288"/>
      <c r="O1533" s="40">
        <f t="shared" ref="O1533:Z1538" si="265">$K1533/12</f>
        <v>24895.5</v>
      </c>
      <c r="P1533" s="40">
        <f t="shared" si="265"/>
        <v>24895.5</v>
      </c>
      <c r="Q1533" s="40">
        <f t="shared" si="265"/>
        <v>24895.5</v>
      </c>
      <c r="R1533" s="40">
        <f t="shared" si="265"/>
        <v>24895.5</v>
      </c>
      <c r="S1533" s="40">
        <f t="shared" si="265"/>
        <v>24895.5</v>
      </c>
      <c r="T1533" s="40">
        <f t="shared" si="265"/>
        <v>24895.5</v>
      </c>
      <c r="U1533" s="40">
        <f t="shared" si="265"/>
        <v>24895.5</v>
      </c>
      <c r="V1533" s="40">
        <f t="shared" si="265"/>
        <v>24895.5</v>
      </c>
      <c r="W1533" s="40">
        <f t="shared" si="265"/>
        <v>24895.5</v>
      </c>
      <c r="X1533" s="40">
        <f t="shared" si="265"/>
        <v>24895.5</v>
      </c>
      <c r="Y1533" s="40">
        <f t="shared" si="265"/>
        <v>24895.5</v>
      </c>
      <c r="Z1533" s="40">
        <f t="shared" si="265"/>
        <v>24895.5</v>
      </c>
      <c r="AA1533" s="966">
        <f>SUM(O1533:Z1533)</f>
        <v>298746</v>
      </c>
      <c r="AB1533" s="1210"/>
      <c r="AC1533" s="1199"/>
      <c r="AD1533" s="1211"/>
      <c r="AE1533" s="1211"/>
    </row>
    <row r="1534" spans="1:31" x14ac:dyDescent="0.2">
      <c r="A1534" s="1422"/>
      <c r="B1534" s="2522"/>
      <c r="C1534" s="3191"/>
      <c r="D1534" s="2421"/>
      <c r="E1534" s="2421"/>
      <c r="F1534" s="2420"/>
      <c r="G1534" s="2420"/>
      <c r="H1534" s="2420"/>
      <c r="I1534" s="2420"/>
      <c r="J1534" s="2515"/>
      <c r="K1534" s="101">
        <v>26868</v>
      </c>
      <c r="L1534" s="3295"/>
      <c r="M1534" s="3287" t="s">
        <v>321</v>
      </c>
      <c r="N1534" s="3288"/>
      <c r="O1534" s="40">
        <f t="shared" si="265"/>
        <v>2239</v>
      </c>
      <c r="P1534" s="40">
        <f t="shared" si="265"/>
        <v>2239</v>
      </c>
      <c r="Q1534" s="40">
        <f t="shared" si="265"/>
        <v>2239</v>
      </c>
      <c r="R1534" s="40">
        <f t="shared" si="265"/>
        <v>2239</v>
      </c>
      <c r="S1534" s="40">
        <f t="shared" si="265"/>
        <v>2239</v>
      </c>
      <c r="T1534" s="40">
        <f t="shared" si="265"/>
        <v>2239</v>
      </c>
      <c r="U1534" s="40">
        <f t="shared" si="265"/>
        <v>2239</v>
      </c>
      <c r="V1534" s="40">
        <f t="shared" si="265"/>
        <v>2239</v>
      </c>
      <c r="W1534" s="40">
        <f t="shared" si="265"/>
        <v>2239</v>
      </c>
      <c r="X1534" s="40">
        <f t="shared" si="265"/>
        <v>2239</v>
      </c>
      <c r="Y1534" s="40">
        <f t="shared" si="265"/>
        <v>2239</v>
      </c>
      <c r="Z1534" s="40">
        <f t="shared" si="265"/>
        <v>2239</v>
      </c>
      <c r="AA1534" s="966">
        <f t="shared" si="263"/>
        <v>26868</v>
      </c>
      <c r="AB1534" s="1210"/>
      <c r="AC1534" s="1199"/>
      <c r="AD1534" s="1211"/>
      <c r="AE1534" s="1211"/>
    </row>
    <row r="1535" spans="1:31" x14ac:dyDescent="0.2">
      <c r="A1535" s="1422"/>
      <c r="B1535" s="2522"/>
      <c r="C1535" s="3191"/>
      <c r="D1535" s="2421"/>
      <c r="E1535" s="2421"/>
      <c r="F1535" s="2420"/>
      <c r="G1535" s="2420"/>
      <c r="H1535" s="2420"/>
      <c r="I1535" s="2420"/>
      <c r="J1535" s="2515"/>
      <c r="K1535" s="101">
        <v>316560</v>
      </c>
      <c r="L1535" s="3295"/>
      <c r="M1535" s="3287" t="s">
        <v>295</v>
      </c>
      <c r="N1535" s="3288"/>
      <c r="O1535" s="40">
        <f t="shared" si="265"/>
        <v>26380</v>
      </c>
      <c r="P1535" s="40">
        <f t="shared" si="265"/>
        <v>26380</v>
      </c>
      <c r="Q1535" s="40">
        <f t="shared" si="265"/>
        <v>26380</v>
      </c>
      <c r="R1535" s="40">
        <f t="shared" si="265"/>
        <v>26380</v>
      </c>
      <c r="S1535" s="40">
        <f t="shared" si="265"/>
        <v>26380</v>
      </c>
      <c r="T1535" s="40">
        <f t="shared" si="265"/>
        <v>26380</v>
      </c>
      <c r="U1535" s="40">
        <f t="shared" si="265"/>
        <v>26380</v>
      </c>
      <c r="V1535" s="40">
        <f t="shared" si="265"/>
        <v>26380</v>
      </c>
      <c r="W1535" s="40">
        <f t="shared" si="265"/>
        <v>26380</v>
      </c>
      <c r="X1535" s="40">
        <f t="shared" si="265"/>
        <v>26380</v>
      </c>
      <c r="Y1535" s="40">
        <f t="shared" si="265"/>
        <v>26380</v>
      </c>
      <c r="Z1535" s="40">
        <f t="shared" si="265"/>
        <v>26380</v>
      </c>
      <c r="AA1535" s="966">
        <f t="shared" si="263"/>
        <v>316560</v>
      </c>
      <c r="AB1535" s="1210"/>
      <c r="AC1535" s="1199"/>
      <c r="AD1535" s="1211"/>
      <c r="AE1535" s="1211"/>
    </row>
    <row r="1536" spans="1:31" x14ac:dyDescent="0.2">
      <c r="A1536" s="1422"/>
      <c r="B1536" s="2522"/>
      <c r="C1536" s="3191"/>
      <c r="D1536" s="2421"/>
      <c r="E1536" s="2421"/>
      <c r="F1536" s="2420"/>
      <c r="G1536" s="2420"/>
      <c r="H1536" s="2420"/>
      <c r="I1536" s="2420"/>
      <c r="J1536" s="2515"/>
      <c r="K1536" s="101">
        <v>20688</v>
      </c>
      <c r="L1536" s="3295"/>
      <c r="M1536" s="3287" t="s">
        <v>332</v>
      </c>
      <c r="N1536" s="3288"/>
      <c r="O1536" s="40">
        <f t="shared" si="265"/>
        <v>1724</v>
      </c>
      <c r="P1536" s="40">
        <f t="shared" si="265"/>
        <v>1724</v>
      </c>
      <c r="Q1536" s="40">
        <f t="shared" si="265"/>
        <v>1724</v>
      </c>
      <c r="R1536" s="40">
        <f t="shared" si="265"/>
        <v>1724</v>
      </c>
      <c r="S1536" s="40">
        <f t="shared" si="265"/>
        <v>1724</v>
      </c>
      <c r="T1536" s="40">
        <f t="shared" si="265"/>
        <v>1724</v>
      </c>
      <c r="U1536" s="40">
        <f t="shared" si="265"/>
        <v>1724</v>
      </c>
      <c r="V1536" s="40">
        <f t="shared" si="265"/>
        <v>1724</v>
      </c>
      <c r="W1536" s="40">
        <f t="shared" si="265"/>
        <v>1724</v>
      </c>
      <c r="X1536" s="40">
        <f t="shared" si="265"/>
        <v>1724</v>
      </c>
      <c r="Y1536" s="40">
        <f t="shared" si="265"/>
        <v>1724</v>
      </c>
      <c r="Z1536" s="40">
        <f t="shared" si="265"/>
        <v>1724</v>
      </c>
      <c r="AA1536" s="966">
        <f t="shared" si="263"/>
        <v>20688</v>
      </c>
      <c r="AB1536" s="1210"/>
      <c r="AC1536" s="1199"/>
      <c r="AD1536" s="1211"/>
      <c r="AE1536" s="1211"/>
    </row>
    <row r="1537" spans="1:31" x14ac:dyDescent="0.2">
      <c r="A1537" s="1422"/>
      <c r="B1537" s="2522"/>
      <c r="C1537" s="3191"/>
      <c r="D1537" s="2421"/>
      <c r="E1537" s="2421"/>
      <c r="F1537" s="2420"/>
      <c r="G1537" s="2420"/>
      <c r="H1537" s="2420"/>
      <c r="I1537" s="2420"/>
      <c r="J1537" s="2515"/>
      <c r="K1537" s="101">
        <v>159462</v>
      </c>
      <c r="L1537" s="3295"/>
      <c r="M1537" s="3287" t="s">
        <v>296</v>
      </c>
      <c r="N1537" s="3288"/>
      <c r="O1537" s="40">
        <f t="shared" si="265"/>
        <v>13288.5</v>
      </c>
      <c r="P1537" s="40">
        <f t="shared" si="265"/>
        <v>13288.5</v>
      </c>
      <c r="Q1537" s="40">
        <f t="shared" si="265"/>
        <v>13288.5</v>
      </c>
      <c r="R1537" s="40">
        <f t="shared" si="265"/>
        <v>13288.5</v>
      </c>
      <c r="S1537" s="40">
        <f t="shared" si="265"/>
        <v>13288.5</v>
      </c>
      <c r="T1537" s="40">
        <f t="shared" si="265"/>
        <v>13288.5</v>
      </c>
      <c r="U1537" s="40">
        <f t="shared" si="265"/>
        <v>13288.5</v>
      </c>
      <c r="V1537" s="40">
        <f t="shared" si="265"/>
        <v>13288.5</v>
      </c>
      <c r="W1537" s="40">
        <f t="shared" si="265"/>
        <v>13288.5</v>
      </c>
      <c r="X1537" s="40">
        <f t="shared" si="265"/>
        <v>13288.5</v>
      </c>
      <c r="Y1537" s="40">
        <f t="shared" si="265"/>
        <v>13288.5</v>
      </c>
      <c r="Z1537" s="40">
        <f t="shared" si="265"/>
        <v>13288.5</v>
      </c>
      <c r="AA1537" s="966">
        <f>SUM(O1537:Z1537)</f>
        <v>159462</v>
      </c>
      <c r="AB1537" s="1210"/>
      <c r="AC1537" s="1199"/>
      <c r="AD1537" s="1211"/>
      <c r="AE1537" s="1211"/>
    </row>
    <row r="1538" spans="1:31" x14ac:dyDescent="0.2">
      <c r="A1538" s="1422"/>
      <c r="B1538" s="2522"/>
      <c r="C1538" s="3191"/>
      <c r="D1538" s="2421"/>
      <c r="E1538" s="2421"/>
      <c r="F1538" s="2420"/>
      <c r="G1538" s="2420"/>
      <c r="H1538" s="2420"/>
      <c r="I1538" s="2420"/>
      <c r="J1538" s="2515"/>
      <c r="K1538" s="101">
        <v>75062</v>
      </c>
      <c r="L1538" s="3295"/>
      <c r="M1538" s="3287" t="s">
        <v>297</v>
      </c>
      <c r="N1538" s="3288"/>
      <c r="O1538" s="40">
        <f t="shared" si="265"/>
        <v>6255.166666666667</v>
      </c>
      <c r="P1538" s="40">
        <f t="shared" si="265"/>
        <v>6255.166666666667</v>
      </c>
      <c r="Q1538" s="40">
        <f t="shared" si="265"/>
        <v>6255.166666666667</v>
      </c>
      <c r="R1538" s="40">
        <f t="shared" si="265"/>
        <v>6255.166666666667</v>
      </c>
      <c r="S1538" s="40">
        <f t="shared" si="265"/>
        <v>6255.166666666667</v>
      </c>
      <c r="T1538" s="40">
        <f t="shared" si="265"/>
        <v>6255.166666666667</v>
      </c>
      <c r="U1538" s="40">
        <f t="shared" si="265"/>
        <v>6255.166666666667</v>
      </c>
      <c r="V1538" s="40">
        <f t="shared" si="265"/>
        <v>6255.166666666667</v>
      </c>
      <c r="W1538" s="40">
        <f t="shared" si="265"/>
        <v>6255.166666666667</v>
      </c>
      <c r="X1538" s="40">
        <f t="shared" si="265"/>
        <v>6255.166666666667</v>
      </c>
      <c r="Y1538" s="40">
        <f t="shared" si="265"/>
        <v>6255.166666666667</v>
      </c>
      <c r="Z1538" s="40">
        <f t="shared" si="265"/>
        <v>6255.166666666667</v>
      </c>
      <c r="AA1538" s="966">
        <f t="shared" ref="AA1538:AA1550" si="266">SUM(O1538:Z1538)</f>
        <v>75062</v>
      </c>
      <c r="AB1538" s="1210"/>
      <c r="AC1538" s="1199"/>
      <c r="AD1538" s="1211"/>
      <c r="AE1538" s="1211"/>
    </row>
    <row r="1539" spans="1:31" x14ac:dyDescent="0.2">
      <c r="A1539" s="1422"/>
      <c r="B1539" s="2522"/>
      <c r="C1539" s="3191"/>
      <c r="D1539" s="2421"/>
      <c r="E1539" s="2421"/>
      <c r="F1539" s="2420"/>
      <c r="G1539" s="2420"/>
      <c r="H1539" s="2420"/>
      <c r="I1539" s="2420"/>
      <c r="J1539" s="2515"/>
      <c r="K1539" s="101">
        <v>17100</v>
      </c>
      <c r="L1539" s="3295"/>
      <c r="M1539" s="3287" t="s">
        <v>298</v>
      </c>
      <c r="N1539" s="3288"/>
      <c r="O1539" s="1044"/>
      <c r="P1539" s="1044"/>
      <c r="Q1539" s="1044"/>
      <c r="R1539" s="1044"/>
      <c r="S1539" s="1044"/>
      <c r="T1539" s="1044"/>
      <c r="U1539" s="40">
        <f>$K1539/2</f>
        <v>8550</v>
      </c>
      <c r="V1539" s="1044"/>
      <c r="W1539" s="1044"/>
      <c r="X1539" s="1044"/>
      <c r="Y1539" s="1044"/>
      <c r="Z1539" s="40">
        <f>$K1539/2</f>
        <v>8550</v>
      </c>
      <c r="AA1539" s="966">
        <f t="shared" si="266"/>
        <v>17100</v>
      </c>
      <c r="AB1539" s="1210"/>
      <c r="AC1539" s="1199"/>
      <c r="AD1539" s="1211"/>
      <c r="AE1539" s="1211"/>
    </row>
    <row r="1540" spans="1:31" x14ac:dyDescent="0.2">
      <c r="A1540" s="1422"/>
      <c r="B1540" s="2522"/>
      <c r="C1540" s="3191"/>
      <c r="D1540" s="2421"/>
      <c r="E1540" s="2421"/>
      <c r="F1540" s="2420"/>
      <c r="G1540" s="2420"/>
      <c r="H1540" s="2420"/>
      <c r="I1540" s="2420"/>
      <c r="J1540" s="2515"/>
      <c r="K1540" s="101">
        <v>11400</v>
      </c>
      <c r="L1540" s="3295"/>
      <c r="M1540" s="3287" t="s">
        <v>299</v>
      </c>
      <c r="N1540" s="3288"/>
      <c r="O1540" s="40">
        <f>$K1540</f>
        <v>11400</v>
      </c>
      <c r="P1540" s="1044"/>
      <c r="Q1540" s="40"/>
      <c r="R1540" s="1044"/>
      <c r="S1540" s="1044"/>
      <c r="T1540" s="1044"/>
      <c r="U1540" s="1044"/>
      <c r="V1540" s="1044"/>
      <c r="W1540" s="1044"/>
      <c r="X1540" s="1044"/>
      <c r="Y1540" s="1044"/>
      <c r="Z1540" s="1044"/>
      <c r="AA1540" s="966">
        <f t="shared" si="266"/>
        <v>11400</v>
      </c>
      <c r="AB1540" s="1210"/>
      <c r="AC1540" s="1199"/>
      <c r="AD1540" s="1211"/>
      <c r="AE1540" s="1211"/>
    </row>
    <row r="1541" spans="1:31" x14ac:dyDescent="0.2">
      <c r="A1541" s="1422"/>
      <c r="B1541" s="2522"/>
      <c r="C1541" s="3191"/>
      <c r="D1541" s="2421"/>
      <c r="E1541" s="2421"/>
      <c r="F1541" s="2420"/>
      <c r="G1541" s="2420"/>
      <c r="H1541" s="2420"/>
      <c r="I1541" s="2420"/>
      <c r="J1541" s="2515"/>
      <c r="K1541" s="101">
        <v>42610</v>
      </c>
      <c r="L1541" s="3295"/>
      <c r="M1541" s="3287" t="s">
        <v>300</v>
      </c>
      <c r="N1541" s="3288"/>
      <c r="O1541" s="40">
        <f t="shared" ref="O1541:Z1542" si="267">$K1541/12</f>
        <v>3550.8333333333335</v>
      </c>
      <c r="P1541" s="40">
        <f t="shared" si="267"/>
        <v>3550.8333333333335</v>
      </c>
      <c r="Q1541" s="40">
        <f t="shared" si="267"/>
        <v>3550.8333333333335</v>
      </c>
      <c r="R1541" s="40">
        <f t="shared" si="267"/>
        <v>3550.8333333333335</v>
      </c>
      <c r="S1541" s="40">
        <f t="shared" si="267"/>
        <v>3550.8333333333335</v>
      </c>
      <c r="T1541" s="40">
        <f t="shared" si="267"/>
        <v>3550.8333333333335</v>
      </c>
      <c r="U1541" s="40">
        <f t="shared" si="267"/>
        <v>3550.8333333333335</v>
      </c>
      <c r="V1541" s="40">
        <f t="shared" si="267"/>
        <v>3550.8333333333335</v>
      </c>
      <c r="W1541" s="40">
        <f t="shared" si="267"/>
        <v>3550.8333333333335</v>
      </c>
      <c r="X1541" s="40">
        <f t="shared" si="267"/>
        <v>3550.8333333333335</v>
      </c>
      <c r="Y1541" s="40">
        <f t="shared" si="267"/>
        <v>3550.8333333333335</v>
      </c>
      <c r="Z1541" s="40">
        <f t="shared" si="267"/>
        <v>3550.8333333333335</v>
      </c>
      <c r="AA1541" s="966">
        <f t="shared" si="266"/>
        <v>42610</v>
      </c>
      <c r="AB1541" s="1210"/>
      <c r="AC1541" s="1199"/>
      <c r="AD1541" s="1211"/>
      <c r="AE1541" s="1211"/>
    </row>
    <row r="1542" spans="1:31" x14ac:dyDescent="0.2">
      <c r="A1542" s="1422"/>
      <c r="B1542" s="2522"/>
      <c r="C1542" s="3191"/>
      <c r="D1542" s="2421"/>
      <c r="E1542" s="2421"/>
      <c r="F1542" s="2420"/>
      <c r="G1542" s="2420"/>
      <c r="H1542" s="2420"/>
      <c r="I1542" s="2420"/>
      <c r="J1542" s="2515"/>
      <c r="K1542" s="101">
        <v>872</v>
      </c>
      <c r="L1542" s="3295"/>
      <c r="M1542" s="3287" t="s">
        <v>301</v>
      </c>
      <c r="N1542" s="3288"/>
      <c r="O1542" s="40">
        <f t="shared" si="267"/>
        <v>72.666666666666671</v>
      </c>
      <c r="P1542" s="40">
        <f t="shared" si="267"/>
        <v>72.666666666666671</v>
      </c>
      <c r="Q1542" s="40">
        <f t="shared" si="267"/>
        <v>72.666666666666671</v>
      </c>
      <c r="R1542" s="40">
        <f t="shared" si="267"/>
        <v>72.666666666666671</v>
      </c>
      <c r="S1542" s="40">
        <f t="shared" si="267"/>
        <v>72.666666666666671</v>
      </c>
      <c r="T1542" s="40">
        <f t="shared" si="267"/>
        <v>72.666666666666671</v>
      </c>
      <c r="U1542" s="40">
        <f t="shared" si="267"/>
        <v>72.666666666666671</v>
      </c>
      <c r="V1542" s="40">
        <f t="shared" si="267"/>
        <v>72.666666666666671</v>
      </c>
      <c r="W1542" s="40">
        <f t="shared" si="267"/>
        <v>72.666666666666671</v>
      </c>
      <c r="X1542" s="40">
        <f t="shared" si="267"/>
        <v>72.666666666666671</v>
      </c>
      <c r="Y1542" s="40">
        <f t="shared" si="267"/>
        <v>72.666666666666671</v>
      </c>
      <c r="Z1542" s="40">
        <f t="shared" si="267"/>
        <v>72.666666666666671</v>
      </c>
      <c r="AA1542" s="966">
        <f t="shared" si="266"/>
        <v>871.99999999999989</v>
      </c>
      <c r="AB1542" s="1210"/>
      <c r="AC1542" s="1199"/>
      <c r="AD1542" s="1211"/>
      <c r="AE1542" s="1211"/>
    </row>
    <row r="1543" spans="1:31" x14ac:dyDescent="0.2">
      <c r="A1543" s="1422"/>
      <c r="B1543" s="2522"/>
      <c r="C1543" s="3191"/>
      <c r="D1543" s="2421"/>
      <c r="E1543" s="2421"/>
      <c r="F1543" s="2420"/>
      <c r="G1543" s="2420"/>
      <c r="H1543" s="2420"/>
      <c r="I1543" s="2420"/>
      <c r="J1543" s="2515"/>
      <c r="K1543" s="101">
        <v>12600</v>
      </c>
      <c r="L1543" s="3295"/>
      <c r="M1543" s="3287" t="s">
        <v>343</v>
      </c>
      <c r="N1543" s="3288"/>
      <c r="O1543" s="1044"/>
      <c r="P1543" s="1044"/>
      <c r="Q1543" s="94"/>
      <c r="R1543" s="1044">
        <f>$K1543/2</f>
        <v>6300</v>
      </c>
      <c r="S1543" s="94"/>
      <c r="T1543" s="94"/>
      <c r="U1543" s="94"/>
      <c r="V1543" s="1044">
        <f>$K1543/2</f>
        <v>6300</v>
      </c>
      <c r="W1543" s="94"/>
      <c r="X1543" s="94"/>
      <c r="Y1543" s="94"/>
      <c r="Z1543" s="94"/>
      <c r="AA1543" s="966">
        <f t="shared" si="266"/>
        <v>12600</v>
      </c>
      <c r="AB1543" s="1210"/>
      <c r="AC1543" s="1199"/>
      <c r="AD1543" s="1211"/>
      <c r="AE1543" s="1211"/>
    </row>
    <row r="1544" spans="1:31" x14ac:dyDescent="0.2">
      <c r="A1544" s="1422"/>
      <c r="B1544" s="2522"/>
      <c r="C1544" s="3191"/>
      <c r="D1544" s="2421"/>
      <c r="E1544" s="2421"/>
      <c r="F1544" s="2420"/>
      <c r="G1544" s="2420"/>
      <c r="H1544" s="2420"/>
      <c r="I1544" s="2420"/>
      <c r="J1544" s="2515"/>
      <c r="K1544" s="101">
        <v>3100</v>
      </c>
      <c r="L1544" s="3295"/>
      <c r="M1544" s="3287" t="s">
        <v>304</v>
      </c>
      <c r="N1544" s="3288"/>
      <c r="O1544" s="1044"/>
      <c r="P1544" s="1044"/>
      <c r="Q1544" s="40">
        <f>$K1544/2</f>
        <v>1550</v>
      </c>
      <c r="R1544" s="1044"/>
      <c r="S1544" s="1044"/>
      <c r="T1544" s="1044"/>
      <c r="U1544" s="1044"/>
      <c r="V1544" s="40">
        <f>$K1544/2</f>
        <v>1550</v>
      </c>
      <c r="W1544" s="1044"/>
      <c r="X1544" s="1044"/>
      <c r="Y1544" s="1044"/>
      <c r="Z1544" s="1044"/>
      <c r="AA1544" s="966">
        <f t="shared" si="266"/>
        <v>3100</v>
      </c>
      <c r="AB1544" s="1210"/>
      <c r="AC1544" s="1199"/>
      <c r="AD1544" s="1211"/>
      <c r="AE1544" s="1211"/>
    </row>
    <row r="1545" spans="1:31" x14ac:dyDescent="0.2">
      <c r="A1545" s="1422"/>
      <c r="B1545" s="2522"/>
      <c r="C1545" s="3191"/>
      <c r="D1545" s="2421"/>
      <c r="E1545" s="2421"/>
      <c r="F1545" s="2420"/>
      <c r="G1545" s="2420"/>
      <c r="H1545" s="2420"/>
      <c r="I1545" s="2420"/>
      <c r="J1545" s="2515"/>
      <c r="K1545" s="101">
        <v>3000</v>
      </c>
      <c r="L1545" s="3295"/>
      <c r="M1545" s="3287" t="s">
        <v>306</v>
      </c>
      <c r="N1545" s="3288"/>
      <c r="O1545" s="1044"/>
      <c r="P1545" s="93">
        <f>$K1545/11</f>
        <v>272.72727272727275</v>
      </c>
      <c r="Q1545" s="93">
        <f t="shared" ref="Q1545:Z1546" si="268">$K1545/11</f>
        <v>272.72727272727275</v>
      </c>
      <c r="R1545" s="93">
        <f t="shared" si="268"/>
        <v>272.72727272727275</v>
      </c>
      <c r="S1545" s="93">
        <f t="shared" si="268"/>
        <v>272.72727272727275</v>
      </c>
      <c r="T1545" s="93">
        <f t="shared" si="268"/>
        <v>272.72727272727275</v>
      </c>
      <c r="U1545" s="93">
        <f t="shared" si="268"/>
        <v>272.72727272727275</v>
      </c>
      <c r="V1545" s="93">
        <f t="shared" si="268"/>
        <v>272.72727272727275</v>
      </c>
      <c r="W1545" s="93">
        <f t="shared" si="268"/>
        <v>272.72727272727275</v>
      </c>
      <c r="X1545" s="93">
        <f t="shared" si="268"/>
        <v>272.72727272727275</v>
      </c>
      <c r="Y1545" s="93">
        <f t="shared" si="268"/>
        <v>272.72727272727275</v>
      </c>
      <c r="Z1545" s="93">
        <f t="shared" si="268"/>
        <v>272.72727272727275</v>
      </c>
      <c r="AA1545" s="966">
        <f t="shared" si="266"/>
        <v>3000.0000000000009</v>
      </c>
      <c r="AB1545" s="1210"/>
      <c r="AC1545" s="1199"/>
      <c r="AD1545" s="1211"/>
      <c r="AE1545" s="1211"/>
    </row>
    <row r="1546" spans="1:31" x14ac:dyDescent="0.2">
      <c r="A1546" s="1422"/>
      <c r="B1546" s="2522"/>
      <c r="C1546" s="3191"/>
      <c r="D1546" s="2421"/>
      <c r="E1546" s="2421"/>
      <c r="F1546" s="2420"/>
      <c r="G1546" s="2420"/>
      <c r="H1546" s="2420"/>
      <c r="I1546" s="2420"/>
      <c r="J1546" s="2515"/>
      <c r="K1546" s="101">
        <v>10000</v>
      </c>
      <c r="L1546" s="3295"/>
      <c r="M1546" s="3287" t="s">
        <v>355</v>
      </c>
      <c r="N1546" s="3288"/>
      <c r="O1546" s="95"/>
      <c r="P1546" s="95">
        <f>$K1546/11</f>
        <v>909.09090909090912</v>
      </c>
      <c r="Q1546" s="95">
        <f t="shared" si="268"/>
        <v>909.09090909090912</v>
      </c>
      <c r="R1546" s="95">
        <f t="shared" si="268"/>
        <v>909.09090909090912</v>
      </c>
      <c r="S1546" s="95">
        <f t="shared" si="268"/>
        <v>909.09090909090912</v>
      </c>
      <c r="T1546" s="95">
        <f t="shared" si="268"/>
        <v>909.09090909090912</v>
      </c>
      <c r="U1546" s="95">
        <f t="shared" si="268"/>
        <v>909.09090909090912</v>
      </c>
      <c r="V1546" s="95">
        <f t="shared" si="268"/>
        <v>909.09090909090912</v>
      </c>
      <c r="W1546" s="95">
        <f t="shared" si="268"/>
        <v>909.09090909090912</v>
      </c>
      <c r="X1546" s="95">
        <f t="shared" si="268"/>
        <v>909.09090909090912</v>
      </c>
      <c r="Y1546" s="95">
        <f t="shared" si="268"/>
        <v>909.09090909090912</v>
      </c>
      <c r="Z1546" s="95">
        <f t="shared" si="268"/>
        <v>909.09090909090912</v>
      </c>
      <c r="AA1546" s="966">
        <f t="shared" si="266"/>
        <v>10000.000000000002</v>
      </c>
      <c r="AB1546" s="1210"/>
      <c r="AC1546" s="1199"/>
      <c r="AD1546" s="1211"/>
      <c r="AE1546" s="1211"/>
    </row>
    <row r="1547" spans="1:31" x14ac:dyDescent="0.2">
      <c r="A1547" s="1422"/>
      <c r="B1547" s="2522"/>
      <c r="C1547" s="3191"/>
      <c r="D1547" s="2421"/>
      <c r="E1547" s="2421"/>
      <c r="F1547" s="2420"/>
      <c r="G1547" s="2420"/>
      <c r="H1547" s="2420"/>
      <c r="I1547" s="2420"/>
      <c r="J1547" s="2515"/>
      <c r="K1547" s="101">
        <v>300</v>
      </c>
      <c r="L1547" s="3295"/>
      <c r="M1547" s="3287" t="s">
        <v>308</v>
      </c>
      <c r="N1547" s="3288"/>
      <c r="O1547" s="1044"/>
      <c r="P1547" s="1044"/>
      <c r="Q1547" s="40">
        <f>$K1547</f>
        <v>300</v>
      </c>
      <c r="R1547" s="1044"/>
      <c r="S1547" s="1044"/>
      <c r="T1547" s="1044"/>
      <c r="U1547" s="1044"/>
      <c r="V1547" s="1044"/>
      <c r="W1547" s="1044"/>
      <c r="X1547" s="1044"/>
      <c r="Y1547" s="1044"/>
      <c r="Z1547" s="1044"/>
      <c r="AA1547" s="966">
        <f t="shared" si="266"/>
        <v>300</v>
      </c>
      <c r="AB1547" s="1210"/>
      <c r="AC1547" s="1199"/>
      <c r="AD1547" s="1211"/>
      <c r="AE1547" s="1211"/>
    </row>
    <row r="1548" spans="1:31" x14ac:dyDescent="0.2">
      <c r="A1548" s="1422"/>
      <c r="B1548" s="2522"/>
      <c r="C1548" s="3191"/>
      <c r="D1548" s="2421"/>
      <c r="E1548" s="2421"/>
      <c r="F1548" s="2420"/>
      <c r="G1548" s="2420"/>
      <c r="H1548" s="2420"/>
      <c r="I1548" s="2420"/>
      <c r="J1548" s="2515"/>
      <c r="K1548" s="101">
        <v>100</v>
      </c>
      <c r="L1548" s="3295"/>
      <c r="M1548" s="3287" t="s">
        <v>349</v>
      </c>
      <c r="N1548" s="3288"/>
      <c r="O1548" s="95"/>
      <c r="P1548" s="95"/>
      <c r="Q1548" s="95">
        <f>$K1548</f>
        <v>100</v>
      </c>
      <c r="R1548" s="95"/>
      <c r="S1548" s="95"/>
      <c r="T1548" s="95"/>
      <c r="U1548" s="95"/>
      <c r="V1548" s="95"/>
      <c r="W1548" s="95"/>
      <c r="X1548" s="95"/>
      <c r="Y1548" s="95"/>
      <c r="Z1548" s="95"/>
      <c r="AA1548" s="966">
        <f>SUM(O1548:Z1548)</f>
        <v>100</v>
      </c>
      <c r="AB1548" s="1210"/>
      <c r="AC1548" s="1199"/>
      <c r="AD1548" s="1211"/>
      <c r="AE1548" s="1211"/>
    </row>
    <row r="1549" spans="1:31" x14ac:dyDescent="0.2">
      <c r="A1549" s="1422"/>
      <c r="B1549" s="2522"/>
      <c r="C1549" s="3191"/>
      <c r="D1549" s="2421"/>
      <c r="E1549" s="2421"/>
      <c r="F1549" s="2420"/>
      <c r="G1549" s="2420"/>
      <c r="H1549" s="2420"/>
      <c r="I1549" s="2420"/>
      <c r="J1549" s="2515"/>
      <c r="K1549" s="101">
        <v>120741</v>
      </c>
      <c r="L1549" s="3295"/>
      <c r="M1549" s="3287" t="s">
        <v>310</v>
      </c>
      <c r="N1549" s="3288"/>
      <c r="O1549" s="40">
        <f t="shared" ref="O1549:Z1550" si="269">$K1549/12</f>
        <v>10061.75</v>
      </c>
      <c r="P1549" s="40">
        <f t="shared" si="269"/>
        <v>10061.75</v>
      </c>
      <c r="Q1549" s="40">
        <f t="shared" si="269"/>
        <v>10061.75</v>
      </c>
      <c r="R1549" s="40">
        <f t="shared" si="269"/>
        <v>10061.75</v>
      </c>
      <c r="S1549" s="40">
        <f t="shared" si="269"/>
        <v>10061.75</v>
      </c>
      <c r="T1549" s="40">
        <f t="shared" si="269"/>
        <v>10061.75</v>
      </c>
      <c r="U1549" s="40">
        <f t="shared" si="269"/>
        <v>10061.75</v>
      </c>
      <c r="V1549" s="40">
        <f t="shared" si="269"/>
        <v>10061.75</v>
      </c>
      <c r="W1549" s="40">
        <f t="shared" si="269"/>
        <v>10061.75</v>
      </c>
      <c r="X1549" s="40">
        <f t="shared" si="269"/>
        <v>10061.75</v>
      </c>
      <c r="Y1549" s="40">
        <f t="shared" si="269"/>
        <v>10061.75</v>
      </c>
      <c r="Z1549" s="40">
        <f t="shared" si="269"/>
        <v>10061.75</v>
      </c>
      <c r="AA1549" s="966">
        <f t="shared" si="266"/>
        <v>120741</v>
      </c>
      <c r="AB1549" s="1210"/>
      <c r="AC1549" s="1199"/>
      <c r="AD1549" s="1211"/>
      <c r="AE1549" s="1211"/>
    </row>
    <row r="1550" spans="1:31" x14ac:dyDescent="0.2">
      <c r="A1550" s="1422"/>
      <c r="B1550" s="2522"/>
      <c r="C1550" s="2439"/>
      <c r="D1550" s="2421"/>
      <c r="E1550" s="2421"/>
      <c r="F1550" s="2420"/>
      <c r="G1550" s="2420"/>
      <c r="H1550" s="2420"/>
      <c r="I1550" s="2420"/>
      <c r="J1550" s="2516"/>
      <c r="K1550" s="101">
        <v>5822</v>
      </c>
      <c r="L1550" s="3296"/>
      <c r="M1550" s="3287" t="s">
        <v>311</v>
      </c>
      <c r="N1550" s="3288"/>
      <c r="O1550" s="40">
        <f t="shared" si="269"/>
        <v>485.16666666666669</v>
      </c>
      <c r="P1550" s="40">
        <f t="shared" si="269"/>
        <v>485.16666666666669</v>
      </c>
      <c r="Q1550" s="40">
        <f t="shared" si="269"/>
        <v>485.16666666666669</v>
      </c>
      <c r="R1550" s="40">
        <f t="shared" si="269"/>
        <v>485.16666666666669</v>
      </c>
      <c r="S1550" s="40">
        <f t="shared" si="269"/>
        <v>485.16666666666669</v>
      </c>
      <c r="T1550" s="40">
        <f t="shared" si="269"/>
        <v>485.16666666666669</v>
      </c>
      <c r="U1550" s="40">
        <f t="shared" si="269"/>
        <v>485.16666666666669</v>
      </c>
      <c r="V1550" s="40">
        <f t="shared" si="269"/>
        <v>485.16666666666669</v>
      </c>
      <c r="W1550" s="40">
        <f t="shared" si="269"/>
        <v>485.16666666666669</v>
      </c>
      <c r="X1550" s="40">
        <f t="shared" si="269"/>
        <v>485.16666666666669</v>
      </c>
      <c r="Y1550" s="40">
        <f t="shared" si="269"/>
        <v>485.16666666666669</v>
      </c>
      <c r="Z1550" s="40">
        <f t="shared" si="269"/>
        <v>485.16666666666669</v>
      </c>
      <c r="AA1550" s="966">
        <f t="shared" si="266"/>
        <v>5822.0000000000009</v>
      </c>
      <c r="AB1550" s="1210"/>
      <c r="AC1550" s="1199"/>
      <c r="AD1550" s="1211"/>
      <c r="AE1550" s="1211"/>
    </row>
    <row r="1551" spans="1:31" x14ac:dyDescent="0.2">
      <c r="A1551" s="1422"/>
      <c r="B1551" s="1427" t="s">
        <v>312</v>
      </c>
      <c r="C1551" s="1128"/>
      <c r="D1551" s="38"/>
      <c r="E1551" s="38"/>
      <c r="F1551" s="38"/>
      <c r="G1551" s="38"/>
      <c r="H1551" s="38"/>
      <c r="I1551" s="38"/>
      <c r="J1551" s="38"/>
      <c r="K1551" s="1044">
        <f>SUM(K1533:K1550)</f>
        <v>1125031</v>
      </c>
      <c r="L1551" s="38"/>
      <c r="M1551" s="38"/>
      <c r="N1551" s="38"/>
      <c r="O1551" s="1044"/>
      <c r="P1551" s="1044"/>
      <c r="Q1551" s="1044"/>
      <c r="R1551" s="1044"/>
      <c r="S1551" s="1044"/>
      <c r="T1551" s="1044"/>
      <c r="U1551" s="1044"/>
      <c r="V1551" s="1044"/>
      <c r="W1551" s="1044"/>
      <c r="X1551" s="1044"/>
      <c r="Y1551" s="1044"/>
      <c r="Z1551" s="1044"/>
      <c r="AA1551" s="38"/>
      <c r="AB1551" s="35"/>
      <c r="AC1551" s="183"/>
    </row>
    <row r="1552" spans="1:31" x14ac:dyDescent="0.2">
      <c r="A1552" s="1422"/>
      <c r="B1552" s="1433" t="s">
        <v>278</v>
      </c>
      <c r="C1552" s="1119"/>
      <c r="D1552" s="1119">
        <v>3043961</v>
      </c>
      <c r="E1552" s="192" t="s">
        <v>616</v>
      </c>
      <c r="F1552" s="35"/>
      <c r="G1552" s="35"/>
      <c r="H1552" s="35"/>
      <c r="I1552" s="35"/>
      <c r="J1552" s="35"/>
      <c r="K1552" s="60"/>
      <c r="L1552" s="60"/>
      <c r="M1552" s="60"/>
      <c r="N1552" s="60"/>
      <c r="O1552" s="60"/>
      <c r="P1552" s="60"/>
      <c r="Q1552" s="60"/>
      <c r="R1552" s="60"/>
      <c r="S1552" s="60"/>
      <c r="T1552" s="3235" t="s">
        <v>15</v>
      </c>
      <c r="U1552" s="3235"/>
      <c r="V1552" s="3235"/>
      <c r="W1552" s="3235"/>
      <c r="X1552" s="3235"/>
      <c r="Y1552" s="3235"/>
      <c r="Z1552" s="3023" t="s">
        <v>16</v>
      </c>
      <c r="AA1552" s="3338"/>
      <c r="AB1552" s="35"/>
      <c r="AC1552" s="183"/>
    </row>
    <row r="1553" spans="1:30" x14ac:dyDescent="0.2">
      <c r="A1553" s="1422"/>
      <c r="B1553" s="1433"/>
      <c r="C1553" s="1119"/>
      <c r="D1553" s="1119"/>
      <c r="E1553" s="192"/>
      <c r="F1553" s="35"/>
      <c r="G1553" s="35"/>
      <c r="H1553" s="35"/>
      <c r="I1553" s="35"/>
      <c r="J1553" s="35"/>
      <c r="K1553" s="60"/>
      <c r="L1553" s="60"/>
      <c r="M1553" s="60"/>
      <c r="N1553" s="60"/>
      <c r="O1553" s="60"/>
      <c r="P1553" s="60"/>
      <c r="Q1553" s="60"/>
      <c r="R1553" s="60"/>
      <c r="S1553" s="60"/>
      <c r="T1553" s="3233" t="s">
        <v>617</v>
      </c>
      <c r="U1553" s="3233"/>
      <c r="V1553" s="3233"/>
      <c r="W1553" s="3233"/>
      <c r="X1553" s="3233"/>
      <c r="Y1553" s="3233"/>
      <c r="Z1553" s="3019" t="s">
        <v>579</v>
      </c>
      <c r="AA1553" s="3020"/>
      <c r="AB1553" s="35"/>
      <c r="AC1553" s="183"/>
    </row>
    <row r="1554" spans="1:30" x14ac:dyDescent="0.2">
      <c r="A1554" s="1422"/>
      <c r="B1554" s="2999" t="s">
        <v>278</v>
      </c>
      <c r="C1554" s="3015" t="s">
        <v>563</v>
      </c>
      <c r="D1554" s="2847" t="s">
        <v>22</v>
      </c>
      <c r="E1554" s="2847" t="s">
        <v>23</v>
      </c>
      <c r="F1554" s="2847" t="s">
        <v>24</v>
      </c>
      <c r="G1554" s="2847" t="s">
        <v>25</v>
      </c>
      <c r="H1554" s="2847" t="s">
        <v>26</v>
      </c>
      <c r="I1554" s="2847" t="s">
        <v>27</v>
      </c>
      <c r="J1554" s="2847" t="s">
        <v>28</v>
      </c>
      <c r="K1554" s="2847"/>
      <c r="L1554" s="2988" t="s">
        <v>279</v>
      </c>
      <c r="M1554" s="3273" t="s">
        <v>280</v>
      </c>
      <c r="N1554" s="3274"/>
      <c r="O1554" s="2847" t="s">
        <v>281</v>
      </c>
      <c r="P1554" s="2847"/>
      <c r="Q1554" s="2847"/>
      <c r="R1554" s="2847"/>
      <c r="S1554" s="2847"/>
      <c r="T1554" s="2847"/>
      <c r="U1554" s="2847"/>
      <c r="V1554" s="2847"/>
      <c r="W1554" s="2847"/>
      <c r="X1554" s="2847"/>
      <c r="Y1554" s="2847"/>
      <c r="Z1554" s="2847"/>
      <c r="AA1554" s="3358" t="s">
        <v>32</v>
      </c>
      <c r="AB1554" s="1210"/>
      <c r="AC1554" s="1199"/>
      <c r="AD1554" s="1211"/>
    </row>
    <row r="1555" spans="1:30" x14ac:dyDescent="0.2">
      <c r="A1555" s="1422"/>
      <c r="B1555" s="2999"/>
      <c r="C1555" s="3359"/>
      <c r="D1555" s="2847"/>
      <c r="E1555" s="2847"/>
      <c r="F1555" s="2847"/>
      <c r="G1555" s="2847"/>
      <c r="H1555" s="2847"/>
      <c r="I1555" s="2847"/>
      <c r="J1555" s="2847" t="s">
        <v>33</v>
      </c>
      <c r="K1555" s="2847" t="s">
        <v>282</v>
      </c>
      <c r="L1555" s="3186"/>
      <c r="M1555" s="3275"/>
      <c r="N1555" s="3276"/>
      <c r="O1555" s="1017" t="s">
        <v>283</v>
      </c>
      <c r="P1555" s="1017" t="s">
        <v>284</v>
      </c>
      <c r="Q1555" s="1017" t="s">
        <v>285</v>
      </c>
      <c r="R1555" s="1017" t="s">
        <v>88</v>
      </c>
      <c r="S1555" s="1017" t="s">
        <v>89</v>
      </c>
      <c r="T1555" s="1017" t="s">
        <v>90</v>
      </c>
      <c r="U1555" s="1017" t="s">
        <v>91</v>
      </c>
      <c r="V1555" s="1017" t="s">
        <v>92</v>
      </c>
      <c r="W1555" s="1017" t="s">
        <v>286</v>
      </c>
      <c r="X1555" s="1017" t="s">
        <v>93</v>
      </c>
      <c r="Y1555" s="1017" t="s">
        <v>94</v>
      </c>
      <c r="Z1555" s="1017" t="s">
        <v>95</v>
      </c>
      <c r="AA1555" s="3358"/>
      <c r="AB1555" s="1210"/>
      <c r="AC1555" s="1199"/>
      <c r="AD1555" s="1211"/>
    </row>
    <row r="1556" spans="1:30" ht="12.75" x14ac:dyDescent="0.2">
      <c r="A1556" s="1422"/>
      <c r="B1556" s="2999"/>
      <c r="C1556" s="3359"/>
      <c r="D1556" s="2847"/>
      <c r="E1556" s="2847"/>
      <c r="F1556" s="2847"/>
      <c r="G1556" s="2847"/>
      <c r="H1556" s="2847"/>
      <c r="I1556" s="2847"/>
      <c r="J1556" s="2847"/>
      <c r="K1556" s="2847"/>
      <c r="L1556" s="3186"/>
      <c r="M1556" s="3271" t="s">
        <v>287</v>
      </c>
      <c r="N1556" s="3272"/>
      <c r="O1556" s="1095">
        <v>107</v>
      </c>
      <c r="P1556" s="1095">
        <v>107</v>
      </c>
      <c r="Q1556" s="1095">
        <v>108</v>
      </c>
      <c r="R1556" s="1095">
        <v>107</v>
      </c>
      <c r="S1556" s="1095">
        <v>107</v>
      </c>
      <c r="T1556" s="1095">
        <v>103</v>
      </c>
      <c r="U1556" s="1095">
        <v>108</v>
      </c>
      <c r="V1556" s="1095">
        <v>108</v>
      </c>
      <c r="W1556" s="1095">
        <v>108</v>
      </c>
      <c r="X1556" s="1095">
        <v>108</v>
      </c>
      <c r="Y1556" s="1095">
        <v>100</v>
      </c>
      <c r="Z1556" s="1095">
        <v>107</v>
      </c>
      <c r="AA1556" s="1205">
        <f t="shared" ref="AA1556:AA1561" si="270">SUM(O1556:Z1556)</f>
        <v>1278</v>
      </c>
      <c r="AB1556" s="1210"/>
      <c r="AC1556" s="1199"/>
      <c r="AD1556" s="1211"/>
    </row>
    <row r="1557" spans="1:30" ht="12.75" x14ac:dyDescent="0.2">
      <c r="A1557" s="1422"/>
      <c r="B1557" s="2999"/>
      <c r="C1557" s="3016"/>
      <c r="D1557" s="2847"/>
      <c r="E1557" s="2847"/>
      <c r="F1557" s="2847"/>
      <c r="G1557" s="2847"/>
      <c r="H1557" s="2847"/>
      <c r="I1557" s="2847"/>
      <c r="J1557" s="2847"/>
      <c r="K1557" s="2847"/>
      <c r="L1557" s="2989"/>
      <c r="M1557" s="3271" t="s">
        <v>34</v>
      </c>
      <c r="N1557" s="3272"/>
      <c r="O1557" s="36">
        <f>SUM(O1558:O1579)</f>
        <v>87611.833333333328</v>
      </c>
      <c r="P1557" s="36">
        <f t="shared" ref="P1557:Z1557" si="271">SUM(P1558:P1579)</f>
        <v>86901.954545454559</v>
      </c>
      <c r="Q1557" s="36">
        <f t="shared" si="271"/>
        <v>89540.287878787887</v>
      </c>
      <c r="R1557" s="36">
        <f t="shared" si="271"/>
        <v>91665.287878787887</v>
      </c>
      <c r="S1557" s="36">
        <f t="shared" si="271"/>
        <v>84857.287878787887</v>
      </c>
      <c r="T1557" s="36">
        <f t="shared" si="271"/>
        <v>87841.954545454559</v>
      </c>
      <c r="U1557" s="36">
        <f t="shared" si="271"/>
        <v>92444.287878787887</v>
      </c>
      <c r="V1557" s="36">
        <f t="shared" si="271"/>
        <v>95615.287878787887</v>
      </c>
      <c r="W1557" s="36">
        <f t="shared" si="271"/>
        <v>84357.287878787887</v>
      </c>
      <c r="X1557" s="36">
        <f t="shared" si="271"/>
        <v>87841.954545454559</v>
      </c>
      <c r="Y1557" s="36">
        <f t="shared" si="271"/>
        <v>84857.287878787887</v>
      </c>
      <c r="Z1557" s="36">
        <f t="shared" si="271"/>
        <v>92151.287878787887</v>
      </c>
      <c r="AA1557" s="1205">
        <f t="shared" si="270"/>
        <v>1065686</v>
      </c>
      <c r="AB1557" s="1210"/>
      <c r="AC1557" s="1199"/>
      <c r="AD1557" s="1211"/>
    </row>
    <row r="1558" spans="1:30" x14ac:dyDescent="0.2">
      <c r="A1558" s="1422"/>
      <c r="B1558" s="2522">
        <v>5000071</v>
      </c>
      <c r="C1558" s="3190" t="s">
        <v>618</v>
      </c>
      <c r="D1558" s="2421">
        <v>52</v>
      </c>
      <c r="E1558" s="2421" t="s">
        <v>407</v>
      </c>
      <c r="F1558" s="2420" t="s">
        <v>313</v>
      </c>
      <c r="G1558" s="2420" t="s">
        <v>329</v>
      </c>
      <c r="H1558" s="2420"/>
      <c r="I1558" s="2420" t="s">
        <v>573</v>
      </c>
      <c r="J1558" s="2514">
        <v>1278</v>
      </c>
      <c r="K1558" s="40">
        <v>305832</v>
      </c>
      <c r="L1558" s="3294" t="s">
        <v>565</v>
      </c>
      <c r="M1558" s="3287" t="s">
        <v>293</v>
      </c>
      <c r="N1558" s="3288"/>
      <c r="O1558" s="40">
        <f t="shared" ref="O1558:Z1562" si="272">$K1558/12</f>
        <v>25486</v>
      </c>
      <c r="P1558" s="40">
        <f t="shared" si="272"/>
        <v>25486</v>
      </c>
      <c r="Q1558" s="40">
        <f t="shared" si="272"/>
        <v>25486</v>
      </c>
      <c r="R1558" s="40">
        <f t="shared" si="272"/>
        <v>25486</v>
      </c>
      <c r="S1558" s="40">
        <f t="shared" si="272"/>
        <v>25486</v>
      </c>
      <c r="T1558" s="40">
        <f t="shared" si="272"/>
        <v>25486</v>
      </c>
      <c r="U1558" s="40">
        <f t="shared" si="272"/>
        <v>25486</v>
      </c>
      <c r="V1558" s="40">
        <f t="shared" si="272"/>
        <v>25486</v>
      </c>
      <c r="W1558" s="40">
        <f t="shared" si="272"/>
        <v>25486</v>
      </c>
      <c r="X1558" s="40">
        <f t="shared" si="272"/>
        <v>25486</v>
      </c>
      <c r="Y1558" s="40">
        <f t="shared" si="272"/>
        <v>25486</v>
      </c>
      <c r="Z1558" s="40">
        <f t="shared" si="272"/>
        <v>25486</v>
      </c>
      <c r="AA1558" s="966">
        <f>SUM(O1558:Z1558)</f>
        <v>305832</v>
      </c>
      <c r="AB1558" s="1210"/>
      <c r="AC1558" s="1199"/>
      <c r="AD1558" s="1211"/>
    </row>
    <row r="1559" spans="1:30" x14ac:dyDescent="0.2">
      <c r="A1559" s="1422"/>
      <c r="B1559" s="2522"/>
      <c r="C1559" s="3191"/>
      <c r="D1559" s="2421"/>
      <c r="E1559" s="2421"/>
      <c r="F1559" s="2420"/>
      <c r="G1559" s="2420"/>
      <c r="H1559" s="2420"/>
      <c r="I1559" s="2420"/>
      <c r="J1559" s="2515"/>
      <c r="K1559" s="40">
        <v>80604</v>
      </c>
      <c r="L1559" s="3295"/>
      <c r="M1559" s="3287" t="s">
        <v>294</v>
      </c>
      <c r="N1559" s="3288"/>
      <c r="O1559" s="40">
        <f t="shared" si="272"/>
        <v>6717</v>
      </c>
      <c r="P1559" s="40">
        <f t="shared" si="272"/>
        <v>6717</v>
      </c>
      <c r="Q1559" s="40">
        <f t="shared" si="272"/>
        <v>6717</v>
      </c>
      <c r="R1559" s="40">
        <f t="shared" si="272"/>
        <v>6717</v>
      </c>
      <c r="S1559" s="40">
        <f t="shared" si="272"/>
        <v>6717</v>
      </c>
      <c r="T1559" s="40">
        <f t="shared" si="272"/>
        <v>6717</v>
      </c>
      <c r="U1559" s="40">
        <f t="shared" si="272"/>
        <v>6717</v>
      </c>
      <c r="V1559" s="40">
        <f t="shared" si="272"/>
        <v>6717</v>
      </c>
      <c r="W1559" s="40">
        <f t="shared" si="272"/>
        <v>6717</v>
      </c>
      <c r="X1559" s="40">
        <f t="shared" si="272"/>
        <v>6717</v>
      </c>
      <c r="Y1559" s="40">
        <f t="shared" si="272"/>
        <v>6717</v>
      </c>
      <c r="Z1559" s="40">
        <f t="shared" si="272"/>
        <v>6717</v>
      </c>
      <c r="AA1559" s="966">
        <f t="shared" si="270"/>
        <v>80604</v>
      </c>
      <c r="AB1559" s="1210"/>
      <c r="AC1559" s="1199"/>
      <c r="AD1559" s="1211"/>
    </row>
    <row r="1560" spans="1:30" x14ac:dyDescent="0.2">
      <c r="A1560" s="1422"/>
      <c r="B1560" s="2522"/>
      <c r="C1560" s="3191"/>
      <c r="D1560" s="2421"/>
      <c r="E1560" s="2421"/>
      <c r="F1560" s="2420"/>
      <c r="G1560" s="2420"/>
      <c r="H1560" s="2420"/>
      <c r="I1560" s="2420"/>
      <c r="J1560" s="2515"/>
      <c r="K1560" s="40">
        <v>247039</v>
      </c>
      <c r="L1560" s="3295"/>
      <c r="M1560" s="3287" t="s">
        <v>295</v>
      </c>
      <c r="N1560" s="3288"/>
      <c r="O1560" s="40">
        <f t="shared" si="272"/>
        <v>20586.583333333332</v>
      </c>
      <c r="P1560" s="40">
        <f t="shared" si="272"/>
        <v>20586.583333333332</v>
      </c>
      <c r="Q1560" s="40">
        <f t="shared" si="272"/>
        <v>20586.583333333332</v>
      </c>
      <c r="R1560" s="40">
        <f t="shared" si="272"/>
        <v>20586.583333333332</v>
      </c>
      <c r="S1560" s="40">
        <f t="shared" si="272"/>
        <v>20586.583333333332</v>
      </c>
      <c r="T1560" s="40">
        <f t="shared" si="272"/>
        <v>20586.583333333332</v>
      </c>
      <c r="U1560" s="40">
        <f t="shared" si="272"/>
        <v>20586.583333333332</v>
      </c>
      <c r="V1560" s="40">
        <f t="shared" si="272"/>
        <v>20586.583333333332</v>
      </c>
      <c r="W1560" s="40">
        <f t="shared" si="272"/>
        <v>20586.583333333332</v>
      </c>
      <c r="X1560" s="40">
        <f t="shared" si="272"/>
        <v>20586.583333333332</v>
      </c>
      <c r="Y1560" s="40">
        <f t="shared" si="272"/>
        <v>20586.583333333332</v>
      </c>
      <c r="Z1560" s="40">
        <f t="shared" si="272"/>
        <v>20586.583333333332</v>
      </c>
      <c r="AA1560" s="966">
        <f t="shared" si="270"/>
        <v>247039.00000000003</v>
      </c>
      <c r="AB1560" s="1210"/>
      <c r="AC1560" s="1199"/>
      <c r="AD1560" s="1211"/>
    </row>
    <row r="1561" spans="1:30" x14ac:dyDescent="0.2">
      <c r="A1561" s="1422"/>
      <c r="B1561" s="2522"/>
      <c r="C1561" s="3191"/>
      <c r="D1561" s="2421"/>
      <c r="E1561" s="2421"/>
      <c r="F1561" s="2420"/>
      <c r="G1561" s="2420"/>
      <c r="H1561" s="2420"/>
      <c r="I1561" s="2420"/>
      <c r="J1561" s="2515"/>
      <c r="K1561" s="40">
        <v>156649</v>
      </c>
      <c r="L1561" s="3295"/>
      <c r="M1561" s="3287" t="s">
        <v>296</v>
      </c>
      <c r="N1561" s="3288"/>
      <c r="O1561" s="40">
        <f t="shared" si="272"/>
        <v>13054.083333333334</v>
      </c>
      <c r="P1561" s="40">
        <f t="shared" si="272"/>
        <v>13054.083333333334</v>
      </c>
      <c r="Q1561" s="40">
        <f t="shared" si="272"/>
        <v>13054.083333333334</v>
      </c>
      <c r="R1561" s="40">
        <f t="shared" si="272"/>
        <v>13054.083333333334</v>
      </c>
      <c r="S1561" s="40">
        <f t="shared" si="272"/>
        <v>13054.083333333334</v>
      </c>
      <c r="T1561" s="40">
        <f t="shared" si="272"/>
        <v>13054.083333333334</v>
      </c>
      <c r="U1561" s="40">
        <f t="shared" si="272"/>
        <v>13054.083333333334</v>
      </c>
      <c r="V1561" s="40">
        <f t="shared" si="272"/>
        <v>13054.083333333334</v>
      </c>
      <c r="W1561" s="40">
        <f t="shared" si="272"/>
        <v>13054.083333333334</v>
      </c>
      <c r="X1561" s="40">
        <f t="shared" si="272"/>
        <v>13054.083333333334</v>
      </c>
      <c r="Y1561" s="40">
        <f t="shared" si="272"/>
        <v>13054.083333333334</v>
      </c>
      <c r="Z1561" s="40">
        <f t="shared" si="272"/>
        <v>13054.083333333334</v>
      </c>
      <c r="AA1561" s="966">
        <f t="shared" si="270"/>
        <v>156649</v>
      </c>
      <c r="AB1561" s="1210"/>
      <c r="AC1561" s="1199"/>
      <c r="AD1561" s="1211"/>
    </row>
    <row r="1562" spans="1:30" x14ac:dyDescent="0.2">
      <c r="A1562" s="1422"/>
      <c r="B1562" s="2522"/>
      <c r="C1562" s="3191"/>
      <c r="D1562" s="2421"/>
      <c r="E1562" s="2421"/>
      <c r="F1562" s="2420"/>
      <c r="G1562" s="2420"/>
      <c r="H1562" s="2420"/>
      <c r="I1562" s="2420"/>
      <c r="J1562" s="2515"/>
      <c r="K1562" s="40">
        <v>73181</v>
      </c>
      <c r="L1562" s="3295"/>
      <c r="M1562" s="3287" t="s">
        <v>297</v>
      </c>
      <c r="N1562" s="3288"/>
      <c r="O1562" s="40">
        <f t="shared" si="272"/>
        <v>6098.416666666667</v>
      </c>
      <c r="P1562" s="40">
        <f t="shared" si="272"/>
        <v>6098.416666666667</v>
      </c>
      <c r="Q1562" s="40">
        <f t="shared" si="272"/>
        <v>6098.416666666667</v>
      </c>
      <c r="R1562" s="40">
        <f t="shared" si="272"/>
        <v>6098.416666666667</v>
      </c>
      <c r="S1562" s="40">
        <f t="shared" si="272"/>
        <v>6098.416666666667</v>
      </c>
      <c r="T1562" s="40">
        <f t="shared" si="272"/>
        <v>6098.416666666667</v>
      </c>
      <c r="U1562" s="40">
        <f t="shared" si="272"/>
        <v>6098.416666666667</v>
      </c>
      <c r="V1562" s="40">
        <f t="shared" si="272"/>
        <v>6098.416666666667</v>
      </c>
      <c r="W1562" s="40">
        <f t="shared" si="272"/>
        <v>6098.416666666667</v>
      </c>
      <c r="X1562" s="40">
        <f t="shared" si="272"/>
        <v>6098.416666666667</v>
      </c>
      <c r="Y1562" s="40">
        <f t="shared" si="272"/>
        <v>6098.416666666667</v>
      </c>
      <c r="Z1562" s="40">
        <f t="shared" si="272"/>
        <v>6098.416666666667</v>
      </c>
      <c r="AA1562" s="966">
        <f>SUM(O1562:Z1562)</f>
        <v>73181</v>
      </c>
      <c r="AB1562" s="1210"/>
      <c r="AC1562" s="1199"/>
      <c r="AD1562" s="1211"/>
    </row>
    <row r="1563" spans="1:30" x14ac:dyDescent="0.2">
      <c r="A1563" s="1422"/>
      <c r="B1563" s="2522"/>
      <c r="C1563" s="3191"/>
      <c r="D1563" s="2421"/>
      <c r="E1563" s="2421"/>
      <c r="F1563" s="2420"/>
      <c r="G1563" s="2420"/>
      <c r="H1563" s="2420"/>
      <c r="I1563" s="2420"/>
      <c r="J1563" s="2515"/>
      <c r="K1563" s="40">
        <v>12708</v>
      </c>
      <c r="L1563" s="3295"/>
      <c r="M1563" s="3287" t="s">
        <v>298</v>
      </c>
      <c r="N1563" s="3288"/>
      <c r="O1563" s="1044"/>
      <c r="P1563" s="1044"/>
      <c r="Q1563" s="1044"/>
      <c r="R1563" s="1044"/>
      <c r="S1563" s="1044"/>
      <c r="T1563" s="1044"/>
      <c r="U1563" s="40">
        <f>$K1563/2</f>
        <v>6354</v>
      </c>
      <c r="V1563" s="1044"/>
      <c r="W1563" s="1044"/>
      <c r="X1563" s="1044"/>
      <c r="Y1563" s="1044"/>
      <c r="Z1563" s="40">
        <f>$K1563/2</f>
        <v>6354</v>
      </c>
      <c r="AA1563" s="966">
        <f t="shared" ref="AA1563:AA1579" si="273">SUM(O1563:Z1563)</f>
        <v>12708</v>
      </c>
      <c r="AB1563" s="1210"/>
      <c r="AC1563" s="1199"/>
      <c r="AD1563" s="1211"/>
    </row>
    <row r="1564" spans="1:30" x14ac:dyDescent="0.2">
      <c r="A1564" s="1422"/>
      <c r="B1564" s="2522"/>
      <c r="C1564" s="3191"/>
      <c r="D1564" s="2421"/>
      <c r="E1564" s="2421"/>
      <c r="F1564" s="2420"/>
      <c r="G1564" s="2420"/>
      <c r="H1564" s="2420"/>
      <c r="I1564" s="2420"/>
      <c r="J1564" s="2515"/>
      <c r="K1564" s="40">
        <v>8400</v>
      </c>
      <c r="L1564" s="3295"/>
      <c r="M1564" s="3287" t="s">
        <v>299</v>
      </c>
      <c r="N1564" s="3288"/>
      <c r="O1564" s="40">
        <f>$K1564</f>
        <v>8400</v>
      </c>
      <c r="P1564" s="1044"/>
      <c r="Q1564" s="40"/>
      <c r="R1564" s="1044"/>
      <c r="S1564" s="1044"/>
      <c r="T1564" s="1044"/>
      <c r="U1564" s="1044"/>
      <c r="V1564" s="1044"/>
      <c r="W1564" s="1044"/>
      <c r="X1564" s="1044"/>
      <c r="Y1564" s="1044"/>
      <c r="Z1564" s="1044"/>
      <c r="AA1564" s="966">
        <f t="shared" si="273"/>
        <v>8400</v>
      </c>
      <c r="AB1564" s="1210"/>
      <c r="AC1564" s="1199"/>
      <c r="AD1564" s="1211"/>
    </row>
    <row r="1565" spans="1:30" x14ac:dyDescent="0.2">
      <c r="A1565" s="1422"/>
      <c r="B1565" s="2522"/>
      <c r="C1565" s="3191"/>
      <c r="D1565" s="2421"/>
      <c r="E1565" s="2421"/>
      <c r="F1565" s="2420"/>
      <c r="G1565" s="2420"/>
      <c r="H1565" s="2420"/>
      <c r="I1565" s="2420"/>
      <c r="J1565" s="2515"/>
      <c r="K1565" s="40">
        <v>38662</v>
      </c>
      <c r="L1565" s="3295"/>
      <c r="M1565" s="3287" t="s">
        <v>300</v>
      </c>
      <c r="N1565" s="3288"/>
      <c r="O1565" s="40">
        <f t="shared" ref="O1565:Z1566" si="274">$K1565/12</f>
        <v>3221.8333333333335</v>
      </c>
      <c r="P1565" s="40">
        <f t="shared" si="274"/>
        <v>3221.8333333333335</v>
      </c>
      <c r="Q1565" s="40">
        <f t="shared" si="274"/>
        <v>3221.8333333333335</v>
      </c>
      <c r="R1565" s="40">
        <f t="shared" si="274"/>
        <v>3221.8333333333335</v>
      </c>
      <c r="S1565" s="40">
        <f t="shared" si="274"/>
        <v>3221.8333333333335</v>
      </c>
      <c r="T1565" s="40">
        <f t="shared" si="274"/>
        <v>3221.8333333333335</v>
      </c>
      <c r="U1565" s="40">
        <f t="shared" si="274"/>
        <v>3221.8333333333335</v>
      </c>
      <c r="V1565" s="40">
        <f t="shared" si="274"/>
        <v>3221.8333333333335</v>
      </c>
      <c r="W1565" s="40">
        <f t="shared" si="274"/>
        <v>3221.8333333333335</v>
      </c>
      <c r="X1565" s="40">
        <f t="shared" si="274"/>
        <v>3221.8333333333335</v>
      </c>
      <c r="Y1565" s="40">
        <f t="shared" si="274"/>
        <v>3221.8333333333335</v>
      </c>
      <c r="Z1565" s="40">
        <f t="shared" si="274"/>
        <v>3221.8333333333335</v>
      </c>
      <c r="AA1565" s="966">
        <f t="shared" si="273"/>
        <v>38662</v>
      </c>
      <c r="AB1565" s="1210"/>
      <c r="AC1565" s="1199"/>
      <c r="AD1565" s="1211"/>
    </row>
    <row r="1566" spans="1:30" x14ac:dyDescent="0.2">
      <c r="A1566" s="1422"/>
      <c r="B1566" s="2522"/>
      <c r="C1566" s="3191"/>
      <c r="D1566" s="2421"/>
      <c r="E1566" s="2421"/>
      <c r="F1566" s="2420"/>
      <c r="G1566" s="2420"/>
      <c r="H1566" s="2420"/>
      <c r="I1566" s="2420"/>
      <c r="J1566" s="2515"/>
      <c r="K1566" s="40">
        <v>1345</v>
      </c>
      <c r="L1566" s="3295"/>
      <c r="M1566" s="3287" t="s">
        <v>301</v>
      </c>
      <c r="N1566" s="3288"/>
      <c r="O1566" s="40">
        <f t="shared" si="274"/>
        <v>112.08333333333333</v>
      </c>
      <c r="P1566" s="40">
        <f t="shared" si="274"/>
        <v>112.08333333333333</v>
      </c>
      <c r="Q1566" s="40">
        <f t="shared" si="274"/>
        <v>112.08333333333333</v>
      </c>
      <c r="R1566" s="40">
        <f t="shared" si="274"/>
        <v>112.08333333333333</v>
      </c>
      <c r="S1566" s="40">
        <f t="shared" si="274"/>
        <v>112.08333333333333</v>
      </c>
      <c r="T1566" s="40">
        <f t="shared" si="274"/>
        <v>112.08333333333333</v>
      </c>
      <c r="U1566" s="40">
        <f t="shared" si="274"/>
        <v>112.08333333333333</v>
      </c>
      <c r="V1566" s="40">
        <f t="shared" si="274"/>
        <v>112.08333333333333</v>
      </c>
      <c r="W1566" s="40">
        <f t="shared" si="274"/>
        <v>112.08333333333333</v>
      </c>
      <c r="X1566" s="40">
        <f t="shared" si="274"/>
        <v>112.08333333333333</v>
      </c>
      <c r="Y1566" s="40">
        <f t="shared" si="274"/>
        <v>112.08333333333333</v>
      </c>
      <c r="Z1566" s="40">
        <f t="shared" si="274"/>
        <v>112.08333333333333</v>
      </c>
      <c r="AA1566" s="966">
        <f t="shared" si="273"/>
        <v>1345</v>
      </c>
      <c r="AB1566" s="1210"/>
      <c r="AC1566" s="1199"/>
      <c r="AD1566" s="1211"/>
    </row>
    <row r="1567" spans="1:30" x14ac:dyDescent="0.2">
      <c r="A1567" s="1422"/>
      <c r="B1567" s="2522"/>
      <c r="C1567" s="3191"/>
      <c r="D1567" s="2421"/>
      <c r="E1567" s="2421"/>
      <c r="F1567" s="2420"/>
      <c r="G1567" s="2420"/>
      <c r="H1567" s="2420"/>
      <c r="I1567" s="2420"/>
      <c r="J1567" s="2515"/>
      <c r="K1567" s="40">
        <v>3500</v>
      </c>
      <c r="L1567" s="3295"/>
      <c r="M1567" s="3287" t="s">
        <v>340</v>
      </c>
      <c r="N1567" s="3288"/>
      <c r="O1567" s="95"/>
      <c r="P1567" s="95">
        <f>$K1567/11</f>
        <v>318.18181818181819</v>
      </c>
      <c r="Q1567" s="95">
        <f t="shared" ref="Q1567:Z1567" si="275">$K1567/11</f>
        <v>318.18181818181819</v>
      </c>
      <c r="R1567" s="95">
        <f t="shared" si="275"/>
        <v>318.18181818181819</v>
      </c>
      <c r="S1567" s="95">
        <f t="shared" si="275"/>
        <v>318.18181818181819</v>
      </c>
      <c r="T1567" s="95">
        <f t="shared" si="275"/>
        <v>318.18181818181819</v>
      </c>
      <c r="U1567" s="95">
        <f t="shared" si="275"/>
        <v>318.18181818181819</v>
      </c>
      <c r="V1567" s="95">
        <f t="shared" si="275"/>
        <v>318.18181818181819</v>
      </c>
      <c r="W1567" s="95">
        <f t="shared" si="275"/>
        <v>318.18181818181819</v>
      </c>
      <c r="X1567" s="95">
        <f t="shared" si="275"/>
        <v>318.18181818181819</v>
      </c>
      <c r="Y1567" s="95">
        <f t="shared" si="275"/>
        <v>318.18181818181819</v>
      </c>
      <c r="Z1567" s="95">
        <f t="shared" si="275"/>
        <v>318.18181818181819</v>
      </c>
      <c r="AA1567" s="966">
        <f t="shared" si="273"/>
        <v>3499.9999999999995</v>
      </c>
      <c r="AB1567" s="1210"/>
      <c r="AC1567" s="1199"/>
      <c r="AD1567" s="1211"/>
    </row>
    <row r="1568" spans="1:30" x14ac:dyDescent="0.2">
      <c r="A1568" s="1422"/>
      <c r="B1568" s="2522"/>
      <c r="C1568" s="3191"/>
      <c r="D1568" s="2421"/>
      <c r="E1568" s="2421"/>
      <c r="F1568" s="2420"/>
      <c r="G1568" s="2420"/>
      <c r="H1568" s="2420"/>
      <c r="I1568" s="2420"/>
      <c r="J1568" s="2515"/>
      <c r="K1568" s="40">
        <v>6900</v>
      </c>
      <c r="L1568" s="3295"/>
      <c r="M1568" s="3287" t="s">
        <v>303</v>
      </c>
      <c r="N1568" s="3288"/>
      <c r="O1568" s="1044"/>
      <c r="P1568" s="1044"/>
      <c r="Q1568" s="40">
        <f>$K1568/2</f>
        <v>3450</v>
      </c>
      <c r="R1568" s="1044"/>
      <c r="S1568" s="1044"/>
      <c r="T1568" s="1044"/>
      <c r="U1568" s="1044"/>
      <c r="V1568" s="40">
        <f>$K1568/2</f>
        <v>3450</v>
      </c>
      <c r="W1568" s="1044"/>
      <c r="X1568" s="1044"/>
      <c r="Y1568" s="1044"/>
      <c r="Z1568" s="1044"/>
      <c r="AA1568" s="966">
        <f t="shared" si="273"/>
        <v>6900</v>
      </c>
      <c r="AB1568" s="1210"/>
      <c r="AC1568" s="1199"/>
      <c r="AD1568" s="1211"/>
    </row>
    <row r="1569" spans="1:30" x14ac:dyDescent="0.2">
      <c r="A1569" s="1422"/>
      <c r="B1569" s="2522"/>
      <c r="C1569" s="3191"/>
      <c r="D1569" s="2421"/>
      <c r="E1569" s="2421"/>
      <c r="F1569" s="2420"/>
      <c r="G1569" s="2420"/>
      <c r="H1569" s="2420"/>
      <c r="I1569" s="2420"/>
      <c r="J1569" s="2515"/>
      <c r="K1569" s="40">
        <v>6134</v>
      </c>
      <c r="L1569" s="3295"/>
      <c r="M1569" s="3287" t="s">
        <v>324</v>
      </c>
      <c r="N1569" s="3288"/>
      <c r="O1569" s="1044"/>
      <c r="P1569" s="40">
        <f>$K1569/3</f>
        <v>2044.6666666666667</v>
      </c>
      <c r="Q1569" s="1044"/>
      <c r="R1569" s="1044"/>
      <c r="S1569" s="1044"/>
      <c r="T1569" s="40">
        <f>$K1569/3</f>
        <v>2044.6666666666667</v>
      </c>
      <c r="U1569" s="1044"/>
      <c r="V1569" s="1044"/>
      <c r="W1569" s="1044"/>
      <c r="X1569" s="40">
        <f>$K1569/3</f>
        <v>2044.6666666666667</v>
      </c>
      <c r="Y1569" s="1044"/>
      <c r="Z1569" s="1044"/>
      <c r="AA1569" s="966">
        <f t="shared" si="273"/>
        <v>6134</v>
      </c>
      <c r="AB1569" s="1210"/>
      <c r="AC1569" s="1199"/>
      <c r="AD1569" s="1211"/>
    </row>
    <row r="1570" spans="1:30" x14ac:dyDescent="0.2">
      <c r="A1570" s="1422"/>
      <c r="B1570" s="2522"/>
      <c r="C1570" s="3191"/>
      <c r="D1570" s="2421"/>
      <c r="E1570" s="2421"/>
      <c r="F1570" s="2420"/>
      <c r="G1570" s="2420"/>
      <c r="H1570" s="2420"/>
      <c r="I1570" s="2420"/>
      <c r="J1570" s="2515"/>
      <c r="K1570" s="40">
        <v>1500</v>
      </c>
      <c r="L1570" s="3295"/>
      <c r="M1570" s="3287" t="s">
        <v>393</v>
      </c>
      <c r="N1570" s="3288"/>
      <c r="O1570" s="1044"/>
      <c r="P1570" s="1044"/>
      <c r="Q1570" s="1044"/>
      <c r="R1570" s="40">
        <f>$K1570/2</f>
        <v>750</v>
      </c>
      <c r="S1570" s="1044"/>
      <c r="T1570" s="1044"/>
      <c r="U1570" s="1044"/>
      <c r="V1570" s="40">
        <f>$K1570/2</f>
        <v>750</v>
      </c>
      <c r="W1570" s="1044"/>
      <c r="X1570" s="1044"/>
      <c r="Y1570" s="1044"/>
      <c r="Z1570" s="1044"/>
      <c r="AA1570" s="966">
        <f t="shared" si="273"/>
        <v>1500</v>
      </c>
      <c r="AB1570" s="1210"/>
      <c r="AC1570" s="1199"/>
      <c r="AD1570" s="1211"/>
    </row>
    <row r="1571" spans="1:30" x14ac:dyDescent="0.2">
      <c r="A1571" s="1422"/>
      <c r="B1571" s="2522"/>
      <c r="C1571" s="3191"/>
      <c r="D1571" s="2421"/>
      <c r="E1571" s="2421"/>
      <c r="F1571" s="2420"/>
      <c r="G1571" s="2420"/>
      <c r="H1571" s="2420"/>
      <c r="I1571" s="2420"/>
      <c r="J1571" s="2515"/>
      <c r="K1571" s="40">
        <v>10236</v>
      </c>
      <c r="L1571" s="3295"/>
      <c r="M1571" s="3287" t="s">
        <v>343</v>
      </c>
      <c r="N1571" s="3288"/>
      <c r="O1571" s="1044"/>
      <c r="P1571" s="1044"/>
      <c r="Q1571" s="94"/>
      <c r="R1571" s="1044">
        <f>$K1571/2</f>
        <v>5118</v>
      </c>
      <c r="S1571" s="94"/>
      <c r="T1571" s="94"/>
      <c r="U1571" s="94"/>
      <c r="V1571" s="1044">
        <f>$K1571/2</f>
        <v>5118</v>
      </c>
      <c r="W1571" s="94"/>
      <c r="X1571" s="94"/>
      <c r="Y1571" s="94"/>
      <c r="Z1571" s="94"/>
      <c r="AA1571" s="966">
        <f t="shared" si="273"/>
        <v>10236</v>
      </c>
      <c r="AB1571" s="1210"/>
      <c r="AC1571" s="1199"/>
      <c r="AD1571" s="1211"/>
    </row>
    <row r="1572" spans="1:30" x14ac:dyDescent="0.2">
      <c r="A1572" s="1422"/>
      <c r="B1572" s="2522"/>
      <c r="C1572" s="3191"/>
      <c r="D1572" s="2421"/>
      <c r="E1572" s="2421"/>
      <c r="F1572" s="2420"/>
      <c r="G1572" s="2420"/>
      <c r="H1572" s="2420"/>
      <c r="I1572" s="2420"/>
      <c r="J1572" s="2515"/>
      <c r="K1572" s="40">
        <v>3466</v>
      </c>
      <c r="L1572" s="3295"/>
      <c r="M1572" s="3287" t="s">
        <v>304</v>
      </c>
      <c r="N1572" s="3288"/>
      <c r="O1572" s="1044"/>
      <c r="P1572" s="1044"/>
      <c r="Q1572" s="40">
        <f>$K1572/2</f>
        <v>1733</v>
      </c>
      <c r="R1572" s="1044"/>
      <c r="S1572" s="1044"/>
      <c r="T1572" s="1044"/>
      <c r="U1572" s="40">
        <f>$K1572/2</f>
        <v>1733</v>
      </c>
      <c r="V1572" s="40"/>
      <c r="W1572" s="1044"/>
      <c r="X1572" s="1044"/>
      <c r="Y1572" s="1044"/>
      <c r="Z1572" s="1044"/>
      <c r="AA1572" s="966">
        <f t="shared" si="273"/>
        <v>3466</v>
      </c>
      <c r="AB1572" s="1210"/>
      <c r="AC1572" s="1199"/>
      <c r="AD1572" s="1211"/>
    </row>
    <row r="1573" spans="1:30" x14ac:dyDescent="0.2">
      <c r="A1573" s="1422"/>
      <c r="B1573" s="2522"/>
      <c r="C1573" s="3191"/>
      <c r="D1573" s="2421"/>
      <c r="E1573" s="2421"/>
      <c r="F1573" s="2420"/>
      <c r="G1573" s="2420"/>
      <c r="H1573" s="2420"/>
      <c r="I1573" s="2420"/>
      <c r="J1573" s="2515"/>
      <c r="K1573" s="40">
        <v>2000</v>
      </c>
      <c r="L1573" s="3295"/>
      <c r="M1573" s="3287" t="s">
        <v>305</v>
      </c>
      <c r="N1573" s="3288"/>
      <c r="O1573" s="1044"/>
      <c r="P1573" s="1044">
        <f>$K1573/4</f>
        <v>500</v>
      </c>
      <c r="Q1573" s="1044"/>
      <c r="R1573" s="1044"/>
      <c r="S1573" s="1044">
        <f>$K1573/4</f>
        <v>500</v>
      </c>
      <c r="T1573" s="1044"/>
      <c r="U1573" s="1044"/>
      <c r="V1573" s="1044">
        <f>$K1573/4</f>
        <v>500</v>
      </c>
      <c r="W1573" s="1044"/>
      <c r="X1573" s="1044"/>
      <c r="Y1573" s="1044">
        <f>$K1573/4</f>
        <v>500</v>
      </c>
      <c r="Z1573" s="1044"/>
      <c r="AA1573" s="966">
        <f>SUM(O1573:Z1573)</f>
        <v>2000</v>
      </c>
      <c r="AB1573" s="1210"/>
      <c r="AC1573" s="1199"/>
      <c r="AD1573" s="1211"/>
    </row>
    <row r="1574" spans="1:30" x14ac:dyDescent="0.2">
      <c r="A1574" s="1422"/>
      <c r="B1574" s="2522"/>
      <c r="C1574" s="3191"/>
      <c r="D1574" s="2421"/>
      <c r="E1574" s="2421"/>
      <c r="F1574" s="2420"/>
      <c r="G1574" s="2420"/>
      <c r="H1574" s="2420"/>
      <c r="I1574" s="2420"/>
      <c r="J1574" s="2515"/>
      <c r="K1574" s="40">
        <v>3000</v>
      </c>
      <c r="L1574" s="3295"/>
      <c r="M1574" s="3287" t="s">
        <v>306</v>
      </c>
      <c r="N1574" s="3288"/>
      <c r="O1574" s="1044"/>
      <c r="P1574" s="93">
        <f>$K1574/11</f>
        <v>272.72727272727275</v>
      </c>
      <c r="Q1574" s="93">
        <f t="shared" ref="Q1574:Z1575" si="276">$K1574/11</f>
        <v>272.72727272727275</v>
      </c>
      <c r="R1574" s="93">
        <f t="shared" si="276"/>
        <v>272.72727272727275</v>
      </c>
      <c r="S1574" s="93">
        <f t="shared" si="276"/>
        <v>272.72727272727275</v>
      </c>
      <c r="T1574" s="93">
        <f t="shared" si="276"/>
        <v>272.72727272727275</v>
      </c>
      <c r="U1574" s="93">
        <f t="shared" si="276"/>
        <v>272.72727272727275</v>
      </c>
      <c r="V1574" s="93">
        <f t="shared" si="276"/>
        <v>272.72727272727275</v>
      </c>
      <c r="W1574" s="93">
        <f t="shared" si="276"/>
        <v>272.72727272727275</v>
      </c>
      <c r="X1574" s="93">
        <f t="shared" si="276"/>
        <v>272.72727272727275</v>
      </c>
      <c r="Y1574" s="93">
        <f t="shared" si="276"/>
        <v>272.72727272727275</v>
      </c>
      <c r="Z1574" s="93">
        <f t="shared" si="276"/>
        <v>272.72727272727275</v>
      </c>
      <c r="AA1574" s="966">
        <f t="shared" si="273"/>
        <v>3000.0000000000009</v>
      </c>
      <c r="AB1574" s="1210"/>
      <c r="AC1574" s="1199"/>
      <c r="AD1574" s="1211"/>
    </row>
    <row r="1575" spans="1:30" x14ac:dyDescent="0.2">
      <c r="A1575" s="1422"/>
      <c r="B1575" s="2522"/>
      <c r="C1575" s="3191"/>
      <c r="D1575" s="2421"/>
      <c r="E1575" s="2421"/>
      <c r="F1575" s="2420"/>
      <c r="G1575" s="2420"/>
      <c r="H1575" s="2420"/>
      <c r="I1575" s="2420"/>
      <c r="J1575" s="2515"/>
      <c r="K1575" s="40">
        <v>41700</v>
      </c>
      <c r="L1575" s="3295"/>
      <c r="M1575" s="3287" t="s">
        <v>307</v>
      </c>
      <c r="N1575" s="3288"/>
      <c r="O1575" s="1044"/>
      <c r="P1575" s="94">
        <f>$K1575/11</f>
        <v>3790.909090909091</v>
      </c>
      <c r="Q1575" s="94">
        <f t="shared" si="276"/>
        <v>3790.909090909091</v>
      </c>
      <c r="R1575" s="94">
        <f t="shared" si="276"/>
        <v>3790.909090909091</v>
      </c>
      <c r="S1575" s="94">
        <f t="shared" si="276"/>
        <v>3790.909090909091</v>
      </c>
      <c r="T1575" s="94">
        <f t="shared" si="276"/>
        <v>3790.909090909091</v>
      </c>
      <c r="U1575" s="94">
        <f t="shared" si="276"/>
        <v>3790.909090909091</v>
      </c>
      <c r="V1575" s="94">
        <f t="shared" si="276"/>
        <v>3790.909090909091</v>
      </c>
      <c r="W1575" s="94">
        <f t="shared" si="276"/>
        <v>3790.909090909091</v>
      </c>
      <c r="X1575" s="94">
        <f t="shared" si="276"/>
        <v>3790.909090909091</v>
      </c>
      <c r="Y1575" s="94">
        <f t="shared" si="276"/>
        <v>3790.909090909091</v>
      </c>
      <c r="Z1575" s="94">
        <f t="shared" si="276"/>
        <v>3790.909090909091</v>
      </c>
      <c r="AA1575" s="966">
        <f t="shared" si="273"/>
        <v>41700</v>
      </c>
      <c r="AB1575" s="1210"/>
      <c r="AC1575" s="1199"/>
      <c r="AD1575" s="1211"/>
    </row>
    <row r="1576" spans="1:30" x14ac:dyDescent="0.2">
      <c r="A1576" s="1422"/>
      <c r="B1576" s="2522"/>
      <c r="C1576" s="3191"/>
      <c r="D1576" s="2421"/>
      <c r="E1576" s="2421"/>
      <c r="F1576" s="2420"/>
      <c r="G1576" s="2420"/>
      <c r="H1576" s="2420"/>
      <c r="I1576" s="2420"/>
      <c r="J1576" s="2515"/>
      <c r="K1576" s="40">
        <v>7200</v>
      </c>
      <c r="L1576" s="3295"/>
      <c r="M1576" s="3287" t="s">
        <v>309</v>
      </c>
      <c r="N1576" s="3288"/>
      <c r="O1576" s="1044"/>
      <c r="P1576" s="1044"/>
      <c r="Q1576" s="1044"/>
      <c r="R1576" s="40">
        <f>$K1576/5</f>
        <v>1440</v>
      </c>
      <c r="S1576" s="40"/>
      <c r="T1576" s="40">
        <f>$K1576/5</f>
        <v>1440</v>
      </c>
      <c r="U1576" s="1044"/>
      <c r="V1576" s="40">
        <f>$K1576/5</f>
        <v>1440</v>
      </c>
      <c r="W1576" s="1044"/>
      <c r="X1576" s="40">
        <f>$K1576/5</f>
        <v>1440</v>
      </c>
      <c r="Y1576" s="1044"/>
      <c r="Z1576" s="40">
        <f>$K1576/5</f>
        <v>1440</v>
      </c>
      <c r="AA1576" s="966">
        <f t="shared" si="273"/>
        <v>7200</v>
      </c>
      <c r="AB1576" s="1210"/>
      <c r="AC1576" s="1199"/>
      <c r="AD1576" s="1211"/>
    </row>
    <row r="1577" spans="1:30" x14ac:dyDescent="0.2">
      <c r="A1577" s="1422"/>
      <c r="B1577" s="2522"/>
      <c r="C1577" s="3191"/>
      <c r="D1577" s="2421"/>
      <c r="E1577" s="2421"/>
      <c r="F1577" s="2420"/>
      <c r="G1577" s="2420"/>
      <c r="H1577" s="2420"/>
      <c r="I1577" s="2420"/>
      <c r="J1577" s="2515"/>
      <c r="K1577" s="40">
        <v>8400</v>
      </c>
      <c r="L1577" s="3295"/>
      <c r="M1577" s="3287" t="s">
        <v>358</v>
      </c>
      <c r="N1577" s="3288"/>
      <c r="O1577" s="95"/>
      <c r="P1577" s="95">
        <f>$K1577/11</f>
        <v>763.63636363636363</v>
      </c>
      <c r="Q1577" s="95">
        <f t="shared" ref="Q1577:Z1577" si="277">$K1577/11</f>
        <v>763.63636363636363</v>
      </c>
      <c r="R1577" s="95">
        <f t="shared" si="277"/>
        <v>763.63636363636363</v>
      </c>
      <c r="S1577" s="95">
        <f t="shared" si="277"/>
        <v>763.63636363636363</v>
      </c>
      <c r="T1577" s="95">
        <f t="shared" si="277"/>
        <v>763.63636363636363</v>
      </c>
      <c r="U1577" s="95">
        <f t="shared" si="277"/>
        <v>763.63636363636363</v>
      </c>
      <c r="V1577" s="95">
        <f t="shared" si="277"/>
        <v>763.63636363636363</v>
      </c>
      <c r="W1577" s="95">
        <f t="shared" si="277"/>
        <v>763.63636363636363</v>
      </c>
      <c r="X1577" s="95">
        <f t="shared" si="277"/>
        <v>763.63636363636363</v>
      </c>
      <c r="Y1577" s="95">
        <f t="shared" si="277"/>
        <v>763.63636363636363</v>
      </c>
      <c r="Z1577" s="95">
        <f t="shared" si="277"/>
        <v>763.63636363636363</v>
      </c>
      <c r="AA1577" s="966">
        <f t="shared" si="273"/>
        <v>8400.0000000000018</v>
      </c>
      <c r="AB1577" s="1210"/>
      <c r="AC1577" s="1199"/>
      <c r="AD1577" s="1211"/>
    </row>
    <row r="1578" spans="1:30" x14ac:dyDescent="0.2">
      <c r="A1578" s="1422"/>
      <c r="B1578" s="2522"/>
      <c r="C1578" s="3191"/>
      <c r="D1578" s="2421"/>
      <c r="E1578" s="2421"/>
      <c r="F1578" s="2420"/>
      <c r="G1578" s="2420"/>
      <c r="H1578" s="2420"/>
      <c r="I1578" s="2420"/>
      <c r="J1578" s="2515"/>
      <c r="K1578" s="40">
        <v>43958</v>
      </c>
      <c r="L1578" s="3295"/>
      <c r="M1578" s="3287" t="s">
        <v>310</v>
      </c>
      <c r="N1578" s="3288"/>
      <c r="O1578" s="40">
        <f t="shared" ref="O1578:Z1579" si="278">$K1578/12</f>
        <v>3663.1666666666665</v>
      </c>
      <c r="P1578" s="40">
        <f t="shared" si="278"/>
        <v>3663.1666666666665</v>
      </c>
      <c r="Q1578" s="40">
        <f t="shared" si="278"/>
        <v>3663.1666666666665</v>
      </c>
      <c r="R1578" s="40">
        <f t="shared" si="278"/>
        <v>3663.1666666666665</v>
      </c>
      <c r="S1578" s="40">
        <f t="shared" si="278"/>
        <v>3663.1666666666665</v>
      </c>
      <c r="T1578" s="40">
        <f t="shared" si="278"/>
        <v>3663.1666666666665</v>
      </c>
      <c r="U1578" s="40">
        <f t="shared" si="278"/>
        <v>3663.1666666666665</v>
      </c>
      <c r="V1578" s="40">
        <f t="shared" si="278"/>
        <v>3663.1666666666665</v>
      </c>
      <c r="W1578" s="40">
        <f t="shared" si="278"/>
        <v>3663.1666666666665</v>
      </c>
      <c r="X1578" s="40">
        <f t="shared" si="278"/>
        <v>3663.1666666666665</v>
      </c>
      <c r="Y1578" s="40">
        <f t="shared" si="278"/>
        <v>3663.1666666666665</v>
      </c>
      <c r="Z1578" s="40">
        <f t="shared" si="278"/>
        <v>3663.1666666666665</v>
      </c>
      <c r="AA1578" s="966">
        <f t="shared" si="273"/>
        <v>43957.999999999993</v>
      </c>
      <c r="AB1578" s="1210"/>
      <c r="AC1578" s="1199"/>
      <c r="AD1578" s="1211"/>
    </row>
    <row r="1579" spans="1:30" x14ac:dyDescent="0.2">
      <c r="A1579" s="1422"/>
      <c r="B1579" s="2522"/>
      <c r="C1579" s="2439"/>
      <c r="D1579" s="2421"/>
      <c r="E1579" s="2421"/>
      <c r="F1579" s="2420"/>
      <c r="G1579" s="2420"/>
      <c r="H1579" s="2420"/>
      <c r="I1579" s="2420"/>
      <c r="J1579" s="2516"/>
      <c r="K1579" s="40">
        <v>3272</v>
      </c>
      <c r="L1579" s="3296"/>
      <c r="M1579" s="3287" t="s">
        <v>311</v>
      </c>
      <c r="N1579" s="3288"/>
      <c r="O1579" s="40">
        <f t="shared" si="278"/>
        <v>272.66666666666669</v>
      </c>
      <c r="P1579" s="40">
        <f t="shared" si="278"/>
        <v>272.66666666666669</v>
      </c>
      <c r="Q1579" s="40">
        <f t="shared" si="278"/>
        <v>272.66666666666669</v>
      </c>
      <c r="R1579" s="40">
        <f t="shared" si="278"/>
        <v>272.66666666666669</v>
      </c>
      <c r="S1579" s="40">
        <f t="shared" si="278"/>
        <v>272.66666666666669</v>
      </c>
      <c r="T1579" s="40">
        <f t="shared" si="278"/>
        <v>272.66666666666669</v>
      </c>
      <c r="U1579" s="40">
        <f t="shared" si="278"/>
        <v>272.66666666666669</v>
      </c>
      <c r="V1579" s="40">
        <f t="shared" si="278"/>
        <v>272.66666666666669</v>
      </c>
      <c r="W1579" s="40">
        <f t="shared" si="278"/>
        <v>272.66666666666669</v>
      </c>
      <c r="X1579" s="40">
        <f t="shared" si="278"/>
        <v>272.66666666666669</v>
      </c>
      <c r="Y1579" s="40">
        <f t="shared" si="278"/>
        <v>272.66666666666669</v>
      </c>
      <c r="Z1579" s="40">
        <f t="shared" si="278"/>
        <v>272.66666666666669</v>
      </c>
      <c r="AA1579" s="966">
        <f t="shared" si="273"/>
        <v>3271.9999999999995</v>
      </c>
      <c r="AB1579" s="1210"/>
      <c r="AC1579" s="1199"/>
      <c r="AD1579" s="1211"/>
    </row>
    <row r="1580" spans="1:30" x14ac:dyDescent="0.2">
      <c r="A1580" s="1422"/>
      <c r="B1580" s="1427" t="s">
        <v>312</v>
      </c>
      <c r="C1580" s="1128"/>
      <c r="D1580" s="38"/>
      <c r="E1580" s="38"/>
      <c r="F1580" s="38"/>
      <c r="G1580" s="38"/>
      <c r="H1580" s="38"/>
      <c r="I1580" s="38"/>
      <c r="J1580" s="38"/>
      <c r="K1580" s="40">
        <f>SUM(K1558:K1579)</f>
        <v>1065686</v>
      </c>
      <c r="L1580" s="38"/>
      <c r="M1580" s="38"/>
      <c r="N1580" s="38"/>
      <c r="O1580" s="1044"/>
      <c r="P1580" s="1044"/>
      <c r="Q1580" s="1044"/>
      <c r="R1580" s="1044"/>
      <c r="S1580" s="1044"/>
      <c r="T1580" s="1044"/>
      <c r="U1580" s="1044"/>
      <c r="V1580" s="1044"/>
      <c r="W1580" s="1044"/>
      <c r="X1580" s="1044"/>
      <c r="Y1580" s="1044"/>
      <c r="Z1580" s="1044"/>
      <c r="AA1580" s="1209"/>
      <c r="AB1580" s="1210"/>
      <c r="AC1580" s="1199"/>
      <c r="AD1580" s="1211"/>
    </row>
    <row r="1581" spans="1:30" x14ac:dyDescent="0.2">
      <c r="A1581" s="1422"/>
      <c r="B1581" s="1433" t="s">
        <v>278</v>
      </c>
      <c r="C1581" s="1119"/>
      <c r="D1581" s="1119">
        <v>3043968</v>
      </c>
      <c r="E1581" s="192" t="s">
        <v>619</v>
      </c>
      <c r="F1581" s="35"/>
      <c r="G1581" s="35"/>
      <c r="H1581" s="35"/>
      <c r="I1581" s="35"/>
      <c r="J1581" s="35"/>
      <c r="K1581" s="60"/>
      <c r="L1581" s="60"/>
      <c r="M1581" s="60"/>
      <c r="N1581" s="60"/>
      <c r="O1581" s="60"/>
      <c r="P1581" s="60"/>
      <c r="Q1581" s="60"/>
      <c r="R1581" s="60"/>
      <c r="S1581" s="60"/>
      <c r="T1581" s="3235" t="s">
        <v>15</v>
      </c>
      <c r="U1581" s="3235"/>
      <c r="V1581" s="3235"/>
      <c r="W1581" s="3235"/>
      <c r="X1581" s="3235"/>
      <c r="Y1581" s="3235"/>
      <c r="Z1581" s="3023" t="s">
        <v>16</v>
      </c>
      <c r="AA1581" s="3338"/>
      <c r="AB1581" s="35"/>
      <c r="AC1581" s="183"/>
    </row>
    <row r="1582" spans="1:30" ht="14.25" customHeight="1" x14ac:dyDescent="0.2">
      <c r="A1582" s="1422"/>
      <c r="B1582" s="1433"/>
      <c r="C1582" s="1119"/>
      <c r="D1582" s="1119"/>
      <c r="E1582" s="192"/>
      <c r="F1582" s="35"/>
      <c r="G1582" s="35"/>
      <c r="H1582" s="35"/>
      <c r="I1582" s="35"/>
      <c r="J1582" s="35"/>
      <c r="K1582" s="60"/>
      <c r="L1582" s="60"/>
      <c r="M1582" s="60"/>
      <c r="N1582" s="60"/>
      <c r="O1582" s="60"/>
      <c r="P1582" s="60"/>
      <c r="Q1582" s="60"/>
      <c r="R1582" s="60"/>
      <c r="S1582" s="60"/>
      <c r="T1582" s="3233" t="s">
        <v>620</v>
      </c>
      <c r="U1582" s="3233"/>
      <c r="V1582" s="3233"/>
      <c r="W1582" s="3233"/>
      <c r="X1582" s="3233"/>
      <c r="Y1582" s="3233"/>
      <c r="Z1582" s="3019" t="s">
        <v>569</v>
      </c>
      <c r="AA1582" s="3020"/>
      <c r="AB1582" s="35"/>
      <c r="AC1582" s="183"/>
    </row>
    <row r="1583" spans="1:30" x14ac:dyDescent="0.2">
      <c r="A1583" s="1422"/>
      <c r="B1583" s="2999" t="s">
        <v>278</v>
      </c>
      <c r="C1583" s="3015" t="s">
        <v>563</v>
      </c>
      <c r="D1583" s="2847" t="s">
        <v>22</v>
      </c>
      <c r="E1583" s="2847" t="s">
        <v>23</v>
      </c>
      <c r="F1583" s="2847" t="s">
        <v>24</v>
      </c>
      <c r="G1583" s="2847" t="s">
        <v>25</v>
      </c>
      <c r="H1583" s="2847" t="s">
        <v>26</v>
      </c>
      <c r="I1583" s="2847" t="s">
        <v>27</v>
      </c>
      <c r="J1583" s="2847" t="s">
        <v>28</v>
      </c>
      <c r="K1583" s="2847"/>
      <c r="L1583" s="2988" t="s">
        <v>279</v>
      </c>
      <c r="M1583" s="3273" t="s">
        <v>280</v>
      </c>
      <c r="N1583" s="3274"/>
      <c r="O1583" s="2847" t="s">
        <v>281</v>
      </c>
      <c r="P1583" s="2847"/>
      <c r="Q1583" s="2847"/>
      <c r="R1583" s="2847"/>
      <c r="S1583" s="2847"/>
      <c r="T1583" s="2847"/>
      <c r="U1583" s="2847"/>
      <c r="V1583" s="2847"/>
      <c r="W1583" s="2847"/>
      <c r="X1583" s="2847"/>
      <c r="Y1583" s="2847"/>
      <c r="Z1583" s="2847"/>
      <c r="AA1583" s="2847" t="s">
        <v>32</v>
      </c>
      <c r="AB1583" s="35"/>
      <c r="AC1583" s="183"/>
    </row>
    <row r="1584" spans="1:30" x14ac:dyDescent="0.2">
      <c r="A1584" s="1422"/>
      <c r="B1584" s="2999"/>
      <c r="C1584" s="3359"/>
      <c r="D1584" s="2847"/>
      <c r="E1584" s="2847"/>
      <c r="F1584" s="2847"/>
      <c r="G1584" s="2847"/>
      <c r="H1584" s="2847"/>
      <c r="I1584" s="2847"/>
      <c r="J1584" s="2847" t="s">
        <v>33</v>
      </c>
      <c r="K1584" s="2847" t="s">
        <v>282</v>
      </c>
      <c r="L1584" s="3186"/>
      <c r="M1584" s="3275"/>
      <c r="N1584" s="3276"/>
      <c r="O1584" s="1017" t="s">
        <v>283</v>
      </c>
      <c r="P1584" s="1017" t="s">
        <v>284</v>
      </c>
      <c r="Q1584" s="1017" t="s">
        <v>285</v>
      </c>
      <c r="R1584" s="1017" t="s">
        <v>88</v>
      </c>
      <c r="S1584" s="1017" t="s">
        <v>89</v>
      </c>
      <c r="T1584" s="1017" t="s">
        <v>90</v>
      </c>
      <c r="U1584" s="1017" t="s">
        <v>91</v>
      </c>
      <c r="V1584" s="1017" t="s">
        <v>92</v>
      </c>
      <c r="W1584" s="1017" t="s">
        <v>286</v>
      </c>
      <c r="X1584" s="1017" t="s">
        <v>93</v>
      </c>
      <c r="Y1584" s="1017" t="s">
        <v>94</v>
      </c>
      <c r="Z1584" s="1017" t="s">
        <v>95</v>
      </c>
      <c r="AA1584" s="2847"/>
      <c r="AB1584" s="35"/>
      <c r="AC1584" s="183"/>
    </row>
    <row r="1585" spans="1:29" ht="12.75" x14ac:dyDescent="0.2">
      <c r="A1585" s="1422"/>
      <c r="B1585" s="2999"/>
      <c r="C1585" s="3359"/>
      <c r="D1585" s="2847"/>
      <c r="E1585" s="2847"/>
      <c r="F1585" s="2847"/>
      <c r="G1585" s="2847"/>
      <c r="H1585" s="2847"/>
      <c r="I1585" s="2847"/>
      <c r="J1585" s="2847"/>
      <c r="K1585" s="2847"/>
      <c r="L1585" s="3186"/>
      <c r="M1585" s="3271" t="s">
        <v>287</v>
      </c>
      <c r="N1585" s="3272"/>
      <c r="O1585" s="1095">
        <v>3380</v>
      </c>
      <c r="P1585" s="1095">
        <v>3380</v>
      </c>
      <c r="Q1585" s="1095">
        <v>3290</v>
      </c>
      <c r="R1585" s="1095">
        <v>3380</v>
      </c>
      <c r="S1585" s="1095">
        <v>3380</v>
      </c>
      <c r="T1585" s="1095">
        <v>3400</v>
      </c>
      <c r="U1585" s="1095">
        <v>3400</v>
      </c>
      <c r="V1585" s="1095">
        <v>3400</v>
      </c>
      <c r="W1585" s="1095">
        <v>3393</v>
      </c>
      <c r="X1585" s="1095">
        <v>3390</v>
      </c>
      <c r="Y1585" s="1095">
        <v>3280</v>
      </c>
      <c r="Z1585" s="1095">
        <v>3380</v>
      </c>
      <c r="AA1585" s="1205">
        <f t="shared" ref="AA1585:AA1590" si="279">SUM(O1585:Z1585)</f>
        <v>40453</v>
      </c>
      <c r="AB1585" s="35"/>
      <c r="AC1585" s="183"/>
    </row>
    <row r="1586" spans="1:29" ht="12.75" x14ac:dyDescent="0.2">
      <c r="A1586" s="1422"/>
      <c r="B1586" s="2999"/>
      <c r="C1586" s="3016"/>
      <c r="D1586" s="2847"/>
      <c r="E1586" s="2847"/>
      <c r="F1586" s="2847"/>
      <c r="G1586" s="2847"/>
      <c r="H1586" s="2847"/>
      <c r="I1586" s="2847"/>
      <c r="J1586" s="2847"/>
      <c r="K1586" s="2847"/>
      <c r="L1586" s="2989"/>
      <c r="M1586" s="3271" t="s">
        <v>34</v>
      </c>
      <c r="N1586" s="3272"/>
      <c r="O1586" s="36">
        <f>SUM(O1587:O1605)</f>
        <v>41774.083333333336</v>
      </c>
      <c r="P1586" s="36">
        <f t="shared" ref="P1586:Z1586" si="280">SUM(P1587:P1605)</f>
        <v>39816.356060606064</v>
      </c>
      <c r="Q1586" s="36">
        <f t="shared" si="280"/>
        <v>43711.356060606064</v>
      </c>
      <c r="R1586" s="36">
        <f t="shared" si="280"/>
        <v>46684.689393939399</v>
      </c>
      <c r="S1586" s="36">
        <f t="shared" si="280"/>
        <v>38401.356060606064</v>
      </c>
      <c r="T1586" s="36">
        <f t="shared" si="280"/>
        <v>38401.356060606064</v>
      </c>
      <c r="U1586" s="36">
        <f t="shared" si="280"/>
        <v>43349.689393939399</v>
      </c>
      <c r="V1586" s="36">
        <f t="shared" si="280"/>
        <v>47406.356060606064</v>
      </c>
      <c r="W1586" s="36">
        <f t="shared" si="280"/>
        <v>38401.356060606064</v>
      </c>
      <c r="X1586" s="36">
        <f t="shared" si="280"/>
        <v>39234.689393939399</v>
      </c>
      <c r="Y1586" s="36">
        <f t="shared" si="280"/>
        <v>38401.356060606064</v>
      </c>
      <c r="Z1586" s="36">
        <f t="shared" si="280"/>
        <v>41101.356060606064</v>
      </c>
      <c r="AA1586" s="1205">
        <f t="shared" si="279"/>
        <v>496684.00000000012</v>
      </c>
      <c r="AB1586" s="35"/>
      <c r="AC1586" s="183"/>
    </row>
    <row r="1587" spans="1:29" x14ac:dyDescent="0.2">
      <c r="A1587" s="1422"/>
      <c r="B1587" s="2522">
        <v>5000078</v>
      </c>
      <c r="C1587" s="3190" t="s">
        <v>621</v>
      </c>
      <c r="D1587" s="2421">
        <v>53</v>
      </c>
      <c r="E1587" s="2421" t="s">
        <v>407</v>
      </c>
      <c r="F1587" s="2420" t="s">
        <v>386</v>
      </c>
      <c r="G1587" s="2420" t="s">
        <v>387</v>
      </c>
      <c r="H1587" s="2420"/>
      <c r="I1587" s="2420" t="s">
        <v>570</v>
      </c>
      <c r="J1587" s="2514">
        <v>40453</v>
      </c>
      <c r="K1587" s="101">
        <v>188860</v>
      </c>
      <c r="L1587" s="3294" t="s">
        <v>565</v>
      </c>
      <c r="M1587" s="3287" t="s">
        <v>293</v>
      </c>
      <c r="N1587" s="3288"/>
      <c r="O1587" s="40">
        <f t="shared" ref="O1587:Z1591" si="281">$K1587/12</f>
        <v>15738.333333333334</v>
      </c>
      <c r="P1587" s="40">
        <f t="shared" si="281"/>
        <v>15738.333333333334</v>
      </c>
      <c r="Q1587" s="40">
        <f t="shared" si="281"/>
        <v>15738.333333333334</v>
      </c>
      <c r="R1587" s="40">
        <f t="shared" si="281"/>
        <v>15738.333333333334</v>
      </c>
      <c r="S1587" s="40">
        <f t="shared" si="281"/>
        <v>15738.333333333334</v>
      </c>
      <c r="T1587" s="40">
        <f t="shared" si="281"/>
        <v>15738.333333333334</v>
      </c>
      <c r="U1587" s="40">
        <f t="shared" si="281"/>
        <v>15738.333333333334</v>
      </c>
      <c r="V1587" s="40">
        <f t="shared" si="281"/>
        <v>15738.333333333334</v>
      </c>
      <c r="W1587" s="40">
        <f t="shared" si="281"/>
        <v>15738.333333333334</v>
      </c>
      <c r="X1587" s="40">
        <f t="shared" si="281"/>
        <v>15738.333333333334</v>
      </c>
      <c r="Y1587" s="40">
        <f t="shared" si="281"/>
        <v>15738.333333333334</v>
      </c>
      <c r="Z1587" s="40">
        <f t="shared" si="281"/>
        <v>15738.333333333334</v>
      </c>
      <c r="AA1587" s="966">
        <f>SUM(O1587:Z1587)</f>
        <v>188860.00000000003</v>
      </c>
      <c r="AB1587" s="35"/>
      <c r="AC1587" s="183"/>
    </row>
    <row r="1588" spans="1:29" x14ac:dyDescent="0.2">
      <c r="A1588" s="1422"/>
      <c r="B1588" s="2522"/>
      <c r="C1588" s="3191"/>
      <c r="D1588" s="2421"/>
      <c r="E1588" s="2421"/>
      <c r="F1588" s="2420"/>
      <c r="G1588" s="2420"/>
      <c r="H1588" s="2420"/>
      <c r="I1588" s="2420"/>
      <c r="J1588" s="2515"/>
      <c r="K1588" s="101">
        <v>26868</v>
      </c>
      <c r="L1588" s="3295"/>
      <c r="M1588" s="3287" t="s">
        <v>294</v>
      </c>
      <c r="N1588" s="3288"/>
      <c r="O1588" s="40">
        <f t="shared" si="281"/>
        <v>2239</v>
      </c>
      <c r="P1588" s="40">
        <f t="shared" si="281"/>
        <v>2239</v>
      </c>
      <c r="Q1588" s="40">
        <f t="shared" si="281"/>
        <v>2239</v>
      </c>
      <c r="R1588" s="40">
        <f t="shared" si="281"/>
        <v>2239</v>
      </c>
      <c r="S1588" s="40">
        <f t="shared" si="281"/>
        <v>2239</v>
      </c>
      <c r="T1588" s="40">
        <f t="shared" si="281"/>
        <v>2239</v>
      </c>
      <c r="U1588" s="40">
        <f t="shared" si="281"/>
        <v>2239</v>
      </c>
      <c r="V1588" s="40">
        <f t="shared" si="281"/>
        <v>2239</v>
      </c>
      <c r="W1588" s="40">
        <f t="shared" si="281"/>
        <v>2239</v>
      </c>
      <c r="X1588" s="40">
        <f t="shared" si="281"/>
        <v>2239</v>
      </c>
      <c r="Y1588" s="40">
        <f t="shared" si="281"/>
        <v>2239</v>
      </c>
      <c r="Z1588" s="40">
        <f t="shared" si="281"/>
        <v>2239</v>
      </c>
      <c r="AA1588" s="966">
        <f t="shared" si="279"/>
        <v>26868</v>
      </c>
      <c r="AB1588" s="35"/>
      <c r="AC1588" s="183"/>
    </row>
    <row r="1589" spans="1:29" x14ac:dyDescent="0.2">
      <c r="A1589" s="1422"/>
      <c r="B1589" s="2522"/>
      <c r="C1589" s="3191"/>
      <c r="D1589" s="2421"/>
      <c r="E1589" s="2421"/>
      <c r="F1589" s="2420"/>
      <c r="G1589" s="2420"/>
      <c r="H1589" s="2420"/>
      <c r="I1589" s="2420"/>
      <c r="J1589" s="2515"/>
      <c r="K1589" s="101">
        <v>129864</v>
      </c>
      <c r="L1589" s="3295"/>
      <c r="M1589" s="3287" t="s">
        <v>295</v>
      </c>
      <c r="N1589" s="3288"/>
      <c r="O1589" s="40">
        <f t="shared" si="281"/>
        <v>10822</v>
      </c>
      <c r="P1589" s="40">
        <f t="shared" si="281"/>
        <v>10822</v>
      </c>
      <c r="Q1589" s="40">
        <f t="shared" si="281"/>
        <v>10822</v>
      </c>
      <c r="R1589" s="40">
        <f t="shared" si="281"/>
        <v>10822</v>
      </c>
      <c r="S1589" s="40">
        <f t="shared" si="281"/>
        <v>10822</v>
      </c>
      <c r="T1589" s="40">
        <f t="shared" si="281"/>
        <v>10822</v>
      </c>
      <c r="U1589" s="40">
        <f t="shared" si="281"/>
        <v>10822</v>
      </c>
      <c r="V1589" s="40">
        <f t="shared" si="281"/>
        <v>10822</v>
      </c>
      <c r="W1589" s="40">
        <f t="shared" si="281"/>
        <v>10822</v>
      </c>
      <c r="X1589" s="40">
        <f t="shared" si="281"/>
        <v>10822</v>
      </c>
      <c r="Y1589" s="40">
        <f t="shared" si="281"/>
        <v>10822</v>
      </c>
      <c r="Z1589" s="40">
        <f t="shared" si="281"/>
        <v>10822</v>
      </c>
      <c r="AA1589" s="966">
        <f t="shared" si="279"/>
        <v>129864</v>
      </c>
      <c r="AB1589" s="35"/>
      <c r="AC1589" s="183"/>
    </row>
    <row r="1590" spans="1:29" x14ac:dyDescent="0.2">
      <c r="A1590" s="1422"/>
      <c r="B1590" s="2522"/>
      <c r="C1590" s="3191"/>
      <c r="D1590" s="2421"/>
      <c r="E1590" s="2421"/>
      <c r="F1590" s="2420"/>
      <c r="G1590" s="2420"/>
      <c r="H1590" s="2420"/>
      <c r="I1590" s="2420"/>
      <c r="J1590" s="2515"/>
      <c r="K1590" s="101">
        <v>58512</v>
      </c>
      <c r="L1590" s="3295"/>
      <c r="M1590" s="3287" t="s">
        <v>296</v>
      </c>
      <c r="N1590" s="3288"/>
      <c r="O1590" s="40">
        <f t="shared" si="281"/>
        <v>4876</v>
      </c>
      <c r="P1590" s="40">
        <f t="shared" si="281"/>
        <v>4876</v>
      </c>
      <c r="Q1590" s="40">
        <f t="shared" si="281"/>
        <v>4876</v>
      </c>
      <c r="R1590" s="40">
        <f t="shared" si="281"/>
        <v>4876</v>
      </c>
      <c r="S1590" s="40">
        <f t="shared" si="281"/>
        <v>4876</v>
      </c>
      <c r="T1590" s="40">
        <f t="shared" si="281"/>
        <v>4876</v>
      </c>
      <c r="U1590" s="40">
        <f t="shared" si="281"/>
        <v>4876</v>
      </c>
      <c r="V1590" s="40">
        <f t="shared" si="281"/>
        <v>4876</v>
      </c>
      <c r="W1590" s="40">
        <f t="shared" si="281"/>
        <v>4876</v>
      </c>
      <c r="X1590" s="40">
        <f t="shared" si="281"/>
        <v>4876</v>
      </c>
      <c r="Y1590" s="40">
        <f t="shared" si="281"/>
        <v>4876</v>
      </c>
      <c r="Z1590" s="40">
        <f t="shared" si="281"/>
        <v>4876</v>
      </c>
      <c r="AA1590" s="966">
        <f t="shared" si="279"/>
        <v>58512</v>
      </c>
      <c r="AB1590" s="35"/>
      <c r="AC1590" s="183"/>
    </row>
    <row r="1591" spans="1:29" x14ac:dyDescent="0.2">
      <c r="A1591" s="1422"/>
      <c r="B1591" s="2522"/>
      <c r="C1591" s="3191"/>
      <c r="D1591" s="2421"/>
      <c r="E1591" s="2421"/>
      <c r="F1591" s="2420"/>
      <c r="G1591" s="2420"/>
      <c r="H1591" s="2420"/>
      <c r="I1591" s="2420"/>
      <c r="J1591" s="2515"/>
      <c r="K1591" s="101">
        <v>17184</v>
      </c>
      <c r="L1591" s="3295"/>
      <c r="M1591" s="3287" t="s">
        <v>297</v>
      </c>
      <c r="N1591" s="3288"/>
      <c r="O1591" s="40">
        <f t="shared" si="281"/>
        <v>1432</v>
      </c>
      <c r="P1591" s="40">
        <f t="shared" si="281"/>
        <v>1432</v>
      </c>
      <c r="Q1591" s="40">
        <f t="shared" si="281"/>
        <v>1432</v>
      </c>
      <c r="R1591" s="40">
        <f t="shared" si="281"/>
        <v>1432</v>
      </c>
      <c r="S1591" s="40">
        <f t="shared" si="281"/>
        <v>1432</v>
      </c>
      <c r="T1591" s="40">
        <f t="shared" si="281"/>
        <v>1432</v>
      </c>
      <c r="U1591" s="40">
        <f t="shared" si="281"/>
        <v>1432</v>
      </c>
      <c r="V1591" s="40">
        <f t="shared" si="281"/>
        <v>1432</v>
      </c>
      <c r="W1591" s="40">
        <f t="shared" si="281"/>
        <v>1432</v>
      </c>
      <c r="X1591" s="40">
        <f t="shared" si="281"/>
        <v>1432</v>
      </c>
      <c r="Y1591" s="40">
        <f t="shared" si="281"/>
        <v>1432</v>
      </c>
      <c r="Z1591" s="40">
        <f t="shared" si="281"/>
        <v>1432</v>
      </c>
      <c r="AA1591" s="966">
        <f>SUM(O1591:Z1591)</f>
        <v>17184</v>
      </c>
      <c r="AB1591" s="35"/>
      <c r="AC1591" s="183"/>
    </row>
    <row r="1592" spans="1:29" x14ac:dyDescent="0.2">
      <c r="A1592" s="1422"/>
      <c r="B1592" s="2522"/>
      <c r="C1592" s="3191"/>
      <c r="D1592" s="2421"/>
      <c r="E1592" s="2421"/>
      <c r="F1592" s="2420"/>
      <c r="G1592" s="2420"/>
      <c r="H1592" s="2420"/>
      <c r="I1592" s="2420"/>
      <c r="J1592" s="2515"/>
      <c r="K1592" s="101">
        <v>5400</v>
      </c>
      <c r="L1592" s="3295"/>
      <c r="M1592" s="3287" t="s">
        <v>298</v>
      </c>
      <c r="N1592" s="3288"/>
      <c r="O1592" s="1044"/>
      <c r="P1592" s="1044"/>
      <c r="Q1592" s="1044"/>
      <c r="R1592" s="1044"/>
      <c r="S1592" s="1044"/>
      <c r="T1592" s="1044"/>
      <c r="U1592" s="40">
        <f>$K1592/2</f>
        <v>2700</v>
      </c>
      <c r="V1592" s="1044"/>
      <c r="W1592" s="1044"/>
      <c r="X1592" s="1044"/>
      <c r="Y1592" s="1044"/>
      <c r="Z1592" s="40">
        <f>$K1592/2</f>
        <v>2700</v>
      </c>
      <c r="AA1592" s="966">
        <f t="shared" ref="AA1592:AA1605" si="282">SUM(O1592:Z1592)</f>
        <v>5400</v>
      </c>
      <c r="AB1592" s="35"/>
      <c r="AC1592" s="183"/>
    </row>
    <row r="1593" spans="1:29" x14ac:dyDescent="0.2">
      <c r="A1593" s="1422"/>
      <c r="B1593" s="2522"/>
      <c r="C1593" s="3191"/>
      <c r="D1593" s="2421"/>
      <c r="E1593" s="2421"/>
      <c r="F1593" s="2420"/>
      <c r="G1593" s="2420"/>
      <c r="H1593" s="2420"/>
      <c r="I1593" s="2420"/>
      <c r="J1593" s="2515"/>
      <c r="K1593" s="101">
        <v>3600</v>
      </c>
      <c r="L1593" s="3295"/>
      <c r="M1593" s="3287" t="s">
        <v>299</v>
      </c>
      <c r="N1593" s="3288"/>
      <c r="O1593" s="40">
        <f>$K1593</f>
        <v>3600</v>
      </c>
      <c r="P1593" s="1044"/>
      <c r="Q1593" s="40"/>
      <c r="R1593" s="1044"/>
      <c r="S1593" s="1044"/>
      <c r="T1593" s="1044"/>
      <c r="U1593" s="1044"/>
      <c r="V1593" s="1044"/>
      <c r="W1593" s="1044"/>
      <c r="X1593" s="1044"/>
      <c r="Y1593" s="1044"/>
      <c r="Z1593" s="1044"/>
      <c r="AA1593" s="966">
        <f t="shared" si="282"/>
        <v>3600</v>
      </c>
      <c r="AB1593" s="35"/>
      <c r="AC1593" s="183"/>
    </row>
    <row r="1594" spans="1:29" x14ac:dyDescent="0.2">
      <c r="A1594" s="1422"/>
      <c r="B1594" s="2522"/>
      <c r="C1594" s="3191"/>
      <c r="D1594" s="2421"/>
      <c r="E1594" s="2421"/>
      <c r="F1594" s="2420"/>
      <c r="G1594" s="2420"/>
      <c r="H1594" s="2420"/>
      <c r="I1594" s="2420"/>
      <c r="J1594" s="2515"/>
      <c r="K1594" s="101">
        <v>16164</v>
      </c>
      <c r="L1594" s="3295"/>
      <c r="M1594" s="3287" t="s">
        <v>300</v>
      </c>
      <c r="N1594" s="3288"/>
      <c r="O1594" s="40">
        <f t="shared" ref="O1594:Z1595" si="283">$K1594/12</f>
        <v>1347</v>
      </c>
      <c r="P1594" s="40">
        <f t="shared" si="283"/>
        <v>1347</v>
      </c>
      <c r="Q1594" s="40">
        <f t="shared" si="283"/>
        <v>1347</v>
      </c>
      <c r="R1594" s="40">
        <f t="shared" si="283"/>
        <v>1347</v>
      </c>
      <c r="S1594" s="40">
        <f t="shared" si="283"/>
        <v>1347</v>
      </c>
      <c r="T1594" s="40">
        <f t="shared" si="283"/>
        <v>1347</v>
      </c>
      <c r="U1594" s="40">
        <f t="shared" si="283"/>
        <v>1347</v>
      </c>
      <c r="V1594" s="40">
        <f t="shared" si="283"/>
        <v>1347</v>
      </c>
      <c r="W1594" s="40">
        <f t="shared" si="283"/>
        <v>1347</v>
      </c>
      <c r="X1594" s="40">
        <f t="shared" si="283"/>
        <v>1347</v>
      </c>
      <c r="Y1594" s="40">
        <f t="shared" si="283"/>
        <v>1347</v>
      </c>
      <c r="Z1594" s="40">
        <f t="shared" si="283"/>
        <v>1347</v>
      </c>
      <c r="AA1594" s="966">
        <f t="shared" si="282"/>
        <v>16164</v>
      </c>
      <c r="AB1594" s="35"/>
      <c r="AC1594" s="183"/>
    </row>
    <row r="1595" spans="1:29" x14ac:dyDescent="0.2">
      <c r="A1595" s="1422"/>
      <c r="B1595" s="2522"/>
      <c r="C1595" s="3191"/>
      <c r="D1595" s="2421"/>
      <c r="E1595" s="2421"/>
      <c r="F1595" s="2420"/>
      <c r="G1595" s="2420"/>
      <c r="H1595" s="2420"/>
      <c r="I1595" s="2420"/>
      <c r="J1595" s="2515"/>
      <c r="K1595" s="101">
        <v>417</v>
      </c>
      <c r="L1595" s="3295"/>
      <c r="M1595" s="3287" t="s">
        <v>301</v>
      </c>
      <c r="N1595" s="3288"/>
      <c r="O1595" s="40">
        <f t="shared" si="283"/>
        <v>34.75</v>
      </c>
      <c r="P1595" s="40">
        <f t="shared" si="283"/>
        <v>34.75</v>
      </c>
      <c r="Q1595" s="40">
        <f t="shared" si="283"/>
        <v>34.75</v>
      </c>
      <c r="R1595" s="40">
        <f t="shared" si="283"/>
        <v>34.75</v>
      </c>
      <c r="S1595" s="40">
        <f t="shared" si="283"/>
        <v>34.75</v>
      </c>
      <c r="T1595" s="40">
        <f t="shared" si="283"/>
        <v>34.75</v>
      </c>
      <c r="U1595" s="40">
        <f t="shared" si="283"/>
        <v>34.75</v>
      </c>
      <c r="V1595" s="40">
        <f t="shared" si="283"/>
        <v>34.75</v>
      </c>
      <c r="W1595" s="40">
        <f t="shared" si="283"/>
        <v>34.75</v>
      </c>
      <c r="X1595" s="40">
        <f t="shared" si="283"/>
        <v>34.75</v>
      </c>
      <c r="Y1595" s="40">
        <f t="shared" si="283"/>
        <v>34.75</v>
      </c>
      <c r="Z1595" s="40">
        <f t="shared" si="283"/>
        <v>34.75</v>
      </c>
      <c r="AA1595" s="966">
        <f t="shared" si="282"/>
        <v>417</v>
      </c>
      <c r="AB1595" s="35"/>
      <c r="AC1595" s="183"/>
    </row>
    <row r="1596" spans="1:29" x14ac:dyDescent="0.2">
      <c r="A1596" s="1422"/>
      <c r="B1596" s="2522"/>
      <c r="C1596" s="3191"/>
      <c r="D1596" s="2421"/>
      <c r="E1596" s="2421"/>
      <c r="F1596" s="2420"/>
      <c r="G1596" s="2420"/>
      <c r="H1596" s="2420"/>
      <c r="I1596" s="2420"/>
      <c r="J1596" s="2515"/>
      <c r="K1596" s="101">
        <v>2695</v>
      </c>
      <c r="L1596" s="3295"/>
      <c r="M1596" s="3287" t="s">
        <v>340</v>
      </c>
      <c r="N1596" s="3288"/>
      <c r="O1596" s="95"/>
      <c r="P1596" s="95"/>
      <c r="Q1596" s="95">
        <f>$K1596</f>
        <v>2695</v>
      </c>
      <c r="R1596" s="95"/>
      <c r="S1596" s="95"/>
      <c r="T1596" s="95"/>
      <c r="U1596" s="95"/>
      <c r="V1596" s="95"/>
      <c r="W1596" s="95"/>
      <c r="X1596" s="95"/>
      <c r="Y1596" s="95"/>
      <c r="Z1596" s="95"/>
      <c r="AA1596" s="966">
        <f t="shared" si="282"/>
        <v>2695</v>
      </c>
      <c r="AB1596" s="35"/>
      <c r="AC1596" s="183"/>
    </row>
    <row r="1597" spans="1:29" x14ac:dyDescent="0.2">
      <c r="A1597" s="1422"/>
      <c r="B1597" s="2522"/>
      <c r="C1597" s="3191"/>
      <c r="D1597" s="2421"/>
      <c r="E1597" s="2421"/>
      <c r="F1597" s="2420"/>
      <c r="G1597" s="2420"/>
      <c r="H1597" s="2420"/>
      <c r="I1597" s="2420"/>
      <c r="J1597" s="2515"/>
      <c r="K1597" s="101">
        <v>1060</v>
      </c>
      <c r="L1597" s="3295"/>
      <c r="M1597" s="3287" t="s">
        <v>303</v>
      </c>
      <c r="N1597" s="3288"/>
      <c r="O1597" s="1044"/>
      <c r="P1597" s="1044"/>
      <c r="Q1597" s="40">
        <f>$K1597</f>
        <v>1060</v>
      </c>
      <c r="R1597" s="1044"/>
      <c r="S1597" s="1044"/>
      <c r="T1597" s="1044"/>
      <c r="U1597" s="1044"/>
      <c r="V1597" s="1044"/>
      <c r="W1597" s="1044"/>
      <c r="X1597" s="1044"/>
      <c r="Y1597" s="1044"/>
      <c r="Z1597" s="1044"/>
      <c r="AA1597" s="966">
        <f t="shared" si="282"/>
        <v>1060</v>
      </c>
      <c r="AB1597" s="35"/>
      <c r="AC1597" s="183"/>
    </row>
    <row r="1598" spans="1:29" x14ac:dyDescent="0.2">
      <c r="A1598" s="1422"/>
      <c r="B1598" s="2522"/>
      <c r="C1598" s="3191"/>
      <c r="D1598" s="2421"/>
      <c r="E1598" s="2421"/>
      <c r="F1598" s="2420"/>
      <c r="G1598" s="2420"/>
      <c r="H1598" s="2420"/>
      <c r="I1598" s="2420"/>
      <c r="J1598" s="2515"/>
      <c r="K1598" s="101">
        <v>2830</v>
      </c>
      <c r="L1598" s="3295"/>
      <c r="M1598" s="3287" t="s">
        <v>324</v>
      </c>
      <c r="N1598" s="3288"/>
      <c r="O1598" s="1044"/>
      <c r="P1598" s="40">
        <f>$K1598/2</f>
        <v>1415</v>
      </c>
      <c r="Q1598" s="1044"/>
      <c r="R1598" s="1044"/>
      <c r="S1598" s="1044"/>
      <c r="T1598" s="1044"/>
      <c r="U1598" s="40">
        <f>$K1598/2</f>
        <v>1415</v>
      </c>
      <c r="V1598" s="1044"/>
      <c r="W1598" s="1044"/>
      <c r="X1598" s="1044"/>
      <c r="Y1598" s="1044"/>
      <c r="Z1598" s="1044"/>
      <c r="AA1598" s="966">
        <f t="shared" si="282"/>
        <v>2830</v>
      </c>
      <c r="AB1598" s="35"/>
      <c r="AC1598" s="183"/>
    </row>
    <row r="1599" spans="1:29" x14ac:dyDescent="0.2">
      <c r="A1599" s="1422"/>
      <c r="B1599" s="2522"/>
      <c r="C1599" s="3191"/>
      <c r="D1599" s="2421"/>
      <c r="E1599" s="2421"/>
      <c r="F1599" s="2420"/>
      <c r="G1599" s="2420"/>
      <c r="H1599" s="2420"/>
      <c r="I1599" s="2420"/>
      <c r="J1599" s="2515"/>
      <c r="K1599" s="101">
        <v>2500</v>
      </c>
      <c r="L1599" s="3295"/>
      <c r="M1599" s="3287" t="s">
        <v>348</v>
      </c>
      <c r="N1599" s="3288"/>
      <c r="O1599" s="95"/>
      <c r="P1599" s="95">
        <f>$K1599/11</f>
        <v>227.27272727272728</v>
      </c>
      <c r="Q1599" s="95">
        <f t="shared" ref="Q1599:Z1599" si="284">$K1599/11</f>
        <v>227.27272727272728</v>
      </c>
      <c r="R1599" s="95">
        <f t="shared" si="284"/>
        <v>227.27272727272728</v>
      </c>
      <c r="S1599" s="95">
        <f t="shared" si="284"/>
        <v>227.27272727272728</v>
      </c>
      <c r="T1599" s="95">
        <f t="shared" si="284"/>
        <v>227.27272727272728</v>
      </c>
      <c r="U1599" s="95">
        <f t="shared" si="284"/>
        <v>227.27272727272728</v>
      </c>
      <c r="V1599" s="95">
        <f t="shared" si="284"/>
        <v>227.27272727272728</v>
      </c>
      <c r="W1599" s="95">
        <f t="shared" si="284"/>
        <v>227.27272727272728</v>
      </c>
      <c r="X1599" s="95">
        <f t="shared" si="284"/>
        <v>227.27272727272728</v>
      </c>
      <c r="Y1599" s="95">
        <f t="shared" si="284"/>
        <v>227.27272727272728</v>
      </c>
      <c r="Z1599" s="95">
        <f t="shared" si="284"/>
        <v>227.27272727272728</v>
      </c>
      <c r="AA1599" s="966">
        <f t="shared" si="282"/>
        <v>2500.0000000000005</v>
      </c>
      <c r="AB1599" s="35"/>
      <c r="AC1599" s="183"/>
    </row>
    <row r="1600" spans="1:29" x14ac:dyDescent="0.2">
      <c r="A1600" s="1422"/>
      <c r="B1600" s="2522"/>
      <c r="C1600" s="3191"/>
      <c r="D1600" s="2421"/>
      <c r="E1600" s="2421"/>
      <c r="F1600" s="2420"/>
      <c r="G1600" s="2420"/>
      <c r="H1600" s="2420"/>
      <c r="I1600" s="2420"/>
      <c r="J1600" s="2515"/>
      <c r="K1600" s="101">
        <v>2000</v>
      </c>
      <c r="L1600" s="3295"/>
      <c r="M1600" s="3287" t="s">
        <v>393</v>
      </c>
      <c r="N1600" s="3288"/>
      <c r="O1600" s="1044"/>
      <c r="P1600" s="1044"/>
      <c r="Q1600" s="1044"/>
      <c r="R1600" s="40">
        <f>$K1600/2</f>
        <v>1000</v>
      </c>
      <c r="S1600" s="1044"/>
      <c r="T1600" s="1044"/>
      <c r="U1600" s="1044"/>
      <c r="V1600" s="40">
        <f>$K1600/2</f>
        <v>1000</v>
      </c>
      <c r="W1600" s="1044"/>
      <c r="X1600" s="1044"/>
      <c r="Y1600" s="1044"/>
      <c r="Z1600" s="1044"/>
      <c r="AA1600" s="966">
        <f t="shared" si="282"/>
        <v>2000</v>
      </c>
      <c r="AB1600" s="35"/>
      <c r="AC1600" s="183"/>
    </row>
    <row r="1601" spans="1:29" x14ac:dyDescent="0.2">
      <c r="A1601" s="1422"/>
      <c r="B1601" s="2522"/>
      <c r="C1601" s="3191"/>
      <c r="D1601" s="2421"/>
      <c r="E1601" s="2421"/>
      <c r="F1601" s="2420"/>
      <c r="G1601" s="2420"/>
      <c r="H1601" s="2420"/>
      <c r="I1601" s="2420"/>
      <c r="J1601" s="2515"/>
      <c r="K1601" s="101">
        <v>12900</v>
      </c>
      <c r="L1601" s="3295"/>
      <c r="M1601" s="3287" t="s">
        <v>343</v>
      </c>
      <c r="N1601" s="3288"/>
      <c r="O1601" s="1044"/>
      <c r="P1601" s="1044"/>
      <c r="Q1601" s="94"/>
      <c r="R1601" s="1044">
        <f>$K1601/2</f>
        <v>6450</v>
      </c>
      <c r="S1601" s="94"/>
      <c r="T1601" s="94"/>
      <c r="U1601" s="94"/>
      <c r="V1601" s="1044">
        <f>$K1601/2</f>
        <v>6450</v>
      </c>
      <c r="W1601" s="94"/>
      <c r="X1601" s="94"/>
      <c r="Y1601" s="94"/>
      <c r="Z1601" s="94"/>
      <c r="AA1601" s="966">
        <f t="shared" si="282"/>
        <v>12900</v>
      </c>
      <c r="AB1601" s="35"/>
      <c r="AC1601" s="183"/>
    </row>
    <row r="1602" spans="1:29" x14ac:dyDescent="0.2">
      <c r="A1602" s="1422"/>
      <c r="B1602" s="2522"/>
      <c r="C1602" s="3191"/>
      <c r="D1602" s="2421"/>
      <c r="E1602" s="2421"/>
      <c r="F1602" s="2420"/>
      <c r="G1602" s="2420"/>
      <c r="H1602" s="2420"/>
      <c r="I1602" s="2420"/>
      <c r="J1602" s="2515"/>
      <c r="K1602" s="101">
        <v>3110</v>
      </c>
      <c r="L1602" s="3295"/>
      <c r="M1602" s="3287" t="s">
        <v>304</v>
      </c>
      <c r="N1602" s="3288"/>
      <c r="O1602" s="1044"/>
      <c r="P1602" s="1044"/>
      <c r="Q1602" s="40">
        <f>$K1602/2</f>
        <v>1555</v>
      </c>
      <c r="R1602" s="1044"/>
      <c r="S1602" s="1044"/>
      <c r="T1602" s="1044"/>
      <c r="U1602" s="1044"/>
      <c r="V1602" s="40">
        <f>$K1602/2</f>
        <v>1555</v>
      </c>
      <c r="W1602" s="1044"/>
      <c r="X1602" s="1044"/>
      <c r="Y1602" s="1044"/>
      <c r="Z1602" s="1044"/>
      <c r="AA1602" s="966">
        <f t="shared" si="282"/>
        <v>3110</v>
      </c>
      <c r="AB1602" s="35"/>
      <c r="AC1602" s="183"/>
    </row>
    <row r="1603" spans="1:29" x14ac:dyDescent="0.2">
      <c r="A1603" s="1422"/>
      <c r="B1603" s="2522"/>
      <c r="C1603" s="3191"/>
      <c r="D1603" s="2421"/>
      <c r="E1603" s="2421"/>
      <c r="F1603" s="2420"/>
      <c r="G1603" s="2420"/>
      <c r="H1603" s="2420"/>
      <c r="I1603" s="2420"/>
      <c r="J1603" s="2515"/>
      <c r="K1603" s="101">
        <v>2500</v>
      </c>
      <c r="L1603" s="3295"/>
      <c r="M1603" s="3287" t="s">
        <v>309</v>
      </c>
      <c r="N1603" s="3288"/>
      <c r="O1603" s="1044"/>
      <c r="P1603" s="1044"/>
      <c r="Q1603" s="1044"/>
      <c r="R1603" s="40">
        <f>$K1603/3</f>
        <v>833.33333333333337</v>
      </c>
      <c r="S1603" s="40"/>
      <c r="T1603" s="40"/>
      <c r="U1603" s="40">
        <f>$K1603/3</f>
        <v>833.33333333333337</v>
      </c>
      <c r="V1603" s="40"/>
      <c r="W1603" s="1044"/>
      <c r="X1603" s="40">
        <f>$K1603/3</f>
        <v>833.33333333333337</v>
      </c>
      <c r="Y1603" s="1044"/>
      <c r="Z1603" s="40"/>
      <c r="AA1603" s="966">
        <f t="shared" si="282"/>
        <v>2500</v>
      </c>
      <c r="AB1603" s="35"/>
      <c r="AC1603" s="183"/>
    </row>
    <row r="1604" spans="1:29" x14ac:dyDescent="0.2">
      <c r="A1604" s="1422"/>
      <c r="B1604" s="2522"/>
      <c r="C1604" s="3191"/>
      <c r="D1604" s="2421"/>
      <c r="E1604" s="2421"/>
      <c r="F1604" s="2420"/>
      <c r="G1604" s="2420"/>
      <c r="H1604" s="2420"/>
      <c r="I1604" s="2420"/>
      <c r="J1604" s="2515"/>
      <c r="K1604" s="101">
        <v>18600</v>
      </c>
      <c r="L1604" s="3295"/>
      <c r="M1604" s="3287" t="s">
        <v>310</v>
      </c>
      <c r="N1604" s="3288"/>
      <c r="O1604" s="40">
        <f t="shared" ref="O1604:Z1605" si="285">$K1604/12</f>
        <v>1550</v>
      </c>
      <c r="P1604" s="40">
        <f t="shared" si="285"/>
        <v>1550</v>
      </c>
      <c r="Q1604" s="40">
        <f t="shared" si="285"/>
        <v>1550</v>
      </c>
      <c r="R1604" s="40">
        <f t="shared" si="285"/>
        <v>1550</v>
      </c>
      <c r="S1604" s="40">
        <f t="shared" si="285"/>
        <v>1550</v>
      </c>
      <c r="T1604" s="40">
        <f t="shared" si="285"/>
        <v>1550</v>
      </c>
      <c r="U1604" s="40">
        <f t="shared" si="285"/>
        <v>1550</v>
      </c>
      <c r="V1604" s="40">
        <f t="shared" si="285"/>
        <v>1550</v>
      </c>
      <c r="W1604" s="40">
        <f t="shared" si="285"/>
        <v>1550</v>
      </c>
      <c r="X1604" s="40">
        <f t="shared" si="285"/>
        <v>1550</v>
      </c>
      <c r="Y1604" s="40">
        <f t="shared" si="285"/>
        <v>1550</v>
      </c>
      <c r="Z1604" s="40">
        <f t="shared" si="285"/>
        <v>1550</v>
      </c>
      <c r="AA1604" s="966">
        <f t="shared" si="282"/>
        <v>18600</v>
      </c>
      <c r="AB1604" s="35"/>
      <c r="AC1604" s="183"/>
    </row>
    <row r="1605" spans="1:29" x14ac:dyDescent="0.2">
      <c r="A1605" s="1422"/>
      <c r="B1605" s="2522"/>
      <c r="C1605" s="2439"/>
      <c r="D1605" s="2421"/>
      <c r="E1605" s="2421"/>
      <c r="F1605" s="2420"/>
      <c r="G1605" s="2420"/>
      <c r="H1605" s="2420"/>
      <c r="I1605" s="2420"/>
      <c r="J1605" s="2516"/>
      <c r="K1605" s="101">
        <v>1620</v>
      </c>
      <c r="L1605" s="3296"/>
      <c r="M1605" s="3287" t="s">
        <v>311</v>
      </c>
      <c r="N1605" s="3288"/>
      <c r="O1605" s="40">
        <f t="shared" si="285"/>
        <v>135</v>
      </c>
      <c r="P1605" s="40">
        <f t="shared" si="285"/>
        <v>135</v>
      </c>
      <c r="Q1605" s="40">
        <f t="shared" si="285"/>
        <v>135</v>
      </c>
      <c r="R1605" s="40">
        <f t="shared" si="285"/>
        <v>135</v>
      </c>
      <c r="S1605" s="40">
        <f t="shared" si="285"/>
        <v>135</v>
      </c>
      <c r="T1605" s="40">
        <f t="shared" si="285"/>
        <v>135</v>
      </c>
      <c r="U1605" s="40">
        <f t="shared" si="285"/>
        <v>135</v>
      </c>
      <c r="V1605" s="40">
        <f t="shared" si="285"/>
        <v>135</v>
      </c>
      <c r="W1605" s="40">
        <f t="shared" si="285"/>
        <v>135</v>
      </c>
      <c r="X1605" s="40">
        <f t="shared" si="285"/>
        <v>135</v>
      </c>
      <c r="Y1605" s="40">
        <f t="shared" si="285"/>
        <v>135</v>
      </c>
      <c r="Z1605" s="40">
        <f t="shared" si="285"/>
        <v>135</v>
      </c>
      <c r="AA1605" s="966">
        <f t="shared" si="282"/>
        <v>1620</v>
      </c>
      <c r="AB1605" s="35"/>
      <c r="AC1605" s="183"/>
    </row>
    <row r="1606" spans="1:29" x14ac:dyDescent="0.2">
      <c r="A1606" s="1422"/>
      <c r="B1606" s="1427"/>
      <c r="C1606" s="1128"/>
      <c r="D1606" s="38"/>
      <c r="E1606" s="38"/>
      <c r="F1606" s="38"/>
      <c r="G1606" s="38"/>
      <c r="H1606" s="38"/>
      <c r="I1606" s="38"/>
      <c r="J1606" s="38"/>
      <c r="K1606" s="1044"/>
      <c r="L1606" s="38"/>
      <c r="M1606" s="38"/>
      <c r="N1606" s="38"/>
      <c r="O1606" s="1044"/>
      <c r="P1606" s="1044"/>
      <c r="Q1606" s="1044"/>
      <c r="R1606" s="1044"/>
      <c r="S1606" s="1044"/>
      <c r="T1606" s="1044"/>
      <c r="U1606" s="1044"/>
      <c r="V1606" s="1044"/>
      <c r="W1606" s="1044"/>
      <c r="X1606" s="1044"/>
      <c r="Y1606" s="1044"/>
      <c r="Z1606" s="1044"/>
      <c r="AA1606" s="1133"/>
      <c r="AB1606" s="35"/>
      <c r="AC1606" s="183"/>
    </row>
    <row r="1607" spans="1:29" ht="20.25" customHeight="1" x14ac:dyDescent="0.2">
      <c r="A1607" s="1422"/>
      <c r="B1607" s="3247" t="s">
        <v>278</v>
      </c>
      <c r="C1607" s="3365"/>
      <c r="D1607" s="3367">
        <v>3043969</v>
      </c>
      <c r="E1607" s="3029" t="s">
        <v>622</v>
      </c>
      <c r="F1607" s="3030"/>
      <c r="G1607" s="3030"/>
      <c r="H1607" s="3030"/>
      <c r="I1607" s="3030"/>
      <c r="J1607" s="3030"/>
      <c r="K1607" s="3030"/>
      <c r="L1607" s="3030"/>
      <c r="M1607" s="3030"/>
      <c r="N1607" s="3030"/>
      <c r="O1607" s="3030"/>
      <c r="P1607" s="3030"/>
      <c r="Q1607" s="3030"/>
      <c r="R1607" s="3030"/>
      <c r="S1607" s="3031"/>
      <c r="T1607" s="3235" t="s">
        <v>15</v>
      </c>
      <c r="U1607" s="3235"/>
      <c r="V1607" s="3235"/>
      <c r="W1607" s="3235"/>
      <c r="X1607" s="3235"/>
      <c r="Y1607" s="3235"/>
      <c r="Z1607" s="3023" t="s">
        <v>16</v>
      </c>
      <c r="AA1607" s="3338"/>
      <c r="AB1607" s="35"/>
      <c r="AC1607" s="183"/>
    </row>
    <row r="1608" spans="1:29" ht="15" customHeight="1" x14ac:dyDescent="0.2">
      <c r="A1608" s="1422"/>
      <c r="B1608" s="3249"/>
      <c r="C1608" s="3366"/>
      <c r="D1608" s="3368"/>
      <c r="E1608" s="3032"/>
      <c r="F1608" s="3033"/>
      <c r="G1608" s="3033"/>
      <c r="H1608" s="3033"/>
      <c r="I1608" s="3033"/>
      <c r="J1608" s="3033"/>
      <c r="K1608" s="3033"/>
      <c r="L1608" s="3033"/>
      <c r="M1608" s="3033"/>
      <c r="N1608" s="3033"/>
      <c r="O1608" s="3033"/>
      <c r="P1608" s="3033"/>
      <c r="Q1608" s="3033"/>
      <c r="R1608" s="3033"/>
      <c r="S1608" s="3034"/>
      <c r="T1608" s="3233" t="s">
        <v>623</v>
      </c>
      <c r="U1608" s="3233"/>
      <c r="V1608" s="3233"/>
      <c r="W1608" s="3233"/>
      <c r="X1608" s="3233"/>
      <c r="Y1608" s="3233"/>
      <c r="Z1608" s="3019" t="s">
        <v>569</v>
      </c>
      <c r="AA1608" s="3020"/>
      <c r="AB1608" s="35"/>
      <c r="AC1608" s="183"/>
    </row>
    <row r="1609" spans="1:29" x14ac:dyDescent="0.2">
      <c r="A1609" s="1422"/>
      <c r="B1609" s="2999" t="s">
        <v>278</v>
      </c>
      <c r="C1609" s="3015" t="s">
        <v>563</v>
      </c>
      <c r="D1609" s="2847" t="s">
        <v>22</v>
      </c>
      <c r="E1609" s="2847" t="s">
        <v>23</v>
      </c>
      <c r="F1609" s="2847" t="s">
        <v>24</v>
      </c>
      <c r="G1609" s="2847" t="s">
        <v>25</v>
      </c>
      <c r="H1609" s="2847" t="s">
        <v>26</v>
      </c>
      <c r="I1609" s="2847" t="s">
        <v>27</v>
      </c>
      <c r="J1609" s="2847" t="s">
        <v>28</v>
      </c>
      <c r="K1609" s="2847"/>
      <c r="L1609" s="2988" t="s">
        <v>279</v>
      </c>
      <c r="M1609" s="3273" t="s">
        <v>280</v>
      </c>
      <c r="N1609" s="3274"/>
      <c r="O1609" s="2847" t="s">
        <v>281</v>
      </c>
      <c r="P1609" s="2847"/>
      <c r="Q1609" s="2847"/>
      <c r="R1609" s="2847"/>
      <c r="S1609" s="2847"/>
      <c r="T1609" s="2847"/>
      <c r="U1609" s="2847"/>
      <c r="V1609" s="2847"/>
      <c r="W1609" s="2847"/>
      <c r="X1609" s="2847"/>
      <c r="Y1609" s="2847"/>
      <c r="Z1609" s="2847"/>
      <c r="AA1609" s="2847" t="s">
        <v>32</v>
      </c>
      <c r="AB1609" s="35"/>
      <c r="AC1609" s="183"/>
    </row>
    <row r="1610" spans="1:29" x14ac:dyDescent="0.2">
      <c r="A1610" s="1422"/>
      <c r="B1610" s="2999"/>
      <c r="C1610" s="3359"/>
      <c r="D1610" s="2847"/>
      <c r="E1610" s="2847"/>
      <c r="F1610" s="2847"/>
      <c r="G1610" s="2847"/>
      <c r="H1610" s="2847"/>
      <c r="I1610" s="2847"/>
      <c r="J1610" s="2847" t="s">
        <v>33</v>
      </c>
      <c r="K1610" s="2988" t="s">
        <v>282</v>
      </c>
      <c r="L1610" s="3186"/>
      <c r="M1610" s="3275"/>
      <c r="N1610" s="3276"/>
      <c r="O1610" s="1017" t="s">
        <v>283</v>
      </c>
      <c r="P1610" s="1017" t="s">
        <v>284</v>
      </c>
      <c r="Q1610" s="1017" t="s">
        <v>285</v>
      </c>
      <c r="R1610" s="1017" t="s">
        <v>88</v>
      </c>
      <c r="S1610" s="1017" t="s">
        <v>89</v>
      </c>
      <c r="T1610" s="1017" t="s">
        <v>90</v>
      </c>
      <c r="U1610" s="1017" t="s">
        <v>91</v>
      </c>
      <c r="V1610" s="1017" t="s">
        <v>92</v>
      </c>
      <c r="W1610" s="1017" t="s">
        <v>286</v>
      </c>
      <c r="X1610" s="1017" t="s">
        <v>93</v>
      </c>
      <c r="Y1610" s="1017" t="s">
        <v>94</v>
      </c>
      <c r="Z1610" s="1017" t="s">
        <v>95</v>
      </c>
      <c r="AA1610" s="2847"/>
      <c r="AB1610" s="35"/>
      <c r="AC1610" s="183"/>
    </row>
    <row r="1611" spans="1:29" ht="12.75" x14ac:dyDescent="0.2">
      <c r="A1611" s="1422"/>
      <c r="B1611" s="2999"/>
      <c r="C1611" s="3359"/>
      <c r="D1611" s="2847"/>
      <c r="E1611" s="2847"/>
      <c r="F1611" s="2847"/>
      <c r="G1611" s="2847"/>
      <c r="H1611" s="2847"/>
      <c r="I1611" s="2847"/>
      <c r="J1611" s="2847"/>
      <c r="K1611" s="3186"/>
      <c r="L1611" s="3186"/>
      <c r="M1611" s="3271" t="s">
        <v>287</v>
      </c>
      <c r="N1611" s="3272"/>
      <c r="O1611" s="1095">
        <v>15</v>
      </c>
      <c r="P1611" s="1095">
        <v>15</v>
      </c>
      <c r="Q1611" s="1095">
        <v>15</v>
      </c>
      <c r="R1611" s="1095">
        <v>15</v>
      </c>
      <c r="S1611" s="1095">
        <v>15</v>
      </c>
      <c r="T1611" s="1095">
        <v>15</v>
      </c>
      <c r="U1611" s="1095">
        <v>15</v>
      </c>
      <c r="V1611" s="1095">
        <v>16</v>
      </c>
      <c r="W1611" s="1095">
        <v>15</v>
      </c>
      <c r="X1611" s="1095">
        <v>15</v>
      </c>
      <c r="Y1611" s="1095">
        <v>16</v>
      </c>
      <c r="Z1611" s="1095">
        <v>15</v>
      </c>
      <c r="AA1611" s="1205">
        <f t="shared" ref="AA1611:AA1631" si="286">SUM(O1611:Z1611)</f>
        <v>182</v>
      </c>
      <c r="AB1611" s="35"/>
      <c r="AC1611" s="183"/>
    </row>
    <row r="1612" spans="1:29" ht="12.75" x14ac:dyDescent="0.2">
      <c r="A1612" s="1422"/>
      <c r="B1612" s="2999"/>
      <c r="C1612" s="3016"/>
      <c r="D1612" s="2847"/>
      <c r="E1612" s="2847"/>
      <c r="F1612" s="2847"/>
      <c r="G1612" s="2847"/>
      <c r="H1612" s="2847"/>
      <c r="I1612" s="2847"/>
      <c r="J1612" s="2847"/>
      <c r="K1612" s="2989"/>
      <c r="L1612" s="2989"/>
      <c r="M1612" s="3271" t="s">
        <v>34</v>
      </c>
      <c r="N1612" s="3272"/>
      <c r="O1612" s="36">
        <f>SUM(O1613:O1631)</f>
        <v>61874.916666666664</v>
      </c>
      <c r="P1612" s="36">
        <f t="shared" ref="P1612:Z1612" si="287">SUM(P1613:P1631)</f>
        <v>56699.234848484848</v>
      </c>
      <c r="Q1612" s="36">
        <f t="shared" si="287"/>
        <v>57897.234848484848</v>
      </c>
      <c r="R1612" s="36">
        <f t="shared" si="287"/>
        <v>61297.234848484848</v>
      </c>
      <c r="S1612" s="36">
        <f t="shared" si="287"/>
        <v>56547.234848484848</v>
      </c>
      <c r="T1612" s="36">
        <f t="shared" si="287"/>
        <v>60056.734848484848</v>
      </c>
      <c r="U1612" s="36">
        <f t="shared" si="287"/>
        <v>59655.234848484848</v>
      </c>
      <c r="V1612" s="36">
        <f t="shared" si="287"/>
        <v>60847.234848484848</v>
      </c>
      <c r="W1612" s="36">
        <f t="shared" si="287"/>
        <v>56547.234848484848</v>
      </c>
      <c r="X1612" s="36">
        <f t="shared" si="287"/>
        <v>56547.234848484848</v>
      </c>
      <c r="Y1612" s="36">
        <f t="shared" si="287"/>
        <v>56547.234848484848</v>
      </c>
      <c r="Z1612" s="36">
        <f t="shared" si="287"/>
        <v>59655.234848484848</v>
      </c>
      <c r="AA1612" s="1205">
        <f t="shared" si="286"/>
        <v>704172.00000000012</v>
      </c>
      <c r="AB1612" s="35"/>
      <c r="AC1612" s="183"/>
    </row>
    <row r="1613" spans="1:29" x14ac:dyDescent="0.2">
      <c r="A1613" s="1422"/>
      <c r="B1613" s="2522">
        <v>5000079</v>
      </c>
      <c r="C1613" s="3190" t="s">
        <v>624</v>
      </c>
      <c r="D1613" s="2421">
        <v>54</v>
      </c>
      <c r="E1613" s="2421" t="s">
        <v>407</v>
      </c>
      <c r="F1613" s="2420" t="s">
        <v>386</v>
      </c>
      <c r="G1613" s="2420" t="s">
        <v>387</v>
      </c>
      <c r="H1613" s="2420"/>
      <c r="I1613" s="2420" t="s">
        <v>570</v>
      </c>
      <c r="J1613" s="2514">
        <v>182</v>
      </c>
      <c r="K1613" s="40">
        <v>363778</v>
      </c>
      <c r="L1613" s="3294" t="s">
        <v>565</v>
      </c>
      <c r="M1613" s="3287" t="s">
        <v>293</v>
      </c>
      <c r="N1613" s="3288"/>
      <c r="O1613" s="40">
        <f t="shared" ref="O1613:Z1617" si="288">$K1613/12</f>
        <v>30314.833333333332</v>
      </c>
      <c r="P1613" s="40">
        <f t="shared" si="288"/>
        <v>30314.833333333332</v>
      </c>
      <c r="Q1613" s="40">
        <f t="shared" si="288"/>
        <v>30314.833333333332</v>
      </c>
      <c r="R1613" s="40">
        <f t="shared" si="288"/>
        <v>30314.833333333332</v>
      </c>
      <c r="S1613" s="40">
        <f t="shared" si="288"/>
        <v>30314.833333333332</v>
      </c>
      <c r="T1613" s="40">
        <f t="shared" si="288"/>
        <v>30314.833333333332</v>
      </c>
      <c r="U1613" s="40">
        <f t="shared" si="288"/>
        <v>30314.833333333332</v>
      </c>
      <c r="V1613" s="40">
        <f t="shared" si="288"/>
        <v>30314.833333333332</v>
      </c>
      <c r="W1613" s="40">
        <f t="shared" si="288"/>
        <v>30314.833333333332</v>
      </c>
      <c r="X1613" s="40">
        <f t="shared" si="288"/>
        <v>30314.833333333332</v>
      </c>
      <c r="Y1613" s="40">
        <f t="shared" si="288"/>
        <v>30314.833333333332</v>
      </c>
      <c r="Z1613" s="40">
        <f t="shared" si="288"/>
        <v>30314.833333333332</v>
      </c>
      <c r="AA1613" s="966">
        <f>SUM(O1613:Z1613)</f>
        <v>363777.99999999994</v>
      </c>
      <c r="AB1613" s="35"/>
      <c r="AC1613" s="183"/>
    </row>
    <row r="1614" spans="1:29" x14ac:dyDescent="0.2">
      <c r="A1614" s="1422"/>
      <c r="B1614" s="2522"/>
      <c r="C1614" s="3191"/>
      <c r="D1614" s="2421"/>
      <c r="E1614" s="2421"/>
      <c r="F1614" s="2420"/>
      <c r="G1614" s="2420"/>
      <c r="H1614" s="2420"/>
      <c r="I1614" s="2420"/>
      <c r="J1614" s="2515"/>
      <c r="K1614" s="40">
        <v>26868</v>
      </c>
      <c r="L1614" s="3295"/>
      <c r="M1614" s="3287" t="s">
        <v>294</v>
      </c>
      <c r="N1614" s="3288"/>
      <c r="O1614" s="40">
        <f t="shared" si="288"/>
        <v>2239</v>
      </c>
      <c r="P1614" s="40">
        <f t="shared" si="288"/>
        <v>2239</v>
      </c>
      <c r="Q1614" s="40">
        <f t="shared" si="288"/>
        <v>2239</v>
      </c>
      <c r="R1614" s="40">
        <f t="shared" si="288"/>
        <v>2239</v>
      </c>
      <c r="S1614" s="40">
        <f t="shared" si="288"/>
        <v>2239</v>
      </c>
      <c r="T1614" s="40">
        <f t="shared" si="288"/>
        <v>2239</v>
      </c>
      <c r="U1614" s="40">
        <f t="shared" si="288"/>
        <v>2239</v>
      </c>
      <c r="V1614" s="40">
        <f t="shared" si="288"/>
        <v>2239</v>
      </c>
      <c r="W1614" s="40">
        <f t="shared" si="288"/>
        <v>2239</v>
      </c>
      <c r="X1614" s="40">
        <f t="shared" si="288"/>
        <v>2239</v>
      </c>
      <c r="Y1614" s="40">
        <f t="shared" si="288"/>
        <v>2239</v>
      </c>
      <c r="Z1614" s="40">
        <f t="shared" si="288"/>
        <v>2239</v>
      </c>
      <c r="AA1614" s="966">
        <f t="shared" si="286"/>
        <v>26868</v>
      </c>
      <c r="AB1614" s="35"/>
      <c r="AC1614" s="183"/>
    </row>
    <row r="1615" spans="1:29" x14ac:dyDescent="0.2">
      <c r="A1615" s="1422"/>
      <c r="B1615" s="2522"/>
      <c r="C1615" s="3191"/>
      <c r="D1615" s="2421"/>
      <c r="E1615" s="2421"/>
      <c r="F1615" s="2420"/>
      <c r="G1615" s="2420"/>
      <c r="H1615" s="2420"/>
      <c r="I1615" s="2420"/>
      <c r="J1615" s="2515"/>
      <c r="K1615" s="40">
        <v>48120</v>
      </c>
      <c r="L1615" s="3295"/>
      <c r="M1615" s="3287" t="s">
        <v>295</v>
      </c>
      <c r="N1615" s="3288"/>
      <c r="O1615" s="40">
        <f t="shared" si="288"/>
        <v>4010</v>
      </c>
      <c r="P1615" s="40">
        <f t="shared" si="288"/>
        <v>4010</v>
      </c>
      <c r="Q1615" s="40">
        <f t="shared" si="288"/>
        <v>4010</v>
      </c>
      <c r="R1615" s="40">
        <f t="shared" si="288"/>
        <v>4010</v>
      </c>
      <c r="S1615" s="40">
        <f t="shared" si="288"/>
        <v>4010</v>
      </c>
      <c r="T1615" s="40">
        <f t="shared" si="288"/>
        <v>4010</v>
      </c>
      <c r="U1615" s="40">
        <f t="shared" si="288"/>
        <v>4010</v>
      </c>
      <c r="V1615" s="40">
        <f t="shared" si="288"/>
        <v>4010</v>
      </c>
      <c r="W1615" s="40">
        <f t="shared" si="288"/>
        <v>4010</v>
      </c>
      <c r="X1615" s="40">
        <f t="shared" si="288"/>
        <v>4010</v>
      </c>
      <c r="Y1615" s="40">
        <f t="shared" si="288"/>
        <v>4010</v>
      </c>
      <c r="Z1615" s="40">
        <f t="shared" si="288"/>
        <v>4010</v>
      </c>
      <c r="AA1615" s="966">
        <f t="shared" si="286"/>
        <v>48120</v>
      </c>
      <c r="AB1615" s="35"/>
      <c r="AC1615" s="183"/>
    </row>
    <row r="1616" spans="1:29" x14ac:dyDescent="0.2">
      <c r="A1616" s="1422"/>
      <c r="B1616" s="2522"/>
      <c r="C1616" s="3191"/>
      <c r="D1616" s="2421"/>
      <c r="E1616" s="2421"/>
      <c r="F1616" s="2420"/>
      <c r="G1616" s="2420"/>
      <c r="H1616" s="2420"/>
      <c r="I1616" s="2420"/>
      <c r="J1616" s="2515"/>
      <c r="K1616" s="40">
        <v>91578</v>
      </c>
      <c r="L1616" s="3295"/>
      <c r="M1616" s="3287" t="s">
        <v>296</v>
      </c>
      <c r="N1616" s="3288"/>
      <c r="O1616" s="40">
        <f t="shared" si="288"/>
        <v>7631.5</v>
      </c>
      <c r="P1616" s="40">
        <f t="shared" si="288"/>
        <v>7631.5</v>
      </c>
      <c r="Q1616" s="40">
        <f t="shared" si="288"/>
        <v>7631.5</v>
      </c>
      <c r="R1616" s="40">
        <f t="shared" si="288"/>
        <v>7631.5</v>
      </c>
      <c r="S1616" s="40">
        <f t="shared" si="288"/>
        <v>7631.5</v>
      </c>
      <c r="T1616" s="40">
        <f t="shared" si="288"/>
        <v>7631.5</v>
      </c>
      <c r="U1616" s="40">
        <f t="shared" si="288"/>
        <v>7631.5</v>
      </c>
      <c r="V1616" s="40">
        <f t="shared" si="288"/>
        <v>7631.5</v>
      </c>
      <c r="W1616" s="40">
        <f t="shared" si="288"/>
        <v>7631.5</v>
      </c>
      <c r="X1616" s="40">
        <f t="shared" si="288"/>
        <v>7631.5</v>
      </c>
      <c r="Y1616" s="40">
        <f t="shared" si="288"/>
        <v>7631.5</v>
      </c>
      <c r="Z1616" s="40">
        <f t="shared" si="288"/>
        <v>7631.5</v>
      </c>
      <c r="AA1616" s="966">
        <f t="shared" si="286"/>
        <v>91578</v>
      </c>
      <c r="AB1616" s="35"/>
      <c r="AC1616" s="183"/>
    </row>
    <row r="1617" spans="1:29" x14ac:dyDescent="0.2">
      <c r="A1617" s="1422"/>
      <c r="B1617" s="2522"/>
      <c r="C1617" s="3191"/>
      <c r="D1617" s="2421"/>
      <c r="E1617" s="2421"/>
      <c r="F1617" s="2420"/>
      <c r="G1617" s="2420"/>
      <c r="H1617" s="2420"/>
      <c r="I1617" s="2420"/>
      <c r="J1617" s="2515"/>
      <c r="K1617" s="40">
        <v>59680</v>
      </c>
      <c r="L1617" s="3295"/>
      <c r="M1617" s="3287" t="s">
        <v>297</v>
      </c>
      <c r="N1617" s="3288"/>
      <c r="O1617" s="40">
        <f t="shared" si="288"/>
        <v>4973.333333333333</v>
      </c>
      <c r="P1617" s="40">
        <f t="shared" si="288"/>
        <v>4973.333333333333</v>
      </c>
      <c r="Q1617" s="40">
        <f t="shared" si="288"/>
        <v>4973.333333333333</v>
      </c>
      <c r="R1617" s="40">
        <f t="shared" si="288"/>
        <v>4973.333333333333</v>
      </c>
      <c r="S1617" s="40">
        <f t="shared" si="288"/>
        <v>4973.333333333333</v>
      </c>
      <c r="T1617" s="40">
        <f t="shared" si="288"/>
        <v>4973.333333333333</v>
      </c>
      <c r="U1617" s="40">
        <f t="shared" si="288"/>
        <v>4973.333333333333</v>
      </c>
      <c r="V1617" s="40">
        <f t="shared" si="288"/>
        <v>4973.333333333333</v>
      </c>
      <c r="W1617" s="40">
        <f t="shared" si="288"/>
        <v>4973.333333333333</v>
      </c>
      <c r="X1617" s="40">
        <f t="shared" si="288"/>
        <v>4973.333333333333</v>
      </c>
      <c r="Y1617" s="40">
        <f t="shared" si="288"/>
        <v>4973.333333333333</v>
      </c>
      <c r="Z1617" s="40">
        <f t="shared" si="288"/>
        <v>4973.333333333333</v>
      </c>
      <c r="AA1617" s="966">
        <f t="shared" si="286"/>
        <v>59680.000000000007</v>
      </c>
      <c r="AB1617" s="35"/>
      <c r="AC1617" s="183"/>
    </row>
    <row r="1618" spans="1:29" x14ac:dyDescent="0.2">
      <c r="A1618" s="1422"/>
      <c r="B1618" s="2522"/>
      <c r="C1618" s="3191"/>
      <c r="D1618" s="2421"/>
      <c r="E1618" s="2421"/>
      <c r="F1618" s="2420"/>
      <c r="G1618" s="2420"/>
      <c r="H1618" s="2420"/>
      <c r="I1618" s="2420"/>
      <c r="J1618" s="2515"/>
      <c r="K1618" s="40">
        <v>6216</v>
      </c>
      <c r="L1618" s="3295"/>
      <c r="M1618" s="3287" t="s">
        <v>298</v>
      </c>
      <c r="N1618" s="3288"/>
      <c r="O1618" s="1044"/>
      <c r="P1618" s="1044"/>
      <c r="Q1618" s="1044"/>
      <c r="R1618" s="1044"/>
      <c r="S1618" s="1044"/>
      <c r="T1618" s="1044"/>
      <c r="U1618" s="40">
        <f>$K1618/2</f>
        <v>3108</v>
      </c>
      <c r="V1618" s="1044"/>
      <c r="W1618" s="1044"/>
      <c r="X1618" s="1044"/>
      <c r="Y1618" s="1044"/>
      <c r="Z1618" s="40">
        <f>$K1618/2</f>
        <v>3108</v>
      </c>
      <c r="AA1618" s="966">
        <f t="shared" si="286"/>
        <v>6216</v>
      </c>
      <c r="AB1618" s="35"/>
      <c r="AC1618" s="183"/>
    </row>
    <row r="1619" spans="1:29" x14ac:dyDescent="0.2">
      <c r="A1619" s="1422"/>
      <c r="B1619" s="2522"/>
      <c r="C1619" s="3191"/>
      <c r="D1619" s="2421"/>
      <c r="E1619" s="2421"/>
      <c r="F1619" s="2420"/>
      <c r="G1619" s="2420"/>
      <c r="H1619" s="2420"/>
      <c r="I1619" s="2420"/>
      <c r="J1619" s="2515"/>
      <c r="K1619" s="40">
        <v>4000</v>
      </c>
      <c r="L1619" s="3295"/>
      <c r="M1619" s="3287" t="s">
        <v>299</v>
      </c>
      <c r="N1619" s="3288"/>
      <c r="O1619" s="40">
        <f>$K1619</f>
        <v>4000</v>
      </c>
      <c r="P1619" s="1044"/>
      <c r="Q1619" s="40"/>
      <c r="R1619" s="1044"/>
      <c r="S1619" s="1044"/>
      <c r="T1619" s="1044"/>
      <c r="U1619" s="1044"/>
      <c r="V1619" s="1044"/>
      <c r="W1619" s="1044"/>
      <c r="X1619" s="1044"/>
      <c r="Y1619" s="1044"/>
      <c r="Z1619" s="1044"/>
      <c r="AA1619" s="966">
        <f t="shared" si="286"/>
        <v>4000</v>
      </c>
      <c r="AB1619" s="35"/>
      <c r="AC1619" s="183"/>
    </row>
    <row r="1620" spans="1:29" x14ac:dyDescent="0.2">
      <c r="A1620" s="1422"/>
      <c r="B1620" s="2522"/>
      <c r="C1620" s="3191"/>
      <c r="D1620" s="2421"/>
      <c r="E1620" s="2421"/>
      <c r="F1620" s="2420"/>
      <c r="G1620" s="2420"/>
      <c r="H1620" s="2420"/>
      <c r="I1620" s="2420"/>
      <c r="J1620" s="2515"/>
      <c r="K1620" s="40">
        <v>18774</v>
      </c>
      <c r="L1620" s="3295"/>
      <c r="M1620" s="3287" t="s">
        <v>300</v>
      </c>
      <c r="N1620" s="3288"/>
      <c r="O1620" s="40">
        <f t="shared" ref="O1620:Z1621" si="289">$K1620/12</f>
        <v>1564.5</v>
      </c>
      <c r="P1620" s="40">
        <f t="shared" si="289"/>
        <v>1564.5</v>
      </c>
      <c r="Q1620" s="40">
        <f t="shared" si="289"/>
        <v>1564.5</v>
      </c>
      <c r="R1620" s="40">
        <f t="shared" si="289"/>
        <v>1564.5</v>
      </c>
      <c r="S1620" s="40">
        <f t="shared" si="289"/>
        <v>1564.5</v>
      </c>
      <c r="T1620" s="40">
        <f t="shared" si="289"/>
        <v>1564.5</v>
      </c>
      <c r="U1620" s="40">
        <f t="shared" si="289"/>
        <v>1564.5</v>
      </c>
      <c r="V1620" s="40">
        <f t="shared" si="289"/>
        <v>1564.5</v>
      </c>
      <c r="W1620" s="40">
        <f t="shared" si="289"/>
        <v>1564.5</v>
      </c>
      <c r="X1620" s="40">
        <f t="shared" si="289"/>
        <v>1564.5</v>
      </c>
      <c r="Y1620" s="40">
        <f t="shared" si="289"/>
        <v>1564.5</v>
      </c>
      <c r="Z1620" s="40">
        <f t="shared" si="289"/>
        <v>1564.5</v>
      </c>
      <c r="AA1620" s="966">
        <f t="shared" si="286"/>
        <v>18774</v>
      </c>
      <c r="AB1620" s="35"/>
      <c r="AC1620" s="183"/>
    </row>
    <row r="1621" spans="1:29" x14ac:dyDescent="0.2">
      <c r="A1621" s="1422"/>
      <c r="B1621" s="2522"/>
      <c r="C1621" s="3191"/>
      <c r="D1621" s="2421"/>
      <c r="E1621" s="2421"/>
      <c r="F1621" s="2420"/>
      <c r="G1621" s="2420"/>
      <c r="H1621" s="2420"/>
      <c r="I1621" s="2420"/>
      <c r="J1621" s="2515"/>
      <c r="K1621" s="40">
        <v>322</v>
      </c>
      <c r="L1621" s="3295"/>
      <c r="M1621" s="3287" t="s">
        <v>301</v>
      </c>
      <c r="N1621" s="3288"/>
      <c r="O1621" s="40">
        <f t="shared" si="289"/>
        <v>26.833333333333332</v>
      </c>
      <c r="P1621" s="40">
        <f t="shared" si="289"/>
        <v>26.833333333333332</v>
      </c>
      <c r="Q1621" s="40">
        <f t="shared" si="289"/>
        <v>26.833333333333332</v>
      </c>
      <c r="R1621" s="40">
        <f t="shared" si="289"/>
        <v>26.833333333333332</v>
      </c>
      <c r="S1621" s="40">
        <f t="shared" si="289"/>
        <v>26.833333333333332</v>
      </c>
      <c r="T1621" s="40">
        <f t="shared" si="289"/>
        <v>26.833333333333332</v>
      </c>
      <c r="U1621" s="40">
        <f t="shared" si="289"/>
        <v>26.833333333333332</v>
      </c>
      <c r="V1621" s="40">
        <f t="shared" si="289"/>
        <v>26.833333333333332</v>
      </c>
      <c r="W1621" s="40">
        <f t="shared" si="289"/>
        <v>26.833333333333332</v>
      </c>
      <c r="X1621" s="40">
        <f t="shared" si="289"/>
        <v>26.833333333333332</v>
      </c>
      <c r="Y1621" s="40">
        <f t="shared" si="289"/>
        <v>26.833333333333332</v>
      </c>
      <c r="Z1621" s="40">
        <f t="shared" si="289"/>
        <v>26.833333333333332</v>
      </c>
      <c r="AA1621" s="966">
        <f t="shared" si="286"/>
        <v>322</v>
      </c>
      <c r="AB1621" s="35"/>
      <c r="AC1621" s="183"/>
    </row>
    <row r="1622" spans="1:29" x14ac:dyDescent="0.2">
      <c r="A1622" s="1422"/>
      <c r="B1622" s="2522"/>
      <c r="C1622" s="3191"/>
      <c r="D1622" s="2421"/>
      <c r="E1622" s="2421"/>
      <c r="F1622" s="2420"/>
      <c r="G1622" s="2420"/>
      <c r="H1622" s="2420"/>
      <c r="I1622" s="2420"/>
      <c r="J1622" s="2515"/>
      <c r="K1622" s="40">
        <v>7019</v>
      </c>
      <c r="L1622" s="3295"/>
      <c r="M1622" s="3287" t="s">
        <v>380</v>
      </c>
      <c r="N1622" s="3288"/>
      <c r="O1622" s="40">
        <f>$K1622/2</f>
        <v>3509.5</v>
      </c>
      <c r="P1622" s="1044"/>
      <c r="Q1622" s="1044"/>
      <c r="R1622" s="1044"/>
      <c r="S1622" s="1044"/>
      <c r="T1622" s="40">
        <f>$K1622/2</f>
        <v>3509.5</v>
      </c>
      <c r="U1622" s="1044"/>
      <c r="V1622" s="1044"/>
      <c r="W1622" s="1044"/>
      <c r="X1622" s="1044"/>
      <c r="Y1622" s="1044"/>
      <c r="Z1622" s="1044"/>
      <c r="AA1622" s="966">
        <f t="shared" si="286"/>
        <v>7019</v>
      </c>
      <c r="AB1622" s="35"/>
      <c r="AC1622" s="183"/>
    </row>
    <row r="1623" spans="1:29" x14ac:dyDescent="0.2">
      <c r="A1623" s="1422"/>
      <c r="B1623" s="2522"/>
      <c r="C1623" s="3191"/>
      <c r="D1623" s="2421"/>
      <c r="E1623" s="2421"/>
      <c r="F1623" s="2420"/>
      <c r="G1623" s="2420"/>
      <c r="H1623" s="2420"/>
      <c r="I1623" s="2420"/>
      <c r="J1623" s="2515"/>
      <c r="K1623" s="40">
        <v>100</v>
      </c>
      <c r="L1623" s="3295"/>
      <c r="M1623" s="3287" t="s">
        <v>303</v>
      </c>
      <c r="N1623" s="3288"/>
      <c r="O1623" s="1044"/>
      <c r="P1623" s="1044"/>
      <c r="Q1623" s="40">
        <f>$K1623</f>
        <v>100</v>
      </c>
      <c r="R1623" s="1044"/>
      <c r="S1623" s="1044"/>
      <c r="T1623" s="1044"/>
      <c r="U1623" s="1044"/>
      <c r="V1623" s="1044"/>
      <c r="W1623" s="1044"/>
      <c r="X1623" s="1044"/>
      <c r="Y1623" s="1044"/>
      <c r="Z1623" s="1044"/>
      <c r="AA1623" s="966">
        <f t="shared" si="286"/>
        <v>100</v>
      </c>
      <c r="AB1623" s="35"/>
      <c r="AC1623" s="183"/>
    </row>
    <row r="1624" spans="1:29" x14ac:dyDescent="0.2">
      <c r="A1624" s="1422"/>
      <c r="B1624" s="2522"/>
      <c r="C1624" s="3191"/>
      <c r="D1624" s="2421"/>
      <c r="E1624" s="2421"/>
      <c r="F1624" s="2420"/>
      <c r="G1624" s="2420"/>
      <c r="H1624" s="2420"/>
      <c r="I1624" s="2420"/>
      <c r="J1624" s="2515"/>
      <c r="K1624" s="40">
        <v>152</v>
      </c>
      <c r="L1624" s="3295"/>
      <c r="M1624" s="3287" t="s">
        <v>324</v>
      </c>
      <c r="N1624" s="3288"/>
      <c r="O1624" s="1044"/>
      <c r="P1624" s="40">
        <f>$K1624</f>
        <v>152</v>
      </c>
      <c r="Q1624" s="1044"/>
      <c r="R1624" s="1044"/>
      <c r="S1624" s="1044"/>
      <c r="T1624" s="1044"/>
      <c r="U1624" s="1044"/>
      <c r="V1624" s="1044"/>
      <c r="W1624" s="1044"/>
      <c r="X1624" s="1044"/>
      <c r="Y1624" s="1044"/>
      <c r="Z1624" s="1044"/>
      <c r="AA1624" s="966">
        <f t="shared" si="286"/>
        <v>152</v>
      </c>
      <c r="AB1624" s="35"/>
      <c r="AC1624" s="183"/>
    </row>
    <row r="1625" spans="1:29" x14ac:dyDescent="0.2">
      <c r="A1625" s="1422"/>
      <c r="B1625" s="2522"/>
      <c r="C1625" s="3191"/>
      <c r="D1625" s="2421"/>
      <c r="E1625" s="2421"/>
      <c r="F1625" s="2420"/>
      <c r="G1625" s="2420"/>
      <c r="H1625" s="2420"/>
      <c r="I1625" s="2420"/>
      <c r="J1625" s="2515"/>
      <c r="K1625" s="40">
        <v>6300</v>
      </c>
      <c r="L1625" s="3295"/>
      <c r="M1625" s="3287" t="s">
        <v>393</v>
      </c>
      <c r="N1625" s="3288"/>
      <c r="O1625" s="1044"/>
      <c r="P1625" s="1044"/>
      <c r="Q1625" s="1044"/>
      <c r="R1625" s="40">
        <f>$K1625/2</f>
        <v>3150</v>
      </c>
      <c r="S1625" s="1044"/>
      <c r="T1625" s="1044"/>
      <c r="U1625" s="1044"/>
      <c r="V1625" s="40">
        <f>$K1625/2</f>
        <v>3150</v>
      </c>
      <c r="W1625" s="1044"/>
      <c r="X1625" s="1044"/>
      <c r="Y1625" s="1044"/>
      <c r="Z1625" s="1044"/>
      <c r="AA1625" s="966">
        <f t="shared" si="286"/>
        <v>6300</v>
      </c>
      <c r="AB1625" s="35"/>
      <c r="AC1625" s="183"/>
    </row>
    <row r="1626" spans="1:29" x14ac:dyDescent="0.2">
      <c r="A1626" s="1422"/>
      <c r="B1626" s="2522"/>
      <c r="C1626" s="3191"/>
      <c r="D1626" s="2421"/>
      <c r="E1626" s="2421"/>
      <c r="F1626" s="2420"/>
      <c r="G1626" s="2420"/>
      <c r="H1626" s="2420"/>
      <c r="I1626" s="2420"/>
      <c r="J1626" s="2515"/>
      <c r="K1626" s="40">
        <v>1600</v>
      </c>
      <c r="L1626" s="3295"/>
      <c r="M1626" s="3287" t="s">
        <v>343</v>
      </c>
      <c r="N1626" s="3288"/>
      <c r="O1626" s="1044"/>
      <c r="P1626" s="1044"/>
      <c r="Q1626" s="94"/>
      <c r="R1626" s="1044">
        <f>$K1626</f>
        <v>1600</v>
      </c>
      <c r="S1626" s="94"/>
      <c r="T1626" s="94"/>
      <c r="U1626" s="94"/>
      <c r="V1626" s="1044"/>
      <c r="W1626" s="94"/>
      <c r="X1626" s="94"/>
      <c r="Y1626" s="94"/>
      <c r="Z1626" s="94"/>
      <c r="AA1626" s="966">
        <f t="shared" si="286"/>
        <v>1600</v>
      </c>
      <c r="AB1626" s="35"/>
      <c r="AC1626" s="183"/>
    </row>
    <row r="1627" spans="1:29" x14ac:dyDescent="0.2">
      <c r="A1627" s="1422"/>
      <c r="B1627" s="2522"/>
      <c r="C1627" s="3191"/>
      <c r="D1627" s="2421"/>
      <c r="E1627" s="2421"/>
      <c r="F1627" s="2420"/>
      <c r="G1627" s="2420"/>
      <c r="H1627" s="2420"/>
      <c r="I1627" s="2420"/>
      <c r="J1627" s="2515"/>
      <c r="K1627" s="40">
        <v>100</v>
      </c>
      <c r="L1627" s="3295"/>
      <c r="M1627" s="3287" t="s">
        <v>304</v>
      </c>
      <c r="N1627" s="3288"/>
      <c r="O1627" s="1044"/>
      <c r="P1627" s="1044"/>
      <c r="Q1627" s="40">
        <f>$K1627</f>
        <v>100</v>
      </c>
      <c r="R1627" s="1044"/>
      <c r="S1627" s="1044"/>
      <c r="T1627" s="1044"/>
      <c r="U1627" s="1044"/>
      <c r="V1627" s="1044"/>
      <c r="W1627" s="1044"/>
      <c r="X1627" s="1044"/>
      <c r="Y1627" s="1044"/>
      <c r="Z1627" s="1044"/>
      <c r="AA1627" s="966">
        <f t="shared" si="286"/>
        <v>100</v>
      </c>
      <c r="AB1627" s="35"/>
      <c r="AC1627" s="183"/>
    </row>
    <row r="1628" spans="1:29" x14ac:dyDescent="0.2">
      <c r="A1628" s="1422"/>
      <c r="B1628" s="2522"/>
      <c r="C1628" s="3191"/>
      <c r="D1628" s="2421"/>
      <c r="E1628" s="2421"/>
      <c r="F1628" s="2420"/>
      <c r="G1628" s="2420"/>
      <c r="H1628" s="2420"/>
      <c r="I1628" s="2420"/>
      <c r="J1628" s="2515"/>
      <c r="K1628" s="40">
        <v>2300</v>
      </c>
      <c r="L1628" s="3295"/>
      <c r="M1628" s="3287" t="s">
        <v>309</v>
      </c>
      <c r="N1628" s="3288"/>
      <c r="O1628" s="1044"/>
      <c r="P1628" s="1044"/>
      <c r="Q1628" s="40">
        <f>$K1628/2</f>
        <v>1150</v>
      </c>
      <c r="R1628" s="40"/>
      <c r="S1628" s="40"/>
      <c r="T1628" s="1044"/>
      <c r="U1628" s="40"/>
      <c r="V1628" s="40">
        <f>$K1628/2</f>
        <v>1150</v>
      </c>
      <c r="W1628" s="40"/>
      <c r="X1628" s="1044"/>
      <c r="Y1628" s="40"/>
      <c r="Z1628" s="1044"/>
      <c r="AA1628" s="966">
        <f t="shared" si="286"/>
        <v>2300</v>
      </c>
      <c r="AB1628" s="35"/>
      <c r="AC1628" s="183"/>
    </row>
    <row r="1629" spans="1:29" x14ac:dyDescent="0.2">
      <c r="A1629" s="1422"/>
      <c r="B1629" s="2522"/>
      <c r="C1629" s="3191"/>
      <c r="D1629" s="2421"/>
      <c r="E1629" s="2421"/>
      <c r="F1629" s="2420"/>
      <c r="G1629" s="2420"/>
      <c r="H1629" s="2420"/>
      <c r="I1629" s="2420"/>
      <c r="J1629" s="2515"/>
      <c r="K1629" s="40">
        <v>24000</v>
      </c>
      <c r="L1629" s="3295"/>
      <c r="M1629" s="3287" t="s">
        <v>625</v>
      </c>
      <c r="N1629" s="3288"/>
      <c r="O1629" s="95"/>
      <c r="P1629" s="95">
        <f>$K1629/11</f>
        <v>2181.818181818182</v>
      </c>
      <c r="Q1629" s="95">
        <f t="shared" ref="Q1629:Z1629" si="290">$K1629/11</f>
        <v>2181.818181818182</v>
      </c>
      <c r="R1629" s="95">
        <f t="shared" si="290"/>
        <v>2181.818181818182</v>
      </c>
      <c r="S1629" s="95">
        <f t="shared" si="290"/>
        <v>2181.818181818182</v>
      </c>
      <c r="T1629" s="95">
        <f t="shared" si="290"/>
        <v>2181.818181818182</v>
      </c>
      <c r="U1629" s="95">
        <f t="shared" si="290"/>
        <v>2181.818181818182</v>
      </c>
      <c r="V1629" s="95">
        <f t="shared" si="290"/>
        <v>2181.818181818182</v>
      </c>
      <c r="W1629" s="95">
        <f t="shared" si="290"/>
        <v>2181.818181818182</v>
      </c>
      <c r="X1629" s="95">
        <f t="shared" si="290"/>
        <v>2181.818181818182</v>
      </c>
      <c r="Y1629" s="95">
        <f t="shared" si="290"/>
        <v>2181.818181818182</v>
      </c>
      <c r="Z1629" s="95">
        <f t="shared" si="290"/>
        <v>2181.818181818182</v>
      </c>
      <c r="AA1629" s="966">
        <f t="shared" si="286"/>
        <v>24000.000000000007</v>
      </c>
      <c r="AB1629" s="35"/>
      <c r="AC1629" s="183"/>
    </row>
    <row r="1630" spans="1:29" x14ac:dyDescent="0.2">
      <c r="A1630" s="1422"/>
      <c r="B1630" s="2522"/>
      <c r="C1630" s="3191"/>
      <c r="D1630" s="2421"/>
      <c r="E1630" s="2421"/>
      <c r="F1630" s="2420"/>
      <c r="G1630" s="2420"/>
      <c r="H1630" s="2420"/>
      <c r="I1630" s="2420"/>
      <c r="J1630" s="2515"/>
      <c r="K1630" s="40">
        <v>39561</v>
      </c>
      <c r="L1630" s="3295"/>
      <c r="M1630" s="3287" t="s">
        <v>310</v>
      </c>
      <c r="N1630" s="3288"/>
      <c r="O1630" s="40">
        <f t="shared" ref="O1630:Z1631" si="291">$K1630/12</f>
        <v>3296.75</v>
      </c>
      <c r="P1630" s="40">
        <f t="shared" si="291"/>
        <v>3296.75</v>
      </c>
      <c r="Q1630" s="40">
        <f t="shared" si="291"/>
        <v>3296.75</v>
      </c>
      <c r="R1630" s="40">
        <f t="shared" si="291"/>
        <v>3296.75</v>
      </c>
      <c r="S1630" s="40">
        <f t="shared" si="291"/>
        <v>3296.75</v>
      </c>
      <c r="T1630" s="40">
        <f t="shared" si="291"/>
        <v>3296.75</v>
      </c>
      <c r="U1630" s="40">
        <f t="shared" si="291"/>
        <v>3296.75</v>
      </c>
      <c r="V1630" s="40">
        <f t="shared" si="291"/>
        <v>3296.75</v>
      </c>
      <c r="W1630" s="40">
        <f t="shared" si="291"/>
        <v>3296.75</v>
      </c>
      <c r="X1630" s="40">
        <f t="shared" si="291"/>
        <v>3296.75</v>
      </c>
      <c r="Y1630" s="40">
        <f t="shared" si="291"/>
        <v>3296.75</v>
      </c>
      <c r="Z1630" s="40">
        <f t="shared" si="291"/>
        <v>3296.75</v>
      </c>
      <c r="AA1630" s="966">
        <f t="shared" si="286"/>
        <v>39561</v>
      </c>
      <c r="AB1630" s="35"/>
      <c r="AC1630" s="183"/>
    </row>
    <row r="1631" spans="1:29" x14ac:dyDescent="0.2">
      <c r="A1631" s="1422"/>
      <c r="B1631" s="2522"/>
      <c r="C1631" s="2439"/>
      <c r="D1631" s="2421"/>
      <c r="E1631" s="2421"/>
      <c r="F1631" s="2420"/>
      <c r="G1631" s="2420"/>
      <c r="H1631" s="2420"/>
      <c r="I1631" s="2420"/>
      <c r="J1631" s="2516"/>
      <c r="K1631" s="40">
        <v>3704</v>
      </c>
      <c r="L1631" s="3296"/>
      <c r="M1631" s="3287" t="s">
        <v>311</v>
      </c>
      <c r="N1631" s="3288"/>
      <c r="O1631" s="40">
        <f t="shared" si="291"/>
        <v>308.66666666666669</v>
      </c>
      <c r="P1631" s="40">
        <f t="shared" si="291"/>
        <v>308.66666666666669</v>
      </c>
      <c r="Q1631" s="40">
        <f t="shared" si="291"/>
        <v>308.66666666666669</v>
      </c>
      <c r="R1631" s="40">
        <f t="shared" si="291"/>
        <v>308.66666666666669</v>
      </c>
      <c r="S1631" s="40">
        <f t="shared" si="291"/>
        <v>308.66666666666669</v>
      </c>
      <c r="T1631" s="40">
        <f t="shared" si="291"/>
        <v>308.66666666666669</v>
      </c>
      <c r="U1631" s="40">
        <f t="shared" si="291"/>
        <v>308.66666666666669</v>
      </c>
      <c r="V1631" s="40">
        <f t="shared" si="291"/>
        <v>308.66666666666669</v>
      </c>
      <c r="W1631" s="40">
        <f t="shared" si="291"/>
        <v>308.66666666666669</v>
      </c>
      <c r="X1631" s="40">
        <f t="shared" si="291"/>
        <v>308.66666666666669</v>
      </c>
      <c r="Y1631" s="40">
        <f t="shared" si="291"/>
        <v>308.66666666666669</v>
      </c>
      <c r="Z1631" s="40">
        <f t="shared" si="291"/>
        <v>308.66666666666669</v>
      </c>
      <c r="AA1631" s="966">
        <f t="shared" si="286"/>
        <v>3703.9999999999995</v>
      </c>
      <c r="AB1631" s="35"/>
      <c r="AC1631" s="183"/>
    </row>
    <row r="1632" spans="1:29" x14ac:dyDescent="0.2">
      <c r="A1632" s="1422"/>
      <c r="B1632" s="1427"/>
      <c r="C1632" s="1128"/>
      <c r="D1632" s="38"/>
      <c r="E1632" s="38"/>
      <c r="F1632" s="38"/>
      <c r="G1632" s="38"/>
      <c r="H1632" s="38"/>
      <c r="I1632" s="38"/>
      <c r="J1632" s="38"/>
      <c r="K1632" s="40"/>
      <c r="L1632" s="38"/>
      <c r="M1632" s="38"/>
      <c r="N1632" s="38"/>
      <c r="O1632" s="1044"/>
      <c r="P1632" s="1044"/>
      <c r="Q1632" s="1044"/>
      <c r="R1632" s="1044"/>
      <c r="S1632" s="1044"/>
      <c r="T1632" s="1044"/>
      <c r="U1632" s="1044"/>
      <c r="V1632" s="1044"/>
      <c r="W1632" s="1044"/>
      <c r="X1632" s="1044"/>
      <c r="Y1632" s="1044"/>
      <c r="Z1632" s="1044"/>
      <c r="AA1632" s="1133"/>
      <c r="AB1632" s="35"/>
      <c r="AC1632" s="183"/>
    </row>
    <row r="1633" spans="1:29" x14ac:dyDescent="0.2">
      <c r="A1633" s="1422"/>
      <c r="B1633" s="1433" t="s">
        <v>278</v>
      </c>
      <c r="C1633" s="1119"/>
      <c r="D1633" s="1119">
        <v>3043970</v>
      </c>
      <c r="E1633" s="192" t="s">
        <v>626</v>
      </c>
      <c r="F1633" s="35"/>
      <c r="G1633" s="35"/>
      <c r="H1633" s="35"/>
      <c r="I1633" s="35"/>
      <c r="J1633" s="35"/>
      <c r="K1633" s="60"/>
      <c r="L1633" s="60"/>
      <c r="M1633" s="60"/>
      <c r="N1633" s="60"/>
      <c r="O1633" s="60"/>
      <c r="P1633" s="60"/>
      <c r="Q1633" s="60"/>
      <c r="R1633" s="60"/>
      <c r="S1633" s="60"/>
      <c r="T1633" s="3235" t="s">
        <v>15</v>
      </c>
      <c r="U1633" s="3235"/>
      <c r="V1633" s="3235"/>
      <c r="W1633" s="3235"/>
      <c r="X1633" s="3235"/>
      <c r="Y1633" s="3235"/>
      <c r="Z1633" s="3023" t="s">
        <v>16</v>
      </c>
      <c r="AA1633" s="3338"/>
      <c r="AB1633" s="35"/>
      <c r="AC1633" s="183"/>
    </row>
    <row r="1634" spans="1:29" ht="27" customHeight="1" x14ac:dyDescent="0.2">
      <c r="A1634" s="1422"/>
      <c r="B1634" s="1433"/>
      <c r="C1634" s="1119"/>
      <c r="D1634" s="1119"/>
      <c r="E1634" s="192"/>
      <c r="F1634" s="35"/>
      <c r="G1634" s="35"/>
      <c r="H1634" s="35"/>
      <c r="I1634" s="35"/>
      <c r="J1634" s="35"/>
      <c r="K1634" s="60"/>
      <c r="L1634" s="60"/>
      <c r="M1634" s="60"/>
      <c r="N1634" s="60"/>
      <c r="O1634" s="60"/>
      <c r="P1634" s="60"/>
      <c r="Q1634" s="60"/>
      <c r="R1634" s="60"/>
      <c r="S1634" s="60"/>
      <c r="T1634" s="3233" t="s">
        <v>627</v>
      </c>
      <c r="U1634" s="3233"/>
      <c r="V1634" s="3233"/>
      <c r="W1634" s="3233"/>
      <c r="X1634" s="3233"/>
      <c r="Y1634" s="3233"/>
      <c r="Z1634" s="3019" t="s">
        <v>569</v>
      </c>
      <c r="AA1634" s="3020"/>
      <c r="AB1634" s="35"/>
      <c r="AC1634" s="183"/>
    </row>
    <row r="1635" spans="1:29" x14ac:dyDescent="0.2">
      <c r="A1635" s="1422"/>
      <c r="B1635" s="2999" t="s">
        <v>278</v>
      </c>
      <c r="C1635" s="3015" t="s">
        <v>563</v>
      </c>
      <c r="D1635" s="2847" t="s">
        <v>22</v>
      </c>
      <c r="E1635" s="2847" t="s">
        <v>23</v>
      </c>
      <c r="F1635" s="2847" t="s">
        <v>24</v>
      </c>
      <c r="G1635" s="2847" t="s">
        <v>25</v>
      </c>
      <c r="H1635" s="2847" t="s">
        <v>26</v>
      </c>
      <c r="I1635" s="2847" t="s">
        <v>27</v>
      </c>
      <c r="J1635" s="2847" t="s">
        <v>28</v>
      </c>
      <c r="K1635" s="2847"/>
      <c r="L1635" s="2988" t="s">
        <v>279</v>
      </c>
      <c r="M1635" s="3273" t="s">
        <v>280</v>
      </c>
      <c r="N1635" s="3274"/>
      <c r="O1635" s="2847" t="s">
        <v>281</v>
      </c>
      <c r="P1635" s="2847"/>
      <c r="Q1635" s="2847"/>
      <c r="R1635" s="2847"/>
      <c r="S1635" s="2847"/>
      <c r="T1635" s="2847"/>
      <c r="U1635" s="2847"/>
      <c r="V1635" s="2847"/>
      <c r="W1635" s="2847"/>
      <c r="X1635" s="2847"/>
      <c r="Y1635" s="2847"/>
      <c r="Z1635" s="2847"/>
      <c r="AA1635" s="2847" t="s">
        <v>32</v>
      </c>
      <c r="AB1635" s="35"/>
      <c r="AC1635" s="183"/>
    </row>
    <row r="1636" spans="1:29" x14ac:dyDescent="0.2">
      <c r="A1636" s="1422"/>
      <c r="B1636" s="2999"/>
      <c r="C1636" s="3359"/>
      <c r="D1636" s="2847"/>
      <c r="E1636" s="2847"/>
      <c r="F1636" s="2847"/>
      <c r="G1636" s="2847"/>
      <c r="H1636" s="2847"/>
      <c r="I1636" s="2847"/>
      <c r="J1636" s="2847" t="s">
        <v>33</v>
      </c>
      <c r="K1636" s="2847" t="s">
        <v>282</v>
      </c>
      <c r="L1636" s="3186"/>
      <c r="M1636" s="3275"/>
      <c r="N1636" s="3276"/>
      <c r="O1636" s="1017" t="s">
        <v>283</v>
      </c>
      <c r="P1636" s="1017" t="s">
        <v>284</v>
      </c>
      <c r="Q1636" s="1017" t="s">
        <v>285</v>
      </c>
      <c r="R1636" s="1017" t="s">
        <v>88</v>
      </c>
      <c r="S1636" s="1017" t="s">
        <v>89</v>
      </c>
      <c r="T1636" s="1017" t="s">
        <v>90</v>
      </c>
      <c r="U1636" s="1017" t="s">
        <v>91</v>
      </c>
      <c r="V1636" s="1017" t="s">
        <v>92</v>
      </c>
      <c r="W1636" s="1017" t="s">
        <v>286</v>
      </c>
      <c r="X1636" s="1017" t="s">
        <v>93</v>
      </c>
      <c r="Y1636" s="1017" t="s">
        <v>94</v>
      </c>
      <c r="Z1636" s="1017" t="s">
        <v>95</v>
      </c>
      <c r="AA1636" s="2847"/>
      <c r="AB1636" s="35"/>
      <c r="AC1636" s="183"/>
    </row>
    <row r="1637" spans="1:29" ht="12.75" x14ac:dyDescent="0.2">
      <c r="A1637" s="1422"/>
      <c r="B1637" s="2999"/>
      <c r="C1637" s="3359"/>
      <c r="D1637" s="2847"/>
      <c r="E1637" s="2847"/>
      <c r="F1637" s="2847"/>
      <c r="G1637" s="2847"/>
      <c r="H1637" s="2847"/>
      <c r="I1637" s="2847"/>
      <c r="J1637" s="2847"/>
      <c r="K1637" s="2847"/>
      <c r="L1637" s="3186"/>
      <c r="M1637" s="3271" t="s">
        <v>287</v>
      </c>
      <c r="N1637" s="3272"/>
      <c r="O1637" s="1095">
        <v>1</v>
      </c>
      <c r="P1637" s="1095">
        <v>1</v>
      </c>
      <c r="Q1637" s="1095">
        <v>2</v>
      </c>
      <c r="R1637" s="1095">
        <v>1</v>
      </c>
      <c r="S1637" s="1095">
        <v>1</v>
      </c>
      <c r="T1637" s="1095">
        <v>1</v>
      </c>
      <c r="U1637" s="1095">
        <v>1</v>
      </c>
      <c r="V1637" s="1095">
        <v>1</v>
      </c>
      <c r="W1637" s="1095">
        <v>2</v>
      </c>
      <c r="X1637" s="1095">
        <v>1</v>
      </c>
      <c r="Y1637" s="1095">
        <v>1</v>
      </c>
      <c r="Z1637" s="1095">
        <v>1</v>
      </c>
      <c r="AA1637" s="1205">
        <f t="shared" ref="AA1637:AA1658" si="292">SUM(O1637:Z1637)</f>
        <v>14</v>
      </c>
      <c r="AB1637" s="35"/>
      <c r="AC1637" s="183"/>
    </row>
    <row r="1638" spans="1:29" ht="12.75" x14ac:dyDescent="0.2">
      <c r="A1638" s="1422"/>
      <c r="B1638" s="2999"/>
      <c r="C1638" s="3016"/>
      <c r="D1638" s="2847"/>
      <c r="E1638" s="2847"/>
      <c r="F1638" s="2847"/>
      <c r="G1638" s="2847"/>
      <c r="H1638" s="2847"/>
      <c r="I1638" s="2847"/>
      <c r="J1638" s="2847"/>
      <c r="K1638" s="2847"/>
      <c r="L1638" s="2989"/>
      <c r="M1638" s="3271" t="s">
        <v>34</v>
      </c>
      <c r="N1638" s="3272"/>
      <c r="O1638" s="36">
        <f>SUM(O1639:O1658)</f>
        <v>40535.416666666664</v>
      </c>
      <c r="P1638" s="36">
        <f t="shared" ref="P1638:Y1638" si="293">SUM(P1639:P1658)</f>
        <v>39513.416666666664</v>
      </c>
      <c r="Q1638" s="36">
        <f t="shared" si="293"/>
        <v>40383.416666666664</v>
      </c>
      <c r="R1638" s="36">
        <f t="shared" si="293"/>
        <v>46875.916666666664</v>
      </c>
      <c r="S1638" s="36">
        <f t="shared" si="293"/>
        <v>38763.416666666664</v>
      </c>
      <c r="T1638" s="36">
        <f t="shared" si="293"/>
        <v>38763.416666666664</v>
      </c>
      <c r="U1638" s="36">
        <f t="shared" si="293"/>
        <v>43013.416666666664</v>
      </c>
      <c r="V1638" s="36">
        <f t="shared" si="293"/>
        <v>44875.916666666664</v>
      </c>
      <c r="W1638" s="36">
        <f t="shared" si="293"/>
        <v>38763.416666666664</v>
      </c>
      <c r="X1638" s="36">
        <f t="shared" si="293"/>
        <v>38763.416666666664</v>
      </c>
      <c r="Y1638" s="36">
        <f t="shared" si="293"/>
        <v>38763.416666666664</v>
      </c>
      <c r="Z1638" s="36">
        <f>SUM(Z1639:Z1658)</f>
        <v>42263.416666666664</v>
      </c>
      <c r="AA1638" s="2225">
        <f t="shared" si="292"/>
        <v>491278.00000000006</v>
      </c>
      <c r="AB1638" s="35"/>
      <c r="AC1638" s="183"/>
    </row>
    <row r="1639" spans="1:29" x14ac:dyDescent="0.2">
      <c r="A1639" s="1422"/>
      <c r="B1639" s="2522">
        <v>5000080</v>
      </c>
      <c r="C1639" s="3190" t="s">
        <v>628</v>
      </c>
      <c r="D1639" s="2421">
        <v>55</v>
      </c>
      <c r="E1639" s="2421" t="s">
        <v>407</v>
      </c>
      <c r="F1639" s="2420" t="s">
        <v>386</v>
      </c>
      <c r="G1639" s="2420" t="s">
        <v>387</v>
      </c>
      <c r="H1639" s="2420"/>
      <c r="I1639" s="2420" t="s">
        <v>570</v>
      </c>
      <c r="J1639" s="2514">
        <v>14</v>
      </c>
      <c r="K1639" s="101">
        <v>47250</v>
      </c>
      <c r="L1639" s="3294" t="s">
        <v>565</v>
      </c>
      <c r="M1639" s="3287" t="s">
        <v>293</v>
      </c>
      <c r="N1639" s="3288"/>
      <c r="O1639" s="40">
        <f t="shared" ref="O1639:Z1642" si="294">$K1639/12</f>
        <v>3937.5</v>
      </c>
      <c r="P1639" s="40">
        <f t="shared" si="294"/>
        <v>3937.5</v>
      </c>
      <c r="Q1639" s="40">
        <f t="shared" si="294"/>
        <v>3937.5</v>
      </c>
      <c r="R1639" s="40">
        <f t="shared" si="294"/>
        <v>3937.5</v>
      </c>
      <c r="S1639" s="40">
        <f t="shared" si="294"/>
        <v>3937.5</v>
      </c>
      <c r="T1639" s="40">
        <f t="shared" si="294"/>
        <v>3937.5</v>
      </c>
      <c r="U1639" s="40">
        <f t="shared" si="294"/>
        <v>3937.5</v>
      </c>
      <c r="V1639" s="40">
        <f t="shared" si="294"/>
        <v>3937.5</v>
      </c>
      <c r="W1639" s="40">
        <f t="shared" si="294"/>
        <v>3937.5</v>
      </c>
      <c r="X1639" s="40">
        <f t="shared" si="294"/>
        <v>3937.5</v>
      </c>
      <c r="Y1639" s="40">
        <f t="shared" si="294"/>
        <v>3937.5</v>
      </c>
      <c r="Z1639" s="40">
        <f t="shared" si="294"/>
        <v>3937.5</v>
      </c>
      <c r="AA1639" s="966">
        <f>SUM(O1639:Z1639)</f>
        <v>47250</v>
      </c>
      <c r="AB1639" s="35"/>
      <c r="AC1639" s="183"/>
    </row>
    <row r="1640" spans="1:29" x14ac:dyDescent="0.2">
      <c r="A1640" s="1422"/>
      <c r="B1640" s="2522"/>
      <c r="C1640" s="3191"/>
      <c r="D1640" s="2421"/>
      <c r="E1640" s="2421"/>
      <c r="F1640" s="2420"/>
      <c r="G1640" s="2420"/>
      <c r="H1640" s="2420"/>
      <c r="I1640" s="2420"/>
      <c r="J1640" s="2515"/>
      <c r="K1640" s="127">
        <v>124326</v>
      </c>
      <c r="L1640" s="3295"/>
      <c r="M1640" s="3287" t="s">
        <v>295</v>
      </c>
      <c r="N1640" s="3288"/>
      <c r="O1640" s="40">
        <f t="shared" si="294"/>
        <v>10360.5</v>
      </c>
      <c r="P1640" s="40">
        <f t="shared" si="294"/>
        <v>10360.5</v>
      </c>
      <c r="Q1640" s="40">
        <f t="shared" si="294"/>
        <v>10360.5</v>
      </c>
      <c r="R1640" s="40">
        <f t="shared" si="294"/>
        <v>10360.5</v>
      </c>
      <c r="S1640" s="40">
        <f t="shared" si="294"/>
        <v>10360.5</v>
      </c>
      <c r="T1640" s="40">
        <f t="shared" si="294"/>
        <v>10360.5</v>
      </c>
      <c r="U1640" s="40">
        <f t="shared" si="294"/>
        <v>10360.5</v>
      </c>
      <c r="V1640" s="40">
        <f t="shared" si="294"/>
        <v>10360.5</v>
      </c>
      <c r="W1640" s="40">
        <f t="shared" si="294"/>
        <v>10360.5</v>
      </c>
      <c r="X1640" s="40">
        <f t="shared" si="294"/>
        <v>10360.5</v>
      </c>
      <c r="Y1640" s="40">
        <f t="shared" si="294"/>
        <v>10360.5</v>
      </c>
      <c r="Z1640" s="40">
        <f t="shared" si="294"/>
        <v>10360.5</v>
      </c>
      <c r="AA1640" s="966">
        <f t="shared" si="292"/>
        <v>124326</v>
      </c>
      <c r="AB1640" s="35"/>
      <c r="AC1640" s="183"/>
    </row>
    <row r="1641" spans="1:29" x14ac:dyDescent="0.2">
      <c r="A1641" s="1422"/>
      <c r="B1641" s="2522"/>
      <c r="C1641" s="3191"/>
      <c r="D1641" s="2421"/>
      <c r="E1641" s="2421"/>
      <c r="F1641" s="2420"/>
      <c r="G1641" s="2420"/>
      <c r="H1641" s="2420"/>
      <c r="I1641" s="2420"/>
      <c r="J1641" s="2515"/>
      <c r="K1641" s="127">
        <v>39911</v>
      </c>
      <c r="L1641" s="3295"/>
      <c r="M1641" s="3287" t="s">
        <v>296</v>
      </c>
      <c r="N1641" s="3288"/>
      <c r="O1641" s="40">
        <f t="shared" si="294"/>
        <v>3325.9166666666665</v>
      </c>
      <c r="P1641" s="40">
        <f t="shared" si="294"/>
        <v>3325.9166666666665</v>
      </c>
      <c r="Q1641" s="40">
        <f t="shared" si="294"/>
        <v>3325.9166666666665</v>
      </c>
      <c r="R1641" s="40">
        <f t="shared" si="294"/>
        <v>3325.9166666666665</v>
      </c>
      <c r="S1641" s="40">
        <f t="shared" si="294"/>
        <v>3325.9166666666665</v>
      </c>
      <c r="T1641" s="40">
        <f t="shared" si="294"/>
        <v>3325.9166666666665</v>
      </c>
      <c r="U1641" s="40">
        <f t="shared" si="294"/>
        <v>3325.9166666666665</v>
      </c>
      <c r="V1641" s="40">
        <f t="shared" si="294"/>
        <v>3325.9166666666665</v>
      </c>
      <c r="W1641" s="40">
        <f t="shared" si="294"/>
        <v>3325.9166666666665</v>
      </c>
      <c r="X1641" s="40">
        <f t="shared" si="294"/>
        <v>3325.9166666666665</v>
      </c>
      <c r="Y1641" s="40">
        <f t="shared" si="294"/>
        <v>3325.9166666666665</v>
      </c>
      <c r="Z1641" s="40">
        <f t="shared" si="294"/>
        <v>3325.9166666666665</v>
      </c>
      <c r="AA1641" s="966">
        <f t="shared" si="292"/>
        <v>39911</v>
      </c>
      <c r="AB1641" s="35"/>
      <c r="AC1641" s="183"/>
    </row>
    <row r="1642" spans="1:29" x14ac:dyDescent="0.2">
      <c r="A1642" s="1422"/>
      <c r="B1642" s="2522"/>
      <c r="C1642" s="3191"/>
      <c r="D1642" s="2421"/>
      <c r="E1642" s="2421"/>
      <c r="F1642" s="2420"/>
      <c r="G1642" s="2420"/>
      <c r="H1642" s="2420"/>
      <c r="I1642" s="2420"/>
      <c r="J1642" s="2515"/>
      <c r="K1642" s="127">
        <v>53184</v>
      </c>
      <c r="L1642" s="3295"/>
      <c r="M1642" s="3287" t="s">
        <v>297</v>
      </c>
      <c r="N1642" s="3288"/>
      <c r="O1642" s="40">
        <f t="shared" si="294"/>
        <v>4432</v>
      </c>
      <c r="P1642" s="40">
        <f t="shared" si="294"/>
        <v>4432</v>
      </c>
      <c r="Q1642" s="40">
        <f t="shared" si="294"/>
        <v>4432</v>
      </c>
      <c r="R1642" s="40">
        <f t="shared" si="294"/>
        <v>4432</v>
      </c>
      <c r="S1642" s="40">
        <f t="shared" si="294"/>
        <v>4432</v>
      </c>
      <c r="T1642" s="40">
        <f t="shared" si="294"/>
        <v>4432</v>
      </c>
      <c r="U1642" s="40">
        <f t="shared" si="294"/>
        <v>4432</v>
      </c>
      <c r="V1642" s="40">
        <f t="shared" si="294"/>
        <v>4432</v>
      </c>
      <c r="W1642" s="40">
        <f t="shared" si="294"/>
        <v>4432</v>
      </c>
      <c r="X1642" s="40">
        <f t="shared" si="294"/>
        <v>4432</v>
      </c>
      <c r="Y1642" s="40">
        <f t="shared" si="294"/>
        <v>4432</v>
      </c>
      <c r="Z1642" s="40">
        <f t="shared" si="294"/>
        <v>4432</v>
      </c>
      <c r="AA1642" s="966">
        <f t="shared" si="292"/>
        <v>53184</v>
      </c>
      <c r="AB1642" s="35"/>
      <c r="AC1642" s="183"/>
    </row>
    <row r="1643" spans="1:29" x14ac:dyDescent="0.2">
      <c r="A1643" s="1422"/>
      <c r="B1643" s="2522"/>
      <c r="C1643" s="3191"/>
      <c r="D1643" s="2421"/>
      <c r="E1643" s="2421"/>
      <c r="F1643" s="2420"/>
      <c r="G1643" s="2420"/>
      <c r="H1643" s="2420"/>
      <c r="I1643" s="2420"/>
      <c r="J1643" s="2515"/>
      <c r="K1643" s="127">
        <v>2000</v>
      </c>
      <c r="L1643" s="3295"/>
      <c r="M1643" s="3287" t="s">
        <v>629</v>
      </c>
      <c r="N1643" s="3288"/>
      <c r="O1643" s="40"/>
      <c r="P1643" s="40"/>
      <c r="Q1643" s="40"/>
      <c r="R1643" s="40"/>
      <c r="S1643" s="40"/>
      <c r="T1643" s="40"/>
      <c r="U1643" s="40">
        <f>$K1643/2</f>
        <v>1000</v>
      </c>
      <c r="V1643" s="40"/>
      <c r="W1643" s="40"/>
      <c r="X1643" s="40"/>
      <c r="Y1643" s="40"/>
      <c r="Z1643" s="40">
        <f>$K1643/2</f>
        <v>1000</v>
      </c>
      <c r="AA1643" s="966">
        <f t="shared" si="292"/>
        <v>2000</v>
      </c>
      <c r="AB1643" s="35"/>
      <c r="AC1643" s="183"/>
    </row>
    <row r="1644" spans="1:29" x14ac:dyDescent="0.2">
      <c r="A1644" s="1422"/>
      <c r="B1644" s="2522"/>
      <c r="C1644" s="3191"/>
      <c r="D1644" s="2421"/>
      <c r="E1644" s="2421"/>
      <c r="F1644" s="2420"/>
      <c r="G1644" s="2420"/>
      <c r="H1644" s="2420"/>
      <c r="I1644" s="2420"/>
      <c r="J1644" s="2515"/>
      <c r="K1644" s="127">
        <v>5000</v>
      </c>
      <c r="L1644" s="3295"/>
      <c r="M1644" s="3287" t="s">
        <v>298</v>
      </c>
      <c r="N1644" s="3288"/>
      <c r="O1644" s="40"/>
      <c r="P1644" s="1044"/>
      <c r="Q1644" s="1044"/>
      <c r="R1644" s="1044"/>
      <c r="S1644" s="1044"/>
      <c r="T1644" s="1044"/>
      <c r="U1644" s="40">
        <f>$K1644/2</f>
        <v>2500</v>
      </c>
      <c r="V1644" s="1044"/>
      <c r="W1644" s="1044"/>
      <c r="X1644" s="1044"/>
      <c r="Y1644" s="1044"/>
      <c r="Z1644" s="40">
        <f>$K1644/2</f>
        <v>2500</v>
      </c>
      <c r="AA1644" s="966">
        <f t="shared" si="292"/>
        <v>5000</v>
      </c>
      <c r="AB1644" s="35"/>
      <c r="AC1644" s="183"/>
    </row>
    <row r="1645" spans="1:29" x14ac:dyDescent="0.2">
      <c r="A1645" s="1422"/>
      <c r="B1645" s="2522"/>
      <c r="C1645" s="3191"/>
      <c r="D1645" s="2421"/>
      <c r="E1645" s="2421"/>
      <c r="F1645" s="2420"/>
      <c r="G1645" s="2420"/>
      <c r="H1645" s="2420"/>
      <c r="I1645" s="2420"/>
      <c r="J1645" s="2515"/>
      <c r="K1645" s="127">
        <v>2000</v>
      </c>
      <c r="L1645" s="3295"/>
      <c r="M1645" s="3287" t="s">
        <v>299</v>
      </c>
      <c r="N1645" s="3288"/>
      <c r="O1645" s="40">
        <f>$K1645</f>
        <v>2000</v>
      </c>
      <c r="P1645" s="40"/>
      <c r="Q1645" s="40"/>
      <c r="R1645" s="40"/>
      <c r="S1645" s="40"/>
      <c r="T1645" s="40"/>
      <c r="U1645" s="40"/>
      <c r="V1645" s="40"/>
      <c r="W1645" s="40"/>
      <c r="X1645" s="40"/>
      <c r="Y1645" s="40"/>
      <c r="Z1645" s="40"/>
      <c r="AA1645" s="966">
        <f t="shared" si="292"/>
        <v>2000</v>
      </c>
      <c r="AB1645" s="35"/>
      <c r="AC1645" s="183"/>
    </row>
    <row r="1646" spans="1:29" x14ac:dyDescent="0.2">
      <c r="A1646" s="1422"/>
      <c r="B1646" s="2522"/>
      <c r="C1646" s="3191"/>
      <c r="D1646" s="2421"/>
      <c r="E1646" s="2421"/>
      <c r="F1646" s="2420"/>
      <c r="G1646" s="2420"/>
      <c r="H1646" s="2420"/>
      <c r="I1646" s="2420"/>
      <c r="J1646" s="2515"/>
      <c r="K1646" s="127">
        <v>35820</v>
      </c>
      <c r="L1646" s="3295"/>
      <c r="M1646" s="3287" t="s">
        <v>339</v>
      </c>
      <c r="N1646" s="3288"/>
      <c r="O1646" s="40">
        <f t="shared" ref="O1646:Z1647" si="295">$K1646/12</f>
        <v>2985</v>
      </c>
      <c r="P1646" s="40">
        <f t="shared" si="295"/>
        <v>2985</v>
      </c>
      <c r="Q1646" s="40">
        <f t="shared" si="295"/>
        <v>2985</v>
      </c>
      <c r="R1646" s="40">
        <f t="shared" si="295"/>
        <v>2985</v>
      </c>
      <c r="S1646" s="40">
        <f t="shared" si="295"/>
        <v>2985</v>
      </c>
      <c r="T1646" s="40">
        <f t="shared" si="295"/>
        <v>2985</v>
      </c>
      <c r="U1646" s="40">
        <f t="shared" si="295"/>
        <v>2985</v>
      </c>
      <c r="V1646" s="40">
        <f t="shared" si="295"/>
        <v>2985</v>
      </c>
      <c r="W1646" s="40">
        <f t="shared" si="295"/>
        <v>2985</v>
      </c>
      <c r="X1646" s="40">
        <f t="shared" si="295"/>
        <v>2985</v>
      </c>
      <c r="Y1646" s="40">
        <f t="shared" si="295"/>
        <v>2985</v>
      </c>
      <c r="Z1646" s="40">
        <f t="shared" si="295"/>
        <v>2985</v>
      </c>
      <c r="AA1646" s="966">
        <f t="shared" si="292"/>
        <v>35820</v>
      </c>
      <c r="AB1646" s="35"/>
      <c r="AC1646" s="183"/>
    </row>
    <row r="1647" spans="1:29" x14ac:dyDescent="0.2">
      <c r="A1647" s="1422"/>
      <c r="B1647" s="2522"/>
      <c r="C1647" s="3191"/>
      <c r="D1647" s="2421"/>
      <c r="E1647" s="2421"/>
      <c r="F1647" s="2420"/>
      <c r="G1647" s="2420"/>
      <c r="H1647" s="2420"/>
      <c r="I1647" s="2420"/>
      <c r="J1647" s="2515"/>
      <c r="K1647" s="127">
        <v>11575</v>
      </c>
      <c r="L1647" s="3295"/>
      <c r="M1647" s="3287" t="s">
        <v>300</v>
      </c>
      <c r="N1647" s="3288"/>
      <c r="O1647" s="40">
        <f t="shared" si="295"/>
        <v>964.58333333333337</v>
      </c>
      <c r="P1647" s="40">
        <f t="shared" si="295"/>
        <v>964.58333333333337</v>
      </c>
      <c r="Q1647" s="40">
        <f t="shared" si="295"/>
        <v>964.58333333333337</v>
      </c>
      <c r="R1647" s="40">
        <f t="shared" si="295"/>
        <v>964.58333333333337</v>
      </c>
      <c r="S1647" s="40">
        <f t="shared" si="295"/>
        <v>964.58333333333337</v>
      </c>
      <c r="T1647" s="40">
        <f t="shared" si="295"/>
        <v>964.58333333333337</v>
      </c>
      <c r="U1647" s="40">
        <f t="shared" si="295"/>
        <v>964.58333333333337</v>
      </c>
      <c r="V1647" s="40">
        <f t="shared" si="295"/>
        <v>964.58333333333337</v>
      </c>
      <c r="W1647" s="40">
        <f t="shared" si="295"/>
        <v>964.58333333333337</v>
      </c>
      <c r="X1647" s="40">
        <f t="shared" si="295"/>
        <v>964.58333333333337</v>
      </c>
      <c r="Y1647" s="40">
        <f t="shared" si="295"/>
        <v>964.58333333333337</v>
      </c>
      <c r="Z1647" s="40">
        <f t="shared" si="295"/>
        <v>964.58333333333337</v>
      </c>
      <c r="AA1647" s="966">
        <f t="shared" si="292"/>
        <v>11575.000000000002</v>
      </c>
      <c r="AB1647" s="35"/>
      <c r="AC1647" s="183"/>
    </row>
    <row r="1648" spans="1:29" x14ac:dyDescent="0.2">
      <c r="A1648" s="1422"/>
      <c r="B1648" s="2522"/>
      <c r="C1648" s="3191"/>
      <c r="D1648" s="2421"/>
      <c r="E1648" s="2421"/>
      <c r="F1648" s="2420"/>
      <c r="G1648" s="2420"/>
      <c r="H1648" s="2420"/>
      <c r="I1648" s="2420"/>
      <c r="J1648" s="2515"/>
      <c r="K1648" s="127">
        <v>232</v>
      </c>
      <c r="L1648" s="3295"/>
      <c r="M1648" s="3287" t="s">
        <v>380</v>
      </c>
      <c r="N1648" s="3288"/>
      <c r="O1648" s="40">
        <f>$K1648</f>
        <v>232</v>
      </c>
      <c r="P1648" s="1044"/>
      <c r="Q1648" s="1044"/>
      <c r="R1648" s="1044"/>
      <c r="S1648" s="1044"/>
      <c r="T1648" s="1044"/>
      <c r="U1648" s="1044"/>
      <c r="V1648" s="1044"/>
      <c r="W1648" s="1044"/>
      <c r="X1648" s="1044"/>
      <c r="Y1648" s="1044"/>
      <c r="Z1648" s="1044"/>
      <c r="AA1648" s="966">
        <f t="shared" si="292"/>
        <v>232</v>
      </c>
      <c r="AB1648" s="35"/>
      <c r="AC1648" s="183"/>
    </row>
    <row r="1649" spans="1:29" x14ac:dyDescent="0.2">
      <c r="A1649" s="1422"/>
      <c r="B1649" s="2522"/>
      <c r="C1649" s="3191"/>
      <c r="D1649" s="2421"/>
      <c r="E1649" s="2421"/>
      <c r="F1649" s="2420"/>
      <c r="G1649" s="2420"/>
      <c r="H1649" s="2420"/>
      <c r="I1649" s="2420"/>
      <c r="J1649" s="2515"/>
      <c r="K1649" s="127">
        <v>2500</v>
      </c>
      <c r="L1649" s="3295"/>
      <c r="M1649" s="3287" t="s">
        <v>340</v>
      </c>
      <c r="N1649" s="3288"/>
      <c r="O1649" s="95"/>
      <c r="P1649" s="95">
        <f>$K1649/11</f>
        <v>227.27272727272728</v>
      </c>
      <c r="Q1649" s="95">
        <f t="shared" ref="Q1649:Z1649" si="296">$K1649/11</f>
        <v>227.27272727272728</v>
      </c>
      <c r="R1649" s="95">
        <f t="shared" si="296"/>
        <v>227.27272727272728</v>
      </c>
      <c r="S1649" s="95">
        <f t="shared" si="296"/>
        <v>227.27272727272728</v>
      </c>
      <c r="T1649" s="95">
        <f t="shared" si="296"/>
        <v>227.27272727272728</v>
      </c>
      <c r="U1649" s="95">
        <f t="shared" si="296"/>
        <v>227.27272727272728</v>
      </c>
      <c r="V1649" s="95">
        <f t="shared" si="296"/>
        <v>227.27272727272728</v>
      </c>
      <c r="W1649" s="95">
        <f t="shared" si="296"/>
        <v>227.27272727272728</v>
      </c>
      <c r="X1649" s="95">
        <f t="shared" si="296"/>
        <v>227.27272727272728</v>
      </c>
      <c r="Y1649" s="95">
        <f t="shared" si="296"/>
        <v>227.27272727272728</v>
      </c>
      <c r="Z1649" s="95">
        <f t="shared" si="296"/>
        <v>227.27272727272728</v>
      </c>
      <c r="AA1649" s="966">
        <f t="shared" si="292"/>
        <v>2500.0000000000005</v>
      </c>
      <c r="AB1649" s="35"/>
      <c r="AC1649" s="183"/>
    </row>
    <row r="1650" spans="1:29" x14ac:dyDescent="0.2">
      <c r="A1650" s="1422"/>
      <c r="B1650" s="2522"/>
      <c r="C1650" s="3191"/>
      <c r="D1650" s="2421"/>
      <c r="E1650" s="2421"/>
      <c r="F1650" s="2420"/>
      <c r="G1650" s="2420"/>
      <c r="H1650" s="2420"/>
      <c r="I1650" s="2420"/>
      <c r="J1650" s="2515"/>
      <c r="K1650" s="127">
        <v>820</v>
      </c>
      <c r="L1650" s="3295"/>
      <c r="M1650" s="3287" t="s">
        <v>303</v>
      </c>
      <c r="N1650" s="3288"/>
      <c r="O1650" s="1044"/>
      <c r="P1650" s="1044"/>
      <c r="Q1650" s="40">
        <f>$K1650</f>
        <v>820</v>
      </c>
      <c r="R1650" s="1044"/>
      <c r="S1650" s="1044"/>
      <c r="T1650" s="1044"/>
      <c r="U1650" s="1044"/>
      <c r="V1650" s="1044"/>
      <c r="W1650" s="1044"/>
      <c r="X1650" s="1044"/>
      <c r="Y1650" s="1044"/>
      <c r="Z1650" s="1044"/>
      <c r="AA1650" s="966">
        <f t="shared" si="292"/>
        <v>820</v>
      </c>
      <c r="AB1650" s="35"/>
      <c r="AC1650" s="183"/>
    </row>
    <row r="1651" spans="1:29" x14ac:dyDescent="0.2">
      <c r="A1651" s="1422"/>
      <c r="B1651" s="2522"/>
      <c r="C1651" s="3191"/>
      <c r="D1651" s="2421"/>
      <c r="E1651" s="2421"/>
      <c r="F1651" s="2420"/>
      <c r="G1651" s="2420"/>
      <c r="H1651" s="2420"/>
      <c r="I1651" s="2420"/>
      <c r="J1651" s="2515"/>
      <c r="K1651" s="127">
        <v>1500</v>
      </c>
      <c r="L1651" s="3295"/>
      <c r="M1651" s="3287" t="s">
        <v>324</v>
      </c>
      <c r="N1651" s="3288"/>
      <c r="O1651" s="1044"/>
      <c r="P1651" s="40">
        <f>$K1651/2</f>
        <v>750</v>
      </c>
      <c r="Q1651" s="1044"/>
      <c r="R1651" s="1044"/>
      <c r="S1651" s="1044"/>
      <c r="T1651" s="1044"/>
      <c r="U1651" s="40">
        <f>$K1651/2</f>
        <v>750</v>
      </c>
      <c r="V1651" s="1044"/>
      <c r="W1651" s="1044"/>
      <c r="X1651" s="1044"/>
      <c r="Y1651" s="1044"/>
      <c r="Z1651" s="1044"/>
      <c r="AA1651" s="966">
        <f t="shared" si="292"/>
        <v>1500</v>
      </c>
      <c r="AB1651" s="35"/>
      <c r="AC1651" s="183"/>
    </row>
    <row r="1652" spans="1:29" x14ac:dyDescent="0.2">
      <c r="A1652" s="1422"/>
      <c r="B1652" s="2522"/>
      <c r="C1652" s="3191"/>
      <c r="D1652" s="2421"/>
      <c r="E1652" s="2421"/>
      <c r="F1652" s="2420"/>
      <c r="G1652" s="2420"/>
      <c r="H1652" s="2420"/>
      <c r="I1652" s="2420"/>
      <c r="J1652" s="2515"/>
      <c r="K1652" s="127">
        <v>800</v>
      </c>
      <c r="L1652" s="3295"/>
      <c r="M1652" s="3287" t="s">
        <v>348</v>
      </c>
      <c r="N1652" s="3288"/>
      <c r="O1652" s="95"/>
      <c r="P1652" s="95"/>
      <c r="Q1652" s="95">
        <f>$K1652</f>
        <v>800</v>
      </c>
      <c r="R1652" s="95"/>
      <c r="S1652" s="95"/>
      <c r="T1652" s="95"/>
      <c r="U1652" s="95"/>
      <c r="V1652" s="95"/>
      <c r="W1652" s="95"/>
      <c r="X1652" s="95"/>
      <c r="Y1652" s="95"/>
      <c r="Z1652" s="95"/>
      <c r="AA1652" s="966">
        <f t="shared" si="292"/>
        <v>800</v>
      </c>
      <c r="AB1652" s="35"/>
      <c r="AC1652" s="183"/>
    </row>
    <row r="1653" spans="1:29" x14ac:dyDescent="0.2">
      <c r="A1653" s="1422"/>
      <c r="B1653" s="2522"/>
      <c r="C1653" s="3191"/>
      <c r="D1653" s="2421"/>
      <c r="E1653" s="2421"/>
      <c r="F1653" s="2420"/>
      <c r="G1653" s="2420"/>
      <c r="H1653" s="2420"/>
      <c r="I1653" s="2420"/>
      <c r="J1653" s="2515"/>
      <c r="K1653" s="127">
        <v>4825</v>
      </c>
      <c r="L1653" s="3295"/>
      <c r="M1653" s="3287" t="s">
        <v>393</v>
      </c>
      <c r="N1653" s="3288"/>
      <c r="O1653" s="1044"/>
      <c r="P1653" s="1044"/>
      <c r="Q1653" s="1044"/>
      <c r="R1653" s="40">
        <f>$K1653/2</f>
        <v>2412.5</v>
      </c>
      <c r="S1653" s="1044"/>
      <c r="T1653" s="1044"/>
      <c r="U1653" s="1044"/>
      <c r="V1653" s="40">
        <f>$K1653/2</f>
        <v>2412.5</v>
      </c>
      <c r="W1653" s="1044"/>
      <c r="X1653" s="1044"/>
      <c r="Y1653" s="1044"/>
      <c r="Z1653" s="1044"/>
      <c r="AA1653" s="966">
        <f t="shared" si="292"/>
        <v>4825</v>
      </c>
      <c r="AB1653" s="35"/>
      <c r="AC1653" s="183"/>
    </row>
    <row r="1654" spans="1:29" x14ac:dyDescent="0.2">
      <c r="A1654" s="1422"/>
      <c r="B1654" s="2522"/>
      <c r="C1654" s="3191"/>
      <c r="D1654" s="2421"/>
      <c r="E1654" s="2421"/>
      <c r="F1654" s="2420"/>
      <c r="G1654" s="2420"/>
      <c r="H1654" s="2420"/>
      <c r="I1654" s="2420"/>
      <c r="J1654" s="2515"/>
      <c r="K1654" s="127">
        <v>2560</v>
      </c>
      <c r="L1654" s="3295"/>
      <c r="M1654" s="3287" t="s">
        <v>611</v>
      </c>
      <c r="N1654" s="3288"/>
      <c r="O1654" s="95"/>
      <c r="P1654" s="95">
        <f>$K1654/11</f>
        <v>232.72727272727272</v>
      </c>
      <c r="Q1654" s="95">
        <f t="shared" ref="Q1654:Z1654" si="297">$K1654/11</f>
        <v>232.72727272727272</v>
      </c>
      <c r="R1654" s="95">
        <f t="shared" si="297"/>
        <v>232.72727272727272</v>
      </c>
      <c r="S1654" s="95">
        <f t="shared" si="297"/>
        <v>232.72727272727272</v>
      </c>
      <c r="T1654" s="95">
        <f t="shared" si="297"/>
        <v>232.72727272727272</v>
      </c>
      <c r="U1654" s="95">
        <f t="shared" si="297"/>
        <v>232.72727272727272</v>
      </c>
      <c r="V1654" s="95">
        <f t="shared" si="297"/>
        <v>232.72727272727272</v>
      </c>
      <c r="W1654" s="95">
        <f t="shared" si="297"/>
        <v>232.72727272727272</v>
      </c>
      <c r="X1654" s="95">
        <f t="shared" si="297"/>
        <v>232.72727272727272</v>
      </c>
      <c r="Y1654" s="95">
        <f t="shared" si="297"/>
        <v>232.72727272727272</v>
      </c>
      <c r="Z1654" s="95">
        <f t="shared" si="297"/>
        <v>232.72727272727272</v>
      </c>
      <c r="AA1654" s="966">
        <f t="shared" si="292"/>
        <v>2559.9999999999995</v>
      </c>
      <c r="AB1654" s="35"/>
      <c r="AC1654" s="183"/>
    </row>
    <row r="1655" spans="1:29" x14ac:dyDescent="0.2">
      <c r="A1655" s="1422"/>
      <c r="B1655" s="2522"/>
      <c r="C1655" s="3191"/>
      <c r="D1655" s="2421"/>
      <c r="E1655" s="2421"/>
      <c r="F1655" s="2420"/>
      <c r="G1655" s="2420"/>
      <c r="H1655" s="2420"/>
      <c r="I1655" s="2420"/>
      <c r="J1655" s="2515"/>
      <c r="K1655" s="127">
        <v>7400</v>
      </c>
      <c r="L1655" s="3295"/>
      <c r="M1655" s="3287" t="s">
        <v>343</v>
      </c>
      <c r="N1655" s="3288"/>
      <c r="O1655" s="1044"/>
      <c r="P1655" s="1044"/>
      <c r="Q1655" s="94"/>
      <c r="R1655" s="1044">
        <f>$K1655/2</f>
        <v>3700</v>
      </c>
      <c r="S1655" s="94"/>
      <c r="T1655" s="94"/>
      <c r="U1655" s="94"/>
      <c r="V1655" s="1044">
        <f>$K1655/2</f>
        <v>3700</v>
      </c>
      <c r="W1655" s="94"/>
      <c r="X1655" s="94"/>
      <c r="Y1655" s="94"/>
      <c r="Z1655" s="94"/>
      <c r="AA1655" s="966">
        <f t="shared" si="292"/>
        <v>7400</v>
      </c>
      <c r="AB1655" s="35"/>
      <c r="AC1655" s="183"/>
    </row>
    <row r="1656" spans="1:29" x14ac:dyDescent="0.2">
      <c r="A1656" s="1422"/>
      <c r="B1656" s="2522"/>
      <c r="C1656" s="3191"/>
      <c r="D1656" s="2421"/>
      <c r="E1656" s="2421"/>
      <c r="F1656" s="2420"/>
      <c r="G1656" s="2420"/>
      <c r="H1656" s="2420"/>
      <c r="I1656" s="2420"/>
      <c r="J1656" s="2515"/>
      <c r="K1656" s="127">
        <v>2000</v>
      </c>
      <c r="L1656" s="3295"/>
      <c r="M1656" s="3287" t="s">
        <v>304</v>
      </c>
      <c r="N1656" s="3288"/>
      <c r="O1656" s="1044"/>
      <c r="P1656" s="1044"/>
      <c r="Q1656" s="40"/>
      <c r="R1656" s="40">
        <f>$K1656</f>
        <v>2000</v>
      </c>
      <c r="S1656" s="1044"/>
      <c r="T1656" s="1044"/>
      <c r="U1656" s="1044"/>
      <c r="V1656" s="1044"/>
      <c r="W1656" s="1044"/>
      <c r="X1656" s="1044"/>
      <c r="Y1656" s="1044"/>
      <c r="Z1656" s="1044"/>
      <c r="AA1656" s="966">
        <f t="shared" si="292"/>
        <v>2000</v>
      </c>
      <c r="AB1656" s="35"/>
      <c r="AC1656" s="183"/>
    </row>
    <row r="1657" spans="1:29" x14ac:dyDescent="0.2">
      <c r="A1657" s="1422"/>
      <c r="B1657" s="2522"/>
      <c r="C1657" s="3191"/>
      <c r="D1657" s="2421"/>
      <c r="E1657" s="2421"/>
      <c r="F1657" s="2420"/>
      <c r="G1657" s="2420"/>
      <c r="H1657" s="2420"/>
      <c r="I1657" s="2420"/>
      <c r="J1657" s="2515"/>
      <c r="K1657" s="127">
        <v>134180</v>
      </c>
      <c r="L1657" s="3295"/>
      <c r="M1657" s="3287" t="s">
        <v>310</v>
      </c>
      <c r="N1657" s="3288"/>
      <c r="O1657" s="40">
        <f t="shared" ref="O1657:Z1658" si="298">$K1657/12</f>
        <v>11181.666666666666</v>
      </c>
      <c r="P1657" s="40">
        <f t="shared" si="298"/>
        <v>11181.666666666666</v>
      </c>
      <c r="Q1657" s="40">
        <f t="shared" si="298"/>
        <v>11181.666666666666</v>
      </c>
      <c r="R1657" s="40">
        <f t="shared" si="298"/>
        <v>11181.666666666666</v>
      </c>
      <c r="S1657" s="40">
        <f t="shared" si="298"/>
        <v>11181.666666666666</v>
      </c>
      <c r="T1657" s="40">
        <f t="shared" si="298"/>
        <v>11181.666666666666</v>
      </c>
      <c r="U1657" s="40">
        <f t="shared" si="298"/>
        <v>11181.666666666666</v>
      </c>
      <c r="V1657" s="40">
        <f t="shared" si="298"/>
        <v>11181.666666666666</v>
      </c>
      <c r="W1657" s="40">
        <f t="shared" si="298"/>
        <v>11181.666666666666</v>
      </c>
      <c r="X1657" s="40">
        <f t="shared" si="298"/>
        <v>11181.666666666666</v>
      </c>
      <c r="Y1657" s="40">
        <f t="shared" si="298"/>
        <v>11181.666666666666</v>
      </c>
      <c r="Z1657" s="40">
        <f t="shared" si="298"/>
        <v>11181.666666666666</v>
      </c>
      <c r="AA1657" s="966">
        <f t="shared" si="292"/>
        <v>134180.00000000003</v>
      </c>
      <c r="AB1657" s="35"/>
      <c r="AC1657" s="183"/>
    </row>
    <row r="1658" spans="1:29" x14ac:dyDescent="0.2">
      <c r="A1658" s="1422"/>
      <c r="B1658" s="2522"/>
      <c r="C1658" s="2439"/>
      <c r="D1658" s="2421"/>
      <c r="E1658" s="2421"/>
      <c r="F1658" s="2420"/>
      <c r="G1658" s="2420"/>
      <c r="H1658" s="2420"/>
      <c r="I1658" s="2420"/>
      <c r="J1658" s="2516"/>
      <c r="K1658" s="127">
        <v>13395</v>
      </c>
      <c r="L1658" s="3296"/>
      <c r="M1658" s="3287" t="s">
        <v>311</v>
      </c>
      <c r="N1658" s="3288"/>
      <c r="O1658" s="40">
        <f t="shared" si="298"/>
        <v>1116.25</v>
      </c>
      <c r="P1658" s="40">
        <f t="shared" si="298"/>
        <v>1116.25</v>
      </c>
      <c r="Q1658" s="40">
        <f t="shared" si="298"/>
        <v>1116.25</v>
      </c>
      <c r="R1658" s="40">
        <f t="shared" si="298"/>
        <v>1116.25</v>
      </c>
      <c r="S1658" s="40">
        <f t="shared" si="298"/>
        <v>1116.25</v>
      </c>
      <c r="T1658" s="40">
        <f t="shared" si="298"/>
        <v>1116.25</v>
      </c>
      <c r="U1658" s="40">
        <f t="shared" si="298"/>
        <v>1116.25</v>
      </c>
      <c r="V1658" s="40">
        <f t="shared" si="298"/>
        <v>1116.25</v>
      </c>
      <c r="W1658" s="40">
        <f t="shared" si="298"/>
        <v>1116.25</v>
      </c>
      <c r="X1658" s="40">
        <f t="shared" si="298"/>
        <v>1116.25</v>
      </c>
      <c r="Y1658" s="40">
        <f t="shared" si="298"/>
        <v>1116.25</v>
      </c>
      <c r="Z1658" s="40">
        <f t="shared" si="298"/>
        <v>1116.25</v>
      </c>
      <c r="AA1658" s="966">
        <f t="shared" si="292"/>
        <v>13395</v>
      </c>
      <c r="AB1658" s="35"/>
      <c r="AC1658" s="183"/>
    </row>
    <row r="1659" spans="1:29" x14ac:dyDescent="0.2">
      <c r="A1659" s="1422"/>
      <c r="B1659" s="1427"/>
      <c r="C1659" s="1128"/>
      <c r="D1659" s="38"/>
      <c r="E1659" s="38"/>
      <c r="F1659" s="38"/>
      <c r="G1659" s="38"/>
      <c r="H1659" s="38"/>
      <c r="I1659" s="38"/>
      <c r="J1659" s="38"/>
      <c r="K1659" s="1044"/>
      <c r="L1659" s="38"/>
      <c r="M1659" s="38"/>
      <c r="N1659" s="38"/>
      <c r="O1659" s="1044"/>
      <c r="P1659" s="1044"/>
      <c r="Q1659" s="1044"/>
      <c r="R1659" s="1044"/>
      <c r="S1659" s="1044"/>
      <c r="T1659" s="1044"/>
      <c r="U1659" s="1044"/>
      <c r="V1659" s="1044"/>
      <c r="W1659" s="1044"/>
      <c r="X1659" s="1044"/>
      <c r="Y1659" s="1044"/>
      <c r="Z1659" s="1044"/>
      <c r="AA1659" s="38"/>
      <c r="AB1659" s="35"/>
      <c r="AC1659" s="183"/>
    </row>
    <row r="1660" spans="1:29" x14ac:dyDescent="0.2">
      <c r="A1660" s="1422"/>
      <c r="B1660" s="1433" t="s">
        <v>278</v>
      </c>
      <c r="C1660" s="1119"/>
      <c r="D1660" s="1119">
        <v>3043971</v>
      </c>
      <c r="E1660" s="192" t="s">
        <v>630</v>
      </c>
      <c r="F1660" s="35"/>
      <c r="G1660" s="35"/>
      <c r="H1660" s="35"/>
      <c r="I1660" s="35"/>
      <c r="J1660" s="35"/>
      <c r="K1660" s="60"/>
      <c r="L1660" s="60"/>
      <c r="M1660" s="60"/>
      <c r="N1660" s="60"/>
      <c r="O1660" s="60"/>
      <c r="P1660" s="60"/>
      <c r="Q1660" s="60"/>
      <c r="R1660" s="60"/>
      <c r="S1660" s="60"/>
      <c r="T1660" s="3235" t="s">
        <v>15</v>
      </c>
      <c r="U1660" s="3235"/>
      <c r="V1660" s="3235"/>
      <c r="W1660" s="3235"/>
      <c r="X1660" s="3235"/>
      <c r="Y1660" s="3235"/>
      <c r="Z1660" s="3023" t="s">
        <v>16</v>
      </c>
      <c r="AA1660" s="3338"/>
      <c r="AB1660" s="35"/>
      <c r="AC1660" s="183"/>
    </row>
    <row r="1661" spans="1:29" ht="26.25" customHeight="1" x14ac:dyDescent="0.2">
      <c r="A1661" s="1422"/>
      <c r="B1661" s="1433"/>
      <c r="C1661" s="1119"/>
      <c r="D1661" s="1119"/>
      <c r="E1661" s="192"/>
      <c r="F1661" s="35"/>
      <c r="G1661" s="35"/>
      <c r="H1661" s="35"/>
      <c r="I1661" s="35"/>
      <c r="J1661" s="35"/>
      <c r="K1661" s="60"/>
      <c r="L1661" s="60"/>
      <c r="M1661" s="60"/>
      <c r="N1661" s="60"/>
      <c r="O1661" s="60"/>
      <c r="P1661" s="60"/>
      <c r="Q1661" s="60"/>
      <c r="R1661" s="60"/>
      <c r="S1661" s="60"/>
      <c r="T1661" s="3233" t="s">
        <v>631</v>
      </c>
      <c r="U1661" s="3233"/>
      <c r="V1661" s="3233"/>
      <c r="W1661" s="3233"/>
      <c r="X1661" s="3233"/>
      <c r="Y1661" s="3233"/>
      <c r="Z1661" s="3019" t="s">
        <v>569</v>
      </c>
      <c r="AA1661" s="3020"/>
      <c r="AB1661" s="35"/>
      <c r="AC1661" s="183"/>
    </row>
    <row r="1662" spans="1:29" x14ac:dyDescent="0.2">
      <c r="A1662" s="1422"/>
      <c r="B1662" s="2999" t="s">
        <v>278</v>
      </c>
      <c r="C1662" s="3015" t="s">
        <v>563</v>
      </c>
      <c r="D1662" s="2847" t="s">
        <v>22</v>
      </c>
      <c r="E1662" s="2847" t="s">
        <v>23</v>
      </c>
      <c r="F1662" s="2847" t="s">
        <v>24</v>
      </c>
      <c r="G1662" s="2847" t="s">
        <v>25</v>
      </c>
      <c r="H1662" s="2847" t="s">
        <v>26</v>
      </c>
      <c r="I1662" s="2847" t="s">
        <v>27</v>
      </c>
      <c r="J1662" s="2847" t="s">
        <v>28</v>
      </c>
      <c r="K1662" s="2847"/>
      <c r="L1662" s="2988" t="s">
        <v>279</v>
      </c>
      <c r="M1662" s="3273" t="s">
        <v>280</v>
      </c>
      <c r="N1662" s="3274"/>
      <c r="O1662" s="2847" t="s">
        <v>281</v>
      </c>
      <c r="P1662" s="2847"/>
      <c r="Q1662" s="2847"/>
      <c r="R1662" s="2847"/>
      <c r="S1662" s="2847"/>
      <c r="T1662" s="2847"/>
      <c r="U1662" s="2847"/>
      <c r="V1662" s="2847"/>
      <c r="W1662" s="2847"/>
      <c r="X1662" s="2847"/>
      <c r="Y1662" s="2847"/>
      <c r="Z1662" s="2847"/>
      <c r="AA1662" s="2847" t="s">
        <v>32</v>
      </c>
      <c r="AB1662" s="35"/>
      <c r="AC1662" s="183"/>
    </row>
    <row r="1663" spans="1:29" x14ac:dyDescent="0.2">
      <c r="A1663" s="1422"/>
      <c r="B1663" s="2999"/>
      <c r="C1663" s="3359"/>
      <c r="D1663" s="2847"/>
      <c r="E1663" s="2847"/>
      <c r="F1663" s="2847"/>
      <c r="G1663" s="2847"/>
      <c r="H1663" s="2847"/>
      <c r="I1663" s="2847"/>
      <c r="J1663" s="2847" t="s">
        <v>33</v>
      </c>
      <c r="K1663" s="2847" t="s">
        <v>282</v>
      </c>
      <c r="L1663" s="3186"/>
      <c r="M1663" s="3275"/>
      <c r="N1663" s="3276"/>
      <c r="O1663" s="1017" t="s">
        <v>283</v>
      </c>
      <c r="P1663" s="1017" t="s">
        <v>284</v>
      </c>
      <c r="Q1663" s="1017" t="s">
        <v>285</v>
      </c>
      <c r="R1663" s="1017" t="s">
        <v>88</v>
      </c>
      <c r="S1663" s="1017" t="s">
        <v>89</v>
      </c>
      <c r="T1663" s="1017" t="s">
        <v>90</v>
      </c>
      <c r="U1663" s="1017" t="s">
        <v>91</v>
      </c>
      <c r="V1663" s="1017" t="s">
        <v>92</v>
      </c>
      <c r="W1663" s="1017" t="s">
        <v>286</v>
      </c>
      <c r="X1663" s="1017" t="s">
        <v>93</v>
      </c>
      <c r="Y1663" s="1017" t="s">
        <v>94</v>
      </c>
      <c r="Z1663" s="1017" t="s">
        <v>95</v>
      </c>
      <c r="AA1663" s="2847"/>
      <c r="AB1663" s="35"/>
      <c r="AC1663" s="183"/>
    </row>
    <row r="1664" spans="1:29" ht="12.75" x14ac:dyDescent="0.2">
      <c r="A1664" s="1422"/>
      <c r="B1664" s="2999"/>
      <c r="C1664" s="3359"/>
      <c r="D1664" s="2847"/>
      <c r="E1664" s="2847"/>
      <c r="F1664" s="2847"/>
      <c r="G1664" s="2847"/>
      <c r="H1664" s="2847"/>
      <c r="I1664" s="2847"/>
      <c r="J1664" s="2847"/>
      <c r="K1664" s="2847"/>
      <c r="L1664" s="3186"/>
      <c r="M1664" s="3271" t="s">
        <v>287</v>
      </c>
      <c r="N1664" s="3272"/>
      <c r="O1664" s="1095">
        <v>7</v>
      </c>
      <c r="P1664" s="1095">
        <v>8</v>
      </c>
      <c r="Q1664" s="1095">
        <v>7</v>
      </c>
      <c r="R1664" s="1095">
        <v>7</v>
      </c>
      <c r="S1664" s="1095">
        <v>7</v>
      </c>
      <c r="T1664" s="1095">
        <v>7</v>
      </c>
      <c r="U1664" s="1095">
        <v>7</v>
      </c>
      <c r="V1664" s="1095">
        <v>7</v>
      </c>
      <c r="W1664" s="1095">
        <v>7</v>
      </c>
      <c r="X1664" s="1095">
        <v>7</v>
      </c>
      <c r="Y1664" s="1095">
        <v>7</v>
      </c>
      <c r="Z1664" s="1095">
        <v>7</v>
      </c>
      <c r="AA1664" s="1205">
        <f t="shared" ref="AA1664:AA1681" si="299">SUM(O1664:Z1664)</f>
        <v>85</v>
      </c>
      <c r="AB1664" s="35"/>
      <c r="AC1664" s="183"/>
    </row>
    <row r="1665" spans="1:29" ht="12.75" x14ac:dyDescent="0.2">
      <c r="A1665" s="1422"/>
      <c r="B1665" s="2999"/>
      <c r="C1665" s="3016"/>
      <c r="D1665" s="2847"/>
      <c r="E1665" s="2847"/>
      <c r="F1665" s="2847"/>
      <c r="G1665" s="2847"/>
      <c r="H1665" s="2847"/>
      <c r="I1665" s="2847"/>
      <c r="J1665" s="2847"/>
      <c r="K1665" s="2847"/>
      <c r="L1665" s="2989"/>
      <c r="M1665" s="3271" t="s">
        <v>34</v>
      </c>
      <c r="N1665" s="3272"/>
      <c r="O1665" s="36">
        <f>SUM(O1666:O1681)</f>
        <v>55654.25</v>
      </c>
      <c r="P1665" s="36">
        <f t="shared" ref="P1665:Z1665" si="300">SUM(P1666:P1681)</f>
        <v>49226.977272727272</v>
      </c>
      <c r="Q1665" s="36">
        <f t="shared" si="300"/>
        <v>50056.977272727272</v>
      </c>
      <c r="R1665" s="36">
        <f t="shared" si="300"/>
        <v>53386.977272727272</v>
      </c>
      <c r="S1665" s="36">
        <f t="shared" si="300"/>
        <v>48906.977272727272</v>
      </c>
      <c r="T1665" s="36">
        <f t="shared" si="300"/>
        <v>48906.977272727272</v>
      </c>
      <c r="U1665" s="36">
        <f t="shared" si="300"/>
        <v>55633.977272727272</v>
      </c>
      <c r="V1665" s="36">
        <f t="shared" si="300"/>
        <v>53386.977272727272</v>
      </c>
      <c r="W1665" s="36">
        <f t="shared" si="300"/>
        <v>48906.977272727272</v>
      </c>
      <c r="X1665" s="36">
        <f t="shared" si="300"/>
        <v>48906.977272727272</v>
      </c>
      <c r="Y1665" s="36">
        <f t="shared" si="300"/>
        <v>48906.977272727272</v>
      </c>
      <c r="Z1665" s="36">
        <f t="shared" si="300"/>
        <v>54483.977272727272</v>
      </c>
      <c r="AA1665" s="1205">
        <f t="shared" si="299"/>
        <v>616365.00000000012</v>
      </c>
      <c r="AB1665" s="35"/>
      <c r="AC1665" s="183"/>
    </row>
    <row r="1666" spans="1:29" x14ac:dyDescent="0.2">
      <c r="A1666" s="1422"/>
      <c r="B1666" s="2522">
        <v>5000081</v>
      </c>
      <c r="C1666" s="3190" t="s">
        <v>632</v>
      </c>
      <c r="D1666" s="2421">
        <v>56</v>
      </c>
      <c r="E1666" s="2421" t="s">
        <v>407</v>
      </c>
      <c r="F1666" s="2420" t="s">
        <v>386</v>
      </c>
      <c r="G1666" s="2420" t="s">
        <v>387</v>
      </c>
      <c r="H1666" s="2420"/>
      <c r="I1666" s="2420" t="s">
        <v>481</v>
      </c>
      <c r="J1666" s="2514">
        <v>85</v>
      </c>
      <c r="K1666" s="127">
        <v>11401</v>
      </c>
      <c r="L1666" s="3294" t="s">
        <v>565</v>
      </c>
      <c r="M1666" s="3287" t="s">
        <v>319</v>
      </c>
      <c r="N1666" s="3288"/>
      <c r="O1666" s="40">
        <f t="shared" ref="O1666:Z1671" si="301">$K1666/12</f>
        <v>950.08333333333337</v>
      </c>
      <c r="P1666" s="40">
        <f t="shared" si="301"/>
        <v>950.08333333333337</v>
      </c>
      <c r="Q1666" s="40">
        <f t="shared" si="301"/>
        <v>950.08333333333337</v>
      </c>
      <c r="R1666" s="40">
        <f t="shared" si="301"/>
        <v>950.08333333333337</v>
      </c>
      <c r="S1666" s="40">
        <f t="shared" si="301"/>
        <v>950.08333333333337</v>
      </c>
      <c r="T1666" s="40">
        <f t="shared" si="301"/>
        <v>950.08333333333337</v>
      </c>
      <c r="U1666" s="40">
        <f t="shared" si="301"/>
        <v>950.08333333333337</v>
      </c>
      <c r="V1666" s="40">
        <f t="shared" si="301"/>
        <v>950.08333333333337</v>
      </c>
      <c r="W1666" s="40">
        <f t="shared" si="301"/>
        <v>950.08333333333337</v>
      </c>
      <c r="X1666" s="40">
        <f t="shared" si="301"/>
        <v>950.08333333333337</v>
      </c>
      <c r="Y1666" s="40">
        <f t="shared" si="301"/>
        <v>950.08333333333337</v>
      </c>
      <c r="Z1666" s="40">
        <f t="shared" si="301"/>
        <v>950.08333333333337</v>
      </c>
      <c r="AA1666" s="966">
        <f>SUM(O1666:Z1666)</f>
        <v>11401.000000000002</v>
      </c>
      <c r="AB1666" s="35"/>
      <c r="AC1666" s="183"/>
    </row>
    <row r="1667" spans="1:29" x14ac:dyDescent="0.2">
      <c r="A1667" s="1422"/>
      <c r="B1667" s="2522"/>
      <c r="C1667" s="3191"/>
      <c r="D1667" s="2421"/>
      <c r="E1667" s="2421"/>
      <c r="F1667" s="2420"/>
      <c r="G1667" s="2420"/>
      <c r="H1667" s="2420"/>
      <c r="I1667" s="2420"/>
      <c r="J1667" s="2515"/>
      <c r="K1667" s="127">
        <v>22261</v>
      </c>
      <c r="L1667" s="3295"/>
      <c r="M1667" s="3287" t="s">
        <v>409</v>
      </c>
      <c r="N1667" s="3288"/>
      <c r="O1667" s="40">
        <f t="shared" si="301"/>
        <v>1855.0833333333333</v>
      </c>
      <c r="P1667" s="40">
        <f t="shared" si="301"/>
        <v>1855.0833333333333</v>
      </c>
      <c r="Q1667" s="40">
        <f t="shared" si="301"/>
        <v>1855.0833333333333</v>
      </c>
      <c r="R1667" s="40">
        <f t="shared" si="301"/>
        <v>1855.0833333333333</v>
      </c>
      <c r="S1667" s="40">
        <f t="shared" si="301"/>
        <v>1855.0833333333333</v>
      </c>
      <c r="T1667" s="40">
        <f t="shared" si="301"/>
        <v>1855.0833333333333</v>
      </c>
      <c r="U1667" s="40">
        <f t="shared" si="301"/>
        <v>1855.0833333333333</v>
      </c>
      <c r="V1667" s="40">
        <f t="shared" si="301"/>
        <v>1855.0833333333333</v>
      </c>
      <c r="W1667" s="40">
        <f t="shared" si="301"/>
        <v>1855.0833333333333</v>
      </c>
      <c r="X1667" s="40">
        <f t="shared" si="301"/>
        <v>1855.0833333333333</v>
      </c>
      <c r="Y1667" s="40">
        <f t="shared" si="301"/>
        <v>1855.0833333333333</v>
      </c>
      <c r="Z1667" s="40">
        <f t="shared" si="301"/>
        <v>1855.0833333333333</v>
      </c>
      <c r="AA1667" s="966">
        <f t="shared" si="299"/>
        <v>22260.999999999996</v>
      </c>
      <c r="AB1667" s="35"/>
      <c r="AC1667" s="183"/>
    </row>
    <row r="1668" spans="1:29" x14ac:dyDescent="0.2">
      <c r="A1668" s="1422"/>
      <c r="B1668" s="2522"/>
      <c r="C1668" s="3191"/>
      <c r="D1668" s="2421"/>
      <c r="E1668" s="2421"/>
      <c r="F1668" s="2420"/>
      <c r="G1668" s="2420"/>
      <c r="H1668" s="2420"/>
      <c r="I1668" s="2420"/>
      <c r="J1668" s="2515"/>
      <c r="K1668" s="127">
        <v>291358</v>
      </c>
      <c r="L1668" s="3295"/>
      <c r="M1668" s="3287" t="s">
        <v>293</v>
      </c>
      <c r="N1668" s="3288"/>
      <c r="O1668" s="40">
        <f t="shared" si="301"/>
        <v>24279.833333333332</v>
      </c>
      <c r="P1668" s="40">
        <f t="shared" si="301"/>
        <v>24279.833333333332</v>
      </c>
      <c r="Q1668" s="40">
        <f t="shared" si="301"/>
        <v>24279.833333333332</v>
      </c>
      <c r="R1668" s="40">
        <f t="shared" si="301"/>
        <v>24279.833333333332</v>
      </c>
      <c r="S1668" s="40">
        <f t="shared" si="301"/>
        <v>24279.833333333332</v>
      </c>
      <c r="T1668" s="40">
        <f t="shared" si="301"/>
        <v>24279.833333333332</v>
      </c>
      <c r="U1668" s="40">
        <f t="shared" si="301"/>
        <v>24279.833333333332</v>
      </c>
      <c r="V1668" s="40">
        <f t="shared" si="301"/>
        <v>24279.833333333332</v>
      </c>
      <c r="W1668" s="40">
        <f t="shared" si="301"/>
        <v>24279.833333333332</v>
      </c>
      <c r="X1668" s="40">
        <f t="shared" si="301"/>
        <v>24279.833333333332</v>
      </c>
      <c r="Y1668" s="40">
        <f t="shared" si="301"/>
        <v>24279.833333333332</v>
      </c>
      <c r="Z1668" s="40">
        <f t="shared" si="301"/>
        <v>24279.833333333332</v>
      </c>
      <c r="AA1668" s="966">
        <f t="shared" si="299"/>
        <v>291358</v>
      </c>
      <c r="AB1668" s="35"/>
      <c r="AC1668" s="183"/>
    </row>
    <row r="1669" spans="1:29" x14ac:dyDescent="0.2">
      <c r="A1669" s="1422"/>
      <c r="B1669" s="2522"/>
      <c r="C1669" s="3191"/>
      <c r="D1669" s="2421"/>
      <c r="E1669" s="2421"/>
      <c r="F1669" s="2420"/>
      <c r="G1669" s="2420"/>
      <c r="H1669" s="2420"/>
      <c r="I1669" s="2420"/>
      <c r="J1669" s="2515"/>
      <c r="K1669" s="127">
        <v>115980</v>
      </c>
      <c r="L1669" s="3295"/>
      <c r="M1669" s="3287" t="s">
        <v>295</v>
      </c>
      <c r="N1669" s="3288"/>
      <c r="O1669" s="40">
        <f t="shared" si="301"/>
        <v>9665</v>
      </c>
      <c r="P1669" s="40">
        <f t="shared" si="301"/>
        <v>9665</v>
      </c>
      <c r="Q1669" s="40">
        <f t="shared" si="301"/>
        <v>9665</v>
      </c>
      <c r="R1669" s="40">
        <f t="shared" si="301"/>
        <v>9665</v>
      </c>
      <c r="S1669" s="40">
        <f t="shared" si="301"/>
        <v>9665</v>
      </c>
      <c r="T1669" s="40">
        <f t="shared" si="301"/>
        <v>9665</v>
      </c>
      <c r="U1669" s="40">
        <f t="shared" si="301"/>
        <v>9665</v>
      </c>
      <c r="V1669" s="40">
        <f t="shared" si="301"/>
        <v>9665</v>
      </c>
      <c r="W1669" s="40">
        <f t="shared" si="301"/>
        <v>9665</v>
      </c>
      <c r="X1669" s="40">
        <f t="shared" si="301"/>
        <v>9665</v>
      </c>
      <c r="Y1669" s="40">
        <f t="shared" si="301"/>
        <v>9665</v>
      </c>
      <c r="Z1669" s="40">
        <f t="shared" si="301"/>
        <v>9665</v>
      </c>
      <c r="AA1669" s="966">
        <f t="shared" si="299"/>
        <v>115980</v>
      </c>
      <c r="AB1669" s="35"/>
      <c r="AC1669" s="183"/>
    </row>
    <row r="1670" spans="1:29" x14ac:dyDescent="0.2">
      <c r="A1670" s="1422"/>
      <c r="B1670" s="2522"/>
      <c r="C1670" s="3191"/>
      <c r="D1670" s="2421"/>
      <c r="E1670" s="2421"/>
      <c r="F1670" s="2420"/>
      <c r="G1670" s="2420"/>
      <c r="H1670" s="2420"/>
      <c r="I1670" s="2420"/>
      <c r="J1670" s="2515"/>
      <c r="K1670" s="127">
        <v>91826</v>
      </c>
      <c r="L1670" s="3295"/>
      <c r="M1670" s="3287" t="s">
        <v>296</v>
      </c>
      <c r="N1670" s="3288"/>
      <c r="O1670" s="40">
        <f t="shared" si="301"/>
        <v>7652.166666666667</v>
      </c>
      <c r="P1670" s="40">
        <f t="shared" si="301"/>
        <v>7652.166666666667</v>
      </c>
      <c r="Q1670" s="40">
        <f t="shared" si="301"/>
        <v>7652.166666666667</v>
      </c>
      <c r="R1670" s="40">
        <f t="shared" si="301"/>
        <v>7652.166666666667</v>
      </c>
      <c r="S1670" s="40">
        <f t="shared" si="301"/>
        <v>7652.166666666667</v>
      </c>
      <c r="T1670" s="40">
        <f t="shared" si="301"/>
        <v>7652.166666666667</v>
      </c>
      <c r="U1670" s="40">
        <f t="shared" si="301"/>
        <v>7652.166666666667</v>
      </c>
      <c r="V1670" s="40">
        <f t="shared" si="301"/>
        <v>7652.166666666667</v>
      </c>
      <c r="W1670" s="40">
        <f t="shared" si="301"/>
        <v>7652.166666666667</v>
      </c>
      <c r="X1670" s="40">
        <f t="shared" si="301"/>
        <v>7652.166666666667</v>
      </c>
      <c r="Y1670" s="40">
        <f t="shared" si="301"/>
        <v>7652.166666666667</v>
      </c>
      <c r="Z1670" s="40">
        <f t="shared" si="301"/>
        <v>7652.166666666667</v>
      </c>
      <c r="AA1670" s="966">
        <f t="shared" si="299"/>
        <v>91826.000000000015</v>
      </c>
      <c r="AB1670" s="35"/>
      <c r="AC1670" s="183"/>
    </row>
    <row r="1671" spans="1:29" x14ac:dyDescent="0.2">
      <c r="A1671" s="1422"/>
      <c r="B1671" s="2522"/>
      <c r="C1671" s="3191"/>
      <c r="D1671" s="2421"/>
      <c r="E1671" s="2421"/>
      <c r="F1671" s="2420"/>
      <c r="G1671" s="2420"/>
      <c r="H1671" s="2420"/>
      <c r="I1671" s="2420"/>
      <c r="J1671" s="2515"/>
      <c r="K1671" s="127">
        <v>24564</v>
      </c>
      <c r="L1671" s="3295"/>
      <c r="M1671" s="3287" t="s">
        <v>297</v>
      </c>
      <c r="N1671" s="3288"/>
      <c r="O1671" s="40">
        <f t="shared" si="301"/>
        <v>2047</v>
      </c>
      <c r="P1671" s="40">
        <f t="shared" si="301"/>
        <v>2047</v>
      </c>
      <c r="Q1671" s="40">
        <f t="shared" si="301"/>
        <v>2047</v>
      </c>
      <c r="R1671" s="40">
        <f t="shared" si="301"/>
        <v>2047</v>
      </c>
      <c r="S1671" s="40">
        <f t="shared" si="301"/>
        <v>2047</v>
      </c>
      <c r="T1671" s="40">
        <f t="shared" si="301"/>
        <v>2047</v>
      </c>
      <c r="U1671" s="40">
        <f t="shared" si="301"/>
        <v>2047</v>
      </c>
      <c r="V1671" s="40">
        <f t="shared" si="301"/>
        <v>2047</v>
      </c>
      <c r="W1671" s="40">
        <f t="shared" si="301"/>
        <v>2047</v>
      </c>
      <c r="X1671" s="40">
        <f t="shared" si="301"/>
        <v>2047</v>
      </c>
      <c r="Y1671" s="40">
        <f t="shared" si="301"/>
        <v>2047</v>
      </c>
      <c r="Z1671" s="40">
        <f t="shared" si="301"/>
        <v>2047</v>
      </c>
      <c r="AA1671" s="966">
        <f t="shared" si="299"/>
        <v>24564</v>
      </c>
      <c r="AB1671" s="35"/>
      <c r="AC1671" s="183"/>
    </row>
    <row r="1672" spans="1:29" x14ac:dyDescent="0.2">
      <c r="A1672" s="1422"/>
      <c r="B1672" s="2522"/>
      <c r="C1672" s="3191"/>
      <c r="D1672" s="2421"/>
      <c r="E1672" s="2421"/>
      <c r="F1672" s="2420"/>
      <c r="G1672" s="2420"/>
      <c r="H1672" s="2420"/>
      <c r="I1672" s="2420"/>
      <c r="J1672" s="2515"/>
      <c r="K1672" s="127">
        <v>1200</v>
      </c>
      <c r="L1672" s="3295"/>
      <c r="M1672" s="3287" t="s">
        <v>629</v>
      </c>
      <c r="N1672" s="3288"/>
      <c r="O1672" s="40"/>
      <c r="P1672" s="40"/>
      <c r="Q1672" s="40"/>
      <c r="R1672" s="40"/>
      <c r="S1672" s="40"/>
      <c r="T1672" s="40"/>
      <c r="U1672" s="40">
        <f>$K1672/2</f>
        <v>600</v>
      </c>
      <c r="V1672" s="40"/>
      <c r="W1672" s="40"/>
      <c r="X1672" s="40"/>
      <c r="Y1672" s="40"/>
      <c r="Z1672" s="40">
        <f>$K1672/2</f>
        <v>600</v>
      </c>
      <c r="AA1672" s="966">
        <f t="shared" si="299"/>
        <v>1200</v>
      </c>
      <c r="AB1672" s="35"/>
      <c r="AC1672" s="183"/>
    </row>
    <row r="1673" spans="1:29" x14ac:dyDescent="0.2">
      <c r="A1673" s="1422"/>
      <c r="B1673" s="2522"/>
      <c r="C1673" s="3191"/>
      <c r="D1673" s="2421"/>
      <c r="E1673" s="2421"/>
      <c r="F1673" s="2420"/>
      <c r="G1673" s="2420"/>
      <c r="H1673" s="2420"/>
      <c r="I1673" s="2420"/>
      <c r="J1673" s="2515"/>
      <c r="K1673" s="127">
        <v>9954</v>
      </c>
      <c r="L1673" s="3295"/>
      <c r="M1673" s="3287" t="s">
        <v>298</v>
      </c>
      <c r="N1673" s="3288"/>
      <c r="O1673" s="1044"/>
      <c r="P1673" s="1044"/>
      <c r="Q1673" s="1044"/>
      <c r="R1673" s="1044"/>
      <c r="S1673" s="1044"/>
      <c r="T1673" s="1044"/>
      <c r="U1673" s="40">
        <f>$K1673/2</f>
        <v>4977</v>
      </c>
      <c r="V1673" s="1044"/>
      <c r="W1673" s="1044"/>
      <c r="X1673" s="1044"/>
      <c r="Y1673" s="1044"/>
      <c r="Z1673" s="40">
        <f>$K1673/2</f>
        <v>4977</v>
      </c>
      <c r="AA1673" s="966">
        <f t="shared" si="299"/>
        <v>9954</v>
      </c>
      <c r="AB1673" s="35"/>
      <c r="AC1673" s="183"/>
    </row>
    <row r="1674" spans="1:29" x14ac:dyDescent="0.2">
      <c r="A1674" s="1422"/>
      <c r="B1674" s="2522"/>
      <c r="C1674" s="3191"/>
      <c r="D1674" s="2421"/>
      <c r="E1674" s="2421"/>
      <c r="F1674" s="2420"/>
      <c r="G1674" s="2420"/>
      <c r="H1674" s="2420"/>
      <c r="I1674" s="2420"/>
      <c r="J1674" s="2515"/>
      <c r="K1674" s="127">
        <v>6900</v>
      </c>
      <c r="L1674" s="3295"/>
      <c r="M1674" s="3287" t="s">
        <v>299</v>
      </c>
      <c r="N1674" s="3288"/>
      <c r="O1674" s="40">
        <f>$K1674</f>
        <v>6900</v>
      </c>
      <c r="P1674" s="1044"/>
      <c r="Q1674" s="40"/>
      <c r="R1674" s="1044"/>
      <c r="S1674" s="1044"/>
      <c r="T1674" s="1044"/>
      <c r="U1674" s="1044"/>
      <c r="V1674" s="1044"/>
      <c r="W1674" s="1044"/>
      <c r="X1674" s="1044"/>
      <c r="Y1674" s="1044"/>
      <c r="Z1674" s="1044"/>
      <c r="AA1674" s="966">
        <f t="shared" si="299"/>
        <v>6900</v>
      </c>
      <c r="AB1674" s="35"/>
      <c r="AC1674" s="183"/>
    </row>
    <row r="1675" spans="1:29" x14ac:dyDescent="0.2">
      <c r="A1675" s="1422"/>
      <c r="B1675" s="2522"/>
      <c r="C1675" s="3191"/>
      <c r="D1675" s="2421"/>
      <c r="E1675" s="2421"/>
      <c r="F1675" s="2420"/>
      <c r="G1675" s="2420"/>
      <c r="H1675" s="2420"/>
      <c r="I1675" s="2420"/>
      <c r="J1675" s="2515"/>
      <c r="K1675" s="127">
        <v>27141</v>
      </c>
      <c r="L1675" s="3295"/>
      <c r="M1675" s="3287" t="s">
        <v>300</v>
      </c>
      <c r="N1675" s="3288"/>
      <c r="O1675" s="40">
        <f t="shared" ref="O1675:Z1676" si="302">$K1675/12</f>
        <v>2261.75</v>
      </c>
      <c r="P1675" s="40">
        <f t="shared" si="302"/>
        <v>2261.75</v>
      </c>
      <c r="Q1675" s="40">
        <f t="shared" si="302"/>
        <v>2261.75</v>
      </c>
      <c r="R1675" s="40">
        <f t="shared" si="302"/>
        <v>2261.75</v>
      </c>
      <c r="S1675" s="40">
        <f t="shared" si="302"/>
        <v>2261.75</v>
      </c>
      <c r="T1675" s="40">
        <f t="shared" si="302"/>
        <v>2261.75</v>
      </c>
      <c r="U1675" s="40">
        <f t="shared" si="302"/>
        <v>2261.75</v>
      </c>
      <c r="V1675" s="40">
        <f t="shared" si="302"/>
        <v>2261.75</v>
      </c>
      <c r="W1675" s="40">
        <f t="shared" si="302"/>
        <v>2261.75</v>
      </c>
      <c r="X1675" s="40">
        <f t="shared" si="302"/>
        <v>2261.75</v>
      </c>
      <c r="Y1675" s="40">
        <f t="shared" si="302"/>
        <v>2261.75</v>
      </c>
      <c r="Z1675" s="40">
        <f t="shared" si="302"/>
        <v>2261.75</v>
      </c>
      <c r="AA1675" s="966">
        <f t="shared" si="299"/>
        <v>27141</v>
      </c>
      <c r="AB1675" s="35"/>
      <c r="AC1675" s="183"/>
    </row>
    <row r="1676" spans="1:29" x14ac:dyDescent="0.2">
      <c r="A1676" s="1422"/>
      <c r="B1676" s="2522"/>
      <c r="C1676" s="3191"/>
      <c r="D1676" s="2421"/>
      <c r="E1676" s="2421"/>
      <c r="F1676" s="2420"/>
      <c r="G1676" s="2420"/>
      <c r="H1676" s="2420"/>
      <c r="I1676" s="2420"/>
      <c r="J1676" s="2515"/>
      <c r="K1676" s="127">
        <v>520</v>
      </c>
      <c r="L1676" s="3295"/>
      <c r="M1676" s="3287" t="s">
        <v>301</v>
      </c>
      <c r="N1676" s="3288"/>
      <c r="O1676" s="40">
        <f t="shared" si="302"/>
        <v>43.333333333333336</v>
      </c>
      <c r="P1676" s="40">
        <f t="shared" si="302"/>
        <v>43.333333333333336</v>
      </c>
      <c r="Q1676" s="40">
        <f t="shared" si="302"/>
        <v>43.333333333333336</v>
      </c>
      <c r="R1676" s="40">
        <f t="shared" si="302"/>
        <v>43.333333333333336</v>
      </c>
      <c r="S1676" s="40">
        <f t="shared" si="302"/>
        <v>43.333333333333336</v>
      </c>
      <c r="T1676" s="40">
        <f t="shared" si="302"/>
        <v>43.333333333333336</v>
      </c>
      <c r="U1676" s="40">
        <f t="shared" si="302"/>
        <v>43.333333333333336</v>
      </c>
      <c r="V1676" s="40">
        <f t="shared" si="302"/>
        <v>43.333333333333336</v>
      </c>
      <c r="W1676" s="40">
        <f t="shared" si="302"/>
        <v>43.333333333333336</v>
      </c>
      <c r="X1676" s="40">
        <f t="shared" si="302"/>
        <v>43.333333333333336</v>
      </c>
      <c r="Y1676" s="40">
        <f t="shared" si="302"/>
        <v>43.333333333333336</v>
      </c>
      <c r="Z1676" s="40">
        <f t="shared" si="302"/>
        <v>43.333333333333336</v>
      </c>
      <c r="AA1676" s="966">
        <f t="shared" si="299"/>
        <v>519.99999999999989</v>
      </c>
      <c r="AB1676" s="35"/>
      <c r="AC1676" s="183"/>
    </row>
    <row r="1677" spans="1:29" x14ac:dyDescent="0.2">
      <c r="A1677" s="1422"/>
      <c r="B1677" s="2522"/>
      <c r="C1677" s="3191"/>
      <c r="D1677" s="2421"/>
      <c r="E1677" s="2421"/>
      <c r="F1677" s="2420"/>
      <c r="G1677" s="2420"/>
      <c r="H1677" s="2420"/>
      <c r="I1677" s="2420"/>
      <c r="J1677" s="2515"/>
      <c r="K1677" s="127">
        <v>2660</v>
      </c>
      <c r="L1677" s="3295"/>
      <c r="M1677" s="3287" t="s">
        <v>393</v>
      </c>
      <c r="N1677" s="3288"/>
      <c r="O1677" s="1044"/>
      <c r="P1677" s="1044"/>
      <c r="Q1677" s="1044"/>
      <c r="R1677" s="40">
        <f>$K1677/2</f>
        <v>1330</v>
      </c>
      <c r="S1677" s="1044"/>
      <c r="T1677" s="1044"/>
      <c r="U1677" s="1044"/>
      <c r="V1677" s="40">
        <f>$K1677/2</f>
        <v>1330</v>
      </c>
      <c r="W1677" s="1044"/>
      <c r="X1677" s="1044"/>
      <c r="Y1677" s="1044"/>
      <c r="Z1677" s="1044"/>
      <c r="AA1677" s="966">
        <f t="shared" si="299"/>
        <v>2660</v>
      </c>
      <c r="AB1677" s="35"/>
      <c r="AC1677" s="183"/>
    </row>
    <row r="1678" spans="1:29" x14ac:dyDescent="0.2">
      <c r="A1678" s="1422"/>
      <c r="B1678" s="2522"/>
      <c r="C1678" s="3191"/>
      <c r="D1678" s="2421"/>
      <c r="E1678" s="2421"/>
      <c r="F1678" s="2420"/>
      <c r="G1678" s="2420"/>
      <c r="H1678" s="2420"/>
      <c r="I1678" s="2420"/>
      <c r="J1678" s="2515"/>
      <c r="K1678" s="127">
        <v>6300</v>
      </c>
      <c r="L1678" s="3295"/>
      <c r="M1678" s="3287" t="s">
        <v>343</v>
      </c>
      <c r="N1678" s="3288"/>
      <c r="O1678" s="1044"/>
      <c r="P1678" s="1044"/>
      <c r="Q1678" s="94"/>
      <c r="R1678" s="1044">
        <f>$K1678/2</f>
        <v>3150</v>
      </c>
      <c r="S1678" s="94"/>
      <c r="T1678" s="94"/>
      <c r="U1678" s="94"/>
      <c r="V1678" s="1044">
        <f>$K1678/2</f>
        <v>3150</v>
      </c>
      <c r="W1678" s="94"/>
      <c r="X1678" s="94"/>
      <c r="Y1678" s="94"/>
      <c r="Z1678" s="94"/>
      <c r="AA1678" s="966">
        <f t="shared" si="299"/>
        <v>6300</v>
      </c>
      <c r="AB1678" s="35"/>
      <c r="AC1678" s="183"/>
    </row>
    <row r="1679" spans="1:29" x14ac:dyDescent="0.2">
      <c r="A1679" s="1422"/>
      <c r="B1679" s="2522"/>
      <c r="C1679" s="3191"/>
      <c r="D1679" s="2421"/>
      <c r="E1679" s="2421"/>
      <c r="F1679" s="2420"/>
      <c r="G1679" s="2420"/>
      <c r="H1679" s="2420"/>
      <c r="I1679" s="2420"/>
      <c r="J1679" s="2515"/>
      <c r="K1679" s="127">
        <v>2300</v>
      </c>
      <c r="L1679" s="3295"/>
      <c r="M1679" s="3287" t="s">
        <v>304</v>
      </c>
      <c r="N1679" s="3288"/>
      <c r="O1679" s="1044"/>
      <c r="P1679" s="1044"/>
      <c r="Q1679" s="40">
        <f>$K1679/2</f>
        <v>1150</v>
      </c>
      <c r="R1679" s="1044"/>
      <c r="S1679" s="1044"/>
      <c r="T1679" s="1044"/>
      <c r="U1679" s="40">
        <f>$K1679/2</f>
        <v>1150</v>
      </c>
      <c r="V1679" s="1044"/>
      <c r="W1679" s="1044"/>
      <c r="X1679" s="1044"/>
      <c r="Y1679" s="1044"/>
      <c r="Z1679" s="1044"/>
      <c r="AA1679" s="966">
        <f t="shared" si="299"/>
        <v>2300</v>
      </c>
      <c r="AB1679" s="35"/>
      <c r="AC1679" s="183"/>
    </row>
    <row r="1680" spans="1:29" x14ac:dyDescent="0.2">
      <c r="A1680" s="1422"/>
      <c r="B1680" s="2522"/>
      <c r="C1680" s="3191"/>
      <c r="D1680" s="2421"/>
      <c r="E1680" s="2421"/>
      <c r="F1680" s="2420"/>
      <c r="G1680" s="2420"/>
      <c r="H1680" s="2420"/>
      <c r="I1680" s="2420"/>
      <c r="J1680" s="2515"/>
      <c r="K1680" s="127">
        <v>320</v>
      </c>
      <c r="L1680" s="3295"/>
      <c r="M1680" s="3287" t="s">
        <v>305</v>
      </c>
      <c r="N1680" s="3288"/>
      <c r="O1680" s="1044"/>
      <c r="P1680" s="1044">
        <f>$K1680</f>
        <v>320</v>
      </c>
      <c r="Q1680" s="1044"/>
      <c r="R1680" s="1044"/>
      <c r="S1680" s="1044"/>
      <c r="T1680" s="1044"/>
      <c r="U1680" s="1044"/>
      <c r="V1680" s="1044"/>
      <c r="W1680" s="1044"/>
      <c r="X1680" s="1044"/>
      <c r="Y1680" s="1044"/>
      <c r="Z1680" s="1044"/>
      <c r="AA1680" s="966">
        <f t="shared" si="299"/>
        <v>320</v>
      </c>
      <c r="AB1680" s="35"/>
      <c r="AC1680" s="183"/>
    </row>
    <row r="1681" spans="1:29" x14ac:dyDescent="0.2">
      <c r="A1681" s="1422"/>
      <c r="B1681" s="2522"/>
      <c r="C1681" s="2439"/>
      <c r="D1681" s="2421"/>
      <c r="E1681" s="2421"/>
      <c r="F1681" s="2420"/>
      <c r="G1681" s="2420"/>
      <c r="H1681" s="2420"/>
      <c r="I1681" s="2420"/>
      <c r="J1681" s="2516"/>
      <c r="K1681" s="127">
        <v>1680</v>
      </c>
      <c r="L1681" s="3296"/>
      <c r="M1681" s="3287" t="s">
        <v>306</v>
      </c>
      <c r="N1681" s="3288"/>
      <c r="O1681" s="1044"/>
      <c r="P1681" s="93">
        <f>$K1681/11</f>
        <v>152.72727272727272</v>
      </c>
      <c r="Q1681" s="93">
        <f t="shared" ref="Q1681:Z1681" si="303">$K1681/11</f>
        <v>152.72727272727272</v>
      </c>
      <c r="R1681" s="93">
        <f t="shared" si="303"/>
        <v>152.72727272727272</v>
      </c>
      <c r="S1681" s="93">
        <f t="shared" si="303"/>
        <v>152.72727272727272</v>
      </c>
      <c r="T1681" s="93">
        <f t="shared" si="303"/>
        <v>152.72727272727272</v>
      </c>
      <c r="U1681" s="93">
        <f t="shared" si="303"/>
        <v>152.72727272727272</v>
      </c>
      <c r="V1681" s="93">
        <f t="shared" si="303"/>
        <v>152.72727272727272</v>
      </c>
      <c r="W1681" s="93">
        <f t="shared" si="303"/>
        <v>152.72727272727272</v>
      </c>
      <c r="X1681" s="93">
        <f t="shared" si="303"/>
        <v>152.72727272727272</v>
      </c>
      <c r="Y1681" s="93">
        <f t="shared" si="303"/>
        <v>152.72727272727272</v>
      </c>
      <c r="Z1681" s="93">
        <f t="shared" si="303"/>
        <v>152.72727272727272</v>
      </c>
      <c r="AA1681" s="966">
        <f t="shared" si="299"/>
        <v>1680</v>
      </c>
      <c r="AB1681" s="35"/>
      <c r="AC1681" s="183"/>
    </row>
    <row r="1682" spans="1:29" x14ac:dyDescent="0.2">
      <c r="A1682" s="1422"/>
      <c r="B1682" s="1427"/>
      <c r="C1682" s="1128"/>
      <c r="D1682" s="38"/>
      <c r="E1682" s="38"/>
      <c r="F1682" s="38"/>
      <c r="G1682" s="38"/>
      <c r="H1682" s="38"/>
      <c r="I1682" s="38"/>
      <c r="J1682" s="38"/>
      <c r="K1682" s="1044"/>
      <c r="L1682" s="38"/>
      <c r="M1682" s="38"/>
      <c r="N1682" s="38"/>
      <c r="O1682" s="1044"/>
      <c r="P1682" s="1044"/>
      <c r="Q1682" s="1044"/>
      <c r="R1682" s="1044"/>
      <c r="S1682" s="1044"/>
      <c r="T1682" s="1044"/>
      <c r="U1682" s="1044"/>
      <c r="V1682" s="1044"/>
      <c r="W1682" s="1044"/>
      <c r="X1682" s="1044"/>
      <c r="Y1682" s="1044"/>
      <c r="Z1682" s="1044"/>
      <c r="AA1682" s="1234"/>
      <c r="AB1682" s="35"/>
      <c r="AC1682" s="183"/>
    </row>
    <row r="1683" spans="1:29" x14ac:dyDescent="0.2">
      <c r="A1683" s="1422"/>
      <c r="B1683" s="1433" t="s">
        <v>278</v>
      </c>
      <c r="C1683" s="1119"/>
      <c r="D1683" s="1119">
        <v>3043972</v>
      </c>
      <c r="E1683" s="192" t="s">
        <v>633</v>
      </c>
      <c r="F1683" s="35"/>
      <c r="G1683" s="35"/>
      <c r="H1683" s="35"/>
      <c r="I1683" s="35"/>
      <c r="J1683" s="35"/>
      <c r="K1683" s="60"/>
      <c r="L1683" s="60"/>
      <c r="M1683" s="60"/>
      <c r="N1683" s="60"/>
      <c r="O1683" s="60"/>
      <c r="P1683" s="60"/>
      <c r="Q1683" s="60"/>
      <c r="R1683" s="60"/>
      <c r="S1683" s="60"/>
      <c r="T1683" s="3235" t="s">
        <v>15</v>
      </c>
      <c r="U1683" s="3235"/>
      <c r="V1683" s="3235"/>
      <c r="W1683" s="3235"/>
      <c r="X1683" s="3235"/>
      <c r="Y1683" s="3235"/>
      <c r="Z1683" s="3023" t="s">
        <v>16</v>
      </c>
      <c r="AA1683" s="3338"/>
      <c r="AB1683" s="35"/>
      <c r="AC1683" s="183"/>
    </row>
    <row r="1684" spans="1:29" ht="25.5" customHeight="1" x14ac:dyDescent="0.2">
      <c r="A1684" s="1422"/>
      <c r="B1684" s="1433"/>
      <c r="C1684" s="1119"/>
      <c r="D1684" s="1119"/>
      <c r="E1684" s="192"/>
      <c r="F1684" s="35"/>
      <c r="G1684" s="35"/>
      <c r="H1684" s="35"/>
      <c r="I1684" s="35"/>
      <c r="J1684" s="35"/>
      <c r="K1684" s="60"/>
      <c r="L1684" s="60"/>
      <c r="M1684" s="60"/>
      <c r="N1684" s="60"/>
      <c r="O1684" s="60"/>
      <c r="P1684" s="60"/>
      <c r="Q1684" s="60"/>
      <c r="R1684" s="60"/>
      <c r="S1684" s="60"/>
      <c r="T1684" s="3233" t="s">
        <v>634</v>
      </c>
      <c r="U1684" s="3233"/>
      <c r="V1684" s="3233"/>
      <c r="W1684" s="3233"/>
      <c r="X1684" s="3233"/>
      <c r="Y1684" s="3233"/>
      <c r="Z1684" s="3019" t="s">
        <v>579</v>
      </c>
      <c r="AA1684" s="3020"/>
      <c r="AB1684" s="35"/>
      <c r="AC1684" s="183"/>
    </row>
    <row r="1685" spans="1:29" x14ac:dyDescent="0.2">
      <c r="A1685" s="1422"/>
      <c r="B1685" s="2999" t="s">
        <v>278</v>
      </c>
      <c r="C1685" s="3015" t="s">
        <v>563</v>
      </c>
      <c r="D1685" s="2847" t="s">
        <v>22</v>
      </c>
      <c r="E1685" s="2847" t="s">
        <v>23</v>
      </c>
      <c r="F1685" s="2847" t="s">
        <v>24</v>
      </c>
      <c r="G1685" s="2847" t="s">
        <v>25</v>
      </c>
      <c r="H1685" s="2847" t="s">
        <v>26</v>
      </c>
      <c r="I1685" s="2847" t="s">
        <v>27</v>
      </c>
      <c r="J1685" s="2847" t="s">
        <v>28</v>
      </c>
      <c r="K1685" s="2847"/>
      <c r="L1685" s="2988" t="s">
        <v>279</v>
      </c>
      <c r="M1685" s="3273" t="s">
        <v>280</v>
      </c>
      <c r="N1685" s="3274"/>
      <c r="O1685" s="2847" t="s">
        <v>281</v>
      </c>
      <c r="P1685" s="2847"/>
      <c r="Q1685" s="2847"/>
      <c r="R1685" s="2847"/>
      <c r="S1685" s="2847"/>
      <c r="T1685" s="2847"/>
      <c r="U1685" s="2847"/>
      <c r="V1685" s="2847"/>
      <c r="W1685" s="2847"/>
      <c r="X1685" s="2847"/>
      <c r="Y1685" s="2847"/>
      <c r="Z1685" s="2847"/>
      <c r="AA1685" s="2847" t="s">
        <v>32</v>
      </c>
      <c r="AB1685" s="35"/>
      <c r="AC1685" s="183"/>
    </row>
    <row r="1686" spans="1:29" x14ac:dyDescent="0.2">
      <c r="A1686" s="1422"/>
      <c r="B1686" s="2999"/>
      <c r="C1686" s="3359"/>
      <c r="D1686" s="2847"/>
      <c r="E1686" s="2847"/>
      <c r="F1686" s="2847"/>
      <c r="G1686" s="2847"/>
      <c r="H1686" s="2847"/>
      <c r="I1686" s="2847"/>
      <c r="J1686" s="2847" t="s">
        <v>33</v>
      </c>
      <c r="K1686" s="2847" t="s">
        <v>282</v>
      </c>
      <c r="L1686" s="3186"/>
      <c r="M1686" s="3275"/>
      <c r="N1686" s="3276"/>
      <c r="O1686" s="1017" t="s">
        <v>283</v>
      </c>
      <c r="P1686" s="1017" t="s">
        <v>284</v>
      </c>
      <c r="Q1686" s="1017" t="s">
        <v>285</v>
      </c>
      <c r="R1686" s="1017" t="s">
        <v>88</v>
      </c>
      <c r="S1686" s="1017" t="s">
        <v>89</v>
      </c>
      <c r="T1686" s="1017" t="s">
        <v>90</v>
      </c>
      <c r="U1686" s="1017" t="s">
        <v>91</v>
      </c>
      <c r="V1686" s="1017" t="s">
        <v>92</v>
      </c>
      <c r="W1686" s="1017" t="s">
        <v>286</v>
      </c>
      <c r="X1686" s="1017" t="s">
        <v>93</v>
      </c>
      <c r="Y1686" s="1017" t="s">
        <v>94</v>
      </c>
      <c r="Z1686" s="1017" t="s">
        <v>95</v>
      </c>
      <c r="AA1686" s="2847"/>
      <c r="AB1686" s="35"/>
      <c r="AC1686" s="183"/>
    </row>
    <row r="1687" spans="1:29" ht="12.75" x14ac:dyDescent="0.2">
      <c r="A1687" s="1422"/>
      <c r="B1687" s="2999"/>
      <c r="C1687" s="3359"/>
      <c r="D1687" s="2847"/>
      <c r="E1687" s="2847"/>
      <c r="F1687" s="2847"/>
      <c r="G1687" s="2847"/>
      <c r="H1687" s="2847"/>
      <c r="I1687" s="2847"/>
      <c r="J1687" s="2847"/>
      <c r="K1687" s="2847"/>
      <c r="L1687" s="3186"/>
      <c r="M1687" s="3271" t="s">
        <v>287</v>
      </c>
      <c r="N1687" s="3272"/>
      <c r="O1687" s="1095"/>
      <c r="P1687" s="1095"/>
      <c r="Q1687" s="1095"/>
      <c r="R1687" s="1095"/>
      <c r="S1687" s="1095">
        <v>1</v>
      </c>
      <c r="T1687" s="1095"/>
      <c r="U1687" s="1095"/>
      <c r="V1687" s="1095"/>
      <c r="W1687" s="1095"/>
      <c r="X1687" s="1095"/>
      <c r="Y1687" s="1095"/>
      <c r="Z1687" s="1095"/>
      <c r="AA1687" s="1205">
        <f t="shared" ref="AA1687:AA1691" si="304">SUM(O1687:Z1687)</f>
        <v>1</v>
      </c>
      <c r="AB1687" s="35"/>
      <c r="AC1687" s="183"/>
    </row>
    <row r="1688" spans="1:29" ht="12.75" x14ac:dyDescent="0.2">
      <c r="A1688" s="1422"/>
      <c r="B1688" s="2999"/>
      <c r="C1688" s="3016"/>
      <c r="D1688" s="2847"/>
      <c r="E1688" s="2847"/>
      <c r="F1688" s="2847"/>
      <c r="G1688" s="2847"/>
      <c r="H1688" s="2847"/>
      <c r="I1688" s="2847"/>
      <c r="J1688" s="2847"/>
      <c r="K1688" s="2847"/>
      <c r="L1688" s="2989"/>
      <c r="M1688" s="3271" t="s">
        <v>34</v>
      </c>
      <c r="N1688" s="3272"/>
      <c r="O1688" s="1095">
        <f>SUM(O1689:O1691)</f>
        <v>0</v>
      </c>
      <c r="P1688" s="1095">
        <f t="shared" ref="P1688:Z1688" si="305">SUM(P1689:P1691)</f>
        <v>0</v>
      </c>
      <c r="Q1688" s="1095">
        <f t="shared" si="305"/>
        <v>0</v>
      </c>
      <c r="R1688" s="1095">
        <f t="shared" si="305"/>
        <v>4896</v>
      </c>
      <c r="S1688" s="1095">
        <f t="shared" si="305"/>
        <v>0</v>
      </c>
      <c r="T1688" s="1095">
        <f t="shared" si="305"/>
        <v>0</v>
      </c>
      <c r="U1688" s="1095">
        <f t="shared" si="305"/>
        <v>0</v>
      </c>
      <c r="V1688" s="1095">
        <f t="shared" si="305"/>
        <v>1780</v>
      </c>
      <c r="W1688" s="1095">
        <f t="shared" si="305"/>
        <v>0</v>
      </c>
      <c r="X1688" s="1095">
        <f t="shared" si="305"/>
        <v>0</v>
      </c>
      <c r="Y1688" s="1095">
        <f t="shared" si="305"/>
        <v>0</v>
      </c>
      <c r="Z1688" s="1095">
        <f t="shared" si="305"/>
        <v>0</v>
      </c>
      <c r="AA1688" s="1205">
        <f t="shared" si="304"/>
        <v>6676</v>
      </c>
      <c r="AB1688" s="35"/>
      <c r="AC1688" s="183"/>
    </row>
    <row r="1689" spans="1:29" x14ac:dyDescent="0.2">
      <c r="A1689" s="1422"/>
      <c r="B1689" s="2522">
        <v>5000082</v>
      </c>
      <c r="C1689" s="3190" t="s">
        <v>635</v>
      </c>
      <c r="D1689" s="2421"/>
      <c r="E1689" s="2421" t="s">
        <v>407</v>
      </c>
      <c r="F1689" s="2420" t="s">
        <v>386</v>
      </c>
      <c r="G1689" s="2420" t="s">
        <v>423</v>
      </c>
      <c r="H1689" s="2420"/>
      <c r="I1689" s="2420" t="s">
        <v>573</v>
      </c>
      <c r="J1689" s="2514">
        <v>1</v>
      </c>
      <c r="K1689" s="101">
        <v>3560</v>
      </c>
      <c r="L1689" s="3294" t="s">
        <v>565</v>
      </c>
      <c r="M1689" s="3287" t="s">
        <v>393</v>
      </c>
      <c r="N1689" s="3288"/>
      <c r="O1689" s="1044"/>
      <c r="P1689" s="1044"/>
      <c r="Q1689" s="1044"/>
      <c r="R1689" s="40">
        <f>$K1689/2</f>
        <v>1780</v>
      </c>
      <c r="S1689" s="1044"/>
      <c r="T1689" s="1044"/>
      <c r="U1689" s="1044"/>
      <c r="V1689" s="40">
        <f>$K1689/2</f>
        <v>1780</v>
      </c>
      <c r="W1689" s="1044"/>
      <c r="X1689" s="1044"/>
      <c r="Y1689" s="1044"/>
      <c r="Z1689" s="1044"/>
      <c r="AA1689" s="966">
        <f>SUM(O1689:Z1689)</f>
        <v>3560</v>
      </c>
      <c r="AB1689" s="35"/>
      <c r="AC1689" s="183"/>
    </row>
    <row r="1690" spans="1:29" x14ac:dyDescent="0.2">
      <c r="A1690" s="1422"/>
      <c r="B1690" s="2522"/>
      <c r="C1690" s="3191"/>
      <c r="D1690" s="2421"/>
      <c r="E1690" s="2421"/>
      <c r="F1690" s="2420"/>
      <c r="G1690" s="2420"/>
      <c r="H1690" s="2420"/>
      <c r="I1690" s="2420"/>
      <c r="J1690" s="2515"/>
      <c r="K1690" s="101">
        <v>1256</v>
      </c>
      <c r="L1690" s="3295"/>
      <c r="M1690" s="3287" t="s">
        <v>611</v>
      </c>
      <c r="N1690" s="3288"/>
      <c r="O1690" s="95"/>
      <c r="P1690" s="95"/>
      <c r="Q1690" s="95"/>
      <c r="R1690" s="95">
        <f>$K1690</f>
        <v>1256</v>
      </c>
      <c r="S1690" s="95"/>
      <c r="T1690" s="95"/>
      <c r="U1690" s="95"/>
      <c r="V1690" s="95"/>
      <c r="W1690" s="95"/>
      <c r="X1690" s="95"/>
      <c r="Y1690" s="95"/>
      <c r="Z1690" s="95"/>
      <c r="AA1690" s="966">
        <f t="shared" si="304"/>
        <v>1256</v>
      </c>
      <c r="AB1690" s="35"/>
      <c r="AC1690" s="183"/>
    </row>
    <row r="1691" spans="1:29" x14ac:dyDescent="0.2">
      <c r="A1691" s="1422"/>
      <c r="B1691" s="2522"/>
      <c r="C1691" s="2439"/>
      <c r="D1691" s="2421"/>
      <c r="E1691" s="2421"/>
      <c r="F1691" s="2420"/>
      <c r="G1691" s="2420"/>
      <c r="H1691" s="2420"/>
      <c r="I1691" s="2420"/>
      <c r="J1691" s="2516"/>
      <c r="K1691" s="101">
        <v>1860</v>
      </c>
      <c r="L1691" s="3296"/>
      <c r="M1691" s="3335" t="s">
        <v>343</v>
      </c>
      <c r="N1691" s="3336"/>
      <c r="O1691" s="1044"/>
      <c r="P1691" s="1044"/>
      <c r="Q1691" s="94"/>
      <c r="R1691" s="1044">
        <f>$K1691</f>
        <v>1860</v>
      </c>
      <c r="S1691" s="94"/>
      <c r="T1691" s="94"/>
      <c r="U1691" s="94"/>
      <c r="V1691" s="1044"/>
      <c r="W1691" s="94"/>
      <c r="X1691" s="94"/>
      <c r="Y1691" s="94"/>
      <c r="Z1691" s="94"/>
      <c r="AA1691" s="966">
        <f t="shared" si="304"/>
        <v>1860</v>
      </c>
      <c r="AB1691" s="35"/>
      <c r="AC1691" s="183"/>
    </row>
    <row r="1692" spans="1:29" x14ac:dyDescent="0.2">
      <c r="A1692" s="1422"/>
      <c r="B1692" s="1427" t="s">
        <v>312</v>
      </c>
      <c r="C1692" s="1128"/>
      <c r="D1692" s="38"/>
      <c r="E1692" s="38"/>
      <c r="F1692" s="38"/>
      <c r="G1692" s="38"/>
      <c r="H1692" s="38"/>
      <c r="I1692" s="38"/>
      <c r="J1692" s="38"/>
      <c r="K1692" s="1044">
        <f>SUM(K1689:K1691)</f>
        <v>6676</v>
      </c>
      <c r="L1692" s="38"/>
      <c r="M1692" s="38"/>
      <c r="N1692" s="38"/>
      <c r="O1692" s="1044"/>
      <c r="P1692" s="1044"/>
      <c r="Q1692" s="1044"/>
      <c r="R1692" s="1044"/>
      <c r="S1692" s="1044"/>
      <c r="T1692" s="1044"/>
      <c r="U1692" s="1044"/>
      <c r="V1692" s="1044"/>
      <c r="W1692" s="1044"/>
      <c r="X1692" s="1044"/>
      <c r="Y1692" s="1044"/>
      <c r="Z1692" s="1044"/>
      <c r="AA1692" s="966"/>
      <c r="AB1692" s="35"/>
      <c r="AC1692" s="183"/>
    </row>
    <row r="1693" spans="1:29" x14ac:dyDescent="0.2">
      <c r="A1693" s="1422"/>
      <c r="B1693" s="1433" t="s">
        <v>278</v>
      </c>
      <c r="C1693" s="1119"/>
      <c r="D1693" s="1119">
        <v>3043974</v>
      </c>
      <c r="E1693" s="192" t="s">
        <v>636</v>
      </c>
      <c r="F1693" s="35"/>
      <c r="G1693" s="35"/>
      <c r="H1693" s="35"/>
      <c r="I1693" s="35"/>
      <c r="J1693" s="35"/>
      <c r="K1693" s="60"/>
      <c r="L1693" s="60"/>
      <c r="M1693" s="60"/>
      <c r="N1693" s="60"/>
      <c r="O1693" s="60"/>
      <c r="P1693" s="60"/>
      <c r="Q1693" s="60"/>
      <c r="R1693" s="60"/>
      <c r="S1693" s="60"/>
      <c r="T1693" s="3235" t="s">
        <v>15</v>
      </c>
      <c r="U1693" s="3235"/>
      <c r="V1693" s="3235"/>
      <c r="W1693" s="3235"/>
      <c r="X1693" s="3235"/>
      <c r="Y1693" s="3235"/>
      <c r="Z1693" s="3023" t="s">
        <v>16</v>
      </c>
      <c r="AA1693" s="3338"/>
      <c r="AB1693" s="35"/>
      <c r="AC1693" s="183"/>
    </row>
    <row r="1694" spans="1:29" ht="25.5" customHeight="1" x14ac:dyDescent="0.2">
      <c r="A1694" s="1422"/>
      <c r="B1694" s="1433"/>
      <c r="C1694" s="1119"/>
      <c r="D1694" s="1119"/>
      <c r="E1694" s="192"/>
      <c r="F1694" s="35"/>
      <c r="G1694" s="35"/>
      <c r="H1694" s="35"/>
      <c r="I1694" s="35"/>
      <c r="J1694" s="35"/>
      <c r="K1694" s="60"/>
      <c r="L1694" s="60"/>
      <c r="M1694" s="60"/>
      <c r="N1694" s="60"/>
      <c r="O1694" s="60"/>
      <c r="P1694" s="60"/>
      <c r="Q1694" s="60"/>
      <c r="R1694" s="60"/>
      <c r="S1694" s="60"/>
      <c r="T1694" s="3233" t="s">
        <v>637</v>
      </c>
      <c r="U1694" s="3233"/>
      <c r="V1694" s="3233"/>
      <c r="W1694" s="3233"/>
      <c r="X1694" s="3233"/>
      <c r="Y1694" s="3233"/>
      <c r="Z1694" s="3019" t="s">
        <v>579</v>
      </c>
      <c r="AA1694" s="3020"/>
      <c r="AB1694" s="35"/>
      <c r="AC1694" s="183"/>
    </row>
    <row r="1695" spans="1:29" x14ac:dyDescent="0.2">
      <c r="A1695" s="1422"/>
      <c r="B1695" s="2999" t="s">
        <v>278</v>
      </c>
      <c r="C1695" s="3015" t="s">
        <v>563</v>
      </c>
      <c r="D1695" s="2847" t="s">
        <v>22</v>
      </c>
      <c r="E1695" s="2847" t="s">
        <v>23</v>
      </c>
      <c r="F1695" s="2847" t="s">
        <v>24</v>
      </c>
      <c r="G1695" s="2847" t="s">
        <v>25</v>
      </c>
      <c r="H1695" s="2847" t="s">
        <v>26</v>
      </c>
      <c r="I1695" s="2847" t="s">
        <v>27</v>
      </c>
      <c r="J1695" s="2847" t="s">
        <v>28</v>
      </c>
      <c r="K1695" s="2847"/>
      <c r="L1695" s="2988" t="s">
        <v>279</v>
      </c>
      <c r="M1695" s="3273" t="s">
        <v>280</v>
      </c>
      <c r="N1695" s="3274"/>
      <c r="O1695" s="2847" t="s">
        <v>281</v>
      </c>
      <c r="P1695" s="2847"/>
      <c r="Q1695" s="2847"/>
      <c r="R1695" s="2847"/>
      <c r="S1695" s="2847"/>
      <c r="T1695" s="2847"/>
      <c r="U1695" s="2847"/>
      <c r="V1695" s="2847"/>
      <c r="W1695" s="2847"/>
      <c r="X1695" s="2847"/>
      <c r="Y1695" s="2847"/>
      <c r="Z1695" s="2847"/>
      <c r="AA1695" s="2847" t="s">
        <v>32</v>
      </c>
      <c r="AB1695" s="35"/>
      <c r="AC1695" s="183"/>
    </row>
    <row r="1696" spans="1:29" x14ac:dyDescent="0.2">
      <c r="A1696" s="1422"/>
      <c r="B1696" s="2999"/>
      <c r="C1696" s="3359"/>
      <c r="D1696" s="2847"/>
      <c r="E1696" s="2847"/>
      <c r="F1696" s="2847"/>
      <c r="G1696" s="2847"/>
      <c r="H1696" s="2847"/>
      <c r="I1696" s="2847"/>
      <c r="J1696" s="2847" t="s">
        <v>33</v>
      </c>
      <c r="K1696" s="2847" t="s">
        <v>282</v>
      </c>
      <c r="L1696" s="3186"/>
      <c r="M1696" s="3275"/>
      <c r="N1696" s="3276"/>
      <c r="O1696" s="1017" t="s">
        <v>283</v>
      </c>
      <c r="P1696" s="1017" t="s">
        <v>284</v>
      </c>
      <c r="Q1696" s="1017" t="s">
        <v>285</v>
      </c>
      <c r="R1696" s="1017" t="s">
        <v>88</v>
      </c>
      <c r="S1696" s="1017" t="s">
        <v>89</v>
      </c>
      <c r="T1696" s="1017" t="s">
        <v>90</v>
      </c>
      <c r="U1696" s="1017" t="s">
        <v>91</v>
      </c>
      <c r="V1696" s="1017" t="s">
        <v>92</v>
      </c>
      <c r="W1696" s="1017" t="s">
        <v>286</v>
      </c>
      <c r="X1696" s="1017" t="s">
        <v>93</v>
      </c>
      <c r="Y1696" s="1017" t="s">
        <v>94</v>
      </c>
      <c r="Z1696" s="1017" t="s">
        <v>95</v>
      </c>
      <c r="AA1696" s="2847"/>
      <c r="AB1696" s="35"/>
      <c r="AC1696" s="183"/>
    </row>
    <row r="1697" spans="1:29" ht="12.75" x14ac:dyDescent="0.2">
      <c r="A1697" s="1422"/>
      <c r="B1697" s="2999"/>
      <c r="C1697" s="3359"/>
      <c r="D1697" s="2847"/>
      <c r="E1697" s="2847"/>
      <c r="F1697" s="2847"/>
      <c r="G1697" s="2847"/>
      <c r="H1697" s="2847"/>
      <c r="I1697" s="2847"/>
      <c r="J1697" s="2847"/>
      <c r="K1697" s="2847"/>
      <c r="L1697" s="3186"/>
      <c r="M1697" s="3271" t="s">
        <v>287</v>
      </c>
      <c r="N1697" s="3272"/>
      <c r="O1697" s="1095">
        <v>2</v>
      </c>
      <c r="P1697" s="1095">
        <v>2</v>
      </c>
      <c r="Q1697" s="1095">
        <v>2</v>
      </c>
      <c r="R1697" s="1095">
        <v>2</v>
      </c>
      <c r="S1697" s="1095">
        <v>2</v>
      </c>
      <c r="T1697" s="1095">
        <v>2</v>
      </c>
      <c r="U1697" s="1095">
        <v>2</v>
      </c>
      <c r="V1697" s="1095">
        <v>2</v>
      </c>
      <c r="W1697" s="1095">
        <v>2</v>
      </c>
      <c r="X1697" s="1095">
        <v>2</v>
      </c>
      <c r="Y1697" s="1095">
        <v>2</v>
      </c>
      <c r="Z1697" s="1095">
        <v>2</v>
      </c>
      <c r="AA1697" s="97">
        <f t="shared" ref="AA1697:AA1712" si="306">SUM(O1697:Z1697)</f>
        <v>24</v>
      </c>
      <c r="AB1697" s="35"/>
      <c r="AC1697" s="183"/>
    </row>
    <row r="1698" spans="1:29" ht="12.75" x14ac:dyDescent="0.2">
      <c r="A1698" s="1422"/>
      <c r="B1698" s="2999"/>
      <c r="C1698" s="3016"/>
      <c r="D1698" s="2847"/>
      <c r="E1698" s="2847"/>
      <c r="F1698" s="2847"/>
      <c r="G1698" s="2847"/>
      <c r="H1698" s="2847"/>
      <c r="I1698" s="2847"/>
      <c r="J1698" s="2847"/>
      <c r="K1698" s="2847"/>
      <c r="L1698" s="2989"/>
      <c r="M1698" s="3271" t="s">
        <v>34</v>
      </c>
      <c r="N1698" s="3272"/>
      <c r="O1698" s="36">
        <f>SUM(O1699:O1712)</f>
        <v>82940.833333333343</v>
      </c>
      <c r="P1698" s="36">
        <f t="shared" ref="P1698:Z1698" si="307">SUM(P1699:P1712)</f>
        <v>68442.560606060622</v>
      </c>
      <c r="Q1698" s="36">
        <f t="shared" si="307"/>
        <v>68442.560606060622</v>
      </c>
      <c r="R1698" s="36">
        <f t="shared" si="307"/>
        <v>77002.560606060622</v>
      </c>
      <c r="S1698" s="36">
        <f t="shared" si="307"/>
        <v>68442.560606060622</v>
      </c>
      <c r="T1698" s="36">
        <f t="shared" si="307"/>
        <v>69913.560606060622</v>
      </c>
      <c r="U1698" s="36">
        <f t="shared" si="307"/>
        <v>76292.560606060622</v>
      </c>
      <c r="V1698" s="36">
        <f t="shared" si="307"/>
        <v>77002.560606060622</v>
      </c>
      <c r="W1698" s="36">
        <f t="shared" si="307"/>
        <v>68442.560606060622</v>
      </c>
      <c r="X1698" s="36">
        <f t="shared" si="307"/>
        <v>68442.560606060622</v>
      </c>
      <c r="Y1698" s="36">
        <f t="shared" si="307"/>
        <v>68442.560606060622</v>
      </c>
      <c r="Z1698" s="36">
        <f t="shared" si="307"/>
        <v>76292.560606060622</v>
      </c>
      <c r="AA1698" s="1205">
        <f t="shared" si="306"/>
        <v>870100.00000000035</v>
      </c>
      <c r="AB1698" s="35"/>
      <c r="AC1698" s="183"/>
    </row>
    <row r="1699" spans="1:29" x14ac:dyDescent="0.2">
      <c r="A1699" s="1422"/>
      <c r="B1699" s="2522">
        <v>5000084</v>
      </c>
      <c r="C1699" s="3190" t="s">
        <v>638</v>
      </c>
      <c r="D1699" s="2421">
        <v>57</v>
      </c>
      <c r="E1699" s="2421" t="s">
        <v>407</v>
      </c>
      <c r="F1699" s="2420" t="s">
        <v>386</v>
      </c>
      <c r="G1699" s="2420" t="s">
        <v>423</v>
      </c>
      <c r="H1699" s="2420"/>
      <c r="I1699" s="2420" t="s">
        <v>573</v>
      </c>
      <c r="J1699" s="2514">
        <v>24</v>
      </c>
      <c r="K1699" s="101">
        <v>112550</v>
      </c>
      <c r="L1699" s="3294" t="s">
        <v>565</v>
      </c>
      <c r="M1699" s="3287" t="s">
        <v>293</v>
      </c>
      <c r="N1699" s="3288"/>
      <c r="O1699" s="40">
        <f t="shared" ref="O1699:Z1703" si="308">$K1699/12</f>
        <v>9379.1666666666661</v>
      </c>
      <c r="P1699" s="40">
        <f t="shared" si="308"/>
        <v>9379.1666666666661</v>
      </c>
      <c r="Q1699" s="40">
        <f t="shared" si="308"/>
        <v>9379.1666666666661</v>
      </c>
      <c r="R1699" s="40">
        <f t="shared" si="308"/>
        <v>9379.1666666666661</v>
      </c>
      <c r="S1699" s="40">
        <f t="shared" si="308"/>
        <v>9379.1666666666661</v>
      </c>
      <c r="T1699" s="40">
        <f t="shared" si="308"/>
        <v>9379.1666666666661</v>
      </c>
      <c r="U1699" s="40">
        <f t="shared" si="308"/>
        <v>9379.1666666666661</v>
      </c>
      <c r="V1699" s="40">
        <f t="shared" si="308"/>
        <v>9379.1666666666661</v>
      </c>
      <c r="W1699" s="40">
        <f t="shared" si="308"/>
        <v>9379.1666666666661</v>
      </c>
      <c r="X1699" s="40">
        <f t="shared" si="308"/>
        <v>9379.1666666666661</v>
      </c>
      <c r="Y1699" s="40">
        <f t="shared" si="308"/>
        <v>9379.1666666666661</v>
      </c>
      <c r="Z1699" s="40">
        <f t="shared" si="308"/>
        <v>9379.1666666666661</v>
      </c>
      <c r="AA1699" s="966">
        <f>SUM(O1699:Z1699)</f>
        <v>112550.00000000001</v>
      </c>
      <c r="AB1699" s="35"/>
      <c r="AC1699" s="183"/>
    </row>
    <row r="1700" spans="1:29" x14ac:dyDescent="0.2">
      <c r="A1700" s="1422"/>
      <c r="B1700" s="2522"/>
      <c r="C1700" s="3191"/>
      <c r="D1700" s="2421"/>
      <c r="E1700" s="2421"/>
      <c r="F1700" s="2420"/>
      <c r="G1700" s="2420"/>
      <c r="H1700" s="2420"/>
      <c r="I1700" s="2420"/>
      <c r="J1700" s="2515"/>
      <c r="K1700" s="127">
        <v>15000</v>
      </c>
      <c r="L1700" s="3295"/>
      <c r="M1700" s="3287" t="s">
        <v>321</v>
      </c>
      <c r="N1700" s="3288"/>
      <c r="O1700" s="40">
        <f t="shared" si="308"/>
        <v>1250</v>
      </c>
      <c r="P1700" s="40">
        <f t="shared" si="308"/>
        <v>1250</v>
      </c>
      <c r="Q1700" s="40">
        <f t="shared" si="308"/>
        <v>1250</v>
      </c>
      <c r="R1700" s="40">
        <f t="shared" si="308"/>
        <v>1250</v>
      </c>
      <c r="S1700" s="40">
        <f t="shared" si="308"/>
        <v>1250</v>
      </c>
      <c r="T1700" s="40">
        <f t="shared" si="308"/>
        <v>1250</v>
      </c>
      <c r="U1700" s="40">
        <f t="shared" si="308"/>
        <v>1250</v>
      </c>
      <c r="V1700" s="40">
        <f t="shared" si="308"/>
        <v>1250</v>
      </c>
      <c r="W1700" s="40">
        <f t="shared" si="308"/>
        <v>1250</v>
      </c>
      <c r="X1700" s="40">
        <f t="shared" si="308"/>
        <v>1250</v>
      </c>
      <c r="Y1700" s="40">
        <f t="shared" si="308"/>
        <v>1250</v>
      </c>
      <c r="Z1700" s="40">
        <f t="shared" si="308"/>
        <v>1250</v>
      </c>
      <c r="AA1700" s="966">
        <f t="shared" si="306"/>
        <v>15000</v>
      </c>
      <c r="AB1700" s="35"/>
      <c r="AC1700" s="183"/>
    </row>
    <row r="1701" spans="1:29" x14ac:dyDescent="0.2">
      <c r="A1701" s="1422"/>
      <c r="B1701" s="2522"/>
      <c r="C1701" s="3191"/>
      <c r="D1701" s="2421"/>
      <c r="E1701" s="2421"/>
      <c r="F1701" s="2420"/>
      <c r="G1701" s="2420"/>
      <c r="H1701" s="2420"/>
      <c r="I1701" s="2420"/>
      <c r="J1701" s="2515"/>
      <c r="K1701" s="127">
        <v>437644</v>
      </c>
      <c r="L1701" s="3295"/>
      <c r="M1701" s="3287" t="s">
        <v>295</v>
      </c>
      <c r="N1701" s="3288"/>
      <c r="O1701" s="40">
        <f t="shared" si="308"/>
        <v>36470.333333333336</v>
      </c>
      <c r="P1701" s="40">
        <f t="shared" si="308"/>
        <v>36470.333333333336</v>
      </c>
      <c r="Q1701" s="40">
        <f t="shared" si="308"/>
        <v>36470.333333333336</v>
      </c>
      <c r="R1701" s="40">
        <f t="shared" si="308"/>
        <v>36470.333333333336</v>
      </c>
      <c r="S1701" s="40">
        <f t="shared" si="308"/>
        <v>36470.333333333336</v>
      </c>
      <c r="T1701" s="40">
        <f t="shared" si="308"/>
        <v>36470.333333333336</v>
      </c>
      <c r="U1701" s="40">
        <f t="shared" si="308"/>
        <v>36470.333333333336</v>
      </c>
      <c r="V1701" s="40">
        <f t="shared" si="308"/>
        <v>36470.333333333336</v>
      </c>
      <c r="W1701" s="40">
        <f t="shared" si="308"/>
        <v>36470.333333333336</v>
      </c>
      <c r="X1701" s="40">
        <f t="shared" si="308"/>
        <v>36470.333333333336</v>
      </c>
      <c r="Y1701" s="40">
        <f t="shared" si="308"/>
        <v>36470.333333333336</v>
      </c>
      <c r="Z1701" s="40">
        <f t="shared" si="308"/>
        <v>36470.333333333336</v>
      </c>
      <c r="AA1701" s="966">
        <f t="shared" si="306"/>
        <v>437643.99999999994</v>
      </c>
      <c r="AB1701" s="35"/>
      <c r="AC1701" s="183"/>
    </row>
    <row r="1702" spans="1:29" x14ac:dyDescent="0.2">
      <c r="A1702" s="1422"/>
      <c r="B1702" s="2522"/>
      <c r="C1702" s="3191"/>
      <c r="D1702" s="2421"/>
      <c r="E1702" s="2421"/>
      <c r="F1702" s="2420"/>
      <c r="G1702" s="2420"/>
      <c r="H1702" s="2420"/>
      <c r="I1702" s="2420"/>
      <c r="J1702" s="2515"/>
      <c r="K1702" s="127">
        <v>146650</v>
      </c>
      <c r="L1702" s="3295"/>
      <c r="M1702" s="3287" t="s">
        <v>296</v>
      </c>
      <c r="N1702" s="3288"/>
      <c r="O1702" s="40">
        <f t="shared" si="308"/>
        <v>12220.833333333334</v>
      </c>
      <c r="P1702" s="40">
        <f t="shared" si="308"/>
        <v>12220.833333333334</v>
      </c>
      <c r="Q1702" s="40">
        <f t="shared" si="308"/>
        <v>12220.833333333334</v>
      </c>
      <c r="R1702" s="40">
        <f t="shared" si="308"/>
        <v>12220.833333333334</v>
      </c>
      <c r="S1702" s="40">
        <f t="shared" si="308"/>
        <v>12220.833333333334</v>
      </c>
      <c r="T1702" s="40">
        <f t="shared" si="308"/>
        <v>12220.833333333334</v>
      </c>
      <c r="U1702" s="40">
        <f t="shared" si="308"/>
        <v>12220.833333333334</v>
      </c>
      <c r="V1702" s="40">
        <f t="shared" si="308"/>
        <v>12220.833333333334</v>
      </c>
      <c r="W1702" s="40">
        <f t="shared" si="308"/>
        <v>12220.833333333334</v>
      </c>
      <c r="X1702" s="40">
        <f t="shared" si="308"/>
        <v>12220.833333333334</v>
      </c>
      <c r="Y1702" s="40">
        <f t="shared" si="308"/>
        <v>12220.833333333334</v>
      </c>
      <c r="Z1702" s="40">
        <f t="shared" si="308"/>
        <v>12220.833333333334</v>
      </c>
      <c r="AA1702" s="966">
        <f t="shared" si="306"/>
        <v>146650</v>
      </c>
      <c r="AB1702" s="35"/>
      <c r="AC1702" s="183"/>
    </row>
    <row r="1703" spans="1:29" x14ac:dyDescent="0.2">
      <c r="A1703" s="1422"/>
      <c r="B1703" s="2522"/>
      <c r="C1703" s="3191"/>
      <c r="D1703" s="2421"/>
      <c r="E1703" s="2421"/>
      <c r="F1703" s="2420"/>
      <c r="G1703" s="2420"/>
      <c r="H1703" s="2420"/>
      <c r="I1703" s="2420"/>
      <c r="J1703" s="2515"/>
      <c r="K1703" s="127">
        <v>63540</v>
      </c>
      <c r="L1703" s="3295"/>
      <c r="M1703" s="3287" t="s">
        <v>297</v>
      </c>
      <c r="N1703" s="3288"/>
      <c r="O1703" s="40">
        <f t="shared" si="308"/>
        <v>5295</v>
      </c>
      <c r="P1703" s="40">
        <f t="shared" si="308"/>
        <v>5295</v>
      </c>
      <c r="Q1703" s="40">
        <f t="shared" si="308"/>
        <v>5295</v>
      </c>
      <c r="R1703" s="40">
        <f t="shared" si="308"/>
        <v>5295</v>
      </c>
      <c r="S1703" s="40">
        <f t="shared" si="308"/>
        <v>5295</v>
      </c>
      <c r="T1703" s="40">
        <f t="shared" si="308"/>
        <v>5295</v>
      </c>
      <c r="U1703" s="40">
        <f t="shared" si="308"/>
        <v>5295</v>
      </c>
      <c r="V1703" s="40">
        <f t="shared" si="308"/>
        <v>5295</v>
      </c>
      <c r="W1703" s="40">
        <f t="shared" si="308"/>
        <v>5295</v>
      </c>
      <c r="X1703" s="40">
        <f t="shared" si="308"/>
        <v>5295</v>
      </c>
      <c r="Y1703" s="40">
        <f t="shared" si="308"/>
        <v>5295</v>
      </c>
      <c r="Z1703" s="40">
        <f t="shared" si="308"/>
        <v>5295</v>
      </c>
      <c r="AA1703" s="966">
        <f t="shared" si="306"/>
        <v>63540</v>
      </c>
      <c r="AB1703" s="35"/>
      <c r="AC1703" s="183"/>
    </row>
    <row r="1704" spans="1:29" x14ac:dyDescent="0.2">
      <c r="A1704" s="1422"/>
      <c r="B1704" s="2522"/>
      <c r="C1704" s="3191"/>
      <c r="D1704" s="2421"/>
      <c r="E1704" s="2421"/>
      <c r="F1704" s="2420"/>
      <c r="G1704" s="2420"/>
      <c r="H1704" s="2420"/>
      <c r="I1704" s="2420"/>
      <c r="J1704" s="2515"/>
      <c r="K1704" s="127">
        <v>15700</v>
      </c>
      <c r="L1704" s="3295"/>
      <c r="M1704" s="3287" t="s">
        <v>298</v>
      </c>
      <c r="N1704" s="3288"/>
      <c r="O1704" s="1044"/>
      <c r="P1704" s="1044"/>
      <c r="Q1704" s="1044"/>
      <c r="R1704" s="1044"/>
      <c r="S1704" s="1044"/>
      <c r="T1704" s="1044"/>
      <c r="U1704" s="40">
        <f>$K1704/2</f>
        <v>7850</v>
      </c>
      <c r="V1704" s="1044"/>
      <c r="W1704" s="1044"/>
      <c r="X1704" s="1044"/>
      <c r="Y1704" s="1044"/>
      <c r="Z1704" s="40">
        <f>$K1704/2</f>
        <v>7850</v>
      </c>
      <c r="AA1704" s="966">
        <f t="shared" si="306"/>
        <v>15700</v>
      </c>
      <c r="AB1704" s="35"/>
      <c r="AC1704" s="183"/>
    </row>
    <row r="1705" spans="1:29" x14ac:dyDescent="0.2">
      <c r="A1705" s="1422"/>
      <c r="B1705" s="2522"/>
      <c r="C1705" s="3191"/>
      <c r="D1705" s="2421"/>
      <c r="E1705" s="2421"/>
      <c r="F1705" s="2420"/>
      <c r="G1705" s="2420"/>
      <c r="H1705" s="2420"/>
      <c r="I1705" s="2420"/>
      <c r="J1705" s="2515"/>
      <c r="K1705" s="127">
        <v>13300</v>
      </c>
      <c r="L1705" s="3295"/>
      <c r="M1705" s="3287" t="s">
        <v>299</v>
      </c>
      <c r="N1705" s="3288"/>
      <c r="O1705" s="40">
        <f>$K1705</f>
        <v>13300</v>
      </c>
      <c r="P1705" s="1044"/>
      <c r="Q1705" s="40"/>
      <c r="R1705" s="1044"/>
      <c r="S1705" s="1044"/>
      <c r="T1705" s="1044"/>
      <c r="U1705" s="1044"/>
      <c r="V1705" s="1044"/>
      <c r="W1705" s="1044"/>
      <c r="X1705" s="1044"/>
      <c r="Y1705" s="1044"/>
      <c r="Z1705" s="1044"/>
      <c r="AA1705" s="966">
        <f t="shared" si="306"/>
        <v>13300</v>
      </c>
      <c r="AB1705" s="35"/>
      <c r="AC1705" s="183"/>
    </row>
    <row r="1706" spans="1:29" x14ac:dyDescent="0.2">
      <c r="A1706" s="1422"/>
      <c r="B1706" s="2522"/>
      <c r="C1706" s="3191"/>
      <c r="D1706" s="2421"/>
      <c r="E1706" s="2421"/>
      <c r="F1706" s="2420"/>
      <c r="G1706" s="2420"/>
      <c r="H1706" s="2420"/>
      <c r="I1706" s="2420"/>
      <c r="J1706" s="2515"/>
      <c r="K1706" s="127">
        <v>39747</v>
      </c>
      <c r="L1706" s="3295"/>
      <c r="M1706" s="3287" t="s">
        <v>300</v>
      </c>
      <c r="N1706" s="3288"/>
      <c r="O1706" s="40">
        <f t="shared" ref="O1706:Z1707" si="309">$K1706/12</f>
        <v>3312.25</v>
      </c>
      <c r="P1706" s="40">
        <f t="shared" si="309"/>
        <v>3312.25</v>
      </c>
      <c r="Q1706" s="40">
        <f t="shared" si="309"/>
        <v>3312.25</v>
      </c>
      <c r="R1706" s="40">
        <f t="shared" si="309"/>
        <v>3312.25</v>
      </c>
      <c r="S1706" s="40">
        <f t="shared" si="309"/>
        <v>3312.25</v>
      </c>
      <c r="T1706" s="40">
        <f t="shared" si="309"/>
        <v>3312.25</v>
      </c>
      <c r="U1706" s="40">
        <f t="shared" si="309"/>
        <v>3312.25</v>
      </c>
      <c r="V1706" s="40">
        <f t="shared" si="309"/>
        <v>3312.25</v>
      </c>
      <c r="W1706" s="40">
        <f t="shared" si="309"/>
        <v>3312.25</v>
      </c>
      <c r="X1706" s="40">
        <f t="shared" si="309"/>
        <v>3312.25</v>
      </c>
      <c r="Y1706" s="40">
        <f t="shared" si="309"/>
        <v>3312.25</v>
      </c>
      <c r="Z1706" s="40">
        <f t="shared" si="309"/>
        <v>3312.25</v>
      </c>
      <c r="AA1706" s="966">
        <f t="shared" si="306"/>
        <v>39747</v>
      </c>
      <c r="AB1706" s="35"/>
      <c r="AC1706" s="183"/>
    </row>
    <row r="1707" spans="1:29" x14ac:dyDescent="0.2">
      <c r="A1707" s="1422"/>
      <c r="B1707" s="2522"/>
      <c r="C1707" s="3191"/>
      <c r="D1707" s="2421"/>
      <c r="E1707" s="2421"/>
      <c r="F1707" s="2420"/>
      <c r="G1707" s="2420"/>
      <c r="H1707" s="2420"/>
      <c r="I1707" s="2420"/>
      <c r="J1707" s="2515"/>
      <c r="K1707" s="127">
        <v>218</v>
      </c>
      <c r="L1707" s="3295"/>
      <c r="M1707" s="3287" t="s">
        <v>301</v>
      </c>
      <c r="N1707" s="3288"/>
      <c r="O1707" s="40">
        <f t="shared" si="309"/>
        <v>18.166666666666668</v>
      </c>
      <c r="P1707" s="40">
        <f t="shared" si="309"/>
        <v>18.166666666666668</v>
      </c>
      <c r="Q1707" s="40">
        <f t="shared" si="309"/>
        <v>18.166666666666668</v>
      </c>
      <c r="R1707" s="40">
        <f t="shared" si="309"/>
        <v>18.166666666666668</v>
      </c>
      <c r="S1707" s="40">
        <f t="shared" si="309"/>
        <v>18.166666666666668</v>
      </c>
      <c r="T1707" s="40">
        <f t="shared" si="309"/>
        <v>18.166666666666668</v>
      </c>
      <c r="U1707" s="40">
        <f t="shared" si="309"/>
        <v>18.166666666666668</v>
      </c>
      <c r="V1707" s="40">
        <f t="shared" si="309"/>
        <v>18.166666666666668</v>
      </c>
      <c r="W1707" s="40">
        <f t="shared" si="309"/>
        <v>18.166666666666668</v>
      </c>
      <c r="X1707" s="40">
        <f t="shared" si="309"/>
        <v>18.166666666666668</v>
      </c>
      <c r="Y1707" s="40">
        <f t="shared" si="309"/>
        <v>18.166666666666668</v>
      </c>
      <c r="Z1707" s="40">
        <f t="shared" si="309"/>
        <v>18.166666666666668</v>
      </c>
      <c r="AA1707" s="966">
        <f t="shared" si="306"/>
        <v>217.99999999999997</v>
      </c>
      <c r="AB1707" s="35"/>
      <c r="AC1707" s="183"/>
    </row>
    <row r="1708" spans="1:29" x14ac:dyDescent="0.2">
      <c r="A1708" s="1422"/>
      <c r="B1708" s="2522"/>
      <c r="C1708" s="3191"/>
      <c r="D1708" s="2421"/>
      <c r="E1708" s="2421"/>
      <c r="F1708" s="2420"/>
      <c r="G1708" s="2420"/>
      <c r="H1708" s="2420"/>
      <c r="I1708" s="2420"/>
      <c r="J1708" s="2515"/>
      <c r="K1708" s="127">
        <v>2942</v>
      </c>
      <c r="L1708" s="3295"/>
      <c r="M1708" s="3287" t="s">
        <v>380</v>
      </c>
      <c r="N1708" s="3288"/>
      <c r="O1708" s="40">
        <f>$K1708/2</f>
        <v>1471</v>
      </c>
      <c r="P1708" s="1044"/>
      <c r="Q1708" s="1044"/>
      <c r="R1708" s="1044"/>
      <c r="S1708" s="1044"/>
      <c r="T1708" s="40">
        <f>$K1708/2</f>
        <v>1471</v>
      </c>
      <c r="U1708" s="1044"/>
      <c r="V1708" s="1044"/>
      <c r="W1708" s="1044"/>
      <c r="X1708" s="1044"/>
      <c r="Y1708" s="1044"/>
      <c r="Z1708" s="1044"/>
      <c r="AA1708" s="966">
        <f t="shared" si="306"/>
        <v>2942</v>
      </c>
      <c r="AB1708" s="35"/>
      <c r="AC1708" s="183"/>
    </row>
    <row r="1709" spans="1:29" x14ac:dyDescent="0.2">
      <c r="A1709" s="1422"/>
      <c r="B1709" s="2522"/>
      <c r="C1709" s="3191"/>
      <c r="D1709" s="2421"/>
      <c r="E1709" s="2421"/>
      <c r="F1709" s="2420"/>
      <c r="G1709" s="2420"/>
      <c r="H1709" s="2420"/>
      <c r="I1709" s="2420"/>
      <c r="J1709" s="2515"/>
      <c r="K1709" s="127">
        <v>17120</v>
      </c>
      <c r="L1709" s="3295"/>
      <c r="M1709" s="3287" t="s">
        <v>343</v>
      </c>
      <c r="N1709" s="3288"/>
      <c r="O1709" s="1044"/>
      <c r="P1709" s="1044"/>
      <c r="Q1709" s="94"/>
      <c r="R1709" s="1044">
        <f>$K1709/2</f>
        <v>8560</v>
      </c>
      <c r="S1709" s="94"/>
      <c r="T1709" s="94"/>
      <c r="U1709" s="94"/>
      <c r="V1709" s="1044">
        <f>$K1709/2</f>
        <v>8560</v>
      </c>
      <c r="W1709" s="94"/>
      <c r="X1709" s="94"/>
      <c r="Y1709" s="94"/>
      <c r="Z1709" s="94"/>
      <c r="AA1709" s="966">
        <f t="shared" si="306"/>
        <v>17120</v>
      </c>
      <c r="AB1709" s="35"/>
      <c r="AC1709" s="183"/>
    </row>
    <row r="1710" spans="1:29" x14ac:dyDescent="0.2">
      <c r="A1710" s="1422"/>
      <c r="B1710" s="2522"/>
      <c r="C1710" s="3191"/>
      <c r="D1710" s="2421"/>
      <c r="E1710" s="2421"/>
      <c r="F1710" s="2420"/>
      <c r="G1710" s="2420"/>
      <c r="H1710" s="2420"/>
      <c r="I1710" s="2420"/>
      <c r="J1710" s="2515"/>
      <c r="K1710" s="127">
        <v>3000</v>
      </c>
      <c r="L1710" s="3295"/>
      <c r="M1710" s="3287" t="s">
        <v>306</v>
      </c>
      <c r="N1710" s="3288"/>
      <c r="O1710" s="1044"/>
      <c r="P1710" s="93">
        <f>$K1710/11</f>
        <v>272.72727272727275</v>
      </c>
      <c r="Q1710" s="93">
        <f t="shared" ref="Q1710:Z1710" si="310">$K1710/11</f>
        <v>272.72727272727275</v>
      </c>
      <c r="R1710" s="93">
        <f t="shared" si="310"/>
        <v>272.72727272727275</v>
      </c>
      <c r="S1710" s="93">
        <f t="shared" si="310"/>
        <v>272.72727272727275</v>
      </c>
      <c r="T1710" s="93">
        <f t="shared" si="310"/>
        <v>272.72727272727275</v>
      </c>
      <c r="U1710" s="93">
        <f t="shared" si="310"/>
        <v>272.72727272727275</v>
      </c>
      <c r="V1710" s="93">
        <f t="shared" si="310"/>
        <v>272.72727272727275</v>
      </c>
      <c r="W1710" s="93">
        <f t="shared" si="310"/>
        <v>272.72727272727275</v>
      </c>
      <c r="X1710" s="93">
        <f t="shared" si="310"/>
        <v>272.72727272727275</v>
      </c>
      <c r="Y1710" s="93">
        <f t="shared" si="310"/>
        <v>272.72727272727275</v>
      </c>
      <c r="Z1710" s="93">
        <f t="shared" si="310"/>
        <v>272.72727272727275</v>
      </c>
      <c r="AA1710" s="966">
        <f t="shared" si="306"/>
        <v>3000.0000000000009</v>
      </c>
      <c r="AB1710" s="35"/>
      <c r="AC1710" s="183"/>
    </row>
    <row r="1711" spans="1:29" x14ac:dyDescent="0.2">
      <c r="A1711" s="1422"/>
      <c r="B1711" s="2522"/>
      <c r="C1711" s="3191"/>
      <c r="D1711" s="2421"/>
      <c r="E1711" s="2421"/>
      <c r="F1711" s="2420"/>
      <c r="G1711" s="2420"/>
      <c r="H1711" s="2420"/>
      <c r="I1711" s="2420"/>
      <c r="J1711" s="2515"/>
      <c r="K1711" s="127">
        <v>2500</v>
      </c>
      <c r="L1711" s="3295"/>
      <c r="M1711" s="3287" t="s">
        <v>310</v>
      </c>
      <c r="N1711" s="3288"/>
      <c r="O1711" s="40">
        <f t="shared" ref="O1711:Z1712" si="311">$K1711/12</f>
        <v>208.33333333333334</v>
      </c>
      <c r="P1711" s="40">
        <f t="shared" si="311"/>
        <v>208.33333333333334</v>
      </c>
      <c r="Q1711" s="40">
        <f t="shared" si="311"/>
        <v>208.33333333333334</v>
      </c>
      <c r="R1711" s="40">
        <f t="shared" si="311"/>
        <v>208.33333333333334</v>
      </c>
      <c r="S1711" s="40">
        <f t="shared" si="311"/>
        <v>208.33333333333334</v>
      </c>
      <c r="T1711" s="40">
        <f t="shared" si="311"/>
        <v>208.33333333333334</v>
      </c>
      <c r="U1711" s="40">
        <f t="shared" si="311"/>
        <v>208.33333333333334</v>
      </c>
      <c r="V1711" s="40">
        <f t="shared" si="311"/>
        <v>208.33333333333334</v>
      </c>
      <c r="W1711" s="40">
        <f t="shared" si="311"/>
        <v>208.33333333333334</v>
      </c>
      <c r="X1711" s="40">
        <f t="shared" si="311"/>
        <v>208.33333333333334</v>
      </c>
      <c r="Y1711" s="40">
        <f t="shared" si="311"/>
        <v>208.33333333333334</v>
      </c>
      <c r="Z1711" s="40">
        <f t="shared" si="311"/>
        <v>208.33333333333334</v>
      </c>
      <c r="AA1711" s="966">
        <f t="shared" si="306"/>
        <v>2500</v>
      </c>
      <c r="AB1711" s="35"/>
      <c r="AC1711" s="183"/>
    </row>
    <row r="1712" spans="1:29" x14ac:dyDescent="0.2">
      <c r="A1712" s="1422"/>
      <c r="B1712" s="2522"/>
      <c r="C1712" s="2439"/>
      <c r="D1712" s="2421"/>
      <c r="E1712" s="2421"/>
      <c r="F1712" s="2420"/>
      <c r="G1712" s="2420"/>
      <c r="H1712" s="2420"/>
      <c r="I1712" s="2420"/>
      <c r="J1712" s="2516"/>
      <c r="K1712" s="127">
        <v>189</v>
      </c>
      <c r="L1712" s="3296"/>
      <c r="M1712" s="3287" t="s">
        <v>311</v>
      </c>
      <c r="N1712" s="3288"/>
      <c r="O1712" s="40">
        <f t="shared" si="311"/>
        <v>15.75</v>
      </c>
      <c r="P1712" s="40">
        <f t="shared" si="311"/>
        <v>15.75</v>
      </c>
      <c r="Q1712" s="40">
        <f t="shared" si="311"/>
        <v>15.75</v>
      </c>
      <c r="R1712" s="40">
        <f t="shared" si="311"/>
        <v>15.75</v>
      </c>
      <c r="S1712" s="40">
        <f t="shared" si="311"/>
        <v>15.75</v>
      </c>
      <c r="T1712" s="40">
        <f t="shared" si="311"/>
        <v>15.75</v>
      </c>
      <c r="U1712" s="40">
        <f t="shared" si="311"/>
        <v>15.75</v>
      </c>
      <c r="V1712" s="40">
        <f t="shared" si="311"/>
        <v>15.75</v>
      </c>
      <c r="W1712" s="40">
        <f t="shared" si="311"/>
        <v>15.75</v>
      </c>
      <c r="X1712" s="40">
        <f t="shared" si="311"/>
        <v>15.75</v>
      </c>
      <c r="Y1712" s="40">
        <f t="shared" si="311"/>
        <v>15.75</v>
      </c>
      <c r="Z1712" s="40">
        <f t="shared" si="311"/>
        <v>15.75</v>
      </c>
      <c r="AA1712" s="966">
        <f t="shared" si="306"/>
        <v>189</v>
      </c>
      <c r="AB1712" s="35"/>
      <c r="AC1712" s="183"/>
    </row>
    <row r="1713" spans="1:30" x14ac:dyDescent="0.2">
      <c r="A1713" s="1422"/>
      <c r="B1713" s="1427" t="s">
        <v>312</v>
      </c>
      <c r="C1713" s="1128"/>
      <c r="D1713" s="38"/>
      <c r="E1713" s="38"/>
      <c r="F1713" s="38"/>
      <c r="G1713" s="38"/>
      <c r="H1713" s="38"/>
      <c r="I1713" s="38"/>
      <c r="J1713" s="38"/>
      <c r="K1713" s="1044">
        <f>SUM(K1699:K1712)</f>
        <v>870100</v>
      </c>
      <c r="L1713" s="38"/>
      <c r="M1713" s="38"/>
      <c r="N1713" s="38"/>
      <c r="O1713" s="1044"/>
      <c r="P1713" s="1044"/>
      <c r="Q1713" s="1044"/>
      <c r="R1713" s="1044"/>
      <c r="S1713" s="1044"/>
      <c r="T1713" s="1044"/>
      <c r="U1713" s="1044"/>
      <c r="V1713" s="1044"/>
      <c r="W1713" s="1044"/>
      <c r="X1713" s="1044"/>
      <c r="Y1713" s="1044"/>
      <c r="Z1713" s="1044"/>
      <c r="AA1713" s="1133"/>
      <c r="AB1713" s="35"/>
      <c r="AC1713" s="183"/>
    </row>
    <row r="1714" spans="1:30" x14ac:dyDescent="0.2">
      <c r="A1714" s="1422"/>
      <c r="B1714" s="1422"/>
      <c r="C1714" s="1124"/>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180"/>
      <c r="AB1714" s="35"/>
      <c r="AC1714" s="183"/>
    </row>
    <row r="1715" spans="1:30" x14ac:dyDescent="0.2">
      <c r="A1715" s="1422"/>
      <c r="B1715" s="2993" t="s">
        <v>269</v>
      </c>
      <c r="C1715" s="159"/>
      <c r="D1715" s="38" t="s">
        <v>270</v>
      </c>
      <c r="E1715" s="38"/>
      <c r="F1715" s="38"/>
      <c r="G1715" s="38"/>
      <c r="H1715" s="38"/>
      <c r="I1715" s="38"/>
      <c r="J1715" s="104"/>
      <c r="K1715" s="40"/>
      <c r="L1715" s="165"/>
      <c r="M1715" s="165"/>
      <c r="N1715" s="165"/>
      <c r="O1715" s="165"/>
      <c r="P1715" s="165"/>
      <c r="Q1715" s="165"/>
      <c r="R1715" s="165"/>
      <c r="S1715" s="165"/>
      <c r="T1715" s="396"/>
      <c r="U1715" s="396"/>
      <c r="V1715" s="396"/>
      <c r="W1715" s="396"/>
      <c r="X1715" s="396"/>
      <c r="Y1715" s="396"/>
      <c r="Z1715" s="396"/>
      <c r="AA1715" s="396"/>
      <c r="AB1715" s="35"/>
      <c r="AC1715" s="183"/>
    </row>
    <row r="1716" spans="1:30" x14ac:dyDescent="0.2">
      <c r="A1716" s="1422"/>
      <c r="B1716" s="2994"/>
      <c r="C1716" s="159"/>
      <c r="D1716" s="38" t="s">
        <v>271</v>
      </c>
      <c r="E1716" s="38"/>
      <c r="F1716" s="38"/>
      <c r="G1716" s="38"/>
      <c r="H1716" s="396"/>
      <c r="I1716" s="396"/>
      <c r="J1716" s="2228"/>
      <c r="K1716" s="165"/>
      <c r="L1716" s="2226"/>
      <c r="M1716" s="2226"/>
      <c r="N1716" s="2226"/>
      <c r="O1716" s="2226"/>
      <c r="P1716" s="2226"/>
      <c r="Q1716" s="2226"/>
      <c r="R1716" s="2226"/>
      <c r="S1716" s="2226"/>
      <c r="T1716" s="134"/>
      <c r="U1716" s="134"/>
      <c r="V1716" s="134"/>
      <c r="W1716" s="134"/>
      <c r="X1716" s="134"/>
      <c r="Y1716" s="134"/>
      <c r="Z1716" s="134"/>
      <c r="AA1716" s="134"/>
      <c r="AB1716" s="35"/>
      <c r="AC1716" s="183"/>
    </row>
    <row r="1717" spans="1:30" ht="24.75" customHeight="1" x14ac:dyDescent="0.2">
      <c r="A1717" s="1422"/>
      <c r="B1717" s="2113" t="s">
        <v>8</v>
      </c>
      <c r="C1717" s="2141"/>
      <c r="D1717" s="2127" t="s">
        <v>639</v>
      </c>
      <c r="E1717" s="2127"/>
      <c r="F1717" s="2127"/>
      <c r="G1717" s="2127"/>
      <c r="H1717" s="2127"/>
      <c r="I1717" s="565"/>
      <c r="J1717" s="2191"/>
      <c r="K1717" s="2128"/>
      <c r="L1717" s="2128"/>
      <c r="M1717" s="2128"/>
      <c r="N1717" s="2128"/>
      <c r="O1717" s="2128"/>
      <c r="P1717" s="2128"/>
      <c r="Q1717" s="2128"/>
      <c r="R1717" s="2128"/>
      <c r="S1717" s="2128"/>
      <c r="T1717" s="565"/>
      <c r="U1717" s="565"/>
      <c r="V1717" s="565"/>
      <c r="W1717" s="565"/>
      <c r="X1717" s="565"/>
      <c r="Y1717" s="565"/>
      <c r="Z1717" s="565"/>
      <c r="AA1717" s="565"/>
      <c r="AB1717" s="35"/>
      <c r="AC1717" s="183"/>
    </row>
    <row r="1718" spans="1:30" ht="22.5" x14ac:dyDescent="0.2">
      <c r="A1718" s="1422"/>
      <c r="B1718" s="2022" t="s">
        <v>272</v>
      </c>
      <c r="C1718" s="2023"/>
      <c r="D1718" s="3370" t="s">
        <v>84</v>
      </c>
      <c r="E1718" s="3370"/>
      <c r="F1718" s="3370"/>
      <c r="G1718" s="3370"/>
      <c r="H1718" s="1405"/>
      <c r="I1718" s="1405"/>
      <c r="J1718" s="2170"/>
      <c r="K1718" s="2164"/>
      <c r="L1718" s="2226"/>
      <c r="M1718" s="2226"/>
      <c r="N1718" s="2226"/>
      <c r="O1718" s="2226"/>
      <c r="P1718" s="2226"/>
      <c r="Q1718" s="3235" t="s">
        <v>15</v>
      </c>
      <c r="R1718" s="3235"/>
      <c r="S1718" s="3235"/>
      <c r="T1718" s="3235"/>
      <c r="U1718" s="3235" t="s">
        <v>16</v>
      </c>
      <c r="V1718" s="3235"/>
      <c r="W1718" s="3235" t="s">
        <v>15</v>
      </c>
      <c r="X1718" s="3235"/>
      <c r="Y1718" s="3235"/>
      <c r="Z1718" s="3235"/>
      <c r="AA1718" s="2229" t="s">
        <v>16</v>
      </c>
      <c r="AB1718" s="35"/>
      <c r="AC1718" s="183"/>
    </row>
    <row r="1719" spans="1:30" ht="15" customHeight="1" x14ac:dyDescent="0.2">
      <c r="A1719" s="1422"/>
      <c r="B1719" s="2124" t="s">
        <v>13</v>
      </c>
      <c r="C1719" s="159"/>
      <c r="D1719" s="2189" t="s">
        <v>50</v>
      </c>
      <c r="E1719" s="2943" t="s">
        <v>640</v>
      </c>
      <c r="F1719" s="2943"/>
      <c r="G1719" s="2943"/>
      <c r="H1719" s="2943"/>
      <c r="I1719" s="2943"/>
      <c r="J1719" s="104"/>
      <c r="K1719" s="40"/>
      <c r="L1719" s="2226"/>
      <c r="M1719" s="2226"/>
      <c r="N1719" s="2226"/>
      <c r="O1719" s="2226"/>
      <c r="P1719" s="2226"/>
      <c r="Q1719" s="2922" t="s">
        <v>641</v>
      </c>
      <c r="R1719" s="2922"/>
      <c r="S1719" s="2922"/>
      <c r="T1719" s="2922"/>
      <c r="U1719" s="2922" t="s">
        <v>642</v>
      </c>
      <c r="V1719" s="2922"/>
      <c r="W1719" s="2922" t="s">
        <v>3724</v>
      </c>
      <c r="X1719" s="2922"/>
      <c r="Y1719" s="2922"/>
      <c r="Z1719" s="2922"/>
      <c r="AA1719" s="2148" t="s">
        <v>642</v>
      </c>
      <c r="AB1719" s="35"/>
      <c r="AC1719" s="183"/>
    </row>
    <row r="1720" spans="1:30" x14ac:dyDescent="0.2">
      <c r="A1720" s="1422"/>
      <c r="B1720" s="2124"/>
      <c r="C1720" s="159"/>
      <c r="D1720" s="2125"/>
      <c r="E1720" s="107"/>
      <c r="F1720" s="38"/>
      <c r="G1720" s="38"/>
      <c r="H1720" s="38"/>
      <c r="I1720" s="38"/>
      <c r="J1720" s="104"/>
      <c r="K1720" s="40"/>
      <c r="L1720" s="2226"/>
      <c r="M1720" s="2226"/>
      <c r="N1720" s="2226"/>
      <c r="O1720" s="2226"/>
      <c r="P1720" s="2226"/>
      <c r="Q1720" s="2226"/>
      <c r="R1720" s="2226"/>
      <c r="S1720" s="2226"/>
      <c r="T1720" s="134"/>
      <c r="U1720" s="134"/>
      <c r="V1720" s="134"/>
      <c r="W1720" s="134"/>
      <c r="X1720" s="134"/>
      <c r="Y1720" s="134"/>
      <c r="Z1720" s="134"/>
      <c r="AA1720" s="134"/>
      <c r="AB1720" s="35"/>
      <c r="AC1720" s="183"/>
    </row>
    <row r="1721" spans="1:30" x14ac:dyDescent="0.2">
      <c r="A1721" s="1422"/>
      <c r="B1721" s="2124" t="s">
        <v>276</v>
      </c>
      <c r="C1721" s="159"/>
      <c r="D1721" s="2190">
        <v>3000001</v>
      </c>
      <c r="E1721" s="159" t="s">
        <v>277</v>
      </c>
      <c r="F1721" s="38"/>
      <c r="G1721" s="38"/>
      <c r="H1721" s="38"/>
      <c r="I1721" s="38"/>
      <c r="J1721" s="104"/>
      <c r="K1721" s="40"/>
      <c r="L1721" s="2227"/>
      <c r="M1721" s="2227"/>
      <c r="N1721" s="2227"/>
      <c r="O1721" s="2227"/>
      <c r="P1721" s="2227"/>
      <c r="Q1721" s="2227"/>
      <c r="R1721" s="2227"/>
      <c r="S1721" s="2227"/>
      <c r="T1721" s="96"/>
      <c r="U1721" s="96"/>
      <c r="V1721" s="96"/>
      <c r="W1721" s="96"/>
      <c r="X1721" s="96"/>
      <c r="Y1721" s="96"/>
      <c r="Z1721" s="96"/>
      <c r="AA1721" s="96"/>
      <c r="AB1721" s="35"/>
      <c r="AC1721" s="183"/>
    </row>
    <row r="1722" spans="1:30" x14ac:dyDescent="0.2">
      <c r="A1722" s="1422"/>
      <c r="B1722" s="2999" t="s">
        <v>278</v>
      </c>
      <c r="C1722" s="2999" t="s">
        <v>21</v>
      </c>
      <c r="D1722" s="2847" t="s">
        <v>22</v>
      </c>
      <c r="E1722" s="2847" t="s">
        <v>23</v>
      </c>
      <c r="F1722" s="2847" t="s">
        <v>24</v>
      </c>
      <c r="G1722" s="2847" t="s">
        <v>25</v>
      </c>
      <c r="H1722" s="2847" t="s">
        <v>26</v>
      </c>
      <c r="I1722" s="2847" t="s">
        <v>27</v>
      </c>
      <c r="J1722" s="2847" t="s">
        <v>28</v>
      </c>
      <c r="K1722" s="2847"/>
      <c r="L1722" s="2847" t="s">
        <v>279</v>
      </c>
      <c r="M1722" s="2986" t="s">
        <v>280</v>
      </c>
      <c r="N1722" s="2987"/>
      <c r="O1722" s="2847" t="s">
        <v>281</v>
      </c>
      <c r="P1722" s="2847"/>
      <c r="Q1722" s="2847"/>
      <c r="R1722" s="2847"/>
      <c r="S1722" s="2847"/>
      <c r="T1722" s="2847"/>
      <c r="U1722" s="2847"/>
      <c r="V1722" s="2847"/>
      <c r="W1722" s="2847"/>
      <c r="X1722" s="2847"/>
      <c r="Y1722" s="2847"/>
      <c r="Z1722" s="2847"/>
      <c r="AA1722" s="2847" t="s">
        <v>32</v>
      </c>
      <c r="AB1722" s="35"/>
      <c r="AC1722" s="183"/>
    </row>
    <row r="1723" spans="1:30" x14ac:dyDescent="0.2">
      <c r="A1723" s="1422"/>
      <c r="B1723" s="2999"/>
      <c r="C1723" s="2999"/>
      <c r="D1723" s="2847"/>
      <c r="E1723" s="2847"/>
      <c r="F1723" s="2847"/>
      <c r="G1723" s="2847"/>
      <c r="H1723" s="2847"/>
      <c r="I1723" s="2847"/>
      <c r="J1723" s="2847" t="s">
        <v>33</v>
      </c>
      <c r="K1723" s="2847" t="s">
        <v>282</v>
      </c>
      <c r="L1723" s="2847"/>
      <c r="M1723" s="3000"/>
      <c r="N1723" s="3001"/>
      <c r="O1723" s="1009" t="s">
        <v>283</v>
      </c>
      <c r="P1723" s="1009" t="s">
        <v>284</v>
      </c>
      <c r="Q1723" s="1009" t="s">
        <v>285</v>
      </c>
      <c r="R1723" s="1009" t="s">
        <v>88</v>
      </c>
      <c r="S1723" s="1009" t="s">
        <v>89</v>
      </c>
      <c r="T1723" s="1009" t="s">
        <v>90</v>
      </c>
      <c r="U1723" s="1009" t="s">
        <v>91</v>
      </c>
      <c r="V1723" s="1009" t="s">
        <v>92</v>
      </c>
      <c r="W1723" s="1009" t="s">
        <v>286</v>
      </c>
      <c r="X1723" s="1009" t="s">
        <v>93</v>
      </c>
      <c r="Y1723" s="1009" t="s">
        <v>94</v>
      </c>
      <c r="Z1723" s="1009" t="s">
        <v>95</v>
      </c>
      <c r="AA1723" s="2847"/>
      <c r="AB1723" s="35"/>
      <c r="AC1723" s="183"/>
    </row>
    <row r="1724" spans="1:30" ht="12.75" x14ac:dyDescent="0.2">
      <c r="A1724" s="1422"/>
      <c r="B1724" s="2999"/>
      <c r="C1724" s="2999"/>
      <c r="D1724" s="2847"/>
      <c r="E1724" s="2847"/>
      <c r="F1724" s="2847"/>
      <c r="G1724" s="2847"/>
      <c r="H1724" s="2847"/>
      <c r="I1724" s="2847"/>
      <c r="J1724" s="2847"/>
      <c r="K1724" s="2847"/>
      <c r="L1724" s="2847"/>
      <c r="M1724" s="3271" t="s">
        <v>287</v>
      </c>
      <c r="N1724" s="3272"/>
      <c r="O1724" s="40"/>
      <c r="P1724" s="40">
        <v>7</v>
      </c>
      <c r="Q1724" s="40">
        <v>7</v>
      </c>
      <c r="R1724" s="40">
        <v>7</v>
      </c>
      <c r="S1724" s="40">
        <v>8</v>
      </c>
      <c r="T1724" s="40">
        <v>8</v>
      </c>
      <c r="U1724" s="40">
        <v>8</v>
      </c>
      <c r="V1724" s="40">
        <v>8</v>
      </c>
      <c r="W1724" s="40">
        <v>8</v>
      </c>
      <c r="X1724" s="40">
        <v>8</v>
      </c>
      <c r="Y1724" s="40">
        <v>8</v>
      </c>
      <c r="Z1724" s="40">
        <v>8</v>
      </c>
      <c r="AA1724" s="1205">
        <f t="shared" ref="AA1724:AA1748" si="312">SUM(O1724:Z1724)</f>
        <v>85</v>
      </c>
      <c r="AB1724" s="35"/>
      <c r="AC1724" s="183"/>
    </row>
    <row r="1725" spans="1:30" ht="12.75" x14ac:dyDescent="0.2">
      <c r="A1725" s="1422"/>
      <c r="B1725" s="2999"/>
      <c r="C1725" s="2999"/>
      <c r="D1725" s="2847"/>
      <c r="E1725" s="2847"/>
      <c r="F1725" s="2847"/>
      <c r="G1725" s="2847"/>
      <c r="H1725" s="2847"/>
      <c r="I1725" s="2847"/>
      <c r="J1725" s="2847"/>
      <c r="K1725" s="2847"/>
      <c r="L1725" s="2847"/>
      <c r="M1725" s="3271" t="s">
        <v>34</v>
      </c>
      <c r="N1725" s="3272"/>
      <c r="O1725" s="40">
        <f>SUM(O1726:O1747)</f>
        <v>70250.000000000015</v>
      </c>
      <c r="P1725" s="40">
        <f t="shared" ref="P1725:Z1725" si="313">SUM(P1726:P1747)</f>
        <v>64000.86363636364</v>
      </c>
      <c r="Q1725" s="40">
        <f t="shared" si="313"/>
        <v>69378.296969696981</v>
      </c>
      <c r="R1725" s="40">
        <f t="shared" si="313"/>
        <v>65688.363636363647</v>
      </c>
      <c r="S1725" s="40">
        <f t="shared" si="313"/>
        <v>70868.463636363638</v>
      </c>
      <c r="T1725" s="40">
        <f t="shared" si="313"/>
        <v>66010.696969696975</v>
      </c>
      <c r="U1725" s="40">
        <f t="shared" si="313"/>
        <v>71831.963636363638</v>
      </c>
      <c r="V1725" s="40">
        <f t="shared" si="313"/>
        <v>64000.86363636364</v>
      </c>
      <c r="W1725" s="40">
        <f t="shared" si="313"/>
        <v>67878.296969696981</v>
      </c>
      <c r="X1725" s="40">
        <f t="shared" si="313"/>
        <v>63188.36363636364</v>
      </c>
      <c r="Y1725" s="40">
        <f t="shared" si="313"/>
        <v>65868.463636363638</v>
      </c>
      <c r="Z1725" s="40">
        <f t="shared" si="313"/>
        <v>69964.363636363647</v>
      </c>
      <c r="AA1725" s="1205">
        <f t="shared" si="312"/>
        <v>808929</v>
      </c>
      <c r="AB1725" s="1210"/>
      <c r="AC1725" s="1199"/>
      <c r="AD1725" s="1211"/>
    </row>
    <row r="1726" spans="1:30" x14ac:dyDescent="0.2">
      <c r="A1726" s="1422"/>
      <c r="B1726" s="2522">
        <v>5000085</v>
      </c>
      <c r="C1726" s="2438" t="s">
        <v>643</v>
      </c>
      <c r="D1726" s="3369">
        <v>58</v>
      </c>
      <c r="E1726" s="3369" t="s">
        <v>407</v>
      </c>
      <c r="F1726" s="2420" t="s">
        <v>289</v>
      </c>
      <c r="G1726" s="2420" t="s">
        <v>290</v>
      </c>
      <c r="H1726" s="2420" t="s">
        <v>564</v>
      </c>
      <c r="I1726" s="3369" t="s">
        <v>292</v>
      </c>
      <c r="J1726" s="3202">
        <v>85</v>
      </c>
      <c r="K1726" s="40">
        <v>17696</v>
      </c>
      <c r="L1726" s="3106" t="s">
        <v>644</v>
      </c>
      <c r="M1726" s="3371" t="s">
        <v>319</v>
      </c>
      <c r="N1726" s="3372"/>
      <c r="O1726" s="40">
        <v>1474.6666666666667</v>
      </c>
      <c r="P1726" s="40">
        <v>1474.6666666666667</v>
      </c>
      <c r="Q1726" s="40">
        <v>1474.6666666666667</v>
      </c>
      <c r="R1726" s="40">
        <v>1474.6666666666667</v>
      </c>
      <c r="S1726" s="40">
        <v>1474.6666666666667</v>
      </c>
      <c r="T1726" s="40">
        <v>1474.6666666666667</v>
      </c>
      <c r="U1726" s="40">
        <v>1474.6666666666667</v>
      </c>
      <c r="V1726" s="40">
        <v>1474.6666666666667</v>
      </c>
      <c r="W1726" s="40">
        <v>1474.6666666666667</v>
      </c>
      <c r="X1726" s="40">
        <v>1474.6666666666667</v>
      </c>
      <c r="Y1726" s="40">
        <v>1474.6666666666667</v>
      </c>
      <c r="Z1726" s="40">
        <v>1474.6666666666667</v>
      </c>
      <c r="AA1726" s="966">
        <f t="shared" si="312"/>
        <v>17695.999999999996</v>
      </c>
      <c r="AB1726" s="1210"/>
      <c r="AC1726" s="1199"/>
      <c r="AD1726" s="1211"/>
    </row>
    <row r="1727" spans="1:30" x14ac:dyDescent="0.2">
      <c r="A1727" s="1422"/>
      <c r="B1727" s="2522"/>
      <c r="C1727" s="2456"/>
      <c r="D1727" s="3369"/>
      <c r="E1727" s="3369"/>
      <c r="F1727" s="2420"/>
      <c r="G1727" s="2420"/>
      <c r="H1727" s="2420"/>
      <c r="I1727" s="3369"/>
      <c r="J1727" s="3203"/>
      <c r="K1727" s="40">
        <v>82562</v>
      </c>
      <c r="L1727" s="3106"/>
      <c r="M1727" s="3287" t="s">
        <v>320</v>
      </c>
      <c r="N1727" s="3288"/>
      <c r="O1727" s="40">
        <v>6880.166666666667</v>
      </c>
      <c r="P1727" s="40">
        <v>6880.166666666667</v>
      </c>
      <c r="Q1727" s="40">
        <v>6880.166666666667</v>
      </c>
      <c r="R1727" s="40">
        <v>6880.166666666667</v>
      </c>
      <c r="S1727" s="40">
        <v>6880.166666666667</v>
      </c>
      <c r="T1727" s="40">
        <v>6880.166666666667</v>
      </c>
      <c r="U1727" s="40">
        <v>6880.166666666667</v>
      </c>
      <c r="V1727" s="40">
        <v>6880.166666666667</v>
      </c>
      <c r="W1727" s="40">
        <v>6880.166666666667</v>
      </c>
      <c r="X1727" s="40">
        <v>6880.166666666667</v>
      </c>
      <c r="Y1727" s="40">
        <v>6880.166666666667</v>
      </c>
      <c r="Z1727" s="40">
        <v>6880.166666666667</v>
      </c>
      <c r="AA1727" s="966">
        <f t="shared" si="312"/>
        <v>82562</v>
      </c>
      <c r="AB1727" s="1210"/>
      <c r="AC1727" s="1199"/>
      <c r="AD1727" s="1211"/>
    </row>
    <row r="1728" spans="1:30" x14ac:dyDescent="0.2">
      <c r="A1728" s="1422"/>
      <c r="B1728" s="2522"/>
      <c r="C1728" s="2456"/>
      <c r="D1728" s="3369"/>
      <c r="E1728" s="3369"/>
      <c r="F1728" s="2420"/>
      <c r="G1728" s="2420"/>
      <c r="H1728" s="2420"/>
      <c r="I1728" s="3369"/>
      <c r="J1728" s="3203"/>
      <c r="K1728" s="40">
        <v>182580</v>
      </c>
      <c r="L1728" s="3106"/>
      <c r="M1728" s="3287" t="s">
        <v>293</v>
      </c>
      <c r="N1728" s="3288"/>
      <c r="O1728" s="40">
        <v>15215</v>
      </c>
      <c r="P1728" s="40">
        <v>15215</v>
      </c>
      <c r="Q1728" s="40">
        <v>15215</v>
      </c>
      <c r="R1728" s="40">
        <v>15215</v>
      </c>
      <c r="S1728" s="40">
        <v>15215</v>
      </c>
      <c r="T1728" s="40">
        <v>15215</v>
      </c>
      <c r="U1728" s="40">
        <v>15215</v>
      </c>
      <c r="V1728" s="40">
        <v>15215</v>
      </c>
      <c r="W1728" s="40">
        <v>15215</v>
      </c>
      <c r="X1728" s="40">
        <v>15215</v>
      </c>
      <c r="Y1728" s="40">
        <v>15215</v>
      </c>
      <c r="Z1728" s="40">
        <v>15215</v>
      </c>
      <c r="AA1728" s="966">
        <f t="shared" si="312"/>
        <v>182580</v>
      </c>
      <c r="AB1728" s="1210"/>
      <c r="AC1728" s="1199"/>
      <c r="AD1728" s="1211"/>
    </row>
    <row r="1729" spans="1:30" x14ac:dyDescent="0.2">
      <c r="A1729" s="1422"/>
      <c r="B1729" s="2522"/>
      <c r="C1729" s="2456"/>
      <c r="D1729" s="3369"/>
      <c r="E1729" s="3369"/>
      <c r="F1729" s="2420"/>
      <c r="G1729" s="2420"/>
      <c r="H1729" s="2420"/>
      <c r="I1729" s="3369"/>
      <c r="J1729" s="3203"/>
      <c r="K1729" s="40">
        <v>95532</v>
      </c>
      <c r="L1729" s="3106"/>
      <c r="M1729" s="3287" t="s">
        <v>295</v>
      </c>
      <c r="N1729" s="3288"/>
      <c r="O1729" s="40">
        <v>7961</v>
      </c>
      <c r="P1729" s="40">
        <v>7961</v>
      </c>
      <c r="Q1729" s="40">
        <v>7961</v>
      </c>
      <c r="R1729" s="40">
        <v>7961</v>
      </c>
      <c r="S1729" s="40">
        <v>7961</v>
      </c>
      <c r="T1729" s="40">
        <v>7961</v>
      </c>
      <c r="U1729" s="40">
        <v>7961</v>
      </c>
      <c r="V1729" s="40">
        <v>7961</v>
      </c>
      <c r="W1729" s="40">
        <v>7961</v>
      </c>
      <c r="X1729" s="40">
        <v>7961</v>
      </c>
      <c r="Y1729" s="40">
        <v>7961</v>
      </c>
      <c r="Z1729" s="40">
        <v>7961</v>
      </c>
      <c r="AA1729" s="966">
        <f t="shared" si="312"/>
        <v>95532</v>
      </c>
      <c r="AB1729" s="1210"/>
      <c r="AC1729" s="1199"/>
      <c r="AD1729" s="1211"/>
    </row>
    <row r="1730" spans="1:30" x14ac:dyDescent="0.2">
      <c r="A1730" s="1422"/>
      <c r="B1730" s="2522"/>
      <c r="C1730" s="2456"/>
      <c r="D1730" s="3369"/>
      <c r="E1730" s="3369"/>
      <c r="F1730" s="2420"/>
      <c r="G1730" s="2420"/>
      <c r="H1730" s="2420"/>
      <c r="I1730" s="3369"/>
      <c r="J1730" s="3203"/>
      <c r="K1730" s="40">
        <v>22824</v>
      </c>
      <c r="L1730" s="3106"/>
      <c r="M1730" s="3287" t="s">
        <v>332</v>
      </c>
      <c r="N1730" s="3288"/>
      <c r="O1730" s="40">
        <v>1902</v>
      </c>
      <c r="P1730" s="40">
        <v>1902</v>
      </c>
      <c r="Q1730" s="40">
        <v>1902</v>
      </c>
      <c r="R1730" s="40">
        <v>1902</v>
      </c>
      <c r="S1730" s="40">
        <v>1902</v>
      </c>
      <c r="T1730" s="40">
        <v>1902</v>
      </c>
      <c r="U1730" s="40">
        <v>1902</v>
      </c>
      <c r="V1730" s="40">
        <v>1902</v>
      </c>
      <c r="W1730" s="40">
        <v>1902</v>
      </c>
      <c r="X1730" s="40">
        <v>1902</v>
      </c>
      <c r="Y1730" s="40">
        <v>1902</v>
      </c>
      <c r="Z1730" s="40">
        <v>1902</v>
      </c>
      <c r="AA1730" s="966">
        <f t="shared" si="312"/>
        <v>22824</v>
      </c>
      <c r="AB1730" s="1210"/>
      <c r="AC1730" s="1199"/>
      <c r="AD1730" s="1211"/>
    </row>
    <row r="1731" spans="1:30" x14ac:dyDescent="0.2">
      <c r="A1731" s="1422"/>
      <c r="B1731" s="2522"/>
      <c r="C1731" s="2456"/>
      <c r="D1731" s="3369"/>
      <c r="E1731" s="3369"/>
      <c r="F1731" s="2420"/>
      <c r="G1731" s="2420"/>
      <c r="H1731" s="2420"/>
      <c r="I1731" s="3369"/>
      <c r="J1731" s="3203"/>
      <c r="K1731" s="40">
        <v>30742</v>
      </c>
      <c r="L1731" s="3106"/>
      <c r="M1731" s="3287" t="s">
        <v>296</v>
      </c>
      <c r="N1731" s="3288"/>
      <c r="O1731" s="40">
        <v>2561.8333333333335</v>
      </c>
      <c r="P1731" s="40">
        <v>2561.8333333333335</v>
      </c>
      <c r="Q1731" s="40">
        <v>2561.8333333333335</v>
      </c>
      <c r="R1731" s="40">
        <v>2561.8333333333335</v>
      </c>
      <c r="S1731" s="40">
        <v>2561.8333333333335</v>
      </c>
      <c r="T1731" s="40">
        <v>2561.8333333333335</v>
      </c>
      <c r="U1731" s="40">
        <v>2561.8333333333335</v>
      </c>
      <c r="V1731" s="40">
        <v>2561.8333333333335</v>
      </c>
      <c r="W1731" s="40">
        <v>2561.8333333333335</v>
      </c>
      <c r="X1731" s="40">
        <v>2561.8333333333335</v>
      </c>
      <c r="Y1731" s="40">
        <v>2561.8333333333335</v>
      </c>
      <c r="Z1731" s="40">
        <v>2561.8333333333335</v>
      </c>
      <c r="AA1731" s="966">
        <f t="shared" si="312"/>
        <v>30741.999999999996</v>
      </c>
      <c r="AB1731" s="1210"/>
      <c r="AC1731" s="1199"/>
      <c r="AD1731" s="1211"/>
    </row>
    <row r="1732" spans="1:30" x14ac:dyDescent="0.2">
      <c r="A1732" s="1422"/>
      <c r="B1732" s="2522"/>
      <c r="C1732" s="2456"/>
      <c r="D1732" s="3369"/>
      <c r="E1732" s="3369"/>
      <c r="F1732" s="2420"/>
      <c r="G1732" s="2420"/>
      <c r="H1732" s="2420"/>
      <c r="I1732" s="3369"/>
      <c r="J1732" s="3203"/>
      <c r="K1732" s="40">
        <v>122838</v>
      </c>
      <c r="L1732" s="3106"/>
      <c r="M1732" s="3287" t="s">
        <v>297</v>
      </c>
      <c r="N1732" s="3288"/>
      <c r="O1732" s="40">
        <v>10236.5</v>
      </c>
      <c r="P1732" s="40">
        <v>10236.5</v>
      </c>
      <c r="Q1732" s="40">
        <v>10236.5</v>
      </c>
      <c r="R1732" s="40">
        <v>10236.5</v>
      </c>
      <c r="S1732" s="40">
        <v>10236.5</v>
      </c>
      <c r="T1732" s="40">
        <v>10236.5</v>
      </c>
      <c r="U1732" s="40">
        <v>10236.5</v>
      </c>
      <c r="V1732" s="40">
        <v>10236.5</v>
      </c>
      <c r="W1732" s="40">
        <v>10236.5</v>
      </c>
      <c r="X1732" s="40">
        <v>10236.5</v>
      </c>
      <c r="Y1732" s="40">
        <v>10236.5</v>
      </c>
      <c r="Z1732" s="40">
        <v>10236.5</v>
      </c>
      <c r="AA1732" s="966">
        <f t="shared" si="312"/>
        <v>122838</v>
      </c>
      <c r="AB1732" s="1210"/>
      <c r="AC1732" s="1199"/>
      <c r="AD1732" s="1211"/>
    </row>
    <row r="1733" spans="1:30" x14ac:dyDescent="0.2">
      <c r="A1733" s="1422"/>
      <c r="B1733" s="2522"/>
      <c r="C1733" s="2456"/>
      <c r="D1733" s="3369"/>
      <c r="E1733" s="3369"/>
      <c r="F1733" s="2420"/>
      <c r="G1733" s="2420"/>
      <c r="H1733" s="2420"/>
      <c r="I1733" s="3369"/>
      <c r="J1733" s="3203"/>
      <c r="K1733" s="40">
        <v>13552</v>
      </c>
      <c r="L1733" s="3106"/>
      <c r="M1733" s="3287" t="s">
        <v>298</v>
      </c>
      <c r="N1733" s="3288"/>
      <c r="O1733" s="40"/>
      <c r="P1733" s="40"/>
      <c r="Q1733" s="40"/>
      <c r="R1733" s="40"/>
      <c r="S1733" s="40"/>
      <c r="T1733" s="40"/>
      <c r="U1733" s="40">
        <v>6776</v>
      </c>
      <c r="V1733" s="40"/>
      <c r="W1733" s="40"/>
      <c r="X1733" s="40"/>
      <c r="Y1733" s="40"/>
      <c r="Z1733" s="40">
        <v>6776</v>
      </c>
      <c r="AA1733" s="966">
        <f t="shared" si="312"/>
        <v>13552</v>
      </c>
      <c r="AB1733" s="1210"/>
      <c r="AC1733" s="1199"/>
      <c r="AD1733" s="1211"/>
    </row>
    <row r="1734" spans="1:30" x14ac:dyDescent="0.2">
      <c r="A1734" s="1422"/>
      <c r="B1734" s="2522"/>
      <c r="C1734" s="2456"/>
      <c r="D1734" s="3369"/>
      <c r="E1734" s="3369"/>
      <c r="F1734" s="2420"/>
      <c r="G1734" s="2420"/>
      <c r="H1734" s="2420"/>
      <c r="I1734" s="3369"/>
      <c r="J1734" s="3203"/>
      <c r="K1734" s="40">
        <v>10500</v>
      </c>
      <c r="L1734" s="3106"/>
      <c r="M1734" s="3287" t="s">
        <v>299</v>
      </c>
      <c r="N1734" s="3288"/>
      <c r="O1734" s="40">
        <v>10500</v>
      </c>
      <c r="P1734" s="40"/>
      <c r="Q1734" s="40"/>
      <c r="R1734" s="40"/>
      <c r="S1734" s="40"/>
      <c r="T1734" s="40"/>
      <c r="U1734" s="40"/>
      <c r="V1734" s="40"/>
      <c r="W1734" s="40"/>
      <c r="X1734" s="40"/>
      <c r="Y1734" s="40"/>
      <c r="Z1734" s="40"/>
      <c r="AA1734" s="966">
        <f t="shared" si="312"/>
        <v>10500</v>
      </c>
      <c r="AB1734" s="1210"/>
      <c r="AC1734" s="1199"/>
      <c r="AD1734" s="1211"/>
    </row>
    <row r="1735" spans="1:30" x14ac:dyDescent="0.2">
      <c r="A1735" s="1422"/>
      <c r="B1735" s="2522"/>
      <c r="C1735" s="2456"/>
      <c r="D1735" s="3369"/>
      <c r="E1735" s="3369"/>
      <c r="F1735" s="2420"/>
      <c r="G1735" s="2420"/>
      <c r="H1735" s="2420"/>
      <c r="I1735" s="3369"/>
      <c r="J1735" s="3203"/>
      <c r="K1735" s="40">
        <v>29250</v>
      </c>
      <c r="L1735" s="3106"/>
      <c r="M1735" s="3287" t="s">
        <v>339</v>
      </c>
      <c r="N1735" s="3288"/>
      <c r="O1735" s="40">
        <v>2437.5</v>
      </c>
      <c r="P1735" s="40">
        <v>2437.5</v>
      </c>
      <c r="Q1735" s="40">
        <v>2437.5</v>
      </c>
      <c r="R1735" s="40">
        <v>2437.5</v>
      </c>
      <c r="S1735" s="40">
        <v>2437.5</v>
      </c>
      <c r="T1735" s="40">
        <v>2437.5</v>
      </c>
      <c r="U1735" s="40">
        <v>2437.5</v>
      </c>
      <c r="V1735" s="40">
        <v>2437.5</v>
      </c>
      <c r="W1735" s="40">
        <v>2437.5</v>
      </c>
      <c r="X1735" s="40">
        <v>2437.5</v>
      </c>
      <c r="Y1735" s="40">
        <v>2437.5</v>
      </c>
      <c r="Z1735" s="40">
        <v>2437.5</v>
      </c>
      <c r="AA1735" s="966">
        <f t="shared" si="312"/>
        <v>29250</v>
      </c>
      <c r="AB1735" s="1210"/>
      <c r="AC1735" s="1199"/>
      <c r="AD1735" s="1211"/>
    </row>
    <row r="1736" spans="1:30" x14ac:dyDescent="0.2">
      <c r="A1736" s="1422"/>
      <c r="B1736" s="2522"/>
      <c r="C1736" s="2456"/>
      <c r="D1736" s="3369"/>
      <c r="E1736" s="3369"/>
      <c r="F1736" s="2420"/>
      <c r="G1736" s="2420"/>
      <c r="H1736" s="2420"/>
      <c r="I1736" s="3369"/>
      <c r="J1736" s="3203"/>
      <c r="K1736" s="40">
        <v>30312</v>
      </c>
      <c r="L1736" s="3106"/>
      <c r="M1736" s="3287" t="s">
        <v>300</v>
      </c>
      <c r="N1736" s="3288"/>
      <c r="O1736" s="40">
        <v>2526</v>
      </c>
      <c r="P1736" s="40">
        <v>2526</v>
      </c>
      <c r="Q1736" s="40">
        <v>2526</v>
      </c>
      <c r="R1736" s="40">
        <v>2526</v>
      </c>
      <c r="S1736" s="40">
        <v>2526</v>
      </c>
      <c r="T1736" s="40">
        <v>2526</v>
      </c>
      <c r="U1736" s="40">
        <v>2526</v>
      </c>
      <c r="V1736" s="40">
        <v>2526</v>
      </c>
      <c r="W1736" s="40">
        <v>2526</v>
      </c>
      <c r="X1736" s="40">
        <v>2526</v>
      </c>
      <c r="Y1736" s="40">
        <v>2526</v>
      </c>
      <c r="Z1736" s="40">
        <v>2526</v>
      </c>
      <c r="AA1736" s="966">
        <f t="shared" si="312"/>
        <v>30312</v>
      </c>
      <c r="AB1736" s="1210"/>
      <c r="AC1736" s="1199"/>
      <c r="AD1736" s="1211"/>
    </row>
    <row r="1737" spans="1:30" x14ac:dyDescent="0.2">
      <c r="A1737" s="1422"/>
      <c r="B1737" s="2522"/>
      <c r="C1737" s="2456"/>
      <c r="D1737" s="3369"/>
      <c r="E1737" s="3369"/>
      <c r="F1737" s="2420"/>
      <c r="G1737" s="2420"/>
      <c r="H1737" s="2420"/>
      <c r="I1737" s="3369"/>
      <c r="J1737" s="3203"/>
      <c r="K1737" s="40">
        <v>1073</v>
      </c>
      <c r="L1737" s="3106"/>
      <c r="M1737" s="3287" t="s">
        <v>301</v>
      </c>
      <c r="N1737" s="3288"/>
      <c r="O1737" s="40">
        <v>89.416666666666671</v>
      </c>
      <c r="P1737" s="40">
        <v>89.416666666666671</v>
      </c>
      <c r="Q1737" s="40">
        <v>89.416666666666671</v>
      </c>
      <c r="R1737" s="40">
        <v>89.416666666666671</v>
      </c>
      <c r="S1737" s="40">
        <v>89.416666666666671</v>
      </c>
      <c r="T1737" s="40">
        <v>89.416666666666671</v>
      </c>
      <c r="U1737" s="40">
        <v>89.416666666666671</v>
      </c>
      <c r="V1737" s="40">
        <v>89.416666666666671</v>
      </c>
      <c r="W1737" s="40">
        <v>89.416666666666671</v>
      </c>
      <c r="X1737" s="40">
        <v>89.416666666666671</v>
      </c>
      <c r="Y1737" s="40">
        <v>89.416666666666671</v>
      </c>
      <c r="Z1737" s="40">
        <v>89.416666666666671</v>
      </c>
      <c r="AA1737" s="966">
        <f t="shared" si="312"/>
        <v>1072.9999999999998</v>
      </c>
      <c r="AB1737" s="1210"/>
      <c r="AC1737" s="1199"/>
      <c r="AD1737" s="1211"/>
    </row>
    <row r="1738" spans="1:30" x14ac:dyDescent="0.2">
      <c r="A1738" s="1422"/>
      <c r="B1738" s="2522"/>
      <c r="C1738" s="2456"/>
      <c r="D1738" s="3369"/>
      <c r="E1738" s="3369"/>
      <c r="F1738" s="2420"/>
      <c r="G1738" s="2420"/>
      <c r="H1738" s="2420"/>
      <c r="I1738" s="3369"/>
      <c r="J1738" s="3203"/>
      <c r="K1738" s="40">
        <v>5000</v>
      </c>
      <c r="L1738" s="3106"/>
      <c r="M1738" s="3287" t="s">
        <v>302</v>
      </c>
      <c r="N1738" s="3288"/>
      <c r="O1738" s="40"/>
      <c r="P1738" s="40"/>
      <c r="Q1738" s="40"/>
      <c r="R1738" s="40"/>
      <c r="S1738" s="40">
        <v>5000</v>
      </c>
      <c r="T1738" s="40"/>
      <c r="U1738" s="40"/>
      <c r="V1738" s="40"/>
      <c r="W1738" s="40"/>
      <c r="X1738" s="40"/>
      <c r="Y1738" s="40"/>
      <c r="Z1738" s="40"/>
      <c r="AA1738" s="966">
        <f t="shared" si="312"/>
        <v>5000</v>
      </c>
      <c r="AB1738" s="1210"/>
      <c r="AC1738" s="1199"/>
      <c r="AD1738" s="1211"/>
    </row>
    <row r="1739" spans="1:30" x14ac:dyDescent="0.2">
      <c r="A1739" s="1422"/>
      <c r="B1739" s="2522"/>
      <c r="C1739" s="2456"/>
      <c r="D1739" s="3369"/>
      <c r="E1739" s="3369"/>
      <c r="F1739" s="2420"/>
      <c r="G1739" s="2420"/>
      <c r="H1739" s="2420"/>
      <c r="I1739" s="3369"/>
      <c r="J1739" s="3203"/>
      <c r="K1739" s="40">
        <v>8467</v>
      </c>
      <c r="L1739" s="3106"/>
      <c r="M1739" s="3287" t="s">
        <v>303</v>
      </c>
      <c r="N1739" s="3288"/>
      <c r="O1739" s="40"/>
      <c r="P1739" s="40"/>
      <c r="Q1739" s="40">
        <v>2822.3333333333335</v>
      </c>
      <c r="R1739" s="40"/>
      <c r="S1739" s="40"/>
      <c r="T1739" s="40">
        <v>2822.3333333333335</v>
      </c>
      <c r="U1739" s="40"/>
      <c r="V1739" s="40"/>
      <c r="W1739" s="40">
        <v>2822.3333333333335</v>
      </c>
      <c r="X1739" s="40"/>
      <c r="Y1739" s="40"/>
      <c r="Z1739" s="40"/>
      <c r="AA1739" s="966">
        <f t="shared" si="312"/>
        <v>8467</v>
      </c>
      <c r="AB1739" s="1210"/>
      <c r="AC1739" s="1199"/>
      <c r="AD1739" s="1211"/>
    </row>
    <row r="1740" spans="1:30" x14ac:dyDescent="0.2">
      <c r="A1740" s="1422"/>
      <c r="B1740" s="2522"/>
      <c r="C1740" s="2456"/>
      <c r="D1740" s="3369"/>
      <c r="E1740" s="3369"/>
      <c r="F1740" s="2420"/>
      <c r="G1740" s="2420"/>
      <c r="H1740" s="2420"/>
      <c r="I1740" s="3369"/>
      <c r="J1740" s="3203"/>
      <c r="K1740" s="40">
        <v>3250</v>
      </c>
      <c r="L1740" s="3106"/>
      <c r="M1740" s="3287" t="s">
        <v>305</v>
      </c>
      <c r="N1740" s="3288"/>
      <c r="O1740" s="40"/>
      <c r="P1740" s="40">
        <v>812.5</v>
      </c>
      <c r="Q1740" s="40"/>
      <c r="R1740" s="40"/>
      <c r="S1740" s="40">
        <v>812.5</v>
      </c>
      <c r="T1740" s="40"/>
      <c r="U1740" s="40"/>
      <c r="V1740" s="40">
        <v>812.5</v>
      </c>
      <c r="W1740" s="40"/>
      <c r="X1740" s="40"/>
      <c r="Y1740" s="40">
        <v>812.5</v>
      </c>
      <c r="Z1740" s="40"/>
      <c r="AA1740" s="966">
        <f t="shared" si="312"/>
        <v>3250</v>
      </c>
      <c r="AB1740" s="1210"/>
      <c r="AC1740" s="1199"/>
      <c r="AD1740" s="1211"/>
    </row>
    <row r="1741" spans="1:30" x14ac:dyDescent="0.2">
      <c r="A1741" s="1422"/>
      <c r="B1741" s="2522"/>
      <c r="C1741" s="2456"/>
      <c r="D1741" s="3369"/>
      <c r="E1741" s="3369"/>
      <c r="F1741" s="2420"/>
      <c r="G1741" s="2420"/>
      <c r="H1741" s="2420"/>
      <c r="I1741" s="3369"/>
      <c r="J1741" s="3203"/>
      <c r="K1741" s="40">
        <v>29822</v>
      </c>
      <c r="L1741" s="3106"/>
      <c r="M1741" s="3287" t="s">
        <v>306</v>
      </c>
      <c r="N1741" s="3288"/>
      <c r="O1741" s="40"/>
      <c r="P1741" s="40">
        <v>2711.090909090909</v>
      </c>
      <c r="Q1741" s="40">
        <v>2711.090909090909</v>
      </c>
      <c r="R1741" s="40">
        <v>2711.090909090909</v>
      </c>
      <c r="S1741" s="40">
        <v>2711.090909090909</v>
      </c>
      <c r="T1741" s="40">
        <v>2711.090909090909</v>
      </c>
      <c r="U1741" s="40">
        <v>2711.090909090909</v>
      </c>
      <c r="V1741" s="40">
        <v>2711.090909090909</v>
      </c>
      <c r="W1741" s="40">
        <v>2711.090909090909</v>
      </c>
      <c r="X1741" s="40">
        <v>2711.090909090909</v>
      </c>
      <c r="Y1741" s="40">
        <v>2711.090909090909</v>
      </c>
      <c r="Z1741" s="40">
        <v>2711.090909090909</v>
      </c>
      <c r="AA1741" s="966">
        <f t="shared" si="312"/>
        <v>29821.999999999993</v>
      </c>
      <c r="AB1741" s="1210"/>
      <c r="AC1741" s="1199"/>
      <c r="AD1741" s="1211"/>
    </row>
    <row r="1742" spans="1:30" x14ac:dyDescent="0.2">
      <c r="A1742" s="1422"/>
      <c r="B1742" s="2522"/>
      <c r="C1742" s="2456"/>
      <c r="D1742" s="3369"/>
      <c r="E1742" s="3369"/>
      <c r="F1742" s="2420"/>
      <c r="G1742" s="2420"/>
      <c r="H1742" s="2420"/>
      <c r="I1742" s="3369"/>
      <c r="J1742" s="3203"/>
      <c r="K1742" s="40">
        <v>8000</v>
      </c>
      <c r="L1742" s="3106"/>
      <c r="M1742" s="3287" t="s">
        <v>307</v>
      </c>
      <c r="N1742" s="3288"/>
      <c r="O1742" s="40"/>
      <c r="P1742" s="40">
        <v>727.27272727272725</v>
      </c>
      <c r="Q1742" s="40">
        <v>727.27272727272725</v>
      </c>
      <c r="R1742" s="40">
        <v>727.27272727272725</v>
      </c>
      <c r="S1742" s="40">
        <v>727.27272727272725</v>
      </c>
      <c r="T1742" s="40">
        <v>727.27272727272725</v>
      </c>
      <c r="U1742" s="40">
        <v>727.27272727272725</v>
      </c>
      <c r="V1742" s="40">
        <v>727.27272727272725</v>
      </c>
      <c r="W1742" s="40">
        <v>727.27272727272725</v>
      </c>
      <c r="X1742" s="40">
        <v>727.27272727272725</v>
      </c>
      <c r="Y1742" s="40">
        <v>727.27272727272725</v>
      </c>
      <c r="Z1742" s="40">
        <v>727.27272727272725</v>
      </c>
      <c r="AA1742" s="966">
        <f t="shared" si="312"/>
        <v>7999.9999999999982</v>
      </c>
      <c r="AB1742" s="1210"/>
      <c r="AC1742" s="1199"/>
      <c r="AD1742" s="1211"/>
    </row>
    <row r="1743" spans="1:30" x14ac:dyDescent="0.2">
      <c r="A1743" s="1422"/>
      <c r="B1743" s="2522"/>
      <c r="C1743" s="2456"/>
      <c r="D1743" s="3369"/>
      <c r="E1743" s="3369"/>
      <c r="F1743" s="2420"/>
      <c r="G1743" s="2420"/>
      <c r="H1743" s="2420"/>
      <c r="I1743" s="3369"/>
      <c r="J1743" s="3203"/>
      <c r="K1743" s="40">
        <v>2500</v>
      </c>
      <c r="L1743" s="3106"/>
      <c r="M1743" s="3287" t="s">
        <v>308</v>
      </c>
      <c r="N1743" s="3288"/>
      <c r="O1743" s="40"/>
      <c r="P1743" s="40"/>
      <c r="Q1743" s="40"/>
      <c r="R1743" s="40">
        <v>2500</v>
      </c>
      <c r="S1743" s="40"/>
      <c r="T1743" s="40"/>
      <c r="U1743" s="40"/>
      <c r="V1743" s="40"/>
      <c r="W1743" s="40"/>
      <c r="X1743" s="40"/>
      <c r="Y1743" s="40"/>
      <c r="Z1743" s="40"/>
      <c r="AA1743" s="966">
        <f t="shared" si="312"/>
        <v>2500</v>
      </c>
      <c r="AB1743" s="1210"/>
      <c r="AC1743" s="1199"/>
      <c r="AD1743" s="1211"/>
    </row>
    <row r="1744" spans="1:30" x14ac:dyDescent="0.2">
      <c r="A1744" s="1422"/>
      <c r="B1744" s="2522"/>
      <c r="C1744" s="2456"/>
      <c r="D1744" s="3369"/>
      <c r="E1744" s="3369"/>
      <c r="F1744" s="2420"/>
      <c r="G1744" s="2420"/>
      <c r="H1744" s="2420"/>
      <c r="I1744" s="3369"/>
      <c r="J1744" s="3203"/>
      <c r="K1744" s="40">
        <v>9338</v>
      </c>
      <c r="L1744" s="3106"/>
      <c r="M1744" s="3287" t="s">
        <v>309</v>
      </c>
      <c r="N1744" s="3288"/>
      <c r="O1744" s="40"/>
      <c r="P1744" s="40"/>
      <c r="Q1744" s="40">
        <v>1867.6</v>
      </c>
      <c r="R1744" s="40"/>
      <c r="S1744" s="40">
        <v>1867.6</v>
      </c>
      <c r="T1744" s="40"/>
      <c r="U1744" s="40">
        <v>1867.6</v>
      </c>
      <c r="V1744" s="40"/>
      <c r="W1744" s="40">
        <v>1867.6</v>
      </c>
      <c r="X1744" s="40"/>
      <c r="Y1744" s="40">
        <v>1867.6</v>
      </c>
      <c r="Z1744" s="40"/>
      <c r="AA1744" s="966">
        <f t="shared" si="312"/>
        <v>9338</v>
      </c>
      <c r="AB1744" s="1210"/>
      <c r="AC1744" s="1199"/>
      <c r="AD1744" s="1211"/>
    </row>
    <row r="1745" spans="1:30" x14ac:dyDescent="0.2">
      <c r="A1745" s="1422"/>
      <c r="B1745" s="2522"/>
      <c r="C1745" s="2456"/>
      <c r="D1745" s="3369"/>
      <c r="E1745" s="3369"/>
      <c r="F1745" s="2420"/>
      <c r="G1745" s="2420"/>
      <c r="H1745" s="2420"/>
      <c r="I1745" s="3369"/>
      <c r="J1745" s="3203"/>
      <c r="K1745" s="40">
        <v>1500</v>
      </c>
      <c r="L1745" s="3106"/>
      <c r="M1745" s="3287" t="s">
        <v>358</v>
      </c>
      <c r="N1745" s="3288"/>
      <c r="O1745" s="40"/>
      <c r="P1745" s="40"/>
      <c r="Q1745" s="40">
        <v>1500</v>
      </c>
      <c r="R1745" s="40"/>
      <c r="S1745" s="40"/>
      <c r="T1745" s="40"/>
      <c r="U1745" s="40"/>
      <c r="V1745" s="40"/>
      <c r="W1745" s="40"/>
      <c r="X1745" s="40"/>
      <c r="Y1745" s="40"/>
      <c r="Z1745" s="40"/>
      <c r="AA1745" s="966">
        <f t="shared" si="312"/>
        <v>1500</v>
      </c>
      <c r="AB1745" s="1210"/>
      <c r="AC1745" s="1199"/>
      <c r="AD1745" s="1211"/>
    </row>
    <row r="1746" spans="1:30" x14ac:dyDescent="0.2">
      <c r="A1746" s="1422"/>
      <c r="B1746" s="2522"/>
      <c r="C1746" s="2456"/>
      <c r="D1746" s="3369"/>
      <c r="E1746" s="3369"/>
      <c r="F1746" s="2420"/>
      <c r="G1746" s="2420"/>
      <c r="H1746" s="2420"/>
      <c r="I1746" s="3369"/>
      <c r="J1746" s="3203"/>
      <c r="K1746" s="40">
        <v>96156</v>
      </c>
      <c r="L1746" s="3106"/>
      <c r="M1746" s="3287" t="s">
        <v>310</v>
      </c>
      <c r="N1746" s="3288"/>
      <c r="O1746" s="40">
        <v>8013</v>
      </c>
      <c r="P1746" s="40">
        <v>8013</v>
      </c>
      <c r="Q1746" s="40">
        <v>8013</v>
      </c>
      <c r="R1746" s="40">
        <v>8013</v>
      </c>
      <c r="S1746" s="40">
        <v>8013</v>
      </c>
      <c r="T1746" s="40">
        <v>8013</v>
      </c>
      <c r="U1746" s="40">
        <v>8013</v>
      </c>
      <c r="V1746" s="40">
        <v>8013</v>
      </c>
      <c r="W1746" s="40">
        <v>8013</v>
      </c>
      <c r="X1746" s="40">
        <v>8013</v>
      </c>
      <c r="Y1746" s="40">
        <v>8013</v>
      </c>
      <c r="Z1746" s="40">
        <v>8013</v>
      </c>
      <c r="AA1746" s="966">
        <f t="shared" si="312"/>
        <v>96156</v>
      </c>
      <c r="AB1746" s="1210"/>
      <c r="AC1746" s="1199"/>
      <c r="AD1746" s="1211"/>
    </row>
    <row r="1747" spans="1:30" x14ac:dyDescent="0.2">
      <c r="A1747" s="1422"/>
      <c r="B1747" s="2522"/>
      <c r="C1747" s="2450"/>
      <c r="D1747" s="3369"/>
      <c r="E1747" s="3369"/>
      <c r="F1747" s="2420"/>
      <c r="G1747" s="2420"/>
      <c r="H1747" s="2420"/>
      <c r="I1747" s="3369"/>
      <c r="J1747" s="3204"/>
      <c r="K1747" s="40">
        <v>5435</v>
      </c>
      <c r="L1747" s="3106"/>
      <c r="M1747" s="3287" t="s">
        <v>311</v>
      </c>
      <c r="N1747" s="3288"/>
      <c r="O1747" s="40">
        <v>452.91666666666669</v>
      </c>
      <c r="P1747" s="40">
        <v>452.91666666666669</v>
      </c>
      <c r="Q1747" s="40">
        <v>452.91666666666669</v>
      </c>
      <c r="R1747" s="40">
        <v>452.91666666666669</v>
      </c>
      <c r="S1747" s="40">
        <v>452.91666666666669</v>
      </c>
      <c r="T1747" s="40">
        <v>452.91666666666669</v>
      </c>
      <c r="U1747" s="40">
        <v>452.91666666666669</v>
      </c>
      <c r="V1747" s="40">
        <v>452.91666666666669</v>
      </c>
      <c r="W1747" s="40">
        <v>452.91666666666669</v>
      </c>
      <c r="X1747" s="40">
        <v>452.91666666666669</v>
      </c>
      <c r="Y1747" s="40">
        <v>452.91666666666669</v>
      </c>
      <c r="Z1747" s="40">
        <v>452.91666666666669</v>
      </c>
      <c r="AA1747" s="966">
        <f t="shared" si="312"/>
        <v>5435</v>
      </c>
      <c r="AB1747" s="1210"/>
      <c r="AC1747" s="1199"/>
      <c r="AD1747" s="1211"/>
    </row>
    <row r="1748" spans="1:30" x14ac:dyDescent="0.2">
      <c r="A1748" s="1422"/>
      <c r="B1748" s="1424"/>
      <c r="C1748" s="159"/>
      <c r="D1748" s="38"/>
      <c r="E1748" s="38"/>
      <c r="F1748" s="38"/>
      <c r="G1748" s="38"/>
      <c r="H1748" s="38"/>
      <c r="I1748" s="38"/>
      <c r="J1748" s="1012"/>
      <c r="K1748" s="40"/>
      <c r="L1748" s="3106"/>
      <c r="M1748" s="1128"/>
      <c r="N1748" s="1128"/>
      <c r="O1748" s="40">
        <f>SUM(O1726:O1747)</f>
        <v>70250.000000000015</v>
      </c>
      <c r="P1748" s="40">
        <f t="shared" ref="P1748:Z1748" si="314">SUM(P1726:P1747)</f>
        <v>64000.86363636364</v>
      </c>
      <c r="Q1748" s="40">
        <f t="shared" si="314"/>
        <v>69378.296969696981</v>
      </c>
      <c r="R1748" s="40">
        <f t="shared" si="314"/>
        <v>65688.363636363647</v>
      </c>
      <c r="S1748" s="40">
        <f t="shared" si="314"/>
        <v>70868.463636363638</v>
      </c>
      <c r="T1748" s="40">
        <f t="shared" si="314"/>
        <v>66010.696969696975</v>
      </c>
      <c r="U1748" s="40">
        <f t="shared" si="314"/>
        <v>71831.963636363638</v>
      </c>
      <c r="V1748" s="40">
        <f t="shared" si="314"/>
        <v>64000.86363636364</v>
      </c>
      <c r="W1748" s="40">
        <f t="shared" si="314"/>
        <v>67878.296969696981</v>
      </c>
      <c r="X1748" s="40">
        <f t="shared" si="314"/>
        <v>63188.36363636364</v>
      </c>
      <c r="Y1748" s="40">
        <f t="shared" si="314"/>
        <v>65868.463636363638</v>
      </c>
      <c r="Z1748" s="40">
        <f t="shared" si="314"/>
        <v>69964.363636363647</v>
      </c>
      <c r="AA1748" s="966">
        <f t="shared" si="312"/>
        <v>808929</v>
      </c>
      <c r="AB1748" s="1210"/>
      <c r="AC1748" s="1199"/>
      <c r="AD1748" s="1211"/>
    </row>
    <row r="1749" spans="1:30" x14ac:dyDescent="0.2">
      <c r="A1749" s="1422"/>
      <c r="B1749" s="2999" t="s">
        <v>278</v>
      </c>
      <c r="C1749" s="2999" t="s">
        <v>21</v>
      </c>
      <c r="D1749" s="2847" t="s">
        <v>22</v>
      </c>
      <c r="E1749" s="2847" t="s">
        <v>23</v>
      </c>
      <c r="F1749" s="2847" t="s">
        <v>24</v>
      </c>
      <c r="G1749" s="2847" t="s">
        <v>25</v>
      </c>
      <c r="H1749" s="2847" t="s">
        <v>26</v>
      </c>
      <c r="I1749" s="2847" t="s">
        <v>27</v>
      </c>
      <c r="J1749" s="3206" t="s">
        <v>28</v>
      </c>
      <c r="K1749" s="3301"/>
      <c r="L1749" s="2847" t="s">
        <v>279</v>
      </c>
      <c r="M1749" s="2986" t="s">
        <v>280</v>
      </c>
      <c r="N1749" s="2987"/>
      <c r="O1749" s="2847" t="s">
        <v>281</v>
      </c>
      <c r="P1749" s="2847"/>
      <c r="Q1749" s="2847"/>
      <c r="R1749" s="2847"/>
      <c r="S1749" s="2847"/>
      <c r="T1749" s="2847"/>
      <c r="U1749" s="2847"/>
      <c r="V1749" s="2847"/>
      <c r="W1749" s="2847"/>
      <c r="X1749" s="2847"/>
      <c r="Y1749" s="2847"/>
      <c r="Z1749" s="2847"/>
      <c r="AA1749" s="3358" t="s">
        <v>32</v>
      </c>
      <c r="AB1749" s="35"/>
      <c r="AC1749" s="183"/>
    </row>
    <row r="1750" spans="1:30" x14ac:dyDescent="0.2">
      <c r="A1750" s="1422"/>
      <c r="B1750" s="2999"/>
      <c r="C1750" s="2999"/>
      <c r="D1750" s="2847"/>
      <c r="E1750" s="2847"/>
      <c r="F1750" s="2847"/>
      <c r="G1750" s="2847"/>
      <c r="H1750" s="2847"/>
      <c r="I1750" s="2847"/>
      <c r="J1750" s="2988" t="s">
        <v>33</v>
      </c>
      <c r="K1750" s="2988" t="s">
        <v>282</v>
      </c>
      <c r="L1750" s="2847"/>
      <c r="M1750" s="3000"/>
      <c r="N1750" s="3001"/>
      <c r="O1750" s="1009" t="s">
        <v>283</v>
      </c>
      <c r="P1750" s="1009" t="s">
        <v>284</v>
      </c>
      <c r="Q1750" s="1009" t="s">
        <v>285</v>
      </c>
      <c r="R1750" s="1009" t="s">
        <v>88</v>
      </c>
      <c r="S1750" s="1009" t="s">
        <v>89</v>
      </c>
      <c r="T1750" s="1009" t="s">
        <v>90</v>
      </c>
      <c r="U1750" s="1009" t="s">
        <v>91</v>
      </c>
      <c r="V1750" s="1009" t="s">
        <v>92</v>
      </c>
      <c r="W1750" s="1009" t="s">
        <v>286</v>
      </c>
      <c r="X1750" s="1009" t="s">
        <v>93</v>
      </c>
      <c r="Y1750" s="1009" t="s">
        <v>94</v>
      </c>
      <c r="Z1750" s="1009" t="s">
        <v>95</v>
      </c>
      <c r="AA1750" s="3358"/>
      <c r="AB1750" s="35"/>
      <c r="AC1750" s="183"/>
    </row>
    <row r="1751" spans="1:30" ht="12.75" x14ac:dyDescent="0.2">
      <c r="A1751" s="1422"/>
      <c r="B1751" s="2999"/>
      <c r="C1751" s="2999"/>
      <c r="D1751" s="2847"/>
      <c r="E1751" s="2847"/>
      <c r="F1751" s="2847"/>
      <c r="G1751" s="2847"/>
      <c r="H1751" s="2847"/>
      <c r="I1751" s="2847"/>
      <c r="J1751" s="3186"/>
      <c r="K1751" s="3186"/>
      <c r="L1751" s="2847"/>
      <c r="M1751" s="3271" t="s">
        <v>287</v>
      </c>
      <c r="N1751" s="3272"/>
      <c r="O1751" s="40"/>
      <c r="P1751" s="40">
        <v>1</v>
      </c>
      <c r="Q1751" s="40">
        <v>1</v>
      </c>
      <c r="R1751" s="40">
        <v>2</v>
      </c>
      <c r="S1751" s="40">
        <v>1</v>
      </c>
      <c r="T1751" s="40"/>
      <c r="U1751" s="40"/>
      <c r="V1751" s="40"/>
      <c r="W1751" s="40"/>
      <c r="X1751" s="40"/>
      <c r="Y1751" s="40"/>
      <c r="Z1751" s="40"/>
      <c r="AA1751" s="1205">
        <f>SUM(O1751:Z1751)</f>
        <v>5</v>
      </c>
      <c r="AB1751" s="35"/>
      <c r="AC1751" s="183"/>
    </row>
    <row r="1752" spans="1:30" ht="12.75" x14ac:dyDescent="0.2">
      <c r="A1752" s="1422"/>
      <c r="B1752" s="2999"/>
      <c r="C1752" s="2999"/>
      <c r="D1752" s="2847"/>
      <c r="E1752" s="2847"/>
      <c r="F1752" s="2847"/>
      <c r="G1752" s="2847"/>
      <c r="H1752" s="2847"/>
      <c r="I1752" s="2847"/>
      <c r="J1752" s="2989"/>
      <c r="K1752" s="2989"/>
      <c r="L1752" s="2847"/>
      <c r="M1752" s="3271" t="s">
        <v>34</v>
      </c>
      <c r="N1752" s="3272"/>
      <c r="O1752" s="40">
        <f>SUM(O1753:O1764)</f>
        <v>2778.5833333333335</v>
      </c>
      <c r="P1752" s="40">
        <f t="shared" ref="P1752:Z1752" si="315">SUM(P1753:P1764)</f>
        <v>4438.5833333333339</v>
      </c>
      <c r="Q1752" s="40">
        <f t="shared" si="315"/>
        <v>5778.5833333333339</v>
      </c>
      <c r="R1752" s="40">
        <f t="shared" si="315"/>
        <v>2378.5833333333335</v>
      </c>
      <c r="S1752" s="40">
        <f t="shared" si="315"/>
        <v>2378.5833333333335</v>
      </c>
      <c r="T1752" s="40">
        <f t="shared" si="315"/>
        <v>2378.5833333333335</v>
      </c>
      <c r="U1752" s="40">
        <f t="shared" si="315"/>
        <v>3078.5833333333335</v>
      </c>
      <c r="V1752" s="40">
        <f t="shared" si="315"/>
        <v>2378.5833333333335</v>
      </c>
      <c r="W1752" s="40">
        <f t="shared" si="315"/>
        <v>2378.5833333333335</v>
      </c>
      <c r="X1752" s="40">
        <f t="shared" si="315"/>
        <v>2378.5833333333335</v>
      </c>
      <c r="Y1752" s="40">
        <f t="shared" si="315"/>
        <v>2378.5833333333335</v>
      </c>
      <c r="Z1752" s="40">
        <f t="shared" si="315"/>
        <v>2678.5833333333335</v>
      </c>
      <c r="AA1752" s="1205">
        <f t="shared" ref="AA1752:AA1764" si="316">SUM(O1752:Z1752)</f>
        <v>35402.999999999993</v>
      </c>
      <c r="AB1752" s="35"/>
      <c r="AC1752" s="183"/>
    </row>
    <row r="1753" spans="1:30" x14ac:dyDescent="0.2">
      <c r="A1753" s="1422"/>
      <c r="B1753" s="2522">
        <v>5004451</v>
      </c>
      <c r="C1753" s="2438" t="s">
        <v>645</v>
      </c>
      <c r="D1753" s="3369">
        <v>59</v>
      </c>
      <c r="E1753" s="3369" t="s">
        <v>407</v>
      </c>
      <c r="F1753" s="2420" t="s">
        <v>313</v>
      </c>
      <c r="G1753" s="2420" t="s">
        <v>314</v>
      </c>
      <c r="H1753" s="2420" t="s">
        <v>646</v>
      </c>
      <c r="I1753" s="3369" t="s">
        <v>316</v>
      </c>
      <c r="J1753" s="2420">
        <v>5</v>
      </c>
      <c r="K1753" s="40">
        <v>26868</v>
      </c>
      <c r="L1753" s="2421" t="s">
        <v>644</v>
      </c>
      <c r="M1753" s="3287" t="s">
        <v>293</v>
      </c>
      <c r="N1753" s="3288"/>
      <c r="O1753" s="40">
        <v>2239</v>
      </c>
      <c r="P1753" s="40">
        <v>2239</v>
      </c>
      <c r="Q1753" s="40">
        <v>2239</v>
      </c>
      <c r="R1753" s="40">
        <v>2239</v>
      </c>
      <c r="S1753" s="40">
        <v>2239</v>
      </c>
      <c r="T1753" s="40">
        <v>2239</v>
      </c>
      <c r="U1753" s="40">
        <v>2239</v>
      </c>
      <c r="V1753" s="40">
        <v>2239</v>
      </c>
      <c r="W1753" s="40">
        <v>2239</v>
      </c>
      <c r="X1753" s="40">
        <v>2239</v>
      </c>
      <c r="Y1753" s="40">
        <v>2239</v>
      </c>
      <c r="Z1753" s="40">
        <v>2239</v>
      </c>
      <c r="AA1753" s="966">
        <f t="shared" si="316"/>
        <v>26868</v>
      </c>
      <c r="AB1753" s="35"/>
      <c r="AC1753" s="183"/>
    </row>
    <row r="1754" spans="1:30" x14ac:dyDescent="0.2">
      <c r="A1754" s="1422"/>
      <c r="B1754" s="2522"/>
      <c r="C1754" s="2456"/>
      <c r="D1754" s="3369"/>
      <c r="E1754" s="3369"/>
      <c r="F1754" s="2420"/>
      <c r="G1754" s="2420"/>
      <c r="H1754" s="2420"/>
      <c r="I1754" s="3369"/>
      <c r="J1754" s="2420"/>
      <c r="K1754" s="40">
        <v>600</v>
      </c>
      <c r="L1754" s="2421"/>
      <c r="M1754" s="3287" t="s">
        <v>298</v>
      </c>
      <c r="N1754" s="3288"/>
      <c r="O1754" s="40"/>
      <c r="P1754" s="40"/>
      <c r="Q1754" s="40"/>
      <c r="R1754" s="40"/>
      <c r="S1754" s="40"/>
      <c r="T1754" s="40"/>
      <c r="U1754" s="40">
        <v>300</v>
      </c>
      <c r="V1754" s="40"/>
      <c r="W1754" s="40"/>
      <c r="X1754" s="40"/>
      <c r="Y1754" s="40"/>
      <c r="Z1754" s="40">
        <v>300</v>
      </c>
      <c r="AA1754" s="966">
        <f t="shared" si="316"/>
        <v>600</v>
      </c>
      <c r="AB1754" s="35"/>
      <c r="AC1754" s="183"/>
    </row>
    <row r="1755" spans="1:30" x14ac:dyDescent="0.2">
      <c r="A1755" s="1422"/>
      <c r="B1755" s="2522"/>
      <c r="C1755" s="2456"/>
      <c r="D1755" s="3369"/>
      <c r="E1755" s="3369"/>
      <c r="F1755" s="2420"/>
      <c r="G1755" s="2420"/>
      <c r="H1755" s="2420"/>
      <c r="I1755" s="3369"/>
      <c r="J1755" s="2420"/>
      <c r="K1755" s="40">
        <v>400</v>
      </c>
      <c r="L1755" s="2421"/>
      <c r="M1755" s="3287" t="s">
        <v>299</v>
      </c>
      <c r="N1755" s="3288"/>
      <c r="O1755" s="40">
        <v>400</v>
      </c>
      <c r="P1755" s="40"/>
      <c r="Q1755" s="40"/>
      <c r="R1755" s="40"/>
      <c r="S1755" s="40"/>
      <c r="T1755" s="40"/>
      <c r="U1755" s="40"/>
      <c r="V1755" s="40"/>
      <c r="W1755" s="40"/>
      <c r="X1755" s="40"/>
      <c r="Y1755" s="40"/>
      <c r="Z1755" s="40"/>
      <c r="AA1755" s="966">
        <f t="shared" si="316"/>
        <v>400</v>
      </c>
      <c r="AB1755" s="35"/>
      <c r="AC1755" s="183"/>
    </row>
    <row r="1756" spans="1:30" x14ac:dyDescent="0.2">
      <c r="A1756" s="1422"/>
      <c r="B1756" s="2522"/>
      <c r="C1756" s="2456"/>
      <c r="D1756" s="3369"/>
      <c r="E1756" s="3369"/>
      <c r="F1756" s="2420"/>
      <c r="G1756" s="2420"/>
      <c r="H1756" s="2420"/>
      <c r="I1756" s="3369"/>
      <c r="J1756" s="2420"/>
      <c r="K1756" s="40">
        <v>1572</v>
      </c>
      <c r="L1756" s="2421"/>
      <c r="M1756" s="3287" t="s">
        <v>300</v>
      </c>
      <c r="N1756" s="3288"/>
      <c r="O1756" s="40">
        <v>131</v>
      </c>
      <c r="P1756" s="40">
        <v>131</v>
      </c>
      <c r="Q1756" s="40">
        <v>131</v>
      </c>
      <c r="R1756" s="40">
        <v>131</v>
      </c>
      <c r="S1756" s="40">
        <v>131</v>
      </c>
      <c r="T1756" s="40">
        <v>131</v>
      </c>
      <c r="U1756" s="40">
        <v>131</v>
      </c>
      <c r="V1756" s="40">
        <v>131</v>
      </c>
      <c r="W1756" s="40">
        <v>131</v>
      </c>
      <c r="X1756" s="40">
        <v>131</v>
      </c>
      <c r="Y1756" s="40">
        <v>131</v>
      </c>
      <c r="Z1756" s="40">
        <v>131</v>
      </c>
      <c r="AA1756" s="966">
        <f t="shared" si="316"/>
        <v>1572</v>
      </c>
      <c r="AB1756" s="35"/>
      <c r="AC1756" s="183"/>
    </row>
    <row r="1757" spans="1:30" x14ac:dyDescent="0.2">
      <c r="A1757" s="1422"/>
      <c r="B1757" s="2522"/>
      <c r="C1757" s="2456"/>
      <c r="D1757" s="3369"/>
      <c r="E1757" s="3369"/>
      <c r="F1757" s="2420"/>
      <c r="G1757" s="2420"/>
      <c r="H1757" s="2420"/>
      <c r="I1757" s="3369"/>
      <c r="J1757" s="2420"/>
      <c r="K1757" s="40">
        <v>103</v>
      </c>
      <c r="L1757" s="2421"/>
      <c r="M1757" s="3287" t="s">
        <v>301</v>
      </c>
      <c r="N1757" s="3288"/>
      <c r="O1757" s="40">
        <v>8.5833333333333339</v>
      </c>
      <c r="P1757" s="40">
        <v>8.5833333333333339</v>
      </c>
      <c r="Q1757" s="40">
        <v>8.5833333333333339</v>
      </c>
      <c r="R1757" s="40">
        <v>8.5833333333333339</v>
      </c>
      <c r="S1757" s="40">
        <v>8.5833333333333339</v>
      </c>
      <c r="T1757" s="40">
        <v>8.5833333333333339</v>
      </c>
      <c r="U1757" s="40">
        <v>8.5833333333333339</v>
      </c>
      <c r="V1757" s="40">
        <v>8.5833333333333339</v>
      </c>
      <c r="W1757" s="40">
        <v>8.5833333333333339</v>
      </c>
      <c r="X1757" s="40">
        <v>8.5833333333333339</v>
      </c>
      <c r="Y1757" s="40">
        <v>8.5833333333333339</v>
      </c>
      <c r="Z1757" s="40">
        <v>8.5833333333333339</v>
      </c>
      <c r="AA1757" s="966">
        <f t="shared" si="316"/>
        <v>102.99999999999999</v>
      </c>
      <c r="AB1757" s="35"/>
      <c r="AC1757" s="183"/>
    </row>
    <row r="1758" spans="1:30" x14ac:dyDescent="0.2">
      <c r="A1758" s="1422"/>
      <c r="B1758" s="2522"/>
      <c r="C1758" s="2456"/>
      <c r="D1758" s="3369"/>
      <c r="E1758" s="3369"/>
      <c r="F1758" s="2420"/>
      <c r="G1758" s="2420"/>
      <c r="H1758" s="2420"/>
      <c r="I1758" s="3369"/>
      <c r="J1758" s="2420"/>
      <c r="K1758" s="40">
        <v>1600</v>
      </c>
      <c r="L1758" s="2421"/>
      <c r="M1758" s="3287" t="s">
        <v>303</v>
      </c>
      <c r="N1758" s="3288"/>
      <c r="O1758" s="40"/>
      <c r="P1758" s="40"/>
      <c r="Q1758" s="40">
        <v>1600</v>
      </c>
      <c r="R1758" s="40"/>
      <c r="S1758" s="40"/>
      <c r="T1758" s="40"/>
      <c r="U1758" s="40"/>
      <c r="V1758" s="40"/>
      <c r="W1758" s="40"/>
      <c r="X1758" s="40"/>
      <c r="Y1758" s="40"/>
      <c r="Z1758" s="40"/>
      <c r="AA1758" s="966">
        <f t="shared" si="316"/>
        <v>1600</v>
      </c>
      <c r="AB1758" s="35"/>
      <c r="AC1758" s="183"/>
    </row>
    <row r="1759" spans="1:30" x14ac:dyDescent="0.2">
      <c r="A1759" s="1422"/>
      <c r="B1759" s="2522"/>
      <c r="C1759" s="2456"/>
      <c r="D1759" s="3369"/>
      <c r="E1759" s="3369"/>
      <c r="F1759" s="2420"/>
      <c r="G1759" s="2420"/>
      <c r="H1759" s="2420"/>
      <c r="I1759" s="3369"/>
      <c r="J1759" s="2420"/>
      <c r="K1759" s="40">
        <v>260</v>
      </c>
      <c r="L1759" s="2421"/>
      <c r="M1759" s="3287" t="s">
        <v>324</v>
      </c>
      <c r="N1759" s="3288"/>
      <c r="O1759" s="40"/>
      <c r="P1759" s="40">
        <v>260</v>
      </c>
      <c r="Q1759" s="40"/>
      <c r="R1759" s="40"/>
      <c r="S1759" s="40"/>
      <c r="T1759" s="40"/>
      <c r="U1759" s="40"/>
      <c r="V1759" s="40"/>
      <c r="W1759" s="40"/>
      <c r="X1759" s="40"/>
      <c r="Y1759" s="40"/>
      <c r="Z1759" s="40"/>
      <c r="AA1759" s="966">
        <f t="shared" si="316"/>
        <v>260</v>
      </c>
      <c r="AB1759" s="35"/>
      <c r="AC1759" s="183"/>
    </row>
    <row r="1760" spans="1:30" x14ac:dyDescent="0.2">
      <c r="A1760" s="1422"/>
      <c r="B1760" s="2522"/>
      <c r="C1760" s="2456"/>
      <c r="D1760" s="3369"/>
      <c r="E1760" s="3369"/>
      <c r="F1760" s="2420"/>
      <c r="G1760" s="2420"/>
      <c r="H1760" s="2420"/>
      <c r="I1760" s="3369"/>
      <c r="J1760" s="2420"/>
      <c r="K1760" s="40">
        <v>900</v>
      </c>
      <c r="L1760" s="2421"/>
      <c r="M1760" s="3287" t="s">
        <v>304</v>
      </c>
      <c r="N1760" s="3288"/>
      <c r="O1760" s="40"/>
      <c r="P1760" s="40"/>
      <c r="Q1760" s="40">
        <v>900</v>
      </c>
      <c r="R1760" s="40"/>
      <c r="S1760" s="40"/>
      <c r="T1760" s="40"/>
      <c r="U1760" s="40"/>
      <c r="V1760" s="40"/>
      <c r="W1760" s="40"/>
      <c r="X1760" s="40"/>
      <c r="Y1760" s="40"/>
      <c r="Z1760" s="40"/>
      <c r="AA1760" s="966">
        <f t="shared" si="316"/>
        <v>900</v>
      </c>
      <c r="AB1760" s="35"/>
      <c r="AC1760" s="183"/>
    </row>
    <row r="1761" spans="1:29" x14ac:dyDescent="0.2">
      <c r="A1761" s="1422"/>
      <c r="B1761" s="2522"/>
      <c r="C1761" s="2456"/>
      <c r="D1761" s="3369"/>
      <c r="E1761" s="3369"/>
      <c r="F1761" s="2420"/>
      <c r="G1761" s="2420"/>
      <c r="H1761" s="2420"/>
      <c r="I1761" s="3369"/>
      <c r="J1761" s="2420"/>
      <c r="K1761" s="40">
        <v>300</v>
      </c>
      <c r="L1761" s="2421"/>
      <c r="M1761" s="3287" t="s">
        <v>305</v>
      </c>
      <c r="N1761" s="3288"/>
      <c r="O1761" s="40"/>
      <c r="P1761" s="40">
        <v>300</v>
      </c>
      <c r="Q1761" s="40"/>
      <c r="R1761" s="40"/>
      <c r="S1761" s="40"/>
      <c r="T1761" s="40"/>
      <c r="U1761" s="40"/>
      <c r="V1761" s="40"/>
      <c r="W1761" s="40"/>
      <c r="X1761" s="40"/>
      <c r="Y1761" s="40"/>
      <c r="Z1761" s="40"/>
      <c r="AA1761" s="966">
        <f t="shared" si="316"/>
        <v>300</v>
      </c>
      <c r="AB1761" s="35"/>
      <c r="AC1761" s="183"/>
    </row>
    <row r="1762" spans="1:29" x14ac:dyDescent="0.2">
      <c r="A1762" s="1422"/>
      <c r="B1762" s="2522"/>
      <c r="C1762" s="2456"/>
      <c r="D1762" s="3369"/>
      <c r="E1762" s="3369"/>
      <c r="F1762" s="2420"/>
      <c r="G1762" s="2420"/>
      <c r="H1762" s="2420"/>
      <c r="I1762" s="3369"/>
      <c r="J1762" s="2420"/>
      <c r="K1762" s="40">
        <v>1500</v>
      </c>
      <c r="L1762" s="2421"/>
      <c r="M1762" s="3287" t="s">
        <v>306</v>
      </c>
      <c r="N1762" s="3288"/>
      <c r="O1762" s="40"/>
      <c r="P1762" s="40">
        <v>1500</v>
      </c>
      <c r="Q1762" s="40"/>
      <c r="R1762" s="40"/>
      <c r="S1762" s="40"/>
      <c r="T1762" s="40"/>
      <c r="U1762" s="40"/>
      <c r="V1762" s="40"/>
      <c r="W1762" s="40"/>
      <c r="X1762" s="40"/>
      <c r="Y1762" s="40"/>
      <c r="Z1762" s="40"/>
      <c r="AA1762" s="966">
        <f t="shared" si="316"/>
        <v>1500</v>
      </c>
      <c r="AB1762" s="35"/>
      <c r="AC1762" s="183"/>
    </row>
    <row r="1763" spans="1:29" x14ac:dyDescent="0.2">
      <c r="A1763" s="1422"/>
      <c r="B1763" s="2522"/>
      <c r="C1763" s="2456"/>
      <c r="D1763" s="3369"/>
      <c r="E1763" s="3369"/>
      <c r="F1763" s="2420"/>
      <c r="G1763" s="2420"/>
      <c r="H1763" s="2420"/>
      <c r="I1763" s="3369"/>
      <c r="J1763" s="2420"/>
      <c r="K1763" s="40">
        <v>500</v>
      </c>
      <c r="L1763" s="2421"/>
      <c r="M1763" s="3287" t="s">
        <v>308</v>
      </c>
      <c r="N1763" s="3288"/>
      <c r="O1763" s="40"/>
      <c r="P1763" s="40"/>
      <c r="Q1763" s="40">
        <v>500</v>
      </c>
      <c r="R1763" s="40"/>
      <c r="S1763" s="40"/>
      <c r="T1763" s="40"/>
      <c r="U1763" s="40"/>
      <c r="V1763" s="40"/>
      <c r="W1763" s="40"/>
      <c r="X1763" s="40"/>
      <c r="Y1763" s="40"/>
      <c r="Z1763" s="40"/>
      <c r="AA1763" s="966">
        <f t="shared" si="316"/>
        <v>500</v>
      </c>
      <c r="AB1763" s="35"/>
      <c r="AC1763" s="183"/>
    </row>
    <row r="1764" spans="1:29" x14ac:dyDescent="0.2">
      <c r="A1764" s="1422"/>
      <c r="B1764" s="2522"/>
      <c r="C1764" s="2450"/>
      <c r="D1764" s="3369"/>
      <c r="E1764" s="3369"/>
      <c r="F1764" s="2420"/>
      <c r="G1764" s="2420"/>
      <c r="H1764" s="2420"/>
      <c r="I1764" s="3369"/>
      <c r="J1764" s="2420"/>
      <c r="K1764" s="40">
        <v>800</v>
      </c>
      <c r="L1764" s="2421"/>
      <c r="M1764" s="3287" t="s">
        <v>309</v>
      </c>
      <c r="N1764" s="3288"/>
      <c r="O1764" s="40"/>
      <c r="P1764" s="40"/>
      <c r="Q1764" s="40">
        <v>400</v>
      </c>
      <c r="R1764" s="40"/>
      <c r="S1764" s="40"/>
      <c r="T1764" s="40"/>
      <c r="U1764" s="40">
        <v>400</v>
      </c>
      <c r="V1764" s="40"/>
      <c r="W1764" s="40"/>
      <c r="X1764" s="40"/>
      <c r="Y1764" s="40"/>
      <c r="Z1764" s="40"/>
      <c r="AA1764" s="966">
        <f t="shared" si="316"/>
        <v>800</v>
      </c>
      <c r="AB1764" s="35"/>
      <c r="AC1764" s="183"/>
    </row>
    <row r="1765" spans="1:29" x14ac:dyDescent="0.2">
      <c r="A1765" s="1422"/>
      <c r="B1765" s="1266"/>
      <c r="C1765" s="1076"/>
      <c r="D1765" s="35"/>
      <c r="E1765" s="35"/>
      <c r="F1765" s="35"/>
      <c r="G1765" s="35"/>
      <c r="H1765" s="35"/>
      <c r="I1765" s="35"/>
      <c r="J1765" s="105"/>
      <c r="K1765" s="35"/>
      <c r="L1765" s="35"/>
      <c r="M1765" s="1124"/>
      <c r="N1765" s="1124"/>
      <c r="O1765" s="35"/>
      <c r="P1765" s="35"/>
      <c r="Q1765" s="35"/>
      <c r="R1765" s="35"/>
      <c r="S1765" s="35"/>
      <c r="T1765" s="35"/>
      <c r="U1765" s="35"/>
      <c r="V1765" s="35"/>
      <c r="W1765" s="35"/>
      <c r="X1765" s="35"/>
      <c r="Y1765" s="35"/>
      <c r="Z1765" s="35"/>
      <c r="AA1765" s="197"/>
      <c r="AB1765" s="35"/>
      <c r="AC1765" s="183"/>
    </row>
    <row r="1766" spans="1:29" ht="22.5" x14ac:dyDescent="0.2">
      <c r="A1766" s="1422"/>
      <c r="B1766" s="1266"/>
      <c r="C1766" s="1076"/>
      <c r="D1766" s="35"/>
      <c r="E1766" s="35"/>
      <c r="F1766" s="35"/>
      <c r="G1766" s="35"/>
      <c r="H1766" s="35"/>
      <c r="I1766" s="35"/>
      <c r="J1766" s="105"/>
      <c r="K1766" s="35"/>
      <c r="L1766" s="35"/>
      <c r="M1766" s="1124"/>
      <c r="N1766" s="1124"/>
      <c r="O1766" s="35"/>
      <c r="P1766" s="35"/>
      <c r="Q1766" s="35"/>
      <c r="R1766" s="35"/>
      <c r="S1766" s="35"/>
      <c r="T1766" s="2922" t="s">
        <v>15</v>
      </c>
      <c r="U1766" s="2922"/>
      <c r="V1766" s="2922"/>
      <c r="W1766" s="2922"/>
      <c r="X1766" s="2922"/>
      <c r="Y1766" s="2922"/>
      <c r="Z1766" s="2922"/>
      <c r="AA1766" s="1010" t="s">
        <v>16</v>
      </c>
      <c r="AB1766" s="35"/>
      <c r="AC1766" s="183"/>
    </row>
    <row r="1767" spans="1:29" ht="29.25" customHeight="1" x14ac:dyDescent="0.2">
      <c r="A1767" s="1422"/>
      <c r="B1767" s="1433" t="s">
        <v>276</v>
      </c>
      <c r="C1767" s="1119"/>
      <c r="D1767" s="102">
        <v>3043977</v>
      </c>
      <c r="E1767" s="192" t="s">
        <v>647</v>
      </c>
      <c r="F1767" s="35"/>
      <c r="G1767" s="35"/>
      <c r="H1767" s="35"/>
      <c r="I1767" s="35"/>
      <c r="J1767" s="105"/>
      <c r="K1767" s="35"/>
      <c r="L1767" s="35"/>
      <c r="M1767" s="1124"/>
      <c r="N1767" s="1124"/>
      <c r="O1767" s="35"/>
      <c r="P1767" s="35"/>
      <c r="Q1767" s="35"/>
      <c r="R1767" s="35"/>
      <c r="S1767" s="35"/>
      <c r="T1767" s="2922" t="s">
        <v>648</v>
      </c>
      <c r="U1767" s="2922"/>
      <c r="V1767" s="2922"/>
      <c r="W1767" s="2922"/>
      <c r="X1767" s="2922"/>
      <c r="Y1767" s="2922"/>
      <c r="Z1767" s="2922"/>
      <c r="AA1767" s="1010" t="s">
        <v>649</v>
      </c>
      <c r="AB1767" s="35"/>
      <c r="AC1767" s="183"/>
    </row>
    <row r="1768" spans="1:29" x14ac:dyDescent="0.2">
      <c r="A1768" s="1422"/>
      <c r="B1768" s="2999" t="s">
        <v>278</v>
      </c>
      <c r="C1768" s="2999" t="s">
        <v>21</v>
      </c>
      <c r="D1768" s="2847" t="s">
        <v>22</v>
      </c>
      <c r="E1768" s="2847" t="s">
        <v>23</v>
      </c>
      <c r="F1768" s="2847" t="s">
        <v>24</v>
      </c>
      <c r="G1768" s="2847" t="s">
        <v>25</v>
      </c>
      <c r="H1768" s="2847" t="s">
        <v>26</v>
      </c>
      <c r="I1768" s="2847" t="s">
        <v>27</v>
      </c>
      <c r="J1768" s="3206" t="s">
        <v>28</v>
      </c>
      <c r="K1768" s="3301"/>
      <c r="L1768" s="2988" t="s">
        <v>279</v>
      </c>
      <c r="M1768" s="2986" t="s">
        <v>280</v>
      </c>
      <c r="N1768" s="2987"/>
      <c r="O1768" s="2847" t="s">
        <v>281</v>
      </c>
      <c r="P1768" s="2847"/>
      <c r="Q1768" s="2847"/>
      <c r="R1768" s="2847"/>
      <c r="S1768" s="2847"/>
      <c r="T1768" s="2847"/>
      <c r="U1768" s="2847"/>
      <c r="V1768" s="2847"/>
      <c r="W1768" s="2847"/>
      <c r="X1768" s="2847"/>
      <c r="Y1768" s="2847"/>
      <c r="Z1768" s="2847"/>
      <c r="AA1768" s="2847" t="s">
        <v>32</v>
      </c>
      <c r="AB1768" s="35"/>
      <c r="AC1768" s="183"/>
    </row>
    <row r="1769" spans="1:29" x14ac:dyDescent="0.2">
      <c r="A1769" s="1422"/>
      <c r="B1769" s="2999"/>
      <c r="C1769" s="2999"/>
      <c r="D1769" s="2847"/>
      <c r="E1769" s="2847"/>
      <c r="F1769" s="2847"/>
      <c r="G1769" s="2847"/>
      <c r="H1769" s="2847"/>
      <c r="I1769" s="2847"/>
      <c r="J1769" s="1007" t="s">
        <v>33</v>
      </c>
      <c r="K1769" s="2988" t="s">
        <v>282</v>
      </c>
      <c r="L1769" s="3186"/>
      <c r="M1769" s="3000"/>
      <c r="N1769" s="3001"/>
      <c r="O1769" s="1009" t="s">
        <v>283</v>
      </c>
      <c r="P1769" s="1009" t="s">
        <v>284</v>
      </c>
      <c r="Q1769" s="1009" t="s">
        <v>285</v>
      </c>
      <c r="R1769" s="1009" t="s">
        <v>88</v>
      </c>
      <c r="S1769" s="1009" t="s">
        <v>89</v>
      </c>
      <c r="T1769" s="1009" t="s">
        <v>90</v>
      </c>
      <c r="U1769" s="1009" t="s">
        <v>91</v>
      </c>
      <c r="V1769" s="1009" t="s">
        <v>92</v>
      </c>
      <c r="W1769" s="1009" t="s">
        <v>286</v>
      </c>
      <c r="X1769" s="1009" t="s">
        <v>93</v>
      </c>
      <c r="Y1769" s="1009" t="s">
        <v>94</v>
      </c>
      <c r="Z1769" s="1009" t="s">
        <v>95</v>
      </c>
      <c r="AA1769" s="2847"/>
      <c r="AB1769" s="35"/>
      <c r="AC1769" s="183"/>
    </row>
    <row r="1770" spans="1:29" ht="12.75" x14ac:dyDescent="0.2">
      <c r="A1770" s="1422"/>
      <c r="B1770" s="2999"/>
      <c r="C1770" s="2999"/>
      <c r="D1770" s="2847"/>
      <c r="E1770" s="2847"/>
      <c r="F1770" s="2847"/>
      <c r="G1770" s="2847"/>
      <c r="H1770" s="2847"/>
      <c r="I1770" s="2847"/>
      <c r="J1770" s="106"/>
      <c r="K1770" s="3186"/>
      <c r="L1770" s="3186"/>
      <c r="M1770" s="3271" t="s">
        <v>287</v>
      </c>
      <c r="N1770" s="3272"/>
      <c r="O1770" s="1095">
        <v>1419</v>
      </c>
      <c r="P1770" s="1095">
        <v>1419</v>
      </c>
      <c r="Q1770" s="1095">
        <v>1420</v>
      </c>
      <c r="R1770" s="1095">
        <v>1420</v>
      </c>
      <c r="S1770" s="1095">
        <v>1420</v>
      </c>
      <c r="T1770" s="1095">
        <v>1419</v>
      </c>
      <c r="U1770" s="1095">
        <v>1419</v>
      </c>
      <c r="V1770" s="1095">
        <v>1419</v>
      </c>
      <c r="W1770" s="1095">
        <v>1419</v>
      </c>
      <c r="X1770" s="1095">
        <v>1419</v>
      </c>
      <c r="Y1770" s="1095">
        <v>1419</v>
      </c>
      <c r="Z1770" s="1095">
        <v>1419</v>
      </c>
      <c r="AA1770" s="2225">
        <f>SUM(O1770:Z1770)</f>
        <v>17031</v>
      </c>
      <c r="AB1770" s="35"/>
      <c r="AC1770" s="183"/>
    </row>
    <row r="1771" spans="1:29" ht="12.75" x14ac:dyDescent="0.2">
      <c r="A1771" s="1422"/>
      <c r="B1771" s="2999"/>
      <c r="C1771" s="2999"/>
      <c r="D1771" s="2847"/>
      <c r="E1771" s="2847"/>
      <c r="F1771" s="2847"/>
      <c r="G1771" s="2847"/>
      <c r="H1771" s="2847"/>
      <c r="I1771" s="2847"/>
      <c r="J1771" s="1008"/>
      <c r="K1771" s="2989"/>
      <c r="L1771" s="2989"/>
      <c r="M1771" s="3271" t="s">
        <v>34</v>
      </c>
      <c r="N1771" s="3272"/>
      <c r="O1771" s="1095">
        <f>SUM(O1772:O1790)</f>
        <v>67639.916666666657</v>
      </c>
      <c r="P1771" s="1095">
        <f t="shared" ref="P1771:Z1771" si="317">SUM(P1772:P1790)</f>
        <v>54938.09848484848</v>
      </c>
      <c r="Q1771" s="1095">
        <f t="shared" si="317"/>
        <v>62170.09848484848</v>
      </c>
      <c r="R1771" s="1095">
        <f t="shared" si="317"/>
        <v>53938.09848484848</v>
      </c>
      <c r="S1771" s="1095">
        <f t="shared" si="317"/>
        <v>57038.09848484848</v>
      </c>
      <c r="T1771" s="1095">
        <f t="shared" si="317"/>
        <v>53938.09848484848</v>
      </c>
      <c r="U1771" s="1095">
        <f t="shared" si="317"/>
        <v>68919.09848484848</v>
      </c>
      <c r="V1771" s="1095">
        <f t="shared" si="317"/>
        <v>55938.09848484848</v>
      </c>
      <c r="W1771" s="1095">
        <f t="shared" si="317"/>
        <v>56038.09848484848</v>
      </c>
      <c r="X1771" s="1095">
        <f t="shared" si="317"/>
        <v>53938.09848484848</v>
      </c>
      <c r="Y1771" s="1095">
        <f t="shared" si="317"/>
        <v>56038.09848484848</v>
      </c>
      <c r="Z1771" s="1095">
        <f t="shared" si="317"/>
        <v>64327.09848484848</v>
      </c>
      <c r="AA1771" s="2225">
        <f t="shared" ref="AA1771:AA1790" si="318">SUM(O1771:Z1771)</f>
        <v>704861.00000000012</v>
      </c>
      <c r="AB1771" s="35"/>
      <c r="AC1771" s="183"/>
    </row>
    <row r="1772" spans="1:29" x14ac:dyDescent="0.2">
      <c r="A1772" s="1422"/>
      <c r="B1772" s="2522">
        <v>5000087</v>
      </c>
      <c r="C1772" s="2438" t="s">
        <v>650</v>
      </c>
      <c r="D1772" s="3369">
        <v>60</v>
      </c>
      <c r="E1772" s="3369" t="s">
        <v>407</v>
      </c>
      <c r="F1772" s="2420" t="s">
        <v>313</v>
      </c>
      <c r="G1772" s="2420" t="s">
        <v>329</v>
      </c>
      <c r="H1772" s="2420" t="s">
        <v>651</v>
      </c>
      <c r="I1772" s="3369" t="s">
        <v>379</v>
      </c>
      <c r="J1772" s="2420">
        <v>17031</v>
      </c>
      <c r="K1772" s="40">
        <v>165529</v>
      </c>
      <c r="L1772" s="2421" t="s">
        <v>644</v>
      </c>
      <c r="M1772" s="3287" t="s">
        <v>293</v>
      </c>
      <c r="N1772" s="3288"/>
      <c r="O1772" s="38">
        <v>13794.083333333334</v>
      </c>
      <c r="P1772" s="38">
        <v>13794.083333333334</v>
      </c>
      <c r="Q1772" s="38">
        <v>13794.083333333334</v>
      </c>
      <c r="R1772" s="38">
        <v>13794.083333333334</v>
      </c>
      <c r="S1772" s="38">
        <v>13794.083333333334</v>
      </c>
      <c r="T1772" s="38">
        <v>13794.083333333334</v>
      </c>
      <c r="U1772" s="38">
        <v>13794.083333333334</v>
      </c>
      <c r="V1772" s="38">
        <v>13794.083333333334</v>
      </c>
      <c r="W1772" s="38">
        <v>13794.083333333334</v>
      </c>
      <c r="X1772" s="38">
        <v>13794.083333333334</v>
      </c>
      <c r="Y1772" s="38">
        <v>13794.083333333334</v>
      </c>
      <c r="Z1772" s="38">
        <v>13794.083333333334</v>
      </c>
      <c r="AA1772" s="966">
        <f t="shared" si="318"/>
        <v>165529</v>
      </c>
      <c r="AB1772" s="35"/>
      <c r="AC1772" s="183"/>
    </row>
    <row r="1773" spans="1:29" x14ac:dyDescent="0.2">
      <c r="A1773" s="1422"/>
      <c r="B1773" s="2522"/>
      <c r="C1773" s="2456"/>
      <c r="D1773" s="3369"/>
      <c r="E1773" s="3369"/>
      <c r="F1773" s="2420"/>
      <c r="G1773" s="2420"/>
      <c r="H1773" s="2420"/>
      <c r="I1773" s="3369"/>
      <c r="J1773" s="2420"/>
      <c r="K1773" s="40">
        <v>272200</v>
      </c>
      <c r="L1773" s="2421"/>
      <c r="M1773" s="3287" t="s">
        <v>295</v>
      </c>
      <c r="N1773" s="3288"/>
      <c r="O1773" s="38">
        <v>22683.333333333332</v>
      </c>
      <c r="P1773" s="38">
        <v>22683.333333333332</v>
      </c>
      <c r="Q1773" s="38">
        <v>22683.333333333332</v>
      </c>
      <c r="R1773" s="38">
        <v>22683.333333333332</v>
      </c>
      <c r="S1773" s="38">
        <v>22683.333333333332</v>
      </c>
      <c r="T1773" s="38">
        <v>22683.333333333332</v>
      </c>
      <c r="U1773" s="38">
        <v>22683.333333333332</v>
      </c>
      <c r="V1773" s="38">
        <v>22683.333333333332</v>
      </c>
      <c r="W1773" s="38">
        <v>22683.333333333332</v>
      </c>
      <c r="X1773" s="38">
        <v>22683.333333333332</v>
      </c>
      <c r="Y1773" s="38">
        <v>22683.333333333332</v>
      </c>
      <c r="Z1773" s="38">
        <v>22683.333333333332</v>
      </c>
      <c r="AA1773" s="966">
        <f t="shared" si="318"/>
        <v>272200.00000000006</v>
      </c>
      <c r="AB1773" s="35"/>
      <c r="AC1773" s="183"/>
    </row>
    <row r="1774" spans="1:29" x14ac:dyDescent="0.2">
      <c r="A1774" s="1422"/>
      <c r="B1774" s="2522"/>
      <c r="C1774" s="2456"/>
      <c r="D1774" s="3369"/>
      <c r="E1774" s="3369"/>
      <c r="F1774" s="2420"/>
      <c r="G1774" s="2420"/>
      <c r="H1774" s="2420"/>
      <c r="I1774" s="3369"/>
      <c r="J1774" s="2420"/>
      <c r="K1774" s="40">
        <v>23016</v>
      </c>
      <c r="L1774" s="2421"/>
      <c r="M1774" s="3287" t="s">
        <v>332</v>
      </c>
      <c r="N1774" s="3288"/>
      <c r="O1774" s="38">
        <v>1918</v>
      </c>
      <c r="P1774" s="38">
        <v>1918</v>
      </c>
      <c r="Q1774" s="38">
        <v>1918</v>
      </c>
      <c r="R1774" s="38">
        <v>1918</v>
      </c>
      <c r="S1774" s="38">
        <v>1918</v>
      </c>
      <c r="T1774" s="38">
        <v>1918</v>
      </c>
      <c r="U1774" s="38">
        <v>1918</v>
      </c>
      <c r="V1774" s="38">
        <v>1918</v>
      </c>
      <c r="W1774" s="38">
        <v>1918</v>
      </c>
      <c r="X1774" s="38">
        <v>1918</v>
      </c>
      <c r="Y1774" s="38">
        <v>1918</v>
      </c>
      <c r="Z1774" s="38">
        <v>1918</v>
      </c>
      <c r="AA1774" s="966">
        <f t="shared" si="318"/>
        <v>23016</v>
      </c>
      <c r="AB1774" s="35"/>
      <c r="AC1774" s="183"/>
    </row>
    <row r="1775" spans="1:29" x14ac:dyDescent="0.2">
      <c r="A1775" s="1422"/>
      <c r="B1775" s="2522"/>
      <c r="C1775" s="2456"/>
      <c r="D1775" s="3369"/>
      <c r="E1775" s="3369"/>
      <c r="F1775" s="2420"/>
      <c r="G1775" s="2420"/>
      <c r="H1775" s="2420"/>
      <c r="I1775" s="3369"/>
      <c r="J1775" s="2420"/>
      <c r="K1775" s="40">
        <v>101945</v>
      </c>
      <c r="L1775" s="2421"/>
      <c r="M1775" s="3287" t="s">
        <v>296</v>
      </c>
      <c r="N1775" s="3288"/>
      <c r="O1775" s="38">
        <v>8495.4166666666661</v>
      </c>
      <c r="P1775" s="38">
        <v>8495.4166666666661</v>
      </c>
      <c r="Q1775" s="38">
        <v>8495.4166666666661</v>
      </c>
      <c r="R1775" s="38">
        <v>8495.4166666666661</v>
      </c>
      <c r="S1775" s="38">
        <v>8495.4166666666661</v>
      </c>
      <c r="T1775" s="38">
        <v>8495.4166666666661</v>
      </c>
      <c r="U1775" s="38">
        <v>8495.4166666666661</v>
      </c>
      <c r="V1775" s="38">
        <v>8495.4166666666661</v>
      </c>
      <c r="W1775" s="38">
        <v>8495.4166666666661</v>
      </c>
      <c r="X1775" s="38">
        <v>8495.4166666666661</v>
      </c>
      <c r="Y1775" s="38">
        <v>8495.4166666666661</v>
      </c>
      <c r="Z1775" s="38">
        <v>8495.4166666666661</v>
      </c>
      <c r="AA1775" s="966">
        <f t="shared" si="318"/>
        <v>101945.00000000001</v>
      </c>
      <c r="AB1775" s="35"/>
      <c r="AC1775" s="183"/>
    </row>
    <row r="1776" spans="1:29" x14ac:dyDescent="0.2">
      <c r="A1776" s="1422"/>
      <c r="B1776" s="2522"/>
      <c r="C1776" s="2456"/>
      <c r="D1776" s="3369"/>
      <c r="E1776" s="3369"/>
      <c r="F1776" s="2420"/>
      <c r="G1776" s="2420"/>
      <c r="H1776" s="2420"/>
      <c r="I1776" s="3369"/>
      <c r="J1776" s="2420"/>
      <c r="K1776" s="40">
        <v>26016</v>
      </c>
      <c r="L1776" s="2421"/>
      <c r="M1776" s="3287" t="s">
        <v>297</v>
      </c>
      <c r="N1776" s="3288"/>
      <c r="O1776" s="38">
        <v>2168</v>
      </c>
      <c r="P1776" s="38">
        <v>2168</v>
      </c>
      <c r="Q1776" s="38">
        <v>2168</v>
      </c>
      <c r="R1776" s="38">
        <v>2168</v>
      </c>
      <c r="S1776" s="38">
        <v>2168</v>
      </c>
      <c r="T1776" s="38">
        <v>2168</v>
      </c>
      <c r="U1776" s="38">
        <v>2168</v>
      </c>
      <c r="V1776" s="38">
        <v>2168</v>
      </c>
      <c r="W1776" s="38">
        <v>2168</v>
      </c>
      <c r="X1776" s="38">
        <v>2168</v>
      </c>
      <c r="Y1776" s="38">
        <v>2168</v>
      </c>
      <c r="Z1776" s="38">
        <v>2168</v>
      </c>
      <c r="AA1776" s="966">
        <f t="shared" si="318"/>
        <v>26016</v>
      </c>
      <c r="AB1776" s="35"/>
      <c r="AC1776" s="183"/>
    </row>
    <row r="1777" spans="1:29" x14ac:dyDescent="0.2">
      <c r="A1777" s="1422"/>
      <c r="B1777" s="2522"/>
      <c r="C1777" s="2456"/>
      <c r="D1777" s="3369"/>
      <c r="E1777" s="3369"/>
      <c r="F1777" s="2420"/>
      <c r="G1777" s="2420"/>
      <c r="H1777" s="2420"/>
      <c r="I1777" s="3369"/>
      <c r="J1777" s="2420"/>
      <c r="K1777" s="40">
        <v>20778</v>
      </c>
      <c r="L1777" s="2421"/>
      <c r="M1777" s="3287" t="s">
        <v>298</v>
      </c>
      <c r="N1777" s="3288"/>
      <c r="O1777" s="38"/>
      <c r="P1777" s="38"/>
      <c r="Q1777" s="38"/>
      <c r="R1777" s="38"/>
      <c r="S1777" s="38"/>
      <c r="T1777" s="38"/>
      <c r="U1777" s="38">
        <v>10389</v>
      </c>
      <c r="V1777" s="38"/>
      <c r="W1777" s="38"/>
      <c r="X1777" s="38"/>
      <c r="Y1777" s="38"/>
      <c r="Z1777" s="38">
        <v>10389</v>
      </c>
      <c r="AA1777" s="966">
        <f t="shared" si="318"/>
        <v>20778</v>
      </c>
      <c r="AB1777" s="35"/>
      <c r="AC1777" s="183"/>
    </row>
    <row r="1778" spans="1:29" x14ac:dyDescent="0.2">
      <c r="A1778" s="1422"/>
      <c r="B1778" s="2522"/>
      <c r="C1778" s="2456"/>
      <c r="D1778" s="3369"/>
      <c r="E1778" s="3369"/>
      <c r="F1778" s="2420"/>
      <c r="G1778" s="2420"/>
      <c r="H1778" s="2420"/>
      <c r="I1778" s="3369"/>
      <c r="J1778" s="2420"/>
      <c r="K1778" s="40">
        <v>14900</v>
      </c>
      <c r="L1778" s="2421"/>
      <c r="M1778" s="3287" t="s">
        <v>299</v>
      </c>
      <c r="N1778" s="3288"/>
      <c r="O1778" s="38">
        <v>14900</v>
      </c>
      <c r="P1778" s="38"/>
      <c r="Q1778" s="38"/>
      <c r="R1778" s="38"/>
      <c r="S1778" s="38"/>
      <c r="T1778" s="38"/>
      <c r="U1778" s="38"/>
      <c r="V1778" s="38"/>
      <c r="W1778" s="38"/>
      <c r="X1778" s="38"/>
      <c r="Y1778" s="38"/>
      <c r="Z1778" s="38"/>
      <c r="AA1778" s="966">
        <f t="shared" si="318"/>
        <v>14900</v>
      </c>
      <c r="AB1778" s="35"/>
      <c r="AC1778" s="183"/>
    </row>
    <row r="1779" spans="1:29" x14ac:dyDescent="0.2">
      <c r="A1779" s="1422"/>
      <c r="B1779" s="2522"/>
      <c r="C1779" s="2456"/>
      <c r="D1779" s="3369"/>
      <c r="E1779" s="3369"/>
      <c r="F1779" s="2420"/>
      <c r="G1779" s="2420"/>
      <c r="H1779" s="2420"/>
      <c r="I1779" s="3369"/>
      <c r="J1779" s="2420"/>
      <c r="K1779" s="40">
        <v>43558</v>
      </c>
      <c r="L1779" s="2421"/>
      <c r="M1779" s="3287" t="s">
        <v>300</v>
      </c>
      <c r="N1779" s="3288"/>
      <c r="O1779" s="38">
        <v>3629.8333333333335</v>
      </c>
      <c r="P1779" s="38">
        <v>3629.8333333333335</v>
      </c>
      <c r="Q1779" s="38">
        <v>3629.8333333333335</v>
      </c>
      <c r="R1779" s="38">
        <v>3629.8333333333335</v>
      </c>
      <c r="S1779" s="38">
        <v>3629.8333333333335</v>
      </c>
      <c r="T1779" s="38">
        <v>3629.8333333333335</v>
      </c>
      <c r="U1779" s="38">
        <v>3629.8333333333335</v>
      </c>
      <c r="V1779" s="38">
        <v>3629.8333333333335</v>
      </c>
      <c r="W1779" s="38">
        <v>3629.8333333333335</v>
      </c>
      <c r="X1779" s="38">
        <v>3629.8333333333335</v>
      </c>
      <c r="Y1779" s="38">
        <v>3629.8333333333335</v>
      </c>
      <c r="Z1779" s="38">
        <v>3629.8333333333335</v>
      </c>
      <c r="AA1779" s="966">
        <f t="shared" si="318"/>
        <v>43558</v>
      </c>
      <c r="AB1779" s="35"/>
      <c r="AC1779" s="183"/>
    </row>
    <row r="1780" spans="1:29" x14ac:dyDescent="0.2">
      <c r="A1780" s="1422"/>
      <c r="B1780" s="2522"/>
      <c r="C1780" s="2456"/>
      <c r="D1780" s="3369"/>
      <c r="E1780" s="3369"/>
      <c r="F1780" s="2420"/>
      <c r="G1780" s="2420"/>
      <c r="H1780" s="2420"/>
      <c r="I1780" s="3369"/>
      <c r="J1780" s="2420"/>
      <c r="K1780" s="40">
        <v>615</v>
      </c>
      <c r="L1780" s="2421"/>
      <c r="M1780" s="3287" t="s">
        <v>301</v>
      </c>
      <c r="N1780" s="3288"/>
      <c r="O1780" s="38">
        <v>51.25</v>
      </c>
      <c r="P1780" s="38">
        <v>51.25</v>
      </c>
      <c r="Q1780" s="38">
        <v>51.25</v>
      </c>
      <c r="R1780" s="38">
        <v>51.25</v>
      </c>
      <c r="S1780" s="38">
        <v>51.25</v>
      </c>
      <c r="T1780" s="38">
        <v>51.25</v>
      </c>
      <c r="U1780" s="38">
        <v>51.25</v>
      </c>
      <c r="V1780" s="38">
        <v>51.25</v>
      </c>
      <c r="W1780" s="38">
        <v>51.25</v>
      </c>
      <c r="X1780" s="38">
        <v>51.25</v>
      </c>
      <c r="Y1780" s="38">
        <v>51.25</v>
      </c>
      <c r="Z1780" s="38">
        <v>51.25</v>
      </c>
      <c r="AA1780" s="966">
        <f t="shared" si="318"/>
        <v>615</v>
      </c>
      <c r="AB1780" s="35"/>
      <c r="AC1780" s="183"/>
    </row>
    <row r="1781" spans="1:29" x14ac:dyDescent="0.2">
      <c r="A1781" s="1422"/>
      <c r="B1781" s="2522"/>
      <c r="C1781" s="2456"/>
      <c r="D1781" s="3369"/>
      <c r="E1781" s="3369"/>
      <c r="F1781" s="2420"/>
      <c r="G1781" s="2420"/>
      <c r="H1781" s="2420"/>
      <c r="I1781" s="3369"/>
      <c r="J1781" s="2420"/>
      <c r="K1781" s="40">
        <v>984</v>
      </c>
      <c r="L1781" s="2421"/>
      <c r="M1781" s="3287" t="s">
        <v>340</v>
      </c>
      <c r="N1781" s="3288"/>
      <c r="O1781" s="38"/>
      <c r="P1781" s="38"/>
      <c r="Q1781" s="38">
        <v>492</v>
      </c>
      <c r="R1781" s="38"/>
      <c r="S1781" s="38"/>
      <c r="T1781" s="38"/>
      <c r="U1781" s="38">
        <v>492</v>
      </c>
      <c r="V1781" s="38"/>
      <c r="W1781" s="38"/>
      <c r="X1781" s="38"/>
      <c r="Y1781" s="38"/>
      <c r="Z1781" s="38"/>
      <c r="AA1781" s="966">
        <f t="shared" si="318"/>
        <v>984</v>
      </c>
      <c r="AB1781" s="35"/>
      <c r="AC1781" s="183"/>
    </row>
    <row r="1782" spans="1:29" x14ac:dyDescent="0.2">
      <c r="A1782" s="1422"/>
      <c r="B1782" s="2522"/>
      <c r="C1782" s="2456"/>
      <c r="D1782" s="3369"/>
      <c r="E1782" s="3369"/>
      <c r="F1782" s="2420"/>
      <c r="G1782" s="2420"/>
      <c r="H1782" s="2420"/>
      <c r="I1782" s="3369"/>
      <c r="J1782" s="2420"/>
      <c r="K1782" s="40">
        <v>1000</v>
      </c>
      <c r="L1782" s="2421"/>
      <c r="M1782" s="3287" t="s">
        <v>302</v>
      </c>
      <c r="N1782" s="3288"/>
      <c r="O1782" s="38"/>
      <c r="P1782" s="38"/>
      <c r="Q1782" s="38"/>
      <c r="R1782" s="38"/>
      <c r="S1782" s="38">
        <v>1000</v>
      </c>
      <c r="T1782" s="38"/>
      <c r="U1782" s="38"/>
      <c r="V1782" s="38"/>
      <c r="W1782" s="38"/>
      <c r="X1782" s="38"/>
      <c r="Y1782" s="38"/>
      <c r="Z1782" s="38"/>
      <c r="AA1782" s="966">
        <f t="shared" si="318"/>
        <v>1000</v>
      </c>
      <c r="AB1782" s="35"/>
      <c r="AC1782" s="183"/>
    </row>
    <row r="1783" spans="1:29" x14ac:dyDescent="0.2">
      <c r="A1783" s="1422"/>
      <c r="B1783" s="2522"/>
      <c r="C1783" s="2456"/>
      <c r="D1783" s="3369"/>
      <c r="E1783" s="3369"/>
      <c r="F1783" s="2420"/>
      <c r="G1783" s="2420"/>
      <c r="H1783" s="2420"/>
      <c r="I1783" s="3369"/>
      <c r="J1783" s="2420"/>
      <c r="K1783" s="40">
        <v>1140</v>
      </c>
      <c r="L1783" s="2421"/>
      <c r="M1783" s="3287" t="s">
        <v>303</v>
      </c>
      <c r="N1783" s="3288"/>
      <c r="O1783" s="38"/>
      <c r="P1783" s="38"/>
      <c r="Q1783" s="38">
        <v>1140</v>
      </c>
      <c r="R1783" s="38"/>
      <c r="S1783" s="38"/>
      <c r="T1783" s="38"/>
      <c r="U1783" s="38"/>
      <c r="V1783" s="38"/>
      <c r="W1783" s="38"/>
      <c r="X1783" s="38"/>
      <c r="Y1783" s="38"/>
      <c r="Z1783" s="38"/>
      <c r="AA1783" s="966">
        <f t="shared" si="318"/>
        <v>1140</v>
      </c>
      <c r="AB1783" s="35"/>
      <c r="AC1783" s="183"/>
    </row>
    <row r="1784" spans="1:29" x14ac:dyDescent="0.2">
      <c r="A1784" s="1422"/>
      <c r="B1784" s="2522"/>
      <c r="C1784" s="2456"/>
      <c r="D1784" s="3369"/>
      <c r="E1784" s="3369"/>
      <c r="F1784" s="2420"/>
      <c r="G1784" s="2420"/>
      <c r="H1784" s="2420"/>
      <c r="I1784" s="3369"/>
      <c r="J1784" s="2420"/>
      <c r="K1784" s="40">
        <v>500</v>
      </c>
      <c r="L1784" s="2421"/>
      <c r="M1784" s="3287" t="s">
        <v>593</v>
      </c>
      <c r="N1784" s="3288"/>
      <c r="O1784" s="38"/>
      <c r="P1784" s="38"/>
      <c r="Q1784" s="38">
        <v>500</v>
      </c>
      <c r="R1784" s="38"/>
      <c r="S1784" s="38"/>
      <c r="T1784" s="38"/>
      <c r="U1784" s="38"/>
      <c r="V1784" s="38"/>
      <c r="W1784" s="38"/>
      <c r="X1784" s="38"/>
      <c r="Y1784" s="38"/>
      <c r="Z1784" s="38"/>
      <c r="AA1784" s="966">
        <f t="shared" si="318"/>
        <v>500</v>
      </c>
      <c r="AB1784" s="35"/>
      <c r="AC1784" s="183"/>
    </row>
    <row r="1785" spans="1:29" x14ac:dyDescent="0.2">
      <c r="A1785" s="1422"/>
      <c r="B1785" s="2522"/>
      <c r="C1785" s="2456"/>
      <c r="D1785" s="3369"/>
      <c r="E1785" s="3369"/>
      <c r="F1785" s="2420"/>
      <c r="G1785" s="2420"/>
      <c r="H1785" s="2420"/>
      <c r="I1785" s="3369"/>
      <c r="J1785" s="2420"/>
      <c r="K1785" s="40">
        <v>4000</v>
      </c>
      <c r="L1785" s="2421"/>
      <c r="M1785" s="3287" t="s">
        <v>304</v>
      </c>
      <c r="N1785" s="3288"/>
      <c r="O1785" s="38"/>
      <c r="P1785" s="38"/>
      <c r="Q1785" s="38">
        <v>2000</v>
      </c>
      <c r="R1785" s="38"/>
      <c r="S1785" s="38"/>
      <c r="T1785" s="38"/>
      <c r="U1785" s="38"/>
      <c r="V1785" s="38">
        <v>2000</v>
      </c>
      <c r="W1785" s="38"/>
      <c r="X1785" s="38"/>
      <c r="Y1785" s="38"/>
      <c r="Z1785" s="38"/>
      <c r="AA1785" s="966">
        <f t="shared" si="318"/>
        <v>4000</v>
      </c>
      <c r="AB1785" s="35"/>
      <c r="AC1785" s="183"/>
    </row>
    <row r="1786" spans="1:29" x14ac:dyDescent="0.2">
      <c r="A1786" s="1422"/>
      <c r="B1786" s="2522"/>
      <c r="C1786" s="2456"/>
      <c r="D1786" s="3369"/>
      <c r="E1786" s="3369"/>
      <c r="F1786" s="2420"/>
      <c r="G1786" s="2420"/>
      <c r="H1786" s="2420"/>
      <c r="I1786" s="3369"/>
      <c r="J1786" s="2420"/>
      <c r="K1786" s="40">
        <v>1000</v>
      </c>
      <c r="L1786" s="2421"/>
      <c r="M1786" s="3287" t="s">
        <v>305</v>
      </c>
      <c r="N1786" s="3288"/>
      <c r="O1786" s="38"/>
      <c r="P1786" s="38">
        <v>1000</v>
      </c>
      <c r="Q1786" s="38"/>
      <c r="R1786" s="38"/>
      <c r="S1786" s="38"/>
      <c r="T1786" s="38"/>
      <c r="U1786" s="38"/>
      <c r="V1786" s="38"/>
      <c r="W1786" s="38"/>
      <c r="X1786" s="38"/>
      <c r="Y1786" s="38"/>
      <c r="Z1786" s="38"/>
      <c r="AA1786" s="966">
        <f t="shared" si="318"/>
        <v>1000</v>
      </c>
      <c r="AB1786" s="35"/>
      <c r="AC1786" s="183"/>
    </row>
    <row r="1787" spans="1:29" x14ac:dyDescent="0.2">
      <c r="A1787" s="1422"/>
      <c r="B1787" s="2522"/>
      <c r="C1787" s="2456"/>
      <c r="D1787" s="3369"/>
      <c r="E1787" s="3369"/>
      <c r="F1787" s="2420"/>
      <c r="G1787" s="2420"/>
      <c r="H1787" s="2420"/>
      <c r="I1787" s="3369"/>
      <c r="J1787" s="2420"/>
      <c r="K1787" s="40">
        <v>3680</v>
      </c>
      <c r="L1787" s="2421"/>
      <c r="M1787" s="3287" t="s">
        <v>306</v>
      </c>
      <c r="N1787" s="3288"/>
      <c r="O1787" s="38"/>
      <c r="P1787" s="38">
        <v>334.54545454545456</v>
      </c>
      <c r="Q1787" s="38">
        <v>334.54545454545456</v>
      </c>
      <c r="R1787" s="38">
        <v>334.54545454545456</v>
      </c>
      <c r="S1787" s="38">
        <v>334.54545454545456</v>
      </c>
      <c r="T1787" s="38">
        <v>334.54545454545456</v>
      </c>
      <c r="U1787" s="38">
        <v>334.54545454545456</v>
      </c>
      <c r="V1787" s="38">
        <v>334.54545454545456</v>
      </c>
      <c r="W1787" s="38">
        <v>334.54545454545456</v>
      </c>
      <c r="X1787" s="38">
        <v>334.54545454545456</v>
      </c>
      <c r="Y1787" s="38">
        <v>334.54545454545456</v>
      </c>
      <c r="Z1787" s="38">
        <v>334.54545454545456</v>
      </c>
      <c r="AA1787" s="966">
        <f t="shared" si="318"/>
        <v>3680</v>
      </c>
      <c r="AB1787" s="35"/>
      <c r="AC1787" s="183"/>
    </row>
    <row r="1788" spans="1:29" x14ac:dyDescent="0.2">
      <c r="A1788" s="1422"/>
      <c r="B1788" s="2522"/>
      <c r="C1788" s="2456"/>
      <c r="D1788" s="3369"/>
      <c r="E1788" s="3369"/>
      <c r="F1788" s="2420"/>
      <c r="G1788" s="2420"/>
      <c r="H1788" s="2420"/>
      <c r="I1788" s="3369"/>
      <c r="J1788" s="2420"/>
      <c r="K1788" s="40">
        <v>9500</v>
      </c>
      <c r="L1788" s="2421"/>
      <c r="M1788" s="3287" t="s">
        <v>307</v>
      </c>
      <c r="N1788" s="3288"/>
      <c r="O1788" s="38"/>
      <c r="P1788" s="38">
        <v>863.63636363636363</v>
      </c>
      <c r="Q1788" s="38">
        <v>863.63636363636363</v>
      </c>
      <c r="R1788" s="38">
        <v>863.63636363636363</v>
      </c>
      <c r="S1788" s="38">
        <v>863.63636363636363</v>
      </c>
      <c r="T1788" s="38">
        <v>863.63636363636363</v>
      </c>
      <c r="U1788" s="38">
        <v>863.63636363636363</v>
      </c>
      <c r="V1788" s="38">
        <v>863.63636363636363</v>
      </c>
      <c r="W1788" s="38">
        <v>863.63636363636363</v>
      </c>
      <c r="X1788" s="38">
        <v>863.63636363636363</v>
      </c>
      <c r="Y1788" s="38">
        <v>863.63636363636363</v>
      </c>
      <c r="Z1788" s="38">
        <v>863.63636363636363</v>
      </c>
      <c r="AA1788" s="966">
        <f t="shared" si="318"/>
        <v>9500.0000000000018</v>
      </c>
      <c r="AB1788" s="35"/>
      <c r="AC1788" s="183"/>
    </row>
    <row r="1789" spans="1:29" x14ac:dyDescent="0.2">
      <c r="A1789" s="1422"/>
      <c r="B1789" s="2522"/>
      <c r="C1789" s="2456"/>
      <c r="D1789" s="3369"/>
      <c r="E1789" s="3369"/>
      <c r="F1789" s="2420"/>
      <c r="G1789" s="2420"/>
      <c r="H1789" s="2420"/>
      <c r="I1789" s="3369"/>
      <c r="J1789" s="2420"/>
      <c r="K1789" s="40">
        <v>10500</v>
      </c>
      <c r="L1789" s="2421"/>
      <c r="M1789" s="3287" t="s">
        <v>309</v>
      </c>
      <c r="N1789" s="3288"/>
      <c r="O1789" s="38"/>
      <c r="P1789" s="38"/>
      <c r="Q1789" s="38">
        <v>2100</v>
      </c>
      <c r="R1789" s="38"/>
      <c r="S1789" s="38">
        <v>2100</v>
      </c>
      <c r="T1789" s="38"/>
      <c r="U1789" s="38">
        <v>2100</v>
      </c>
      <c r="V1789" s="38"/>
      <c r="W1789" s="38">
        <v>2100</v>
      </c>
      <c r="X1789" s="38"/>
      <c r="Y1789" s="38">
        <v>2100</v>
      </c>
      <c r="Z1789" s="38"/>
      <c r="AA1789" s="966">
        <f t="shared" si="318"/>
        <v>10500</v>
      </c>
      <c r="AB1789" s="35"/>
      <c r="AC1789" s="183"/>
    </row>
    <row r="1790" spans="1:29" x14ac:dyDescent="0.2">
      <c r="A1790" s="1422"/>
      <c r="B1790" s="2522"/>
      <c r="C1790" s="2450"/>
      <c r="D1790" s="3369"/>
      <c r="E1790" s="3369"/>
      <c r="F1790" s="2420"/>
      <c r="G1790" s="2420"/>
      <c r="H1790" s="2420"/>
      <c r="I1790" s="3369"/>
      <c r="J1790" s="2420"/>
      <c r="K1790" s="40">
        <v>4000</v>
      </c>
      <c r="L1790" s="2421"/>
      <c r="M1790" s="3287" t="s">
        <v>358</v>
      </c>
      <c r="N1790" s="3288"/>
      <c r="O1790" s="38"/>
      <c r="P1790" s="38"/>
      <c r="Q1790" s="38">
        <v>2000</v>
      </c>
      <c r="R1790" s="38"/>
      <c r="S1790" s="38"/>
      <c r="T1790" s="38"/>
      <c r="U1790" s="38">
        <v>2000</v>
      </c>
      <c r="V1790" s="38"/>
      <c r="W1790" s="38"/>
      <c r="X1790" s="38"/>
      <c r="Y1790" s="38"/>
      <c r="Z1790" s="38"/>
      <c r="AA1790" s="966">
        <f t="shared" si="318"/>
        <v>4000</v>
      </c>
      <c r="AB1790" s="35"/>
      <c r="AC1790" s="183"/>
    </row>
    <row r="1791" spans="1:29" x14ac:dyDescent="0.2">
      <c r="A1791" s="1422"/>
      <c r="B1791" s="1433"/>
      <c r="C1791" s="1119"/>
      <c r="D1791" s="35"/>
      <c r="E1791" s="35"/>
      <c r="F1791" s="35"/>
      <c r="G1791" s="35"/>
      <c r="H1791" s="35"/>
      <c r="I1791" s="35"/>
      <c r="J1791" s="105"/>
      <c r="K1791" s="35"/>
      <c r="L1791" s="35"/>
      <c r="M1791" s="1124"/>
      <c r="N1791" s="1124"/>
      <c r="O1791" s="35"/>
      <c r="P1791" s="35"/>
      <c r="Q1791" s="35"/>
      <c r="R1791" s="35"/>
      <c r="S1791" s="35"/>
      <c r="T1791" s="35"/>
      <c r="U1791" s="35"/>
      <c r="V1791" s="35"/>
      <c r="W1791" s="35"/>
      <c r="X1791" s="35"/>
      <c r="Y1791" s="35"/>
      <c r="Z1791" s="35"/>
      <c r="AA1791" s="197"/>
      <c r="AB1791" s="35"/>
      <c r="AC1791" s="183"/>
    </row>
    <row r="1792" spans="1:29" ht="22.5" x14ac:dyDescent="0.2">
      <c r="A1792" s="1422"/>
      <c r="B1792" s="1422"/>
      <c r="C1792" s="1272"/>
      <c r="D1792" s="182"/>
      <c r="E1792" s="182"/>
      <c r="F1792" s="155"/>
      <c r="G1792" s="155"/>
      <c r="H1792" s="155"/>
      <c r="I1792" s="155"/>
      <c r="J1792" s="155"/>
      <c r="K1792" s="155"/>
      <c r="L1792" s="155"/>
      <c r="M1792" s="155"/>
      <c r="N1792" s="155"/>
      <c r="O1792" s="155"/>
      <c r="P1792" s="155"/>
      <c r="Q1792" s="155"/>
      <c r="R1792" s="155"/>
      <c r="S1792" s="2922" t="s">
        <v>15</v>
      </c>
      <c r="T1792" s="2922"/>
      <c r="U1792" s="2922"/>
      <c r="V1792" s="2922"/>
      <c r="W1792" s="2922"/>
      <c r="X1792" s="2922"/>
      <c r="Y1792" s="2922"/>
      <c r="Z1792" s="2922"/>
      <c r="AA1792" s="2148" t="s">
        <v>16</v>
      </c>
      <c r="AB1792" s="35"/>
      <c r="AC1792" s="183"/>
    </row>
    <row r="1793" spans="1:29" ht="22.5" x14ac:dyDescent="0.2">
      <c r="A1793" s="1422"/>
      <c r="B1793" s="1090" t="s">
        <v>276</v>
      </c>
      <c r="C1793" s="159"/>
      <c r="D1793" s="1068">
        <v>3043978</v>
      </c>
      <c r="E1793" s="3291" t="s">
        <v>652</v>
      </c>
      <c r="F1793" s="3292"/>
      <c r="G1793" s="3292"/>
      <c r="H1793" s="3292"/>
      <c r="I1793" s="3292"/>
      <c r="J1793" s="3292"/>
      <c r="K1793" s="3292"/>
      <c r="L1793" s="3292"/>
      <c r="M1793" s="3292"/>
      <c r="N1793" s="3292"/>
      <c r="O1793" s="3292"/>
      <c r="P1793" s="3292"/>
      <c r="Q1793" s="3292"/>
      <c r="R1793" s="3293"/>
      <c r="S1793" s="2922" t="s">
        <v>653</v>
      </c>
      <c r="T1793" s="2922"/>
      <c r="U1793" s="2922"/>
      <c r="V1793" s="2922"/>
      <c r="W1793" s="2922"/>
      <c r="X1793" s="2922"/>
      <c r="Y1793" s="2922"/>
      <c r="Z1793" s="2922"/>
      <c r="AA1793" s="1010" t="s">
        <v>654</v>
      </c>
      <c r="AB1793" s="35"/>
      <c r="AC1793" s="183"/>
    </row>
    <row r="1794" spans="1:29" x14ac:dyDescent="0.2">
      <c r="A1794" s="1422"/>
      <c r="B1794" s="2999" t="s">
        <v>278</v>
      </c>
      <c r="C1794" s="2999" t="s">
        <v>21</v>
      </c>
      <c r="D1794" s="2847" t="s">
        <v>22</v>
      </c>
      <c r="E1794" s="2847" t="s">
        <v>23</v>
      </c>
      <c r="F1794" s="2847" t="s">
        <v>24</v>
      </c>
      <c r="G1794" s="2847" t="s">
        <v>25</v>
      </c>
      <c r="H1794" s="2847" t="s">
        <v>26</v>
      </c>
      <c r="I1794" s="2847" t="s">
        <v>27</v>
      </c>
      <c r="J1794" s="3206" t="s">
        <v>28</v>
      </c>
      <c r="K1794" s="3301"/>
      <c r="L1794" s="2988" t="s">
        <v>279</v>
      </c>
      <c r="M1794" s="2986" t="s">
        <v>280</v>
      </c>
      <c r="N1794" s="2987"/>
      <c r="O1794" s="2847" t="s">
        <v>281</v>
      </c>
      <c r="P1794" s="2847"/>
      <c r="Q1794" s="2847"/>
      <c r="R1794" s="2847"/>
      <c r="S1794" s="2847"/>
      <c r="T1794" s="2847"/>
      <c r="U1794" s="2847"/>
      <c r="V1794" s="2847"/>
      <c r="W1794" s="2847"/>
      <c r="X1794" s="2847"/>
      <c r="Y1794" s="2847"/>
      <c r="Z1794" s="2847"/>
      <c r="AA1794" s="2847" t="s">
        <v>32</v>
      </c>
      <c r="AB1794" s="35"/>
      <c r="AC1794" s="183"/>
    </row>
    <row r="1795" spans="1:29" x14ac:dyDescent="0.2">
      <c r="A1795" s="1422"/>
      <c r="B1795" s="2999"/>
      <c r="C1795" s="2999"/>
      <c r="D1795" s="2847"/>
      <c r="E1795" s="2847"/>
      <c r="F1795" s="2847"/>
      <c r="G1795" s="2847"/>
      <c r="H1795" s="2847"/>
      <c r="I1795" s="2847"/>
      <c r="J1795" s="1007" t="s">
        <v>33</v>
      </c>
      <c r="K1795" s="2988" t="s">
        <v>282</v>
      </c>
      <c r="L1795" s="3186"/>
      <c r="M1795" s="3000"/>
      <c r="N1795" s="3001"/>
      <c r="O1795" s="1009" t="s">
        <v>283</v>
      </c>
      <c r="P1795" s="1009" t="s">
        <v>284</v>
      </c>
      <c r="Q1795" s="1009" t="s">
        <v>285</v>
      </c>
      <c r="R1795" s="1009" t="s">
        <v>88</v>
      </c>
      <c r="S1795" s="1009" t="s">
        <v>89</v>
      </c>
      <c r="T1795" s="1009" t="s">
        <v>90</v>
      </c>
      <c r="U1795" s="1009" t="s">
        <v>91</v>
      </c>
      <c r="V1795" s="1009" t="s">
        <v>92</v>
      </c>
      <c r="W1795" s="1009" t="s">
        <v>286</v>
      </c>
      <c r="X1795" s="1009" t="s">
        <v>93</v>
      </c>
      <c r="Y1795" s="1009" t="s">
        <v>94</v>
      </c>
      <c r="Z1795" s="1009" t="s">
        <v>95</v>
      </c>
      <c r="AA1795" s="2847"/>
      <c r="AB1795" s="35"/>
      <c r="AC1795" s="183"/>
    </row>
    <row r="1796" spans="1:29" ht="12.75" x14ac:dyDescent="0.2">
      <c r="A1796" s="1422"/>
      <c r="B1796" s="2999"/>
      <c r="C1796" s="2999"/>
      <c r="D1796" s="2847"/>
      <c r="E1796" s="2847"/>
      <c r="F1796" s="2847"/>
      <c r="G1796" s="2847"/>
      <c r="H1796" s="2847"/>
      <c r="I1796" s="2847"/>
      <c r="J1796" s="106"/>
      <c r="K1796" s="3186"/>
      <c r="L1796" s="3186"/>
      <c r="M1796" s="3271" t="s">
        <v>287</v>
      </c>
      <c r="N1796" s="3272"/>
      <c r="O1796" s="1095"/>
      <c r="P1796" s="1095"/>
      <c r="Q1796" s="1095">
        <v>31</v>
      </c>
      <c r="R1796" s="1095">
        <v>31</v>
      </c>
      <c r="S1796" s="1095">
        <v>33</v>
      </c>
      <c r="T1796" s="1095">
        <v>33</v>
      </c>
      <c r="U1796" s="1095">
        <v>33</v>
      </c>
      <c r="V1796" s="1095">
        <v>33</v>
      </c>
      <c r="W1796" s="1095">
        <v>33</v>
      </c>
      <c r="X1796" s="1095">
        <v>33</v>
      </c>
      <c r="Y1796" s="1095">
        <v>33</v>
      </c>
      <c r="Z1796" s="1095">
        <v>33</v>
      </c>
      <c r="AA1796" s="1205">
        <f>SUM(O1796:Z1796)</f>
        <v>326</v>
      </c>
      <c r="AB1796" s="35"/>
      <c r="AC1796" s="183"/>
    </row>
    <row r="1797" spans="1:29" ht="12.75" x14ac:dyDescent="0.2">
      <c r="A1797" s="1422"/>
      <c r="B1797" s="2999"/>
      <c r="C1797" s="2999"/>
      <c r="D1797" s="2847"/>
      <c r="E1797" s="2847"/>
      <c r="F1797" s="2847"/>
      <c r="G1797" s="2847"/>
      <c r="H1797" s="2847"/>
      <c r="I1797" s="2847"/>
      <c r="J1797" s="1008"/>
      <c r="K1797" s="2989"/>
      <c r="L1797" s="2989"/>
      <c r="M1797" s="3271" t="s">
        <v>34</v>
      </c>
      <c r="N1797" s="3272"/>
      <c r="O1797" s="1095">
        <f>SUM(O1798:O1810)</f>
        <v>45393.916666666672</v>
      </c>
      <c r="P1797" s="1095">
        <f t="shared" ref="P1797:Z1797" si="319">SUM(P1798:P1810)</f>
        <v>39712.098484848488</v>
      </c>
      <c r="Q1797" s="1095">
        <f t="shared" si="319"/>
        <v>40512.098484848488</v>
      </c>
      <c r="R1797" s="1095">
        <f t="shared" si="319"/>
        <v>40512.098484848488</v>
      </c>
      <c r="S1797" s="1095">
        <f t="shared" si="319"/>
        <v>39712.098484848488</v>
      </c>
      <c r="T1797" s="1095">
        <f t="shared" si="319"/>
        <v>40512.098484848488</v>
      </c>
      <c r="U1797" s="1095">
        <f t="shared" si="319"/>
        <v>43612.098484848488</v>
      </c>
      <c r="V1797" s="1095">
        <f t="shared" si="319"/>
        <v>40512.098484848488</v>
      </c>
      <c r="W1797" s="1095">
        <f t="shared" si="319"/>
        <v>39712.098484848488</v>
      </c>
      <c r="X1797" s="1095">
        <f t="shared" si="319"/>
        <v>40512.098484848488</v>
      </c>
      <c r="Y1797" s="1095">
        <f t="shared" si="319"/>
        <v>39712.098484848488</v>
      </c>
      <c r="Z1797" s="1095">
        <f t="shared" si="319"/>
        <v>44412.098484848488</v>
      </c>
      <c r="AA1797" s="1205">
        <f t="shared" ref="AA1797:AA1810" si="320">SUM(O1797:Z1797)</f>
        <v>494827.00000000012</v>
      </c>
      <c r="AB1797" s="35"/>
      <c r="AC1797" s="183"/>
    </row>
    <row r="1798" spans="1:29" x14ac:dyDescent="0.2">
      <c r="A1798" s="1422"/>
      <c r="B1798" s="2522">
        <v>5000088</v>
      </c>
      <c r="C1798" s="2438" t="s">
        <v>655</v>
      </c>
      <c r="D1798" s="3369">
        <v>61</v>
      </c>
      <c r="E1798" s="3369" t="s">
        <v>407</v>
      </c>
      <c r="F1798" s="3369" t="s">
        <v>313</v>
      </c>
      <c r="G1798" s="2420" t="s">
        <v>329</v>
      </c>
      <c r="H1798" s="2420"/>
      <c r="I1798" s="2420" t="s">
        <v>373</v>
      </c>
      <c r="J1798" s="2514">
        <v>326</v>
      </c>
      <c r="K1798" s="40">
        <v>26868</v>
      </c>
      <c r="L1798" s="2431" t="s">
        <v>644</v>
      </c>
      <c r="M1798" s="3287" t="s">
        <v>293</v>
      </c>
      <c r="N1798" s="3288"/>
      <c r="O1798" s="38">
        <v>2239</v>
      </c>
      <c r="P1798" s="38">
        <v>2239</v>
      </c>
      <c r="Q1798" s="38">
        <v>2239</v>
      </c>
      <c r="R1798" s="38">
        <v>2239</v>
      </c>
      <c r="S1798" s="38">
        <v>2239</v>
      </c>
      <c r="T1798" s="38">
        <v>2239</v>
      </c>
      <c r="U1798" s="38">
        <v>2239</v>
      </c>
      <c r="V1798" s="38">
        <v>2239</v>
      </c>
      <c r="W1798" s="38">
        <v>2239</v>
      </c>
      <c r="X1798" s="38">
        <v>2239</v>
      </c>
      <c r="Y1798" s="38">
        <v>2239</v>
      </c>
      <c r="Z1798" s="38">
        <v>2239</v>
      </c>
      <c r="AA1798" s="966">
        <f t="shared" si="320"/>
        <v>26868</v>
      </c>
      <c r="AB1798" s="35"/>
      <c r="AC1798" s="183"/>
    </row>
    <row r="1799" spans="1:29" x14ac:dyDescent="0.2">
      <c r="A1799" s="1422"/>
      <c r="B1799" s="2522"/>
      <c r="C1799" s="2456"/>
      <c r="D1799" s="3369"/>
      <c r="E1799" s="3369"/>
      <c r="F1799" s="3369"/>
      <c r="G1799" s="2420"/>
      <c r="H1799" s="2420"/>
      <c r="I1799" s="2420"/>
      <c r="J1799" s="2515"/>
      <c r="K1799" s="40">
        <v>288263</v>
      </c>
      <c r="L1799" s="2432"/>
      <c r="M1799" s="3287" t="s">
        <v>295</v>
      </c>
      <c r="N1799" s="3288"/>
      <c r="O1799" s="38">
        <v>24021.916666666668</v>
      </c>
      <c r="P1799" s="38">
        <v>24021.916666666668</v>
      </c>
      <c r="Q1799" s="38">
        <v>24021.916666666668</v>
      </c>
      <c r="R1799" s="38">
        <v>24021.916666666668</v>
      </c>
      <c r="S1799" s="38">
        <v>24021.916666666668</v>
      </c>
      <c r="T1799" s="38">
        <v>24021.916666666668</v>
      </c>
      <c r="U1799" s="38">
        <v>24021.916666666668</v>
      </c>
      <c r="V1799" s="38">
        <v>24021.916666666668</v>
      </c>
      <c r="W1799" s="38">
        <v>24021.916666666668</v>
      </c>
      <c r="X1799" s="38">
        <v>24021.916666666668</v>
      </c>
      <c r="Y1799" s="38">
        <v>24021.916666666668</v>
      </c>
      <c r="Z1799" s="38">
        <v>24021.916666666668</v>
      </c>
      <c r="AA1799" s="966">
        <f t="shared" si="320"/>
        <v>288263</v>
      </c>
      <c r="AB1799" s="35"/>
      <c r="AC1799" s="183"/>
    </row>
    <row r="1800" spans="1:29" x14ac:dyDescent="0.2">
      <c r="A1800" s="1422"/>
      <c r="B1800" s="2522"/>
      <c r="C1800" s="2456"/>
      <c r="D1800" s="3369"/>
      <c r="E1800" s="3369"/>
      <c r="F1800" s="3369"/>
      <c r="G1800" s="2420"/>
      <c r="H1800" s="2420"/>
      <c r="I1800" s="2420"/>
      <c r="J1800" s="2515"/>
      <c r="K1800" s="40">
        <v>48057</v>
      </c>
      <c r="L1800" s="2432"/>
      <c r="M1800" s="3287" t="s">
        <v>296</v>
      </c>
      <c r="N1800" s="3288"/>
      <c r="O1800" s="38">
        <v>4004.75</v>
      </c>
      <c r="P1800" s="38">
        <v>4004.75</v>
      </c>
      <c r="Q1800" s="38">
        <v>4004.75</v>
      </c>
      <c r="R1800" s="38">
        <v>4004.75</v>
      </c>
      <c r="S1800" s="38">
        <v>4004.75</v>
      </c>
      <c r="T1800" s="38">
        <v>4004.75</v>
      </c>
      <c r="U1800" s="38">
        <v>4004.75</v>
      </c>
      <c r="V1800" s="38">
        <v>4004.75</v>
      </c>
      <c r="W1800" s="38">
        <v>4004.75</v>
      </c>
      <c r="X1800" s="38">
        <v>4004.75</v>
      </c>
      <c r="Y1800" s="38">
        <v>4004.75</v>
      </c>
      <c r="Z1800" s="38">
        <v>4004.75</v>
      </c>
      <c r="AA1800" s="966">
        <f t="shared" si="320"/>
        <v>48057</v>
      </c>
      <c r="AB1800" s="35"/>
      <c r="AC1800" s="183"/>
    </row>
    <row r="1801" spans="1:29" x14ac:dyDescent="0.2">
      <c r="A1801" s="1422"/>
      <c r="B1801" s="2522"/>
      <c r="C1801" s="2456"/>
      <c r="D1801" s="3369"/>
      <c r="E1801" s="3369"/>
      <c r="F1801" s="3369"/>
      <c r="G1801" s="2420"/>
      <c r="H1801" s="2420"/>
      <c r="I1801" s="2420"/>
      <c r="J1801" s="2515"/>
      <c r="K1801" s="40">
        <v>62856</v>
      </c>
      <c r="L1801" s="2432"/>
      <c r="M1801" s="3287" t="s">
        <v>297</v>
      </c>
      <c r="N1801" s="3288"/>
      <c r="O1801" s="38">
        <v>5238</v>
      </c>
      <c r="P1801" s="38">
        <v>5238</v>
      </c>
      <c r="Q1801" s="38">
        <v>5238</v>
      </c>
      <c r="R1801" s="38">
        <v>5238</v>
      </c>
      <c r="S1801" s="38">
        <v>5238</v>
      </c>
      <c r="T1801" s="38">
        <v>5238</v>
      </c>
      <c r="U1801" s="38">
        <v>5238</v>
      </c>
      <c r="V1801" s="38">
        <v>5238</v>
      </c>
      <c r="W1801" s="38">
        <v>5238</v>
      </c>
      <c r="X1801" s="38">
        <v>5238</v>
      </c>
      <c r="Y1801" s="38">
        <v>5238</v>
      </c>
      <c r="Z1801" s="38">
        <v>5238</v>
      </c>
      <c r="AA1801" s="966">
        <f t="shared" si="320"/>
        <v>62856</v>
      </c>
      <c r="AB1801" s="35"/>
      <c r="AC1801" s="183"/>
    </row>
    <row r="1802" spans="1:29" x14ac:dyDescent="0.2">
      <c r="A1802" s="1422"/>
      <c r="B1802" s="2522"/>
      <c r="C1802" s="2456"/>
      <c r="D1802" s="3369"/>
      <c r="E1802" s="3369"/>
      <c r="F1802" s="3369"/>
      <c r="G1802" s="2420"/>
      <c r="H1802" s="2420"/>
      <c r="I1802" s="2420"/>
      <c r="J1802" s="2515"/>
      <c r="K1802" s="40">
        <v>7800</v>
      </c>
      <c r="L1802" s="2432"/>
      <c r="M1802" s="3287" t="s">
        <v>298</v>
      </c>
      <c r="N1802" s="3288"/>
      <c r="O1802" s="38"/>
      <c r="P1802" s="38"/>
      <c r="Q1802" s="38"/>
      <c r="R1802" s="38"/>
      <c r="S1802" s="38"/>
      <c r="T1802" s="38"/>
      <c r="U1802" s="38">
        <v>3900</v>
      </c>
      <c r="V1802" s="38"/>
      <c r="W1802" s="38"/>
      <c r="X1802" s="38"/>
      <c r="Y1802" s="38"/>
      <c r="Z1802" s="38">
        <v>3900</v>
      </c>
      <c r="AA1802" s="966">
        <f t="shared" si="320"/>
        <v>7800</v>
      </c>
      <c r="AB1802" s="35"/>
      <c r="AC1802" s="183"/>
    </row>
    <row r="1803" spans="1:29" x14ac:dyDescent="0.2">
      <c r="A1803" s="1422"/>
      <c r="B1803" s="2522"/>
      <c r="C1803" s="2456"/>
      <c r="D1803" s="3369"/>
      <c r="E1803" s="3369"/>
      <c r="F1803" s="3369"/>
      <c r="G1803" s="2420"/>
      <c r="H1803" s="2420"/>
      <c r="I1803" s="2420"/>
      <c r="J1803" s="2515"/>
      <c r="K1803" s="40">
        <v>5200</v>
      </c>
      <c r="L1803" s="2432"/>
      <c r="M1803" s="3287" t="s">
        <v>299</v>
      </c>
      <c r="N1803" s="3288"/>
      <c r="O1803" s="38">
        <v>5200</v>
      </c>
      <c r="P1803" s="38"/>
      <c r="Q1803" s="38"/>
      <c r="R1803" s="38"/>
      <c r="S1803" s="38"/>
      <c r="T1803" s="38"/>
      <c r="U1803" s="38"/>
      <c r="V1803" s="38"/>
      <c r="W1803" s="38"/>
      <c r="X1803" s="38"/>
      <c r="Y1803" s="38"/>
      <c r="Z1803" s="38"/>
      <c r="AA1803" s="966">
        <f t="shared" si="320"/>
        <v>5200</v>
      </c>
      <c r="AB1803" s="35"/>
      <c r="AC1803" s="183"/>
    </row>
    <row r="1804" spans="1:29" x14ac:dyDescent="0.2">
      <c r="A1804" s="1422"/>
      <c r="B1804" s="2522"/>
      <c r="C1804" s="2456"/>
      <c r="D1804" s="3369"/>
      <c r="E1804" s="3369"/>
      <c r="F1804" s="3369"/>
      <c r="G1804" s="2420"/>
      <c r="H1804" s="2420"/>
      <c r="I1804" s="2420"/>
      <c r="J1804" s="2515"/>
      <c r="K1804" s="40">
        <v>29220</v>
      </c>
      <c r="L1804" s="2432"/>
      <c r="M1804" s="3287" t="s">
        <v>339</v>
      </c>
      <c r="N1804" s="3288"/>
      <c r="O1804" s="38">
        <v>2435</v>
      </c>
      <c r="P1804" s="38">
        <v>2435</v>
      </c>
      <c r="Q1804" s="38">
        <v>2435</v>
      </c>
      <c r="R1804" s="38">
        <v>2435</v>
      </c>
      <c r="S1804" s="38">
        <v>2435</v>
      </c>
      <c r="T1804" s="38">
        <v>2435</v>
      </c>
      <c r="U1804" s="38">
        <v>2435</v>
      </c>
      <c r="V1804" s="38">
        <v>2435</v>
      </c>
      <c r="W1804" s="38">
        <v>2435</v>
      </c>
      <c r="X1804" s="38">
        <v>2435</v>
      </c>
      <c r="Y1804" s="38">
        <v>2435</v>
      </c>
      <c r="Z1804" s="38">
        <v>2435</v>
      </c>
      <c r="AA1804" s="966">
        <f t="shared" si="320"/>
        <v>29220</v>
      </c>
      <c r="AB1804" s="35"/>
      <c r="AC1804" s="183"/>
    </row>
    <row r="1805" spans="1:29" x14ac:dyDescent="0.2">
      <c r="A1805" s="1422"/>
      <c r="B1805" s="2522"/>
      <c r="C1805" s="2456"/>
      <c r="D1805" s="3369"/>
      <c r="E1805" s="3369"/>
      <c r="F1805" s="3369"/>
      <c r="G1805" s="2420"/>
      <c r="H1805" s="2420"/>
      <c r="I1805" s="2420"/>
      <c r="J1805" s="2515"/>
      <c r="K1805" s="40">
        <v>17141</v>
      </c>
      <c r="L1805" s="2432"/>
      <c r="M1805" s="3287" t="s">
        <v>300</v>
      </c>
      <c r="N1805" s="3288"/>
      <c r="O1805" s="38">
        <v>1428.4166666666667</v>
      </c>
      <c r="P1805" s="38">
        <v>1428.4166666666667</v>
      </c>
      <c r="Q1805" s="38">
        <v>1428.4166666666667</v>
      </c>
      <c r="R1805" s="38">
        <v>1428.4166666666667</v>
      </c>
      <c r="S1805" s="38">
        <v>1428.4166666666667</v>
      </c>
      <c r="T1805" s="38">
        <v>1428.4166666666667</v>
      </c>
      <c r="U1805" s="38">
        <v>1428.4166666666667</v>
      </c>
      <c r="V1805" s="38">
        <v>1428.4166666666667</v>
      </c>
      <c r="W1805" s="38">
        <v>1428.4166666666667</v>
      </c>
      <c r="X1805" s="38">
        <v>1428.4166666666667</v>
      </c>
      <c r="Y1805" s="38">
        <v>1428.4166666666667</v>
      </c>
      <c r="Z1805" s="38">
        <v>1428.4166666666667</v>
      </c>
      <c r="AA1805" s="966">
        <f t="shared" si="320"/>
        <v>17140.999999999996</v>
      </c>
      <c r="AB1805" s="35"/>
      <c r="AC1805" s="183"/>
    </row>
    <row r="1806" spans="1:29" x14ac:dyDescent="0.2">
      <c r="A1806" s="1422"/>
      <c r="B1806" s="2522"/>
      <c r="C1806" s="2456"/>
      <c r="D1806" s="3369"/>
      <c r="E1806" s="3369"/>
      <c r="F1806" s="3369"/>
      <c r="G1806" s="2420"/>
      <c r="H1806" s="2420"/>
      <c r="I1806" s="2420"/>
      <c r="J1806" s="2515"/>
      <c r="K1806" s="40">
        <v>322</v>
      </c>
      <c r="L1806" s="2432"/>
      <c r="M1806" s="3287" t="s">
        <v>301</v>
      </c>
      <c r="N1806" s="3288"/>
      <c r="O1806" s="38">
        <v>26.833333333333332</v>
      </c>
      <c r="P1806" s="38">
        <v>26.833333333333332</v>
      </c>
      <c r="Q1806" s="38">
        <v>26.833333333333332</v>
      </c>
      <c r="R1806" s="38">
        <v>26.833333333333332</v>
      </c>
      <c r="S1806" s="38">
        <v>26.833333333333332</v>
      </c>
      <c r="T1806" s="38">
        <v>26.833333333333332</v>
      </c>
      <c r="U1806" s="38">
        <v>26.833333333333332</v>
      </c>
      <c r="V1806" s="38">
        <v>26.833333333333332</v>
      </c>
      <c r="W1806" s="38">
        <v>26.833333333333332</v>
      </c>
      <c r="X1806" s="38">
        <v>26.833333333333332</v>
      </c>
      <c r="Y1806" s="38">
        <v>26.833333333333332</v>
      </c>
      <c r="Z1806" s="38">
        <v>26.833333333333332</v>
      </c>
      <c r="AA1806" s="966">
        <f t="shared" si="320"/>
        <v>322</v>
      </c>
      <c r="AB1806" s="35"/>
      <c r="AC1806" s="183"/>
    </row>
    <row r="1807" spans="1:29" x14ac:dyDescent="0.2">
      <c r="A1807" s="1422"/>
      <c r="B1807" s="2522"/>
      <c r="C1807" s="2456"/>
      <c r="D1807" s="3369"/>
      <c r="E1807" s="3369"/>
      <c r="F1807" s="3369"/>
      <c r="G1807" s="2420"/>
      <c r="H1807" s="2420"/>
      <c r="I1807" s="2420"/>
      <c r="J1807" s="2515"/>
      <c r="K1807" s="40">
        <v>800</v>
      </c>
      <c r="L1807" s="2432"/>
      <c r="M1807" s="3287" t="s">
        <v>380</v>
      </c>
      <c r="N1807" s="3288"/>
      <c r="O1807" s="38">
        <v>800</v>
      </c>
      <c r="P1807" s="38"/>
      <c r="Q1807" s="38"/>
      <c r="R1807" s="38"/>
      <c r="S1807" s="38"/>
      <c r="T1807" s="38"/>
      <c r="U1807" s="38"/>
      <c r="V1807" s="38"/>
      <c r="W1807" s="38"/>
      <c r="X1807" s="38"/>
      <c r="Y1807" s="38"/>
      <c r="Z1807" s="38"/>
      <c r="AA1807" s="966">
        <f t="shared" si="320"/>
        <v>800</v>
      </c>
      <c r="AB1807" s="35"/>
      <c r="AC1807" s="183"/>
    </row>
    <row r="1808" spans="1:29" x14ac:dyDescent="0.2">
      <c r="A1808" s="1422"/>
      <c r="B1808" s="2522"/>
      <c r="C1808" s="2456"/>
      <c r="D1808" s="3369"/>
      <c r="E1808" s="3369"/>
      <c r="F1808" s="3369"/>
      <c r="G1808" s="2420"/>
      <c r="H1808" s="2420"/>
      <c r="I1808" s="2420"/>
      <c r="J1808" s="2515"/>
      <c r="K1808" s="40">
        <v>800</v>
      </c>
      <c r="L1808" s="2432"/>
      <c r="M1808" s="3287" t="s">
        <v>303</v>
      </c>
      <c r="N1808" s="3288"/>
      <c r="O1808" s="38"/>
      <c r="P1808" s="38"/>
      <c r="Q1808" s="38">
        <v>800</v>
      </c>
      <c r="R1808" s="38"/>
      <c r="S1808" s="38"/>
      <c r="T1808" s="38"/>
      <c r="U1808" s="38"/>
      <c r="V1808" s="38"/>
      <c r="W1808" s="38"/>
      <c r="X1808" s="38"/>
      <c r="Y1808" s="38"/>
      <c r="Z1808" s="38"/>
      <c r="AA1808" s="966">
        <f t="shared" si="320"/>
        <v>800</v>
      </c>
      <c r="AB1808" s="35"/>
      <c r="AC1808" s="183"/>
    </row>
    <row r="1809" spans="1:29" x14ac:dyDescent="0.2">
      <c r="A1809" s="1422"/>
      <c r="B1809" s="2522"/>
      <c r="C1809" s="2456"/>
      <c r="D1809" s="3369"/>
      <c r="E1809" s="3369"/>
      <c r="F1809" s="3369"/>
      <c r="G1809" s="2420"/>
      <c r="H1809" s="2420"/>
      <c r="I1809" s="2420"/>
      <c r="J1809" s="2515"/>
      <c r="K1809" s="40">
        <v>3500</v>
      </c>
      <c r="L1809" s="2432"/>
      <c r="M1809" s="3287" t="s">
        <v>307</v>
      </c>
      <c r="N1809" s="3288"/>
      <c r="O1809" s="38"/>
      <c r="P1809" s="38">
        <v>318.18181818181819</v>
      </c>
      <c r="Q1809" s="38">
        <v>318.18181818181819</v>
      </c>
      <c r="R1809" s="38">
        <v>318.18181818181819</v>
      </c>
      <c r="S1809" s="38">
        <v>318.18181818181819</v>
      </c>
      <c r="T1809" s="38">
        <v>318.18181818181819</v>
      </c>
      <c r="U1809" s="38">
        <v>318.18181818181819</v>
      </c>
      <c r="V1809" s="38">
        <v>318.18181818181819</v>
      </c>
      <c r="W1809" s="38">
        <v>318.18181818181819</v>
      </c>
      <c r="X1809" s="38">
        <v>318.18181818181819</v>
      </c>
      <c r="Y1809" s="38">
        <v>318.18181818181819</v>
      </c>
      <c r="Z1809" s="38">
        <v>318.18181818181819</v>
      </c>
      <c r="AA1809" s="966">
        <f t="shared" si="320"/>
        <v>3499.9999999999995</v>
      </c>
      <c r="AB1809" s="35"/>
      <c r="AC1809" s="183"/>
    </row>
    <row r="1810" spans="1:29" x14ac:dyDescent="0.2">
      <c r="A1810" s="1422"/>
      <c r="B1810" s="2522"/>
      <c r="C1810" s="2450"/>
      <c r="D1810" s="3369"/>
      <c r="E1810" s="3369"/>
      <c r="F1810" s="3369"/>
      <c r="G1810" s="2420"/>
      <c r="H1810" s="2420"/>
      <c r="I1810" s="2420"/>
      <c r="J1810" s="2516"/>
      <c r="K1810" s="40">
        <v>4000</v>
      </c>
      <c r="L1810" s="2432"/>
      <c r="M1810" s="3287" t="s">
        <v>309</v>
      </c>
      <c r="N1810" s="3288"/>
      <c r="O1810" s="38"/>
      <c r="P1810" s="38"/>
      <c r="Q1810" s="38"/>
      <c r="R1810" s="38">
        <v>800</v>
      </c>
      <c r="S1810" s="38"/>
      <c r="T1810" s="38">
        <v>800</v>
      </c>
      <c r="U1810" s="38"/>
      <c r="V1810" s="38">
        <v>800</v>
      </c>
      <c r="W1810" s="38"/>
      <c r="X1810" s="38">
        <v>800</v>
      </c>
      <c r="Y1810" s="38"/>
      <c r="Z1810" s="38">
        <v>800</v>
      </c>
      <c r="AA1810" s="966">
        <f t="shared" si="320"/>
        <v>4000</v>
      </c>
      <c r="AB1810" s="35"/>
      <c r="AC1810" s="183"/>
    </row>
    <row r="1811" spans="1:29" x14ac:dyDescent="0.2">
      <c r="A1811" s="1422"/>
      <c r="B1811" s="1427" t="s">
        <v>312</v>
      </c>
      <c r="C1811" s="1128"/>
      <c r="D1811" s="38"/>
      <c r="E1811" s="38"/>
      <c r="F1811" s="38"/>
      <c r="G1811" s="38"/>
      <c r="H1811" s="38"/>
      <c r="I1811" s="38"/>
      <c r="J1811" s="104"/>
      <c r="K1811" s="40">
        <f>SUM(K1798:K1810)</f>
        <v>494827</v>
      </c>
      <c r="L1811" s="2437"/>
      <c r="M1811" s="1128"/>
      <c r="N1811" s="1128"/>
      <c r="O1811" s="38">
        <f>SUM(O1798:O1810)</f>
        <v>45393.916666666672</v>
      </c>
      <c r="P1811" s="38">
        <f t="shared" ref="P1811:Z1811" si="321">SUM(P1798:P1810)</f>
        <v>39712.098484848488</v>
      </c>
      <c r="Q1811" s="38">
        <f t="shared" si="321"/>
        <v>40512.098484848488</v>
      </c>
      <c r="R1811" s="38">
        <f t="shared" si="321"/>
        <v>40512.098484848488</v>
      </c>
      <c r="S1811" s="38">
        <f t="shared" si="321"/>
        <v>39712.098484848488</v>
      </c>
      <c r="T1811" s="38">
        <f t="shared" si="321"/>
        <v>40512.098484848488</v>
      </c>
      <c r="U1811" s="38">
        <f t="shared" si="321"/>
        <v>43612.098484848488</v>
      </c>
      <c r="V1811" s="38">
        <f t="shared" si="321"/>
        <v>40512.098484848488</v>
      </c>
      <c r="W1811" s="38">
        <f t="shared" si="321"/>
        <v>39712.098484848488</v>
      </c>
      <c r="X1811" s="38">
        <f t="shared" si="321"/>
        <v>40512.098484848488</v>
      </c>
      <c r="Y1811" s="38">
        <f t="shared" si="321"/>
        <v>39712.098484848488</v>
      </c>
      <c r="Z1811" s="38">
        <f t="shared" si="321"/>
        <v>44412.098484848488</v>
      </c>
      <c r="AA1811" s="183"/>
      <c r="AB1811" s="35"/>
      <c r="AC1811" s="183"/>
    </row>
    <row r="1812" spans="1:29" x14ac:dyDescent="0.2">
      <c r="A1812" s="1422"/>
      <c r="B1812" s="1422"/>
      <c r="C1812" s="1124"/>
      <c r="D1812" s="35"/>
      <c r="E1812" s="35"/>
      <c r="F1812" s="35"/>
      <c r="G1812" s="35"/>
      <c r="H1812" s="35"/>
      <c r="I1812" s="35"/>
      <c r="J1812" s="105"/>
      <c r="K1812" s="35"/>
      <c r="L1812" s="35"/>
      <c r="M1812" s="1124"/>
      <c r="N1812" s="1124"/>
      <c r="O1812" s="35"/>
      <c r="P1812" s="35"/>
      <c r="Q1812" s="35"/>
      <c r="R1812" s="35"/>
      <c r="S1812" s="35"/>
      <c r="T1812" s="35"/>
      <c r="U1812" s="35"/>
      <c r="V1812" s="35"/>
      <c r="W1812" s="35"/>
      <c r="X1812" s="35"/>
      <c r="Y1812" s="35"/>
      <c r="Z1812" s="35"/>
      <c r="AA1812" s="197"/>
      <c r="AB1812" s="35"/>
      <c r="AC1812" s="183"/>
    </row>
    <row r="1813" spans="1:29" x14ac:dyDescent="0.2">
      <c r="A1813" s="1422"/>
      <c r="B1813" s="1422"/>
      <c r="C1813" s="1124"/>
      <c r="D1813" s="35"/>
      <c r="E1813" s="35"/>
      <c r="F1813" s="35"/>
      <c r="G1813" s="35"/>
      <c r="H1813" s="35"/>
      <c r="I1813" s="35"/>
      <c r="J1813" s="105"/>
      <c r="K1813" s="35"/>
      <c r="L1813" s="35"/>
      <c r="M1813" s="1124"/>
      <c r="N1813" s="1124"/>
      <c r="O1813" s="35"/>
      <c r="P1813" s="35"/>
      <c r="Q1813" s="35"/>
      <c r="R1813" s="35"/>
      <c r="S1813" s="35"/>
      <c r="T1813" s="35"/>
      <c r="U1813" s="35"/>
      <c r="V1813" s="35"/>
      <c r="W1813" s="35"/>
      <c r="X1813" s="35"/>
      <c r="Y1813" s="35"/>
      <c r="Z1813" s="35"/>
      <c r="AA1813" s="197"/>
      <c r="AB1813" s="35"/>
      <c r="AC1813" s="183"/>
    </row>
    <row r="1814" spans="1:29" ht="22.5" x14ac:dyDescent="0.2">
      <c r="A1814" s="1422"/>
      <c r="B1814" s="1433" t="s">
        <v>276</v>
      </c>
      <c r="C1814" s="1119"/>
      <c r="D1814" s="102">
        <v>3043979</v>
      </c>
      <c r="E1814" s="192" t="s">
        <v>656</v>
      </c>
      <c r="F1814" s="35"/>
      <c r="G1814" s="35"/>
      <c r="H1814" s="35"/>
      <c r="I1814" s="35"/>
      <c r="J1814" s="105"/>
      <c r="K1814" s="35"/>
      <c r="L1814" s="35"/>
      <c r="M1814" s="1124"/>
      <c r="N1814" s="1124"/>
      <c r="O1814" s="35"/>
      <c r="P1814" s="35"/>
      <c r="Q1814" s="35"/>
      <c r="R1814" s="35"/>
      <c r="S1814" s="35"/>
      <c r="T1814" s="2922" t="s">
        <v>15</v>
      </c>
      <c r="U1814" s="2922"/>
      <c r="V1814" s="2922"/>
      <c r="W1814" s="2922"/>
      <c r="X1814" s="2922"/>
      <c r="Y1814" s="2922"/>
      <c r="Z1814" s="2922"/>
      <c r="AA1814" s="1010" t="s">
        <v>16</v>
      </c>
      <c r="AB1814" s="35"/>
      <c r="AC1814" s="183"/>
    </row>
    <row r="1815" spans="1:29" ht="27" customHeight="1" x14ac:dyDescent="0.2">
      <c r="A1815" s="1422"/>
      <c r="B1815" s="1433"/>
      <c r="C1815" s="1119"/>
      <c r="D1815" s="102"/>
      <c r="E1815" s="192"/>
      <c r="F1815" s="35"/>
      <c r="G1815" s="35"/>
      <c r="H1815" s="35"/>
      <c r="I1815" s="35"/>
      <c r="J1815" s="105"/>
      <c r="K1815" s="35"/>
      <c r="L1815" s="35"/>
      <c r="M1815" s="1124"/>
      <c r="N1815" s="1124"/>
      <c r="O1815" s="35"/>
      <c r="P1815" s="35"/>
      <c r="Q1815" s="35"/>
      <c r="R1815" s="35"/>
      <c r="S1815" s="35"/>
      <c r="T1815" s="3277" t="s">
        <v>3725</v>
      </c>
      <c r="U1815" s="3278"/>
      <c r="V1815" s="3278"/>
      <c r="W1815" s="3278"/>
      <c r="X1815" s="3278"/>
      <c r="Y1815" s="3278"/>
      <c r="Z1815" s="3279"/>
      <c r="AA1815" s="1010" t="s">
        <v>657</v>
      </c>
      <c r="AB1815" s="35"/>
      <c r="AC1815" s="183"/>
    </row>
    <row r="1816" spans="1:29" x14ac:dyDescent="0.2">
      <c r="A1816" s="1422"/>
      <c r="B1816" s="2999" t="s">
        <v>278</v>
      </c>
      <c r="C1816" s="2999" t="s">
        <v>21</v>
      </c>
      <c r="D1816" s="2847" t="s">
        <v>22</v>
      </c>
      <c r="E1816" s="2847" t="s">
        <v>23</v>
      </c>
      <c r="F1816" s="2847" t="s">
        <v>24</v>
      </c>
      <c r="G1816" s="2847" t="s">
        <v>25</v>
      </c>
      <c r="H1816" s="2847" t="s">
        <v>26</v>
      </c>
      <c r="I1816" s="2847" t="s">
        <v>27</v>
      </c>
      <c r="J1816" s="3206" t="s">
        <v>28</v>
      </c>
      <c r="K1816" s="3301"/>
      <c r="L1816" s="2988" t="s">
        <v>279</v>
      </c>
      <c r="M1816" s="2986" t="s">
        <v>280</v>
      </c>
      <c r="N1816" s="2987"/>
      <c r="O1816" s="2847" t="s">
        <v>281</v>
      </c>
      <c r="P1816" s="2847"/>
      <c r="Q1816" s="2847"/>
      <c r="R1816" s="2847"/>
      <c r="S1816" s="2847"/>
      <c r="T1816" s="2847"/>
      <c r="U1816" s="2847"/>
      <c r="V1816" s="2847"/>
      <c r="W1816" s="2847"/>
      <c r="X1816" s="2847"/>
      <c r="Y1816" s="2847"/>
      <c r="Z1816" s="2847"/>
      <c r="AA1816" s="2847" t="s">
        <v>32</v>
      </c>
      <c r="AB1816" s="35"/>
      <c r="AC1816" s="183"/>
    </row>
    <row r="1817" spans="1:29" x14ac:dyDescent="0.2">
      <c r="A1817" s="1422"/>
      <c r="B1817" s="2999"/>
      <c r="C1817" s="2999"/>
      <c r="D1817" s="2847"/>
      <c r="E1817" s="2847"/>
      <c r="F1817" s="2847"/>
      <c r="G1817" s="2847"/>
      <c r="H1817" s="2847"/>
      <c r="I1817" s="2847"/>
      <c r="J1817" s="1007" t="s">
        <v>33</v>
      </c>
      <c r="K1817" s="2988" t="s">
        <v>282</v>
      </c>
      <c r="L1817" s="3186"/>
      <c r="M1817" s="3000"/>
      <c r="N1817" s="3001"/>
      <c r="O1817" s="1009" t="s">
        <v>283</v>
      </c>
      <c r="P1817" s="1009" t="s">
        <v>284</v>
      </c>
      <c r="Q1817" s="1009" t="s">
        <v>285</v>
      </c>
      <c r="R1817" s="1009" t="s">
        <v>88</v>
      </c>
      <c r="S1817" s="1009" t="s">
        <v>89</v>
      </c>
      <c r="T1817" s="1009" t="s">
        <v>90</v>
      </c>
      <c r="U1817" s="1009" t="s">
        <v>91</v>
      </c>
      <c r="V1817" s="1009" t="s">
        <v>92</v>
      </c>
      <c r="W1817" s="1009" t="s">
        <v>286</v>
      </c>
      <c r="X1817" s="1009" t="s">
        <v>93</v>
      </c>
      <c r="Y1817" s="1009" t="s">
        <v>94</v>
      </c>
      <c r="Z1817" s="1009" t="s">
        <v>95</v>
      </c>
      <c r="AA1817" s="2847"/>
      <c r="AB1817" s="35"/>
      <c r="AC1817" s="183"/>
    </row>
    <row r="1818" spans="1:29" ht="12.75" x14ac:dyDescent="0.2">
      <c r="A1818" s="1422"/>
      <c r="B1818" s="2999"/>
      <c r="C1818" s="2999"/>
      <c r="D1818" s="2847"/>
      <c r="E1818" s="2847"/>
      <c r="F1818" s="2847"/>
      <c r="G1818" s="2847"/>
      <c r="H1818" s="2847"/>
      <c r="I1818" s="2847"/>
      <c r="J1818" s="106"/>
      <c r="K1818" s="3186"/>
      <c r="L1818" s="3186"/>
      <c r="M1818" s="3271" t="s">
        <v>287</v>
      </c>
      <c r="N1818" s="3272"/>
      <c r="O1818" s="40"/>
      <c r="P1818" s="40">
        <v>6</v>
      </c>
      <c r="Q1818" s="40">
        <v>7</v>
      </c>
      <c r="R1818" s="40">
        <v>7</v>
      </c>
      <c r="S1818" s="40">
        <v>7</v>
      </c>
      <c r="T1818" s="40">
        <v>6</v>
      </c>
      <c r="U1818" s="40">
        <v>6</v>
      </c>
      <c r="V1818" s="40">
        <v>6</v>
      </c>
      <c r="W1818" s="40">
        <v>6</v>
      </c>
      <c r="X1818" s="40">
        <v>6</v>
      </c>
      <c r="Y1818" s="40">
        <v>6</v>
      </c>
      <c r="Z1818" s="40">
        <v>6</v>
      </c>
      <c r="AA1818" s="1205">
        <f>SUM(O1818:Z1818)</f>
        <v>69</v>
      </c>
      <c r="AB1818" s="35"/>
      <c r="AC1818" s="183"/>
    </row>
    <row r="1819" spans="1:29" ht="12.75" x14ac:dyDescent="0.2">
      <c r="A1819" s="1422"/>
      <c r="B1819" s="2999"/>
      <c r="C1819" s="2999"/>
      <c r="D1819" s="2847"/>
      <c r="E1819" s="2847"/>
      <c r="F1819" s="2847"/>
      <c r="G1819" s="2847"/>
      <c r="H1819" s="2847"/>
      <c r="I1819" s="2847"/>
      <c r="J1819" s="1008"/>
      <c r="K1819" s="2989"/>
      <c r="L1819" s="2989"/>
      <c r="M1819" s="3271" t="s">
        <v>34</v>
      </c>
      <c r="N1819" s="3272"/>
      <c r="O1819" s="40">
        <f>SUM(O1820:O1836)</f>
        <v>69124.583333333343</v>
      </c>
      <c r="P1819" s="40">
        <f t="shared" ref="P1819:Z1819" si="322">SUM(P1820:P1836)</f>
        <v>56170.03787878788</v>
      </c>
      <c r="Q1819" s="40">
        <f t="shared" si="322"/>
        <v>59270.03787878788</v>
      </c>
      <c r="R1819" s="40">
        <f t="shared" si="322"/>
        <v>54770.03787878788</v>
      </c>
      <c r="S1819" s="40">
        <f t="shared" si="322"/>
        <v>54770.03787878788</v>
      </c>
      <c r="T1819" s="40">
        <f t="shared" si="322"/>
        <v>54770.03787878788</v>
      </c>
      <c r="U1819" s="40">
        <f t="shared" si="322"/>
        <v>62820.03787878788</v>
      </c>
      <c r="V1819" s="40">
        <f t="shared" si="322"/>
        <v>54770.03787878788</v>
      </c>
      <c r="W1819" s="40">
        <f t="shared" si="322"/>
        <v>54770.03787878788</v>
      </c>
      <c r="X1819" s="40">
        <f t="shared" si="322"/>
        <v>54770.03787878788</v>
      </c>
      <c r="Y1819" s="40">
        <f t="shared" si="322"/>
        <v>54770.03787878788</v>
      </c>
      <c r="Z1819" s="40">
        <f t="shared" si="322"/>
        <v>62820.03787878788</v>
      </c>
      <c r="AA1819" s="1205">
        <f t="shared" ref="AA1819:AA1836" si="323">SUM(O1819:Z1819)</f>
        <v>693595</v>
      </c>
      <c r="AB1819" s="35"/>
      <c r="AC1819" s="183"/>
    </row>
    <row r="1820" spans="1:29" x14ac:dyDescent="0.2">
      <c r="A1820" s="1422"/>
      <c r="B1820" s="2522">
        <v>5000089</v>
      </c>
      <c r="C1820" s="2438" t="s">
        <v>658</v>
      </c>
      <c r="D1820" s="3369">
        <v>62</v>
      </c>
      <c r="E1820" s="3369" t="s">
        <v>407</v>
      </c>
      <c r="F1820" s="3369" t="s">
        <v>313</v>
      </c>
      <c r="G1820" s="2420" t="s">
        <v>329</v>
      </c>
      <c r="H1820" s="2420"/>
      <c r="I1820" s="3369" t="s">
        <v>363</v>
      </c>
      <c r="J1820" s="2514">
        <v>69</v>
      </c>
      <c r="K1820" s="40">
        <v>110388</v>
      </c>
      <c r="L1820" s="2421" t="s">
        <v>644</v>
      </c>
      <c r="M1820" s="3287" t="s">
        <v>293</v>
      </c>
      <c r="N1820" s="3288"/>
      <c r="O1820" s="40">
        <v>9199</v>
      </c>
      <c r="P1820" s="40">
        <v>9199</v>
      </c>
      <c r="Q1820" s="40">
        <v>9199</v>
      </c>
      <c r="R1820" s="40">
        <v>9199</v>
      </c>
      <c r="S1820" s="40">
        <v>9199</v>
      </c>
      <c r="T1820" s="40">
        <v>9199</v>
      </c>
      <c r="U1820" s="40">
        <v>9199</v>
      </c>
      <c r="V1820" s="40">
        <v>9199</v>
      </c>
      <c r="W1820" s="40">
        <v>9199</v>
      </c>
      <c r="X1820" s="40">
        <v>9199</v>
      </c>
      <c r="Y1820" s="40">
        <v>9199</v>
      </c>
      <c r="Z1820" s="40">
        <v>9199</v>
      </c>
      <c r="AA1820" s="966">
        <f t="shared" si="323"/>
        <v>110388</v>
      </c>
      <c r="AB1820" s="35"/>
      <c r="AC1820" s="183"/>
    </row>
    <row r="1821" spans="1:29" x14ac:dyDescent="0.2">
      <c r="A1821" s="1422"/>
      <c r="B1821" s="2522"/>
      <c r="C1821" s="2456"/>
      <c r="D1821" s="3369"/>
      <c r="E1821" s="3369"/>
      <c r="F1821" s="3369"/>
      <c r="G1821" s="2420"/>
      <c r="H1821" s="2420"/>
      <c r="I1821" s="3369"/>
      <c r="J1821" s="2515"/>
      <c r="K1821" s="40">
        <v>291300</v>
      </c>
      <c r="L1821" s="2421"/>
      <c r="M1821" s="3287" t="s">
        <v>295</v>
      </c>
      <c r="N1821" s="3288"/>
      <c r="O1821" s="40">
        <v>24275</v>
      </c>
      <c r="P1821" s="40">
        <v>24275</v>
      </c>
      <c r="Q1821" s="40">
        <v>24275</v>
      </c>
      <c r="R1821" s="40">
        <v>24275</v>
      </c>
      <c r="S1821" s="40">
        <v>24275</v>
      </c>
      <c r="T1821" s="40">
        <v>24275</v>
      </c>
      <c r="U1821" s="40">
        <v>24275</v>
      </c>
      <c r="V1821" s="40">
        <v>24275</v>
      </c>
      <c r="W1821" s="40">
        <v>24275</v>
      </c>
      <c r="X1821" s="40">
        <v>24275</v>
      </c>
      <c r="Y1821" s="40">
        <v>24275</v>
      </c>
      <c r="Z1821" s="40">
        <v>24275</v>
      </c>
      <c r="AA1821" s="966">
        <f t="shared" si="323"/>
        <v>291300</v>
      </c>
      <c r="AB1821" s="35"/>
      <c r="AC1821" s="183"/>
    </row>
    <row r="1822" spans="1:29" x14ac:dyDescent="0.2">
      <c r="A1822" s="1422"/>
      <c r="B1822" s="2522"/>
      <c r="C1822" s="2456"/>
      <c r="D1822" s="3369"/>
      <c r="E1822" s="3369"/>
      <c r="F1822" s="3369"/>
      <c r="G1822" s="2420"/>
      <c r="H1822" s="2420"/>
      <c r="I1822" s="3369"/>
      <c r="J1822" s="2515"/>
      <c r="K1822" s="40">
        <v>117535</v>
      </c>
      <c r="L1822" s="2421"/>
      <c r="M1822" s="3287" t="s">
        <v>296</v>
      </c>
      <c r="N1822" s="3288"/>
      <c r="O1822" s="40">
        <v>9794.5833333333339</v>
      </c>
      <c r="P1822" s="40">
        <v>9794.5833333333339</v>
      </c>
      <c r="Q1822" s="40">
        <v>9794.5833333333339</v>
      </c>
      <c r="R1822" s="40">
        <v>9794.5833333333339</v>
      </c>
      <c r="S1822" s="40">
        <v>9794.5833333333339</v>
      </c>
      <c r="T1822" s="40">
        <v>9794.5833333333339</v>
      </c>
      <c r="U1822" s="40">
        <v>9794.5833333333339</v>
      </c>
      <c r="V1822" s="40">
        <v>9794.5833333333339</v>
      </c>
      <c r="W1822" s="40">
        <v>9794.5833333333339</v>
      </c>
      <c r="X1822" s="40">
        <v>9794.5833333333339</v>
      </c>
      <c r="Y1822" s="40">
        <v>9794.5833333333339</v>
      </c>
      <c r="Z1822" s="40">
        <v>9794.5833333333339</v>
      </c>
      <c r="AA1822" s="966">
        <f t="shared" si="323"/>
        <v>117534.99999999999</v>
      </c>
      <c r="AB1822" s="35"/>
      <c r="AC1822" s="183"/>
    </row>
    <row r="1823" spans="1:29" x14ac:dyDescent="0.2">
      <c r="A1823" s="1422"/>
      <c r="B1823" s="2522"/>
      <c r="C1823" s="2456"/>
      <c r="D1823" s="3369"/>
      <c r="E1823" s="3369"/>
      <c r="F1823" s="3369"/>
      <c r="G1823" s="2420"/>
      <c r="H1823" s="2420"/>
      <c r="I1823" s="3369"/>
      <c r="J1823" s="2515"/>
      <c r="K1823" s="40">
        <v>31080</v>
      </c>
      <c r="L1823" s="2421"/>
      <c r="M1823" s="3287" t="s">
        <v>297</v>
      </c>
      <c r="N1823" s="3288"/>
      <c r="O1823" s="40">
        <v>2590</v>
      </c>
      <c r="P1823" s="40">
        <v>2590</v>
      </c>
      <c r="Q1823" s="40">
        <v>2590</v>
      </c>
      <c r="R1823" s="40">
        <v>2590</v>
      </c>
      <c r="S1823" s="40">
        <v>2590</v>
      </c>
      <c r="T1823" s="40">
        <v>2590</v>
      </c>
      <c r="U1823" s="40">
        <v>2590</v>
      </c>
      <c r="V1823" s="40">
        <v>2590</v>
      </c>
      <c r="W1823" s="40">
        <v>2590</v>
      </c>
      <c r="X1823" s="40">
        <v>2590</v>
      </c>
      <c r="Y1823" s="40">
        <v>2590</v>
      </c>
      <c r="Z1823" s="40">
        <v>2590</v>
      </c>
      <c r="AA1823" s="966">
        <f t="shared" si="323"/>
        <v>31080</v>
      </c>
      <c r="AB1823" s="35"/>
      <c r="AC1823" s="183"/>
    </row>
    <row r="1824" spans="1:29" x14ac:dyDescent="0.2">
      <c r="A1824" s="1422"/>
      <c r="B1824" s="2522"/>
      <c r="C1824" s="2456"/>
      <c r="D1824" s="3369"/>
      <c r="E1824" s="3369"/>
      <c r="F1824" s="3369"/>
      <c r="G1824" s="2420"/>
      <c r="H1824" s="2420"/>
      <c r="I1824" s="3369"/>
      <c r="J1824" s="2515"/>
      <c r="K1824" s="40">
        <v>16100</v>
      </c>
      <c r="L1824" s="2421"/>
      <c r="M1824" s="3287" t="s">
        <v>298</v>
      </c>
      <c r="N1824" s="3288"/>
      <c r="O1824" s="40"/>
      <c r="P1824" s="40"/>
      <c r="Q1824" s="40"/>
      <c r="R1824" s="40"/>
      <c r="S1824" s="40"/>
      <c r="T1824" s="40"/>
      <c r="U1824" s="40">
        <v>8050</v>
      </c>
      <c r="V1824" s="40"/>
      <c r="W1824" s="40"/>
      <c r="X1824" s="40"/>
      <c r="Y1824" s="40"/>
      <c r="Z1824" s="40">
        <v>8050</v>
      </c>
      <c r="AA1824" s="966">
        <f t="shared" si="323"/>
        <v>16100</v>
      </c>
      <c r="AB1824" s="35"/>
      <c r="AC1824" s="183"/>
    </row>
    <row r="1825" spans="1:29" x14ac:dyDescent="0.2">
      <c r="A1825" s="1422"/>
      <c r="B1825" s="2522"/>
      <c r="C1825" s="2456"/>
      <c r="D1825" s="3369"/>
      <c r="E1825" s="3369"/>
      <c r="F1825" s="3369"/>
      <c r="G1825" s="2420"/>
      <c r="H1825" s="2420"/>
      <c r="I1825" s="3369"/>
      <c r="J1825" s="2515"/>
      <c r="K1825" s="40">
        <v>13900</v>
      </c>
      <c r="L1825" s="2421"/>
      <c r="M1825" s="3287" t="s">
        <v>299</v>
      </c>
      <c r="N1825" s="3288"/>
      <c r="O1825" s="40">
        <v>13900</v>
      </c>
      <c r="P1825" s="40"/>
      <c r="Q1825" s="40"/>
      <c r="R1825" s="40"/>
      <c r="S1825" s="40"/>
      <c r="T1825" s="40"/>
      <c r="U1825" s="40"/>
      <c r="V1825" s="40"/>
      <c r="W1825" s="40"/>
      <c r="X1825" s="40"/>
      <c r="Y1825" s="40"/>
      <c r="Z1825" s="40"/>
      <c r="AA1825" s="966">
        <f t="shared" si="323"/>
        <v>13900</v>
      </c>
      <c r="AB1825" s="35"/>
      <c r="AC1825" s="183"/>
    </row>
    <row r="1826" spans="1:29" x14ac:dyDescent="0.2">
      <c r="A1826" s="1422"/>
      <c r="B1826" s="2522"/>
      <c r="C1826" s="2456"/>
      <c r="D1826" s="3369"/>
      <c r="E1826" s="3369"/>
      <c r="F1826" s="3369"/>
      <c r="G1826" s="2420"/>
      <c r="H1826" s="2420"/>
      <c r="I1826" s="3369"/>
      <c r="J1826" s="2515"/>
      <c r="K1826" s="40">
        <v>30319</v>
      </c>
      <c r="L1826" s="2421"/>
      <c r="M1826" s="3287" t="s">
        <v>300</v>
      </c>
      <c r="N1826" s="3288"/>
      <c r="O1826" s="40">
        <v>2526.5833333333335</v>
      </c>
      <c r="P1826" s="40">
        <v>2526.5833333333335</v>
      </c>
      <c r="Q1826" s="40">
        <v>2526.5833333333335</v>
      </c>
      <c r="R1826" s="40">
        <v>2526.5833333333335</v>
      </c>
      <c r="S1826" s="40">
        <v>2526.5833333333335</v>
      </c>
      <c r="T1826" s="40">
        <v>2526.5833333333335</v>
      </c>
      <c r="U1826" s="40">
        <v>2526.5833333333335</v>
      </c>
      <c r="V1826" s="40">
        <v>2526.5833333333335</v>
      </c>
      <c r="W1826" s="40">
        <v>2526.5833333333335</v>
      </c>
      <c r="X1826" s="40">
        <v>2526.5833333333335</v>
      </c>
      <c r="Y1826" s="40">
        <v>2526.5833333333335</v>
      </c>
      <c r="Z1826" s="40">
        <v>2526.5833333333335</v>
      </c>
      <c r="AA1826" s="966">
        <f t="shared" si="323"/>
        <v>30318.999999999996</v>
      </c>
      <c r="AB1826" s="35"/>
      <c r="AC1826" s="183"/>
    </row>
    <row r="1827" spans="1:29" x14ac:dyDescent="0.2">
      <c r="A1827" s="1422"/>
      <c r="B1827" s="2522"/>
      <c r="C1827" s="2456"/>
      <c r="D1827" s="3369"/>
      <c r="E1827" s="3369"/>
      <c r="F1827" s="3369"/>
      <c r="G1827" s="2420"/>
      <c r="H1827" s="2420"/>
      <c r="I1827" s="3369"/>
      <c r="J1827" s="2515"/>
      <c r="K1827" s="40">
        <v>482</v>
      </c>
      <c r="L1827" s="2421"/>
      <c r="M1827" s="3287" t="s">
        <v>301</v>
      </c>
      <c r="N1827" s="3288"/>
      <c r="O1827" s="40">
        <v>40.166666666666664</v>
      </c>
      <c r="P1827" s="40">
        <v>40.166666666666664</v>
      </c>
      <c r="Q1827" s="40">
        <v>40.166666666666664</v>
      </c>
      <c r="R1827" s="40">
        <v>40.166666666666664</v>
      </c>
      <c r="S1827" s="40">
        <v>40.166666666666664</v>
      </c>
      <c r="T1827" s="40">
        <v>40.166666666666664</v>
      </c>
      <c r="U1827" s="40">
        <v>40.166666666666664</v>
      </c>
      <c r="V1827" s="40">
        <v>40.166666666666664</v>
      </c>
      <c r="W1827" s="40">
        <v>40.166666666666664</v>
      </c>
      <c r="X1827" s="40">
        <v>40.166666666666664</v>
      </c>
      <c r="Y1827" s="40">
        <v>40.166666666666664</v>
      </c>
      <c r="Z1827" s="40">
        <v>40.166666666666664</v>
      </c>
      <c r="AA1827" s="966">
        <f t="shared" si="323"/>
        <v>482.00000000000006</v>
      </c>
      <c r="AB1827" s="35"/>
      <c r="AC1827" s="183"/>
    </row>
    <row r="1828" spans="1:29" x14ac:dyDescent="0.2">
      <c r="A1828" s="1422"/>
      <c r="B1828" s="2522"/>
      <c r="C1828" s="2456"/>
      <c r="D1828" s="3369"/>
      <c r="E1828" s="3369"/>
      <c r="F1828" s="3369"/>
      <c r="G1828" s="2420"/>
      <c r="H1828" s="2420"/>
      <c r="I1828" s="3369"/>
      <c r="J1828" s="2515"/>
      <c r="K1828" s="40">
        <v>500</v>
      </c>
      <c r="L1828" s="2421"/>
      <c r="M1828" s="3287" t="s">
        <v>380</v>
      </c>
      <c r="N1828" s="3288"/>
      <c r="O1828" s="40">
        <v>500</v>
      </c>
      <c r="P1828" s="40"/>
      <c r="Q1828" s="40"/>
      <c r="R1828" s="40"/>
      <c r="S1828" s="40"/>
      <c r="T1828" s="40"/>
      <c r="U1828" s="40"/>
      <c r="V1828" s="40"/>
      <c r="W1828" s="40"/>
      <c r="X1828" s="40"/>
      <c r="Y1828" s="40"/>
      <c r="Z1828" s="40"/>
      <c r="AA1828" s="966">
        <f t="shared" si="323"/>
        <v>500</v>
      </c>
      <c r="AB1828" s="35"/>
      <c r="AC1828" s="183"/>
    </row>
    <row r="1829" spans="1:29" x14ac:dyDescent="0.2">
      <c r="A1829" s="1422"/>
      <c r="B1829" s="2522"/>
      <c r="C1829" s="2456"/>
      <c r="D1829" s="3369"/>
      <c r="E1829" s="3369"/>
      <c r="F1829" s="3369"/>
      <c r="G1829" s="2420"/>
      <c r="H1829" s="2420"/>
      <c r="I1829" s="3369"/>
      <c r="J1829" s="2515"/>
      <c r="K1829" s="40">
        <v>1000</v>
      </c>
      <c r="L1829" s="2421"/>
      <c r="M1829" s="3287" t="s">
        <v>303</v>
      </c>
      <c r="N1829" s="3288"/>
      <c r="O1829" s="40"/>
      <c r="P1829" s="40"/>
      <c r="Q1829" s="40">
        <v>1000</v>
      </c>
      <c r="R1829" s="40"/>
      <c r="S1829" s="40"/>
      <c r="T1829" s="40"/>
      <c r="U1829" s="40"/>
      <c r="V1829" s="40"/>
      <c r="W1829" s="40"/>
      <c r="X1829" s="40"/>
      <c r="Y1829" s="40"/>
      <c r="Z1829" s="40"/>
      <c r="AA1829" s="966">
        <f t="shared" si="323"/>
        <v>1000</v>
      </c>
      <c r="AB1829" s="35"/>
      <c r="AC1829" s="183"/>
    </row>
    <row r="1830" spans="1:29" x14ac:dyDescent="0.2">
      <c r="A1830" s="1422"/>
      <c r="B1830" s="2522"/>
      <c r="C1830" s="2456"/>
      <c r="D1830" s="3369"/>
      <c r="E1830" s="3369"/>
      <c r="F1830" s="3369"/>
      <c r="G1830" s="2420"/>
      <c r="H1830" s="2420"/>
      <c r="I1830" s="3369"/>
      <c r="J1830" s="2515"/>
      <c r="K1830" s="40">
        <v>600</v>
      </c>
      <c r="L1830" s="2421"/>
      <c r="M1830" s="3287" t="s">
        <v>305</v>
      </c>
      <c r="N1830" s="3288"/>
      <c r="O1830" s="40"/>
      <c r="P1830" s="40">
        <v>600</v>
      </c>
      <c r="Q1830" s="40"/>
      <c r="R1830" s="40"/>
      <c r="S1830" s="40"/>
      <c r="T1830" s="40"/>
      <c r="U1830" s="40"/>
      <c r="V1830" s="40"/>
      <c r="W1830" s="40"/>
      <c r="X1830" s="40"/>
      <c r="Y1830" s="40"/>
      <c r="Z1830" s="40"/>
      <c r="AA1830" s="966">
        <f t="shared" si="323"/>
        <v>600</v>
      </c>
      <c r="AB1830" s="35"/>
      <c r="AC1830" s="183"/>
    </row>
    <row r="1831" spans="1:29" x14ac:dyDescent="0.2">
      <c r="A1831" s="1422"/>
      <c r="B1831" s="2522"/>
      <c r="C1831" s="2456"/>
      <c r="D1831" s="3369"/>
      <c r="E1831" s="3369"/>
      <c r="F1831" s="3369"/>
      <c r="G1831" s="2420"/>
      <c r="H1831" s="2420"/>
      <c r="I1831" s="3369"/>
      <c r="J1831" s="2515"/>
      <c r="K1831" s="40">
        <v>800</v>
      </c>
      <c r="L1831" s="2421"/>
      <c r="M1831" s="3287" t="s">
        <v>306</v>
      </c>
      <c r="N1831" s="3288"/>
      <c r="O1831" s="40"/>
      <c r="P1831" s="40">
        <v>800</v>
      </c>
      <c r="Q1831" s="40"/>
      <c r="R1831" s="40"/>
      <c r="S1831" s="40"/>
      <c r="T1831" s="40"/>
      <c r="U1831" s="40"/>
      <c r="V1831" s="40"/>
      <c r="W1831" s="40"/>
      <c r="X1831" s="40"/>
      <c r="Y1831" s="40"/>
      <c r="Z1831" s="40"/>
      <c r="AA1831" s="966">
        <f t="shared" si="323"/>
        <v>800</v>
      </c>
      <c r="AB1831" s="35"/>
      <c r="AC1831" s="183"/>
    </row>
    <row r="1832" spans="1:29" x14ac:dyDescent="0.2">
      <c r="A1832" s="1422"/>
      <c r="B1832" s="2522"/>
      <c r="C1832" s="2456"/>
      <c r="D1832" s="3369"/>
      <c r="E1832" s="3369"/>
      <c r="F1832" s="3369"/>
      <c r="G1832" s="2420"/>
      <c r="H1832" s="2420"/>
      <c r="I1832" s="3369"/>
      <c r="J1832" s="2515"/>
      <c r="K1832" s="40">
        <v>500</v>
      </c>
      <c r="L1832" s="2421"/>
      <c r="M1832" s="3287" t="s">
        <v>307</v>
      </c>
      <c r="N1832" s="3288"/>
      <c r="O1832" s="40"/>
      <c r="P1832" s="40">
        <v>45.454545454545453</v>
      </c>
      <c r="Q1832" s="40">
        <v>45.454545454545453</v>
      </c>
      <c r="R1832" s="40">
        <v>45.454545454545453</v>
      </c>
      <c r="S1832" s="40">
        <v>45.454545454545453</v>
      </c>
      <c r="T1832" s="40">
        <v>45.454545454545453</v>
      </c>
      <c r="U1832" s="40">
        <v>45.454545454545453</v>
      </c>
      <c r="V1832" s="40">
        <v>45.454545454545453</v>
      </c>
      <c r="W1832" s="40">
        <v>45.454545454545453</v>
      </c>
      <c r="X1832" s="40">
        <v>45.454545454545453</v>
      </c>
      <c r="Y1832" s="40">
        <v>45.454545454545453</v>
      </c>
      <c r="Z1832" s="40">
        <v>45.454545454545453</v>
      </c>
      <c r="AA1832" s="966">
        <f t="shared" si="323"/>
        <v>499.99999999999989</v>
      </c>
      <c r="AB1832" s="35"/>
      <c r="AC1832" s="183"/>
    </row>
    <row r="1833" spans="1:29" x14ac:dyDescent="0.2">
      <c r="A1833" s="1422"/>
      <c r="B1833" s="2522"/>
      <c r="C1833" s="2456"/>
      <c r="D1833" s="3369"/>
      <c r="E1833" s="3369"/>
      <c r="F1833" s="3369"/>
      <c r="G1833" s="2420"/>
      <c r="H1833" s="2420"/>
      <c r="I1833" s="3369"/>
      <c r="J1833" s="2515"/>
      <c r="K1833" s="40">
        <v>2500</v>
      </c>
      <c r="L1833" s="2421"/>
      <c r="M1833" s="3287" t="s">
        <v>355</v>
      </c>
      <c r="N1833" s="3288"/>
      <c r="O1833" s="40"/>
      <c r="P1833" s="40"/>
      <c r="Q1833" s="40">
        <v>2500</v>
      </c>
      <c r="R1833" s="40"/>
      <c r="S1833" s="40"/>
      <c r="T1833" s="40"/>
      <c r="U1833" s="40"/>
      <c r="V1833" s="40"/>
      <c r="W1833" s="40"/>
      <c r="X1833" s="40"/>
      <c r="Y1833" s="40"/>
      <c r="Z1833" s="40"/>
      <c r="AA1833" s="966">
        <f t="shared" si="323"/>
        <v>2500</v>
      </c>
      <c r="AB1833" s="35"/>
      <c r="AC1833" s="183"/>
    </row>
    <row r="1834" spans="1:29" x14ac:dyDescent="0.2">
      <c r="A1834" s="1422"/>
      <c r="B1834" s="2522"/>
      <c r="C1834" s="2456"/>
      <c r="D1834" s="3369"/>
      <c r="E1834" s="3369"/>
      <c r="F1834" s="3369"/>
      <c r="G1834" s="2420"/>
      <c r="H1834" s="2420"/>
      <c r="I1834" s="3369"/>
      <c r="J1834" s="2515"/>
      <c r="K1834" s="40">
        <v>1000</v>
      </c>
      <c r="L1834" s="2421"/>
      <c r="M1834" s="3287" t="s">
        <v>308</v>
      </c>
      <c r="N1834" s="3288"/>
      <c r="O1834" s="40"/>
      <c r="P1834" s="40"/>
      <c r="Q1834" s="40">
        <v>1000</v>
      </c>
      <c r="R1834" s="40"/>
      <c r="S1834" s="40"/>
      <c r="T1834" s="40"/>
      <c r="U1834" s="40"/>
      <c r="V1834" s="40"/>
      <c r="W1834" s="40"/>
      <c r="X1834" s="40"/>
      <c r="Y1834" s="40"/>
      <c r="Z1834" s="40"/>
      <c r="AA1834" s="966">
        <f t="shared" si="323"/>
        <v>1000</v>
      </c>
      <c r="AB1834" s="35"/>
      <c r="AC1834" s="183"/>
    </row>
    <row r="1835" spans="1:29" x14ac:dyDescent="0.2">
      <c r="A1835" s="1422"/>
      <c r="B1835" s="2522"/>
      <c r="C1835" s="2456"/>
      <c r="D1835" s="3369"/>
      <c r="E1835" s="3369"/>
      <c r="F1835" s="3369"/>
      <c r="G1835" s="2420"/>
      <c r="H1835" s="2420"/>
      <c r="I1835" s="3369"/>
      <c r="J1835" s="2515"/>
      <c r="K1835" s="40">
        <v>70236</v>
      </c>
      <c r="L1835" s="2421"/>
      <c r="M1835" s="3287" t="s">
        <v>310</v>
      </c>
      <c r="N1835" s="3288"/>
      <c r="O1835" s="40">
        <v>5853</v>
      </c>
      <c r="P1835" s="40">
        <v>5853</v>
      </c>
      <c r="Q1835" s="40">
        <v>5853</v>
      </c>
      <c r="R1835" s="40">
        <v>5853</v>
      </c>
      <c r="S1835" s="40">
        <v>5853</v>
      </c>
      <c r="T1835" s="40">
        <v>5853</v>
      </c>
      <c r="U1835" s="40">
        <v>5853</v>
      </c>
      <c r="V1835" s="40">
        <v>5853</v>
      </c>
      <c r="W1835" s="40">
        <v>5853</v>
      </c>
      <c r="X1835" s="40">
        <v>5853</v>
      </c>
      <c r="Y1835" s="40">
        <v>5853</v>
      </c>
      <c r="Z1835" s="40">
        <v>5853</v>
      </c>
      <c r="AA1835" s="966">
        <f t="shared" si="323"/>
        <v>70236</v>
      </c>
      <c r="AB1835" s="35"/>
      <c r="AC1835" s="183"/>
    </row>
    <row r="1836" spans="1:29" x14ac:dyDescent="0.2">
      <c r="A1836" s="1422"/>
      <c r="B1836" s="2522"/>
      <c r="C1836" s="2450"/>
      <c r="D1836" s="3369"/>
      <c r="E1836" s="3369"/>
      <c r="F1836" s="3369"/>
      <c r="G1836" s="2420"/>
      <c r="H1836" s="2420"/>
      <c r="I1836" s="3369"/>
      <c r="J1836" s="2516"/>
      <c r="K1836" s="40">
        <v>5355</v>
      </c>
      <c r="L1836" s="2421"/>
      <c r="M1836" s="3287" t="s">
        <v>311</v>
      </c>
      <c r="N1836" s="3288"/>
      <c r="O1836" s="40">
        <v>446.25</v>
      </c>
      <c r="P1836" s="40">
        <v>446.25</v>
      </c>
      <c r="Q1836" s="40">
        <v>446.25</v>
      </c>
      <c r="R1836" s="40">
        <v>446.25</v>
      </c>
      <c r="S1836" s="40">
        <v>446.25</v>
      </c>
      <c r="T1836" s="40">
        <v>446.25</v>
      </c>
      <c r="U1836" s="40">
        <v>446.25</v>
      </c>
      <c r="V1836" s="40">
        <v>446.25</v>
      </c>
      <c r="W1836" s="40">
        <v>446.25</v>
      </c>
      <c r="X1836" s="40">
        <v>446.25</v>
      </c>
      <c r="Y1836" s="40">
        <v>446.25</v>
      </c>
      <c r="Z1836" s="40">
        <v>446.25</v>
      </c>
      <c r="AA1836" s="966">
        <f t="shared" si="323"/>
        <v>5355</v>
      </c>
      <c r="AB1836" s="35"/>
      <c r="AC1836" s="183"/>
    </row>
    <row r="1837" spans="1:29" x14ac:dyDescent="0.2">
      <c r="A1837" s="1422"/>
      <c r="B1837" s="1422"/>
      <c r="C1837" s="1124"/>
      <c r="D1837" s="35"/>
      <c r="E1837" s="35"/>
      <c r="F1837" s="35"/>
      <c r="G1837" s="35"/>
      <c r="H1837" s="35"/>
      <c r="I1837" s="35"/>
      <c r="J1837" s="105"/>
      <c r="K1837" s="35"/>
      <c r="L1837" s="35"/>
      <c r="M1837" s="1124"/>
      <c r="N1837" s="1124"/>
      <c r="O1837" s="35"/>
      <c r="P1837" s="35"/>
      <c r="Q1837" s="35"/>
      <c r="R1837" s="35"/>
      <c r="S1837" s="35"/>
      <c r="T1837" s="35"/>
      <c r="U1837" s="35"/>
      <c r="V1837" s="35"/>
      <c r="W1837" s="35"/>
      <c r="X1837" s="35"/>
      <c r="Y1837" s="35"/>
      <c r="Z1837" s="35"/>
      <c r="AA1837" s="197"/>
      <c r="AB1837" s="35"/>
      <c r="AC1837" s="183"/>
    </row>
    <row r="1838" spans="1:29" ht="22.5" x14ac:dyDescent="0.2">
      <c r="A1838" s="1422"/>
      <c r="B1838" s="1422"/>
      <c r="C1838" s="1124"/>
      <c r="D1838" s="35"/>
      <c r="E1838" s="35"/>
      <c r="F1838" s="35"/>
      <c r="G1838" s="35"/>
      <c r="H1838" s="35"/>
      <c r="I1838" s="35"/>
      <c r="J1838" s="105"/>
      <c r="K1838" s="35"/>
      <c r="L1838" s="35"/>
      <c r="M1838" s="1124"/>
      <c r="N1838" s="1124"/>
      <c r="O1838" s="35"/>
      <c r="P1838" s="35"/>
      <c r="Q1838" s="35"/>
      <c r="R1838" s="35"/>
      <c r="S1838" s="35"/>
      <c r="T1838" s="2922" t="s">
        <v>15</v>
      </c>
      <c r="U1838" s="2922"/>
      <c r="V1838" s="2922"/>
      <c r="W1838" s="2922"/>
      <c r="X1838" s="2922"/>
      <c r="Y1838" s="2922"/>
      <c r="Z1838" s="2922"/>
      <c r="AA1838" s="2148" t="s">
        <v>16</v>
      </c>
      <c r="AB1838" s="35"/>
      <c r="AC1838" s="183"/>
    </row>
    <row r="1839" spans="1:29" ht="27" customHeight="1" x14ac:dyDescent="0.2">
      <c r="A1839" s="1422"/>
      <c r="B1839" s="1433" t="s">
        <v>276</v>
      </c>
      <c r="C1839" s="1119"/>
      <c r="D1839" s="35">
        <v>3043980</v>
      </c>
      <c r="E1839" s="192" t="s">
        <v>659</v>
      </c>
      <c r="F1839" s="35"/>
      <c r="G1839" s="35"/>
      <c r="H1839" s="35"/>
      <c r="I1839" s="35"/>
      <c r="J1839" s="105"/>
      <c r="K1839" s="35"/>
      <c r="L1839" s="35"/>
      <c r="M1839" s="1124"/>
      <c r="N1839" s="1124"/>
      <c r="O1839" s="35"/>
      <c r="P1839" s="35"/>
      <c r="Q1839" s="35"/>
      <c r="R1839" s="35"/>
      <c r="S1839" s="35"/>
      <c r="T1839" s="3308" t="s">
        <v>660</v>
      </c>
      <c r="U1839" s="3308"/>
      <c r="V1839" s="3308"/>
      <c r="W1839" s="3308"/>
      <c r="X1839" s="3308"/>
      <c r="Y1839" s="3308"/>
      <c r="Z1839" s="3308"/>
      <c r="AA1839" s="1010" t="s">
        <v>661</v>
      </c>
      <c r="AB1839" s="35"/>
      <c r="AC1839" s="183"/>
    </row>
    <row r="1840" spans="1:29" x14ac:dyDescent="0.2">
      <c r="A1840" s="1422"/>
      <c r="B1840" s="2999" t="s">
        <v>278</v>
      </c>
      <c r="C1840" s="2999" t="s">
        <v>21</v>
      </c>
      <c r="D1840" s="2847" t="s">
        <v>22</v>
      </c>
      <c r="E1840" s="2847" t="s">
        <v>23</v>
      </c>
      <c r="F1840" s="2847" t="s">
        <v>24</v>
      </c>
      <c r="G1840" s="2847" t="s">
        <v>25</v>
      </c>
      <c r="H1840" s="2847" t="s">
        <v>26</v>
      </c>
      <c r="I1840" s="2847" t="s">
        <v>27</v>
      </c>
      <c r="J1840" s="3206" t="s">
        <v>28</v>
      </c>
      <c r="K1840" s="3301"/>
      <c r="L1840" s="2988" t="s">
        <v>279</v>
      </c>
      <c r="M1840" s="2986" t="s">
        <v>280</v>
      </c>
      <c r="N1840" s="2987"/>
      <c r="O1840" s="2847" t="s">
        <v>281</v>
      </c>
      <c r="P1840" s="2847"/>
      <c r="Q1840" s="2847"/>
      <c r="R1840" s="2847"/>
      <c r="S1840" s="2847"/>
      <c r="T1840" s="2847"/>
      <c r="U1840" s="2847"/>
      <c r="V1840" s="2847"/>
      <c r="W1840" s="2847"/>
      <c r="X1840" s="2847"/>
      <c r="Y1840" s="2847"/>
      <c r="Z1840" s="2847"/>
      <c r="AA1840" s="2847" t="s">
        <v>32</v>
      </c>
      <c r="AB1840" s="35"/>
      <c r="AC1840" s="183"/>
    </row>
    <row r="1841" spans="1:29" x14ac:dyDescent="0.2">
      <c r="A1841" s="1422"/>
      <c r="B1841" s="2999"/>
      <c r="C1841" s="2999"/>
      <c r="D1841" s="2847"/>
      <c r="E1841" s="2847"/>
      <c r="F1841" s="2847"/>
      <c r="G1841" s="2847"/>
      <c r="H1841" s="2847"/>
      <c r="I1841" s="2847"/>
      <c r="J1841" s="1007" t="s">
        <v>33</v>
      </c>
      <c r="K1841" s="2988" t="s">
        <v>282</v>
      </c>
      <c r="L1841" s="3186"/>
      <c r="M1841" s="3000"/>
      <c r="N1841" s="3001"/>
      <c r="O1841" s="1009" t="s">
        <v>283</v>
      </c>
      <c r="P1841" s="1009" t="s">
        <v>284</v>
      </c>
      <c r="Q1841" s="1009" t="s">
        <v>285</v>
      </c>
      <c r="R1841" s="1009" t="s">
        <v>88</v>
      </c>
      <c r="S1841" s="1009" t="s">
        <v>89</v>
      </c>
      <c r="T1841" s="1009" t="s">
        <v>90</v>
      </c>
      <c r="U1841" s="1009" t="s">
        <v>91</v>
      </c>
      <c r="V1841" s="1009" t="s">
        <v>92</v>
      </c>
      <c r="W1841" s="1009" t="s">
        <v>286</v>
      </c>
      <c r="X1841" s="1009" t="s">
        <v>93</v>
      </c>
      <c r="Y1841" s="1009" t="s">
        <v>94</v>
      </c>
      <c r="Z1841" s="1009" t="s">
        <v>95</v>
      </c>
      <c r="AA1841" s="2847"/>
      <c r="AB1841" s="35"/>
      <c r="AC1841" s="183"/>
    </row>
    <row r="1842" spans="1:29" ht="12.75" x14ac:dyDescent="0.2">
      <c r="A1842" s="1422"/>
      <c r="B1842" s="2999"/>
      <c r="C1842" s="2999"/>
      <c r="D1842" s="2847"/>
      <c r="E1842" s="2847"/>
      <c r="F1842" s="2847"/>
      <c r="G1842" s="2847"/>
      <c r="H1842" s="2847"/>
      <c r="I1842" s="2847"/>
      <c r="J1842" s="106"/>
      <c r="K1842" s="3186"/>
      <c r="L1842" s="3186"/>
      <c r="M1842" s="3271" t="s">
        <v>287</v>
      </c>
      <c r="N1842" s="3272"/>
      <c r="O1842" s="40">
        <v>21103.166666666668</v>
      </c>
      <c r="P1842" s="40">
        <v>21103</v>
      </c>
      <c r="Q1842" s="40">
        <v>21104</v>
      </c>
      <c r="R1842" s="40">
        <v>21104</v>
      </c>
      <c r="S1842" s="40">
        <v>21103</v>
      </c>
      <c r="T1842" s="40">
        <v>21103</v>
      </c>
      <c r="U1842" s="40">
        <v>21103</v>
      </c>
      <c r="V1842" s="40">
        <v>21103</v>
      </c>
      <c r="W1842" s="40">
        <v>21103</v>
      </c>
      <c r="X1842" s="40">
        <v>21103</v>
      </c>
      <c r="Y1842" s="40">
        <v>21103</v>
      </c>
      <c r="Z1842" s="40">
        <v>21103</v>
      </c>
      <c r="AA1842" s="1205">
        <f>SUM(O1842:Z1842)</f>
        <v>253238.16666666669</v>
      </c>
      <c r="AB1842" s="35"/>
      <c r="AC1842" s="183"/>
    </row>
    <row r="1843" spans="1:29" ht="12.75" x14ac:dyDescent="0.2">
      <c r="A1843" s="1422"/>
      <c r="B1843" s="2999"/>
      <c r="C1843" s="2999"/>
      <c r="D1843" s="2847"/>
      <c r="E1843" s="2847"/>
      <c r="F1843" s="2847"/>
      <c r="G1843" s="2847"/>
      <c r="H1843" s="2847"/>
      <c r="I1843" s="2847"/>
      <c r="J1843" s="1008"/>
      <c r="K1843" s="2989"/>
      <c r="L1843" s="2989"/>
      <c r="M1843" s="3271" t="s">
        <v>34</v>
      </c>
      <c r="N1843" s="3272"/>
      <c r="O1843" s="40">
        <f>SUM(O1844:O1858)</f>
        <v>57870.583333333336</v>
      </c>
      <c r="P1843" s="40">
        <f t="shared" ref="P1843:Y1843" si="324">SUM(P1844:P1858)</f>
        <v>53579.674242424247</v>
      </c>
      <c r="Q1843" s="40">
        <f t="shared" si="324"/>
        <v>58308.674242424247</v>
      </c>
      <c r="R1843" s="40">
        <f t="shared" si="324"/>
        <v>56079.674242424247</v>
      </c>
      <c r="S1843" s="40">
        <f t="shared" si="324"/>
        <v>59979.674242424247</v>
      </c>
      <c r="T1843" s="40">
        <f t="shared" si="324"/>
        <v>53579.674242424247</v>
      </c>
      <c r="U1843" s="40">
        <f t="shared" si="324"/>
        <v>61908.674242424247</v>
      </c>
      <c r="V1843" s="40">
        <f t="shared" si="324"/>
        <v>53579.674242424247</v>
      </c>
      <c r="W1843" s="40">
        <f t="shared" si="324"/>
        <v>56579.674242424247</v>
      </c>
      <c r="X1843" s="40">
        <f t="shared" si="324"/>
        <v>53579.674242424247</v>
      </c>
      <c r="Y1843" s="40">
        <f t="shared" si="324"/>
        <v>56579.674242424247</v>
      </c>
      <c r="Z1843" s="40">
        <f>SUM(Z1844:Z1858)</f>
        <v>57179.674242424247</v>
      </c>
      <c r="AA1843" s="1205">
        <f t="shared" ref="AA1843:AA1858" si="325">SUM(O1843:Z1843)</f>
        <v>678805</v>
      </c>
      <c r="AB1843" s="35"/>
      <c r="AC1843" s="183"/>
    </row>
    <row r="1844" spans="1:29" x14ac:dyDescent="0.2">
      <c r="A1844" s="1422"/>
      <c r="B1844" s="2522">
        <v>5000090</v>
      </c>
      <c r="C1844" s="2438" t="s">
        <v>662</v>
      </c>
      <c r="D1844" s="3369">
        <v>63</v>
      </c>
      <c r="E1844" s="3369" t="s">
        <v>407</v>
      </c>
      <c r="F1844" s="2420" t="s">
        <v>313</v>
      </c>
      <c r="G1844" s="2420" t="s">
        <v>329</v>
      </c>
      <c r="H1844" s="2420" t="s">
        <v>663</v>
      </c>
      <c r="I1844" s="2420" t="s">
        <v>599</v>
      </c>
      <c r="J1844" s="3297">
        <v>253238</v>
      </c>
      <c r="K1844" s="40">
        <v>95000</v>
      </c>
      <c r="L1844" s="2421" t="s">
        <v>644</v>
      </c>
      <c r="M1844" s="3287" t="s">
        <v>293</v>
      </c>
      <c r="N1844" s="3288"/>
      <c r="O1844" s="40">
        <v>7916.666666666667</v>
      </c>
      <c r="P1844" s="40">
        <v>7916.666666666667</v>
      </c>
      <c r="Q1844" s="40">
        <v>7916.666666666667</v>
      </c>
      <c r="R1844" s="40">
        <v>7916.666666666667</v>
      </c>
      <c r="S1844" s="40">
        <v>7916.666666666667</v>
      </c>
      <c r="T1844" s="40">
        <v>7916.666666666667</v>
      </c>
      <c r="U1844" s="40">
        <v>7916.666666666667</v>
      </c>
      <c r="V1844" s="40">
        <v>7916.666666666667</v>
      </c>
      <c r="W1844" s="40">
        <v>7916.666666666667</v>
      </c>
      <c r="X1844" s="40">
        <v>7916.666666666667</v>
      </c>
      <c r="Y1844" s="40">
        <v>7916.666666666667</v>
      </c>
      <c r="Z1844" s="40">
        <v>7916.666666666667</v>
      </c>
      <c r="AA1844" s="966">
        <f t="shared" si="325"/>
        <v>95000.000000000015</v>
      </c>
      <c r="AB1844" s="35"/>
      <c r="AC1844" s="183"/>
    </row>
    <row r="1845" spans="1:29" x14ac:dyDescent="0.2">
      <c r="A1845" s="1422"/>
      <c r="B1845" s="2522"/>
      <c r="C1845" s="2456"/>
      <c r="D1845" s="3369"/>
      <c r="E1845" s="3369"/>
      <c r="F1845" s="2420"/>
      <c r="G1845" s="2420"/>
      <c r="H1845" s="2420"/>
      <c r="I1845" s="2420"/>
      <c r="J1845" s="3298"/>
      <c r="K1845" s="40">
        <v>321280</v>
      </c>
      <c r="L1845" s="2421"/>
      <c r="M1845" s="3287" t="s">
        <v>295</v>
      </c>
      <c r="N1845" s="3288"/>
      <c r="O1845" s="40">
        <v>26773.333333333332</v>
      </c>
      <c r="P1845" s="40">
        <v>26773.333333333332</v>
      </c>
      <c r="Q1845" s="40">
        <v>26773.333333333332</v>
      </c>
      <c r="R1845" s="40">
        <v>26773.333333333332</v>
      </c>
      <c r="S1845" s="40">
        <v>26773.333333333332</v>
      </c>
      <c r="T1845" s="40">
        <v>26773.333333333332</v>
      </c>
      <c r="U1845" s="40">
        <v>26773.333333333332</v>
      </c>
      <c r="V1845" s="40">
        <v>26773.333333333332</v>
      </c>
      <c r="W1845" s="40">
        <v>26773.333333333332</v>
      </c>
      <c r="X1845" s="40">
        <v>26773.333333333332</v>
      </c>
      <c r="Y1845" s="40">
        <v>26773.333333333332</v>
      </c>
      <c r="Z1845" s="40">
        <v>26773.333333333332</v>
      </c>
      <c r="AA1845" s="966">
        <f t="shared" si="325"/>
        <v>321280</v>
      </c>
      <c r="AB1845" s="35"/>
      <c r="AC1845" s="183"/>
    </row>
    <row r="1846" spans="1:29" x14ac:dyDescent="0.2">
      <c r="A1846" s="1422"/>
      <c r="B1846" s="2522"/>
      <c r="C1846" s="2456"/>
      <c r="D1846" s="3369"/>
      <c r="E1846" s="3369"/>
      <c r="F1846" s="2420"/>
      <c r="G1846" s="2420"/>
      <c r="H1846" s="2420"/>
      <c r="I1846" s="2420"/>
      <c r="J1846" s="3298"/>
      <c r="K1846" s="40">
        <v>62007</v>
      </c>
      <c r="L1846" s="2421"/>
      <c r="M1846" s="3287" t="s">
        <v>296</v>
      </c>
      <c r="N1846" s="3288"/>
      <c r="O1846" s="40">
        <v>5167.25</v>
      </c>
      <c r="P1846" s="40">
        <v>5167.25</v>
      </c>
      <c r="Q1846" s="40">
        <v>5167.25</v>
      </c>
      <c r="R1846" s="40">
        <v>5167.25</v>
      </c>
      <c r="S1846" s="40">
        <v>5167.25</v>
      </c>
      <c r="T1846" s="40">
        <v>5167.25</v>
      </c>
      <c r="U1846" s="40">
        <v>5167.25</v>
      </c>
      <c r="V1846" s="40">
        <v>5167.25</v>
      </c>
      <c r="W1846" s="40">
        <v>5167.25</v>
      </c>
      <c r="X1846" s="40">
        <v>5167.25</v>
      </c>
      <c r="Y1846" s="40">
        <v>5167.25</v>
      </c>
      <c r="Z1846" s="40">
        <v>5167.25</v>
      </c>
      <c r="AA1846" s="966">
        <f t="shared" si="325"/>
        <v>62007</v>
      </c>
      <c r="AB1846" s="35"/>
      <c r="AC1846" s="183"/>
    </row>
    <row r="1847" spans="1:29" x14ac:dyDescent="0.2">
      <c r="A1847" s="1422"/>
      <c r="B1847" s="2522"/>
      <c r="C1847" s="2456"/>
      <c r="D1847" s="3369"/>
      <c r="E1847" s="3369"/>
      <c r="F1847" s="2420"/>
      <c r="G1847" s="2420"/>
      <c r="H1847" s="2420"/>
      <c r="I1847" s="2420"/>
      <c r="J1847" s="3298"/>
      <c r="K1847" s="40">
        <v>77784</v>
      </c>
      <c r="L1847" s="2421"/>
      <c r="M1847" s="3287" t="s">
        <v>297</v>
      </c>
      <c r="N1847" s="3288"/>
      <c r="O1847" s="40">
        <v>6482</v>
      </c>
      <c r="P1847" s="40">
        <v>6482</v>
      </c>
      <c r="Q1847" s="40">
        <v>6482</v>
      </c>
      <c r="R1847" s="40">
        <v>6482</v>
      </c>
      <c r="S1847" s="40">
        <v>6482</v>
      </c>
      <c r="T1847" s="40">
        <v>6482</v>
      </c>
      <c r="U1847" s="40">
        <v>6482</v>
      </c>
      <c r="V1847" s="40">
        <v>6482</v>
      </c>
      <c r="W1847" s="40">
        <v>6482</v>
      </c>
      <c r="X1847" s="40">
        <v>6482</v>
      </c>
      <c r="Y1847" s="40">
        <v>6482</v>
      </c>
      <c r="Z1847" s="40">
        <v>6482</v>
      </c>
      <c r="AA1847" s="966">
        <f t="shared" si="325"/>
        <v>77784</v>
      </c>
      <c r="AB1847" s="35"/>
      <c r="AC1847" s="183"/>
    </row>
    <row r="1848" spans="1:29" x14ac:dyDescent="0.2">
      <c r="A1848" s="1422"/>
      <c r="B1848" s="2522"/>
      <c r="C1848" s="2456"/>
      <c r="D1848" s="3369"/>
      <c r="E1848" s="3369"/>
      <c r="F1848" s="2420"/>
      <c r="G1848" s="2420"/>
      <c r="H1848" s="2420"/>
      <c r="I1848" s="2420"/>
      <c r="J1848" s="3298"/>
      <c r="K1848" s="40">
        <v>7200</v>
      </c>
      <c r="L1848" s="2421"/>
      <c r="M1848" s="3287" t="s">
        <v>298</v>
      </c>
      <c r="N1848" s="3288"/>
      <c r="O1848" s="40"/>
      <c r="P1848" s="40"/>
      <c r="Q1848" s="40"/>
      <c r="R1848" s="40"/>
      <c r="S1848" s="40"/>
      <c r="T1848" s="40"/>
      <c r="U1848" s="40">
        <v>3600</v>
      </c>
      <c r="V1848" s="40"/>
      <c r="W1848" s="40"/>
      <c r="X1848" s="40"/>
      <c r="Y1848" s="40"/>
      <c r="Z1848" s="40">
        <v>3600</v>
      </c>
      <c r="AA1848" s="966">
        <f t="shared" si="325"/>
        <v>7200</v>
      </c>
      <c r="AB1848" s="35"/>
      <c r="AC1848" s="183"/>
    </row>
    <row r="1849" spans="1:29" x14ac:dyDescent="0.2">
      <c r="A1849" s="1422"/>
      <c r="B1849" s="2522"/>
      <c r="C1849" s="2456"/>
      <c r="D1849" s="3369"/>
      <c r="E1849" s="3369"/>
      <c r="F1849" s="2420"/>
      <c r="G1849" s="2420"/>
      <c r="H1849" s="2420"/>
      <c r="I1849" s="2420"/>
      <c r="J1849" s="3298"/>
      <c r="K1849" s="40">
        <v>4800</v>
      </c>
      <c r="L1849" s="2421"/>
      <c r="M1849" s="3287" t="s">
        <v>299</v>
      </c>
      <c r="N1849" s="3288"/>
      <c r="O1849" s="40">
        <v>4800</v>
      </c>
      <c r="P1849" s="40"/>
      <c r="Q1849" s="40"/>
      <c r="R1849" s="40"/>
      <c r="S1849" s="40"/>
      <c r="T1849" s="40"/>
      <c r="U1849" s="40"/>
      <c r="V1849" s="40"/>
      <c r="W1849" s="40"/>
      <c r="X1849" s="40"/>
      <c r="Y1849" s="40"/>
      <c r="Z1849" s="40"/>
      <c r="AA1849" s="966">
        <f t="shared" si="325"/>
        <v>4800</v>
      </c>
      <c r="AB1849" s="35"/>
      <c r="AC1849" s="183"/>
    </row>
    <row r="1850" spans="1:29" x14ac:dyDescent="0.2">
      <c r="A1850" s="1422"/>
      <c r="B1850" s="2522"/>
      <c r="C1850" s="2456"/>
      <c r="D1850" s="3369"/>
      <c r="E1850" s="3369"/>
      <c r="F1850" s="2420"/>
      <c r="G1850" s="2420"/>
      <c r="H1850" s="2420"/>
      <c r="I1850" s="2420"/>
      <c r="J1850" s="3298"/>
      <c r="K1850" s="40">
        <v>19612</v>
      </c>
      <c r="L1850" s="2421"/>
      <c r="M1850" s="3287" t="s">
        <v>300</v>
      </c>
      <c r="N1850" s="3288"/>
      <c r="O1850" s="40">
        <v>1634.3333333333333</v>
      </c>
      <c r="P1850" s="40">
        <v>1634.3333333333333</v>
      </c>
      <c r="Q1850" s="40">
        <v>1634.3333333333333</v>
      </c>
      <c r="R1850" s="40">
        <v>1634.3333333333333</v>
      </c>
      <c r="S1850" s="40">
        <v>1634.3333333333333</v>
      </c>
      <c r="T1850" s="40">
        <v>1634.3333333333333</v>
      </c>
      <c r="U1850" s="40">
        <v>1634.3333333333333</v>
      </c>
      <c r="V1850" s="40">
        <v>1634.3333333333333</v>
      </c>
      <c r="W1850" s="40">
        <v>1634.3333333333333</v>
      </c>
      <c r="X1850" s="40">
        <v>1634.3333333333333</v>
      </c>
      <c r="Y1850" s="40">
        <v>1634.3333333333333</v>
      </c>
      <c r="Z1850" s="40">
        <v>1634.3333333333333</v>
      </c>
      <c r="AA1850" s="966">
        <f t="shared" si="325"/>
        <v>19612</v>
      </c>
      <c r="AB1850" s="35"/>
      <c r="AC1850" s="183"/>
    </row>
    <row r="1851" spans="1:29" x14ac:dyDescent="0.2">
      <c r="A1851" s="1422"/>
      <c r="B1851" s="2522"/>
      <c r="C1851" s="2456"/>
      <c r="D1851" s="3369"/>
      <c r="E1851" s="3369"/>
      <c r="F1851" s="2420"/>
      <c r="G1851" s="2420"/>
      <c r="H1851" s="2420"/>
      <c r="I1851" s="2420"/>
      <c r="J1851" s="3298"/>
      <c r="K1851" s="40">
        <v>565</v>
      </c>
      <c r="L1851" s="2421"/>
      <c r="M1851" s="3287" t="s">
        <v>301</v>
      </c>
      <c r="N1851" s="3288"/>
      <c r="O1851" s="40">
        <v>47.083333333333336</v>
      </c>
      <c r="P1851" s="40">
        <v>47.083333333333336</v>
      </c>
      <c r="Q1851" s="40">
        <v>47.083333333333336</v>
      </c>
      <c r="R1851" s="40">
        <v>47.083333333333336</v>
      </c>
      <c r="S1851" s="40">
        <v>47.083333333333336</v>
      </c>
      <c r="T1851" s="40">
        <v>47.083333333333336</v>
      </c>
      <c r="U1851" s="40">
        <v>47.083333333333336</v>
      </c>
      <c r="V1851" s="40">
        <v>47.083333333333336</v>
      </c>
      <c r="W1851" s="40">
        <v>47.083333333333336</v>
      </c>
      <c r="X1851" s="40">
        <v>47.083333333333336</v>
      </c>
      <c r="Y1851" s="40">
        <v>47.083333333333336</v>
      </c>
      <c r="Z1851" s="40">
        <v>47.083333333333336</v>
      </c>
      <c r="AA1851" s="966">
        <f t="shared" si="325"/>
        <v>565</v>
      </c>
      <c r="AB1851" s="35"/>
      <c r="AC1851" s="183"/>
    </row>
    <row r="1852" spans="1:29" x14ac:dyDescent="0.2">
      <c r="A1852" s="1422"/>
      <c r="B1852" s="2522"/>
      <c r="C1852" s="2456"/>
      <c r="D1852" s="3369"/>
      <c r="E1852" s="3369"/>
      <c r="F1852" s="2420"/>
      <c r="G1852" s="2420"/>
      <c r="H1852" s="2420"/>
      <c r="I1852" s="2420"/>
      <c r="J1852" s="3298"/>
      <c r="K1852" s="40">
        <v>3400</v>
      </c>
      <c r="L1852" s="2421"/>
      <c r="M1852" s="3287" t="s">
        <v>302</v>
      </c>
      <c r="N1852" s="3288"/>
      <c r="O1852" s="40"/>
      <c r="P1852" s="40"/>
      <c r="Q1852" s="40"/>
      <c r="R1852" s="40"/>
      <c r="S1852" s="40">
        <v>3400</v>
      </c>
      <c r="T1852" s="40"/>
      <c r="U1852" s="40"/>
      <c r="V1852" s="40"/>
      <c r="W1852" s="40"/>
      <c r="X1852" s="40"/>
      <c r="Y1852" s="40"/>
      <c r="Z1852" s="40"/>
      <c r="AA1852" s="966">
        <f t="shared" si="325"/>
        <v>3400</v>
      </c>
      <c r="AB1852" s="35"/>
      <c r="AC1852" s="183"/>
    </row>
    <row r="1853" spans="1:29" x14ac:dyDescent="0.2">
      <c r="A1853" s="1422"/>
      <c r="B1853" s="2522"/>
      <c r="C1853" s="2456"/>
      <c r="D1853" s="3369"/>
      <c r="E1853" s="3369"/>
      <c r="F1853" s="2420"/>
      <c r="G1853" s="2420"/>
      <c r="H1853" s="2420"/>
      <c r="I1853" s="2420"/>
      <c r="J1853" s="3298"/>
      <c r="K1853" s="40">
        <v>3458</v>
      </c>
      <c r="L1853" s="2421"/>
      <c r="M1853" s="3287" t="s">
        <v>304</v>
      </c>
      <c r="N1853" s="3288"/>
      <c r="O1853" s="40"/>
      <c r="P1853" s="40"/>
      <c r="Q1853" s="40">
        <v>1729</v>
      </c>
      <c r="R1853" s="40"/>
      <c r="S1853" s="40"/>
      <c r="T1853" s="40"/>
      <c r="U1853" s="40">
        <v>1729</v>
      </c>
      <c r="V1853" s="40"/>
      <c r="W1853" s="40"/>
      <c r="X1853" s="40"/>
      <c r="Y1853" s="40"/>
      <c r="Z1853" s="40"/>
      <c r="AA1853" s="966">
        <f t="shared" si="325"/>
        <v>3458</v>
      </c>
      <c r="AB1853" s="35"/>
      <c r="AC1853" s="183"/>
    </row>
    <row r="1854" spans="1:29" x14ac:dyDescent="0.2">
      <c r="A1854" s="1422"/>
      <c r="B1854" s="2522"/>
      <c r="C1854" s="2456"/>
      <c r="D1854" s="3369"/>
      <c r="E1854" s="3369"/>
      <c r="F1854" s="2420"/>
      <c r="G1854" s="2420"/>
      <c r="H1854" s="2420"/>
      <c r="I1854" s="2420"/>
      <c r="J1854" s="3298"/>
      <c r="K1854" s="40">
        <v>5600</v>
      </c>
      <c r="L1854" s="2421"/>
      <c r="M1854" s="3287" t="s">
        <v>307</v>
      </c>
      <c r="N1854" s="3288"/>
      <c r="O1854" s="40"/>
      <c r="P1854" s="40">
        <v>509.09090909090907</v>
      </c>
      <c r="Q1854" s="40">
        <v>509.09090909090907</v>
      </c>
      <c r="R1854" s="40">
        <v>509.09090909090907</v>
      </c>
      <c r="S1854" s="40">
        <v>509.09090909090907</v>
      </c>
      <c r="T1854" s="40">
        <v>509.09090909090907</v>
      </c>
      <c r="U1854" s="40">
        <v>509.09090909090907</v>
      </c>
      <c r="V1854" s="40">
        <v>509.09090909090907</v>
      </c>
      <c r="W1854" s="40">
        <v>509.09090909090907</v>
      </c>
      <c r="X1854" s="40">
        <v>509.09090909090907</v>
      </c>
      <c r="Y1854" s="40">
        <v>509.09090909090907</v>
      </c>
      <c r="Z1854" s="40">
        <v>509.09090909090907</v>
      </c>
      <c r="AA1854" s="966">
        <f t="shared" si="325"/>
        <v>5600</v>
      </c>
      <c r="AB1854" s="35"/>
      <c r="AC1854" s="183"/>
    </row>
    <row r="1855" spans="1:29" x14ac:dyDescent="0.2">
      <c r="A1855" s="1422"/>
      <c r="B1855" s="2522"/>
      <c r="C1855" s="2456"/>
      <c r="D1855" s="3369"/>
      <c r="E1855" s="3369"/>
      <c r="F1855" s="2420"/>
      <c r="G1855" s="2420"/>
      <c r="H1855" s="2420"/>
      <c r="I1855" s="2420"/>
      <c r="J1855" s="3298"/>
      <c r="K1855" s="40">
        <v>2500</v>
      </c>
      <c r="L1855" s="2421"/>
      <c r="M1855" s="3287" t="s">
        <v>355</v>
      </c>
      <c r="N1855" s="3288"/>
      <c r="O1855" s="40"/>
      <c r="P1855" s="40"/>
      <c r="Q1855" s="40"/>
      <c r="R1855" s="40">
        <v>2500</v>
      </c>
      <c r="S1855" s="40"/>
      <c r="T1855" s="40"/>
      <c r="U1855" s="40"/>
      <c r="V1855" s="40"/>
      <c r="W1855" s="40"/>
      <c r="X1855" s="40"/>
      <c r="Y1855" s="40"/>
      <c r="Z1855" s="40"/>
      <c r="AA1855" s="966">
        <f t="shared" si="325"/>
        <v>2500</v>
      </c>
      <c r="AB1855" s="35"/>
      <c r="AC1855" s="183"/>
    </row>
    <row r="1856" spans="1:29" x14ac:dyDescent="0.2">
      <c r="A1856" s="1422"/>
      <c r="B1856" s="2522"/>
      <c r="C1856" s="2456"/>
      <c r="D1856" s="3369"/>
      <c r="E1856" s="3369"/>
      <c r="F1856" s="2420"/>
      <c r="G1856" s="2420"/>
      <c r="H1856" s="2420"/>
      <c r="I1856" s="2420"/>
      <c r="J1856" s="3298"/>
      <c r="K1856" s="40">
        <v>15000</v>
      </c>
      <c r="L1856" s="2421"/>
      <c r="M1856" s="3287" t="s">
        <v>309</v>
      </c>
      <c r="N1856" s="3288"/>
      <c r="O1856" s="40"/>
      <c r="P1856" s="40"/>
      <c r="Q1856" s="40">
        <v>3000</v>
      </c>
      <c r="R1856" s="40"/>
      <c r="S1856" s="40">
        <v>3000</v>
      </c>
      <c r="T1856" s="40"/>
      <c r="U1856" s="40">
        <v>3000</v>
      </c>
      <c r="V1856" s="40"/>
      <c r="W1856" s="40">
        <v>3000</v>
      </c>
      <c r="X1856" s="40"/>
      <c r="Y1856" s="40">
        <v>3000</v>
      </c>
      <c r="Z1856" s="40"/>
      <c r="AA1856" s="966">
        <f t="shared" si="325"/>
        <v>15000</v>
      </c>
      <c r="AB1856" s="35"/>
      <c r="AC1856" s="183"/>
    </row>
    <row r="1857" spans="1:30" x14ac:dyDescent="0.2">
      <c r="A1857" s="1422"/>
      <c r="B1857" s="2522"/>
      <c r="C1857" s="2456"/>
      <c r="D1857" s="3369"/>
      <c r="E1857" s="3369"/>
      <c r="F1857" s="2420"/>
      <c r="G1857" s="2420"/>
      <c r="H1857" s="2420"/>
      <c r="I1857" s="2420"/>
      <c r="J1857" s="3298"/>
      <c r="K1857" s="40">
        <v>56138</v>
      </c>
      <c r="L1857" s="2421"/>
      <c r="M1857" s="3287" t="s">
        <v>310</v>
      </c>
      <c r="N1857" s="3288"/>
      <c r="O1857" s="40">
        <v>4678.166666666667</v>
      </c>
      <c r="P1857" s="40">
        <v>4678.166666666667</v>
      </c>
      <c r="Q1857" s="40">
        <v>4678.166666666667</v>
      </c>
      <c r="R1857" s="40">
        <v>4678.166666666667</v>
      </c>
      <c r="S1857" s="40">
        <v>4678.166666666667</v>
      </c>
      <c r="T1857" s="40">
        <v>4678.166666666667</v>
      </c>
      <c r="U1857" s="40">
        <v>4678.166666666667</v>
      </c>
      <c r="V1857" s="40">
        <v>4678.166666666667</v>
      </c>
      <c r="W1857" s="40">
        <v>4678.166666666667</v>
      </c>
      <c r="X1857" s="40">
        <v>4678.166666666667</v>
      </c>
      <c r="Y1857" s="40">
        <v>4678.166666666667</v>
      </c>
      <c r="Z1857" s="40">
        <v>4678.166666666667</v>
      </c>
      <c r="AA1857" s="966">
        <f t="shared" si="325"/>
        <v>56137.999999999993</v>
      </c>
      <c r="AB1857" s="35"/>
      <c r="AC1857" s="183"/>
    </row>
    <row r="1858" spans="1:30" x14ac:dyDescent="0.2">
      <c r="A1858" s="1422"/>
      <c r="B1858" s="2522"/>
      <c r="C1858" s="2450"/>
      <c r="D1858" s="3369"/>
      <c r="E1858" s="3369"/>
      <c r="F1858" s="2420"/>
      <c r="G1858" s="2420"/>
      <c r="H1858" s="2420"/>
      <c r="I1858" s="2420"/>
      <c r="J1858" s="3299"/>
      <c r="K1858" s="40">
        <v>4461</v>
      </c>
      <c r="L1858" s="2421"/>
      <c r="M1858" s="3287" t="s">
        <v>311</v>
      </c>
      <c r="N1858" s="3288"/>
      <c r="O1858" s="40">
        <v>371.75</v>
      </c>
      <c r="P1858" s="40">
        <v>371.75</v>
      </c>
      <c r="Q1858" s="40">
        <v>371.75</v>
      </c>
      <c r="R1858" s="40">
        <v>371.75</v>
      </c>
      <c r="S1858" s="40">
        <v>371.75</v>
      </c>
      <c r="T1858" s="40">
        <v>371.75</v>
      </c>
      <c r="U1858" s="40">
        <v>371.75</v>
      </c>
      <c r="V1858" s="40">
        <v>371.75</v>
      </c>
      <c r="W1858" s="40">
        <v>371.75</v>
      </c>
      <c r="X1858" s="40">
        <v>371.75</v>
      </c>
      <c r="Y1858" s="40">
        <v>371.75</v>
      </c>
      <c r="Z1858" s="40">
        <v>371.75</v>
      </c>
      <c r="AA1858" s="966">
        <f t="shared" si="325"/>
        <v>4461</v>
      </c>
      <c r="AB1858" s="35"/>
      <c r="AC1858" s="183"/>
    </row>
    <row r="1859" spans="1:30" x14ac:dyDescent="0.2">
      <c r="A1859" s="1422"/>
      <c r="B1859" s="1422"/>
      <c r="C1859" s="1124"/>
      <c r="D1859" s="35"/>
      <c r="E1859" s="35"/>
      <c r="F1859" s="35"/>
      <c r="G1859" s="35"/>
      <c r="H1859" s="35"/>
      <c r="I1859" s="35"/>
      <c r="J1859" s="105"/>
      <c r="K1859" s="102"/>
      <c r="L1859" s="102"/>
      <c r="M1859" s="1124"/>
      <c r="N1859" s="1124"/>
      <c r="O1859" s="35"/>
      <c r="P1859" s="35"/>
      <c r="Q1859" s="35"/>
      <c r="R1859" s="35"/>
      <c r="S1859" s="35"/>
      <c r="T1859" s="35"/>
      <c r="U1859" s="35"/>
      <c r="V1859" s="35"/>
      <c r="W1859" s="35"/>
      <c r="X1859" s="35"/>
      <c r="Y1859" s="35"/>
      <c r="Z1859" s="35"/>
      <c r="AA1859" s="197"/>
      <c r="AB1859" s="35"/>
      <c r="AC1859" s="183"/>
    </row>
    <row r="1860" spans="1:30" ht="22.5" customHeight="1" x14ac:dyDescent="0.2">
      <c r="A1860" s="1422"/>
      <c r="B1860" s="1422"/>
      <c r="C1860" s="1124"/>
      <c r="D1860" s="35"/>
      <c r="E1860" s="35"/>
      <c r="F1860" s="35"/>
      <c r="G1860" s="35"/>
      <c r="H1860" s="35"/>
      <c r="I1860" s="35"/>
      <c r="J1860" s="35"/>
      <c r="K1860" s="35"/>
      <c r="L1860" s="35"/>
      <c r="M1860" s="35"/>
      <c r="N1860" s="35"/>
      <c r="O1860" s="35"/>
      <c r="P1860" s="35"/>
      <c r="Q1860" s="35"/>
      <c r="R1860" s="35"/>
      <c r="S1860" s="2922" t="s">
        <v>15</v>
      </c>
      <c r="T1860" s="2922"/>
      <c r="U1860" s="2922"/>
      <c r="V1860" s="2922"/>
      <c r="W1860" s="2922"/>
      <c r="X1860" s="2922"/>
      <c r="Y1860" s="2922"/>
      <c r="Z1860" s="2922"/>
      <c r="AA1860" s="2148" t="s">
        <v>16</v>
      </c>
      <c r="AB1860" s="35"/>
      <c r="AC1860" s="183"/>
    </row>
    <row r="1861" spans="1:30" ht="29.25" customHeight="1" x14ac:dyDescent="0.2">
      <c r="A1861" s="1422"/>
      <c r="B1861" s="1950" t="s">
        <v>276</v>
      </c>
      <c r="C1861" s="1941"/>
      <c r="D1861" s="628">
        <v>3043981</v>
      </c>
      <c r="E1861" s="1941" t="s">
        <v>664</v>
      </c>
      <c r="F1861" s="628"/>
      <c r="G1861" s="628"/>
      <c r="H1861" s="628"/>
      <c r="I1861" s="628"/>
      <c r="J1861" s="191"/>
      <c r="K1861" s="628"/>
      <c r="L1861" s="628"/>
      <c r="M1861" s="1939"/>
      <c r="N1861" s="1124"/>
      <c r="O1861" s="35"/>
      <c r="P1861" s="35"/>
      <c r="Q1861" s="35"/>
      <c r="R1861" s="35"/>
      <c r="S1861" s="2922" t="s">
        <v>665</v>
      </c>
      <c r="T1861" s="2922"/>
      <c r="U1861" s="2922"/>
      <c r="V1861" s="2922"/>
      <c r="W1861" s="2922"/>
      <c r="X1861" s="2922"/>
      <c r="Y1861" s="2922"/>
      <c r="Z1861" s="2922"/>
      <c r="AA1861" s="2148" t="s">
        <v>602</v>
      </c>
      <c r="AB1861" s="35"/>
      <c r="AC1861" s="183"/>
    </row>
    <row r="1862" spans="1:30" x14ac:dyDescent="0.2">
      <c r="A1862" s="1422"/>
      <c r="B1862" s="2999" t="s">
        <v>278</v>
      </c>
      <c r="C1862" s="2999" t="s">
        <v>21</v>
      </c>
      <c r="D1862" s="2847" t="s">
        <v>22</v>
      </c>
      <c r="E1862" s="2847" t="s">
        <v>23</v>
      </c>
      <c r="F1862" s="2847" t="s">
        <v>24</v>
      </c>
      <c r="G1862" s="2847" t="s">
        <v>25</v>
      </c>
      <c r="H1862" s="2847" t="s">
        <v>26</v>
      </c>
      <c r="I1862" s="2847" t="s">
        <v>27</v>
      </c>
      <c r="J1862" s="3206" t="s">
        <v>28</v>
      </c>
      <c r="K1862" s="3301"/>
      <c r="L1862" s="2988" t="s">
        <v>279</v>
      </c>
      <c r="M1862" s="2986" t="s">
        <v>280</v>
      </c>
      <c r="N1862" s="2987"/>
      <c r="O1862" s="2847" t="s">
        <v>281</v>
      </c>
      <c r="P1862" s="2847"/>
      <c r="Q1862" s="2847"/>
      <c r="R1862" s="2847"/>
      <c r="S1862" s="2847"/>
      <c r="T1862" s="2847"/>
      <c r="U1862" s="2847"/>
      <c r="V1862" s="2847"/>
      <c r="W1862" s="2847"/>
      <c r="X1862" s="2847"/>
      <c r="Y1862" s="2847"/>
      <c r="Z1862" s="2847"/>
      <c r="AA1862" s="2847" t="s">
        <v>32</v>
      </c>
      <c r="AB1862" s="35"/>
      <c r="AC1862" s="183"/>
    </row>
    <row r="1863" spans="1:30" x14ac:dyDescent="0.2">
      <c r="A1863" s="1422"/>
      <c r="B1863" s="2999"/>
      <c r="C1863" s="2999"/>
      <c r="D1863" s="2847"/>
      <c r="E1863" s="2847"/>
      <c r="F1863" s="2847"/>
      <c r="G1863" s="2847"/>
      <c r="H1863" s="2847"/>
      <c r="I1863" s="2847"/>
      <c r="J1863" s="1007" t="s">
        <v>33</v>
      </c>
      <c r="K1863" s="2988" t="s">
        <v>282</v>
      </c>
      <c r="L1863" s="3186"/>
      <c r="M1863" s="3000"/>
      <c r="N1863" s="3001"/>
      <c r="O1863" s="1009" t="s">
        <v>283</v>
      </c>
      <c r="P1863" s="1009" t="s">
        <v>284</v>
      </c>
      <c r="Q1863" s="1009" t="s">
        <v>285</v>
      </c>
      <c r="R1863" s="1009" t="s">
        <v>88</v>
      </c>
      <c r="S1863" s="1009" t="s">
        <v>89</v>
      </c>
      <c r="T1863" s="1009" t="s">
        <v>90</v>
      </c>
      <c r="U1863" s="1009" t="s">
        <v>91</v>
      </c>
      <c r="V1863" s="1009" t="s">
        <v>92</v>
      </c>
      <c r="W1863" s="1009" t="s">
        <v>286</v>
      </c>
      <c r="X1863" s="1009" t="s">
        <v>93</v>
      </c>
      <c r="Y1863" s="1009" t="s">
        <v>94</v>
      </c>
      <c r="Z1863" s="1009" t="s">
        <v>95</v>
      </c>
      <c r="AA1863" s="2847"/>
      <c r="AB1863" s="35"/>
      <c r="AC1863" s="183"/>
    </row>
    <row r="1864" spans="1:30" ht="12.75" x14ac:dyDescent="0.2">
      <c r="A1864" s="1422"/>
      <c r="B1864" s="2999"/>
      <c r="C1864" s="2999"/>
      <c r="D1864" s="2847"/>
      <c r="E1864" s="2847"/>
      <c r="F1864" s="2847"/>
      <c r="G1864" s="2847"/>
      <c r="H1864" s="2847"/>
      <c r="I1864" s="2847"/>
      <c r="J1864" s="106"/>
      <c r="K1864" s="3186"/>
      <c r="L1864" s="3186"/>
      <c r="M1864" s="3271" t="s">
        <v>287</v>
      </c>
      <c r="N1864" s="3272"/>
      <c r="O1864" s="40">
        <v>6322</v>
      </c>
      <c r="P1864" s="40">
        <v>6324</v>
      </c>
      <c r="Q1864" s="40">
        <v>6324</v>
      </c>
      <c r="R1864" s="40">
        <v>6324</v>
      </c>
      <c r="S1864" s="40">
        <v>6324</v>
      </c>
      <c r="T1864" s="40">
        <v>6324</v>
      </c>
      <c r="U1864" s="40">
        <v>6324</v>
      </c>
      <c r="V1864" s="40">
        <v>6324</v>
      </c>
      <c r="W1864" s="40">
        <v>6324</v>
      </c>
      <c r="X1864" s="40">
        <v>6324</v>
      </c>
      <c r="Y1864" s="40">
        <v>6324</v>
      </c>
      <c r="Z1864" s="40">
        <v>6324</v>
      </c>
      <c r="AA1864" s="97">
        <f>SUM(O1864:Z1864)</f>
        <v>75886</v>
      </c>
      <c r="AB1864" s="35"/>
      <c r="AC1864" s="183"/>
    </row>
    <row r="1865" spans="1:30" ht="12.75" x14ac:dyDescent="0.2">
      <c r="A1865" s="1422"/>
      <c r="B1865" s="2999"/>
      <c r="C1865" s="2999"/>
      <c r="D1865" s="2847"/>
      <c r="E1865" s="2847"/>
      <c r="F1865" s="2847"/>
      <c r="G1865" s="2847"/>
      <c r="H1865" s="2847"/>
      <c r="I1865" s="2847"/>
      <c r="J1865" s="1008"/>
      <c r="K1865" s="2989"/>
      <c r="L1865" s="2989"/>
      <c r="M1865" s="3271" t="s">
        <v>34</v>
      </c>
      <c r="N1865" s="3272"/>
      <c r="O1865" s="40">
        <f>SUM(O1866:O1890)</f>
        <v>132260.83333333331</v>
      </c>
      <c r="P1865" s="40">
        <f t="shared" ref="P1865:Z1865" si="326">SUM(P1866:P1890)</f>
        <v>111607.19696969696</v>
      </c>
      <c r="Q1865" s="40">
        <f t="shared" si="326"/>
        <v>178158.19696969693</v>
      </c>
      <c r="R1865" s="40">
        <f t="shared" si="326"/>
        <v>180358.19696969693</v>
      </c>
      <c r="S1865" s="40">
        <f t="shared" si="326"/>
        <v>195654.69696969693</v>
      </c>
      <c r="T1865" s="40">
        <f t="shared" si="326"/>
        <v>194904.69696969693</v>
      </c>
      <c r="U1865" s="40">
        <f t="shared" si="326"/>
        <v>188608.19696969693</v>
      </c>
      <c r="V1865" s="40">
        <f t="shared" si="326"/>
        <v>181108.19696969693</v>
      </c>
      <c r="W1865" s="40">
        <f t="shared" si="326"/>
        <v>167758.19696969693</v>
      </c>
      <c r="X1865" s="40">
        <f t="shared" si="326"/>
        <v>167758.19696969693</v>
      </c>
      <c r="Y1865" s="40">
        <f t="shared" si="326"/>
        <v>168508.19696969693</v>
      </c>
      <c r="Z1865" s="40">
        <f t="shared" si="326"/>
        <v>182208.19696969693</v>
      </c>
      <c r="AA1865" s="97">
        <f>SUM(O1865:Z1865)</f>
        <v>2048893</v>
      </c>
      <c r="AB1865" s="35"/>
      <c r="AC1865" s="183"/>
    </row>
    <row r="1866" spans="1:30" x14ac:dyDescent="0.2">
      <c r="A1866" s="1422"/>
      <c r="B1866" s="2522">
        <v>5000091</v>
      </c>
      <c r="C1866" s="2438" t="s">
        <v>666</v>
      </c>
      <c r="D1866" s="3369">
        <v>64</v>
      </c>
      <c r="E1866" s="3369" t="s">
        <v>407</v>
      </c>
      <c r="F1866" s="3369" t="s">
        <v>313</v>
      </c>
      <c r="G1866" s="2420" t="s">
        <v>329</v>
      </c>
      <c r="H1866" s="3369"/>
      <c r="I1866" s="3369" t="s">
        <v>603</v>
      </c>
      <c r="J1866" s="3297">
        <v>75886</v>
      </c>
      <c r="K1866" s="40">
        <v>18500</v>
      </c>
      <c r="L1866" s="2421" t="s">
        <v>644</v>
      </c>
      <c r="M1866" s="3287" t="s">
        <v>320</v>
      </c>
      <c r="N1866" s="3288"/>
      <c r="O1866" s="40">
        <v>1541.6666666666667</v>
      </c>
      <c r="P1866" s="40">
        <v>1541.6666666666667</v>
      </c>
      <c r="Q1866" s="40">
        <v>1541.6666666666667</v>
      </c>
      <c r="R1866" s="40">
        <v>1541.6666666666667</v>
      </c>
      <c r="S1866" s="40">
        <v>1541.6666666666667</v>
      </c>
      <c r="T1866" s="40">
        <v>1541.6666666666667</v>
      </c>
      <c r="U1866" s="40">
        <v>1541.6666666666667</v>
      </c>
      <c r="V1866" s="40">
        <v>1541.6666666666667</v>
      </c>
      <c r="W1866" s="40">
        <v>1541.6666666666667</v>
      </c>
      <c r="X1866" s="40">
        <v>1541.6666666666667</v>
      </c>
      <c r="Y1866" s="40">
        <v>1541.6666666666667</v>
      </c>
      <c r="Z1866" s="40">
        <v>1541.6666666666667</v>
      </c>
      <c r="AA1866" s="40">
        <f t="shared" ref="AA1866:AA1890" si="327">SUM(O1866:Z1866)</f>
        <v>18500</v>
      </c>
      <c r="AB1866" s="35"/>
      <c r="AC1866" s="183"/>
    </row>
    <row r="1867" spans="1:30" x14ac:dyDescent="0.2">
      <c r="A1867" s="1422"/>
      <c r="B1867" s="2522"/>
      <c r="C1867" s="2456"/>
      <c r="D1867" s="3369"/>
      <c r="E1867" s="3369"/>
      <c r="F1867" s="3369"/>
      <c r="G1867" s="2420"/>
      <c r="H1867" s="3369"/>
      <c r="I1867" s="3369"/>
      <c r="J1867" s="3298"/>
      <c r="K1867" s="40">
        <v>187020</v>
      </c>
      <c r="L1867" s="2421"/>
      <c r="M1867" s="3287" t="s">
        <v>293</v>
      </c>
      <c r="N1867" s="3288"/>
      <c r="O1867" s="40">
        <v>15585</v>
      </c>
      <c r="P1867" s="40">
        <v>15585</v>
      </c>
      <c r="Q1867" s="40">
        <v>15585</v>
      </c>
      <c r="R1867" s="40">
        <v>15585</v>
      </c>
      <c r="S1867" s="40">
        <v>15585</v>
      </c>
      <c r="T1867" s="40">
        <v>15585</v>
      </c>
      <c r="U1867" s="40">
        <v>15585</v>
      </c>
      <c r="V1867" s="40">
        <v>15585</v>
      </c>
      <c r="W1867" s="40">
        <v>15585</v>
      </c>
      <c r="X1867" s="40">
        <v>15585</v>
      </c>
      <c r="Y1867" s="40">
        <v>15585</v>
      </c>
      <c r="Z1867" s="40">
        <v>15585</v>
      </c>
      <c r="AA1867" s="966">
        <f t="shared" si="327"/>
        <v>187020</v>
      </c>
      <c r="AB1867" s="1210"/>
      <c r="AC1867" s="1199"/>
      <c r="AD1867" s="1211"/>
    </row>
    <row r="1868" spans="1:30" x14ac:dyDescent="0.2">
      <c r="A1868" s="1422"/>
      <c r="B1868" s="2522"/>
      <c r="C1868" s="2456"/>
      <c r="D1868" s="3369"/>
      <c r="E1868" s="3369"/>
      <c r="F1868" s="3369"/>
      <c r="G1868" s="2420"/>
      <c r="H1868" s="3369"/>
      <c r="I1868" s="3369"/>
      <c r="J1868" s="3298"/>
      <c r="K1868" s="40">
        <v>515920</v>
      </c>
      <c r="L1868" s="2421"/>
      <c r="M1868" s="3287" t="s">
        <v>295</v>
      </c>
      <c r="N1868" s="3288"/>
      <c r="O1868" s="40">
        <v>42993.333333333336</v>
      </c>
      <c r="P1868" s="40">
        <v>42993.333333333336</v>
      </c>
      <c r="Q1868" s="40">
        <v>42993.333333333336</v>
      </c>
      <c r="R1868" s="40">
        <v>42993.333333333336</v>
      </c>
      <c r="S1868" s="40">
        <v>42993.333333333336</v>
      </c>
      <c r="T1868" s="40">
        <v>42993.333333333336</v>
      </c>
      <c r="U1868" s="40">
        <v>42993.333333333336</v>
      </c>
      <c r="V1868" s="40">
        <v>42993.333333333336</v>
      </c>
      <c r="W1868" s="40">
        <v>42993.333333333336</v>
      </c>
      <c r="X1868" s="40">
        <v>42993.333333333336</v>
      </c>
      <c r="Y1868" s="40">
        <v>42993.333333333336</v>
      </c>
      <c r="Z1868" s="40">
        <v>42993.333333333336</v>
      </c>
      <c r="AA1868" s="966">
        <f t="shared" si="327"/>
        <v>515919.99999999994</v>
      </c>
      <c r="AB1868" s="1210"/>
      <c r="AC1868" s="1199"/>
      <c r="AD1868" s="1211"/>
    </row>
    <row r="1869" spans="1:30" x14ac:dyDescent="0.2">
      <c r="A1869" s="1422"/>
      <c r="B1869" s="2522"/>
      <c r="C1869" s="2456"/>
      <c r="D1869" s="3369"/>
      <c r="E1869" s="3369"/>
      <c r="F1869" s="3369"/>
      <c r="G1869" s="2420"/>
      <c r="H1869" s="3369"/>
      <c r="I1869" s="3369"/>
      <c r="J1869" s="3298"/>
      <c r="K1869" s="40">
        <v>130111</v>
      </c>
      <c r="L1869" s="2421"/>
      <c r="M1869" s="3287" t="s">
        <v>296</v>
      </c>
      <c r="N1869" s="3288"/>
      <c r="O1869" s="40">
        <v>10842.583333333334</v>
      </c>
      <c r="P1869" s="40">
        <v>10842.583333333334</v>
      </c>
      <c r="Q1869" s="40">
        <v>10842.583333333334</v>
      </c>
      <c r="R1869" s="40">
        <v>10842.583333333334</v>
      </c>
      <c r="S1869" s="40">
        <v>10842.583333333334</v>
      </c>
      <c r="T1869" s="40">
        <v>10842.583333333334</v>
      </c>
      <c r="U1869" s="40">
        <v>10842.583333333334</v>
      </c>
      <c r="V1869" s="40">
        <v>10842.583333333334</v>
      </c>
      <c r="W1869" s="40">
        <v>10842.583333333334</v>
      </c>
      <c r="X1869" s="40">
        <v>10842.583333333334</v>
      </c>
      <c r="Y1869" s="40">
        <v>10842.583333333334</v>
      </c>
      <c r="Z1869" s="40">
        <v>10842.583333333334</v>
      </c>
      <c r="AA1869" s="966">
        <f t="shared" si="327"/>
        <v>130110.99999999999</v>
      </c>
      <c r="AB1869" s="1210"/>
      <c r="AC1869" s="1199"/>
      <c r="AD1869" s="1211"/>
    </row>
    <row r="1870" spans="1:30" x14ac:dyDescent="0.2">
      <c r="A1870" s="1422"/>
      <c r="B1870" s="2522"/>
      <c r="C1870" s="2456"/>
      <c r="D1870" s="3369"/>
      <c r="E1870" s="3369"/>
      <c r="F1870" s="3369"/>
      <c r="G1870" s="2420"/>
      <c r="H1870" s="3369"/>
      <c r="I1870" s="3369"/>
      <c r="J1870" s="3298"/>
      <c r="K1870" s="40">
        <v>36504</v>
      </c>
      <c r="L1870" s="2421"/>
      <c r="M1870" s="3287" t="s">
        <v>297</v>
      </c>
      <c r="N1870" s="3288"/>
      <c r="O1870" s="40">
        <v>3042</v>
      </c>
      <c r="P1870" s="40">
        <v>3042</v>
      </c>
      <c r="Q1870" s="40">
        <v>3042</v>
      </c>
      <c r="R1870" s="40">
        <v>3042</v>
      </c>
      <c r="S1870" s="40">
        <v>3042</v>
      </c>
      <c r="T1870" s="40">
        <v>3042</v>
      </c>
      <c r="U1870" s="40">
        <v>3042</v>
      </c>
      <c r="V1870" s="40">
        <v>3042</v>
      </c>
      <c r="W1870" s="40">
        <v>3042</v>
      </c>
      <c r="X1870" s="40">
        <v>3042</v>
      </c>
      <c r="Y1870" s="40">
        <v>3042</v>
      </c>
      <c r="Z1870" s="40">
        <v>3042</v>
      </c>
      <c r="AA1870" s="966">
        <f t="shared" si="327"/>
        <v>36504</v>
      </c>
      <c r="AB1870" s="1210"/>
      <c r="AC1870" s="1199"/>
      <c r="AD1870" s="1211"/>
    </row>
    <row r="1871" spans="1:30" x14ac:dyDescent="0.2">
      <c r="A1871" s="1422"/>
      <c r="B1871" s="2522"/>
      <c r="C1871" s="2456"/>
      <c r="D1871" s="3369"/>
      <c r="E1871" s="3369"/>
      <c r="F1871" s="3369"/>
      <c r="G1871" s="2420"/>
      <c r="H1871" s="3369"/>
      <c r="I1871" s="3369"/>
      <c r="J1871" s="3298"/>
      <c r="K1871" s="40">
        <v>28900</v>
      </c>
      <c r="L1871" s="2421"/>
      <c r="M1871" s="3287" t="s">
        <v>298</v>
      </c>
      <c r="N1871" s="3288"/>
      <c r="O1871" s="40"/>
      <c r="P1871" s="40"/>
      <c r="Q1871" s="40"/>
      <c r="R1871" s="40"/>
      <c r="S1871" s="40"/>
      <c r="T1871" s="40"/>
      <c r="U1871" s="40">
        <v>14450</v>
      </c>
      <c r="V1871" s="40"/>
      <c r="W1871" s="40"/>
      <c r="X1871" s="40"/>
      <c r="Y1871" s="40"/>
      <c r="Z1871" s="40">
        <v>14450</v>
      </c>
      <c r="AA1871" s="966">
        <f t="shared" si="327"/>
        <v>28900</v>
      </c>
      <c r="AB1871" s="1210"/>
      <c r="AC1871" s="1199"/>
      <c r="AD1871" s="1211"/>
    </row>
    <row r="1872" spans="1:30" x14ac:dyDescent="0.2">
      <c r="A1872" s="1422"/>
      <c r="B1872" s="2522"/>
      <c r="C1872" s="2456"/>
      <c r="D1872" s="3369"/>
      <c r="E1872" s="3369"/>
      <c r="F1872" s="3369"/>
      <c r="G1872" s="2420"/>
      <c r="H1872" s="3369"/>
      <c r="I1872" s="3369"/>
      <c r="J1872" s="3298"/>
      <c r="K1872" s="40">
        <v>24400</v>
      </c>
      <c r="L1872" s="2421"/>
      <c r="M1872" s="3287" t="s">
        <v>299</v>
      </c>
      <c r="N1872" s="3288"/>
      <c r="O1872" s="40">
        <v>24400</v>
      </c>
      <c r="P1872" s="40"/>
      <c r="Q1872" s="40"/>
      <c r="R1872" s="40"/>
      <c r="S1872" s="40"/>
      <c r="T1872" s="40"/>
      <c r="U1872" s="40"/>
      <c r="V1872" s="40"/>
      <c r="W1872" s="40"/>
      <c r="X1872" s="40"/>
      <c r="Y1872" s="40"/>
      <c r="Z1872" s="40"/>
      <c r="AA1872" s="966">
        <f t="shared" si="327"/>
        <v>24400</v>
      </c>
      <c r="AB1872" s="1210"/>
      <c r="AC1872" s="1199"/>
      <c r="AD1872" s="1211"/>
    </row>
    <row r="1873" spans="1:30" x14ac:dyDescent="0.2">
      <c r="A1873" s="1422"/>
      <c r="B1873" s="2522"/>
      <c r="C1873" s="2456"/>
      <c r="D1873" s="3369"/>
      <c r="E1873" s="3369"/>
      <c r="F1873" s="3369"/>
      <c r="G1873" s="2420"/>
      <c r="H1873" s="3369"/>
      <c r="I1873" s="3369"/>
      <c r="J1873" s="3298"/>
      <c r="K1873" s="40">
        <v>81223</v>
      </c>
      <c r="L1873" s="2421"/>
      <c r="M1873" s="3287" t="s">
        <v>300</v>
      </c>
      <c r="N1873" s="3288"/>
      <c r="O1873" s="40">
        <v>6768.583333333333</v>
      </c>
      <c r="P1873" s="40">
        <v>6768.583333333333</v>
      </c>
      <c r="Q1873" s="40">
        <v>6768.583333333333</v>
      </c>
      <c r="R1873" s="40">
        <v>6768.583333333333</v>
      </c>
      <c r="S1873" s="40">
        <v>6768.583333333333</v>
      </c>
      <c r="T1873" s="40">
        <v>6768.583333333333</v>
      </c>
      <c r="U1873" s="40">
        <v>6768.583333333333</v>
      </c>
      <c r="V1873" s="40">
        <v>6768.583333333333</v>
      </c>
      <c r="W1873" s="40">
        <v>6768.583333333333</v>
      </c>
      <c r="X1873" s="40">
        <v>6768.583333333333</v>
      </c>
      <c r="Y1873" s="40">
        <v>6768.583333333333</v>
      </c>
      <c r="Z1873" s="40">
        <v>6768.583333333333</v>
      </c>
      <c r="AA1873" s="966">
        <f t="shared" si="327"/>
        <v>81223</v>
      </c>
      <c r="AB1873" s="1210"/>
      <c r="AC1873" s="1199"/>
      <c r="AD1873" s="1211"/>
    </row>
    <row r="1874" spans="1:30" x14ac:dyDescent="0.2">
      <c r="A1874" s="1422"/>
      <c r="B1874" s="2522"/>
      <c r="C1874" s="2456"/>
      <c r="D1874" s="3369"/>
      <c r="E1874" s="3369"/>
      <c r="F1874" s="3369"/>
      <c r="G1874" s="2420"/>
      <c r="H1874" s="3369"/>
      <c r="I1874" s="3369"/>
      <c r="J1874" s="3298"/>
      <c r="K1874" s="40">
        <v>897</v>
      </c>
      <c r="L1874" s="2421"/>
      <c r="M1874" s="3287" t="s">
        <v>301</v>
      </c>
      <c r="N1874" s="3288"/>
      <c r="O1874" s="40">
        <v>74.75</v>
      </c>
      <c r="P1874" s="40">
        <v>74.75</v>
      </c>
      <c r="Q1874" s="40">
        <v>74.75</v>
      </c>
      <c r="R1874" s="40">
        <v>74.75</v>
      </c>
      <c r="S1874" s="40">
        <v>74.75</v>
      </c>
      <c r="T1874" s="40">
        <v>74.75</v>
      </c>
      <c r="U1874" s="40">
        <v>74.75</v>
      </c>
      <c r="V1874" s="40">
        <v>74.75</v>
      </c>
      <c r="W1874" s="40">
        <v>74.75</v>
      </c>
      <c r="X1874" s="40">
        <v>74.75</v>
      </c>
      <c r="Y1874" s="40">
        <v>74.75</v>
      </c>
      <c r="Z1874" s="40">
        <v>74.75</v>
      </c>
      <c r="AA1874" s="966">
        <f t="shared" si="327"/>
        <v>897</v>
      </c>
      <c r="AB1874" s="1210"/>
      <c r="AC1874" s="1199"/>
      <c r="AD1874" s="1211"/>
    </row>
    <row r="1875" spans="1:30" x14ac:dyDescent="0.2">
      <c r="A1875" s="1422"/>
      <c r="B1875" s="2522"/>
      <c r="C1875" s="2456"/>
      <c r="D1875" s="3369"/>
      <c r="E1875" s="3369"/>
      <c r="F1875" s="3369"/>
      <c r="G1875" s="2420"/>
      <c r="H1875" s="3369"/>
      <c r="I1875" s="3369"/>
      <c r="J1875" s="3298"/>
      <c r="K1875" s="40">
        <v>100000</v>
      </c>
      <c r="L1875" s="2421"/>
      <c r="M1875" s="3287" t="s">
        <v>667</v>
      </c>
      <c r="N1875" s="3288"/>
      <c r="O1875" s="40"/>
      <c r="P1875" s="40"/>
      <c r="Q1875" s="40">
        <v>10000</v>
      </c>
      <c r="R1875" s="40">
        <v>10000</v>
      </c>
      <c r="S1875" s="40">
        <v>10000</v>
      </c>
      <c r="T1875" s="40">
        <v>10000</v>
      </c>
      <c r="U1875" s="40">
        <v>10000</v>
      </c>
      <c r="V1875" s="40">
        <v>10000</v>
      </c>
      <c r="W1875" s="40">
        <v>10000</v>
      </c>
      <c r="X1875" s="40">
        <v>10000</v>
      </c>
      <c r="Y1875" s="40">
        <v>10000</v>
      </c>
      <c r="Z1875" s="40">
        <v>10000</v>
      </c>
      <c r="AA1875" s="966">
        <f t="shared" si="327"/>
        <v>100000</v>
      </c>
      <c r="AB1875" s="1210"/>
      <c r="AC1875" s="1199"/>
      <c r="AD1875" s="1211"/>
    </row>
    <row r="1876" spans="1:30" x14ac:dyDescent="0.2">
      <c r="A1876" s="1422"/>
      <c r="B1876" s="2522"/>
      <c r="C1876" s="2456"/>
      <c r="D1876" s="3369"/>
      <c r="E1876" s="3369"/>
      <c r="F1876" s="3369"/>
      <c r="G1876" s="2420"/>
      <c r="H1876" s="3369"/>
      <c r="I1876" s="3369"/>
      <c r="J1876" s="3298"/>
      <c r="K1876" s="40">
        <v>1000</v>
      </c>
      <c r="L1876" s="2421"/>
      <c r="M1876" s="3287" t="s">
        <v>380</v>
      </c>
      <c r="N1876" s="3288"/>
      <c r="O1876" s="40">
        <v>1000</v>
      </c>
      <c r="P1876" s="40"/>
      <c r="Q1876" s="40"/>
      <c r="R1876" s="40"/>
      <c r="S1876" s="40"/>
      <c r="T1876" s="40"/>
      <c r="U1876" s="40"/>
      <c r="V1876" s="40"/>
      <c r="W1876" s="40"/>
      <c r="X1876" s="40"/>
      <c r="Y1876" s="40"/>
      <c r="Z1876" s="40"/>
      <c r="AA1876" s="966">
        <f t="shared" si="327"/>
        <v>1000</v>
      </c>
      <c r="AB1876" s="1210"/>
      <c r="AC1876" s="1199"/>
      <c r="AD1876" s="1211"/>
    </row>
    <row r="1877" spans="1:30" x14ac:dyDescent="0.2">
      <c r="A1877" s="1422"/>
      <c r="B1877" s="2522"/>
      <c r="C1877" s="2456"/>
      <c r="D1877" s="3369"/>
      <c r="E1877" s="3369"/>
      <c r="F1877" s="3369"/>
      <c r="G1877" s="2420"/>
      <c r="H1877" s="3369"/>
      <c r="I1877" s="3369"/>
      <c r="J1877" s="3298"/>
      <c r="K1877" s="40">
        <v>8000</v>
      </c>
      <c r="L1877" s="2421"/>
      <c r="M1877" s="3287" t="s">
        <v>482</v>
      </c>
      <c r="N1877" s="3288"/>
      <c r="O1877" s="40"/>
      <c r="P1877" s="40"/>
      <c r="Q1877" s="40">
        <v>4000</v>
      </c>
      <c r="R1877" s="40"/>
      <c r="S1877" s="40"/>
      <c r="T1877" s="40"/>
      <c r="U1877" s="40">
        <v>4000</v>
      </c>
      <c r="V1877" s="40"/>
      <c r="W1877" s="40"/>
      <c r="X1877" s="40"/>
      <c r="Y1877" s="40"/>
      <c r="Z1877" s="40"/>
      <c r="AA1877" s="966">
        <f t="shared" si="327"/>
        <v>8000</v>
      </c>
      <c r="AB1877" s="1210"/>
      <c r="AC1877" s="1199"/>
      <c r="AD1877" s="1211"/>
    </row>
    <row r="1878" spans="1:30" x14ac:dyDescent="0.2">
      <c r="A1878" s="1422"/>
      <c r="B1878" s="2522"/>
      <c r="C1878" s="2456"/>
      <c r="D1878" s="3369"/>
      <c r="E1878" s="3369"/>
      <c r="F1878" s="3369"/>
      <c r="G1878" s="2420"/>
      <c r="H1878" s="3369"/>
      <c r="I1878" s="3369"/>
      <c r="J1878" s="3298"/>
      <c r="K1878" s="40">
        <v>54293</v>
      </c>
      <c r="L1878" s="2421"/>
      <c r="M1878" s="3287" t="s">
        <v>302</v>
      </c>
      <c r="N1878" s="3288"/>
      <c r="O1878" s="40"/>
      <c r="P1878" s="40"/>
      <c r="Q1878" s="40"/>
      <c r="R1878" s="40"/>
      <c r="S1878" s="40">
        <v>27146.5</v>
      </c>
      <c r="T1878" s="40">
        <v>27146.5</v>
      </c>
      <c r="U1878" s="40"/>
      <c r="V1878" s="40"/>
      <c r="W1878" s="40"/>
      <c r="X1878" s="40"/>
      <c r="Y1878" s="40"/>
      <c r="Z1878" s="40"/>
      <c r="AA1878" s="966">
        <f t="shared" si="327"/>
        <v>54293</v>
      </c>
      <c r="AB1878" s="1210"/>
      <c r="AC1878" s="1199"/>
      <c r="AD1878" s="1211"/>
    </row>
    <row r="1879" spans="1:30" x14ac:dyDescent="0.2">
      <c r="A1879" s="1422"/>
      <c r="B1879" s="2522"/>
      <c r="C1879" s="2456"/>
      <c r="D1879" s="3369"/>
      <c r="E1879" s="3369"/>
      <c r="F1879" s="3369"/>
      <c r="G1879" s="2420"/>
      <c r="H1879" s="3369"/>
      <c r="I1879" s="3369"/>
      <c r="J1879" s="3298"/>
      <c r="K1879" s="40">
        <v>1100</v>
      </c>
      <c r="L1879" s="2421"/>
      <c r="M1879" s="3287" t="s">
        <v>324</v>
      </c>
      <c r="N1879" s="3288"/>
      <c r="O1879" s="40"/>
      <c r="P1879" s="40"/>
      <c r="Q1879" s="40">
        <v>1100</v>
      </c>
      <c r="R1879" s="40"/>
      <c r="S1879" s="40"/>
      <c r="T1879" s="40"/>
      <c r="U1879" s="40"/>
      <c r="V1879" s="40"/>
      <c r="W1879" s="40"/>
      <c r="X1879" s="40"/>
      <c r="Y1879" s="40"/>
      <c r="Z1879" s="40"/>
      <c r="AA1879" s="966">
        <f t="shared" si="327"/>
        <v>1100</v>
      </c>
      <c r="AB1879" s="1210"/>
      <c r="AC1879" s="1199"/>
      <c r="AD1879" s="1211"/>
    </row>
    <row r="1880" spans="1:30" x14ac:dyDescent="0.2">
      <c r="A1880" s="1422"/>
      <c r="B1880" s="2522"/>
      <c r="C1880" s="2456"/>
      <c r="D1880" s="3369"/>
      <c r="E1880" s="3369"/>
      <c r="F1880" s="3369"/>
      <c r="G1880" s="2420"/>
      <c r="H1880" s="3369"/>
      <c r="I1880" s="3369"/>
      <c r="J1880" s="3298"/>
      <c r="K1880" s="40">
        <v>4800</v>
      </c>
      <c r="L1880" s="2421"/>
      <c r="M1880" s="3287" t="s">
        <v>391</v>
      </c>
      <c r="N1880" s="3288"/>
      <c r="O1880" s="40"/>
      <c r="P1880" s="40"/>
      <c r="Q1880" s="40">
        <v>2400</v>
      </c>
      <c r="R1880" s="40"/>
      <c r="S1880" s="40"/>
      <c r="T1880" s="40"/>
      <c r="U1880" s="40">
        <v>2400</v>
      </c>
      <c r="V1880" s="40"/>
      <c r="W1880" s="40"/>
      <c r="X1880" s="40"/>
      <c r="Y1880" s="40"/>
      <c r="Z1880" s="40"/>
      <c r="AA1880" s="966">
        <f t="shared" si="327"/>
        <v>4800</v>
      </c>
      <c r="AB1880" s="1210"/>
      <c r="AC1880" s="1199"/>
      <c r="AD1880" s="1211"/>
    </row>
    <row r="1881" spans="1:30" x14ac:dyDescent="0.2">
      <c r="A1881" s="1422"/>
      <c r="B1881" s="2522"/>
      <c r="C1881" s="2456"/>
      <c r="D1881" s="3369"/>
      <c r="E1881" s="3369"/>
      <c r="F1881" s="3369"/>
      <c r="G1881" s="2420"/>
      <c r="H1881" s="3369"/>
      <c r="I1881" s="3369"/>
      <c r="J1881" s="3298"/>
      <c r="K1881" s="40">
        <v>25200</v>
      </c>
      <c r="L1881" s="2421"/>
      <c r="M1881" s="3287" t="s">
        <v>343</v>
      </c>
      <c r="N1881" s="3288"/>
      <c r="O1881" s="40"/>
      <c r="P1881" s="40"/>
      <c r="Q1881" s="40"/>
      <c r="R1881" s="40">
        <v>12600</v>
      </c>
      <c r="S1881" s="40"/>
      <c r="T1881" s="40"/>
      <c r="U1881" s="40"/>
      <c r="V1881" s="40">
        <v>12600</v>
      </c>
      <c r="W1881" s="40"/>
      <c r="X1881" s="40"/>
      <c r="Y1881" s="40"/>
      <c r="Z1881" s="40"/>
      <c r="AA1881" s="966">
        <f t="shared" si="327"/>
        <v>25200</v>
      </c>
      <c r="AB1881" s="1210"/>
      <c r="AC1881" s="1199"/>
      <c r="AD1881" s="1211"/>
    </row>
    <row r="1882" spans="1:30" x14ac:dyDescent="0.2">
      <c r="A1882" s="1422"/>
      <c r="B1882" s="2522"/>
      <c r="C1882" s="2456"/>
      <c r="D1882" s="3369"/>
      <c r="E1882" s="3369"/>
      <c r="F1882" s="3369"/>
      <c r="G1882" s="2420"/>
      <c r="H1882" s="3369"/>
      <c r="I1882" s="3369"/>
      <c r="J1882" s="3298"/>
      <c r="K1882" s="40">
        <v>2500</v>
      </c>
      <c r="L1882" s="2421"/>
      <c r="M1882" s="3287" t="s">
        <v>304</v>
      </c>
      <c r="N1882" s="3288"/>
      <c r="O1882" s="40"/>
      <c r="P1882" s="40"/>
      <c r="Q1882" s="40">
        <v>2500</v>
      </c>
      <c r="R1882" s="40"/>
      <c r="S1882" s="40"/>
      <c r="T1882" s="40"/>
      <c r="U1882" s="40"/>
      <c r="V1882" s="40"/>
      <c r="W1882" s="40"/>
      <c r="X1882" s="40"/>
      <c r="Y1882" s="40"/>
      <c r="Z1882" s="40"/>
      <c r="AA1882" s="966">
        <f t="shared" si="327"/>
        <v>2500</v>
      </c>
      <c r="AB1882" s="1210"/>
      <c r="AC1882" s="1199"/>
      <c r="AD1882" s="1211"/>
    </row>
    <row r="1883" spans="1:30" x14ac:dyDescent="0.2">
      <c r="A1883" s="1422"/>
      <c r="B1883" s="2522"/>
      <c r="C1883" s="2456"/>
      <c r="D1883" s="3369"/>
      <c r="E1883" s="3369"/>
      <c r="F1883" s="3369"/>
      <c r="G1883" s="2420"/>
      <c r="H1883" s="3369"/>
      <c r="I1883" s="3369"/>
      <c r="J1883" s="3298"/>
      <c r="K1883" s="40">
        <v>3000</v>
      </c>
      <c r="L1883" s="2421"/>
      <c r="M1883" s="3287" t="s">
        <v>305</v>
      </c>
      <c r="N1883" s="3288"/>
      <c r="O1883" s="40"/>
      <c r="P1883" s="40">
        <v>750</v>
      </c>
      <c r="Q1883" s="40"/>
      <c r="R1883" s="40"/>
      <c r="S1883" s="40">
        <v>750</v>
      </c>
      <c r="T1883" s="40"/>
      <c r="U1883" s="40"/>
      <c r="V1883" s="40">
        <v>750</v>
      </c>
      <c r="W1883" s="40"/>
      <c r="X1883" s="40"/>
      <c r="Y1883" s="40">
        <v>750</v>
      </c>
      <c r="Z1883" s="40"/>
      <c r="AA1883" s="966">
        <f t="shared" si="327"/>
        <v>3000</v>
      </c>
      <c r="AB1883" s="1210"/>
      <c r="AC1883" s="1199"/>
      <c r="AD1883" s="1211"/>
    </row>
    <row r="1884" spans="1:30" x14ac:dyDescent="0.2">
      <c r="A1884" s="1422"/>
      <c r="B1884" s="2522"/>
      <c r="C1884" s="2456"/>
      <c r="D1884" s="3369"/>
      <c r="E1884" s="3369"/>
      <c r="F1884" s="3369"/>
      <c r="G1884" s="2420"/>
      <c r="H1884" s="3369"/>
      <c r="I1884" s="3369"/>
      <c r="J1884" s="3298"/>
      <c r="K1884" s="40">
        <v>28500</v>
      </c>
      <c r="L1884" s="2421"/>
      <c r="M1884" s="3287" t="s">
        <v>306</v>
      </c>
      <c r="N1884" s="3288"/>
      <c r="O1884" s="40"/>
      <c r="P1884" s="40">
        <v>2590.909090909091</v>
      </c>
      <c r="Q1884" s="40">
        <v>2590.909090909091</v>
      </c>
      <c r="R1884" s="40">
        <v>2590.909090909091</v>
      </c>
      <c r="S1884" s="40">
        <v>2590.909090909091</v>
      </c>
      <c r="T1884" s="40">
        <v>2590.909090909091</v>
      </c>
      <c r="U1884" s="40">
        <v>2590.909090909091</v>
      </c>
      <c r="V1884" s="40">
        <v>2590.909090909091</v>
      </c>
      <c r="W1884" s="40">
        <v>2590.909090909091</v>
      </c>
      <c r="X1884" s="40">
        <v>2590.909090909091</v>
      </c>
      <c r="Y1884" s="40">
        <v>2590.909090909091</v>
      </c>
      <c r="Z1884" s="40">
        <v>2590.909090909091</v>
      </c>
      <c r="AA1884" s="966">
        <f t="shared" si="327"/>
        <v>28500.000000000007</v>
      </c>
      <c r="AB1884" s="1210"/>
      <c r="AC1884" s="1199"/>
      <c r="AD1884" s="1211"/>
    </row>
    <row r="1885" spans="1:30" x14ac:dyDescent="0.2">
      <c r="A1885" s="1422"/>
      <c r="B1885" s="2522"/>
      <c r="C1885" s="2456"/>
      <c r="D1885" s="3369"/>
      <c r="E1885" s="3369"/>
      <c r="F1885" s="3369"/>
      <c r="G1885" s="2420"/>
      <c r="H1885" s="3369"/>
      <c r="I1885" s="3369"/>
      <c r="J1885" s="3298"/>
      <c r="K1885" s="40">
        <v>15460</v>
      </c>
      <c r="L1885" s="2421"/>
      <c r="M1885" s="3287" t="s">
        <v>307</v>
      </c>
      <c r="N1885" s="3288"/>
      <c r="O1885" s="40"/>
      <c r="P1885" s="40">
        <v>1405.4545454545455</v>
      </c>
      <c r="Q1885" s="40">
        <v>1405.4545454545455</v>
      </c>
      <c r="R1885" s="40">
        <v>1405.4545454545455</v>
      </c>
      <c r="S1885" s="40">
        <v>1405.4545454545455</v>
      </c>
      <c r="T1885" s="40">
        <v>1405.4545454545455</v>
      </c>
      <c r="U1885" s="40">
        <v>1405.4545454545455</v>
      </c>
      <c r="V1885" s="40">
        <v>1405.4545454545455</v>
      </c>
      <c r="W1885" s="40">
        <v>1405.4545454545455</v>
      </c>
      <c r="X1885" s="40">
        <v>1405.4545454545455</v>
      </c>
      <c r="Y1885" s="40">
        <v>1405.4545454545455</v>
      </c>
      <c r="Z1885" s="40">
        <v>1405.4545454545455</v>
      </c>
      <c r="AA1885" s="966">
        <f t="shared" si="327"/>
        <v>15460.000000000004</v>
      </c>
      <c r="AB1885" s="1210"/>
      <c r="AC1885" s="1199"/>
      <c r="AD1885" s="1211"/>
    </row>
    <row r="1886" spans="1:30" x14ac:dyDescent="0.2">
      <c r="A1886" s="1422"/>
      <c r="B1886" s="2522"/>
      <c r="C1886" s="2456"/>
      <c r="D1886" s="3369"/>
      <c r="E1886" s="3369"/>
      <c r="F1886" s="3369"/>
      <c r="G1886" s="2420"/>
      <c r="H1886" s="3369"/>
      <c r="I1886" s="3369"/>
      <c r="J1886" s="3298"/>
      <c r="K1886" s="40">
        <v>400</v>
      </c>
      <c r="L1886" s="2421"/>
      <c r="M1886" s="3287" t="s">
        <v>308</v>
      </c>
      <c r="N1886" s="3288"/>
      <c r="O1886" s="40"/>
      <c r="P1886" s="40"/>
      <c r="Q1886" s="40">
        <v>400</v>
      </c>
      <c r="R1886" s="40"/>
      <c r="S1886" s="40"/>
      <c r="T1886" s="40"/>
      <c r="U1886" s="40"/>
      <c r="V1886" s="40"/>
      <c r="W1886" s="40"/>
      <c r="X1886" s="40"/>
      <c r="Y1886" s="40"/>
      <c r="Z1886" s="40"/>
      <c r="AA1886" s="966">
        <f t="shared" si="327"/>
        <v>400</v>
      </c>
      <c r="AB1886" s="1210"/>
      <c r="AC1886" s="1199"/>
      <c r="AD1886" s="1211"/>
    </row>
    <row r="1887" spans="1:30" x14ac:dyDescent="0.2">
      <c r="A1887" s="1422"/>
      <c r="B1887" s="2522"/>
      <c r="C1887" s="2456"/>
      <c r="D1887" s="3369"/>
      <c r="E1887" s="3369"/>
      <c r="F1887" s="3369"/>
      <c r="G1887" s="2420"/>
      <c r="H1887" s="3369"/>
      <c r="I1887" s="3369"/>
      <c r="J1887" s="3298"/>
      <c r="K1887" s="40">
        <v>469010</v>
      </c>
      <c r="L1887" s="2421"/>
      <c r="M1887" s="3287" t="s">
        <v>358</v>
      </c>
      <c r="N1887" s="3288"/>
      <c r="O1887" s="40"/>
      <c r="P1887" s="40"/>
      <c r="Q1887" s="40">
        <v>46901</v>
      </c>
      <c r="R1887" s="40">
        <v>46901</v>
      </c>
      <c r="S1887" s="40">
        <v>46901</v>
      </c>
      <c r="T1887" s="40">
        <v>46901</v>
      </c>
      <c r="U1887" s="40">
        <v>46901</v>
      </c>
      <c r="V1887" s="40">
        <v>46901</v>
      </c>
      <c r="W1887" s="40">
        <v>46901</v>
      </c>
      <c r="X1887" s="40">
        <v>46901</v>
      </c>
      <c r="Y1887" s="40">
        <v>46901</v>
      </c>
      <c r="Z1887" s="40">
        <v>46901</v>
      </c>
      <c r="AA1887" s="966">
        <f t="shared" si="327"/>
        <v>469010</v>
      </c>
      <c r="AB1887" s="1210"/>
      <c r="AC1887" s="1199"/>
      <c r="AD1887" s="1211"/>
    </row>
    <row r="1888" spans="1:30" x14ac:dyDescent="0.2">
      <c r="A1888" s="1422"/>
      <c r="B1888" s="2522"/>
      <c r="C1888" s="2456"/>
      <c r="D1888" s="3369"/>
      <c r="E1888" s="3369"/>
      <c r="F1888" s="3369"/>
      <c r="G1888" s="2420"/>
      <c r="H1888" s="3369"/>
      <c r="I1888" s="3369"/>
      <c r="J1888" s="3298"/>
      <c r="K1888" s="40">
        <v>105000</v>
      </c>
      <c r="L1888" s="2421"/>
      <c r="M1888" s="3287" t="s">
        <v>310</v>
      </c>
      <c r="N1888" s="3288"/>
      <c r="O1888" s="40">
        <v>8750</v>
      </c>
      <c r="P1888" s="40">
        <v>8750</v>
      </c>
      <c r="Q1888" s="40">
        <v>8750</v>
      </c>
      <c r="R1888" s="40">
        <v>8750</v>
      </c>
      <c r="S1888" s="40">
        <v>8750</v>
      </c>
      <c r="T1888" s="40">
        <v>8750</v>
      </c>
      <c r="U1888" s="40">
        <v>8750</v>
      </c>
      <c r="V1888" s="40">
        <v>8750</v>
      </c>
      <c r="W1888" s="40">
        <v>8750</v>
      </c>
      <c r="X1888" s="40">
        <v>8750</v>
      </c>
      <c r="Y1888" s="40">
        <v>8750</v>
      </c>
      <c r="Z1888" s="40">
        <v>8750</v>
      </c>
      <c r="AA1888" s="966">
        <f t="shared" si="327"/>
        <v>105000</v>
      </c>
      <c r="AB1888" s="1210"/>
      <c r="AC1888" s="1199"/>
      <c r="AD1888" s="1211"/>
    </row>
    <row r="1889" spans="1:30" x14ac:dyDescent="0.2">
      <c r="A1889" s="1422"/>
      <c r="B1889" s="2522"/>
      <c r="C1889" s="2456"/>
      <c r="D1889" s="3369"/>
      <c r="E1889" s="3369"/>
      <c r="F1889" s="3369"/>
      <c r="G1889" s="2420"/>
      <c r="H1889" s="3369"/>
      <c r="I1889" s="3369"/>
      <c r="J1889" s="3298"/>
      <c r="K1889" s="40">
        <v>10598</v>
      </c>
      <c r="L1889" s="2421"/>
      <c r="M1889" s="3287" t="s">
        <v>311</v>
      </c>
      <c r="N1889" s="3288"/>
      <c r="O1889" s="40">
        <v>883.16666666666663</v>
      </c>
      <c r="P1889" s="40">
        <v>883.16666666666663</v>
      </c>
      <c r="Q1889" s="40">
        <v>883.16666666666663</v>
      </c>
      <c r="R1889" s="40">
        <v>883.16666666666663</v>
      </c>
      <c r="S1889" s="40">
        <v>883.16666666666663</v>
      </c>
      <c r="T1889" s="40">
        <v>883.16666666666663</v>
      </c>
      <c r="U1889" s="40">
        <v>883.16666666666663</v>
      </c>
      <c r="V1889" s="40">
        <v>883.16666666666663</v>
      </c>
      <c r="W1889" s="40">
        <v>883.16666666666663</v>
      </c>
      <c r="X1889" s="40">
        <v>883.16666666666663</v>
      </c>
      <c r="Y1889" s="40">
        <v>883.16666666666663</v>
      </c>
      <c r="Z1889" s="40">
        <v>883.16666666666663</v>
      </c>
      <c r="AA1889" s="966">
        <f t="shared" si="327"/>
        <v>10598</v>
      </c>
      <c r="AB1889" s="1210"/>
      <c r="AC1889" s="1199"/>
      <c r="AD1889" s="1211"/>
    </row>
    <row r="1890" spans="1:30" x14ac:dyDescent="0.2">
      <c r="A1890" s="1422"/>
      <c r="B1890" s="2522"/>
      <c r="C1890" s="2450"/>
      <c r="D1890" s="3369"/>
      <c r="E1890" s="3369"/>
      <c r="F1890" s="3369"/>
      <c r="G1890" s="2420"/>
      <c r="H1890" s="3369"/>
      <c r="I1890" s="3369"/>
      <c r="J1890" s="3299"/>
      <c r="K1890" s="40">
        <v>196557</v>
      </c>
      <c r="L1890" s="2421"/>
      <c r="M1890" s="3287" t="s">
        <v>397</v>
      </c>
      <c r="N1890" s="3288"/>
      <c r="O1890" s="40">
        <v>16379.75</v>
      </c>
      <c r="P1890" s="40">
        <v>16379.75</v>
      </c>
      <c r="Q1890" s="40">
        <v>16379.75</v>
      </c>
      <c r="R1890" s="40">
        <v>16379.75</v>
      </c>
      <c r="S1890" s="40">
        <v>16379.75</v>
      </c>
      <c r="T1890" s="40">
        <v>16379.75</v>
      </c>
      <c r="U1890" s="40">
        <v>16379.75</v>
      </c>
      <c r="V1890" s="40">
        <v>16379.75</v>
      </c>
      <c r="W1890" s="40">
        <v>16379.75</v>
      </c>
      <c r="X1890" s="40">
        <v>16379.75</v>
      </c>
      <c r="Y1890" s="40">
        <v>16379.75</v>
      </c>
      <c r="Z1890" s="40">
        <v>16379.75</v>
      </c>
      <c r="AA1890" s="966">
        <f t="shared" si="327"/>
        <v>196557</v>
      </c>
      <c r="AB1890" s="1210"/>
      <c r="AC1890" s="1199"/>
      <c r="AD1890" s="1211"/>
    </row>
    <row r="1891" spans="1:30" x14ac:dyDescent="0.2">
      <c r="A1891" s="1422"/>
      <c r="B1891" s="1422"/>
      <c r="C1891" s="1124"/>
      <c r="D1891" s="35"/>
      <c r="E1891" s="35"/>
      <c r="F1891" s="35"/>
      <c r="G1891" s="35"/>
      <c r="H1891" s="35"/>
      <c r="I1891" s="35"/>
      <c r="J1891" s="105"/>
      <c r="K1891" s="110"/>
      <c r="L1891" s="110"/>
      <c r="M1891" s="1124"/>
      <c r="N1891" s="1124"/>
      <c r="O1891" s="35"/>
      <c r="P1891" s="35"/>
      <c r="Q1891" s="35"/>
      <c r="R1891" s="35"/>
      <c r="S1891" s="35"/>
      <c r="T1891" s="35"/>
      <c r="U1891" s="35"/>
      <c r="V1891" s="35"/>
      <c r="W1891" s="35"/>
      <c r="X1891" s="35"/>
      <c r="Y1891" s="35"/>
      <c r="Z1891" s="35"/>
      <c r="AA1891" s="1212"/>
      <c r="AB1891" s="1210"/>
      <c r="AC1891" s="1199"/>
      <c r="AD1891" s="1211"/>
    </row>
    <row r="1892" spans="1:30" x14ac:dyDescent="0.2">
      <c r="A1892" s="1422"/>
      <c r="B1892" s="1422"/>
      <c r="C1892" s="1124"/>
      <c r="D1892" s="35"/>
      <c r="E1892" s="35"/>
      <c r="F1892" s="35"/>
      <c r="G1892" s="35"/>
      <c r="H1892" s="35"/>
      <c r="I1892" s="35"/>
      <c r="J1892" s="105"/>
      <c r="K1892" s="110"/>
      <c r="L1892" s="110"/>
      <c r="M1892" s="1124"/>
      <c r="N1892" s="1124"/>
      <c r="O1892" s="35"/>
      <c r="P1892" s="35"/>
      <c r="Q1892" s="35"/>
      <c r="R1892" s="35"/>
      <c r="S1892" s="35"/>
      <c r="T1892" s="35"/>
      <c r="U1892" s="35"/>
      <c r="V1892" s="35"/>
      <c r="W1892" s="35"/>
      <c r="X1892" s="35"/>
      <c r="Y1892" s="35"/>
      <c r="Z1892" s="35"/>
      <c r="AA1892" s="1212"/>
      <c r="AB1892" s="1210"/>
      <c r="AC1892" s="1199"/>
      <c r="AD1892" s="1211"/>
    </row>
    <row r="1893" spans="1:30" ht="22.5" x14ac:dyDescent="0.2">
      <c r="A1893" s="1422"/>
      <c r="B1893" s="1422"/>
      <c r="C1893" s="1124"/>
      <c r="D1893" s="35"/>
      <c r="E1893" s="35"/>
      <c r="F1893" s="35"/>
      <c r="G1893" s="35"/>
      <c r="H1893" s="35"/>
      <c r="I1893" s="35"/>
      <c r="J1893" s="105"/>
      <c r="K1893" s="110"/>
      <c r="L1893" s="110"/>
      <c r="M1893" s="1124"/>
      <c r="N1893" s="1124"/>
      <c r="O1893" s="35"/>
      <c r="P1893" s="35"/>
      <c r="Q1893" s="35"/>
      <c r="R1893" s="35"/>
      <c r="S1893" s="35"/>
      <c r="T1893" s="35"/>
      <c r="U1893" s="35"/>
      <c r="V1893" s="35"/>
      <c r="W1893" s="2922" t="s">
        <v>15</v>
      </c>
      <c r="X1893" s="2922"/>
      <c r="Y1893" s="2922"/>
      <c r="Z1893" s="2922"/>
      <c r="AA1893" s="2148" t="s">
        <v>16</v>
      </c>
      <c r="AB1893" s="1210"/>
      <c r="AC1893" s="1199"/>
      <c r="AD1893" s="1211"/>
    </row>
    <row r="1894" spans="1:30" ht="28.5" customHeight="1" x14ac:dyDescent="0.2">
      <c r="A1894" s="1422"/>
      <c r="B1894" s="1950" t="s">
        <v>276</v>
      </c>
      <c r="C1894" s="1941"/>
      <c r="D1894" s="628">
        <v>3043982</v>
      </c>
      <c r="E1894" s="1941" t="s">
        <v>668</v>
      </c>
      <c r="F1894" s="628"/>
      <c r="G1894" s="1939"/>
      <c r="H1894" s="628"/>
      <c r="I1894" s="628"/>
      <c r="J1894" s="191"/>
      <c r="K1894" s="628"/>
      <c r="L1894" s="35"/>
      <c r="M1894" s="1124"/>
      <c r="N1894" s="1124"/>
      <c r="O1894" s="35"/>
      <c r="P1894" s="35"/>
      <c r="Q1894" s="35"/>
      <c r="R1894" s="35"/>
      <c r="S1894" s="35"/>
      <c r="T1894" s="35"/>
      <c r="U1894" s="35"/>
      <c r="V1894" s="35"/>
      <c r="W1894" s="2922" t="s">
        <v>3726</v>
      </c>
      <c r="X1894" s="2922"/>
      <c r="Y1894" s="2922"/>
      <c r="Z1894" s="2922"/>
      <c r="AA1894" s="1213" t="s">
        <v>669</v>
      </c>
      <c r="AB1894" s="1210"/>
      <c r="AC1894" s="1199"/>
      <c r="AD1894" s="1211"/>
    </row>
    <row r="1895" spans="1:30" x14ac:dyDescent="0.2">
      <c r="A1895" s="1422"/>
      <c r="B1895" s="2999" t="s">
        <v>278</v>
      </c>
      <c r="C1895" s="2999" t="s">
        <v>21</v>
      </c>
      <c r="D1895" s="2847" t="s">
        <v>22</v>
      </c>
      <c r="E1895" s="2847" t="s">
        <v>23</v>
      </c>
      <c r="F1895" s="2847" t="s">
        <v>24</v>
      </c>
      <c r="G1895" s="2847" t="s">
        <v>25</v>
      </c>
      <c r="H1895" s="2847" t="s">
        <v>26</v>
      </c>
      <c r="I1895" s="2847" t="s">
        <v>27</v>
      </c>
      <c r="J1895" s="3206" t="s">
        <v>28</v>
      </c>
      <c r="K1895" s="3301"/>
      <c r="L1895" s="2988" t="s">
        <v>279</v>
      </c>
      <c r="M1895" s="2986" t="s">
        <v>280</v>
      </c>
      <c r="N1895" s="2987"/>
      <c r="O1895" s="2847" t="s">
        <v>281</v>
      </c>
      <c r="P1895" s="2847"/>
      <c r="Q1895" s="2847"/>
      <c r="R1895" s="2847"/>
      <c r="S1895" s="2847"/>
      <c r="T1895" s="2847"/>
      <c r="U1895" s="2847"/>
      <c r="V1895" s="2847"/>
      <c r="W1895" s="2847"/>
      <c r="X1895" s="2847"/>
      <c r="Y1895" s="2847"/>
      <c r="Z1895" s="2847"/>
      <c r="AA1895" s="3358" t="s">
        <v>32</v>
      </c>
      <c r="AB1895" s="1210"/>
      <c r="AC1895" s="1199"/>
      <c r="AD1895" s="1211"/>
    </row>
    <row r="1896" spans="1:30" x14ac:dyDescent="0.2">
      <c r="A1896" s="1422"/>
      <c r="B1896" s="2999"/>
      <c r="C1896" s="2999"/>
      <c r="D1896" s="2847"/>
      <c r="E1896" s="2847"/>
      <c r="F1896" s="2847"/>
      <c r="G1896" s="2847"/>
      <c r="H1896" s="2847"/>
      <c r="I1896" s="2847"/>
      <c r="J1896" s="1007" t="s">
        <v>33</v>
      </c>
      <c r="K1896" s="2988" t="s">
        <v>282</v>
      </c>
      <c r="L1896" s="3186"/>
      <c r="M1896" s="3000"/>
      <c r="N1896" s="3001"/>
      <c r="O1896" s="1009" t="s">
        <v>283</v>
      </c>
      <c r="P1896" s="1009" t="s">
        <v>284</v>
      </c>
      <c r="Q1896" s="1009" t="s">
        <v>285</v>
      </c>
      <c r="R1896" s="1009" t="s">
        <v>88</v>
      </c>
      <c r="S1896" s="1009" t="s">
        <v>89</v>
      </c>
      <c r="T1896" s="1009" t="s">
        <v>90</v>
      </c>
      <c r="U1896" s="1009" t="s">
        <v>91</v>
      </c>
      <c r="V1896" s="1009" t="s">
        <v>92</v>
      </c>
      <c r="W1896" s="1009" t="s">
        <v>286</v>
      </c>
      <c r="X1896" s="1009" t="s">
        <v>93</v>
      </c>
      <c r="Y1896" s="1009" t="s">
        <v>94</v>
      </c>
      <c r="Z1896" s="1009" t="s">
        <v>95</v>
      </c>
      <c r="AA1896" s="3358"/>
      <c r="AB1896" s="1210"/>
      <c r="AC1896" s="1199"/>
      <c r="AD1896" s="1211"/>
    </row>
    <row r="1897" spans="1:30" ht="12.75" x14ac:dyDescent="0.2">
      <c r="A1897" s="1422"/>
      <c r="B1897" s="2999"/>
      <c r="C1897" s="2999"/>
      <c r="D1897" s="2847"/>
      <c r="E1897" s="2847"/>
      <c r="F1897" s="2847"/>
      <c r="G1897" s="2847"/>
      <c r="H1897" s="2847"/>
      <c r="I1897" s="2847"/>
      <c r="J1897" s="106"/>
      <c r="K1897" s="3186"/>
      <c r="L1897" s="3186"/>
      <c r="M1897" s="3271" t="s">
        <v>287</v>
      </c>
      <c r="N1897" s="3272"/>
      <c r="O1897" s="40"/>
      <c r="P1897" s="40">
        <v>15835</v>
      </c>
      <c r="Q1897" s="40">
        <v>15840</v>
      </c>
      <c r="R1897" s="40">
        <v>15840</v>
      </c>
      <c r="S1897" s="40">
        <v>15840</v>
      </c>
      <c r="T1897" s="40">
        <v>15840</v>
      </c>
      <c r="U1897" s="40">
        <v>15840</v>
      </c>
      <c r="V1897" s="40">
        <v>15840</v>
      </c>
      <c r="W1897" s="40">
        <v>15840</v>
      </c>
      <c r="X1897" s="40">
        <v>15840</v>
      </c>
      <c r="Y1897" s="40">
        <v>15840</v>
      </c>
      <c r="Z1897" s="40">
        <v>15840</v>
      </c>
      <c r="AA1897" s="1205">
        <f>SUM(O1897:Z1897)</f>
        <v>174235</v>
      </c>
      <c r="AB1897" s="1210"/>
      <c r="AC1897" s="1199"/>
      <c r="AD1897" s="1211"/>
    </row>
    <row r="1898" spans="1:30" ht="12.75" x14ac:dyDescent="0.2">
      <c r="A1898" s="1422"/>
      <c r="B1898" s="2999"/>
      <c r="C1898" s="2999"/>
      <c r="D1898" s="2847"/>
      <c r="E1898" s="2847"/>
      <c r="F1898" s="2847"/>
      <c r="G1898" s="2847"/>
      <c r="H1898" s="2847"/>
      <c r="I1898" s="2847"/>
      <c r="J1898" s="1008"/>
      <c r="K1898" s="2989"/>
      <c r="L1898" s="2989"/>
      <c r="M1898" s="3271" t="s">
        <v>34</v>
      </c>
      <c r="N1898" s="3272"/>
      <c r="O1898" s="40">
        <f>SUM(O1899:O1923)</f>
        <v>66795.416666666657</v>
      </c>
      <c r="P1898" s="40">
        <f t="shared" ref="P1898:Z1898" si="328">SUM(P1899:P1923)</f>
        <v>61780.416666666664</v>
      </c>
      <c r="Q1898" s="40">
        <f t="shared" si="328"/>
        <v>77992.016666666677</v>
      </c>
      <c r="R1898" s="40">
        <f t="shared" si="328"/>
        <v>66580.416666666672</v>
      </c>
      <c r="S1898" s="40">
        <f t="shared" si="328"/>
        <v>69717.016666666677</v>
      </c>
      <c r="T1898" s="40">
        <f t="shared" si="328"/>
        <v>63930.416666666664</v>
      </c>
      <c r="U1898" s="40">
        <f t="shared" si="328"/>
        <v>79317.016666666663</v>
      </c>
      <c r="V1898" s="40">
        <f t="shared" si="328"/>
        <v>68755.416666666672</v>
      </c>
      <c r="W1898" s="40">
        <f t="shared" si="328"/>
        <v>62217.016666666663</v>
      </c>
      <c r="X1898" s="40">
        <f t="shared" si="328"/>
        <v>61080.416666666664</v>
      </c>
      <c r="Y1898" s="40">
        <f t="shared" si="328"/>
        <v>62217.016666666663</v>
      </c>
      <c r="Z1898" s="40">
        <f t="shared" si="328"/>
        <v>66780.416666666672</v>
      </c>
      <c r="AA1898" s="1205">
        <f>SUM(O1898:Z1898)</f>
        <v>807162.99999999988</v>
      </c>
      <c r="AB1898" s="1210"/>
      <c r="AC1898" s="1199"/>
      <c r="AD1898" s="1211"/>
    </row>
    <row r="1899" spans="1:30" x14ac:dyDescent="0.2">
      <c r="A1899" s="1422"/>
      <c r="B1899" s="3373">
        <v>5000092</v>
      </c>
      <c r="C1899" s="2438" t="s">
        <v>670</v>
      </c>
      <c r="D1899" s="3369">
        <v>65</v>
      </c>
      <c r="E1899" s="3369" t="s">
        <v>407</v>
      </c>
      <c r="F1899" s="3369" t="s">
        <v>313</v>
      </c>
      <c r="G1899" s="2420" t="s">
        <v>329</v>
      </c>
      <c r="H1899" s="3369"/>
      <c r="I1899" s="2420" t="s">
        <v>671</v>
      </c>
      <c r="J1899" s="2514">
        <v>174232</v>
      </c>
      <c r="K1899" s="40">
        <v>123971</v>
      </c>
      <c r="L1899" s="2421" t="s">
        <v>644</v>
      </c>
      <c r="M1899" s="3287" t="s">
        <v>293</v>
      </c>
      <c r="N1899" s="3288"/>
      <c r="O1899" s="40">
        <v>10330.916666666666</v>
      </c>
      <c r="P1899" s="40">
        <v>10330.916666666666</v>
      </c>
      <c r="Q1899" s="40">
        <v>10330.916666666666</v>
      </c>
      <c r="R1899" s="40">
        <v>10330.916666666666</v>
      </c>
      <c r="S1899" s="40">
        <v>10330.916666666666</v>
      </c>
      <c r="T1899" s="40">
        <v>10330.916666666666</v>
      </c>
      <c r="U1899" s="40">
        <v>10330.916666666666</v>
      </c>
      <c r="V1899" s="40">
        <v>10330.916666666666</v>
      </c>
      <c r="W1899" s="40">
        <v>10330.916666666666</v>
      </c>
      <c r="X1899" s="40">
        <v>10330.916666666666</v>
      </c>
      <c r="Y1899" s="40">
        <v>10330.916666666666</v>
      </c>
      <c r="Z1899" s="40">
        <v>10330.916666666666</v>
      </c>
      <c r="AA1899" s="966">
        <f t="shared" ref="AA1899:AA1923" si="329">SUM(O1899:Z1899)</f>
        <v>123971.00000000001</v>
      </c>
      <c r="AB1899" s="1210"/>
      <c r="AC1899" s="1199"/>
      <c r="AD1899" s="1211"/>
    </row>
    <row r="1900" spans="1:30" x14ac:dyDescent="0.2">
      <c r="A1900" s="1422"/>
      <c r="B1900" s="3373"/>
      <c r="C1900" s="2456"/>
      <c r="D1900" s="3369"/>
      <c r="E1900" s="3369"/>
      <c r="F1900" s="3369"/>
      <c r="G1900" s="2420"/>
      <c r="H1900" s="3369"/>
      <c r="I1900" s="2420"/>
      <c r="J1900" s="2515"/>
      <c r="K1900" s="40">
        <v>373392</v>
      </c>
      <c r="L1900" s="2421"/>
      <c r="M1900" s="3287" t="s">
        <v>295</v>
      </c>
      <c r="N1900" s="3288"/>
      <c r="O1900" s="40">
        <v>31116</v>
      </c>
      <c r="P1900" s="40">
        <v>31116</v>
      </c>
      <c r="Q1900" s="40">
        <v>31116</v>
      </c>
      <c r="R1900" s="40">
        <v>31116</v>
      </c>
      <c r="S1900" s="40">
        <v>31116</v>
      </c>
      <c r="T1900" s="40">
        <v>31116</v>
      </c>
      <c r="U1900" s="40">
        <v>31116</v>
      </c>
      <c r="V1900" s="40">
        <v>31116</v>
      </c>
      <c r="W1900" s="40">
        <v>31116</v>
      </c>
      <c r="X1900" s="40">
        <v>31116</v>
      </c>
      <c r="Y1900" s="40">
        <v>31116</v>
      </c>
      <c r="Z1900" s="40">
        <v>31116</v>
      </c>
      <c r="AA1900" s="966">
        <f t="shared" si="329"/>
        <v>373392</v>
      </c>
      <c r="AB1900" s="1210"/>
      <c r="AC1900" s="1199"/>
      <c r="AD1900" s="1211"/>
    </row>
    <row r="1901" spans="1:30" x14ac:dyDescent="0.2">
      <c r="A1901" s="1422"/>
      <c r="B1901" s="3373"/>
      <c r="C1901" s="2456"/>
      <c r="D1901" s="3369"/>
      <c r="E1901" s="3369"/>
      <c r="F1901" s="3369"/>
      <c r="G1901" s="2420"/>
      <c r="H1901" s="3369"/>
      <c r="I1901" s="2420"/>
      <c r="J1901" s="2515"/>
      <c r="K1901" s="40">
        <v>103383</v>
      </c>
      <c r="L1901" s="2421"/>
      <c r="M1901" s="3287" t="s">
        <v>296</v>
      </c>
      <c r="N1901" s="3288"/>
      <c r="O1901" s="40">
        <v>8615.25</v>
      </c>
      <c r="P1901" s="40">
        <v>8615.25</v>
      </c>
      <c r="Q1901" s="40">
        <v>8615.25</v>
      </c>
      <c r="R1901" s="40">
        <v>8615.25</v>
      </c>
      <c r="S1901" s="40">
        <v>8615.25</v>
      </c>
      <c r="T1901" s="40">
        <v>8615.25</v>
      </c>
      <c r="U1901" s="40">
        <v>8615.25</v>
      </c>
      <c r="V1901" s="40">
        <v>8615.25</v>
      </c>
      <c r="W1901" s="40">
        <v>8615.25</v>
      </c>
      <c r="X1901" s="40">
        <v>8615.25</v>
      </c>
      <c r="Y1901" s="40">
        <v>8615.25</v>
      </c>
      <c r="Z1901" s="40">
        <v>8615.25</v>
      </c>
      <c r="AA1901" s="966">
        <f t="shared" si="329"/>
        <v>103383</v>
      </c>
      <c r="AB1901" s="1210"/>
      <c r="AC1901" s="1199"/>
      <c r="AD1901" s="1211"/>
    </row>
    <row r="1902" spans="1:30" x14ac:dyDescent="0.2">
      <c r="A1902" s="1422"/>
      <c r="B1902" s="3373"/>
      <c r="C1902" s="2456"/>
      <c r="D1902" s="3369"/>
      <c r="E1902" s="3369"/>
      <c r="F1902" s="3369"/>
      <c r="G1902" s="2420"/>
      <c r="H1902" s="3369"/>
      <c r="I1902" s="2420"/>
      <c r="J1902" s="2515"/>
      <c r="K1902" s="40">
        <v>44088</v>
      </c>
      <c r="L1902" s="2421"/>
      <c r="M1902" s="3287" t="s">
        <v>297</v>
      </c>
      <c r="N1902" s="3288"/>
      <c r="O1902" s="40">
        <v>3674</v>
      </c>
      <c r="P1902" s="40">
        <v>3674</v>
      </c>
      <c r="Q1902" s="40">
        <v>3674</v>
      </c>
      <c r="R1902" s="40">
        <v>3674</v>
      </c>
      <c r="S1902" s="40">
        <v>3674</v>
      </c>
      <c r="T1902" s="40">
        <v>3674</v>
      </c>
      <c r="U1902" s="40">
        <v>3674</v>
      </c>
      <c r="V1902" s="40">
        <v>3674</v>
      </c>
      <c r="W1902" s="40">
        <v>3674</v>
      </c>
      <c r="X1902" s="40">
        <v>3674</v>
      </c>
      <c r="Y1902" s="40">
        <v>3674</v>
      </c>
      <c r="Z1902" s="40">
        <v>3674</v>
      </c>
      <c r="AA1902" s="966">
        <f t="shared" si="329"/>
        <v>44088</v>
      </c>
      <c r="AB1902" s="1210"/>
      <c r="AC1902" s="1199"/>
      <c r="AD1902" s="1211"/>
    </row>
    <row r="1903" spans="1:30" x14ac:dyDescent="0.2">
      <c r="A1903" s="1422"/>
      <c r="B1903" s="3373"/>
      <c r="C1903" s="2456"/>
      <c r="D1903" s="3369"/>
      <c r="E1903" s="3369"/>
      <c r="F1903" s="3369"/>
      <c r="G1903" s="2420"/>
      <c r="H1903" s="3369"/>
      <c r="I1903" s="2420"/>
      <c r="J1903" s="2515"/>
      <c r="K1903" s="40">
        <v>11400</v>
      </c>
      <c r="L1903" s="2421"/>
      <c r="M1903" s="3287" t="s">
        <v>298</v>
      </c>
      <c r="N1903" s="3288"/>
      <c r="O1903" s="40"/>
      <c r="P1903" s="40"/>
      <c r="Q1903" s="40"/>
      <c r="R1903" s="40"/>
      <c r="S1903" s="40"/>
      <c r="T1903" s="40"/>
      <c r="U1903" s="40">
        <v>5700</v>
      </c>
      <c r="V1903" s="40"/>
      <c r="W1903" s="40"/>
      <c r="X1903" s="40"/>
      <c r="Y1903" s="40"/>
      <c r="Z1903" s="40">
        <v>5700</v>
      </c>
      <c r="AA1903" s="966">
        <f t="shared" si="329"/>
        <v>11400</v>
      </c>
      <c r="AB1903" s="1210"/>
      <c r="AC1903" s="1199"/>
      <c r="AD1903" s="1211"/>
    </row>
    <row r="1904" spans="1:30" x14ac:dyDescent="0.2">
      <c r="A1904" s="1422"/>
      <c r="B1904" s="3373"/>
      <c r="C1904" s="2456"/>
      <c r="D1904" s="3369"/>
      <c r="E1904" s="3369"/>
      <c r="F1904" s="3369"/>
      <c r="G1904" s="2420"/>
      <c r="H1904" s="3369"/>
      <c r="I1904" s="2420"/>
      <c r="J1904" s="2515"/>
      <c r="K1904" s="40">
        <v>7600</v>
      </c>
      <c r="L1904" s="2421"/>
      <c r="M1904" s="3287" t="s">
        <v>299</v>
      </c>
      <c r="N1904" s="3288"/>
      <c r="O1904" s="40">
        <v>7600</v>
      </c>
      <c r="P1904" s="40"/>
      <c r="Q1904" s="40"/>
      <c r="R1904" s="40"/>
      <c r="S1904" s="40"/>
      <c r="T1904" s="40"/>
      <c r="U1904" s="40"/>
      <c r="V1904" s="40"/>
      <c r="W1904" s="40"/>
      <c r="X1904" s="40"/>
      <c r="Y1904" s="40"/>
      <c r="Z1904" s="40"/>
      <c r="AA1904" s="966">
        <f t="shared" si="329"/>
        <v>7600</v>
      </c>
      <c r="AB1904" s="1210"/>
      <c r="AC1904" s="1199"/>
      <c r="AD1904" s="1211"/>
    </row>
    <row r="1905" spans="1:30" x14ac:dyDescent="0.2">
      <c r="A1905" s="1422"/>
      <c r="B1905" s="3373"/>
      <c r="C1905" s="2456"/>
      <c r="D1905" s="3369"/>
      <c r="E1905" s="3369"/>
      <c r="F1905" s="3369"/>
      <c r="G1905" s="2420"/>
      <c r="H1905" s="3369"/>
      <c r="I1905" s="2420"/>
      <c r="J1905" s="2515"/>
      <c r="K1905" s="40">
        <v>30664</v>
      </c>
      <c r="L1905" s="2421"/>
      <c r="M1905" s="3287" t="s">
        <v>300</v>
      </c>
      <c r="N1905" s="3288"/>
      <c r="O1905" s="40">
        <v>2555.3333333333335</v>
      </c>
      <c r="P1905" s="40">
        <v>2555.3333333333335</v>
      </c>
      <c r="Q1905" s="40">
        <v>2555.3333333333335</v>
      </c>
      <c r="R1905" s="40">
        <v>2555.3333333333335</v>
      </c>
      <c r="S1905" s="40">
        <v>2555.3333333333335</v>
      </c>
      <c r="T1905" s="40">
        <v>2555.3333333333335</v>
      </c>
      <c r="U1905" s="40">
        <v>2555.3333333333335</v>
      </c>
      <c r="V1905" s="40">
        <v>2555.3333333333335</v>
      </c>
      <c r="W1905" s="40">
        <v>2555.3333333333335</v>
      </c>
      <c r="X1905" s="40">
        <v>2555.3333333333335</v>
      </c>
      <c r="Y1905" s="40">
        <v>2555.3333333333335</v>
      </c>
      <c r="Z1905" s="40">
        <v>2555.3333333333335</v>
      </c>
      <c r="AA1905" s="966">
        <f t="shared" si="329"/>
        <v>30663.999999999996</v>
      </c>
      <c r="AB1905" s="1210"/>
      <c r="AC1905" s="1199"/>
      <c r="AD1905" s="1211"/>
    </row>
    <row r="1906" spans="1:30" x14ac:dyDescent="0.2">
      <c r="A1906" s="1422"/>
      <c r="B1906" s="3373"/>
      <c r="C1906" s="2456"/>
      <c r="D1906" s="3369"/>
      <c r="E1906" s="3369"/>
      <c r="F1906" s="3369"/>
      <c r="G1906" s="2420"/>
      <c r="H1906" s="3369"/>
      <c r="I1906" s="2420"/>
      <c r="J1906" s="2515"/>
      <c r="K1906" s="40">
        <v>647</v>
      </c>
      <c r="L1906" s="2421"/>
      <c r="M1906" s="3287" t="s">
        <v>301</v>
      </c>
      <c r="N1906" s="3288"/>
      <c r="O1906" s="40">
        <v>53.916666666666664</v>
      </c>
      <c r="P1906" s="40">
        <v>53.916666666666664</v>
      </c>
      <c r="Q1906" s="40">
        <v>53.916666666666664</v>
      </c>
      <c r="R1906" s="40">
        <v>53.916666666666664</v>
      </c>
      <c r="S1906" s="40">
        <v>53.916666666666664</v>
      </c>
      <c r="T1906" s="40">
        <v>53.916666666666664</v>
      </c>
      <c r="U1906" s="40">
        <v>53.916666666666664</v>
      </c>
      <c r="V1906" s="40">
        <v>53.916666666666664</v>
      </c>
      <c r="W1906" s="40">
        <v>53.916666666666664</v>
      </c>
      <c r="X1906" s="40">
        <v>53.916666666666664</v>
      </c>
      <c r="Y1906" s="40">
        <v>53.916666666666664</v>
      </c>
      <c r="Z1906" s="40">
        <v>53.916666666666664</v>
      </c>
      <c r="AA1906" s="966">
        <f t="shared" si="329"/>
        <v>647</v>
      </c>
      <c r="AB1906" s="1210"/>
      <c r="AC1906" s="1199"/>
      <c r="AD1906" s="1211"/>
    </row>
    <row r="1907" spans="1:30" x14ac:dyDescent="0.2">
      <c r="A1907" s="1422"/>
      <c r="B1907" s="3373"/>
      <c r="C1907" s="2456"/>
      <c r="D1907" s="3369"/>
      <c r="E1907" s="3369"/>
      <c r="F1907" s="3369"/>
      <c r="G1907" s="2420"/>
      <c r="H1907" s="3369"/>
      <c r="I1907" s="2420"/>
      <c r="J1907" s="2515"/>
      <c r="K1907" s="40">
        <v>4985</v>
      </c>
      <c r="L1907" s="2421"/>
      <c r="M1907" s="3287" t="s">
        <v>672</v>
      </c>
      <c r="N1907" s="3288"/>
      <c r="O1907" s="40"/>
      <c r="P1907" s="40"/>
      <c r="Q1907" s="40">
        <v>2492.5</v>
      </c>
      <c r="R1907" s="40"/>
      <c r="S1907" s="40"/>
      <c r="T1907" s="40"/>
      <c r="U1907" s="40">
        <v>2492.5</v>
      </c>
      <c r="V1907" s="40"/>
      <c r="W1907" s="40"/>
      <c r="X1907" s="40"/>
      <c r="Y1907" s="40"/>
      <c r="Z1907" s="40"/>
      <c r="AA1907" s="966">
        <f t="shared" si="329"/>
        <v>4985</v>
      </c>
      <c r="AB1907" s="1210"/>
      <c r="AC1907" s="1199"/>
      <c r="AD1907" s="1211"/>
    </row>
    <row r="1908" spans="1:30" x14ac:dyDescent="0.2">
      <c r="A1908" s="1422"/>
      <c r="B1908" s="3373"/>
      <c r="C1908" s="2456"/>
      <c r="D1908" s="3369"/>
      <c r="E1908" s="3369"/>
      <c r="F1908" s="3369"/>
      <c r="G1908" s="2420"/>
      <c r="H1908" s="3369"/>
      <c r="I1908" s="2420"/>
      <c r="J1908" s="2515"/>
      <c r="K1908" s="40">
        <v>5700</v>
      </c>
      <c r="L1908" s="2421"/>
      <c r="M1908" s="3287" t="s">
        <v>380</v>
      </c>
      <c r="N1908" s="3288"/>
      <c r="O1908" s="40">
        <v>2850</v>
      </c>
      <c r="P1908" s="40"/>
      <c r="Q1908" s="40"/>
      <c r="R1908" s="40"/>
      <c r="S1908" s="40"/>
      <c r="T1908" s="40">
        <v>2850</v>
      </c>
      <c r="U1908" s="40"/>
      <c r="V1908" s="40"/>
      <c r="W1908" s="40"/>
      <c r="X1908" s="40"/>
      <c r="Y1908" s="40"/>
      <c r="Z1908" s="40"/>
      <c r="AA1908" s="966">
        <f t="shared" si="329"/>
        <v>5700</v>
      </c>
      <c r="AB1908" s="1210"/>
      <c r="AC1908" s="1199"/>
      <c r="AD1908" s="1211"/>
    </row>
    <row r="1909" spans="1:30" x14ac:dyDescent="0.2">
      <c r="A1909" s="1422"/>
      <c r="B1909" s="3373"/>
      <c r="C1909" s="2456"/>
      <c r="D1909" s="3369"/>
      <c r="E1909" s="3369"/>
      <c r="F1909" s="3369"/>
      <c r="G1909" s="2420"/>
      <c r="H1909" s="3369"/>
      <c r="I1909" s="2420"/>
      <c r="J1909" s="2515"/>
      <c r="K1909" s="40">
        <v>2400</v>
      </c>
      <c r="L1909" s="2421"/>
      <c r="M1909" s="3287" t="s">
        <v>340</v>
      </c>
      <c r="N1909" s="3288"/>
      <c r="O1909" s="40"/>
      <c r="P1909" s="40"/>
      <c r="Q1909" s="40">
        <v>1200</v>
      </c>
      <c r="R1909" s="40"/>
      <c r="S1909" s="40"/>
      <c r="T1909" s="40"/>
      <c r="U1909" s="40"/>
      <c r="V1909" s="40">
        <v>1200</v>
      </c>
      <c r="W1909" s="40"/>
      <c r="X1909" s="40"/>
      <c r="Y1909" s="40"/>
      <c r="Z1909" s="40"/>
      <c r="AA1909" s="966">
        <f t="shared" si="329"/>
        <v>2400</v>
      </c>
      <c r="AB1909" s="1210"/>
      <c r="AC1909" s="1199"/>
      <c r="AD1909" s="1211"/>
    </row>
    <row r="1910" spans="1:30" x14ac:dyDescent="0.2">
      <c r="A1910" s="1422"/>
      <c r="B1910" s="3373"/>
      <c r="C1910" s="2456"/>
      <c r="D1910" s="3369"/>
      <c r="E1910" s="3369"/>
      <c r="F1910" s="3369"/>
      <c r="G1910" s="2420"/>
      <c r="H1910" s="3369"/>
      <c r="I1910" s="2420"/>
      <c r="J1910" s="2515"/>
      <c r="K1910" s="40">
        <v>7500</v>
      </c>
      <c r="L1910" s="2421"/>
      <c r="M1910" s="3287" t="s">
        <v>302</v>
      </c>
      <c r="N1910" s="3288"/>
      <c r="O1910" s="40"/>
      <c r="P1910" s="40"/>
      <c r="Q1910" s="40"/>
      <c r="R1910" s="40"/>
      <c r="S1910" s="40">
        <v>7500</v>
      </c>
      <c r="T1910" s="40"/>
      <c r="U1910" s="40"/>
      <c r="V1910" s="40"/>
      <c r="W1910" s="40"/>
      <c r="X1910" s="40"/>
      <c r="Y1910" s="40"/>
      <c r="Z1910" s="40"/>
      <c r="AA1910" s="966">
        <f t="shared" si="329"/>
        <v>7500</v>
      </c>
      <c r="AB1910" s="1210"/>
      <c r="AC1910" s="1199"/>
      <c r="AD1910" s="1211"/>
    </row>
    <row r="1911" spans="1:30" x14ac:dyDescent="0.2">
      <c r="A1911" s="1422"/>
      <c r="B1911" s="3373"/>
      <c r="C1911" s="2456"/>
      <c r="D1911" s="3369"/>
      <c r="E1911" s="3369"/>
      <c r="F1911" s="3369"/>
      <c r="G1911" s="2420"/>
      <c r="H1911" s="3369"/>
      <c r="I1911" s="2420"/>
      <c r="J1911" s="2515"/>
      <c r="K1911" s="40">
        <v>1600</v>
      </c>
      <c r="L1911" s="2421"/>
      <c r="M1911" s="3287" t="s">
        <v>303</v>
      </c>
      <c r="N1911" s="3288"/>
      <c r="O1911" s="40"/>
      <c r="P1911" s="40"/>
      <c r="Q1911" s="40">
        <v>1600</v>
      </c>
      <c r="R1911" s="40"/>
      <c r="S1911" s="40"/>
      <c r="T1911" s="40"/>
      <c r="U1911" s="40"/>
      <c r="V1911" s="40"/>
      <c r="W1911" s="40"/>
      <c r="X1911" s="40"/>
      <c r="Y1911" s="40"/>
      <c r="Z1911" s="40"/>
      <c r="AA1911" s="966">
        <f t="shared" si="329"/>
        <v>1600</v>
      </c>
      <c r="AB1911" s="1210"/>
      <c r="AC1911" s="1199"/>
      <c r="AD1911" s="1211"/>
    </row>
    <row r="1912" spans="1:30" x14ac:dyDescent="0.2">
      <c r="A1912" s="1422"/>
      <c r="B1912" s="3373"/>
      <c r="C1912" s="2456"/>
      <c r="D1912" s="3369"/>
      <c r="E1912" s="3369"/>
      <c r="F1912" s="3369"/>
      <c r="G1912" s="2420"/>
      <c r="H1912" s="3369"/>
      <c r="I1912" s="2420"/>
      <c r="J1912" s="2515"/>
      <c r="K1912" s="40">
        <v>200</v>
      </c>
      <c r="L1912" s="2421"/>
      <c r="M1912" s="3287" t="s">
        <v>324</v>
      </c>
      <c r="N1912" s="3288"/>
      <c r="O1912" s="40"/>
      <c r="P1912" s="40">
        <v>200</v>
      </c>
      <c r="Q1912" s="40"/>
      <c r="R1912" s="40"/>
      <c r="S1912" s="40"/>
      <c r="T1912" s="40"/>
      <c r="U1912" s="40"/>
      <c r="V1912" s="40"/>
      <c r="W1912" s="40"/>
      <c r="X1912" s="40"/>
      <c r="Y1912" s="40"/>
      <c r="Z1912" s="40"/>
      <c r="AA1912" s="966">
        <f t="shared" si="329"/>
        <v>200</v>
      </c>
      <c r="AB1912" s="1210"/>
      <c r="AC1912" s="1199"/>
      <c r="AD1912" s="1211"/>
    </row>
    <row r="1913" spans="1:30" x14ac:dyDescent="0.2">
      <c r="A1913" s="1422"/>
      <c r="B1913" s="3373"/>
      <c r="C1913" s="2456"/>
      <c r="D1913" s="3369"/>
      <c r="E1913" s="3369"/>
      <c r="F1913" s="3369"/>
      <c r="G1913" s="2420"/>
      <c r="H1913" s="3369"/>
      <c r="I1913" s="2420"/>
      <c r="J1913" s="2515"/>
      <c r="K1913" s="40">
        <v>1000</v>
      </c>
      <c r="L1913" s="2421"/>
      <c r="M1913" s="3287" t="s">
        <v>673</v>
      </c>
      <c r="N1913" s="3288"/>
      <c r="O1913" s="40"/>
      <c r="P1913" s="40"/>
      <c r="Q1913" s="40">
        <v>500</v>
      </c>
      <c r="R1913" s="40"/>
      <c r="S1913" s="40"/>
      <c r="T1913" s="40"/>
      <c r="U1913" s="40"/>
      <c r="V1913" s="40">
        <v>500</v>
      </c>
      <c r="W1913" s="40"/>
      <c r="X1913" s="40"/>
      <c r="Y1913" s="40"/>
      <c r="Z1913" s="40"/>
      <c r="AA1913" s="966">
        <f t="shared" si="329"/>
        <v>1000</v>
      </c>
      <c r="AB1913" s="1210"/>
      <c r="AC1913" s="1199"/>
      <c r="AD1913" s="1211"/>
    </row>
    <row r="1914" spans="1:30" x14ac:dyDescent="0.2">
      <c r="A1914" s="1422"/>
      <c r="B1914" s="3373"/>
      <c r="C1914" s="2456"/>
      <c r="D1914" s="3369"/>
      <c r="E1914" s="3369"/>
      <c r="F1914" s="3369"/>
      <c r="G1914" s="2420"/>
      <c r="H1914" s="3369"/>
      <c r="I1914" s="2420"/>
      <c r="J1914" s="2515"/>
      <c r="K1914" s="40">
        <v>600</v>
      </c>
      <c r="L1914" s="2421"/>
      <c r="M1914" s="3287" t="s">
        <v>393</v>
      </c>
      <c r="N1914" s="3288"/>
      <c r="O1914" s="40"/>
      <c r="P1914" s="40"/>
      <c r="Q1914" s="40"/>
      <c r="R1914" s="40">
        <v>600</v>
      </c>
      <c r="S1914" s="40"/>
      <c r="T1914" s="40"/>
      <c r="U1914" s="40"/>
      <c r="V1914" s="40"/>
      <c r="W1914" s="40"/>
      <c r="X1914" s="40"/>
      <c r="Y1914" s="40"/>
      <c r="Z1914" s="40"/>
      <c r="AA1914" s="966">
        <f t="shared" si="329"/>
        <v>600</v>
      </c>
      <c r="AB1914" s="1210"/>
      <c r="AC1914" s="1199"/>
      <c r="AD1914" s="1211"/>
    </row>
    <row r="1915" spans="1:30" x14ac:dyDescent="0.2">
      <c r="A1915" s="1422"/>
      <c r="B1915" s="3373"/>
      <c r="C1915" s="2456"/>
      <c r="D1915" s="3369"/>
      <c r="E1915" s="3369"/>
      <c r="F1915" s="3369"/>
      <c r="G1915" s="2420"/>
      <c r="H1915" s="3369"/>
      <c r="I1915" s="2420"/>
      <c r="J1915" s="2515"/>
      <c r="K1915" s="40">
        <v>9800</v>
      </c>
      <c r="L1915" s="2421"/>
      <c r="M1915" s="3287" t="s">
        <v>343</v>
      </c>
      <c r="N1915" s="3288"/>
      <c r="O1915" s="40"/>
      <c r="P1915" s="40"/>
      <c r="Q1915" s="40"/>
      <c r="R1915" s="40">
        <v>4900</v>
      </c>
      <c r="S1915" s="40"/>
      <c r="T1915" s="40"/>
      <c r="U1915" s="40"/>
      <c r="V1915" s="40">
        <v>4900</v>
      </c>
      <c r="W1915" s="40"/>
      <c r="X1915" s="40"/>
      <c r="Y1915" s="40"/>
      <c r="Z1915" s="40"/>
      <c r="AA1915" s="966">
        <f t="shared" si="329"/>
        <v>9800</v>
      </c>
      <c r="AB1915" s="1210"/>
      <c r="AC1915" s="1199"/>
      <c r="AD1915" s="1211"/>
    </row>
    <row r="1916" spans="1:30" x14ac:dyDescent="0.2">
      <c r="A1916" s="1422"/>
      <c r="B1916" s="3373"/>
      <c r="C1916" s="2456"/>
      <c r="D1916" s="3369"/>
      <c r="E1916" s="3369"/>
      <c r="F1916" s="3369"/>
      <c r="G1916" s="2420"/>
      <c r="H1916" s="3369"/>
      <c r="I1916" s="2420"/>
      <c r="J1916" s="2515"/>
      <c r="K1916" s="40">
        <v>5200</v>
      </c>
      <c r="L1916" s="2421"/>
      <c r="M1916" s="3287" t="s">
        <v>304</v>
      </c>
      <c r="N1916" s="3288"/>
      <c r="O1916" s="40"/>
      <c r="P1916" s="40"/>
      <c r="Q1916" s="40">
        <v>2600</v>
      </c>
      <c r="R1916" s="40"/>
      <c r="S1916" s="40"/>
      <c r="T1916" s="40"/>
      <c r="U1916" s="40">
        <v>2600</v>
      </c>
      <c r="V1916" s="40"/>
      <c r="W1916" s="40"/>
      <c r="X1916" s="40"/>
      <c r="Y1916" s="40"/>
      <c r="Z1916" s="40"/>
      <c r="AA1916" s="966">
        <f t="shared" si="329"/>
        <v>5200</v>
      </c>
      <c r="AB1916" s="1210"/>
      <c r="AC1916" s="1199"/>
      <c r="AD1916" s="1211"/>
    </row>
    <row r="1917" spans="1:30" x14ac:dyDescent="0.2">
      <c r="A1917" s="1422"/>
      <c r="B1917" s="3373"/>
      <c r="C1917" s="2456"/>
      <c r="D1917" s="3369"/>
      <c r="E1917" s="3369"/>
      <c r="F1917" s="3369"/>
      <c r="G1917" s="2420"/>
      <c r="H1917" s="3369"/>
      <c r="I1917" s="2420"/>
      <c r="J1917" s="2515"/>
      <c r="K1917" s="40">
        <v>500</v>
      </c>
      <c r="L1917" s="2421"/>
      <c r="M1917" s="3287" t="s">
        <v>305</v>
      </c>
      <c r="N1917" s="3288"/>
      <c r="O1917" s="40"/>
      <c r="P1917" s="40">
        <v>500</v>
      </c>
      <c r="Q1917" s="40"/>
      <c r="R1917" s="40"/>
      <c r="S1917" s="40"/>
      <c r="T1917" s="40"/>
      <c r="U1917" s="40"/>
      <c r="V1917" s="40"/>
      <c r="W1917" s="40"/>
      <c r="X1917" s="40"/>
      <c r="Y1917" s="40"/>
      <c r="Z1917" s="40"/>
      <c r="AA1917" s="966">
        <f t="shared" si="329"/>
        <v>500</v>
      </c>
      <c r="AB1917" s="1210"/>
      <c r="AC1917" s="1199"/>
      <c r="AD1917" s="1211"/>
    </row>
    <row r="1918" spans="1:30" x14ac:dyDescent="0.2">
      <c r="A1918" s="1422"/>
      <c r="B1918" s="3373"/>
      <c r="C1918" s="2456"/>
      <c r="D1918" s="3369"/>
      <c r="E1918" s="3369"/>
      <c r="F1918" s="3369"/>
      <c r="G1918" s="2420"/>
      <c r="H1918" s="3369"/>
      <c r="I1918" s="2420"/>
      <c r="J1918" s="2515"/>
      <c r="K1918" s="40">
        <v>5000</v>
      </c>
      <c r="L1918" s="2421"/>
      <c r="M1918" s="3287" t="s">
        <v>306</v>
      </c>
      <c r="N1918" s="3288"/>
      <c r="O1918" s="40"/>
      <c r="P1918" s="40">
        <v>454.54545454545456</v>
      </c>
      <c r="Q1918" s="40">
        <v>454.54545454545456</v>
      </c>
      <c r="R1918" s="40">
        <v>454.54545454545456</v>
      </c>
      <c r="S1918" s="40">
        <v>454.54545454545456</v>
      </c>
      <c r="T1918" s="40">
        <v>454.54545454545456</v>
      </c>
      <c r="U1918" s="40">
        <v>454.54545454545456</v>
      </c>
      <c r="V1918" s="40">
        <v>454.54545454545456</v>
      </c>
      <c r="W1918" s="40">
        <v>454.54545454545456</v>
      </c>
      <c r="X1918" s="40">
        <v>454.54545454545456</v>
      </c>
      <c r="Y1918" s="40">
        <v>454.54545454545456</v>
      </c>
      <c r="Z1918" s="40">
        <v>454.54545454545456</v>
      </c>
      <c r="AA1918" s="966">
        <f t="shared" si="329"/>
        <v>5000.0000000000009</v>
      </c>
      <c r="AB1918" s="1210"/>
      <c r="AC1918" s="1199"/>
      <c r="AD1918" s="1211"/>
    </row>
    <row r="1919" spans="1:30" x14ac:dyDescent="0.2">
      <c r="A1919" s="1422"/>
      <c r="B1919" s="3373"/>
      <c r="C1919" s="2456"/>
      <c r="D1919" s="3369"/>
      <c r="E1919" s="3369"/>
      <c r="F1919" s="3369"/>
      <c r="G1919" s="2420"/>
      <c r="H1919" s="3369"/>
      <c r="I1919" s="2420"/>
      <c r="J1919" s="2515"/>
      <c r="K1919" s="40">
        <v>47085</v>
      </c>
      <c r="L1919" s="2421"/>
      <c r="M1919" s="3287" t="s">
        <v>307</v>
      </c>
      <c r="N1919" s="3288"/>
      <c r="O1919" s="40"/>
      <c r="P1919" s="40">
        <v>4280.454545454545</v>
      </c>
      <c r="Q1919" s="40">
        <v>4280.454545454545</v>
      </c>
      <c r="R1919" s="40">
        <v>4280.454545454545</v>
      </c>
      <c r="S1919" s="40">
        <v>4280.454545454545</v>
      </c>
      <c r="T1919" s="40">
        <v>4280.454545454545</v>
      </c>
      <c r="U1919" s="40">
        <v>4280.454545454545</v>
      </c>
      <c r="V1919" s="40">
        <v>4280.454545454545</v>
      </c>
      <c r="W1919" s="40">
        <v>4280.454545454545</v>
      </c>
      <c r="X1919" s="40">
        <v>4280.454545454545</v>
      </c>
      <c r="Y1919" s="40">
        <v>4280.454545454545</v>
      </c>
      <c r="Z1919" s="40">
        <v>4280.454545454545</v>
      </c>
      <c r="AA1919" s="966">
        <f t="shared" si="329"/>
        <v>47084.999999999993</v>
      </c>
      <c r="AB1919" s="1210"/>
      <c r="AC1919" s="1199"/>
      <c r="AD1919" s="1211"/>
    </row>
    <row r="1920" spans="1:30" x14ac:dyDescent="0.2">
      <c r="A1920" s="1422"/>
      <c r="B1920" s="3373"/>
      <c r="C1920" s="2456"/>
      <c r="D1920" s="3369"/>
      <c r="E1920" s="3369"/>
      <c r="F1920" s="3369"/>
      <c r="G1920" s="2420"/>
      <c r="H1920" s="3369"/>
      <c r="I1920" s="2420"/>
      <c r="J1920" s="2515"/>
      <c r="K1920" s="40">
        <v>9115</v>
      </c>
      <c r="L1920" s="2421"/>
      <c r="M1920" s="3287" t="s">
        <v>355</v>
      </c>
      <c r="N1920" s="3288"/>
      <c r="O1920" s="40"/>
      <c r="P1920" s="40"/>
      <c r="Q1920" s="40">
        <v>4557.5</v>
      </c>
      <c r="R1920" s="40"/>
      <c r="S1920" s="40"/>
      <c r="T1920" s="40"/>
      <c r="U1920" s="40">
        <v>4557.5</v>
      </c>
      <c r="V1920" s="40"/>
      <c r="W1920" s="40"/>
      <c r="X1920" s="40"/>
      <c r="Y1920" s="40"/>
      <c r="Z1920" s="40"/>
      <c r="AA1920" s="966">
        <f t="shared" si="329"/>
        <v>9115</v>
      </c>
      <c r="AB1920" s="1210"/>
      <c r="AC1920" s="1199"/>
      <c r="AD1920" s="1211"/>
    </row>
    <row r="1921" spans="1:30" x14ac:dyDescent="0.2">
      <c r="A1921" s="1422"/>
      <c r="B1921" s="3373"/>
      <c r="C1921" s="2456"/>
      <c r="D1921" s="3369"/>
      <c r="E1921" s="3369"/>
      <c r="F1921" s="3369"/>
      <c r="G1921" s="2420"/>
      <c r="H1921" s="3369"/>
      <c r="I1921" s="2420"/>
      <c r="J1921" s="2515"/>
      <c r="K1921" s="40">
        <v>3500</v>
      </c>
      <c r="L1921" s="2421"/>
      <c r="M1921" s="3287" t="s">
        <v>356</v>
      </c>
      <c r="N1921" s="3288"/>
      <c r="O1921" s="40"/>
      <c r="P1921" s="40"/>
      <c r="Q1921" s="40">
        <v>1750</v>
      </c>
      <c r="R1921" s="40"/>
      <c r="S1921" s="40"/>
      <c r="T1921" s="40"/>
      <c r="U1921" s="40">
        <v>1750</v>
      </c>
      <c r="V1921" s="40"/>
      <c r="W1921" s="40"/>
      <c r="X1921" s="40"/>
      <c r="Y1921" s="40"/>
      <c r="Z1921" s="40"/>
      <c r="AA1921" s="966">
        <f t="shared" si="329"/>
        <v>3500</v>
      </c>
      <c r="AB1921" s="1210"/>
      <c r="AC1921" s="1199"/>
      <c r="AD1921" s="1211"/>
    </row>
    <row r="1922" spans="1:30" x14ac:dyDescent="0.2">
      <c r="A1922" s="1422"/>
      <c r="B1922" s="3373"/>
      <c r="C1922" s="2456"/>
      <c r="D1922" s="3369"/>
      <c r="E1922" s="3369"/>
      <c r="F1922" s="3369"/>
      <c r="G1922" s="2420"/>
      <c r="H1922" s="3369"/>
      <c r="I1922" s="2420"/>
      <c r="J1922" s="2515"/>
      <c r="K1922" s="40">
        <v>2150</v>
      </c>
      <c r="L1922" s="2421"/>
      <c r="M1922" s="3287" t="s">
        <v>308</v>
      </c>
      <c r="N1922" s="3288"/>
      <c r="O1922" s="40"/>
      <c r="P1922" s="40"/>
      <c r="Q1922" s="40">
        <v>1075</v>
      </c>
      <c r="R1922" s="40"/>
      <c r="S1922" s="40"/>
      <c r="T1922" s="40"/>
      <c r="U1922" s="40"/>
      <c r="V1922" s="40">
        <v>1075</v>
      </c>
      <c r="W1922" s="40"/>
      <c r="X1922" s="40"/>
      <c r="Y1922" s="40"/>
      <c r="Z1922" s="40"/>
      <c r="AA1922" s="966">
        <f t="shared" si="329"/>
        <v>2150</v>
      </c>
      <c r="AB1922" s="1210"/>
      <c r="AC1922" s="1199"/>
      <c r="AD1922" s="1211"/>
    </row>
    <row r="1923" spans="1:30" x14ac:dyDescent="0.2">
      <c r="A1923" s="1422"/>
      <c r="B1923" s="3373"/>
      <c r="C1923" s="2450"/>
      <c r="D1923" s="3369"/>
      <c r="E1923" s="3369"/>
      <c r="F1923" s="3369"/>
      <c r="G1923" s="2420"/>
      <c r="H1923" s="3369"/>
      <c r="I1923" s="2420"/>
      <c r="J1923" s="2516"/>
      <c r="K1923" s="40">
        <v>5683</v>
      </c>
      <c r="L1923" s="2421"/>
      <c r="M1923" s="3287" t="s">
        <v>309</v>
      </c>
      <c r="N1923" s="3288"/>
      <c r="O1923" s="40"/>
      <c r="P1923" s="40"/>
      <c r="Q1923" s="40">
        <v>1136.5999999999999</v>
      </c>
      <c r="R1923" s="40"/>
      <c r="S1923" s="40">
        <v>1136.5999999999999</v>
      </c>
      <c r="T1923" s="40"/>
      <c r="U1923" s="40">
        <v>1136.5999999999999</v>
      </c>
      <c r="V1923" s="40"/>
      <c r="W1923" s="40">
        <v>1136.5999999999999</v>
      </c>
      <c r="X1923" s="40"/>
      <c r="Y1923" s="40">
        <v>1136.5999999999999</v>
      </c>
      <c r="Z1923" s="40"/>
      <c r="AA1923" s="966">
        <f t="shared" si="329"/>
        <v>5683</v>
      </c>
      <c r="AB1923" s="1210"/>
      <c r="AC1923" s="1199"/>
      <c r="AD1923" s="1211"/>
    </row>
    <row r="1924" spans="1:30" x14ac:dyDescent="0.2">
      <c r="A1924" s="1422"/>
      <c r="B1924" s="1422"/>
      <c r="C1924" s="1124"/>
      <c r="D1924" s="35"/>
      <c r="E1924" s="35"/>
      <c r="F1924" s="35"/>
      <c r="G1924" s="35"/>
      <c r="H1924" s="35"/>
      <c r="I1924" s="35"/>
      <c r="J1924" s="105"/>
      <c r="K1924" s="102"/>
      <c r="L1924" s="102"/>
      <c r="M1924" s="1124"/>
      <c r="N1924" s="1124"/>
      <c r="O1924" s="35"/>
      <c r="P1924" s="35"/>
      <c r="Q1924" s="35"/>
      <c r="R1924" s="35"/>
      <c r="S1924" s="35"/>
      <c r="T1924" s="35"/>
      <c r="U1924" s="35"/>
      <c r="V1924" s="35"/>
      <c r="W1924" s="35"/>
      <c r="X1924" s="35"/>
      <c r="Y1924" s="35"/>
      <c r="Z1924" s="35"/>
      <c r="AA1924" s="1212"/>
      <c r="AB1924" s="1210"/>
      <c r="AC1924" s="1199"/>
      <c r="AD1924" s="1211"/>
    </row>
    <row r="1925" spans="1:30" ht="27" customHeight="1" x14ac:dyDescent="0.2">
      <c r="A1925" s="1422"/>
      <c r="B1925" s="1422"/>
      <c r="C1925" s="1124"/>
      <c r="D1925" s="35"/>
      <c r="E1925" s="35"/>
      <c r="F1925" s="35"/>
      <c r="G1925" s="35"/>
      <c r="H1925" s="35"/>
      <c r="I1925" s="35"/>
      <c r="J1925" s="105"/>
      <c r="K1925" s="35"/>
      <c r="L1925" s="35"/>
      <c r="M1925" s="1124"/>
      <c r="N1925" s="1124"/>
      <c r="O1925" s="35"/>
      <c r="P1925" s="35"/>
      <c r="Q1925" s="35"/>
      <c r="R1925" s="35"/>
      <c r="S1925" s="35"/>
      <c r="T1925" s="2922" t="s">
        <v>15</v>
      </c>
      <c r="U1925" s="2922"/>
      <c r="V1925" s="2922"/>
      <c r="W1925" s="2922"/>
      <c r="X1925" s="2922"/>
      <c r="Y1925" s="2922"/>
      <c r="Z1925" s="2922"/>
      <c r="AA1925" s="2148" t="s">
        <v>16</v>
      </c>
      <c r="AB1925" s="1210"/>
      <c r="AC1925" s="1199"/>
      <c r="AD1925" s="1211"/>
    </row>
    <row r="1926" spans="1:30" ht="23.25" customHeight="1" x14ac:dyDescent="0.2">
      <c r="A1926" s="1422"/>
      <c r="B1926" s="1090" t="s">
        <v>276</v>
      </c>
      <c r="C1926" s="1115"/>
      <c r="D1926" s="913">
        <v>3043983</v>
      </c>
      <c r="E1926" s="1115" t="s">
        <v>674</v>
      </c>
      <c r="F1926" s="913"/>
      <c r="G1926" s="1134"/>
      <c r="H1926" s="1135"/>
      <c r="I1926" s="1135"/>
      <c r="J1926" s="1135"/>
      <c r="K1926" s="1135"/>
      <c r="L1926" s="1135"/>
      <c r="M1926" s="1135"/>
      <c r="N1926" s="1135"/>
      <c r="O1926" s="1135"/>
      <c r="P1926" s="1135"/>
      <c r="Q1926" s="1135"/>
      <c r="R1926" s="1135"/>
      <c r="S1926" s="1136"/>
      <c r="T1926" s="2922" t="s">
        <v>675</v>
      </c>
      <c r="U1926" s="2922"/>
      <c r="V1926" s="2922"/>
      <c r="W1926" s="2922"/>
      <c r="X1926" s="2922"/>
      <c r="Y1926" s="2922"/>
      <c r="Z1926" s="2922"/>
      <c r="AA1926" s="1213" t="s">
        <v>418</v>
      </c>
      <c r="AB1926" s="1210"/>
      <c r="AC1926" s="1199"/>
      <c r="AD1926" s="1211"/>
    </row>
    <row r="1927" spans="1:30" x14ac:dyDescent="0.2">
      <c r="A1927" s="1422"/>
      <c r="B1927" s="2999" t="s">
        <v>278</v>
      </c>
      <c r="C1927" s="2999" t="s">
        <v>21</v>
      </c>
      <c r="D1927" s="2847" t="s">
        <v>22</v>
      </c>
      <c r="E1927" s="2847" t="s">
        <v>23</v>
      </c>
      <c r="F1927" s="2847" t="s">
        <v>24</v>
      </c>
      <c r="G1927" s="2847" t="s">
        <v>25</v>
      </c>
      <c r="H1927" s="2847" t="s">
        <v>26</v>
      </c>
      <c r="I1927" s="2847" t="s">
        <v>27</v>
      </c>
      <c r="J1927" s="3206" t="s">
        <v>28</v>
      </c>
      <c r="K1927" s="3301"/>
      <c r="L1927" s="2988" t="s">
        <v>279</v>
      </c>
      <c r="M1927" s="2986" t="s">
        <v>280</v>
      </c>
      <c r="N1927" s="2987"/>
      <c r="O1927" s="2847" t="s">
        <v>281</v>
      </c>
      <c r="P1927" s="2847"/>
      <c r="Q1927" s="2847"/>
      <c r="R1927" s="2847"/>
      <c r="S1927" s="2847"/>
      <c r="T1927" s="2847"/>
      <c r="U1927" s="2847"/>
      <c r="V1927" s="2847"/>
      <c r="W1927" s="2847"/>
      <c r="X1927" s="2847"/>
      <c r="Y1927" s="2847"/>
      <c r="Z1927" s="2847"/>
      <c r="AA1927" s="3358" t="s">
        <v>32</v>
      </c>
      <c r="AB1927" s="1210"/>
      <c r="AC1927" s="1199"/>
      <c r="AD1927" s="1211"/>
    </row>
    <row r="1928" spans="1:30" x14ac:dyDescent="0.2">
      <c r="A1928" s="1422"/>
      <c r="B1928" s="2999"/>
      <c r="C1928" s="2999"/>
      <c r="D1928" s="2847"/>
      <c r="E1928" s="2847"/>
      <c r="F1928" s="2847"/>
      <c r="G1928" s="2847"/>
      <c r="H1928" s="2847"/>
      <c r="I1928" s="2847"/>
      <c r="J1928" s="1007" t="s">
        <v>33</v>
      </c>
      <c r="K1928" s="2988" t="s">
        <v>282</v>
      </c>
      <c r="L1928" s="3186"/>
      <c r="M1928" s="3000"/>
      <c r="N1928" s="3001"/>
      <c r="O1928" s="1009" t="s">
        <v>283</v>
      </c>
      <c r="P1928" s="1009" t="s">
        <v>284</v>
      </c>
      <c r="Q1928" s="1009" t="s">
        <v>285</v>
      </c>
      <c r="R1928" s="1009" t="s">
        <v>88</v>
      </c>
      <c r="S1928" s="1009" t="s">
        <v>89</v>
      </c>
      <c r="T1928" s="1009" t="s">
        <v>90</v>
      </c>
      <c r="U1928" s="1009" t="s">
        <v>91</v>
      </c>
      <c r="V1928" s="1009" t="s">
        <v>92</v>
      </c>
      <c r="W1928" s="1009" t="s">
        <v>286</v>
      </c>
      <c r="X1928" s="1009" t="s">
        <v>93</v>
      </c>
      <c r="Y1928" s="1009" t="s">
        <v>94</v>
      </c>
      <c r="Z1928" s="1009" t="s">
        <v>95</v>
      </c>
      <c r="AA1928" s="3358"/>
      <c r="AB1928" s="1210"/>
      <c r="AC1928" s="1199"/>
      <c r="AD1928" s="1211"/>
    </row>
    <row r="1929" spans="1:30" ht="12.75" x14ac:dyDescent="0.2">
      <c r="A1929" s="1422"/>
      <c r="B1929" s="2999"/>
      <c r="C1929" s="2999"/>
      <c r="D1929" s="2847"/>
      <c r="E1929" s="2847"/>
      <c r="F1929" s="2847"/>
      <c r="G1929" s="2847"/>
      <c r="H1929" s="2847"/>
      <c r="I1929" s="2847"/>
      <c r="J1929" s="106"/>
      <c r="K1929" s="3186"/>
      <c r="L1929" s="3186"/>
      <c r="M1929" s="3271" t="s">
        <v>287</v>
      </c>
      <c r="N1929" s="3272"/>
      <c r="O1929" s="40">
        <v>5254</v>
      </c>
      <c r="P1929" s="40">
        <v>5254</v>
      </c>
      <c r="Q1929" s="40">
        <v>5256</v>
      </c>
      <c r="R1929" s="40">
        <v>5256</v>
      </c>
      <c r="S1929" s="40">
        <v>5256</v>
      </c>
      <c r="T1929" s="40">
        <v>5257</v>
      </c>
      <c r="U1929" s="40">
        <v>5256</v>
      </c>
      <c r="V1929" s="40">
        <v>5256</v>
      </c>
      <c r="W1929" s="40">
        <v>5256</v>
      </c>
      <c r="X1929" s="40">
        <v>5256</v>
      </c>
      <c r="Y1929" s="40">
        <v>5256</v>
      </c>
      <c r="Z1929" s="40">
        <v>5256</v>
      </c>
      <c r="AA1929" s="1205">
        <f>SUM(O1929:Z1929)</f>
        <v>63069</v>
      </c>
      <c r="AB1929" s="1210"/>
      <c r="AC1929" s="1199"/>
      <c r="AD1929" s="1211"/>
    </row>
    <row r="1930" spans="1:30" ht="12.75" x14ac:dyDescent="0.2">
      <c r="A1930" s="1422"/>
      <c r="B1930" s="2999"/>
      <c r="C1930" s="2999"/>
      <c r="D1930" s="2847"/>
      <c r="E1930" s="2847"/>
      <c r="F1930" s="2847"/>
      <c r="G1930" s="2847"/>
      <c r="H1930" s="2847"/>
      <c r="I1930" s="2847"/>
      <c r="J1930" s="1008"/>
      <c r="K1930" s="2989"/>
      <c r="L1930" s="2989"/>
      <c r="M1930" s="3271" t="s">
        <v>34</v>
      </c>
      <c r="N1930" s="3272"/>
      <c r="O1930" s="40">
        <f>SUM(O1931:O1952)</f>
        <v>197972.33333333331</v>
      </c>
      <c r="P1930" s="40">
        <f t="shared" ref="P1930:Z1930" si="330">SUM(P1931:P1952)</f>
        <v>180580.28787878787</v>
      </c>
      <c r="Q1930" s="40">
        <f t="shared" si="330"/>
        <v>187969.56287878787</v>
      </c>
      <c r="R1930" s="40">
        <f t="shared" si="330"/>
        <v>198345.18787878787</v>
      </c>
      <c r="S1930" s="40">
        <f t="shared" si="330"/>
        <v>185382.06287878787</v>
      </c>
      <c r="T1930" s="40">
        <f t="shared" si="330"/>
        <v>185419.56287878787</v>
      </c>
      <c r="U1930" s="40">
        <f t="shared" si="330"/>
        <v>201215.56287878787</v>
      </c>
      <c r="V1930" s="40">
        <f t="shared" si="330"/>
        <v>200457.68787878787</v>
      </c>
      <c r="W1930" s="40">
        <f t="shared" si="330"/>
        <v>185119.56287878787</v>
      </c>
      <c r="X1930" s="40">
        <f t="shared" si="330"/>
        <v>185419.56287878787</v>
      </c>
      <c r="Y1930" s="40">
        <f t="shared" si="330"/>
        <v>185382.06287878787</v>
      </c>
      <c r="Z1930" s="40">
        <f t="shared" si="330"/>
        <v>201515.56287878787</v>
      </c>
      <c r="AA1930" s="1205">
        <f t="shared" ref="AA1930:AA1952" si="331">SUM(O1930:Z1930)</f>
        <v>2294779.0000000005</v>
      </c>
      <c r="AB1930" s="1210"/>
      <c r="AC1930" s="1199"/>
      <c r="AD1930" s="1211"/>
    </row>
    <row r="1931" spans="1:30" x14ac:dyDescent="0.2">
      <c r="A1931" s="1422"/>
      <c r="B1931" s="2522">
        <v>5000093</v>
      </c>
      <c r="C1931" s="2438" t="s">
        <v>676</v>
      </c>
      <c r="D1931" s="3369">
        <v>66</v>
      </c>
      <c r="E1931" s="3369" t="s">
        <v>407</v>
      </c>
      <c r="F1931" s="3369" t="s">
        <v>386</v>
      </c>
      <c r="G1931" s="2420" t="s">
        <v>387</v>
      </c>
      <c r="H1931" s="2420" t="s">
        <v>677</v>
      </c>
      <c r="I1931" s="2420" t="s">
        <v>573</v>
      </c>
      <c r="J1931" s="2514">
        <v>63069</v>
      </c>
      <c r="K1931" s="40">
        <v>615092</v>
      </c>
      <c r="L1931" s="2421" t="s">
        <v>644</v>
      </c>
      <c r="M1931" s="3287" t="s">
        <v>293</v>
      </c>
      <c r="N1931" s="3288"/>
      <c r="O1931" s="40">
        <v>51257.666666666664</v>
      </c>
      <c r="P1931" s="40">
        <v>51257.666666666664</v>
      </c>
      <c r="Q1931" s="40">
        <v>51257.666666666664</v>
      </c>
      <c r="R1931" s="40">
        <v>51257.666666666664</v>
      </c>
      <c r="S1931" s="40">
        <v>51257.666666666664</v>
      </c>
      <c r="T1931" s="40">
        <v>51257.666666666664</v>
      </c>
      <c r="U1931" s="40">
        <v>51257.666666666664</v>
      </c>
      <c r="V1931" s="40">
        <v>51257.666666666664</v>
      </c>
      <c r="W1931" s="40">
        <v>51257.666666666664</v>
      </c>
      <c r="X1931" s="40">
        <v>51257.666666666664</v>
      </c>
      <c r="Y1931" s="40">
        <v>51257.666666666664</v>
      </c>
      <c r="Z1931" s="40">
        <v>51257.666666666664</v>
      </c>
      <c r="AA1931" s="966">
        <f t="shared" si="331"/>
        <v>615092</v>
      </c>
      <c r="AB1931" s="1210"/>
      <c r="AC1931" s="1199"/>
      <c r="AD1931" s="1211"/>
    </row>
    <row r="1932" spans="1:30" x14ac:dyDescent="0.2">
      <c r="A1932" s="1422"/>
      <c r="B1932" s="2522"/>
      <c r="C1932" s="2456"/>
      <c r="D1932" s="3369"/>
      <c r="E1932" s="3369"/>
      <c r="F1932" s="3369"/>
      <c r="G1932" s="2420"/>
      <c r="H1932" s="2420"/>
      <c r="I1932" s="2420"/>
      <c r="J1932" s="2515"/>
      <c r="K1932" s="40">
        <v>54816</v>
      </c>
      <c r="L1932" s="2421"/>
      <c r="M1932" s="3287" t="s">
        <v>321</v>
      </c>
      <c r="N1932" s="3288"/>
      <c r="O1932" s="40">
        <v>4568</v>
      </c>
      <c r="P1932" s="40">
        <v>4568</v>
      </c>
      <c r="Q1932" s="40">
        <v>4568</v>
      </c>
      <c r="R1932" s="40">
        <v>4568</v>
      </c>
      <c r="S1932" s="40">
        <v>4568</v>
      </c>
      <c r="T1932" s="40">
        <v>4568</v>
      </c>
      <c r="U1932" s="40">
        <v>4568</v>
      </c>
      <c r="V1932" s="40">
        <v>4568</v>
      </c>
      <c r="W1932" s="40">
        <v>4568</v>
      </c>
      <c r="X1932" s="40">
        <v>4568</v>
      </c>
      <c r="Y1932" s="40">
        <v>4568</v>
      </c>
      <c r="Z1932" s="40">
        <v>4568</v>
      </c>
      <c r="AA1932" s="966">
        <f t="shared" si="331"/>
        <v>54816</v>
      </c>
      <c r="AB1932" s="1210"/>
      <c r="AC1932" s="1199"/>
      <c r="AD1932" s="1211"/>
    </row>
    <row r="1933" spans="1:30" x14ac:dyDescent="0.2">
      <c r="A1933" s="1422"/>
      <c r="B1933" s="2522"/>
      <c r="C1933" s="2456"/>
      <c r="D1933" s="3369"/>
      <c r="E1933" s="3369"/>
      <c r="F1933" s="3369"/>
      <c r="G1933" s="2420"/>
      <c r="H1933" s="2420"/>
      <c r="I1933" s="2420"/>
      <c r="J1933" s="2515"/>
      <c r="K1933" s="40">
        <v>136500</v>
      </c>
      <c r="L1933" s="2421"/>
      <c r="M1933" s="3287" t="s">
        <v>294</v>
      </c>
      <c r="N1933" s="3288"/>
      <c r="O1933" s="40">
        <v>11375</v>
      </c>
      <c r="P1933" s="40">
        <v>11375</v>
      </c>
      <c r="Q1933" s="40">
        <v>11375</v>
      </c>
      <c r="R1933" s="40">
        <v>11375</v>
      </c>
      <c r="S1933" s="40">
        <v>11375</v>
      </c>
      <c r="T1933" s="40">
        <v>11375</v>
      </c>
      <c r="U1933" s="40">
        <v>11375</v>
      </c>
      <c r="V1933" s="40">
        <v>11375</v>
      </c>
      <c r="W1933" s="40">
        <v>11375</v>
      </c>
      <c r="X1933" s="40">
        <v>11375</v>
      </c>
      <c r="Y1933" s="40">
        <v>11375</v>
      </c>
      <c r="Z1933" s="40">
        <v>11375</v>
      </c>
      <c r="AA1933" s="966">
        <f t="shared" si="331"/>
        <v>136500</v>
      </c>
      <c r="AB1933" s="1210"/>
      <c r="AC1933" s="1199"/>
      <c r="AD1933" s="1211"/>
    </row>
    <row r="1934" spans="1:30" x14ac:dyDescent="0.2">
      <c r="A1934" s="1422"/>
      <c r="B1934" s="2522"/>
      <c r="C1934" s="2456"/>
      <c r="D1934" s="3369"/>
      <c r="E1934" s="3369"/>
      <c r="F1934" s="3369"/>
      <c r="G1934" s="2420"/>
      <c r="H1934" s="2420"/>
      <c r="I1934" s="2420"/>
      <c r="J1934" s="2515"/>
      <c r="K1934" s="40">
        <v>458644</v>
      </c>
      <c r="L1934" s="2421"/>
      <c r="M1934" s="3287" t="s">
        <v>295</v>
      </c>
      <c r="N1934" s="3288"/>
      <c r="O1934" s="40">
        <v>38220.333333333336</v>
      </c>
      <c r="P1934" s="40">
        <v>38220.333333333336</v>
      </c>
      <c r="Q1934" s="40">
        <v>38220.333333333336</v>
      </c>
      <c r="R1934" s="40">
        <v>38220.333333333336</v>
      </c>
      <c r="S1934" s="40">
        <v>38220.333333333336</v>
      </c>
      <c r="T1934" s="40">
        <v>38220.333333333336</v>
      </c>
      <c r="U1934" s="40">
        <v>38220.333333333336</v>
      </c>
      <c r="V1934" s="40">
        <v>38220.333333333336</v>
      </c>
      <c r="W1934" s="40">
        <v>38220.333333333336</v>
      </c>
      <c r="X1934" s="40">
        <v>38220.333333333336</v>
      </c>
      <c r="Y1934" s="40">
        <v>38220.333333333336</v>
      </c>
      <c r="Z1934" s="40">
        <v>38220.333333333336</v>
      </c>
      <c r="AA1934" s="966">
        <f t="shared" si="331"/>
        <v>458643.99999999994</v>
      </c>
      <c r="AB1934" s="1210"/>
      <c r="AC1934" s="1199"/>
      <c r="AD1934" s="1211"/>
    </row>
    <row r="1935" spans="1:30" x14ac:dyDescent="0.2">
      <c r="A1935" s="1422"/>
      <c r="B1935" s="2522"/>
      <c r="C1935" s="2456"/>
      <c r="D1935" s="3369"/>
      <c r="E1935" s="3369"/>
      <c r="F1935" s="3369"/>
      <c r="G1935" s="2420"/>
      <c r="H1935" s="2420"/>
      <c r="I1935" s="2420"/>
      <c r="J1935" s="2515"/>
      <c r="K1935" s="40">
        <v>285466</v>
      </c>
      <c r="L1935" s="2421"/>
      <c r="M1935" s="3287" t="s">
        <v>296</v>
      </c>
      <c r="N1935" s="3288"/>
      <c r="O1935" s="40">
        <v>23788.833333333332</v>
      </c>
      <c r="P1935" s="40">
        <v>23788.833333333332</v>
      </c>
      <c r="Q1935" s="40">
        <v>23788.833333333332</v>
      </c>
      <c r="R1935" s="40">
        <v>23788.833333333332</v>
      </c>
      <c r="S1935" s="40">
        <v>23788.833333333332</v>
      </c>
      <c r="T1935" s="40">
        <v>23788.833333333332</v>
      </c>
      <c r="U1935" s="40">
        <v>23788.833333333332</v>
      </c>
      <c r="V1935" s="40">
        <v>23788.833333333332</v>
      </c>
      <c r="W1935" s="40">
        <v>23788.833333333332</v>
      </c>
      <c r="X1935" s="40">
        <v>23788.833333333332</v>
      </c>
      <c r="Y1935" s="40">
        <v>23788.833333333332</v>
      </c>
      <c r="Z1935" s="40">
        <v>23788.833333333332</v>
      </c>
      <c r="AA1935" s="966">
        <f t="shared" si="331"/>
        <v>285466.00000000006</v>
      </c>
      <c r="AB1935" s="1210"/>
      <c r="AC1935" s="1199"/>
      <c r="AD1935" s="1211"/>
    </row>
    <row r="1936" spans="1:30" x14ac:dyDescent="0.2">
      <c r="A1936" s="1422"/>
      <c r="B1936" s="2522"/>
      <c r="C1936" s="2456"/>
      <c r="D1936" s="3369"/>
      <c r="E1936" s="3369"/>
      <c r="F1936" s="3369"/>
      <c r="G1936" s="2420"/>
      <c r="H1936" s="2420"/>
      <c r="I1936" s="2420"/>
      <c r="J1936" s="2515"/>
      <c r="K1936" s="40">
        <v>100622</v>
      </c>
      <c r="L1936" s="2421"/>
      <c r="M1936" s="3287" t="s">
        <v>297</v>
      </c>
      <c r="N1936" s="3288"/>
      <c r="O1936" s="40">
        <v>8385.1666666666661</v>
      </c>
      <c r="P1936" s="40">
        <v>8385.1666666666661</v>
      </c>
      <c r="Q1936" s="40">
        <v>8385.1666666666661</v>
      </c>
      <c r="R1936" s="40">
        <v>8385.1666666666661</v>
      </c>
      <c r="S1936" s="40">
        <v>8385.1666666666661</v>
      </c>
      <c r="T1936" s="40">
        <v>8385.1666666666661</v>
      </c>
      <c r="U1936" s="40">
        <v>8385.1666666666661</v>
      </c>
      <c r="V1936" s="40">
        <v>8385.1666666666661</v>
      </c>
      <c r="W1936" s="40">
        <v>8385.1666666666661</v>
      </c>
      <c r="X1936" s="40">
        <v>8385.1666666666661</v>
      </c>
      <c r="Y1936" s="40">
        <v>8385.1666666666661</v>
      </c>
      <c r="Z1936" s="40">
        <v>8385.1666666666661</v>
      </c>
      <c r="AA1936" s="966">
        <f t="shared" si="331"/>
        <v>100622.00000000001</v>
      </c>
      <c r="AB1936" s="1210"/>
      <c r="AC1936" s="1199"/>
      <c r="AD1936" s="1211"/>
    </row>
    <row r="1937" spans="1:30" x14ac:dyDescent="0.2">
      <c r="A1937" s="1422"/>
      <c r="B1937" s="2522"/>
      <c r="C1937" s="2456"/>
      <c r="D1937" s="3369"/>
      <c r="E1937" s="3369"/>
      <c r="F1937" s="3369"/>
      <c r="G1937" s="2420"/>
      <c r="H1937" s="2420"/>
      <c r="I1937" s="2420"/>
      <c r="J1937" s="2515"/>
      <c r="K1937" s="40">
        <v>32192</v>
      </c>
      <c r="L1937" s="2421"/>
      <c r="M1937" s="3287" t="s">
        <v>298</v>
      </c>
      <c r="N1937" s="3288"/>
      <c r="O1937" s="40"/>
      <c r="P1937" s="40"/>
      <c r="Q1937" s="40"/>
      <c r="R1937" s="40"/>
      <c r="S1937" s="40"/>
      <c r="T1937" s="40"/>
      <c r="U1937" s="40">
        <v>16096</v>
      </c>
      <c r="V1937" s="40"/>
      <c r="W1937" s="40"/>
      <c r="X1937" s="40"/>
      <c r="Y1937" s="40"/>
      <c r="Z1937" s="40">
        <v>16096</v>
      </c>
      <c r="AA1937" s="966">
        <f t="shared" si="331"/>
        <v>32192</v>
      </c>
      <c r="AB1937" s="1210"/>
      <c r="AC1937" s="1199"/>
      <c r="AD1937" s="1211"/>
    </row>
    <row r="1938" spans="1:30" x14ac:dyDescent="0.2">
      <c r="A1938" s="1422"/>
      <c r="B1938" s="2522"/>
      <c r="C1938" s="2456"/>
      <c r="D1938" s="3369"/>
      <c r="E1938" s="3369"/>
      <c r="F1938" s="3369"/>
      <c r="G1938" s="2420"/>
      <c r="H1938" s="2420"/>
      <c r="I1938" s="2420"/>
      <c r="J1938" s="2515"/>
      <c r="K1938" s="40">
        <v>19000</v>
      </c>
      <c r="L1938" s="2421"/>
      <c r="M1938" s="3287" t="s">
        <v>299</v>
      </c>
      <c r="N1938" s="3288"/>
      <c r="O1938" s="40">
        <v>19000</v>
      </c>
      <c r="P1938" s="40"/>
      <c r="Q1938" s="40"/>
      <c r="R1938" s="40"/>
      <c r="S1938" s="40"/>
      <c r="T1938" s="40"/>
      <c r="U1938" s="40"/>
      <c r="V1938" s="40"/>
      <c r="W1938" s="40"/>
      <c r="X1938" s="40"/>
      <c r="Y1938" s="40"/>
      <c r="Z1938" s="40"/>
      <c r="AA1938" s="966">
        <f t="shared" si="331"/>
        <v>19000</v>
      </c>
      <c r="AB1938" s="1210"/>
      <c r="AC1938" s="1199"/>
      <c r="AD1938" s="1211"/>
    </row>
    <row r="1939" spans="1:30" x14ac:dyDescent="0.2">
      <c r="A1939" s="1422"/>
      <c r="B1939" s="2522"/>
      <c r="C1939" s="2456"/>
      <c r="D1939" s="3369"/>
      <c r="E1939" s="3369"/>
      <c r="F1939" s="3369"/>
      <c r="G1939" s="2420"/>
      <c r="H1939" s="2420"/>
      <c r="I1939" s="2420"/>
      <c r="J1939" s="2515"/>
      <c r="K1939" s="40">
        <v>113042</v>
      </c>
      <c r="L1939" s="2421"/>
      <c r="M1939" s="3287" t="s">
        <v>300</v>
      </c>
      <c r="N1939" s="3288"/>
      <c r="O1939" s="40">
        <v>9420.1666666666661</v>
      </c>
      <c r="P1939" s="40">
        <v>9420.1666666666661</v>
      </c>
      <c r="Q1939" s="40">
        <v>9420.1666666666661</v>
      </c>
      <c r="R1939" s="40">
        <v>9420.1666666666661</v>
      </c>
      <c r="S1939" s="40">
        <v>9420.1666666666661</v>
      </c>
      <c r="T1939" s="40">
        <v>9420.1666666666661</v>
      </c>
      <c r="U1939" s="40">
        <v>9420.1666666666661</v>
      </c>
      <c r="V1939" s="40">
        <v>9420.1666666666661</v>
      </c>
      <c r="W1939" s="40">
        <v>9420.1666666666661</v>
      </c>
      <c r="X1939" s="40">
        <v>9420.1666666666661</v>
      </c>
      <c r="Y1939" s="40">
        <v>9420.1666666666661</v>
      </c>
      <c r="Z1939" s="40">
        <v>9420.1666666666661</v>
      </c>
      <c r="AA1939" s="966">
        <f t="shared" si="331"/>
        <v>113042.00000000001</v>
      </c>
      <c r="AB1939" s="1210"/>
      <c r="AC1939" s="1199"/>
      <c r="AD1939" s="1211"/>
    </row>
    <row r="1940" spans="1:30" x14ac:dyDescent="0.2">
      <c r="A1940" s="1422"/>
      <c r="B1940" s="2522"/>
      <c r="C1940" s="2456"/>
      <c r="D1940" s="3369"/>
      <c r="E1940" s="3369"/>
      <c r="F1940" s="3369"/>
      <c r="G1940" s="2420"/>
      <c r="H1940" s="2420"/>
      <c r="I1940" s="2420"/>
      <c r="J1940" s="2515"/>
      <c r="K1940" s="40">
        <v>2462</v>
      </c>
      <c r="L1940" s="2421"/>
      <c r="M1940" s="3287" t="s">
        <v>301</v>
      </c>
      <c r="N1940" s="3288"/>
      <c r="O1940" s="40">
        <v>205.16666666666666</v>
      </c>
      <c r="P1940" s="40">
        <v>205.16666666666666</v>
      </c>
      <c r="Q1940" s="40">
        <v>205.16666666666666</v>
      </c>
      <c r="R1940" s="40">
        <v>205.16666666666666</v>
      </c>
      <c r="S1940" s="40">
        <v>205.16666666666666</v>
      </c>
      <c r="T1940" s="40">
        <v>205.16666666666666</v>
      </c>
      <c r="U1940" s="40">
        <v>205.16666666666666</v>
      </c>
      <c r="V1940" s="40">
        <v>205.16666666666666</v>
      </c>
      <c r="W1940" s="40">
        <v>205.16666666666666</v>
      </c>
      <c r="X1940" s="40">
        <v>205.16666666666666</v>
      </c>
      <c r="Y1940" s="40">
        <v>205.16666666666666</v>
      </c>
      <c r="Z1940" s="40">
        <v>205.16666666666666</v>
      </c>
      <c r="AA1940" s="966">
        <f t="shared" si="331"/>
        <v>2462</v>
      </c>
      <c r="AB1940" s="1210"/>
      <c r="AC1940" s="1199"/>
      <c r="AD1940" s="1211"/>
    </row>
    <row r="1941" spans="1:30" x14ac:dyDescent="0.2">
      <c r="A1941" s="1422"/>
      <c r="B1941" s="2522"/>
      <c r="C1941" s="2456"/>
      <c r="D1941" s="3369"/>
      <c r="E1941" s="3369"/>
      <c r="F1941" s="3369"/>
      <c r="G1941" s="2420"/>
      <c r="H1941" s="2420"/>
      <c r="I1941" s="2420"/>
      <c r="J1941" s="2515"/>
      <c r="K1941" s="40">
        <v>10700</v>
      </c>
      <c r="L1941" s="2421"/>
      <c r="M1941" s="3287" t="s">
        <v>393</v>
      </c>
      <c r="N1941" s="3288"/>
      <c r="O1941" s="40"/>
      <c r="P1941" s="40"/>
      <c r="Q1941" s="40"/>
      <c r="R1941" s="40">
        <v>5350</v>
      </c>
      <c r="S1941" s="40"/>
      <c r="T1941" s="40"/>
      <c r="U1941" s="40"/>
      <c r="V1941" s="40">
        <v>5350</v>
      </c>
      <c r="W1941" s="40"/>
      <c r="X1941" s="40"/>
      <c r="Y1941" s="40"/>
      <c r="Z1941" s="40"/>
      <c r="AA1941" s="966">
        <f t="shared" si="331"/>
        <v>10700</v>
      </c>
      <c r="AB1941" s="1210"/>
      <c r="AC1941" s="1199"/>
      <c r="AD1941" s="1211"/>
    </row>
    <row r="1942" spans="1:30" x14ac:dyDescent="0.2">
      <c r="A1942" s="1422"/>
      <c r="B1942" s="2522"/>
      <c r="C1942" s="2456"/>
      <c r="D1942" s="3369"/>
      <c r="E1942" s="3369"/>
      <c r="F1942" s="3369"/>
      <c r="G1942" s="2420"/>
      <c r="H1942" s="2420"/>
      <c r="I1942" s="2420"/>
      <c r="J1942" s="2515"/>
      <c r="K1942" s="40">
        <v>35070</v>
      </c>
      <c r="L1942" s="2421"/>
      <c r="M1942" s="3287" t="s">
        <v>343</v>
      </c>
      <c r="N1942" s="3288"/>
      <c r="O1942" s="40"/>
      <c r="P1942" s="40"/>
      <c r="Q1942" s="40">
        <v>2191.875</v>
      </c>
      <c r="R1942" s="40">
        <v>8767.5</v>
      </c>
      <c r="S1942" s="40">
        <v>2191.875</v>
      </c>
      <c r="T1942" s="40">
        <v>2191.875</v>
      </c>
      <c r="U1942" s="40">
        <v>2191.875</v>
      </c>
      <c r="V1942" s="40">
        <v>8767.5</v>
      </c>
      <c r="W1942" s="40">
        <v>2191.875</v>
      </c>
      <c r="X1942" s="40">
        <v>2191.875</v>
      </c>
      <c r="Y1942" s="40">
        <v>2191.875</v>
      </c>
      <c r="Z1942" s="40">
        <v>2191.875</v>
      </c>
      <c r="AA1942" s="966">
        <f t="shared" si="331"/>
        <v>35070</v>
      </c>
      <c r="AB1942" s="1210"/>
      <c r="AC1942" s="1199"/>
      <c r="AD1942" s="1211"/>
    </row>
    <row r="1943" spans="1:30" x14ac:dyDescent="0.2">
      <c r="A1943" s="1422"/>
      <c r="B1943" s="2522"/>
      <c r="C1943" s="2456"/>
      <c r="D1943" s="3369"/>
      <c r="E1943" s="3369"/>
      <c r="F1943" s="3369"/>
      <c r="G1943" s="2420"/>
      <c r="H1943" s="2420"/>
      <c r="I1943" s="2420"/>
      <c r="J1943" s="2515"/>
      <c r="K1943" s="40">
        <v>5700</v>
      </c>
      <c r="L1943" s="2421"/>
      <c r="M1943" s="3287" t="s">
        <v>304</v>
      </c>
      <c r="N1943" s="3288"/>
      <c r="O1943" s="40"/>
      <c r="P1943" s="40"/>
      <c r="Q1943" s="40">
        <v>2850</v>
      </c>
      <c r="R1943" s="40"/>
      <c r="S1943" s="40"/>
      <c r="T1943" s="40"/>
      <c r="U1943" s="40"/>
      <c r="V1943" s="40">
        <v>2850</v>
      </c>
      <c r="W1943" s="40"/>
      <c r="X1943" s="40"/>
      <c r="Y1943" s="40"/>
      <c r="Z1943" s="40"/>
      <c r="AA1943" s="966">
        <f t="shared" si="331"/>
        <v>5700</v>
      </c>
      <c r="AB1943" s="1210"/>
      <c r="AC1943" s="1199"/>
      <c r="AD1943" s="1211"/>
    </row>
    <row r="1944" spans="1:30" x14ac:dyDescent="0.2">
      <c r="A1944" s="1422"/>
      <c r="B1944" s="2522"/>
      <c r="C1944" s="2456"/>
      <c r="D1944" s="3369"/>
      <c r="E1944" s="3369"/>
      <c r="F1944" s="3369"/>
      <c r="G1944" s="2420"/>
      <c r="H1944" s="2420"/>
      <c r="I1944" s="2420"/>
      <c r="J1944" s="2515"/>
      <c r="K1944" s="40">
        <v>1050</v>
      </c>
      <c r="L1944" s="2421"/>
      <c r="M1944" s="3287" t="s">
        <v>305</v>
      </c>
      <c r="N1944" s="3288"/>
      <c r="O1944" s="40"/>
      <c r="P1944" s="40">
        <v>262.5</v>
      </c>
      <c r="Q1944" s="40"/>
      <c r="R1944" s="40"/>
      <c r="S1944" s="40">
        <v>262.5</v>
      </c>
      <c r="T1944" s="40"/>
      <c r="U1944" s="40"/>
      <c r="V1944" s="40">
        <v>262.5</v>
      </c>
      <c r="W1944" s="40"/>
      <c r="X1944" s="40"/>
      <c r="Y1944" s="40">
        <v>262.5</v>
      </c>
      <c r="Z1944" s="40"/>
      <c r="AA1944" s="966">
        <f t="shared" si="331"/>
        <v>1050</v>
      </c>
      <c r="AB1944" s="1210"/>
      <c r="AC1944" s="1199"/>
      <c r="AD1944" s="1211"/>
    </row>
    <row r="1945" spans="1:30" x14ac:dyDescent="0.2">
      <c r="A1945" s="1422"/>
      <c r="B1945" s="2522"/>
      <c r="C1945" s="2456"/>
      <c r="D1945" s="3369"/>
      <c r="E1945" s="3369"/>
      <c r="F1945" s="3369"/>
      <c r="G1945" s="2420"/>
      <c r="H1945" s="2420"/>
      <c r="I1945" s="2420"/>
      <c r="J1945" s="2515"/>
      <c r="K1945" s="40">
        <v>11000</v>
      </c>
      <c r="L1945" s="2421"/>
      <c r="M1945" s="3287" t="s">
        <v>306</v>
      </c>
      <c r="N1945" s="3288"/>
      <c r="O1945" s="40"/>
      <c r="P1945" s="40">
        <v>1000</v>
      </c>
      <c r="Q1945" s="40">
        <v>1000</v>
      </c>
      <c r="R1945" s="40">
        <v>1000</v>
      </c>
      <c r="S1945" s="40">
        <v>1000</v>
      </c>
      <c r="T1945" s="40">
        <v>1000</v>
      </c>
      <c r="U1945" s="40">
        <v>1000</v>
      </c>
      <c r="V1945" s="40">
        <v>1000</v>
      </c>
      <c r="W1945" s="40">
        <v>1000</v>
      </c>
      <c r="X1945" s="40">
        <v>1000</v>
      </c>
      <c r="Y1945" s="40">
        <v>1000</v>
      </c>
      <c r="Z1945" s="40">
        <v>1000</v>
      </c>
      <c r="AA1945" s="966">
        <f t="shared" si="331"/>
        <v>11000</v>
      </c>
      <c r="AB1945" s="1210"/>
      <c r="AC1945" s="1199"/>
      <c r="AD1945" s="1211"/>
    </row>
    <row r="1946" spans="1:30" x14ac:dyDescent="0.2">
      <c r="A1946" s="1422"/>
      <c r="B1946" s="2522"/>
      <c r="C1946" s="2456"/>
      <c r="D1946" s="3369"/>
      <c r="E1946" s="3369"/>
      <c r="F1946" s="3369"/>
      <c r="G1946" s="2420"/>
      <c r="H1946" s="2420"/>
      <c r="I1946" s="2420"/>
      <c r="J1946" s="2515"/>
      <c r="K1946" s="40">
        <v>3800</v>
      </c>
      <c r="L1946" s="2421"/>
      <c r="M1946" s="3287" t="s">
        <v>307</v>
      </c>
      <c r="N1946" s="3288"/>
      <c r="O1946" s="40"/>
      <c r="P1946" s="40">
        <v>345.45454545454544</v>
      </c>
      <c r="Q1946" s="40">
        <v>345.45454545454544</v>
      </c>
      <c r="R1946" s="40">
        <v>345.45454545454544</v>
      </c>
      <c r="S1946" s="40">
        <v>345.45454545454544</v>
      </c>
      <c r="T1946" s="40">
        <v>345.45454545454544</v>
      </c>
      <c r="U1946" s="40">
        <v>345.45454545454544</v>
      </c>
      <c r="V1946" s="40">
        <v>345.45454545454544</v>
      </c>
      <c r="W1946" s="40">
        <v>345.45454545454544</v>
      </c>
      <c r="X1946" s="40">
        <v>345.45454545454544</v>
      </c>
      <c r="Y1946" s="40">
        <v>345.45454545454544</v>
      </c>
      <c r="Z1946" s="40">
        <v>345.45454545454544</v>
      </c>
      <c r="AA1946" s="966">
        <f t="shared" si="331"/>
        <v>3800</v>
      </c>
      <c r="AB1946" s="1210"/>
      <c r="AC1946" s="1199"/>
      <c r="AD1946" s="1211"/>
    </row>
    <row r="1947" spans="1:30" x14ac:dyDescent="0.2">
      <c r="A1947" s="1422"/>
      <c r="B1947" s="2522"/>
      <c r="C1947" s="2456"/>
      <c r="D1947" s="3369"/>
      <c r="E1947" s="3369"/>
      <c r="F1947" s="3369"/>
      <c r="G1947" s="2420"/>
      <c r="H1947" s="2420"/>
      <c r="I1947" s="2420"/>
      <c r="J1947" s="2515"/>
      <c r="K1947" s="40">
        <v>1000</v>
      </c>
      <c r="L1947" s="2421"/>
      <c r="M1947" s="3287" t="s">
        <v>308</v>
      </c>
      <c r="N1947" s="3288"/>
      <c r="O1947" s="40"/>
      <c r="P1947" s="40"/>
      <c r="Q1947" s="40"/>
      <c r="R1947" s="40">
        <v>1000</v>
      </c>
      <c r="S1947" s="40"/>
      <c r="T1947" s="40"/>
      <c r="U1947" s="40"/>
      <c r="V1947" s="40"/>
      <c r="W1947" s="40"/>
      <c r="X1947" s="40"/>
      <c r="Y1947" s="40"/>
      <c r="Z1947" s="40"/>
      <c r="AA1947" s="966">
        <f t="shared" si="331"/>
        <v>1000</v>
      </c>
      <c r="AB1947" s="1210"/>
      <c r="AC1947" s="1199"/>
      <c r="AD1947" s="1211"/>
    </row>
    <row r="1948" spans="1:30" x14ac:dyDescent="0.2">
      <c r="A1948" s="1422"/>
      <c r="B1948" s="2522"/>
      <c r="C1948" s="2456"/>
      <c r="D1948" s="3369"/>
      <c r="E1948" s="3369"/>
      <c r="F1948" s="3369"/>
      <c r="G1948" s="2420"/>
      <c r="H1948" s="2420"/>
      <c r="I1948" s="2420"/>
      <c r="J1948" s="2515"/>
      <c r="K1948" s="40">
        <v>1500</v>
      </c>
      <c r="L1948" s="2421"/>
      <c r="M1948" s="3287" t="s">
        <v>309</v>
      </c>
      <c r="N1948" s="3288"/>
      <c r="O1948" s="40"/>
      <c r="P1948" s="40"/>
      <c r="Q1948" s="40"/>
      <c r="R1948" s="40">
        <v>300</v>
      </c>
      <c r="S1948" s="40"/>
      <c r="T1948" s="40">
        <v>300</v>
      </c>
      <c r="U1948" s="40"/>
      <c r="V1948" s="40">
        <v>300</v>
      </c>
      <c r="W1948" s="40"/>
      <c r="X1948" s="40">
        <v>300</v>
      </c>
      <c r="Y1948" s="40"/>
      <c r="Z1948" s="40">
        <v>300</v>
      </c>
      <c r="AA1948" s="966">
        <f t="shared" si="331"/>
        <v>1500</v>
      </c>
      <c r="AB1948" s="1210"/>
      <c r="AC1948" s="1199"/>
      <c r="AD1948" s="1211"/>
    </row>
    <row r="1949" spans="1:30" x14ac:dyDescent="0.2">
      <c r="A1949" s="1422"/>
      <c r="B1949" s="2522"/>
      <c r="C1949" s="2456"/>
      <c r="D1949" s="3369"/>
      <c r="E1949" s="3369"/>
      <c r="F1949" s="3369"/>
      <c r="G1949" s="2420"/>
      <c r="H1949" s="2420"/>
      <c r="I1949" s="2420"/>
      <c r="J1949" s="2515"/>
      <c r="K1949" s="40">
        <v>26099</v>
      </c>
      <c r="L1949" s="2421"/>
      <c r="M1949" s="3287" t="s">
        <v>625</v>
      </c>
      <c r="N1949" s="3288"/>
      <c r="O1949" s="40"/>
      <c r="P1949" s="40"/>
      <c r="Q1949" s="40">
        <v>2609.9</v>
      </c>
      <c r="R1949" s="40">
        <v>2609.9</v>
      </c>
      <c r="S1949" s="40">
        <v>2609.9</v>
      </c>
      <c r="T1949" s="40">
        <v>2609.9</v>
      </c>
      <c r="U1949" s="40">
        <v>2609.9</v>
      </c>
      <c r="V1949" s="40">
        <v>2609.9</v>
      </c>
      <c r="W1949" s="40">
        <v>2609.9</v>
      </c>
      <c r="X1949" s="40">
        <v>2609.9</v>
      </c>
      <c r="Y1949" s="40">
        <v>2609.9</v>
      </c>
      <c r="Z1949" s="40">
        <v>2609.9</v>
      </c>
      <c r="AA1949" s="966">
        <f t="shared" si="331"/>
        <v>26099.000000000004</v>
      </c>
      <c r="AB1949" s="1210"/>
      <c r="AC1949" s="1199"/>
      <c r="AD1949" s="1211"/>
    </row>
    <row r="1950" spans="1:30" x14ac:dyDescent="0.2">
      <c r="A1950" s="1422"/>
      <c r="B1950" s="2522"/>
      <c r="C1950" s="2456"/>
      <c r="D1950" s="3369"/>
      <c r="E1950" s="3369"/>
      <c r="F1950" s="3369"/>
      <c r="G1950" s="2420"/>
      <c r="H1950" s="2420"/>
      <c r="I1950" s="2420"/>
      <c r="J1950" s="2515"/>
      <c r="K1950" s="40">
        <v>299815</v>
      </c>
      <c r="L1950" s="2421"/>
      <c r="M1950" s="3287" t="s">
        <v>310</v>
      </c>
      <c r="N1950" s="3288"/>
      <c r="O1950" s="40">
        <v>24984.583333333332</v>
      </c>
      <c r="P1950" s="40">
        <v>24984.583333333332</v>
      </c>
      <c r="Q1950" s="40">
        <v>24984.583333333332</v>
      </c>
      <c r="R1950" s="40">
        <v>24984.583333333332</v>
      </c>
      <c r="S1950" s="40">
        <v>24984.583333333332</v>
      </c>
      <c r="T1950" s="40">
        <v>24984.583333333332</v>
      </c>
      <c r="U1950" s="40">
        <v>24984.583333333332</v>
      </c>
      <c r="V1950" s="40">
        <v>24984.583333333332</v>
      </c>
      <c r="W1950" s="40">
        <v>24984.583333333332</v>
      </c>
      <c r="X1950" s="40">
        <v>24984.583333333332</v>
      </c>
      <c r="Y1950" s="40">
        <v>24984.583333333332</v>
      </c>
      <c r="Z1950" s="40">
        <v>24984.583333333332</v>
      </c>
      <c r="AA1950" s="966">
        <f t="shared" si="331"/>
        <v>299815</v>
      </c>
      <c r="AB1950" s="1210"/>
      <c r="AC1950" s="1199"/>
      <c r="AD1950" s="1211"/>
    </row>
    <row r="1951" spans="1:30" x14ac:dyDescent="0.2">
      <c r="A1951" s="1422"/>
      <c r="B1951" s="2522"/>
      <c r="C1951" s="2456"/>
      <c r="D1951" s="3369"/>
      <c r="E1951" s="3369"/>
      <c r="F1951" s="3369"/>
      <c r="G1951" s="2420"/>
      <c r="H1951" s="2420"/>
      <c r="I1951" s="2420"/>
      <c r="J1951" s="2515"/>
      <c r="K1951" s="40">
        <v>23715</v>
      </c>
      <c r="L1951" s="2421"/>
      <c r="M1951" s="3287" t="s">
        <v>311</v>
      </c>
      <c r="N1951" s="3288"/>
      <c r="O1951" s="40">
        <v>1976.25</v>
      </c>
      <c r="P1951" s="40">
        <v>1976.25</v>
      </c>
      <c r="Q1951" s="40">
        <v>1976.25</v>
      </c>
      <c r="R1951" s="40">
        <v>1976.25</v>
      </c>
      <c r="S1951" s="40">
        <v>1976.25</v>
      </c>
      <c r="T1951" s="40">
        <v>1976.25</v>
      </c>
      <c r="U1951" s="40">
        <v>1976.25</v>
      </c>
      <c r="V1951" s="40">
        <v>1976.25</v>
      </c>
      <c r="W1951" s="40">
        <v>1976.25</v>
      </c>
      <c r="X1951" s="40">
        <v>1976.25</v>
      </c>
      <c r="Y1951" s="40">
        <v>1976.25</v>
      </c>
      <c r="Z1951" s="40">
        <v>1976.25</v>
      </c>
      <c r="AA1951" s="966">
        <f t="shared" si="331"/>
        <v>23715</v>
      </c>
      <c r="AB1951" s="1210"/>
      <c r="AC1951" s="1199"/>
      <c r="AD1951" s="1211"/>
    </row>
    <row r="1952" spans="1:30" x14ac:dyDescent="0.2">
      <c r="A1952" s="1422"/>
      <c r="B1952" s="2522"/>
      <c r="C1952" s="2450"/>
      <c r="D1952" s="3369"/>
      <c r="E1952" s="3369"/>
      <c r="F1952" s="3369"/>
      <c r="G1952" s="2420"/>
      <c r="H1952" s="2420"/>
      <c r="I1952" s="2420"/>
      <c r="J1952" s="2516"/>
      <c r="K1952" s="40">
        <v>57494</v>
      </c>
      <c r="L1952" s="2421"/>
      <c r="M1952" s="3287" t="s">
        <v>397</v>
      </c>
      <c r="N1952" s="3288"/>
      <c r="O1952" s="40">
        <v>4791.166666666667</v>
      </c>
      <c r="P1952" s="40">
        <v>4791.166666666667</v>
      </c>
      <c r="Q1952" s="40">
        <v>4791.166666666667</v>
      </c>
      <c r="R1952" s="40">
        <v>4791.166666666667</v>
      </c>
      <c r="S1952" s="40">
        <v>4791.166666666667</v>
      </c>
      <c r="T1952" s="40">
        <v>4791.166666666667</v>
      </c>
      <c r="U1952" s="40">
        <v>4791.166666666667</v>
      </c>
      <c r="V1952" s="40">
        <v>4791.166666666667</v>
      </c>
      <c r="W1952" s="40">
        <v>4791.166666666667</v>
      </c>
      <c r="X1952" s="40">
        <v>4791.166666666667</v>
      </c>
      <c r="Y1952" s="40">
        <v>4791.166666666667</v>
      </c>
      <c r="Z1952" s="40">
        <v>4791.166666666667</v>
      </c>
      <c r="AA1952" s="966">
        <f t="shared" si="331"/>
        <v>57493.999999999993</v>
      </c>
      <c r="AB1952" s="1210"/>
      <c r="AC1952" s="1199"/>
      <c r="AD1952" s="1211"/>
    </row>
    <row r="1953" spans="1:30" x14ac:dyDescent="0.2">
      <c r="A1953" s="1422"/>
      <c r="B1953" s="1422"/>
      <c r="C1953" s="1124"/>
      <c r="D1953" s="35"/>
      <c r="E1953" s="35"/>
      <c r="F1953" s="35"/>
      <c r="G1953" s="35"/>
      <c r="H1953" s="35"/>
      <c r="I1953" s="35"/>
      <c r="J1953" s="105"/>
      <c r="K1953" s="110"/>
      <c r="L1953" s="110"/>
      <c r="M1953" s="1124"/>
      <c r="N1953" s="1124"/>
      <c r="O1953" s="35"/>
      <c r="P1953" s="35"/>
      <c r="Q1953" s="35"/>
      <c r="R1953" s="35"/>
      <c r="S1953" s="35"/>
      <c r="T1953" s="35"/>
      <c r="U1953" s="35"/>
      <c r="V1953" s="35"/>
      <c r="W1953" s="35"/>
      <c r="X1953" s="35"/>
      <c r="Y1953" s="35"/>
      <c r="Z1953" s="35"/>
      <c r="AA1953" s="1212"/>
      <c r="AB1953" s="1210"/>
      <c r="AC1953" s="1199"/>
      <c r="AD1953" s="1211"/>
    </row>
    <row r="1954" spans="1:30" ht="22.5" x14ac:dyDescent="0.2">
      <c r="A1954" s="1422"/>
      <c r="B1954" s="1422"/>
      <c r="C1954" s="1124"/>
      <c r="D1954" s="35"/>
      <c r="E1954" s="35"/>
      <c r="F1954" s="35"/>
      <c r="G1954" s="35"/>
      <c r="H1954" s="35"/>
      <c r="I1954" s="35"/>
      <c r="J1954" s="105"/>
      <c r="K1954" s="35"/>
      <c r="L1954" s="35"/>
      <c r="M1954" s="1124"/>
      <c r="N1954" s="1124"/>
      <c r="O1954" s="35"/>
      <c r="P1954" s="35"/>
      <c r="Q1954" s="35"/>
      <c r="R1954" s="35"/>
      <c r="S1954" s="35"/>
      <c r="T1954" s="35"/>
      <c r="U1954" s="35"/>
      <c r="V1954" s="35"/>
      <c r="W1954" s="2922" t="s">
        <v>15</v>
      </c>
      <c r="X1954" s="2922"/>
      <c r="Y1954" s="2922"/>
      <c r="Z1954" s="2922"/>
      <c r="AA1954" s="2148" t="s">
        <v>16</v>
      </c>
      <c r="AB1954" s="1210"/>
      <c r="AC1954" s="1199"/>
      <c r="AD1954" s="1211"/>
    </row>
    <row r="1955" spans="1:30" ht="42.75" customHeight="1" x14ac:dyDescent="0.2">
      <c r="A1955" s="1422"/>
      <c r="B1955" s="1950" t="s">
        <v>276</v>
      </c>
      <c r="C1955" s="1941"/>
      <c r="D1955" s="628">
        <v>3043984</v>
      </c>
      <c r="E1955" s="1941" t="s">
        <v>678</v>
      </c>
      <c r="F1955" s="628"/>
      <c r="G1955" s="628"/>
      <c r="H1955" s="628"/>
      <c r="I1955" s="35"/>
      <c r="J1955" s="105"/>
      <c r="K1955" s="35"/>
      <c r="L1955" s="35"/>
      <c r="M1955" s="1124"/>
      <c r="N1955" s="1124"/>
      <c r="O1955" s="35"/>
      <c r="P1955" s="35"/>
      <c r="Q1955" s="35"/>
      <c r="R1955" s="35"/>
      <c r="S1955" s="35"/>
      <c r="T1955" s="35"/>
      <c r="U1955" s="35"/>
      <c r="V1955" s="35"/>
      <c r="W1955" s="2974" t="s">
        <v>679</v>
      </c>
      <c r="X1955" s="2975"/>
      <c r="Y1955" s="2975"/>
      <c r="Z1955" s="2976"/>
      <c r="AA1955" s="1213" t="s">
        <v>418</v>
      </c>
      <c r="AB1955" s="1210"/>
      <c r="AC1955" s="1199"/>
      <c r="AD1955" s="1211"/>
    </row>
    <row r="1956" spans="1:30" x14ac:dyDescent="0.2">
      <c r="A1956" s="1422"/>
      <c r="B1956" s="2999" t="s">
        <v>278</v>
      </c>
      <c r="C1956" s="2999" t="s">
        <v>21</v>
      </c>
      <c r="D1956" s="2847" t="s">
        <v>22</v>
      </c>
      <c r="E1956" s="2847" t="s">
        <v>23</v>
      </c>
      <c r="F1956" s="2847" t="s">
        <v>24</v>
      </c>
      <c r="G1956" s="2847" t="s">
        <v>25</v>
      </c>
      <c r="H1956" s="2847" t="s">
        <v>26</v>
      </c>
      <c r="I1956" s="2847" t="s">
        <v>27</v>
      </c>
      <c r="J1956" s="3206" t="s">
        <v>28</v>
      </c>
      <c r="K1956" s="3301"/>
      <c r="L1956" s="2988" t="s">
        <v>279</v>
      </c>
      <c r="M1956" s="2986" t="s">
        <v>280</v>
      </c>
      <c r="N1956" s="2987"/>
      <c r="O1956" s="2847" t="s">
        <v>281</v>
      </c>
      <c r="P1956" s="2847"/>
      <c r="Q1956" s="2847"/>
      <c r="R1956" s="2847"/>
      <c r="S1956" s="2847"/>
      <c r="T1956" s="2847"/>
      <c r="U1956" s="2847"/>
      <c r="V1956" s="2847"/>
      <c r="W1956" s="2847"/>
      <c r="X1956" s="2847"/>
      <c r="Y1956" s="2847"/>
      <c r="Z1956" s="2847"/>
      <c r="AA1956" s="3358" t="s">
        <v>32</v>
      </c>
      <c r="AB1956" s="1210"/>
      <c r="AC1956" s="1199"/>
      <c r="AD1956" s="1211"/>
    </row>
    <row r="1957" spans="1:30" x14ac:dyDescent="0.2">
      <c r="A1957" s="1422"/>
      <c r="B1957" s="2999"/>
      <c r="C1957" s="2999"/>
      <c r="D1957" s="2847"/>
      <c r="E1957" s="2847"/>
      <c r="F1957" s="2847"/>
      <c r="G1957" s="2847"/>
      <c r="H1957" s="2847"/>
      <c r="I1957" s="2847"/>
      <c r="J1957" s="1007" t="s">
        <v>33</v>
      </c>
      <c r="K1957" s="2988" t="s">
        <v>282</v>
      </c>
      <c r="L1957" s="3186"/>
      <c r="M1957" s="3000"/>
      <c r="N1957" s="3001"/>
      <c r="O1957" s="1009" t="s">
        <v>283</v>
      </c>
      <c r="P1957" s="1009" t="s">
        <v>284</v>
      </c>
      <c r="Q1957" s="1009" t="s">
        <v>285</v>
      </c>
      <c r="R1957" s="1009" t="s">
        <v>88</v>
      </c>
      <c r="S1957" s="1009" t="s">
        <v>89</v>
      </c>
      <c r="T1957" s="1009" t="s">
        <v>90</v>
      </c>
      <c r="U1957" s="1009" t="s">
        <v>91</v>
      </c>
      <c r="V1957" s="1009" t="s">
        <v>92</v>
      </c>
      <c r="W1957" s="1009" t="s">
        <v>286</v>
      </c>
      <c r="X1957" s="1009" t="s">
        <v>93</v>
      </c>
      <c r="Y1957" s="1009" t="s">
        <v>94</v>
      </c>
      <c r="Z1957" s="1009" t="s">
        <v>95</v>
      </c>
      <c r="AA1957" s="3358"/>
      <c r="AB1957" s="1210"/>
      <c r="AC1957" s="1199"/>
      <c r="AD1957" s="1211"/>
    </row>
    <row r="1958" spans="1:30" ht="12.75" x14ac:dyDescent="0.2">
      <c r="A1958" s="1422"/>
      <c r="B1958" s="2999"/>
      <c r="C1958" s="2999"/>
      <c r="D1958" s="2847"/>
      <c r="E1958" s="2847"/>
      <c r="F1958" s="2847"/>
      <c r="G1958" s="2847"/>
      <c r="H1958" s="2847"/>
      <c r="I1958" s="2847"/>
      <c r="J1958" s="106"/>
      <c r="K1958" s="3186"/>
      <c r="L1958" s="3186"/>
      <c r="M1958" s="3271" t="s">
        <v>287</v>
      </c>
      <c r="N1958" s="3272"/>
      <c r="O1958" s="1095">
        <v>654</v>
      </c>
      <c r="P1958" s="1095">
        <v>654</v>
      </c>
      <c r="Q1958" s="1095">
        <v>654</v>
      </c>
      <c r="R1958" s="1095">
        <v>654</v>
      </c>
      <c r="S1958" s="1095">
        <v>654</v>
      </c>
      <c r="T1958" s="1095">
        <v>655</v>
      </c>
      <c r="U1958" s="1095">
        <v>654</v>
      </c>
      <c r="V1958" s="1095">
        <v>654</v>
      </c>
      <c r="W1958" s="1095">
        <v>654</v>
      </c>
      <c r="X1958" s="1095">
        <v>654</v>
      </c>
      <c r="Y1958" s="1095">
        <v>654</v>
      </c>
      <c r="Z1958" s="1095">
        <v>654</v>
      </c>
      <c r="AA1958" s="1205">
        <f>SUM(O1958:Z1958)</f>
        <v>7849</v>
      </c>
      <c r="AB1958" s="1210"/>
      <c r="AC1958" s="1199"/>
      <c r="AD1958" s="1211"/>
    </row>
    <row r="1959" spans="1:30" ht="12.75" x14ac:dyDescent="0.2">
      <c r="A1959" s="1422"/>
      <c r="B1959" s="2999"/>
      <c r="C1959" s="2999"/>
      <c r="D1959" s="2847"/>
      <c r="E1959" s="2847"/>
      <c r="F1959" s="2847"/>
      <c r="G1959" s="2847"/>
      <c r="H1959" s="2847"/>
      <c r="I1959" s="2847"/>
      <c r="J1959" s="1008"/>
      <c r="K1959" s="2989"/>
      <c r="L1959" s="2989"/>
      <c r="M1959" s="3271" t="s">
        <v>34</v>
      </c>
      <c r="N1959" s="3272"/>
      <c r="O1959" s="1095">
        <f>SUM(O1960:O1983)</f>
        <v>100909.41666666669</v>
      </c>
      <c r="P1959" s="1095">
        <f t="shared" ref="P1959:Z1959" si="332">SUM(P1960:P1983)</f>
        <v>94735.553030303039</v>
      </c>
      <c r="Q1959" s="1095">
        <f t="shared" si="332"/>
        <v>96250.053030303039</v>
      </c>
      <c r="R1959" s="1095">
        <f t="shared" si="332"/>
        <v>105833.05303030304</v>
      </c>
      <c r="S1959" s="1095">
        <f t="shared" si="332"/>
        <v>102725.55303030304</v>
      </c>
      <c r="T1959" s="1095">
        <f t="shared" si="332"/>
        <v>93573.053030303039</v>
      </c>
      <c r="U1959" s="1095">
        <f t="shared" si="332"/>
        <v>101163.05303030304</v>
      </c>
      <c r="V1959" s="1095">
        <f t="shared" si="332"/>
        <v>101285.55303030304</v>
      </c>
      <c r="W1959" s="1095">
        <f t="shared" si="332"/>
        <v>94263.053030303039</v>
      </c>
      <c r="X1959" s="1095">
        <f t="shared" si="332"/>
        <v>93573.053030303039</v>
      </c>
      <c r="Y1959" s="1095">
        <f t="shared" si="332"/>
        <v>94725.553030303039</v>
      </c>
      <c r="Z1959" s="1095">
        <f t="shared" si="332"/>
        <v>100473.05303030304</v>
      </c>
      <c r="AA1959" s="1205">
        <f t="shared" ref="AA1959:AA1983" si="333">SUM(O1959:Z1959)</f>
        <v>1179509.9999999998</v>
      </c>
      <c r="AB1959" s="1210"/>
      <c r="AC1959" s="1199"/>
      <c r="AD1959" s="1211"/>
    </row>
    <row r="1960" spans="1:30" x14ac:dyDescent="0.2">
      <c r="A1960" s="1422"/>
      <c r="B1960" s="2522">
        <v>5000094</v>
      </c>
      <c r="C1960" s="2438" t="s">
        <v>680</v>
      </c>
      <c r="D1960" s="3369">
        <v>67</v>
      </c>
      <c r="E1960" s="3369" t="s">
        <v>407</v>
      </c>
      <c r="F1960" s="3369" t="s">
        <v>386</v>
      </c>
      <c r="G1960" s="2420" t="s">
        <v>387</v>
      </c>
      <c r="H1960" s="2420" t="s">
        <v>677</v>
      </c>
      <c r="I1960" s="2420" t="s">
        <v>573</v>
      </c>
      <c r="J1960" s="2514">
        <v>7849</v>
      </c>
      <c r="K1960" s="40">
        <v>311504</v>
      </c>
      <c r="L1960" s="2431" t="s">
        <v>644</v>
      </c>
      <c r="M1960" s="3287" t="s">
        <v>293</v>
      </c>
      <c r="N1960" s="3288"/>
      <c r="O1960" s="38">
        <v>25958.666666666668</v>
      </c>
      <c r="P1960" s="38">
        <v>25958.666666666668</v>
      </c>
      <c r="Q1960" s="38">
        <v>25958.666666666668</v>
      </c>
      <c r="R1960" s="38">
        <v>25958.666666666668</v>
      </c>
      <c r="S1960" s="38">
        <v>25958.666666666668</v>
      </c>
      <c r="T1960" s="38">
        <v>25958.666666666668</v>
      </c>
      <c r="U1960" s="38">
        <v>25958.666666666668</v>
      </c>
      <c r="V1960" s="38">
        <v>25958.666666666668</v>
      </c>
      <c r="W1960" s="38">
        <v>25958.666666666668</v>
      </c>
      <c r="X1960" s="38">
        <v>25958.666666666668</v>
      </c>
      <c r="Y1960" s="38">
        <v>25958.666666666668</v>
      </c>
      <c r="Z1960" s="38">
        <v>25958.666666666668</v>
      </c>
      <c r="AA1960" s="966">
        <f t="shared" si="333"/>
        <v>311504</v>
      </c>
      <c r="AB1960" s="1210"/>
      <c r="AC1960" s="1199"/>
      <c r="AD1960" s="1211"/>
    </row>
    <row r="1961" spans="1:30" x14ac:dyDescent="0.2">
      <c r="A1961" s="1422"/>
      <c r="B1961" s="2522"/>
      <c r="C1961" s="2456"/>
      <c r="D1961" s="3369"/>
      <c r="E1961" s="3369"/>
      <c r="F1961" s="3369"/>
      <c r="G1961" s="2420"/>
      <c r="H1961" s="2420"/>
      <c r="I1961" s="2420"/>
      <c r="J1961" s="2515"/>
      <c r="K1961" s="40">
        <v>300132</v>
      </c>
      <c r="L1961" s="2432"/>
      <c r="M1961" s="3287" t="s">
        <v>295</v>
      </c>
      <c r="N1961" s="3288"/>
      <c r="O1961" s="38">
        <v>25011</v>
      </c>
      <c r="P1961" s="38">
        <v>25011</v>
      </c>
      <c r="Q1961" s="38">
        <v>25011</v>
      </c>
      <c r="R1961" s="38">
        <v>25011</v>
      </c>
      <c r="S1961" s="38">
        <v>25011</v>
      </c>
      <c r="T1961" s="38">
        <v>25011</v>
      </c>
      <c r="U1961" s="38">
        <v>25011</v>
      </c>
      <c r="V1961" s="38">
        <v>25011</v>
      </c>
      <c r="W1961" s="38">
        <v>25011</v>
      </c>
      <c r="X1961" s="38">
        <v>25011</v>
      </c>
      <c r="Y1961" s="38">
        <v>25011</v>
      </c>
      <c r="Z1961" s="38">
        <v>25011</v>
      </c>
      <c r="AA1961" s="966">
        <f t="shared" si="333"/>
        <v>300132</v>
      </c>
      <c r="AB1961" s="1210"/>
      <c r="AC1961" s="1199"/>
      <c r="AD1961" s="1211"/>
    </row>
    <row r="1962" spans="1:30" x14ac:dyDescent="0.2">
      <c r="A1962" s="1422"/>
      <c r="B1962" s="2522"/>
      <c r="C1962" s="2456"/>
      <c r="D1962" s="3369"/>
      <c r="E1962" s="3369"/>
      <c r="F1962" s="3369"/>
      <c r="G1962" s="2420"/>
      <c r="H1962" s="2420"/>
      <c r="I1962" s="2420"/>
      <c r="J1962" s="2515"/>
      <c r="K1962" s="40">
        <v>85106</v>
      </c>
      <c r="L1962" s="2432"/>
      <c r="M1962" s="3287" t="s">
        <v>332</v>
      </c>
      <c r="N1962" s="3288"/>
      <c r="O1962" s="38">
        <v>7092.166666666667</v>
      </c>
      <c r="P1962" s="38">
        <v>7092.166666666667</v>
      </c>
      <c r="Q1962" s="38">
        <v>7092.166666666667</v>
      </c>
      <c r="R1962" s="38">
        <v>7092.166666666667</v>
      </c>
      <c r="S1962" s="38">
        <v>7092.166666666667</v>
      </c>
      <c r="T1962" s="38">
        <v>7092.166666666667</v>
      </c>
      <c r="U1962" s="38">
        <v>7092.166666666667</v>
      </c>
      <c r="V1962" s="38">
        <v>7092.166666666667</v>
      </c>
      <c r="W1962" s="38">
        <v>7092.166666666667</v>
      </c>
      <c r="X1962" s="38">
        <v>7092.166666666667</v>
      </c>
      <c r="Y1962" s="38">
        <v>7092.166666666667</v>
      </c>
      <c r="Z1962" s="38">
        <v>7092.166666666667</v>
      </c>
      <c r="AA1962" s="966">
        <f t="shared" si="333"/>
        <v>85106</v>
      </c>
      <c r="AB1962" s="1210"/>
      <c r="AC1962" s="1199"/>
      <c r="AD1962" s="1211"/>
    </row>
    <row r="1963" spans="1:30" x14ac:dyDescent="0.2">
      <c r="A1963" s="1422"/>
      <c r="B1963" s="2522"/>
      <c r="C1963" s="2456"/>
      <c r="D1963" s="3369"/>
      <c r="E1963" s="3369"/>
      <c r="F1963" s="3369"/>
      <c r="G1963" s="2420"/>
      <c r="H1963" s="2420"/>
      <c r="I1963" s="2420"/>
      <c r="J1963" s="2515"/>
      <c r="K1963" s="40">
        <v>121317</v>
      </c>
      <c r="L1963" s="2432"/>
      <c r="M1963" s="3287" t="s">
        <v>296</v>
      </c>
      <c r="N1963" s="3288"/>
      <c r="O1963" s="38">
        <v>10109.75</v>
      </c>
      <c r="P1963" s="38">
        <v>10109.75</v>
      </c>
      <c r="Q1963" s="38">
        <v>10109.75</v>
      </c>
      <c r="R1963" s="38">
        <v>10109.75</v>
      </c>
      <c r="S1963" s="38">
        <v>10109.75</v>
      </c>
      <c r="T1963" s="38">
        <v>10109.75</v>
      </c>
      <c r="U1963" s="38">
        <v>10109.75</v>
      </c>
      <c r="V1963" s="38">
        <v>10109.75</v>
      </c>
      <c r="W1963" s="38">
        <v>10109.75</v>
      </c>
      <c r="X1963" s="38">
        <v>10109.75</v>
      </c>
      <c r="Y1963" s="38">
        <v>10109.75</v>
      </c>
      <c r="Z1963" s="38">
        <v>10109.75</v>
      </c>
      <c r="AA1963" s="966">
        <f t="shared" si="333"/>
        <v>121317</v>
      </c>
      <c r="AB1963" s="1210"/>
      <c r="AC1963" s="1199"/>
      <c r="AD1963" s="1211"/>
    </row>
    <row r="1964" spans="1:30" x14ac:dyDescent="0.2">
      <c r="A1964" s="1422"/>
      <c r="B1964" s="2522"/>
      <c r="C1964" s="2456"/>
      <c r="D1964" s="3369"/>
      <c r="E1964" s="3369"/>
      <c r="F1964" s="3369"/>
      <c r="G1964" s="2420"/>
      <c r="H1964" s="2420"/>
      <c r="I1964" s="2420"/>
      <c r="J1964" s="2515"/>
      <c r="K1964" s="40">
        <v>38472</v>
      </c>
      <c r="L1964" s="2432"/>
      <c r="M1964" s="3287" t="s">
        <v>297</v>
      </c>
      <c r="N1964" s="3288"/>
      <c r="O1964" s="38">
        <v>3206</v>
      </c>
      <c r="P1964" s="38">
        <v>3206</v>
      </c>
      <c r="Q1964" s="38">
        <v>3206</v>
      </c>
      <c r="R1964" s="38">
        <v>3206</v>
      </c>
      <c r="S1964" s="38">
        <v>3206</v>
      </c>
      <c r="T1964" s="38">
        <v>3206</v>
      </c>
      <c r="U1964" s="38">
        <v>3206</v>
      </c>
      <c r="V1964" s="38">
        <v>3206</v>
      </c>
      <c r="W1964" s="38">
        <v>3206</v>
      </c>
      <c r="X1964" s="38">
        <v>3206</v>
      </c>
      <c r="Y1964" s="38">
        <v>3206</v>
      </c>
      <c r="Z1964" s="38">
        <v>3206</v>
      </c>
      <c r="AA1964" s="966">
        <f t="shared" si="333"/>
        <v>38472</v>
      </c>
      <c r="AB1964" s="1210"/>
      <c r="AC1964" s="1199"/>
      <c r="AD1964" s="1211"/>
    </row>
    <row r="1965" spans="1:30" x14ac:dyDescent="0.2">
      <c r="A1965" s="1422"/>
      <c r="B1965" s="2522"/>
      <c r="C1965" s="2456"/>
      <c r="D1965" s="3369"/>
      <c r="E1965" s="3369"/>
      <c r="F1965" s="3369"/>
      <c r="G1965" s="2420"/>
      <c r="H1965" s="2420"/>
      <c r="I1965" s="2420"/>
      <c r="J1965" s="2515"/>
      <c r="K1965" s="40">
        <v>13800</v>
      </c>
      <c r="L1965" s="2432"/>
      <c r="M1965" s="3287" t="s">
        <v>298</v>
      </c>
      <c r="N1965" s="3288"/>
      <c r="O1965" s="38"/>
      <c r="P1965" s="38"/>
      <c r="Q1965" s="38"/>
      <c r="R1965" s="38"/>
      <c r="S1965" s="38"/>
      <c r="T1965" s="38"/>
      <c r="U1965" s="38">
        <v>6900</v>
      </c>
      <c r="V1965" s="38"/>
      <c r="W1965" s="38"/>
      <c r="X1965" s="38"/>
      <c r="Y1965" s="38"/>
      <c r="Z1965" s="38">
        <v>6900</v>
      </c>
      <c r="AA1965" s="966">
        <f t="shared" si="333"/>
        <v>13800</v>
      </c>
      <c r="AB1965" s="1210"/>
      <c r="AC1965" s="1199"/>
      <c r="AD1965" s="1211"/>
    </row>
    <row r="1966" spans="1:30" x14ac:dyDescent="0.2">
      <c r="A1966" s="1422"/>
      <c r="B1966" s="2522"/>
      <c r="C1966" s="2456"/>
      <c r="D1966" s="3369"/>
      <c r="E1966" s="3369"/>
      <c r="F1966" s="3369"/>
      <c r="G1966" s="2420"/>
      <c r="H1966" s="2420"/>
      <c r="I1966" s="2420"/>
      <c r="J1966" s="2515"/>
      <c r="K1966" s="40">
        <v>9200</v>
      </c>
      <c r="L1966" s="2432"/>
      <c r="M1966" s="3287" t="s">
        <v>299</v>
      </c>
      <c r="N1966" s="3288"/>
      <c r="O1966" s="38">
        <v>9200</v>
      </c>
      <c r="P1966" s="38"/>
      <c r="Q1966" s="38"/>
      <c r="R1966" s="38"/>
      <c r="S1966" s="38"/>
      <c r="T1966" s="38"/>
      <c r="U1966" s="38"/>
      <c r="V1966" s="38"/>
      <c r="W1966" s="38"/>
      <c r="X1966" s="38"/>
      <c r="Y1966" s="38"/>
      <c r="Z1966" s="38"/>
      <c r="AA1966" s="966">
        <f t="shared" si="333"/>
        <v>9200</v>
      </c>
      <c r="AB1966" s="1210"/>
      <c r="AC1966" s="1199"/>
      <c r="AD1966" s="1211"/>
    </row>
    <row r="1967" spans="1:30" x14ac:dyDescent="0.2">
      <c r="A1967" s="1422"/>
      <c r="B1967" s="2522"/>
      <c r="C1967" s="2456"/>
      <c r="D1967" s="3369"/>
      <c r="E1967" s="3369"/>
      <c r="F1967" s="3369"/>
      <c r="G1967" s="2420"/>
      <c r="H1967" s="2420"/>
      <c r="I1967" s="2420"/>
      <c r="J1967" s="2515"/>
      <c r="K1967" s="40">
        <v>39740</v>
      </c>
      <c r="L1967" s="2432"/>
      <c r="M1967" s="3287" t="s">
        <v>339</v>
      </c>
      <c r="N1967" s="3288"/>
      <c r="O1967" s="38">
        <v>3311.6666666666665</v>
      </c>
      <c r="P1967" s="38">
        <v>3311.6666666666665</v>
      </c>
      <c r="Q1967" s="38">
        <v>3311.6666666666665</v>
      </c>
      <c r="R1967" s="38">
        <v>3311.6666666666665</v>
      </c>
      <c r="S1967" s="38">
        <v>3311.6666666666665</v>
      </c>
      <c r="T1967" s="38">
        <v>3311.6666666666665</v>
      </c>
      <c r="U1967" s="38">
        <v>3311.6666666666665</v>
      </c>
      <c r="V1967" s="38">
        <v>3311.6666666666665</v>
      </c>
      <c r="W1967" s="38">
        <v>3311.6666666666665</v>
      </c>
      <c r="X1967" s="38">
        <v>3311.6666666666665</v>
      </c>
      <c r="Y1967" s="38">
        <v>3311.6666666666665</v>
      </c>
      <c r="Z1967" s="38">
        <v>3311.6666666666665</v>
      </c>
      <c r="AA1967" s="966">
        <f t="shared" si="333"/>
        <v>39740</v>
      </c>
      <c r="AB1967" s="1210"/>
      <c r="AC1967" s="1199"/>
      <c r="AD1967" s="1211"/>
    </row>
    <row r="1968" spans="1:30" x14ac:dyDescent="0.2">
      <c r="A1968" s="1422"/>
      <c r="B1968" s="2522"/>
      <c r="C1968" s="2456"/>
      <c r="D1968" s="3369"/>
      <c r="E1968" s="3369"/>
      <c r="F1968" s="3369"/>
      <c r="G1968" s="2420"/>
      <c r="H1968" s="2420"/>
      <c r="I1968" s="2420"/>
      <c r="J1968" s="2515"/>
      <c r="K1968" s="40">
        <v>36032</v>
      </c>
      <c r="L1968" s="2432"/>
      <c r="M1968" s="3287" t="s">
        <v>300</v>
      </c>
      <c r="N1968" s="3288"/>
      <c r="O1968" s="38">
        <v>3002.6666666666665</v>
      </c>
      <c r="P1968" s="38">
        <v>3002.6666666666665</v>
      </c>
      <c r="Q1968" s="38">
        <v>3002.6666666666665</v>
      </c>
      <c r="R1968" s="38">
        <v>3002.6666666666665</v>
      </c>
      <c r="S1968" s="38">
        <v>3002.6666666666665</v>
      </c>
      <c r="T1968" s="38">
        <v>3002.6666666666665</v>
      </c>
      <c r="U1968" s="38">
        <v>3002.6666666666665</v>
      </c>
      <c r="V1968" s="38">
        <v>3002.6666666666665</v>
      </c>
      <c r="W1968" s="38">
        <v>3002.6666666666665</v>
      </c>
      <c r="X1968" s="38">
        <v>3002.6666666666665</v>
      </c>
      <c r="Y1968" s="38">
        <v>3002.6666666666665</v>
      </c>
      <c r="Z1968" s="38">
        <v>3002.6666666666665</v>
      </c>
      <c r="AA1968" s="966">
        <f t="shared" si="333"/>
        <v>36032</v>
      </c>
      <c r="AB1968" s="1210"/>
      <c r="AC1968" s="1199"/>
      <c r="AD1968" s="1211"/>
    </row>
    <row r="1969" spans="1:30" x14ac:dyDescent="0.2">
      <c r="A1969" s="1422"/>
      <c r="B1969" s="2522"/>
      <c r="C1969" s="2456"/>
      <c r="D1969" s="3369"/>
      <c r="E1969" s="3369"/>
      <c r="F1969" s="3369"/>
      <c r="G1969" s="2420"/>
      <c r="H1969" s="2420"/>
      <c r="I1969" s="2420"/>
      <c r="J1969" s="2515"/>
      <c r="K1969" s="40">
        <v>1338</v>
      </c>
      <c r="L1969" s="2432"/>
      <c r="M1969" s="3287" t="s">
        <v>301</v>
      </c>
      <c r="N1969" s="3288"/>
      <c r="O1969" s="38">
        <v>111.5</v>
      </c>
      <c r="P1969" s="38">
        <v>111.5</v>
      </c>
      <c r="Q1969" s="38">
        <v>111.5</v>
      </c>
      <c r="R1969" s="38">
        <v>111.5</v>
      </c>
      <c r="S1969" s="38">
        <v>111.5</v>
      </c>
      <c r="T1969" s="38">
        <v>111.5</v>
      </c>
      <c r="U1969" s="38">
        <v>111.5</v>
      </c>
      <c r="V1969" s="38">
        <v>111.5</v>
      </c>
      <c r="W1969" s="38">
        <v>111.5</v>
      </c>
      <c r="X1969" s="38">
        <v>111.5</v>
      </c>
      <c r="Y1969" s="38">
        <v>111.5</v>
      </c>
      <c r="Z1969" s="38">
        <v>111.5</v>
      </c>
      <c r="AA1969" s="966">
        <f t="shared" si="333"/>
        <v>1338</v>
      </c>
      <c r="AB1969" s="1210"/>
      <c r="AC1969" s="1199"/>
      <c r="AD1969" s="1211"/>
    </row>
    <row r="1970" spans="1:30" x14ac:dyDescent="0.2">
      <c r="A1970" s="1422"/>
      <c r="B1970" s="2522"/>
      <c r="C1970" s="2456"/>
      <c r="D1970" s="3369"/>
      <c r="E1970" s="3369"/>
      <c r="F1970" s="3369"/>
      <c r="G1970" s="2420"/>
      <c r="H1970" s="2420"/>
      <c r="I1970" s="2420"/>
      <c r="J1970" s="2515"/>
      <c r="K1970" s="40">
        <v>1000</v>
      </c>
      <c r="L1970" s="2432"/>
      <c r="M1970" s="3287" t="s">
        <v>340</v>
      </c>
      <c r="N1970" s="3288"/>
      <c r="O1970" s="38"/>
      <c r="P1970" s="38"/>
      <c r="Q1970" s="38"/>
      <c r="R1970" s="38">
        <v>1000</v>
      </c>
      <c r="S1970" s="38"/>
      <c r="T1970" s="38"/>
      <c r="U1970" s="38"/>
      <c r="V1970" s="38"/>
      <c r="W1970" s="38"/>
      <c r="X1970" s="38"/>
      <c r="Y1970" s="38"/>
      <c r="Z1970" s="38"/>
      <c r="AA1970" s="966">
        <f t="shared" si="333"/>
        <v>1000</v>
      </c>
      <c r="AB1970" s="1210"/>
      <c r="AC1970" s="1199"/>
      <c r="AD1970" s="1211"/>
    </row>
    <row r="1971" spans="1:30" x14ac:dyDescent="0.2">
      <c r="A1971" s="1422"/>
      <c r="B1971" s="2522"/>
      <c r="C1971" s="2456"/>
      <c r="D1971" s="3369"/>
      <c r="E1971" s="3369"/>
      <c r="F1971" s="3369"/>
      <c r="G1971" s="2420"/>
      <c r="H1971" s="2420"/>
      <c r="I1971" s="2420"/>
      <c r="J1971" s="2515"/>
      <c r="K1971" s="40">
        <v>8000</v>
      </c>
      <c r="L1971" s="2432"/>
      <c r="M1971" s="3287" t="s">
        <v>302</v>
      </c>
      <c r="N1971" s="3288"/>
      <c r="O1971" s="38"/>
      <c r="P1971" s="38"/>
      <c r="Q1971" s="38"/>
      <c r="R1971" s="38"/>
      <c r="S1971" s="38">
        <v>8000</v>
      </c>
      <c r="T1971" s="38"/>
      <c r="U1971" s="38"/>
      <c r="V1971" s="38"/>
      <c r="W1971" s="38"/>
      <c r="X1971" s="38"/>
      <c r="Y1971" s="38"/>
      <c r="Z1971" s="38"/>
      <c r="AA1971" s="966">
        <f t="shared" si="333"/>
        <v>8000</v>
      </c>
      <c r="AB1971" s="1210"/>
      <c r="AC1971" s="1199"/>
      <c r="AD1971" s="1211"/>
    </row>
    <row r="1972" spans="1:30" x14ac:dyDescent="0.2">
      <c r="A1972" s="1422"/>
      <c r="B1972" s="2522"/>
      <c r="C1972" s="2456"/>
      <c r="D1972" s="3369"/>
      <c r="E1972" s="3369"/>
      <c r="F1972" s="3369"/>
      <c r="G1972" s="2420"/>
      <c r="H1972" s="2420"/>
      <c r="I1972" s="2420"/>
      <c r="J1972" s="2515"/>
      <c r="K1972" s="40">
        <v>1300</v>
      </c>
      <c r="L1972" s="2432"/>
      <c r="M1972" s="3287" t="s">
        <v>303</v>
      </c>
      <c r="N1972" s="3288"/>
      <c r="O1972" s="38"/>
      <c r="P1972" s="38"/>
      <c r="Q1972" s="38">
        <v>1300</v>
      </c>
      <c r="R1972" s="38"/>
      <c r="S1972" s="38"/>
      <c r="T1972" s="38"/>
      <c r="U1972" s="38"/>
      <c r="V1972" s="38"/>
      <c r="W1972" s="38"/>
      <c r="X1972" s="38"/>
      <c r="Y1972" s="38"/>
      <c r="Z1972" s="38"/>
      <c r="AA1972" s="966">
        <f t="shared" si="333"/>
        <v>1300</v>
      </c>
      <c r="AB1972" s="1210"/>
      <c r="AC1972" s="1199"/>
      <c r="AD1972" s="1211"/>
    </row>
    <row r="1973" spans="1:30" x14ac:dyDescent="0.2">
      <c r="A1973" s="1422"/>
      <c r="B1973" s="2522"/>
      <c r="C1973" s="2456"/>
      <c r="D1973" s="3369"/>
      <c r="E1973" s="3369"/>
      <c r="F1973" s="3369"/>
      <c r="G1973" s="2420"/>
      <c r="H1973" s="2420"/>
      <c r="I1973" s="2420"/>
      <c r="J1973" s="2515"/>
      <c r="K1973" s="40">
        <v>700</v>
      </c>
      <c r="L1973" s="2432"/>
      <c r="M1973" s="3287" t="s">
        <v>324</v>
      </c>
      <c r="N1973" s="3288"/>
      <c r="O1973" s="38"/>
      <c r="P1973" s="38">
        <v>700</v>
      </c>
      <c r="Q1973" s="38"/>
      <c r="R1973" s="38"/>
      <c r="S1973" s="38"/>
      <c r="T1973" s="38"/>
      <c r="U1973" s="38"/>
      <c r="V1973" s="38"/>
      <c r="W1973" s="38"/>
      <c r="X1973" s="38"/>
      <c r="Y1973" s="38"/>
      <c r="Z1973" s="38"/>
      <c r="AA1973" s="966">
        <f t="shared" si="333"/>
        <v>700</v>
      </c>
      <c r="AB1973" s="1210"/>
      <c r="AC1973" s="1199"/>
      <c r="AD1973" s="1211"/>
    </row>
    <row r="1974" spans="1:30" x14ac:dyDescent="0.2">
      <c r="A1974" s="1422"/>
      <c r="B1974" s="2522"/>
      <c r="C1974" s="2456"/>
      <c r="D1974" s="3369"/>
      <c r="E1974" s="3369"/>
      <c r="F1974" s="3369"/>
      <c r="G1974" s="2420"/>
      <c r="H1974" s="2420"/>
      <c r="I1974" s="2420"/>
      <c r="J1974" s="2515"/>
      <c r="K1974" s="40">
        <v>4010</v>
      </c>
      <c r="L1974" s="2432"/>
      <c r="M1974" s="3287" t="s">
        <v>393</v>
      </c>
      <c r="N1974" s="3288"/>
      <c r="O1974" s="38"/>
      <c r="P1974" s="38"/>
      <c r="Q1974" s="38"/>
      <c r="R1974" s="38">
        <v>4010</v>
      </c>
      <c r="S1974" s="38"/>
      <c r="T1974" s="38"/>
      <c r="U1974" s="38"/>
      <c r="V1974" s="38"/>
      <c r="W1974" s="38"/>
      <c r="X1974" s="38"/>
      <c r="Y1974" s="38"/>
      <c r="Z1974" s="38"/>
      <c r="AA1974" s="966">
        <f t="shared" si="333"/>
        <v>4010</v>
      </c>
      <c r="AB1974" s="1210"/>
      <c r="AC1974" s="1199"/>
      <c r="AD1974" s="1211"/>
    </row>
    <row r="1975" spans="1:30" x14ac:dyDescent="0.2">
      <c r="A1975" s="1422"/>
      <c r="B1975" s="2522"/>
      <c r="C1975" s="2456"/>
      <c r="D1975" s="3369"/>
      <c r="E1975" s="3369"/>
      <c r="F1975" s="3369"/>
      <c r="G1975" s="2420"/>
      <c r="H1975" s="2420"/>
      <c r="I1975" s="2420"/>
      <c r="J1975" s="2515"/>
      <c r="K1975" s="40">
        <v>14500</v>
      </c>
      <c r="L1975" s="2432"/>
      <c r="M1975" s="3287" t="s">
        <v>343</v>
      </c>
      <c r="N1975" s="3288"/>
      <c r="O1975" s="38"/>
      <c r="P1975" s="38"/>
      <c r="Q1975" s="38"/>
      <c r="R1975" s="38">
        <v>7250</v>
      </c>
      <c r="S1975" s="38"/>
      <c r="T1975" s="38"/>
      <c r="U1975" s="38"/>
      <c r="V1975" s="38">
        <v>7250</v>
      </c>
      <c r="W1975" s="38"/>
      <c r="X1975" s="38"/>
      <c r="Y1975" s="38"/>
      <c r="Z1975" s="38"/>
      <c r="AA1975" s="966">
        <f t="shared" si="333"/>
        <v>14500</v>
      </c>
      <c r="AB1975" s="1210"/>
      <c r="AC1975" s="1199"/>
      <c r="AD1975" s="1211"/>
    </row>
    <row r="1976" spans="1:30" x14ac:dyDescent="0.2">
      <c r="A1976" s="1422"/>
      <c r="B1976" s="2522"/>
      <c r="C1976" s="2456"/>
      <c r="D1976" s="3369"/>
      <c r="E1976" s="3369"/>
      <c r="F1976" s="3369"/>
      <c r="G1976" s="2420"/>
      <c r="H1976" s="2420"/>
      <c r="I1976" s="2420"/>
      <c r="J1976" s="2515"/>
      <c r="K1976" s="40">
        <v>237</v>
      </c>
      <c r="L1976" s="2432"/>
      <c r="M1976" s="3287" t="s">
        <v>381</v>
      </c>
      <c r="N1976" s="3288"/>
      <c r="O1976" s="38"/>
      <c r="P1976" s="38"/>
      <c r="Q1976" s="38">
        <v>237</v>
      </c>
      <c r="R1976" s="38"/>
      <c r="S1976" s="38"/>
      <c r="T1976" s="38"/>
      <c r="U1976" s="38"/>
      <c r="V1976" s="38"/>
      <c r="W1976" s="38"/>
      <c r="X1976" s="38"/>
      <c r="Y1976" s="38"/>
      <c r="Z1976" s="38"/>
      <c r="AA1976" s="966">
        <f t="shared" si="333"/>
        <v>237</v>
      </c>
      <c r="AB1976" s="1210"/>
      <c r="AC1976" s="1199"/>
      <c r="AD1976" s="1211"/>
    </row>
    <row r="1977" spans="1:30" x14ac:dyDescent="0.2">
      <c r="A1977" s="1422"/>
      <c r="B1977" s="2522"/>
      <c r="C1977" s="2456"/>
      <c r="D1977" s="3369"/>
      <c r="E1977" s="3369"/>
      <c r="F1977" s="3369"/>
      <c r="G1977" s="2420"/>
      <c r="H1977" s="2420"/>
      <c r="I1977" s="2420"/>
      <c r="J1977" s="2515"/>
      <c r="K1977" s="40">
        <v>1850</v>
      </c>
      <c r="L1977" s="2432"/>
      <c r="M1977" s="3287" t="s">
        <v>305</v>
      </c>
      <c r="N1977" s="3288"/>
      <c r="O1977" s="38"/>
      <c r="P1977" s="38">
        <v>462.5</v>
      </c>
      <c r="Q1977" s="38"/>
      <c r="R1977" s="38"/>
      <c r="S1977" s="38">
        <v>462.5</v>
      </c>
      <c r="T1977" s="38"/>
      <c r="U1977" s="38"/>
      <c r="V1977" s="38">
        <v>462.5</v>
      </c>
      <c r="W1977" s="38"/>
      <c r="X1977" s="38"/>
      <c r="Y1977" s="38">
        <v>462.5</v>
      </c>
      <c r="Z1977" s="38"/>
      <c r="AA1977" s="966">
        <f t="shared" si="333"/>
        <v>1850</v>
      </c>
      <c r="AB1977" s="1210"/>
      <c r="AC1977" s="1199"/>
      <c r="AD1977" s="1211"/>
    </row>
    <row r="1978" spans="1:30" x14ac:dyDescent="0.2">
      <c r="A1978" s="1422"/>
      <c r="B1978" s="2522"/>
      <c r="C1978" s="2456"/>
      <c r="D1978" s="3369"/>
      <c r="E1978" s="3369"/>
      <c r="F1978" s="3369"/>
      <c r="G1978" s="2420"/>
      <c r="H1978" s="2420"/>
      <c r="I1978" s="2420"/>
      <c r="J1978" s="2515"/>
      <c r="K1978" s="40">
        <v>9700</v>
      </c>
      <c r="L1978" s="2432"/>
      <c r="M1978" s="3287" t="s">
        <v>306</v>
      </c>
      <c r="N1978" s="3288"/>
      <c r="O1978" s="38"/>
      <c r="P1978" s="38">
        <v>881.81818181818187</v>
      </c>
      <c r="Q1978" s="38">
        <v>881.81818181818187</v>
      </c>
      <c r="R1978" s="38">
        <v>881.81818181818187</v>
      </c>
      <c r="S1978" s="38">
        <v>881.81818181818187</v>
      </c>
      <c r="T1978" s="38">
        <v>881.81818181818187</v>
      </c>
      <c r="U1978" s="38">
        <v>881.81818181818187</v>
      </c>
      <c r="V1978" s="38">
        <v>881.81818181818187</v>
      </c>
      <c r="W1978" s="38">
        <v>881.81818181818187</v>
      </c>
      <c r="X1978" s="38">
        <v>881.81818181818187</v>
      </c>
      <c r="Y1978" s="38">
        <v>881.81818181818187</v>
      </c>
      <c r="Z1978" s="38">
        <v>881.81818181818187</v>
      </c>
      <c r="AA1978" s="966">
        <f t="shared" si="333"/>
        <v>9700</v>
      </c>
      <c r="AB1978" s="1210"/>
      <c r="AC1978" s="1199"/>
      <c r="AD1978" s="1211"/>
    </row>
    <row r="1979" spans="1:30" x14ac:dyDescent="0.2">
      <c r="A1979" s="1422"/>
      <c r="B1979" s="2522"/>
      <c r="C1979" s="2456"/>
      <c r="D1979" s="3369"/>
      <c r="E1979" s="3369"/>
      <c r="F1979" s="3369"/>
      <c r="G1979" s="2420"/>
      <c r="H1979" s="2420"/>
      <c r="I1979" s="2420"/>
      <c r="J1979" s="2515"/>
      <c r="K1979" s="40">
        <v>10800</v>
      </c>
      <c r="L1979" s="2432"/>
      <c r="M1979" s="3287" t="s">
        <v>307</v>
      </c>
      <c r="N1979" s="3288"/>
      <c r="O1979" s="38"/>
      <c r="P1979" s="38">
        <v>981.81818181818187</v>
      </c>
      <c r="Q1979" s="38">
        <v>981.81818181818187</v>
      </c>
      <c r="R1979" s="38">
        <v>981.81818181818187</v>
      </c>
      <c r="S1979" s="38">
        <v>981.81818181818187</v>
      </c>
      <c r="T1979" s="38">
        <v>981.81818181818187</v>
      </c>
      <c r="U1979" s="38">
        <v>981.81818181818187</v>
      </c>
      <c r="V1979" s="38">
        <v>981.81818181818187</v>
      </c>
      <c r="W1979" s="38">
        <v>981.81818181818187</v>
      </c>
      <c r="X1979" s="38">
        <v>981.81818181818187</v>
      </c>
      <c r="Y1979" s="38">
        <v>981.81818181818187</v>
      </c>
      <c r="Z1979" s="38">
        <v>981.81818181818187</v>
      </c>
      <c r="AA1979" s="966">
        <f t="shared" si="333"/>
        <v>10800</v>
      </c>
      <c r="AB1979" s="1210"/>
      <c r="AC1979" s="1199"/>
      <c r="AD1979" s="1211"/>
    </row>
    <row r="1980" spans="1:30" x14ac:dyDescent="0.2">
      <c r="A1980" s="1422"/>
      <c r="B1980" s="2522"/>
      <c r="C1980" s="2456"/>
      <c r="D1980" s="3369"/>
      <c r="E1980" s="3369"/>
      <c r="F1980" s="3369"/>
      <c r="G1980" s="2420"/>
      <c r="H1980" s="2420"/>
      <c r="I1980" s="2420"/>
      <c r="J1980" s="2515"/>
      <c r="K1980" s="40">
        <v>450</v>
      </c>
      <c r="L1980" s="2432"/>
      <c r="M1980" s="3287" t="s">
        <v>308</v>
      </c>
      <c r="N1980" s="3288"/>
      <c r="O1980" s="38"/>
      <c r="P1980" s="38"/>
      <c r="Q1980" s="38">
        <v>450</v>
      </c>
      <c r="R1980" s="38"/>
      <c r="S1980" s="38"/>
      <c r="T1980" s="38"/>
      <c r="U1980" s="38"/>
      <c r="V1980" s="38"/>
      <c r="W1980" s="38"/>
      <c r="X1980" s="38"/>
      <c r="Y1980" s="38"/>
      <c r="Z1980" s="38"/>
      <c r="AA1980" s="966">
        <f t="shared" si="333"/>
        <v>450</v>
      </c>
      <c r="AB1980" s="1210"/>
      <c r="AC1980" s="1199"/>
      <c r="AD1980" s="1211"/>
    </row>
    <row r="1981" spans="1:30" x14ac:dyDescent="0.2">
      <c r="A1981" s="1422"/>
      <c r="B1981" s="2522"/>
      <c r="C1981" s="2456"/>
      <c r="D1981" s="3369"/>
      <c r="E1981" s="3369"/>
      <c r="F1981" s="3369"/>
      <c r="G1981" s="2420"/>
      <c r="H1981" s="2420"/>
      <c r="I1981" s="2420"/>
      <c r="J1981" s="2515"/>
      <c r="K1981" s="40">
        <v>3450</v>
      </c>
      <c r="L1981" s="2432"/>
      <c r="M1981" s="3287" t="s">
        <v>309</v>
      </c>
      <c r="N1981" s="3288"/>
      <c r="O1981" s="38"/>
      <c r="P1981" s="38"/>
      <c r="Q1981" s="38">
        <v>690</v>
      </c>
      <c r="R1981" s="38"/>
      <c r="S1981" s="38">
        <v>690</v>
      </c>
      <c r="T1981" s="38"/>
      <c r="U1981" s="38">
        <v>690</v>
      </c>
      <c r="V1981" s="38"/>
      <c r="W1981" s="38">
        <v>690</v>
      </c>
      <c r="X1981" s="38"/>
      <c r="Y1981" s="38">
        <v>690</v>
      </c>
      <c r="Z1981" s="38"/>
      <c r="AA1981" s="966">
        <f t="shared" si="333"/>
        <v>3450</v>
      </c>
      <c r="AB1981" s="1210"/>
      <c r="AC1981" s="1199"/>
      <c r="AD1981" s="1211"/>
    </row>
    <row r="1982" spans="1:30" x14ac:dyDescent="0.2">
      <c r="A1982" s="1422"/>
      <c r="B1982" s="2522"/>
      <c r="C1982" s="2456"/>
      <c r="D1982" s="3369"/>
      <c r="E1982" s="3369"/>
      <c r="F1982" s="3369"/>
      <c r="G1982" s="2420"/>
      <c r="H1982" s="2420"/>
      <c r="I1982" s="2420"/>
      <c r="J1982" s="2515"/>
      <c r="K1982" s="40">
        <v>157940</v>
      </c>
      <c r="L1982" s="2432"/>
      <c r="M1982" s="3287" t="s">
        <v>310</v>
      </c>
      <c r="N1982" s="3288"/>
      <c r="O1982" s="38">
        <v>13161.666666666666</v>
      </c>
      <c r="P1982" s="38">
        <v>13161.666666666666</v>
      </c>
      <c r="Q1982" s="38">
        <v>13161.666666666666</v>
      </c>
      <c r="R1982" s="38">
        <v>13161.666666666666</v>
      </c>
      <c r="S1982" s="38">
        <v>13161.666666666666</v>
      </c>
      <c r="T1982" s="38">
        <v>13161.666666666666</v>
      </c>
      <c r="U1982" s="38">
        <v>13161.666666666666</v>
      </c>
      <c r="V1982" s="38">
        <v>13161.666666666666</v>
      </c>
      <c r="W1982" s="38">
        <v>13161.666666666666</v>
      </c>
      <c r="X1982" s="38">
        <v>13161.666666666666</v>
      </c>
      <c r="Y1982" s="38">
        <v>13161.666666666666</v>
      </c>
      <c r="Z1982" s="38">
        <v>13161.666666666666</v>
      </c>
      <c r="AA1982" s="966">
        <f t="shared" si="333"/>
        <v>157940</v>
      </c>
      <c r="AB1982" s="1210"/>
      <c r="AC1982" s="1199"/>
      <c r="AD1982" s="1211"/>
    </row>
    <row r="1983" spans="1:30" x14ac:dyDescent="0.2">
      <c r="A1983" s="1422"/>
      <c r="B1983" s="2522"/>
      <c r="C1983" s="2450"/>
      <c r="D1983" s="3369"/>
      <c r="E1983" s="3369"/>
      <c r="F1983" s="3369"/>
      <c r="G1983" s="2420"/>
      <c r="H1983" s="2420"/>
      <c r="I1983" s="2420"/>
      <c r="J1983" s="2516"/>
      <c r="K1983" s="40">
        <v>8932</v>
      </c>
      <c r="L1983" s="2432"/>
      <c r="M1983" s="3287" t="s">
        <v>311</v>
      </c>
      <c r="N1983" s="3288"/>
      <c r="O1983" s="38">
        <v>744.33333333333337</v>
      </c>
      <c r="P1983" s="38">
        <v>744.33333333333337</v>
      </c>
      <c r="Q1983" s="38">
        <v>744.33333333333337</v>
      </c>
      <c r="R1983" s="38">
        <v>744.33333333333337</v>
      </c>
      <c r="S1983" s="38">
        <v>744.33333333333337</v>
      </c>
      <c r="T1983" s="38">
        <v>744.33333333333337</v>
      </c>
      <c r="U1983" s="38">
        <v>744.33333333333337</v>
      </c>
      <c r="V1983" s="38">
        <v>744.33333333333337</v>
      </c>
      <c r="W1983" s="38">
        <v>744.33333333333337</v>
      </c>
      <c r="X1983" s="38">
        <v>744.33333333333337</v>
      </c>
      <c r="Y1983" s="38">
        <v>744.33333333333337</v>
      </c>
      <c r="Z1983" s="38">
        <v>744.33333333333337</v>
      </c>
      <c r="AA1983" s="966">
        <f t="shared" si="333"/>
        <v>8931.9999999999982</v>
      </c>
      <c r="AB1983" s="1210"/>
      <c r="AC1983" s="1199"/>
      <c r="AD1983" s="1211"/>
    </row>
    <row r="1984" spans="1:30" x14ac:dyDescent="0.2">
      <c r="A1984" s="1422"/>
      <c r="B1984" s="1427" t="s">
        <v>312</v>
      </c>
      <c r="C1984" s="1128"/>
      <c r="D1984" s="38"/>
      <c r="E1984" s="38"/>
      <c r="F1984" s="38"/>
      <c r="G1984" s="38"/>
      <c r="H1984" s="38"/>
      <c r="I1984" s="38"/>
      <c r="J1984" s="104"/>
      <c r="K1984" s="40">
        <f>SUM(K1960:K1983)</f>
        <v>1179510</v>
      </c>
      <c r="L1984" s="2437"/>
      <c r="M1984" s="1128"/>
      <c r="N1984" s="1128"/>
      <c r="O1984" s="38"/>
      <c r="P1984" s="38"/>
      <c r="Q1984" s="38"/>
      <c r="R1984" s="38"/>
      <c r="S1984" s="38"/>
      <c r="T1984" s="38"/>
      <c r="U1984" s="38"/>
      <c r="V1984" s="38"/>
      <c r="W1984" s="38"/>
      <c r="X1984" s="38"/>
      <c r="Y1984" s="38"/>
      <c r="Z1984" s="38"/>
      <c r="AA1984" s="38"/>
      <c r="AB1984" s="1210"/>
      <c r="AC1984" s="1199"/>
      <c r="AD1984" s="1211"/>
    </row>
    <row r="1985" spans="1:30" x14ac:dyDescent="0.2">
      <c r="A1985" s="1422"/>
      <c r="B1985" s="1422"/>
      <c r="C1985" s="1124"/>
      <c r="D1985" s="35"/>
      <c r="E1985" s="35"/>
      <c r="F1985" s="35"/>
      <c r="G1985" s="35"/>
      <c r="H1985" s="35"/>
      <c r="I1985" s="35"/>
      <c r="J1985" s="105"/>
      <c r="K1985" s="110"/>
      <c r="L1985" s="110"/>
      <c r="M1985" s="1124"/>
      <c r="N1985" s="1124"/>
      <c r="O1985" s="35"/>
      <c r="P1985" s="35"/>
      <c r="Q1985" s="35"/>
      <c r="R1985" s="35"/>
      <c r="S1985" s="109"/>
      <c r="T1985" s="109"/>
      <c r="U1985" s="109"/>
      <c r="V1985" s="109"/>
      <c r="W1985" s="109"/>
      <c r="X1985" s="109"/>
      <c r="Y1985" s="109"/>
      <c r="Z1985" s="109"/>
      <c r="AA1985" s="1212"/>
      <c r="AB1985" s="1210"/>
      <c r="AC1985" s="1199"/>
      <c r="AD1985" s="1211"/>
    </row>
    <row r="1986" spans="1:30" x14ac:dyDescent="0.2">
      <c r="A1986" s="1422"/>
      <c r="B1986" s="1422"/>
      <c r="C1986" s="1124"/>
      <c r="D1986" s="35"/>
      <c r="E1986" s="35"/>
      <c r="F1986" s="35"/>
      <c r="G1986" s="35"/>
      <c r="H1986" s="35"/>
      <c r="I1986" s="35"/>
      <c r="J1986" s="105"/>
      <c r="K1986" s="110"/>
      <c r="L1986" s="110"/>
      <c r="M1986" s="1124"/>
      <c r="N1986" s="1124"/>
      <c r="O1986" s="35"/>
      <c r="P1986" s="35"/>
      <c r="Q1986" s="35"/>
      <c r="R1986" s="35"/>
      <c r="S1986" s="35"/>
      <c r="T1986" s="35"/>
      <c r="U1986" s="35"/>
      <c r="V1986" s="35"/>
      <c r="W1986" s="35"/>
      <c r="X1986" s="35"/>
      <c r="Y1986" s="35"/>
      <c r="Z1986" s="35"/>
      <c r="AA1986" s="1212"/>
      <c r="AB1986" s="1210"/>
      <c r="AC1986" s="1199"/>
      <c r="AD1986" s="1211"/>
    </row>
    <row r="1987" spans="1:30" ht="22.5" customHeight="1" x14ac:dyDescent="0.2">
      <c r="A1987" s="1422"/>
      <c r="B1987" s="1422"/>
      <c r="C1987" s="1124"/>
      <c r="D1987" s="35"/>
      <c r="E1987" s="35"/>
      <c r="F1987" s="35"/>
      <c r="G1987" s="35"/>
      <c r="H1987" s="35"/>
      <c r="I1987" s="35"/>
      <c r="J1987" s="105"/>
      <c r="K1987" s="35"/>
      <c r="L1987" s="35"/>
      <c r="M1987" s="1124"/>
      <c r="N1987" s="1124"/>
      <c r="O1987" s="35"/>
      <c r="P1987" s="35"/>
      <c r="Q1987" s="35"/>
      <c r="R1987" s="35"/>
      <c r="T1987" s="71"/>
      <c r="U1987" s="71"/>
      <c r="V1987" s="71"/>
      <c r="W1987" s="71"/>
      <c r="X1987" s="2922" t="s">
        <v>15</v>
      </c>
      <c r="Y1987" s="2922"/>
      <c r="Z1987" s="2922" t="s">
        <v>16</v>
      </c>
      <c r="AA1987" s="2922"/>
      <c r="AB1987" s="1210"/>
      <c r="AC1987" s="1199"/>
      <c r="AD1987" s="1211"/>
    </row>
    <row r="1988" spans="1:30" ht="36.75" customHeight="1" x14ac:dyDescent="0.2">
      <c r="A1988" s="1422"/>
      <c r="B1988" s="1950" t="s">
        <v>276</v>
      </c>
      <c r="C1988" s="1119"/>
      <c r="D1988" s="110">
        <v>3044119</v>
      </c>
      <c r="E1988" s="1941" t="s">
        <v>681</v>
      </c>
      <c r="F1988" s="628"/>
      <c r="G1988" s="628"/>
      <c r="H1988" s="628"/>
      <c r="I1988" s="35"/>
      <c r="J1988" s="105"/>
      <c r="K1988" s="35"/>
      <c r="L1988" s="35"/>
      <c r="M1988" s="1124"/>
      <c r="N1988" s="1124"/>
      <c r="O1988" s="35"/>
      <c r="P1988" s="35"/>
      <c r="Q1988" s="35"/>
      <c r="R1988" s="35"/>
      <c r="T1988" s="2055"/>
      <c r="U1988" s="2055"/>
      <c r="V1988" s="2055"/>
      <c r="W1988" s="2055"/>
      <c r="X1988" s="2922" t="s">
        <v>682</v>
      </c>
      <c r="Y1988" s="2922"/>
      <c r="Z1988" s="2922" t="s">
        <v>683</v>
      </c>
      <c r="AA1988" s="2922"/>
      <c r="AB1988" s="1210"/>
      <c r="AC1988" s="1199"/>
      <c r="AD1988" s="1211"/>
    </row>
    <row r="1989" spans="1:30" x14ac:dyDescent="0.2">
      <c r="A1989" s="1422"/>
      <c r="B1989" s="2999" t="s">
        <v>278</v>
      </c>
      <c r="C1989" s="3015" t="s">
        <v>21</v>
      </c>
      <c r="D1989" s="2847" t="s">
        <v>22</v>
      </c>
      <c r="E1989" s="2847" t="s">
        <v>23</v>
      </c>
      <c r="F1989" s="2847" t="s">
        <v>24</v>
      </c>
      <c r="G1989" s="2847" t="s">
        <v>25</v>
      </c>
      <c r="H1989" s="2847" t="s">
        <v>26</v>
      </c>
      <c r="I1989" s="2847" t="s">
        <v>27</v>
      </c>
      <c r="J1989" s="3206" t="s">
        <v>28</v>
      </c>
      <c r="K1989" s="3301"/>
      <c r="L1989" s="2988" t="s">
        <v>279</v>
      </c>
      <c r="M1989" s="2986" t="s">
        <v>280</v>
      </c>
      <c r="N1989" s="2987"/>
      <c r="O1989" s="2847" t="s">
        <v>281</v>
      </c>
      <c r="P1989" s="2847"/>
      <c r="Q1989" s="2847"/>
      <c r="R1989" s="2847"/>
      <c r="S1989" s="2847"/>
      <c r="T1989" s="2847"/>
      <c r="U1989" s="2847"/>
      <c r="V1989" s="2847"/>
      <c r="W1989" s="2847"/>
      <c r="X1989" s="2847"/>
      <c r="Y1989" s="2847"/>
      <c r="Z1989" s="2847"/>
      <c r="AA1989" s="3358" t="s">
        <v>32</v>
      </c>
      <c r="AB1989" s="1210"/>
      <c r="AC1989" s="1199"/>
      <c r="AD1989" s="1211"/>
    </row>
    <row r="1990" spans="1:30" x14ac:dyDescent="0.2">
      <c r="A1990" s="1422"/>
      <c r="B1990" s="2999"/>
      <c r="C1990" s="3359"/>
      <c r="D1990" s="2847"/>
      <c r="E1990" s="2847"/>
      <c r="F1990" s="2847"/>
      <c r="G1990" s="2847"/>
      <c r="H1990" s="2847"/>
      <c r="I1990" s="2847"/>
      <c r="J1990" s="1007" t="s">
        <v>33</v>
      </c>
      <c r="K1990" s="2988" t="s">
        <v>282</v>
      </c>
      <c r="L1990" s="3186"/>
      <c r="M1990" s="3000"/>
      <c r="N1990" s="3001"/>
      <c r="O1990" s="2187" t="s">
        <v>283</v>
      </c>
      <c r="P1990" s="2187" t="s">
        <v>284</v>
      </c>
      <c r="Q1990" s="2187" t="s">
        <v>285</v>
      </c>
      <c r="R1990" s="2187" t="s">
        <v>88</v>
      </c>
      <c r="S1990" s="2187" t="s">
        <v>89</v>
      </c>
      <c r="T1990" s="2187" t="s">
        <v>90</v>
      </c>
      <c r="U1990" s="2187" t="s">
        <v>91</v>
      </c>
      <c r="V1990" s="2187" t="s">
        <v>92</v>
      </c>
      <c r="W1990" s="2187" t="s">
        <v>286</v>
      </c>
      <c r="X1990" s="2187" t="s">
        <v>93</v>
      </c>
      <c r="Y1990" s="2187" t="s">
        <v>94</v>
      </c>
      <c r="Z1990" s="2187" t="s">
        <v>95</v>
      </c>
      <c r="AA1990" s="3358"/>
      <c r="AB1990" s="1210"/>
      <c r="AC1990" s="1199"/>
      <c r="AD1990" s="1211"/>
    </row>
    <row r="1991" spans="1:30" ht="12.75" x14ac:dyDescent="0.2">
      <c r="A1991" s="1422"/>
      <c r="B1991" s="2999"/>
      <c r="C1991" s="3359"/>
      <c r="D1991" s="2847"/>
      <c r="E1991" s="2847"/>
      <c r="F1991" s="2847"/>
      <c r="G1991" s="2847"/>
      <c r="H1991" s="2847"/>
      <c r="I1991" s="2847"/>
      <c r="J1991" s="106"/>
      <c r="K1991" s="3186"/>
      <c r="L1991" s="3186"/>
      <c r="M1991" s="3271" t="s">
        <v>287</v>
      </c>
      <c r="N1991" s="3272"/>
      <c r="O1991" s="1095"/>
      <c r="P1991" s="2230">
        <v>87</v>
      </c>
      <c r="Q1991" s="2230">
        <v>87</v>
      </c>
      <c r="R1991" s="2230">
        <v>87</v>
      </c>
      <c r="S1991" s="2230">
        <v>87</v>
      </c>
      <c r="T1991" s="2230">
        <v>88</v>
      </c>
      <c r="U1991" s="2230">
        <v>87</v>
      </c>
      <c r="V1991" s="2230">
        <v>87</v>
      </c>
      <c r="W1991" s="2230">
        <v>87</v>
      </c>
      <c r="X1991" s="2230">
        <v>87</v>
      </c>
      <c r="Y1991" s="2230">
        <v>87</v>
      </c>
      <c r="Z1991" s="2230">
        <v>87</v>
      </c>
      <c r="AA1991" s="1205">
        <f>SUM(O1991:Z1991)</f>
        <v>958</v>
      </c>
      <c r="AB1991" s="1210"/>
      <c r="AC1991" s="1199"/>
      <c r="AD1991" s="1211"/>
    </row>
    <row r="1992" spans="1:30" ht="12.75" x14ac:dyDescent="0.2">
      <c r="A1992" s="1422"/>
      <c r="B1992" s="2999"/>
      <c r="C1992" s="3016"/>
      <c r="D1992" s="2847"/>
      <c r="E1992" s="2847"/>
      <c r="F1992" s="2847"/>
      <c r="G1992" s="2847"/>
      <c r="H1992" s="2847"/>
      <c r="I1992" s="2847"/>
      <c r="J1992" s="1008"/>
      <c r="K1992" s="2989"/>
      <c r="L1992" s="2989"/>
      <c r="M1992" s="3271" t="s">
        <v>34</v>
      </c>
      <c r="N1992" s="3272"/>
      <c r="O1992" s="1095">
        <f>SUM(O1993:O2009)</f>
        <v>126798.58333333334</v>
      </c>
      <c r="P1992" s="1095">
        <f t="shared" ref="P1992:Z1992" si="334">SUM(P1993:P2009)</f>
        <v>106825.85606060606</v>
      </c>
      <c r="Q1992" s="1095">
        <f t="shared" si="334"/>
        <v>109605.85606060606</v>
      </c>
      <c r="R1992" s="1095">
        <f t="shared" si="334"/>
        <v>105705.85606060606</v>
      </c>
      <c r="S1992" s="1095">
        <f t="shared" si="334"/>
        <v>107105.85606060606</v>
      </c>
      <c r="T1992" s="1095">
        <f t="shared" si="334"/>
        <v>105705.85606060606</v>
      </c>
      <c r="U1992" s="1095">
        <f t="shared" si="334"/>
        <v>126040.85606060606</v>
      </c>
      <c r="V1992" s="1095">
        <f t="shared" si="334"/>
        <v>105705.85606060606</v>
      </c>
      <c r="W1992" s="1095">
        <f t="shared" si="334"/>
        <v>107105.85606060606</v>
      </c>
      <c r="X1992" s="1095">
        <f t="shared" si="334"/>
        <v>105705.85606060606</v>
      </c>
      <c r="Y1992" s="1095">
        <f t="shared" si="334"/>
        <v>107105.85606060606</v>
      </c>
      <c r="Z1992" s="1095">
        <f t="shared" si="334"/>
        <v>122140.85606060606</v>
      </c>
      <c r="AA1992" s="2225">
        <f t="shared" ref="AA1992:AA2009" si="335">SUM(O1992:Z1992)</f>
        <v>1335552.9999999998</v>
      </c>
      <c r="AB1992" s="1210"/>
      <c r="AC1992" s="1199"/>
      <c r="AD1992" s="1211"/>
    </row>
    <row r="1993" spans="1:30" x14ac:dyDescent="0.2">
      <c r="A1993" s="1422"/>
      <c r="B1993" s="2522">
        <v>5000095</v>
      </c>
      <c r="C1993" s="2438" t="s">
        <v>684</v>
      </c>
      <c r="D1993" s="3369">
        <v>68</v>
      </c>
      <c r="E1993" s="3369" t="s">
        <v>407</v>
      </c>
      <c r="F1993" s="3369" t="s">
        <v>313</v>
      </c>
      <c r="G1993" s="2420" t="s">
        <v>329</v>
      </c>
      <c r="H1993" s="3369"/>
      <c r="I1993" s="2420" t="s">
        <v>368</v>
      </c>
      <c r="J1993" s="2514">
        <v>958</v>
      </c>
      <c r="K1993" s="1118">
        <v>89772</v>
      </c>
      <c r="L1993" s="2431" t="s">
        <v>644</v>
      </c>
      <c r="M1993" s="3287" t="s">
        <v>293</v>
      </c>
      <c r="N1993" s="3288"/>
      <c r="O1993" s="38">
        <v>7481</v>
      </c>
      <c r="P1993" s="38">
        <v>7481</v>
      </c>
      <c r="Q1993" s="38">
        <v>7481</v>
      </c>
      <c r="R1993" s="38">
        <v>7481</v>
      </c>
      <c r="S1993" s="38">
        <v>7481</v>
      </c>
      <c r="T1993" s="38">
        <v>7481</v>
      </c>
      <c r="U1993" s="38">
        <v>7481</v>
      </c>
      <c r="V1993" s="38">
        <v>7481</v>
      </c>
      <c r="W1993" s="38">
        <v>7481</v>
      </c>
      <c r="X1993" s="38">
        <v>7481</v>
      </c>
      <c r="Y1993" s="38">
        <v>7481</v>
      </c>
      <c r="Z1993" s="38">
        <v>7481</v>
      </c>
      <c r="AA1993" s="966">
        <f t="shared" si="335"/>
        <v>89772</v>
      </c>
      <c r="AB1993" s="1210"/>
      <c r="AC1993" s="1199"/>
      <c r="AD1993" s="1211"/>
    </row>
    <row r="1994" spans="1:30" x14ac:dyDescent="0.2">
      <c r="A1994" s="1422"/>
      <c r="B1994" s="2522"/>
      <c r="C1994" s="2456"/>
      <c r="D1994" s="3369"/>
      <c r="E1994" s="3369"/>
      <c r="F1994" s="3369"/>
      <c r="G1994" s="2420"/>
      <c r="H1994" s="3369"/>
      <c r="I1994" s="2420"/>
      <c r="J1994" s="2515"/>
      <c r="K1994" s="1118">
        <v>572584</v>
      </c>
      <c r="L1994" s="2432"/>
      <c r="M1994" s="3287" t="s">
        <v>295</v>
      </c>
      <c r="N1994" s="3288"/>
      <c r="O1994" s="38">
        <v>47715.333333333336</v>
      </c>
      <c r="P1994" s="38">
        <v>47715.333333333336</v>
      </c>
      <c r="Q1994" s="38">
        <v>47715.333333333336</v>
      </c>
      <c r="R1994" s="38">
        <v>47715.333333333336</v>
      </c>
      <c r="S1994" s="38">
        <v>47715.333333333336</v>
      </c>
      <c r="T1994" s="38">
        <v>47715.333333333336</v>
      </c>
      <c r="U1994" s="38">
        <v>47715.333333333336</v>
      </c>
      <c r="V1994" s="38">
        <v>47715.333333333336</v>
      </c>
      <c r="W1994" s="38">
        <v>47715.333333333336</v>
      </c>
      <c r="X1994" s="38">
        <v>47715.333333333336</v>
      </c>
      <c r="Y1994" s="38">
        <v>47715.333333333336</v>
      </c>
      <c r="Z1994" s="38">
        <v>47715.333333333336</v>
      </c>
      <c r="AA1994" s="966">
        <f t="shared" si="335"/>
        <v>572584</v>
      </c>
      <c r="AB1994" s="1210"/>
      <c r="AC1994" s="1199"/>
      <c r="AD1994" s="1211"/>
    </row>
    <row r="1995" spans="1:30" x14ac:dyDescent="0.2">
      <c r="A1995" s="1422"/>
      <c r="B1995" s="2522"/>
      <c r="C1995" s="2456"/>
      <c r="D1995" s="3369"/>
      <c r="E1995" s="3369"/>
      <c r="F1995" s="3369"/>
      <c r="G1995" s="2420"/>
      <c r="H1995" s="3369"/>
      <c r="I1995" s="2420"/>
      <c r="J1995" s="2515"/>
      <c r="K1995" s="1118">
        <v>22824</v>
      </c>
      <c r="L1995" s="2432"/>
      <c r="M1995" s="3287" t="s">
        <v>332</v>
      </c>
      <c r="N1995" s="3288"/>
      <c r="O1995" s="38">
        <v>1902</v>
      </c>
      <c r="P1995" s="38">
        <v>1902</v>
      </c>
      <c r="Q1995" s="38">
        <v>1902</v>
      </c>
      <c r="R1995" s="38">
        <v>1902</v>
      </c>
      <c r="S1995" s="38">
        <v>1902</v>
      </c>
      <c r="T1995" s="38">
        <v>1902</v>
      </c>
      <c r="U1995" s="38">
        <v>1902</v>
      </c>
      <c r="V1995" s="38">
        <v>1902</v>
      </c>
      <c r="W1995" s="38">
        <v>1902</v>
      </c>
      <c r="X1995" s="38">
        <v>1902</v>
      </c>
      <c r="Y1995" s="38">
        <v>1902</v>
      </c>
      <c r="Z1995" s="38">
        <v>1902</v>
      </c>
      <c r="AA1995" s="966">
        <f t="shared" si="335"/>
        <v>22824</v>
      </c>
      <c r="AB1995" s="1210"/>
      <c r="AC1995" s="1199"/>
      <c r="AD1995" s="1211"/>
    </row>
    <row r="1996" spans="1:30" x14ac:dyDescent="0.2">
      <c r="A1996" s="1422"/>
      <c r="B1996" s="2522"/>
      <c r="C1996" s="2456"/>
      <c r="D1996" s="3369"/>
      <c r="E1996" s="3369"/>
      <c r="F1996" s="3369"/>
      <c r="G1996" s="2420"/>
      <c r="H1996" s="3369"/>
      <c r="I1996" s="2420"/>
      <c r="J1996" s="2515"/>
      <c r="K1996" s="1118">
        <v>128449</v>
      </c>
      <c r="L1996" s="2432"/>
      <c r="M1996" s="3287" t="s">
        <v>296</v>
      </c>
      <c r="N1996" s="3288"/>
      <c r="O1996" s="38">
        <v>10704.083333333334</v>
      </c>
      <c r="P1996" s="38">
        <v>10704.083333333334</v>
      </c>
      <c r="Q1996" s="38">
        <v>10704.083333333334</v>
      </c>
      <c r="R1996" s="38">
        <v>10704.083333333334</v>
      </c>
      <c r="S1996" s="38">
        <v>10704.083333333334</v>
      </c>
      <c r="T1996" s="38">
        <v>10704.083333333334</v>
      </c>
      <c r="U1996" s="38">
        <v>10704.083333333334</v>
      </c>
      <c r="V1996" s="38">
        <v>10704.083333333334</v>
      </c>
      <c r="W1996" s="38">
        <v>10704.083333333334</v>
      </c>
      <c r="X1996" s="38">
        <v>10704.083333333334</v>
      </c>
      <c r="Y1996" s="38">
        <v>10704.083333333334</v>
      </c>
      <c r="Z1996" s="38">
        <v>10704.083333333334</v>
      </c>
      <c r="AA1996" s="966">
        <f t="shared" si="335"/>
        <v>128448.99999999999</v>
      </c>
      <c r="AB1996" s="1210"/>
      <c r="AC1996" s="1199"/>
      <c r="AD1996" s="1211"/>
    </row>
    <row r="1997" spans="1:30" x14ac:dyDescent="0.2">
      <c r="A1997" s="1422"/>
      <c r="B1997" s="2522"/>
      <c r="C1997" s="2456"/>
      <c r="D1997" s="3369"/>
      <c r="E1997" s="3369"/>
      <c r="F1997" s="3369"/>
      <c r="G1997" s="2420"/>
      <c r="H1997" s="3369"/>
      <c r="I1997" s="2420"/>
      <c r="J1997" s="2515"/>
      <c r="K1997" s="1118">
        <v>39225</v>
      </c>
      <c r="L1997" s="2432"/>
      <c r="M1997" s="3287" t="s">
        <v>297</v>
      </c>
      <c r="N1997" s="3288"/>
      <c r="O1997" s="38">
        <v>3268.75</v>
      </c>
      <c r="P1997" s="38">
        <v>3268.75</v>
      </c>
      <c r="Q1997" s="38">
        <v>3268.75</v>
      </c>
      <c r="R1997" s="38">
        <v>3268.75</v>
      </c>
      <c r="S1997" s="38">
        <v>3268.75</v>
      </c>
      <c r="T1997" s="38">
        <v>3268.75</v>
      </c>
      <c r="U1997" s="38">
        <v>3268.75</v>
      </c>
      <c r="V1997" s="38">
        <v>3268.75</v>
      </c>
      <c r="W1997" s="38">
        <v>3268.75</v>
      </c>
      <c r="X1997" s="38">
        <v>3268.75</v>
      </c>
      <c r="Y1997" s="38">
        <v>3268.75</v>
      </c>
      <c r="Z1997" s="38">
        <v>3268.75</v>
      </c>
      <c r="AA1997" s="966">
        <f t="shared" si="335"/>
        <v>39225</v>
      </c>
      <c r="AB1997" s="1210"/>
      <c r="AC1997" s="1199"/>
      <c r="AD1997" s="1211"/>
    </row>
    <row r="1998" spans="1:30" x14ac:dyDescent="0.2">
      <c r="A1998" s="1422"/>
      <c r="B1998" s="2522"/>
      <c r="C1998" s="2456"/>
      <c r="D1998" s="3369"/>
      <c r="E1998" s="3369"/>
      <c r="F1998" s="3369"/>
      <c r="G1998" s="2420"/>
      <c r="H1998" s="3369"/>
      <c r="I1998" s="2420"/>
      <c r="J1998" s="2515"/>
      <c r="K1998" s="1118">
        <v>32870</v>
      </c>
      <c r="L1998" s="2432"/>
      <c r="M1998" s="3287" t="s">
        <v>298</v>
      </c>
      <c r="N1998" s="3288"/>
      <c r="O1998" s="38"/>
      <c r="P1998" s="38"/>
      <c r="Q1998" s="38"/>
      <c r="R1998" s="38"/>
      <c r="S1998" s="38"/>
      <c r="T1998" s="38"/>
      <c r="U1998" s="38">
        <v>16435</v>
      </c>
      <c r="V1998" s="38"/>
      <c r="W1998" s="38"/>
      <c r="X1998" s="38"/>
      <c r="Y1998" s="38"/>
      <c r="Z1998" s="38">
        <v>16435</v>
      </c>
      <c r="AA1998" s="966">
        <f t="shared" si="335"/>
        <v>32870</v>
      </c>
      <c r="AB1998" s="1210"/>
      <c r="AC1998" s="1199"/>
      <c r="AD1998" s="1211"/>
    </row>
    <row r="1999" spans="1:30" x14ac:dyDescent="0.2">
      <c r="A1999" s="1422"/>
      <c r="B1999" s="2522"/>
      <c r="C1999" s="2456"/>
      <c r="D1999" s="3369"/>
      <c r="E1999" s="3369"/>
      <c r="F1999" s="3369"/>
      <c r="G1999" s="2420"/>
      <c r="H1999" s="3369"/>
      <c r="I1999" s="2420"/>
      <c r="J1999" s="2515"/>
      <c r="K1999" s="1118">
        <v>21200</v>
      </c>
      <c r="L1999" s="2432"/>
      <c r="M1999" s="3287" t="s">
        <v>299</v>
      </c>
      <c r="N1999" s="3288"/>
      <c r="O1999" s="38">
        <v>21200</v>
      </c>
      <c r="P1999" s="38"/>
      <c r="Q1999" s="38"/>
      <c r="R1999" s="38"/>
      <c r="S1999" s="38"/>
      <c r="T1999" s="38"/>
      <c r="U1999" s="38"/>
      <c r="V1999" s="38"/>
      <c r="W1999" s="38"/>
      <c r="X1999" s="38"/>
      <c r="Y1999" s="38"/>
      <c r="Z1999" s="38"/>
      <c r="AA1999" s="966">
        <f t="shared" si="335"/>
        <v>21200</v>
      </c>
      <c r="AB1999" s="1210"/>
      <c r="AC1999" s="1199"/>
      <c r="AD1999" s="1211"/>
    </row>
    <row r="2000" spans="1:30" x14ac:dyDescent="0.2">
      <c r="A2000" s="1422"/>
      <c r="B2000" s="2522"/>
      <c r="C2000" s="2456"/>
      <c r="D2000" s="3369"/>
      <c r="E2000" s="3369"/>
      <c r="F2000" s="3369"/>
      <c r="G2000" s="2420"/>
      <c r="H2000" s="3369"/>
      <c r="I2000" s="2420"/>
      <c r="J2000" s="2515"/>
      <c r="K2000" s="1118">
        <v>32640</v>
      </c>
      <c r="L2000" s="2432"/>
      <c r="M2000" s="3287" t="s">
        <v>339</v>
      </c>
      <c r="N2000" s="3288"/>
      <c r="O2000" s="38">
        <v>2720</v>
      </c>
      <c r="P2000" s="38">
        <v>2720</v>
      </c>
      <c r="Q2000" s="38">
        <v>2720</v>
      </c>
      <c r="R2000" s="38">
        <v>2720</v>
      </c>
      <c r="S2000" s="38">
        <v>2720</v>
      </c>
      <c r="T2000" s="38">
        <v>2720</v>
      </c>
      <c r="U2000" s="38">
        <v>2720</v>
      </c>
      <c r="V2000" s="38">
        <v>2720</v>
      </c>
      <c r="W2000" s="38">
        <v>2720</v>
      </c>
      <c r="X2000" s="38">
        <v>2720</v>
      </c>
      <c r="Y2000" s="38">
        <v>2720</v>
      </c>
      <c r="Z2000" s="38">
        <v>2720</v>
      </c>
      <c r="AA2000" s="966">
        <f t="shared" si="335"/>
        <v>32640</v>
      </c>
      <c r="AB2000" s="1210"/>
      <c r="AC2000" s="1199"/>
      <c r="AD2000" s="1211"/>
    </row>
    <row r="2001" spans="1:30" x14ac:dyDescent="0.2">
      <c r="A2001" s="1422"/>
      <c r="B2001" s="2522"/>
      <c r="C2001" s="2456"/>
      <c r="D2001" s="3369"/>
      <c r="E2001" s="3369"/>
      <c r="F2001" s="3369"/>
      <c r="G2001" s="2420"/>
      <c r="H2001" s="3369"/>
      <c r="I2001" s="2420"/>
      <c r="J2001" s="2515"/>
      <c r="K2001" s="1118">
        <v>75206</v>
      </c>
      <c r="L2001" s="2432"/>
      <c r="M2001" s="3287" t="s">
        <v>300</v>
      </c>
      <c r="N2001" s="3288"/>
      <c r="O2001" s="38">
        <v>6267.166666666667</v>
      </c>
      <c r="P2001" s="38">
        <v>6267.166666666667</v>
      </c>
      <c r="Q2001" s="38">
        <v>6267.166666666667</v>
      </c>
      <c r="R2001" s="38">
        <v>6267.166666666667</v>
      </c>
      <c r="S2001" s="38">
        <v>6267.166666666667</v>
      </c>
      <c r="T2001" s="38">
        <v>6267.166666666667</v>
      </c>
      <c r="U2001" s="38">
        <v>6267.166666666667</v>
      </c>
      <c r="V2001" s="38">
        <v>6267.166666666667</v>
      </c>
      <c r="W2001" s="38">
        <v>6267.166666666667</v>
      </c>
      <c r="X2001" s="38">
        <v>6267.166666666667</v>
      </c>
      <c r="Y2001" s="38">
        <v>6267.166666666667</v>
      </c>
      <c r="Z2001" s="38">
        <v>6267.166666666667</v>
      </c>
      <c r="AA2001" s="966">
        <f t="shared" si="335"/>
        <v>75206</v>
      </c>
      <c r="AB2001" s="1210"/>
      <c r="AC2001" s="1199"/>
      <c r="AD2001" s="1211"/>
    </row>
    <row r="2002" spans="1:30" x14ac:dyDescent="0.2">
      <c r="A2002" s="1422"/>
      <c r="B2002" s="2522"/>
      <c r="C2002" s="2456"/>
      <c r="D2002" s="3369"/>
      <c r="E2002" s="3369"/>
      <c r="F2002" s="3369"/>
      <c r="G2002" s="2420"/>
      <c r="H2002" s="3369"/>
      <c r="I2002" s="2420"/>
      <c r="J2002" s="2515"/>
      <c r="K2002" s="1118">
        <v>1254</v>
      </c>
      <c r="L2002" s="2432"/>
      <c r="M2002" s="3287" t="s">
        <v>301</v>
      </c>
      <c r="N2002" s="3288"/>
      <c r="O2002" s="38">
        <v>104.5</v>
      </c>
      <c r="P2002" s="38">
        <v>104.5</v>
      </c>
      <c r="Q2002" s="38">
        <v>104.5</v>
      </c>
      <c r="R2002" s="38">
        <v>104.5</v>
      </c>
      <c r="S2002" s="38">
        <v>104.5</v>
      </c>
      <c r="T2002" s="38">
        <v>104.5</v>
      </c>
      <c r="U2002" s="38">
        <v>104.5</v>
      </c>
      <c r="V2002" s="38">
        <v>104.5</v>
      </c>
      <c r="W2002" s="38">
        <v>104.5</v>
      </c>
      <c r="X2002" s="38">
        <v>104.5</v>
      </c>
      <c r="Y2002" s="38">
        <v>104.5</v>
      </c>
      <c r="Z2002" s="38">
        <v>104.5</v>
      </c>
      <c r="AA2002" s="966">
        <f t="shared" si="335"/>
        <v>1254</v>
      </c>
      <c r="AB2002" s="1210"/>
      <c r="AC2002" s="1199"/>
      <c r="AD2002" s="1211"/>
    </row>
    <row r="2003" spans="1:30" x14ac:dyDescent="0.2">
      <c r="A2003" s="1422"/>
      <c r="B2003" s="2522"/>
      <c r="C2003" s="2456"/>
      <c r="D2003" s="3369"/>
      <c r="E2003" s="3369"/>
      <c r="F2003" s="3369"/>
      <c r="G2003" s="2420"/>
      <c r="H2003" s="3369"/>
      <c r="I2003" s="2420"/>
      <c r="J2003" s="2515"/>
      <c r="K2003" s="1118">
        <v>5000</v>
      </c>
      <c r="L2003" s="2432"/>
      <c r="M2003" s="3287" t="s">
        <v>304</v>
      </c>
      <c r="N2003" s="3288"/>
      <c r="O2003" s="38"/>
      <c r="P2003" s="38"/>
      <c r="Q2003" s="38">
        <v>2500</v>
      </c>
      <c r="R2003" s="38"/>
      <c r="S2003" s="38"/>
      <c r="T2003" s="38"/>
      <c r="U2003" s="38">
        <v>2500</v>
      </c>
      <c r="V2003" s="38"/>
      <c r="W2003" s="38"/>
      <c r="X2003" s="38"/>
      <c r="Y2003" s="38"/>
      <c r="Z2003" s="38"/>
      <c r="AA2003" s="966">
        <f t="shared" si="335"/>
        <v>5000</v>
      </c>
      <c r="AB2003" s="1210"/>
      <c r="AC2003" s="1199"/>
      <c r="AD2003" s="1211"/>
    </row>
    <row r="2004" spans="1:30" x14ac:dyDescent="0.2">
      <c r="A2004" s="1422"/>
      <c r="B2004" s="2522"/>
      <c r="C2004" s="2456"/>
      <c r="D2004" s="3369"/>
      <c r="E2004" s="3369"/>
      <c r="F2004" s="3369"/>
      <c r="G2004" s="2420"/>
      <c r="H2004" s="3369"/>
      <c r="I2004" s="2420"/>
      <c r="J2004" s="2515"/>
      <c r="K2004" s="1118">
        <v>1120</v>
      </c>
      <c r="L2004" s="2432"/>
      <c r="M2004" s="3287" t="s">
        <v>306</v>
      </c>
      <c r="N2004" s="3288"/>
      <c r="O2004" s="38"/>
      <c r="P2004" s="38">
        <v>1120</v>
      </c>
      <c r="Q2004" s="38"/>
      <c r="R2004" s="38"/>
      <c r="S2004" s="38"/>
      <c r="T2004" s="38"/>
      <c r="U2004" s="38"/>
      <c r="V2004" s="38"/>
      <c r="W2004" s="38"/>
      <c r="X2004" s="38"/>
      <c r="Y2004" s="38"/>
      <c r="Z2004" s="38"/>
      <c r="AA2004" s="966">
        <f t="shared" si="335"/>
        <v>1120</v>
      </c>
      <c r="AB2004" s="1210"/>
      <c r="AC2004" s="1199"/>
      <c r="AD2004" s="1211"/>
    </row>
    <row r="2005" spans="1:30" x14ac:dyDescent="0.2">
      <c r="A2005" s="1422"/>
      <c r="B2005" s="2522"/>
      <c r="C2005" s="2456"/>
      <c r="D2005" s="3369"/>
      <c r="E2005" s="3369"/>
      <c r="F2005" s="3369"/>
      <c r="G2005" s="2420"/>
      <c r="H2005" s="3369"/>
      <c r="I2005" s="2420"/>
      <c r="J2005" s="2515"/>
      <c r="K2005" s="1118">
        <v>1180</v>
      </c>
      <c r="L2005" s="2432"/>
      <c r="M2005" s="3287" t="s">
        <v>307</v>
      </c>
      <c r="N2005" s="3288"/>
      <c r="O2005" s="38"/>
      <c r="P2005" s="38">
        <v>107.27272727272727</v>
      </c>
      <c r="Q2005" s="38">
        <v>107.27272727272727</v>
      </c>
      <c r="R2005" s="38">
        <v>107.27272727272727</v>
      </c>
      <c r="S2005" s="38">
        <v>107.27272727272727</v>
      </c>
      <c r="T2005" s="38">
        <v>107.27272727272727</v>
      </c>
      <c r="U2005" s="38">
        <v>107.27272727272727</v>
      </c>
      <c r="V2005" s="38">
        <v>107.27272727272727</v>
      </c>
      <c r="W2005" s="38">
        <v>107.27272727272727</v>
      </c>
      <c r="X2005" s="38">
        <v>107.27272727272727</v>
      </c>
      <c r="Y2005" s="38">
        <v>107.27272727272727</v>
      </c>
      <c r="Z2005" s="38">
        <v>107.27272727272727</v>
      </c>
      <c r="AA2005" s="966">
        <f t="shared" si="335"/>
        <v>1180</v>
      </c>
      <c r="AB2005" s="1210"/>
      <c r="AC2005" s="1199"/>
      <c r="AD2005" s="1211"/>
    </row>
    <row r="2006" spans="1:30" x14ac:dyDescent="0.2">
      <c r="A2006" s="1422"/>
      <c r="B2006" s="2522"/>
      <c r="C2006" s="2456"/>
      <c r="D2006" s="3369"/>
      <c r="E2006" s="3369"/>
      <c r="F2006" s="3369"/>
      <c r="G2006" s="2420"/>
      <c r="H2006" s="3369"/>
      <c r="I2006" s="2420"/>
      <c r="J2006" s="2515"/>
      <c r="K2006" s="1118">
        <v>7000</v>
      </c>
      <c r="L2006" s="2432"/>
      <c r="M2006" s="3287" t="s">
        <v>309</v>
      </c>
      <c r="N2006" s="3288"/>
      <c r="O2006" s="38"/>
      <c r="P2006" s="38"/>
      <c r="Q2006" s="38">
        <v>1400</v>
      </c>
      <c r="R2006" s="38"/>
      <c r="S2006" s="38">
        <v>1400</v>
      </c>
      <c r="T2006" s="38"/>
      <c r="U2006" s="38">
        <v>1400</v>
      </c>
      <c r="V2006" s="38"/>
      <c r="W2006" s="38">
        <v>1400</v>
      </c>
      <c r="X2006" s="38"/>
      <c r="Y2006" s="38">
        <v>1400</v>
      </c>
      <c r="Z2006" s="38"/>
      <c r="AA2006" s="966">
        <f t="shared" si="335"/>
        <v>7000</v>
      </c>
      <c r="AB2006" s="1210"/>
      <c r="AC2006" s="1199"/>
      <c r="AD2006" s="1211"/>
    </row>
    <row r="2007" spans="1:30" x14ac:dyDescent="0.2">
      <c r="A2007" s="1422"/>
      <c r="B2007" s="2522"/>
      <c r="C2007" s="2456"/>
      <c r="D2007" s="3369"/>
      <c r="E2007" s="3369"/>
      <c r="F2007" s="3369"/>
      <c r="G2007" s="2420"/>
      <c r="H2007" s="3369"/>
      <c r="I2007" s="2420"/>
      <c r="J2007" s="2515"/>
      <c r="K2007" s="1118">
        <v>18000</v>
      </c>
      <c r="L2007" s="2432"/>
      <c r="M2007" s="3287" t="s">
        <v>310</v>
      </c>
      <c r="N2007" s="3288"/>
      <c r="O2007" s="38">
        <v>1500</v>
      </c>
      <c r="P2007" s="38">
        <v>1500</v>
      </c>
      <c r="Q2007" s="38">
        <v>1500</v>
      </c>
      <c r="R2007" s="38">
        <v>1500</v>
      </c>
      <c r="S2007" s="38">
        <v>1500</v>
      </c>
      <c r="T2007" s="38">
        <v>1500</v>
      </c>
      <c r="U2007" s="38">
        <v>1500</v>
      </c>
      <c r="V2007" s="38">
        <v>1500</v>
      </c>
      <c r="W2007" s="38">
        <v>1500</v>
      </c>
      <c r="X2007" s="38">
        <v>1500</v>
      </c>
      <c r="Y2007" s="38">
        <v>1500</v>
      </c>
      <c r="Z2007" s="38">
        <v>1500</v>
      </c>
      <c r="AA2007" s="966">
        <f t="shared" si="335"/>
        <v>18000</v>
      </c>
      <c r="AB2007" s="1210"/>
      <c r="AC2007" s="1199"/>
      <c r="AD2007" s="1211"/>
    </row>
    <row r="2008" spans="1:30" x14ac:dyDescent="0.2">
      <c r="A2008" s="1422"/>
      <c r="B2008" s="2522"/>
      <c r="C2008" s="2456"/>
      <c r="D2008" s="3369"/>
      <c r="E2008" s="3369"/>
      <c r="F2008" s="3369"/>
      <c r="G2008" s="2420"/>
      <c r="H2008" s="3369"/>
      <c r="I2008" s="2420"/>
      <c r="J2008" s="2515"/>
      <c r="K2008" s="1118">
        <v>1620</v>
      </c>
      <c r="L2008" s="2432"/>
      <c r="M2008" s="3287" t="s">
        <v>311</v>
      </c>
      <c r="N2008" s="3288"/>
      <c r="O2008" s="38">
        <v>135</v>
      </c>
      <c r="P2008" s="38">
        <v>135</v>
      </c>
      <c r="Q2008" s="38">
        <v>135</v>
      </c>
      <c r="R2008" s="38">
        <v>135</v>
      </c>
      <c r="S2008" s="38">
        <v>135</v>
      </c>
      <c r="T2008" s="38">
        <v>135</v>
      </c>
      <c r="U2008" s="38">
        <v>135</v>
      </c>
      <c r="V2008" s="38">
        <v>135</v>
      </c>
      <c r="W2008" s="38">
        <v>135</v>
      </c>
      <c r="X2008" s="38">
        <v>135</v>
      </c>
      <c r="Y2008" s="38">
        <v>135</v>
      </c>
      <c r="Z2008" s="38">
        <v>135</v>
      </c>
      <c r="AA2008" s="966">
        <f t="shared" si="335"/>
        <v>1620</v>
      </c>
      <c r="AB2008" s="1210"/>
      <c r="AC2008" s="1199"/>
      <c r="AD2008" s="1211"/>
    </row>
    <row r="2009" spans="1:30" x14ac:dyDescent="0.2">
      <c r="A2009" s="1422"/>
      <c r="B2009" s="2522"/>
      <c r="C2009" s="2450"/>
      <c r="D2009" s="3369"/>
      <c r="E2009" s="3369"/>
      <c r="F2009" s="3369"/>
      <c r="G2009" s="2420"/>
      <c r="H2009" s="3369"/>
      <c r="I2009" s="2420"/>
      <c r="J2009" s="2516"/>
      <c r="K2009" s="1118">
        <v>285609</v>
      </c>
      <c r="L2009" s="2432"/>
      <c r="M2009" s="3287" t="s">
        <v>397</v>
      </c>
      <c r="N2009" s="3288"/>
      <c r="O2009" s="38">
        <v>23800.75</v>
      </c>
      <c r="P2009" s="38">
        <v>23800.75</v>
      </c>
      <c r="Q2009" s="38">
        <v>23800.75</v>
      </c>
      <c r="R2009" s="38">
        <v>23800.75</v>
      </c>
      <c r="S2009" s="38">
        <v>23800.75</v>
      </c>
      <c r="T2009" s="38">
        <v>23800.75</v>
      </c>
      <c r="U2009" s="38">
        <v>23800.75</v>
      </c>
      <c r="V2009" s="38">
        <v>23800.75</v>
      </c>
      <c r="W2009" s="38">
        <v>23800.75</v>
      </c>
      <c r="X2009" s="38">
        <v>23800.75</v>
      </c>
      <c r="Y2009" s="38">
        <v>23800.75</v>
      </c>
      <c r="Z2009" s="38">
        <v>23800.75</v>
      </c>
      <c r="AA2009" s="966">
        <f t="shared" si="335"/>
        <v>285609</v>
      </c>
      <c r="AB2009" s="1210"/>
      <c r="AC2009" s="1199"/>
      <c r="AD2009" s="1211"/>
    </row>
    <row r="2010" spans="1:30" x14ac:dyDescent="0.2">
      <c r="A2010" s="1422"/>
      <c r="B2010" s="1427" t="s">
        <v>312</v>
      </c>
      <c r="C2010" s="1128"/>
      <c r="D2010" s="38"/>
      <c r="E2010" s="38"/>
      <c r="F2010" s="38"/>
      <c r="G2010" s="38"/>
      <c r="H2010" s="38"/>
      <c r="I2010" s="38"/>
      <c r="J2010" s="104"/>
      <c r="K2010" s="1068">
        <f>SUM(K1993:K2009)</f>
        <v>1335553</v>
      </c>
      <c r="L2010" s="2437"/>
      <c r="M2010" s="1128"/>
      <c r="N2010" s="1128"/>
      <c r="O2010" s="38"/>
      <c r="P2010" s="38"/>
      <c r="Q2010" s="38"/>
      <c r="R2010" s="38"/>
      <c r="S2010" s="38"/>
      <c r="T2010" s="38"/>
      <c r="U2010" s="38"/>
      <c r="V2010" s="38"/>
      <c r="W2010" s="38"/>
      <c r="X2010" s="38"/>
      <c r="Y2010" s="38"/>
      <c r="Z2010" s="38"/>
      <c r="AA2010" s="38"/>
      <c r="AB2010" s="1210"/>
      <c r="AC2010" s="1199"/>
      <c r="AD2010" s="1211"/>
    </row>
    <row r="2011" spans="1:30" x14ac:dyDescent="0.2">
      <c r="A2011" s="1422"/>
      <c r="B2011" s="1422"/>
      <c r="C2011" s="1124"/>
      <c r="D2011" s="35"/>
      <c r="E2011" s="35"/>
      <c r="F2011" s="35"/>
      <c r="G2011" s="35"/>
      <c r="H2011" s="35"/>
      <c r="I2011" s="35"/>
      <c r="J2011" s="35"/>
      <c r="K2011" s="35"/>
      <c r="L2011" s="35"/>
      <c r="M2011" s="35"/>
      <c r="N2011" s="35"/>
      <c r="O2011" s="35"/>
      <c r="P2011" s="35"/>
      <c r="Q2011" s="35"/>
      <c r="R2011" s="35"/>
      <c r="S2011" s="35"/>
      <c r="T2011" s="35"/>
      <c r="U2011" s="35"/>
      <c r="V2011" s="35"/>
      <c r="W2011" s="35"/>
      <c r="X2011" s="35"/>
      <c r="Y2011" s="35"/>
      <c r="Z2011" s="35"/>
      <c r="AA2011" s="1199"/>
      <c r="AB2011" s="1210"/>
      <c r="AC2011" s="1199"/>
      <c r="AD2011" s="1211"/>
    </row>
    <row r="2012" spans="1:30" x14ac:dyDescent="0.2">
      <c r="A2012" s="1422"/>
      <c r="B2012" s="3376" t="s">
        <v>269</v>
      </c>
      <c r="C2012" s="159"/>
      <c r="D2012" s="3334" t="s">
        <v>270</v>
      </c>
      <c r="E2012" s="3334"/>
      <c r="F2012" s="3334"/>
      <c r="G2012" s="3334"/>
      <c r="H2012" s="3334"/>
      <c r="I2012" s="3334"/>
      <c r="J2012" s="3334"/>
      <c r="K2012" s="3334"/>
      <c r="L2012" s="3334"/>
      <c r="M2012" s="3334"/>
      <c r="N2012" s="1124"/>
      <c r="O2012" s="60"/>
      <c r="P2012" s="60"/>
      <c r="Q2012" s="60"/>
      <c r="R2012" s="60"/>
      <c r="S2012" s="60"/>
      <c r="T2012" s="35"/>
      <c r="U2012" s="35"/>
      <c r="V2012" s="35"/>
      <c r="W2012" s="35"/>
      <c r="X2012" s="35"/>
      <c r="Y2012" s="35"/>
      <c r="Z2012" s="35"/>
      <c r="AA2012" s="1199"/>
      <c r="AB2012" s="1210"/>
      <c r="AC2012" s="1199"/>
      <c r="AD2012" s="1211"/>
    </row>
    <row r="2013" spans="1:30" x14ac:dyDescent="0.2">
      <c r="A2013" s="1422"/>
      <c r="B2013" s="3376"/>
      <c r="C2013" s="159"/>
      <c r="D2013" s="3334" t="s">
        <v>271</v>
      </c>
      <c r="E2013" s="3334"/>
      <c r="F2013" s="3334"/>
      <c r="G2013" s="3334"/>
      <c r="H2013" s="3334"/>
      <c r="I2013" s="3334"/>
      <c r="J2013" s="3334"/>
      <c r="K2013" s="3334"/>
      <c r="L2013" s="3334"/>
      <c r="M2013" s="3334"/>
      <c r="N2013" s="1124"/>
      <c r="O2013" s="60"/>
      <c r="P2013" s="60"/>
      <c r="Q2013" s="60"/>
      <c r="R2013" s="60"/>
      <c r="S2013" s="60"/>
      <c r="T2013" s="35"/>
      <c r="U2013" s="35"/>
      <c r="V2013" s="35"/>
      <c r="W2013" s="35"/>
      <c r="X2013" s="35"/>
      <c r="Y2013" s="35"/>
      <c r="Z2013" s="35"/>
      <c r="AA2013" s="1199"/>
      <c r="AB2013" s="1210"/>
      <c r="AC2013" s="1199"/>
      <c r="AD2013" s="1211"/>
    </row>
    <row r="2014" spans="1:30" ht="28.5" customHeight="1" x14ac:dyDescent="0.2">
      <c r="A2014" s="1422"/>
      <c r="B2014" s="1544" t="s">
        <v>8</v>
      </c>
      <c r="C2014" s="2126"/>
      <c r="D2014" s="3374" t="s">
        <v>639</v>
      </c>
      <c r="E2014" s="3374"/>
      <c r="F2014" s="3374"/>
      <c r="G2014" s="3374"/>
      <c r="H2014" s="3374"/>
      <c r="I2014" s="3374"/>
      <c r="J2014" s="3374"/>
      <c r="K2014" s="3374"/>
      <c r="L2014" s="3374"/>
      <c r="M2014" s="3374"/>
      <c r="N2014" s="2231"/>
      <c r="O2014" s="2232"/>
      <c r="P2014" s="2232"/>
      <c r="Q2014" s="2232"/>
      <c r="R2014" s="2232"/>
      <c r="S2014" s="2232"/>
      <c r="T2014" s="2233"/>
      <c r="U2014" s="2233"/>
      <c r="V2014" s="2233"/>
      <c r="W2014" s="2233"/>
      <c r="X2014" s="2233"/>
      <c r="Y2014" s="2233"/>
      <c r="Z2014" s="2233"/>
      <c r="AA2014" s="2234"/>
      <c r="AB2014" s="1210"/>
      <c r="AC2014" s="1199"/>
      <c r="AD2014" s="1211"/>
    </row>
    <row r="2015" spans="1:30" ht="22.5" x14ac:dyDescent="0.2">
      <c r="A2015" s="1422"/>
      <c r="B2015" s="1967" t="s">
        <v>272</v>
      </c>
      <c r="C2015" s="159"/>
      <c r="D2015" s="38" t="s">
        <v>84</v>
      </c>
      <c r="E2015" s="38"/>
      <c r="F2015" s="38"/>
      <c r="G2015" s="38"/>
      <c r="H2015" s="38"/>
      <c r="I2015" s="38"/>
      <c r="J2015" s="38"/>
      <c r="K2015" s="40"/>
      <c r="L2015" s="40"/>
      <c r="M2015" s="40"/>
      <c r="N2015" s="60"/>
      <c r="O2015" s="60"/>
      <c r="P2015" s="60"/>
      <c r="Q2015" s="60"/>
      <c r="R2015" s="60"/>
      <c r="S2015" s="60"/>
      <c r="T2015" s="35"/>
      <c r="U2015" s="3375" t="s">
        <v>15</v>
      </c>
      <c r="V2015" s="3375"/>
      <c r="W2015" s="3375"/>
      <c r="X2015" s="3375"/>
      <c r="Y2015" s="3375"/>
      <c r="Z2015" s="3375"/>
      <c r="AA2015" s="1215" t="s">
        <v>16</v>
      </c>
      <c r="AB2015" s="1210"/>
      <c r="AC2015" s="1199"/>
      <c r="AD2015" s="1211"/>
    </row>
    <row r="2016" spans="1:30" ht="34.5" customHeight="1" x14ac:dyDescent="0.2">
      <c r="A2016" s="1422"/>
      <c r="B2016" s="1906" t="s">
        <v>13</v>
      </c>
      <c r="C2016" s="1962"/>
      <c r="D2016" s="1962" t="s">
        <v>685</v>
      </c>
      <c r="E2016" s="1962"/>
      <c r="F2016" s="1962"/>
      <c r="G2016" s="38"/>
      <c r="H2016" s="38"/>
      <c r="I2016" s="38"/>
      <c r="J2016" s="38"/>
      <c r="K2016" s="40"/>
      <c r="L2016" s="40"/>
      <c r="M2016" s="40"/>
      <c r="N2016" s="60"/>
      <c r="O2016" s="60"/>
      <c r="P2016" s="60"/>
      <c r="Q2016" s="60"/>
      <c r="R2016" s="60"/>
      <c r="S2016" s="60"/>
      <c r="T2016" s="35"/>
      <c r="U2016" s="3333" t="s">
        <v>3727</v>
      </c>
      <c r="V2016" s="3333"/>
      <c r="W2016" s="3333"/>
      <c r="X2016" s="3333"/>
      <c r="Y2016" s="3333"/>
      <c r="Z2016" s="3333"/>
      <c r="AA2016" s="1228" t="s">
        <v>661</v>
      </c>
      <c r="AB2016" s="1210"/>
      <c r="AC2016" s="1199"/>
      <c r="AD2016" s="1211"/>
    </row>
    <row r="2017" spans="1:30" x14ac:dyDescent="0.2">
      <c r="A2017" s="1422"/>
      <c r="B2017" s="1967" t="s">
        <v>276</v>
      </c>
      <c r="C2017" s="159"/>
      <c r="D2017" s="149">
        <v>3000001</v>
      </c>
      <c r="E2017" s="159" t="s">
        <v>277</v>
      </c>
      <c r="F2017" s="38"/>
      <c r="G2017" s="38"/>
      <c r="H2017" s="38"/>
      <c r="I2017" s="38"/>
      <c r="J2017" s="38"/>
      <c r="K2017" s="40"/>
      <c r="L2017" s="40"/>
      <c r="M2017" s="40"/>
      <c r="N2017" s="60"/>
      <c r="O2017" s="60"/>
      <c r="P2017" s="60"/>
      <c r="Q2017" s="60"/>
      <c r="R2017" s="60"/>
      <c r="S2017" s="60"/>
      <c r="T2017" s="35"/>
      <c r="U2017" s="35"/>
      <c r="V2017" s="35"/>
      <c r="W2017" s="35"/>
      <c r="X2017" s="35"/>
      <c r="Y2017" s="35"/>
      <c r="Z2017" s="35"/>
      <c r="AA2017" s="1199"/>
      <c r="AB2017" s="1210"/>
      <c r="AC2017" s="1199"/>
      <c r="AD2017" s="1211"/>
    </row>
    <row r="2018" spans="1:30" x14ac:dyDescent="0.2">
      <c r="A2018" s="1422"/>
      <c r="B2018" s="2999" t="s">
        <v>278</v>
      </c>
      <c r="C2018" s="3015" t="s">
        <v>21</v>
      </c>
      <c r="D2018" s="2847" t="s">
        <v>22</v>
      </c>
      <c r="E2018" s="2847" t="s">
        <v>23</v>
      </c>
      <c r="F2018" s="2847" t="s">
        <v>24</v>
      </c>
      <c r="G2018" s="2847" t="s">
        <v>25</v>
      </c>
      <c r="H2018" s="2847" t="s">
        <v>26</v>
      </c>
      <c r="I2018" s="2847" t="s">
        <v>27</v>
      </c>
      <c r="J2018" s="3206" t="s">
        <v>28</v>
      </c>
      <c r="K2018" s="3301"/>
      <c r="L2018" s="2988" t="s">
        <v>279</v>
      </c>
      <c r="M2018" s="2847" t="s">
        <v>280</v>
      </c>
      <c r="N2018" s="1017"/>
      <c r="O2018" s="2847" t="s">
        <v>281</v>
      </c>
      <c r="P2018" s="2847"/>
      <c r="Q2018" s="2847"/>
      <c r="R2018" s="2847"/>
      <c r="S2018" s="2847"/>
      <c r="T2018" s="2847"/>
      <c r="U2018" s="2847"/>
      <c r="V2018" s="2847"/>
      <c r="W2018" s="2847"/>
      <c r="X2018" s="2847"/>
      <c r="Y2018" s="2847"/>
      <c r="Z2018" s="2847"/>
      <c r="AA2018" s="3358" t="s">
        <v>32</v>
      </c>
      <c r="AB2018" s="1210"/>
      <c r="AC2018" s="1199"/>
      <c r="AD2018" s="1211"/>
    </row>
    <row r="2019" spans="1:30" x14ac:dyDescent="0.2">
      <c r="A2019" s="1422"/>
      <c r="B2019" s="2999"/>
      <c r="C2019" s="3359"/>
      <c r="D2019" s="2847"/>
      <c r="E2019" s="2847"/>
      <c r="F2019" s="2847"/>
      <c r="G2019" s="2847"/>
      <c r="H2019" s="2847"/>
      <c r="I2019" s="2847"/>
      <c r="J2019" s="1007" t="s">
        <v>33</v>
      </c>
      <c r="K2019" s="2988" t="s">
        <v>282</v>
      </c>
      <c r="L2019" s="3186"/>
      <c r="M2019" s="2847"/>
      <c r="N2019" s="1017"/>
      <c r="O2019" s="1009" t="s">
        <v>283</v>
      </c>
      <c r="P2019" s="1009" t="s">
        <v>284</v>
      </c>
      <c r="Q2019" s="1009" t="s">
        <v>285</v>
      </c>
      <c r="R2019" s="1009" t="s">
        <v>88</v>
      </c>
      <c r="S2019" s="1009" t="s">
        <v>89</v>
      </c>
      <c r="T2019" s="1009" t="s">
        <v>90</v>
      </c>
      <c r="U2019" s="1009" t="s">
        <v>91</v>
      </c>
      <c r="V2019" s="1009" t="s">
        <v>92</v>
      </c>
      <c r="W2019" s="1009" t="s">
        <v>286</v>
      </c>
      <c r="X2019" s="1009" t="s">
        <v>93</v>
      </c>
      <c r="Y2019" s="1009" t="s">
        <v>94</v>
      </c>
      <c r="Z2019" s="1009" t="s">
        <v>95</v>
      </c>
      <c r="AA2019" s="3358"/>
      <c r="AB2019" s="1210"/>
      <c r="AC2019" s="1199"/>
      <c r="AD2019" s="1211"/>
    </row>
    <row r="2020" spans="1:30" ht="12.75" x14ac:dyDescent="0.2">
      <c r="A2020" s="1422"/>
      <c r="B2020" s="2999"/>
      <c r="C2020" s="3359"/>
      <c r="D2020" s="2847"/>
      <c r="E2020" s="2847"/>
      <c r="F2020" s="2847"/>
      <c r="G2020" s="2847"/>
      <c r="H2020" s="2847"/>
      <c r="I2020" s="2847"/>
      <c r="J2020" s="106"/>
      <c r="K2020" s="3186"/>
      <c r="L2020" s="3186"/>
      <c r="M2020" s="1009" t="s">
        <v>287</v>
      </c>
      <c r="N2020" s="1009"/>
      <c r="O2020" s="40"/>
      <c r="P2020" s="40">
        <v>8</v>
      </c>
      <c r="Q2020" s="40">
        <v>8</v>
      </c>
      <c r="R2020" s="40">
        <v>8</v>
      </c>
      <c r="S2020" s="40">
        <v>9</v>
      </c>
      <c r="T2020" s="40">
        <v>9</v>
      </c>
      <c r="U2020" s="40">
        <v>8</v>
      </c>
      <c r="V2020" s="40">
        <v>8</v>
      </c>
      <c r="W2020" s="40">
        <v>8</v>
      </c>
      <c r="X2020" s="40">
        <v>8</v>
      </c>
      <c r="Y2020" s="40">
        <v>8</v>
      </c>
      <c r="Z2020" s="40">
        <v>8</v>
      </c>
      <c r="AA2020" s="1205">
        <f t="shared" ref="AA2020:AA2041" si="336">SUM(O2020:Z2020)</f>
        <v>90</v>
      </c>
      <c r="AB2020" s="1210"/>
      <c r="AC2020" s="1199"/>
      <c r="AD2020" s="1211"/>
    </row>
    <row r="2021" spans="1:30" ht="12.75" x14ac:dyDescent="0.2">
      <c r="A2021" s="1422"/>
      <c r="B2021" s="2999"/>
      <c r="C2021" s="3016"/>
      <c r="D2021" s="2847"/>
      <c r="E2021" s="2847"/>
      <c r="F2021" s="2847"/>
      <c r="G2021" s="2847"/>
      <c r="H2021" s="2847"/>
      <c r="I2021" s="2847"/>
      <c r="J2021" s="1008"/>
      <c r="K2021" s="2989"/>
      <c r="L2021" s="2989"/>
      <c r="M2021" s="1009" t="s">
        <v>34</v>
      </c>
      <c r="N2021" s="1009"/>
      <c r="O2021" s="40">
        <f>SUM(O2022:O2040)</f>
        <v>46469.333333333336</v>
      </c>
      <c r="P2021" s="40">
        <f t="shared" ref="P2021:Z2021" si="337">SUM(P2022:P2040)</f>
        <v>45578.446969696975</v>
      </c>
      <c r="Q2021" s="40">
        <f t="shared" si="337"/>
        <v>58275.696969696975</v>
      </c>
      <c r="R2021" s="40">
        <f t="shared" si="337"/>
        <v>45041.696969696975</v>
      </c>
      <c r="S2021" s="40">
        <f t="shared" si="337"/>
        <v>60068.446969696975</v>
      </c>
      <c r="T2021" s="40">
        <f t="shared" si="337"/>
        <v>45041.696969696975</v>
      </c>
      <c r="U2021" s="40">
        <f t="shared" si="337"/>
        <v>59654.696969696975</v>
      </c>
      <c r="V2021" s="40">
        <f t="shared" si="337"/>
        <v>49682.446969696975</v>
      </c>
      <c r="W2021" s="40">
        <f t="shared" si="337"/>
        <v>51301.696969696975</v>
      </c>
      <c r="X2021" s="40">
        <f t="shared" si="337"/>
        <v>45041.696969696975</v>
      </c>
      <c r="Y2021" s="40">
        <f t="shared" si="337"/>
        <v>52568.446969696975</v>
      </c>
      <c r="Z2021" s="40">
        <f t="shared" si="337"/>
        <v>50894.696969696975</v>
      </c>
      <c r="AA2021" s="1205">
        <f t="shared" si="336"/>
        <v>609619</v>
      </c>
      <c r="AB2021" s="1210"/>
      <c r="AC2021" s="1199"/>
      <c r="AD2021" s="1211"/>
    </row>
    <row r="2022" spans="1:30" x14ac:dyDescent="0.2">
      <c r="A2022" s="1422"/>
      <c r="B2022" s="2522">
        <v>5004452</v>
      </c>
      <c r="C2022" s="2438" t="s">
        <v>686</v>
      </c>
      <c r="D2022" s="3369">
        <v>69</v>
      </c>
      <c r="E2022" s="3369" t="s">
        <v>288</v>
      </c>
      <c r="F2022" s="2420" t="s">
        <v>289</v>
      </c>
      <c r="G2022" s="2420" t="s">
        <v>290</v>
      </c>
      <c r="H2022" s="2420" t="s">
        <v>318</v>
      </c>
      <c r="I2022" s="2420" t="s">
        <v>292</v>
      </c>
      <c r="J2022" s="3187">
        <v>90</v>
      </c>
      <c r="K2022" s="40">
        <v>19245</v>
      </c>
      <c r="L2022" s="2431" t="s">
        <v>687</v>
      </c>
      <c r="M2022" s="111" t="s">
        <v>319</v>
      </c>
      <c r="N2022" s="111"/>
      <c r="O2022" s="40">
        <v>1603.75</v>
      </c>
      <c r="P2022" s="40">
        <v>1603.75</v>
      </c>
      <c r="Q2022" s="40">
        <v>1603.75</v>
      </c>
      <c r="R2022" s="40">
        <v>1603.75</v>
      </c>
      <c r="S2022" s="40">
        <v>1603.75</v>
      </c>
      <c r="T2022" s="40">
        <v>1603.75</v>
      </c>
      <c r="U2022" s="40">
        <v>1603.75</v>
      </c>
      <c r="V2022" s="40">
        <v>1603.75</v>
      </c>
      <c r="W2022" s="40">
        <v>1603.75</v>
      </c>
      <c r="X2022" s="40">
        <v>1603.75</v>
      </c>
      <c r="Y2022" s="40">
        <v>1603.75</v>
      </c>
      <c r="Z2022" s="40">
        <v>1603.75</v>
      </c>
      <c r="AA2022" s="966">
        <f t="shared" si="336"/>
        <v>19245</v>
      </c>
      <c r="AB2022" s="1210"/>
      <c r="AC2022" s="1199"/>
      <c r="AD2022" s="1211"/>
    </row>
    <row r="2023" spans="1:30" x14ac:dyDescent="0.2">
      <c r="A2023" s="1422"/>
      <c r="B2023" s="2522"/>
      <c r="C2023" s="2456"/>
      <c r="D2023" s="3369"/>
      <c r="E2023" s="3369"/>
      <c r="F2023" s="2420"/>
      <c r="G2023" s="2420"/>
      <c r="H2023" s="2420"/>
      <c r="I2023" s="2420"/>
      <c r="J2023" s="2955"/>
      <c r="K2023" s="40">
        <v>85500</v>
      </c>
      <c r="L2023" s="2432"/>
      <c r="M2023" s="111" t="s">
        <v>320</v>
      </c>
      <c r="N2023" s="111"/>
      <c r="O2023" s="40">
        <v>7125</v>
      </c>
      <c r="P2023" s="40">
        <v>7125</v>
      </c>
      <c r="Q2023" s="40">
        <v>7125</v>
      </c>
      <c r="R2023" s="40">
        <v>7125</v>
      </c>
      <c r="S2023" s="40">
        <v>7125</v>
      </c>
      <c r="T2023" s="40">
        <v>7125</v>
      </c>
      <c r="U2023" s="40">
        <v>7125</v>
      </c>
      <c r="V2023" s="40">
        <v>7125</v>
      </c>
      <c r="W2023" s="40">
        <v>7125</v>
      </c>
      <c r="X2023" s="40">
        <v>7125</v>
      </c>
      <c r="Y2023" s="40">
        <v>7125</v>
      </c>
      <c r="Z2023" s="40">
        <v>7125</v>
      </c>
      <c r="AA2023" s="966">
        <f t="shared" si="336"/>
        <v>85500</v>
      </c>
      <c r="AB2023" s="1210"/>
      <c r="AC2023" s="1199"/>
      <c r="AD2023" s="1211"/>
    </row>
    <row r="2024" spans="1:30" x14ac:dyDescent="0.2">
      <c r="A2024" s="1422"/>
      <c r="B2024" s="2522"/>
      <c r="C2024" s="2456"/>
      <c r="D2024" s="3369"/>
      <c r="E2024" s="3369"/>
      <c r="F2024" s="2420"/>
      <c r="G2024" s="2420"/>
      <c r="H2024" s="2420"/>
      <c r="I2024" s="2420"/>
      <c r="J2024" s="2955"/>
      <c r="K2024" s="40">
        <v>281652</v>
      </c>
      <c r="L2024" s="2432"/>
      <c r="M2024" s="111" t="s">
        <v>293</v>
      </c>
      <c r="N2024" s="111"/>
      <c r="O2024" s="40">
        <v>23471</v>
      </c>
      <c r="P2024" s="40">
        <v>23471</v>
      </c>
      <c r="Q2024" s="40">
        <v>23471</v>
      </c>
      <c r="R2024" s="40">
        <v>23471</v>
      </c>
      <c r="S2024" s="40">
        <v>23471</v>
      </c>
      <c r="T2024" s="40">
        <v>23471</v>
      </c>
      <c r="U2024" s="40">
        <v>23471</v>
      </c>
      <c r="V2024" s="40">
        <v>23471</v>
      </c>
      <c r="W2024" s="40">
        <v>23471</v>
      </c>
      <c r="X2024" s="40">
        <v>23471</v>
      </c>
      <c r="Y2024" s="40">
        <v>23471</v>
      </c>
      <c r="Z2024" s="40">
        <v>23471</v>
      </c>
      <c r="AA2024" s="966">
        <f t="shared" si="336"/>
        <v>281652</v>
      </c>
      <c r="AB2024" s="1210"/>
      <c r="AC2024" s="1199"/>
      <c r="AD2024" s="1211"/>
    </row>
    <row r="2025" spans="1:30" x14ac:dyDescent="0.2">
      <c r="A2025" s="1422"/>
      <c r="B2025" s="2522"/>
      <c r="C2025" s="2456"/>
      <c r="D2025" s="3369"/>
      <c r="E2025" s="3369"/>
      <c r="F2025" s="2420"/>
      <c r="G2025" s="2420"/>
      <c r="H2025" s="2420"/>
      <c r="I2025" s="2420"/>
      <c r="J2025" s="2955"/>
      <c r="K2025" s="40">
        <v>39879</v>
      </c>
      <c r="L2025" s="2432"/>
      <c r="M2025" s="111" t="s">
        <v>296</v>
      </c>
      <c r="N2025" s="111"/>
      <c r="O2025" s="40">
        <v>3323.25</v>
      </c>
      <c r="P2025" s="40">
        <v>3323.25</v>
      </c>
      <c r="Q2025" s="40">
        <v>3323.25</v>
      </c>
      <c r="R2025" s="40">
        <v>3323.25</v>
      </c>
      <c r="S2025" s="40">
        <v>3323.25</v>
      </c>
      <c r="T2025" s="40">
        <v>3323.25</v>
      </c>
      <c r="U2025" s="40">
        <v>3323.25</v>
      </c>
      <c r="V2025" s="40">
        <v>3323.25</v>
      </c>
      <c r="W2025" s="40">
        <v>3323.25</v>
      </c>
      <c r="X2025" s="40">
        <v>3323.25</v>
      </c>
      <c r="Y2025" s="40">
        <v>3323.25</v>
      </c>
      <c r="Z2025" s="40">
        <v>3323.25</v>
      </c>
      <c r="AA2025" s="966">
        <f t="shared" si="336"/>
        <v>39879</v>
      </c>
      <c r="AB2025" s="1210"/>
      <c r="AC2025" s="1199"/>
      <c r="AD2025" s="1211"/>
    </row>
    <row r="2026" spans="1:30" x14ac:dyDescent="0.2">
      <c r="A2026" s="1422"/>
      <c r="B2026" s="2522"/>
      <c r="C2026" s="2456"/>
      <c r="D2026" s="3369"/>
      <c r="E2026" s="3369"/>
      <c r="F2026" s="2420"/>
      <c r="G2026" s="2420"/>
      <c r="H2026" s="2420"/>
      <c r="I2026" s="2420"/>
      <c r="J2026" s="2955"/>
      <c r="K2026" s="40">
        <v>5160</v>
      </c>
      <c r="L2026" s="2432"/>
      <c r="M2026" s="111" t="s">
        <v>297</v>
      </c>
      <c r="N2026" s="111"/>
      <c r="O2026" s="40">
        <v>430</v>
      </c>
      <c r="P2026" s="40">
        <v>430</v>
      </c>
      <c r="Q2026" s="40">
        <v>430</v>
      </c>
      <c r="R2026" s="40">
        <v>430</v>
      </c>
      <c r="S2026" s="40">
        <v>430</v>
      </c>
      <c r="T2026" s="40">
        <v>430</v>
      </c>
      <c r="U2026" s="40">
        <v>430</v>
      </c>
      <c r="V2026" s="40">
        <v>430</v>
      </c>
      <c r="W2026" s="40">
        <v>430</v>
      </c>
      <c r="X2026" s="40">
        <v>430</v>
      </c>
      <c r="Y2026" s="40">
        <v>430</v>
      </c>
      <c r="Z2026" s="40">
        <v>430</v>
      </c>
      <c r="AA2026" s="966">
        <f t="shared" si="336"/>
        <v>5160</v>
      </c>
      <c r="AB2026" s="1210"/>
      <c r="AC2026" s="1199"/>
      <c r="AD2026" s="1211"/>
    </row>
    <row r="2027" spans="1:30" x14ac:dyDescent="0.2">
      <c r="A2027" s="1422"/>
      <c r="B2027" s="2522"/>
      <c r="C2027" s="2456"/>
      <c r="D2027" s="3369"/>
      <c r="E2027" s="3369"/>
      <c r="F2027" s="2420"/>
      <c r="G2027" s="2420"/>
      <c r="H2027" s="2420"/>
      <c r="I2027" s="2420"/>
      <c r="J2027" s="2955"/>
      <c r="K2027" s="40">
        <v>11706</v>
      </c>
      <c r="L2027" s="2432"/>
      <c r="M2027" s="111" t="s">
        <v>298</v>
      </c>
      <c r="N2027" s="111"/>
      <c r="O2027" s="40"/>
      <c r="P2027" s="40"/>
      <c r="Q2027" s="40"/>
      <c r="R2027" s="40"/>
      <c r="S2027" s="40"/>
      <c r="T2027" s="40"/>
      <c r="U2027" s="40">
        <v>5853</v>
      </c>
      <c r="V2027" s="40"/>
      <c r="W2027" s="40"/>
      <c r="X2027" s="40"/>
      <c r="Y2027" s="40"/>
      <c r="Z2027" s="40">
        <v>5853</v>
      </c>
      <c r="AA2027" s="966">
        <f t="shared" si="336"/>
        <v>11706</v>
      </c>
      <c r="AB2027" s="1210"/>
      <c r="AC2027" s="1199"/>
      <c r="AD2027" s="1211"/>
    </row>
    <row r="2028" spans="1:30" x14ac:dyDescent="0.2">
      <c r="A2028" s="1422"/>
      <c r="B2028" s="2522"/>
      <c r="C2028" s="2456"/>
      <c r="D2028" s="3369"/>
      <c r="E2028" s="3369"/>
      <c r="F2028" s="2420"/>
      <c r="G2028" s="2420"/>
      <c r="H2028" s="2420"/>
      <c r="I2028" s="2420"/>
      <c r="J2028" s="2955"/>
      <c r="K2028" s="40">
        <v>4400</v>
      </c>
      <c r="L2028" s="2432"/>
      <c r="M2028" s="111" t="s">
        <v>299</v>
      </c>
      <c r="N2028" s="111"/>
      <c r="O2028" s="40">
        <v>4400</v>
      </c>
      <c r="P2028" s="40"/>
      <c r="Q2028" s="40"/>
      <c r="R2028" s="40"/>
      <c r="S2028" s="40"/>
      <c r="T2028" s="40"/>
      <c r="U2028" s="40"/>
      <c r="V2028" s="40"/>
      <c r="W2028" s="40"/>
      <c r="X2028" s="40"/>
      <c r="Y2028" s="40"/>
      <c r="Z2028" s="40"/>
      <c r="AA2028" s="966">
        <f t="shared" si="336"/>
        <v>4400</v>
      </c>
      <c r="AB2028" s="1210"/>
      <c r="AC2028" s="1199"/>
      <c r="AD2028" s="1211"/>
    </row>
    <row r="2029" spans="1:30" x14ac:dyDescent="0.2">
      <c r="A2029" s="1422"/>
      <c r="B2029" s="2522"/>
      <c r="C2029" s="2456"/>
      <c r="D2029" s="3369"/>
      <c r="E2029" s="3369"/>
      <c r="F2029" s="2420"/>
      <c r="G2029" s="2420"/>
      <c r="H2029" s="2420"/>
      <c r="I2029" s="2420"/>
      <c r="J2029" s="2955"/>
      <c r="K2029" s="40">
        <v>45480</v>
      </c>
      <c r="L2029" s="2432"/>
      <c r="M2029" s="111" t="s">
        <v>339</v>
      </c>
      <c r="N2029" s="111"/>
      <c r="O2029" s="40">
        <v>3790</v>
      </c>
      <c r="P2029" s="40">
        <v>3790</v>
      </c>
      <c r="Q2029" s="40">
        <v>3790</v>
      </c>
      <c r="R2029" s="40">
        <v>3790</v>
      </c>
      <c r="S2029" s="40">
        <v>3790</v>
      </c>
      <c r="T2029" s="40">
        <v>3790</v>
      </c>
      <c r="U2029" s="40">
        <v>3790</v>
      </c>
      <c r="V2029" s="40">
        <v>3790</v>
      </c>
      <c r="W2029" s="40">
        <v>3790</v>
      </c>
      <c r="X2029" s="40">
        <v>3790</v>
      </c>
      <c r="Y2029" s="40">
        <v>3790</v>
      </c>
      <c r="Z2029" s="40">
        <v>3790</v>
      </c>
      <c r="AA2029" s="966">
        <f t="shared" si="336"/>
        <v>45480</v>
      </c>
      <c r="AB2029" s="1210"/>
      <c r="AC2029" s="1199"/>
      <c r="AD2029" s="1211"/>
    </row>
    <row r="2030" spans="1:30" x14ac:dyDescent="0.2">
      <c r="A2030" s="1422"/>
      <c r="B2030" s="2522"/>
      <c r="C2030" s="2456"/>
      <c r="D2030" s="3369"/>
      <c r="E2030" s="3369"/>
      <c r="F2030" s="2420"/>
      <c r="G2030" s="2420"/>
      <c r="H2030" s="2420"/>
      <c r="I2030" s="2420"/>
      <c r="J2030" s="2955"/>
      <c r="K2030" s="40">
        <v>21084</v>
      </c>
      <c r="L2030" s="2432"/>
      <c r="M2030" s="111" t="s">
        <v>300</v>
      </c>
      <c r="N2030" s="111"/>
      <c r="O2030" s="40">
        <v>1757</v>
      </c>
      <c r="P2030" s="40">
        <v>1757</v>
      </c>
      <c r="Q2030" s="40">
        <v>1757</v>
      </c>
      <c r="R2030" s="40">
        <v>1757</v>
      </c>
      <c r="S2030" s="40">
        <v>1757</v>
      </c>
      <c r="T2030" s="40">
        <v>1757</v>
      </c>
      <c r="U2030" s="40">
        <v>1757</v>
      </c>
      <c r="V2030" s="40">
        <v>1757</v>
      </c>
      <c r="W2030" s="40">
        <v>1757</v>
      </c>
      <c r="X2030" s="40">
        <v>1757</v>
      </c>
      <c r="Y2030" s="40">
        <v>1757</v>
      </c>
      <c r="Z2030" s="40">
        <v>1757</v>
      </c>
      <c r="AA2030" s="966">
        <f t="shared" si="336"/>
        <v>21084</v>
      </c>
      <c r="AB2030" s="1210"/>
      <c r="AC2030" s="1199"/>
      <c r="AD2030" s="1211"/>
    </row>
    <row r="2031" spans="1:30" x14ac:dyDescent="0.2">
      <c r="A2031" s="1422"/>
      <c r="B2031" s="2522"/>
      <c r="C2031" s="2456"/>
      <c r="D2031" s="3369"/>
      <c r="E2031" s="3369"/>
      <c r="F2031" s="2420"/>
      <c r="G2031" s="2420"/>
      <c r="H2031" s="2420"/>
      <c r="I2031" s="2420"/>
      <c r="J2031" s="2955"/>
      <c r="K2031" s="40">
        <v>832</v>
      </c>
      <c r="L2031" s="2432"/>
      <c r="M2031" s="111" t="s">
        <v>301</v>
      </c>
      <c r="N2031" s="111"/>
      <c r="O2031" s="40">
        <v>69.333333333333329</v>
      </c>
      <c r="P2031" s="40">
        <v>69.333333333333329</v>
      </c>
      <c r="Q2031" s="40">
        <v>69.333333333333329</v>
      </c>
      <c r="R2031" s="40">
        <v>69.333333333333329</v>
      </c>
      <c r="S2031" s="40">
        <v>69.333333333333329</v>
      </c>
      <c r="T2031" s="40">
        <v>69.333333333333329</v>
      </c>
      <c r="U2031" s="40">
        <v>69.333333333333329</v>
      </c>
      <c r="V2031" s="40">
        <v>69.333333333333329</v>
      </c>
      <c r="W2031" s="40">
        <v>69.333333333333329</v>
      </c>
      <c r="X2031" s="40">
        <v>69.333333333333329</v>
      </c>
      <c r="Y2031" s="40">
        <v>69.333333333333329</v>
      </c>
      <c r="Z2031" s="40">
        <v>69.333333333333329</v>
      </c>
      <c r="AA2031" s="966">
        <f t="shared" si="336"/>
        <v>832.00000000000011</v>
      </c>
      <c r="AB2031" s="1210"/>
      <c r="AC2031" s="1199"/>
      <c r="AD2031" s="1211"/>
    </row>
    <row r="2032" spans="1:30" x14ac:dyDescent="0.2">
      <c r="A2032" s="1422"/>
      <c r="B2032" s="2522"/>
      <c r="C2032" s="2456"/>
      <c r="D2032" s="3369"/>
      <c r="E2032" s="3369"/>
      <c r="F2032" s="2420"/>
      <c r="G2032" s="2420"/>
      <c r="H2032" s="2420"/>
      <c r="I2032" s="2420"/>
      <c r="J2032" s="2955"/>
      <c r="K2032" s="40">
        <v>500</v>
      </c>
      <c r="L2032" s="2432"/>
      <c r="M2032" s="111" t="s">
        <v>380</v>
      </c>
      <c r="N2032" s="111"/>
      <c r="O2032" s="40">
        <v>500</v>
      </c>
      <c r="P2032" s="40"/>
      <c r="Q2032" s="40"/>
      <c r="R2032" s="40"/>
      <c r="S2032" s="40"/>
      <c r="T2032" s="40"/>
      <c r="U2032" s="40"/>
      <c r="V2032" s="40"/>
      <c r="W2032" s="40"/>
      <c r="X2032" s="40"/>
      <c r="Y2032" s="40"/>
      <c r="Z2032" s="40"/>
      <c r="AA2032" s="966">
        <f t="shared" si="336"/>
        <v>500</v>
      </c>
      <c r="AB2032" s="1210"/>
      <c r="AC2032" s="1199"/>
      <c r="AD2032" s="1211"/>
    </row>
    <row r="2033" spans="1:30" x14ac:dyDescent="0.2">
      <c r="A2033" s="1422"/>
      <c r="B2033" s="2522"/>
      <c r="C2033" s="2456"/>
      <c r="D2033" s="3369"/>
      <c r="E2033" s="3369"/>
      <c r="F2033" s="2420"/>
      <c r="G2033" s="2420"/>
      <c r="H2033" s="2420"/>
      <c r="I2033" s="2420"/>
      <c r="J2033" s="2955"/>
      <c r="K2033" s="40">
        <v>7500</v>
      </c>
      <c r="L2033" s="2432"/>
      <c r="M2033" s="111" t="s">
        <v>302</v>
      </c>
      <c r="N2033" s="111"/>
      <c r="O2033" s="40"/>
      <c r="P2033" s="40"/>
      <c r="Q2033" s="40"/>
      <c r="R2033" s="40"/>
      <c r="S2033" s="40">
        <v>7500</v>
      </c>
      <c r="T2033" s="40"/>
      <c r="U2033" s="40"/>
      <c r="V2033" s="40"/>
      <c r="W2033" s="40"/>
      <c r="X2033" s="40"/>
      <c r="Y2033" s="40"/>
      <c r="Z2033" s="40"/>
      <c r="AA2033" s="966">
        <f t="shared" si="336"/>
        <v>7500</v>
      </c>
      <c r="AB2033" s="1210"/>
      <c r="AC2033" s="1199"/>
      <c r="AD2033" s="1211"/>
    </row>
    <row r="2034" spans="1:30" x14ac:dyDescent="0.2">
      <c r="A2034" s="1422"/>
      <c r="B2034" s="2522"/>
      <c r="C2034" s="2456"/>
      <c r="D2034" s="3369"/>
      <c r="E2034" s="3369"/>
      <c r="F2034" s="2420"/>
      <c r="G2034" s="2420"/>
      <c r="H2034" s="2420"/>
      <c r="I2034" s="2420"/>
      <c r="J2034" s="2955"/>
      <c r="K2034" s="40">
        <v>6748</v>
      </c>
      <c r="L2034" s="2432"/>
      <c r="M2034" s="111" t="s">
        <v>303</v>
      </c>
      <c r="N2034" s="111"/>
      <c r="O2034" s="40"/>
      <c r="P2034" s="40"/>
      <c r="Q2034" s="40">
        <v>3374</v>
      </c>
      <c r="R2034" s="40"/>
      <c r="S2034" s="40"/>
      <c r="T2034" s="40"/>
      <c r="U2034" s="40"/>
      <c r="V2034" s="40">
        <v>3374</v>
      </c>
      <c r="W2034" s="40"/>
      <c r="X2034" s="40"/>
      <c r="Y2034" s="40"/>
      <c r="Z2034" s="40"/>
      <c r="AA2034" s="966">
        <f t="shared" si="336"/>
        <v>6748</v>
      </c>
      <c r="AB2034" s="1210"/>
      <c r="AC2034" s="1199"/>
      <c r="AD2034" s="1211"/>
    </row>
    <row r="2035" spans="1:30" x14ac:dyDescent="0.2">
      <c r="A2035" s="1422"/>
      <c r="B2035" s="2522"/>
      <c r="C2035" s="2456"/>
      <c r="D2035" s="3369"/>
      <c r="E2035" s="3369"/>
      <c r="F2035" s="2420"/>
      <c r="G2035" s="2420"/>
      <c r="H2035" s="2420"/>
      <c r="I2035" s="2420"/>
      <c r="J2035" s="2955"/>
      <c r="K2035" s="40">
        <v>5000</v>
      </c>
      <c r="L2035" s="2432"/>
      <c r="M2035" s="111" t="s">
        <v>304</v>
      </c>
      <c r="N2035" s="111"/>
      <c r="O2035" s="40"/>
      <c r="P2035" s="40"/>
      <c r="Q2035" s="40">
        <v>2500</v>
      </c>
      <c r="R2035" s="40"/>
      <c r="S2035" s="40"/>
      <c r="T2035" s="40"/>
      <c r="U2035" s="40">
        <v>2500</v>
      </c>
      <c r="V2035" s="40"/>
      <c r="W2035" s="40"/>
      <c r="X2035" s="40"/>
      <c r="Y2035" s="40"/>
      <c r="Z2035" s="40"/>
      <c r="AA2035" s="966">
        <f t="shared" si="336"/>
        <v>5000</v>
      </c>
      <c r="AB2035" s="1210"/>
      <c r="AC2035" s="1199"/>
      <c r="AD2035" s="1211"/>
    </row>
    <row r="2036" spans="1:30" x14ac:dyDescent="0.2">
      <c r="A2036" s="1422"/>
      <c r="B2036" s="2522"/>
      <c r="C2036" s="2456"/>
      <c r="D2036" s="3369"/>
      <c r="E2036" s="3369"/>
      <c r="F2036" s="2420"/>
      <c r="G2036" s="2420"/>
      <c r="H2036" s="2420"/>
      <c r="I2036" s="2420"/>
      <c r="J2036" s="2955"/>
      <c r="K2036" s="40">
        <v>5067</v>
      </c>
      <c r="L2036" s="2432"/>
      <c r="M2036" s="111" t="s">
        <v>305</v>
      </c>
      <c r="N2036" s="111"/>
      <c r="O2036" s="40"/>
      <c r="P2036" s="40">
        <v>1266.75</v>
      </c>
      <c r="Q2036" s="40"/>
      <c r="R2036" s="40"/>
      <c r="S2036" s="40">
        <v>1266.75</v>
      </c>
      <c r="T2036" s="40"/>
      <c r="U2036" s="40"/>
      <c r="V2036" s="40">
        <v>1266.75</v>
      </c>
      <c r="W2036" s="40"/>
      <c r="X2036" s="40"/>
      <c r="Y2036" s="40">
        <v>1266.75</v>
      </c>
      <c r="Z2036" s="40"/>
      <c r="AA2036" s="966">
        <f t="shared" si="336"/>
        <v>5067</v>
      </c>
      <c r="AB2036" s="1210"/>
      <c r="AC2036" s="1199"/>
      <c r="AD2036" s="1211"/>
    </row>
    <row r="2037" spans="1:30" x14ac:dyDescent="0.2">
      <c r="A2037" s="1422"/>
      <c r="B2037" s="2522"/>
      <c r="C2037" s="2456"/>
      <c r="D2037" s="3369"/>
      <c r="E2037" s="3369"/>
      <c r="F2037" s="2420"/>
      <c r="G2037" s="2420"/>
      <c r="H2037" s="2420"/>
      <c r="I2037" s="2420"/>
      <c r="J2037" s="2955"/>
      <c r="K2037" s="40">
        <v>30166</v>
      </c>
      <c r="L2037" s="2432"/>
      <c r="M2037" s="111" t="s">
        <v>306</v>
      </c>
      <c r="N2037" s="111"/>
      <c r="O2037" s="40"/>
      <c r="P2037" s="40">
        <v>2742.3636363636365</v>
      </c>
      <c r="Q2037" s="40">
        <v>2742.3636363636365</v>
      </c>
      <c r="R2037" s="40">
        <v>2742.3636363636365</v>
      </c>
      <c r="S2037" s="40">
        <v>2742.3636363636365</v>
      </c>
      <c r="T2037" s="40">
        <v>2742.3636363636365</v>
      </c>
      <c r="U2037" s="40">
        <v>2742.3636363636365</v>
      </c>
      <c r="V2037" s="40">
        <v>2742.3636363636365</v>
      </c>
      <c r="W2037" s="40">
        <v>2742.3636363636365</v>
      </c>
      <c r="X2037" s="40">
        <v>2742.3636363636365</v>
      </c>
      <c r="Y2037" s="40">
        <v>2742.3636363636365</v>
      </c>
      <c r="Z2037" s="40">
        <v>2742.3636363636365</v>
      </c>
      <c r="AA2037" s="966">
        <f t="shared" si="336"/>
        <v>30166</v>
      </c>
      <c r="AB2037" s="1210"/>
      <c r="AC2037" s="1199"/>
      <c r="AD2037" s="1211"/>
    </row>
    <row r="2038" spans="1:30" x14ac:dyDescent="0.2">
      <c r="A2038" s="1422"/>
      <c r="B2038" s="2522"/>
      <c r="C2038" s="2456"/>
      <c r="D2038" s="3369"/>
      <c r="E2038" s="3369"/>
      <c r="F2038" s="2420"/>
      <c r="G2038" s="2420"/>
      <c r="H2038" s="2420"/>
      <c r="I2038" s="2420"/>
      <c r="J2038" s="2955"/>
      <c r="K2038" s="40">
        <v>7300</v>
      </c>
      <c r="L2038" s="2432"/>
      <c r="M2038" s="111" t="s">
        <v>307</v>
      </c>
      <c r="N2038" s="111"/>
      <c r="O2038" s="40"/>
      <c r="P2038" s="40"/>
      <c r="Q2038" s="40">
        <v>730</v>
      </c>
      <c r="R2038" s="40">
        <v>730</v>
      </c>
      <c r="S2038" s="40">
        <v>730</v>
      </c>
      <c r="T2038" s="40">
        <v>730</v>
      </c>
      <c r="U2038" s="40">
        <v>730</v>
      </c>
      <c r="V2038" s="40">
        <v>730</v>
      </c>
      <c r="W2038" s="40">
        <v>730</v>
      </c>
      <c r="X2038" s="40">
        <v>730</v>
      </c>
      <c r="Y2038" s="40">
        <v>730</v>
      </c>
      <c r="Z2038" s="40">
        <v>730</v>
      </c>
      <c r="AA2038" s="966">
        <f t="shared" si="336"/>
        <v>7300</v>
      </c>
      <c r="AB2038" s="1210"/>
      <c r="AC2038" s="1199"/>
      <c r="AD2038" s="1211"/>
    </row>
    <row r="2039" spans="1:30" x14ac:dyDescent="0.2">
      <c r="A2039" s="1422"/>
      <c r="B2039" s="2522"/>
      <c r="C2039" s="2456"/>
      <c r="D2039" s="3369"/>
      <c r="E2039" s="3369"/>
      <c r="F2039" s="2420"/>
      <c r="G2039" s="2420"/>
      <c r="H2039" s="2420"/>
      <c r="I2039" s="2420"/>
      <c r="J2039" s="2955"/>
      <c r="K2039" s="40">
        <v>1100</v>
      </c>
      <c r="L2039" s="2432"/>
      <c r="M2039" s="111" t="s">
        <v>308</v>
      </c>
      <c r="N2039" s="111"/>
      <c r="O2039" s="40"/>
      <c r="P2039" s="40"/>
      <c r="Q2039" s="40">
        <v>1100</v>
      </c>
      <c r="R2039" s="40"/>
      <c r="S2039" s="40"/>
      <c r="T2039" s="40"/>
      <c r="U2039" s="40"/>
      <c r="V2039" s="40"/>
      <c r="W2039" s="40"/>
      <c r="X2039" s="40"/>
      <c r="Y2039" s="40"/>
      <c r="Z2039" s="40"/>
      <c r="AA2039" s="966">
        <f t="shared" si="336"/>
        <v>1100</v>
      </c>
      <c r="AB2039" s="1210"/>
      <c r="AC2039" s="1199"/>
      <c r="AD2039" s="1211"/>
    </row>
    <row r="2040" spans="1:30" x14ac:dyDescent="0.2">
      <c r="A2040" s="1422"/>
      <c r="B2040" s="2522"/>
      <c r="C2040" s="2450"/>
      <c r="D2040" s="3369"/>
      <c r="E2040" s="3369"/>
      <c r="F2040" s="2420"/>
      <c r="G2040" s="2420"/>
      <c r="H2040" s="2420"/>
      <c r="I2040" s="2420"/>
      <c r="J2040" s="2956"/>
      <c r="K2040" s="40">
        <v>31300</v>
      </c>
      <c r="L2040" s="2432"/>
      <c r="M2040" s="111" t="s">
        <v>309</v>
      </c>
      <c r="N2040" s="111"/>
      <c r="O2040" s="40"/>
      <c r="P2040" s="40"/>
      <c r="Q2040" s="40">
        <v>6260</v>
      </c>
      <c r="R2040" s="40"/>
      <c r="S2040" s="40">
        <v>6260</v>
      </c>
      <c r="T2040" s="40"/>
      <c r="U2040" s="40">
        <v>6260</v>
      </c>
      <c r="V2040" s="40"/>
      <c r="W2040" s="40">
        <v>6260</v>
      </c>
      <c r="X2040" s="40"/>
      <c r="Y2040" s="40">
        <v>6260</v>
      </c>
      <c r="Z2040" s="40"/>
      <c r="AA2040" s="966">
        <f t="shared" si="336"/>
        <v>31300</v>
      </c>
      <c r="AB2040" s="1210"/>
      <c r="AC2040" s="1199"/>
      <c r="AD2040" s="1211"/>
    </row>
    <row r="2041" spans="1:30" x14ac:dyDescent="0.2">
      <c r="A2041" s="1422"/>
      <c r="B2041" s="1427" t="s">
        <v>312</v>
      </c>
      <c r="C2041" s="1128"/>
      <c r="D2041" s="38"/>
      <c r="E2041" s="38"/>
      <c r="F2041" s="38"/>
      <c r="G2041" s="38"/>
      <c r="H2041" s="38"/>
      <c r="I2041" s="38"/>
      <c r="J2041" s="38"/>
      <c r="K2041" s="40">
        <f>SUM(K2022:K2040)</f>
        <v>609619</v>
      </c>
      <c r="L2041" s="2437"/>
      <c r="M2041" s="38"/>
      <c r="N2041" s="38"/>
      <c r="O2041" s="40">
        <f>SUM(O2022:O2040)</f>
        <v>46469.333333333336</v>
      </c>
      <c r="P2041" s="40">
        <f t="shared" ref="P2041:Z2041" si="338">SUM(P2022:P2040)</f>
        <v>45578.446969696975</v>
      </c>
      <c r="Q2041" s="40">
        <f t="shared" si="338"/>
        <v>58275.696969696975</v>
      </c>
      <c r="R2041" s="40">
        <f t="shared" si="338"/>
        <v>45041.696969696975</v>
      </c>
      <c r="S2041" s="40">
        <f t="shared" si="338"/>
        <v>60068.446969696975</v>
      </c>
      <c r="T2041" s="40">
        <f t="shared" si="338"/>
        <v>45041.696969696975</v>
      </c>
      <c r="U2041" s="40">
        <f t="shared" si="338"/>
        <v>59654.696969696975</v>
      </c>
      <c r="V2041" s="40">
        <f t="shared" si="338"/>
        <v>49682.446969696975</v>
      </c>
      <c r="W2041" s="40">
        <f t="shared" si="338"/>
        <v>51301.696969696975</v>
      </c>
      <c r="X2041" s="40">
        <f t="shared" si="338"/>
        <v>45041.696969696975</v>
      </c>
      <c r="Y2041" s="40">
        <f t="shared" si="338"/>
        <v>52568.446969696975</v>
      </c>
      <c r="Z2041" s="40">
        <f t="shared" si="338"/>
        <v>50894.696969696975</v>
      </c>
      <c r="AA2041" s="966">
        <f t="shared" si="336"/>
        <v>609619</v>
      </c>
      <c r="AB2041" s="1210"/>
      <c r="AC2041" s="1199"/>
      <c r="AD2041" s="1211"/>
    </row>
    <row r="2042" spans="1:30" x14ac:dyDescent="0.2">
      <c r="A2042" s="1422"/>
      <c r="B2042" s="2999" t="s">
        <v>278</v>
      </c>
      <c r="C2042" s="3015" t="s">
        <v>21</v>
      </c>
      <c r="D2042" s="2847" t="s">
        <v>22</v>
      </c>
      <c r="E2042" s="2847" t="s">
        <v>23</v>
      </c>
      <c r="F2042" s="2847" t="s">
        <v>24</v>
      </c>
      <c r="G2042" s="2847" t="s">
        <v>25</v>
      </c>
      <c r="H2042" s="2847" t="s">
        <v>26</v>
      </c>
      <c r="I2042" s="2847" t="s">
        <v>27</v>
      </c>
      <c r="J2042" s="3206" t="s">
        <v>28</v>
      </c>
      <c r="K2042" s="3301"/>
      <c r="L2042" s="2988" t="s">
        <v>279</v>
      </c>
      <c r="M2042" s="2847" t="s">
        <v>280</v>
      </c>
      <c r="N2042" s="1017"/>
      <c r="O2042" s="2847" t="s">
        <v>281</v>
      </c>
      <c r="P2042" s="2847"/>
      <c r="Q2042" s="2847"/>
      <c r="R2042" s="2847"/>
      <c r="S2042" s="2847"/>
      <c r="T2042" s="2847"/>
      <c r="U2042" s="2847"/>
      <c r="V2042" s="2847"/>
      <c r="W2042" s="2847"/>
      <c r="X2042" s="2847"/>
      <c r="Y2042" s="2847"/>
      <c r="Z2042" s="2847"/>
      <c r="AA2042" s="3358" t="s">
        <v>32</v>
      </c>
      <c r="AB2042" s="1210"/>
      <c r="AC2042" s="1199"/>
      <c r="AD2042" s="1211"/>
    </row>
    <row r="2043" spans="1:30" x14ac:dyDescent="0.2">
      <c r="A2043" s="1422"/>
      <c r="B2043" s="2999"/>
      <c r="C2043" s="3359"/>
      <c r="D2043" s="2847"/>
      <c r="E2043" s="2847"/>
      <c r="F2043" s="2847"/>
      <c r="G2043" s="2847"/>
      <c r="H2043" s="2847"/>
      <c r="I2043" s="2847"/>
      <c r="J2043" s="1007" t="s">
        <v>33</v>
      </c>
      <c r="K2043" s="2988" t="s">
        <v>282</v>
      </c>
      <c r="L2043" s="3186"/>
      <c r="M2043" s="2847"/>
      <c r="N2043" s="1017"/>
      <c r="O2043" s="1009" t="s">
        <v>283</v>
      </c>
      <c r="P2043" s="1009" t="s">
        <v>284</v>
      </c>
      <c r="Q2043" s="1009" t="s">
        <v>285</v>
      </c>
      <c r="R2043" s="1009" t="s">
        <v>88</v>
      </c>
      <c r="S2043" s="1009" t="s">
        <v>89</v>
      </c>
      <c r="T2043" s="1009" t="s">
        <v>90</v>
      </c>
      <c r="U2043" s="1009" t="s">
        <v>91</v>
      </c>
      <c r="V2043" s="1009" t="s">
        <v>92</v>
      </c>
      <c r="W2043" s="1009" t="s">
        <v>286</v>
      </c>
      <c r="X2043" s="1009" t="s">
        <v>93</v>
      </c>
      <c r="Y2043" s="1009" t="s">
        <v>94</v>
      </c>
      <c r="Z2043" s="1009" t="s">
        <v>95</v>
      </c>
      <c r="AA2043" s="3358"/>
      <c r="AB2043" s="1210"/>
      <c r="AC2043" s="1199"/>
      <c r="AD2043" s="1211"/>
    </row>
    <row r="2044" spans="1:30" ht="12.75" x14ac:dyDescent="0.2">
      <c r="A2044" s="1422"/>
      <c r="B2044" s="2999"/>
      <c r="C2044" s="3359"/>
      <c r="D2044" s="2847"/>
      <c r="E2044" s="2847"/>
      <c r="F2044" s="2847"/>
      <c r="G2044" s="2847"/>
      <c r="H2044" s="2847"/>
      <c r="I2044" s="2847"/>
      <c r="J2044" s="106"/>
      <c r="K2044" s="3186"/>
      <c r="L2044" s="3186"/>
      <c r="M2044" s="1009" t="s">
        <v>287</v>
      </c>
      <c r="N2044" s="1009"/>
      <c r="O2044" s="40"/>
      <c r="P2044" s="40"/>
      <c r="Q2044" s="40">
        <v>1</v>
      </c>
      <c r="R2044" s="40"/>
      <c r="S2044" s="40"/>
      <c r="T2044" s="40">
        <v>1</v>
      </c>
      <c r="U2044" s="40"/>
      <c r="V2044" s="40"/>
      <c r="W2044" s="40">
        <v>1</v>
      </c>
      <c r="X2044" s="40"/>
      <c r="Y2044" s="40"/>
      <c r="Z2044" s="40">
        <v>2</v>
      </c>
      <c r="AA2044" s="1205">
        <f t="shared" ref="AA2044:AA2055" si="339">SUM(O2044:Z2044)</f>
        <v>5</v>
      </c>
      <c r="AB2044" s="1210"/>
      <c r="AC2044" s="1199"/>
      <c r="AD2044" s="1211"/>
    </row>
    <row r="2045" spans="1:30" ht="12.75" x14ac:dyDescent="0.2">
      <c r="A2045" s="1422"/>
      <c r="B2045" s="2999"/>
      <c r="C2045" s="3016"/>
      <c r="D2045" s="2847"/>
      <c r="E2045" s="2847"/>
      <c r="F2045" s="2847"/>
      <c r="G2045" s="2847"/>
      <c r="H2045" s="2847"/>
      <c r="I2045" s="2847"/>
      <c r="J2045" s="1008"/>
      <c r="K2045" s="2989"/>
      <c r="L2045" s="2989"/>
      <c r="M2045" s="1009" t="s">
        <v>34</v>
      </c>
      <c r="N2045" s="1009"/>
      <c r="O2045" s="40">
        <v>9329.8333333333321</v>
      </c>
      <c r="P2045" s="40">
        <v>6964.8333333333339</v>
      </c>
      <c r="Q2045" s="40">
        <v>10214.833333333334</v>
      </c>
      <c r="R2045" s="40">
        <v>6964.8333333333339</v>
      </c>
      <c r="S2045" s="40">
        <v>6964.8333333333339</v>
      </c>
      <c r="T2045" s="40">
        <v>7464.8333333333339</v>
      </c>
      <c r="U2045" s="40">
        <v>7464.8333333333339</v>
      </c>
      <c r="V2045" s="40">
        <v>10214.833333333334</v>
      </c>
      <c r="W2045" s="40">
        <v>6964.8333333333339</v>
      </c>
      <c r="X2045" s="40">
        <v>6964.8333333333339</v>
      </c>
      <c r="Y2045" s="40">
        <v>6964.8333333333339</v>
      </c>
      <c r="Z2045" s="40">
        <v>7464.8333333333339</v>
      </c>
      <c r="AA2045" s="1205">
        <f t="shared" si="339"/>
        <v>93942.999999999985</v>
      </c>
      <c r="AB2045" s="1210"/>
      <c r="AC2045" s="1199"/>
      <c r="AD2045" s="1211"/>
    </row>
    <row r="2046" spans="1:30" x14ac:dyDescent="0.2">
      <c r="A2046" s="1422"/>
      <c r="B2046" s="2522">
        <v>5004453</v>
      </c>
      <c r="C2046" s="2438" t="s">
        <v>688</v>
      </c>
      <c r="D2046" s="2420">
        <v>70</v>
      </c>
      <c r="E2046" s="2420" t="s">
        <v>288</v>
      </c>
      <c r="F2046" s="2420" t="s">
        <v>313</v>
      </c>
      <c r="G2046" s="2420" t="s">
        <v>314</v>
      </c>
      <c r="H2046" s="2420" t="s">
        <v>315</v>
      </c>
      <c r="I2046" s="2420" t="s">
        <v>316</v>
      </c>
      <c r="J2046" s="2514">
        <v>5</v>
      </c>
      <c r="K2046" s="40">
        <v>60456</v>
      </c>
      <c r="L2046" s="2431" t="s">
        <v>687</v>
      </c>
      <c r="M2046" s="111" t="s">
        <v>293</v>
      </c>
      <c r="N2046" s="111"/>
      <c r="O2046" s="40">
        <v>5038</v>
      </c>
      <c r="P2046" s="40">
        <v>5038</v>
      </c>
      <c r="Q2046" s="40">
        <v>5038</v>
      </c>
      <c r="R2046" s="40" t="s">
        <v>689</v>
      </c>
      <c r="S2046" s="40">
        <v>5038</v>
      </c>
      <c r="T2046" s="40">
        <v>5038</v>
      </c>
      <c r="U2046" s="40">
        <v>5038</v>
      </c>
      <c r="V2046" s="40">
        <v>5038</v>
      </c>
      <c r="W2046" s="40">
        <v>5038</v>
      </c>
      <c r="X2046" s="40">
        <v>5038</v>
      </c>
      <c r="Y2046" s="40">
        <v>5038</v>
      </c>
      <c r="Z2046" s="40">
        <v>5038</v>
      </c>
      <c r="AA2046" s="966">
        <f t="shared" si="339"/>
        <v>55418</v>
      </c>
      <c r="AB2046" s="1210"/>
      <c r="AC2046" s="1199"/>
      <c r="AD2046" s="1211"/>
    </row>
    <row r="2047" spans="1:30" x14ac:dyDescent="0.2">
      <c r="A2047" s="1422"/>
      <c r="B2047" s="2522"/>
      <c r="C2047" s="2456"/>
      <c r="D2047" s="2420"/>
      <c r="E2047" s="2420"/>
      <c r="F2047" s="2420"/>
      <c r="G2047" s="2420"/>
      <c r="H2047" s="2420"/>
      <c r="I2047" s="2420"/>
      <c r="J2047" s="2515"/>
      <c r="K2047" s="40">
        <v>17718</v>
      </c>
      <c r="L2047" s="2432"/>
      <c r="M2047" s="111" t="s">
        <v>296</v>
      </c>
      <c r="N2047" s="111"/>
      <c r="O2047" s="40">
        <v>1476.5</v>
      </c>
      <c r="P2047" s="40">
        <v>1476.5</v>
      </c>
      <c r="Q2047" s="40">
        <v>1476.5</v>
      </c>
      <c r="R2047" s="40">
        <v>1476.5</v>
      </c>
      <c r="S2047" s="40">
        <v>1476.5</v>
      </c>
      <c r="T2047" s="40">
        <v>1476.5</v>
      </c>
      <c r="U2047" s="40">
        <v>1476.5</v>
      </c>
      <c r="V2047" s="40">
        <v>1476.5</v>
      </c>
      <c r="W2047" s="40">
        <v>1476.5</v>
      </c>
      <c r="X2047" s="40">
        <v>1476.5</v>
      </c>
      <c r="Y2047" s="40">
        <v>1476.5</v>
      </c>
      <c r="Z2047" s="40">
        <v>1476.5</v>
      </c>
      <c r="AA2047" s="966">
        <f t="shared" si="339"/>
        <v>17718</v>
      </c>
      <c r="AB2047" s="1210"/>
      <c r="AC2047" s="1199"/>
      <c r="AD2047" s="1211"/>
    </row>
    <row r="2048" spans="1:30" x14ac:dyDescent="0.2">
      <c r="A2048" s="1422"/>
      <c r="B2048" s="2522"/>
      <c r="C2048" s="2456"/>
      <c r="D2048" s="2420"/>
      <c r="E2048" s="2420"/>
      <c r="F2048" s="2420"/>
      <c r="G2048" s="2420"/>
      <c r="H2048" s="2420"/>
      <c r="I2048" s="2420"/>
      <c r="J2048" s="2515"/>
      <c r="K2048" s="40">
        <v>3600</v>
      </c>
      <c r="L2048" s="2432"/>
      <c r="M2048" s="111" t="s">
        <v>297</v>
      </c>
      <c r="N2048" s="111"/>
      <c r="O2048" s="40">
        <v>300</v>
      </c>
      <c r="P2048" s="40">
        <v>300</v>
      </c>
      <c r="Q2048" s="40">
        <v>300</v>
      </c>
      <c r="R2048" s="40">
        <v>300</v>
      </c>
      <c r="S2048" s="40">
        <v>300</v>
      </c>
      <c r="T2048" s="40">
        <v>300</v>
      </c>
      <c r="U2048" s="40">
        <v>300</v>
      </c>
      <c r="V2048" s="40">
        <v>300</v>
      </c>
      <c r="W2048" s="40">
        <v>300</v>
      </c>
      <c r="X2048" s="40">
        <v>300</v>
      </c>
      <c r="Y2048" s="40">
        <v>300</v>
      </c>
      <c r="Z2048" s="40">
        <v>300</v>
      </c>
      <c r="AA2048" s="966">
        <f t="shared" si="339"/>
        <v>3600</v>
      </c>
      <c r="AB2048" s="1210"/>
      <c r="AC2048" s="1199"/>
      <c r="AD2048" s="1211"/>
    </row>
    <row r="2049" spans="1:30" x14ac:dyDescent="0.2">
      <c r="A2049" s="1422"/>
      <c r="B2049" s="2522"/>
      <c r="C2049" s="2456"/>
      <c r="D2049" s="2420"/>
      <c r="E2049" s="2420"/>
      <c r="F2049" s="2420"/>
      <c r="G2049" s="2420"/>
      <c r="H2049" s="2420"/>
      <c r="I2049" s="2420"/>
      <c r="J2049" s="2515"/>
      <c r="K2049" s="40">
        <v>1000</v>
      </c>
      <c r="L2049" s="2432"/>
      <c r="M2049" s="111" t="s">
        <v>298</v>
      </c>
      <c r="N2049" s="111"/>
      <c r="O2049" s="40"/>
      <c r="P2049" s="40"/>
      <c r="Q2049" s="40"/>
      <c r="R2049" s="40"/>
      <c r="S2049" s="40"/>
      <c r="T2049" s="40"/>
      <c r="U2049" s="40">
        <v>500</v>
      </c>
      <c r="V2049" s="40"/>
      <c r="W2049" s="40"/>
      <c r="X2049" s="40"/>
      <c r="Y2049" s="40"/>
      <c r="Z2049" s="40">
        <v>500</v>
      </c>
      <c r="AA2049" s="966">
        <f t="shared" si="339"/>
        <v>1000</v>
      </c>
      <c r="AB2049" s="1210"/>
      <c r="AC2049" s="1199"/>
      <c r="AD2049" s="1211"/>
    </row>
    <row r="2050" spans="1:30" x14ac:dyDescent="0.2">
      <c r="A2050" s="1422"/>
      <c r="B2050" s="2522"/>
      <c r="C2050" s="2456"/>
      <c r="D2050" s="2420"/>
      <c r="E2050" s="2420"/>
      <c r="F2050" s="2420"/>
      <c r="G2050" s="2420"/>
      <c r="H2050" s="2420"/>
      <c r="I2050" s="2420"/>
      <c r="J2050" s="2515"/>
      <c r="K2050" s="40">
        <v>2365</v>
      </c>
      <c r="L2050" s="2432"/>
      <c r="M2050" s="111" t="s">
        <v>299</v>
      </c>
      <c r="N2050" s="111"/>
      <c r="O2050" s="40">
        <v>2365</v>
      </c>
      <c r="P2050" s="40"/>
      <c r="Q2050" s="40"/>
      <c r="R2050" s="40"/>
      <c r="S2050" s="40"/>
      <c r="T2050" s="40"/>
      <c r="U2050" s="40"/>
      <c r="V2050" s="40"/>
      <c r="W2050" s="40"/>
      <c r="X2050" s="40"/>
      <c r="Y2050" s="40"/>
      <c r="Z2050" s="40"/>
      <c r="AA2050" s="966">
        <f t="shared" si="339"/>
        <v>2365</v>
      </c>
      <c r="AB2050" s="1210"/>
      <c r="AC2050" s="1199"/>
      <c r="AD2050" s="1211"/>
    </row>
    <row r="2051" spans="1:30" x14ac:dyDescent="0.2">
      <c r="A2051" s="1422"/>
      <c r="B2051" s="2522"/>
      <c r="C2051" s="2456"/>
      <c r="D2051" s="2420"/>
      <c r="E2051" s="2420"/>
      <c r="F2051" s="2420"/>
      <c r="G2051" s="2420"/>
      <c r="H2051" s="2420"/>
      <c r="I2051" s="2420"/>
      <c r="J2051" s="2515"/>
      <c r="K2051" s="40">
        <v>1700</v>
      </c>
      <c r="L2051" s="2432"/>
      <c r="M2051" s="111" t="s">
        <v>300</v>
      </c>
      <c r="N2051" s="111"/>
      <c r="O2051" s="40">
        <v>141.66666666666666</v>
      </c>
      <c r="P2051" s="40">
        <v>141.66666666666666</v>
      </c>
      <c r="Q2051" s="40">
        <v>141.66666666666666</v>
      </c>
      <c r="R2051" s="40">
        <v>141.66666666666666</v>
      </c>
      <c r="S2051" s="40">
        <v>141.66666666666666</v>
      </c>
      <c r="T2051" s="40">
        <v>141.66666666666666</v>
      </c>
      <c r="U2051" s="40">
        <v>141.66666666666666</v>
      </c>
      <c r="V2051" s="40">
        <v>141.66666666666666</v>
      </c>
      <c r="W2051" s="40">
        <v>141.66666666666666</v>
      </c>
      <c r="X2051" s="40">
        <v>141.66666666666666</v>
      </c>
      <c r="Y2051" s="40">
        <v>141.66666666666666</v>
      </c>
      <c r="Z2051" s="40">
        <v>141.66666666666666</v>
      </c>
      <c r="AA2051" s="966">
        <f t="shared" si="339"/>
        <v>1700.0000000000002</v>
      </c>
      <c r="AB2051" s="1210"/>
      <c r="AC2051" s="1199"/>
      <c r="AD2051" s="1211"/>
    </row>
    <row r="2052" spans="1:30" x14ac:dyDescent="0.2">
      <c r="A2052" s="1422"/>
      <c r="B2052" s="2522"/>
      <c r="C2052" s="2456"/>
      <c r="D2052" s="2420"/>
      <c r="E2052" s="2420"/>
      <c r="F2052" s="2420"/>
      <c r="G2052" s="2420"/>
      <c r="H2052" s="2420"/>
      <c r="I2052" s="2420"/>
      <c r="J2052" s="2515"/>
      <c r="K2052" s="40">
        <v>104</v>
      </c>
      <c r="L2052" s="2432"/>
      <c r="M2052" s="111" t="s">
        <v>301</v>
      </c>
      <c r="N2052" s="111"/>
      <c r="O2052" s="40">
        <v>8.6666666666666661</v>
      </c>
      <c r="P2052" s="40">
        <v>8.6666666666666661</v>
      </c>
      <c r="Q2052" s="40">
        <v>8.6666666666666661</v>
      </c>
      <c r="R2052" s="40">
        <v>8.6666666666666661</v>
      </c>
      <c r="S2052" s="40">
        <v>8.6666666666666661</v>
      </c>
      <c r="T2052" s="40">
        <v>8.6666666666666661</v>
      </c>
      <c r="U2052" s="40">
        <v>8.6666666666666661</v>
      </c>
      <c r="V2052" s="40">
        <v>8.6666666666666661</v>
      </c>
      <c r="W2052" s="40">
        <v>8.6666666666666661</v>
      </c>
      <c r="X2052" s="40">
        <v>8.6666666666666661</v>
      </c>
      <c r="Y2052" s="40">
        <v>8.6666666666666661</v>
      </c>
      <c r="Z2052" s="40">
        <v>8.6666666666666661</v>
      </c>
      <c r="AA2052" s="966">
        <f t="shared" si="339"/>
        <v>104.00000000000001</v>
      </c>
      <c r="AB2052" s="1210"/>
      <c r="AC2052" s="1199"/>
      <c r="AD2052" s="1211"/>
    </row>
    <row r="2053" spans="1:30" x14ac:dyDescent="0.2">
      <c r="A2053" s="1422"/>
      <c r="B2053" s="2522"/>
      <c r="C2053" s="2456"/>
      <c r="D2053" s="2420"/>
      <c r="E2053" s="2420"/>
      <c r="F2053" s="2420"/>
      <c r="G2053" s="2420"/>
      <c r="H2053" s="2420"/>
      <c r="I2053" s="2420"/>
      <c r="J2053" s="2515"/>
      <c r="K2053" s="40">
        <v>6500</v>
      </c>
      <c r="L2053" s="2432"/>
      <c r="M2053" s="111" t="s">
        <v>304</v>
      </c>
      <c r="N2053" s="111"/>
      <c r="O2053" s="40"/>
      <c r="P2053" s="40"/>
      <c r="Q2053" s="40">
        <v>3250</v>
      </c>
      <c r="R2053" s="40"/>
      <c r="S2053" s="40"/>
      <c r="T2053" s="40"/>
      <c r="U2053" s="40"/>
      <c r="V2053" s="40">
        <v>3250</v>
      </c>
      <c r="W2053" s="40"/>
      <c r="X2053" s="40"/>
      <c r="Y2053" s="40"/>
      <c r="Z2053" s="40"/>
      <c r="AA2053" s="966">
        <f t="shared" si="339"/>
        <v>6500</v>
      </c>
      <c r="AB2053" s="1210"/>
      <c r="AC2053" s="1199"/>
      <c r="AD2053" s="1211"/>
    </row>
    <row r="2054" spans="1:30" x14ac:dyDescent="0.2">
      <c r="A2054" s="1422"/>
      <c r="B2054" s="2522"/>
      <c r="C2054" s="2450"/>
      <c r="D2054" s="2420"/>
      <c r="E2054" s="2420"/>
      <c r="F2054" s="2420"/>
      <c r="G2054" s="2420"/>
      <c r="H2054" s="2420"/>
      <c r="I2054" s="2420"/>
      <c r="J2054" s="2516"/>
      <c r="K2054" s="40">
        <v>500</v>
      </c>
      <c r="L2054" s="2432"/>
      <c r="M2054" s="111" t="s">
        <v>309</v>
      </c>
      <c r="N2054" s="111"/>
      <c r="O2054" s="40"/>
      <c r="P2054" s="40"/>
      <c r="Q2054" s="40"/>
      <c r="R2054" s="40"/>
      <c r="S2054" s="40"/>
      <c r="T2054" s="40">
        <v>500</v>
      </c>
      <c r="U2054" s="40"/>
      <c r="V2054" s="40"/>
      <c r="W2054" s="40"/>
      <c r="X2054" s="40"/>
      <c r="Y2054" s="40"/>
      <c r="Z2054" s="40"/>
      <c r="AA2054" s="966">
        <f t="shared" si="339"/>
        <v>500</v>
      </c>
      <c r="AB2054" s="1210"/>
      <c r="AC2054" s="1199"/>
      <c r="AD2054" s="1211"/>
    </row>
    <row r="2055" spans="1:30" x14ac:dyDescent="0.2">
      <c r="A2055" s="1422"/>
      <c r="B2055" s="1427" t="s">
        <v>312</v>
      </c>
      <c r="C2055" s="1128"/>
      <c r="D2055" s="38"/>
      <c r="E2055" s="38"/>
      <c r="F2055" s="38"/>
      <c r="G2055" s="38"/>
      <c r="H2055" s="38"/>
      <c r="I2055" s="38"/>
      <c r="J2055" s="38"/>
      <c r="K2055" s="40">
        <f>SUM(K2046:K2054)</f>
        <v>93943</v>
      </c>
      <c r="L2055" s="2437"/>
      <c r="M2055" s="38"/>
      <c r="N2055" s="38"/>
      <c r="O2055" s="40">
        <f>SUM(O2046:O2054)</f>
        <v>9329.8333333333321</v>
      </c>
      <c r="P2055" s="40">
        <f t="shared" ref="P2055:Z2055" si="340">SUM(P2046:P2054)</f>
        <v>6964.8333333333339</v>
      </c>
      <c r="Q2055" s="40">
        <f t="shared" si="340"/>
        <v>10214.833333333334</v>
      </c>
      <c r="R2055" s="40">
        <f t="shared" si="340"/>
        <v>1926.8333333333335</v>
      </c>
      <c r="S2055" s="40">
        <f t="shared" si="340"/>
        <v>6964.8333333333339</v>
      </c>
      <c r="T2055" s="40">
        <f t="shared" si="340"/>
        <v>7464.8333333333339</v>
      </c>
      <c r="U2055" s="40">
        <f t="shared" si="340"/>
        <v>7464.8333333333339</v>
      </c>
      <c r="V2055" s="40">
        <f t="shared" si="340"/>
        <v>10214.833333333334</v>
      </c>
      <c r="W2055" s="40">
        <f t="shared" si="340"/>
        <v>6964.8333333333339</v>
      </c>
      <c r="X2055" s="40">
        <f t="shared" si="340"/>
        <v>6964.8333333333339</v>
      </c>
      <c r="Y2055" s="40">
        <f t="shared" si="340"/>
        <v>6964.8333333333339</v>
      </c>
      <c r="Z2055" s="40">
        <f t="shared" si="340"/>
        <v>7464.8333333333339</v>
      </c>
      <c r="AA2055" s="966">
        <f t="shared" si="339"/>
        <v>88904.999999999985</v>
      </c>
      <c r="AB2055" s="1210"/>
      <c r="AC2055" s="1199"/>
      <c r="AD2055" s="1211"/>
    </row>
    <row r="2056" spans="1:30" x14ac:dyDescent="0.2">
      <c r="A2056" s="1422"/>
      <c r="B2056" s="1422"/>
      <c r="C2056" s="1124"/>
      <c r="D2056" s="35"/>
      <c r="E2056" s="35"/>
      <c r="F2056" s="35"/>
      <c r="G2056" s="35"/>
      <c r="H2056" s="35"/>
      <c r="I2056" s="35"/>
      <c r="J2056" s="35"/>
      <c r="K2056" s="35"/>
      <c r="L2056" s="35"/>
      <c r="M2056" s="35"/>
      <c r="N2056" s="35"/>
      <c r="O2056" s="35"/>
      <c r="P2056" s="35"/>
      <c r="Q2056" s="35"/>
      <c r="R2056" s="35"/>
      <c r="S2056" s="35"/>
      <c r="T2056" s="35"/>
      <c r="U2056" s="35"/>
      <c r="V2056" s="35"/>
      <c r="W2056" s="35"/>
      <c r="X2056" s="35"/>
      <c r="Y2056" s="35"/>
      <c r="Z2056" s="35"/>
      <c r="AA2056" s="1212"/>
      <c r="AB2056" s="1210"/>
      <c r="AC2056" s="1199"/>
      <c r="AD2056" s="1211"/>
    </row>
    <row r="2057" spans="1:30" x14ac:dyDescent="0.2">
      <c r="A2057" s="1422"/>
      <c r="B2057" s="1422"/>
      <c r="C2057" s="1124"/>
      <c r="D2057" s="35"/>
      <c r="E2057" s="35"/>
      <c r="F2057" s="35"/>
      <c r="G2057" s="35"/>
      <c r="H2057" s="35"/>
      <c r="I2057" s="35"/>
      <c r="J2057" s="35"/>
      <c r="K2057" s="35"/>
      <c r="L2057" s="35"/>
      <c r="M2057" s="35"/>
      <c r="N2057" s="35"/>
      <c r="O2057" s="35"/>
      <c r="P2057" s="35"/>
      <c r="Q2057" s="35"/>
      <c r="R2057" s="35"/>
      <c r="S2057" s="35"/>
      <c r="T2057" s="35"/>
      <c r="U2057" s="35"/>
      <c r="V2057" s="35"/>
      <c r="W2057" s="35"/>
      <c r="X2057" s="35"/>
      <c r="Y2057" s="35"/>
      <c r="Z2057" s="35"/>
      <c r="AA2057" s="1212"/>
      <c r="AB2057" s="1210"/>
      <c r="AC2057" s="1199"/>
      <c r="AD2057" s="1211"/>
    </row>
    <row r="2058" spans="1:30" ht="22.5" x14ac:dyDescent="0.2">
      <c r="A2058" s="1422"/>
      <c r="B2058" s="1433" t="s">
        <v>276</v>
      </c>
      <c r="C2058" s="1119"/>
      <c r="D2058" s="35"/>
      <c r="E2058" s="35"/>
      <c r="F2058" s="35"/>
      <c r="G2058" s="35"/>
      <c r="H2058" s="35"/>
      <c r="I2058" s="35"/>
      <c r="J2058" s="35"/>
      <c r="K2058" s="35"/>
      <c r="L2058" s="35"/>
      <c r="M2058" s="35"/>
      <c r="N2058" s="35"/>
      <c r="O2058" s="35"/>
      <c r="P2058" s="35"/>
      <c r="Q2058" s="35"/>
      <c r="R2058" s="35"/>
      <c r="S2058" s="3333" t="s">
        <v>15</v>
      </c>
      <c r="T2058" s="3333"/>
      <c r="U2058" s="3333"/>
      <c r="V2058" s="3333"/>
      <c r="W2058" s="3333"/>
      <c r="X2058" s="3333"/>
      <c r="Y2058" s="3333"/>
      <c r="Z2058" s="3333"/>
      <c r="AA2058" s="1228" t="s">
        <v>16</v>
      </c>
      <c r="AB2058" s="1210"/>
      <c r="AC2058" s="1199"/>
      <c r="AD2058" s="1211"/>
    </row>
    <row r="2059" spans="1:30" ht="41.25" customHeight="1" x14ac:dyDescent="0.2">
      <c r="A2059" s="1422"/>
      <c r="B2059" s="1433"/>
      <c r="C2059" s="1119"/>
      <c r="D2059" s="35">
        <v>3000009</v>
      </c>
      <c r="E2059" s="192" t="s">
        <v>690</v>
      </c>
      <c r="F2059" s="35"/>
      <c r="G2059" s="35"/>
      <c r="H2059" s="35"/>
      <c r="I2059" s="35"/>
      <c r="J2059" s="35"/>
      <c r="K2059" s="35"/>
      <c r="L2059" s="35"/>
      <c r="M2059" s="35"/>
      <c r="N2059" s="35"/>
      <c r="O2059" s="35"/>
      <c r="P2059" s="35"/>
      <c r="Q2059" s="35"/>
      <c r="R2059" s="35"/>
      <c r="S2059" s="3377" t="s">
        <v>691</v>
      </c>
      <c r="T2059" s="3378"/>
      <c r="U2059" s="3378"/>
      <c r="V2059" s="3378"/>
      <c r="W2059" s="3378"/>
      <c r="X2059" s="3378"/>
      <c r="Y2059" s="3378"/>
      <c r="Z2059" s="3379"/>
      <c r="AA2059" s="1228" t="s">
        <v>692</v>
      </c>
      <c r="AB2059" s="1210"/>
      <c r="AC2059" s="1199"/>
      <c r="AD2059" s="1211"/>
    </row>
    <row r="2060" spans="1:30" x14ac:dyDescent="0.2">
      <c r="A2060" s="1422"/>
      <c r="B2060" s="2999" t="s">
        <v>278</v>
      </c>
      <c r="C2060" s="3015" t="s">
        <v>21</v>
      </c>
      <c r="D2060" s="2847" t="s">
        <v>22</v>
      </c>
      <c r="E2060" s="2847" t="s">
        <v>23</v>
      </c>
      <c r="F2060" s="2847" t="s">
        <v>24</v>
      </c>
      <c r="G2060" s="2847" t="s">
        <v>25</v>
      </c>
      <c r="H2060" s="2847" t="s">
        <v>26</v>
      </c>
      <c r="I2060" s="2847" t="s">
        <v>27</v>
      </c>
      <c r="J2060" s="3206" t="s">
        <v>28</v>
      </c>
      <c r="K2060" s="3301"/>
      <c r="L2060" s="2988" t="s">
        <v>279</v>
      </c>
      <c r="M2060" s="2847" t="s">
        <v>280</v>
      </c>
      <c r="N2060" s="1017"/>
      <c r="O2060" s="2847" t="s">
        <v>281</v>
      </c>
      <c r="P2060" s="2847"/>
      <c r="Q2060" s="2847"/>
      <c r="R2060" s="2847"/>
      <c r="S2060" s="2847"/>
      <c r="T2060" s="2847"/>
      <c r="U2060" s="2847"/>
      <c r="V2060" s="2847"/>
      <c r="W2060" s="2847"/>
      <c r="X2060" s="2847"/>
      <c r="Y2060" s="2847"/>
      <c r="Z2060" s="2847"/>
      <c r="AA2060" s="3358" t="s">
        <v>32</v>
      </c>
      <c r="AB2060" s="1210"/>
      <c r="AC2060" s="1199"/>
      <c r="AD2060" s="1211"/>
    </row>
    <row r="2061" spans="1:30" x14ac:dyDescent="0.2">
      <c r="A2061" s="1422"/>
      <c r="B2061" s="2999"/>
      <c r="C2061" s="3359"/>
      <c r="D2061" s="2847"/>
      <c r="E2061" s="2847"/>
      <c r="F2061" s="2847"/>
      <c r="G2061" s="2847"/>
      <c r="H2061" s="2847"/>
      <c r="I2061" s="2847"/>
      <c r="J2061" s="1007" t="s">
        <v>33</v>
      </c>
      <c r="K2061" s="2988" t="s">
        <v>282</v>
      </c>
      <c r="L2061" s="3186"/>
      <c r="M2061" s="2847"/>
      <c r="N2061" s="1017"/>
      <c r="O2061" s="1009" t="s">
        <v>283</v>
      </c>
      <c r="P2061" s="1009" t="s">
        <v>284</v>
      </c>
      <c r="Q2061" s="1009" t="s">
        <v>285</v>
      </c>
      <c r="R2061" s="1009" t="s">
        <v>88</v>
      </c>
      <c r="S2061" s="1009" t="s">
        <v>89</v>
      </c>
      <c r="T2061" s="1009" t="s">
        <v>90</v>
      </c>
      <c r="U2061" s="1009" t="s">
        <v>91</v>
      </c>
      <c r="V2061" s="1009" t="s">
        <v>92</v>
      </c>
      <c r="W2061" s="1009" t="s">
        <v>286</v>
      </c>
      <c r="X2061" s="1009" t="s">
        <v>93</v>
      </c>
      <c r="Y2061" s="1009" t="s">
        <v>94</v>
      </c>
      <c r="Z2061" s="1009" t="s">
        <v>95</v>
      </c>
      <c r="AA2061" s="3358"/>
      <c r="AB2061" s="1210"/>
      <c r="AC2061" s="1199"/>
      <c r="AD2061" s="1211"/>
    </row>
    <row r="2062" spans="1:30" ht="12.75" x14ac:dyDescent="0.2">
      <c r="A2062" s="1422"/>
      <c r="B2062" s="2999"/>
      <c r="C2062" s="3359"/>
      <c r="D2062" s="2847"/>
      <c r="E2062" s="2847"/>
      <c r="F2062" s="2847"/>
      <c r="G2062" s="2847"/>
      <c r="H2062" s="2847"/>
      <c r="I2062" s="2847"/>
      <c r="J2062" s="106"/>
      <c r="K2062" s="3186"/>
      <c r="L2062" s="3186"/>
      <c r="M2062" s="1009" t="s">
        <v>287</v>
      </c>
      <c r="N2062" s="1009"/>
      <c r="O2062" s="40">
        <v>20</v>
      </c>
      <c r="P2062" s="40">
        <v>20</v>
      </c>
      <c r="Q2062" s="40">
        <v>20</v>
      </c>
      <c r="R2062" s="40">
        <v>21</v>
      </c>
      <c r="S2062" s="40">
        <v>21</v>
      </c>
      <c r="T2062" s="40">
        <v>21</v>
      </c>
      <c r="U2062" s="40">
        <v>20</v>
      </c>
      <c r="V2062" s="40">
        <v>20</v>
      </c>
      <c r="W2062" s="40">
        <v>20</v>
      </c>
      <c r="X2062" s="40">
        <v>20</v>
      </c>
      <c r="Y2062" s="40">
        <v>20</v>
      </c>
      <c r="Z2062" s="40">
        <v>20</v>
      </c>
      <c r="AA2062" s="1205">
        <f t="shared" ref="AA2062:AA2074" si="341">SUM(O2062:Z2062)</f>
        <v>243</v>
      </c>
      <c r="AB2062" s="1210"/>
      <c r="AC2062" s="1199"/>
      <c r="AD2062" s="1211"/>
    </row>
    <row r="2063" spans="1:30" ht="12.75" x14ac:dyDescent="0.2">
      <c r="A2063" s="1422"/>
      <c r="B2063" s="2999"/>
      <c r="C2063" s="3016"/>
      <c r="D2063" s="2847"/>
      <c r="E2063" s="2847"/>
      <c r="F2063" s="2847"/>
      <c r="G2063" s="2847"/>
      <c r="H2063" s="2847"/>
      <c r="I2063" s="2847"/>
      <c r="J2063" s="1008"/>
      <c r="K2063" s="2989"/>
      <c r="L2063" s="2989"/>
      <c r="M2063" s="1009" t="s">
        <v>34</v>
      </c>
      <c r="N2063" s="1009"/>
      <c r="O2063" s="40">
        <f>SUM(O2064:O2074)</f>
        <v>39702.083333333336</v>
      </c>
      <c r="P2063" s="40">
        <f t="shared" ref="P2063:Z2063" si="342">SUM(P2064:P2074)</f>
        <v>37142.083333333336</v>
      </c>
      <c r="Q2063" s="40">
        <f t="shared" si="342"/>
        <v>39442.083333333336</v>
      </c>
      <c r="R2063" s="40">
        <f t="shared" si="342"/>
        <v>39942.083333333336</v>
      </c>
      <c r="S2063" s="40">
        <f t="shared" si="342"/>
        <v>39442.083333333336</v>
      </c>
      <c r="T2063" s="40">
        <f t="shared" si="342"/>
        <v>37142.083333333336</v>
      </c>
      <c r="U2063" s="40">
        <f t="shared" si="342"/>
        <v>41530.583333333336</v>
      </c>
      <c r="V2063" s="40">
        <f t="shared" si="342"/>
        <v>37142.083333333336</v>
      </c>
      <c r="W2063" s="40">
        <f t="shared" si="342"/>
        <v>39442.083333333336</v>
      </c>
      <c r="X2063" s="40">
        <f t="shared" si="342"/>
        <v>37142.083333333336</v>
      </c>
      <c r="Y2063" s="40">
        <f t="shared" si="342"/>
        <v>39442.083333333336</v>
      </c>
      <c r="Z2063" s="40">
        <f t="shared" si="342"/>
        <v>39230.583333333336</v>
      </c>
      <c r="AA2063" s="1205">
        <f t="shared" si="341"/>
        <v>466741.99999999994</v>
      </c>
      <c r="AB2063" s="1210"/>
      <c r="AC2063" s="1199"/>
      <c r="AD2063" s="1211"/>
    </row>
    <row r="2064" spans="1:30" x14ac:dyDescent="0.2">
      <c r="A2064" s="1422"/>
      <c r="B2064" s="2522">
        <v>5000107</v>
      </c>
      <c r="C2064" s="2438" t="s">
        <v>693</v>
      </c>
      <c r="D2064" s="2420"/>
      <c r="E2064" s="2420" t="s">
        <v>288</v>
      </c>
      <c r="F2064" s="2420" t="s">
        <v>386</v>
      </c>
      <c r="G2064" s="2420" t="s">
        <v>423</v>
      </c>
      <c r="H2064" s="2420" t="s">
        <v>694</v>
      </c>
      <c r="I2064" s="2420" t="s">
        <v>695</v>
      </c>
      <c r="J2064" s="2514">
        <v>243</v>
      </c>
      <c r="K2064" s="40">
        <v>115000</v>
      </c>
      <c r="L2064" s="3190" t="s">
        <v>687</v>
      </c>
      <c r="M2064" s="111" t="s">
        <v>293</v>
      </c>
      <c r="N2064" s="111"/>
      <c r="O2064" s="40">
        <v>9583.3333333333339</v>
      </c>
      <c r="P2064" s="40">
        <v>9583.3333333333339</v>
      </c>
      <c r="Q2064" s="40">
        <v>9583.3333333333339</v>
      </c>
      <c r="R2064" s="40">
        <v>9583.3333333333339</v>
      </c>
      <c r="S2064" s="40">
        <v>9583.3333333333339</v>
      </c>
      <c r="T2064" s="40">
        <v>9583.3333333333339</v>
      </c>
      <c r="U2064" s="40">
        <v>9583.3333333333339</v>
      </c>
      <c r="V2064" s="40">
        <v>9583.3333333333339</v>
      </c>
      <c r="W2064" s="40">
        <v>9583.3333333333339</v>
      </c>
      <c r="X2064" s="40">
        <v>9583.3333333333339</v>
      </c>
      <c r="Y2064" s="40">
        <v>9583.3333333333339</v>
      </c>
      <c r="Z2064" s="40">
        <v>9583.3333333333339</v>
      </c>
      <c r="AA2064" s="966">
        <f t="shared" si="341"/>
        <v>114999.99999999999</v>
      </c>
      <c r="AB2064" s="1210"/>
      <c r="AC2064" s="1199"/>
      <c r="AD2064" s="1211"/>
    </row>
    <row r="2065" spans="1:30" x14ac:dyDescent="0.2">
      <c r="A2065" s="1422"/>
      <c r="B2065" s="2522"/>
      <c r="C2065" s="2456"/>
      <c r="D2065" s="2420"/>
      <c r="E2065" s="2420"/>
      <c r="F2065" s="2420"/>
      <c r="G2065" s="2420"/>
      <c r="H2065" s="2420"/>
      <c r="I2065" s="2420"/>
      <c r="J2065" s="2515"/>
      <c r="K2065" s="40">
        <v>107098</v>
      </c>
      <c r="L2065" s="3191"/>
      <c r="M2065" s="111" t="s">
        <v>295</v>
      </c>
      <c r="N2065" s="111"/>
      <c r="O2065" s="40">
        <v>8924.8333333333339</v>
      </c>
      <c r="P2065" s="40">
        <v>8924.8333333333339</v>
      </c>
      <c r="Q2065" s="40">
        <v>8924.8333333333339</v>
      </c>
      <c r="R2065" s="40">
        <v>8924.8333333333339</v>
      </c>
      <c r="S2065" s="40">
        <v>8924.8333333333339</v>
      </c>
      <c r="T2065" s="40">
        <v>8924.8333333333339</v>
      </c>
      <c r="U2065" s="40">
        <v>8924.8333333333339</v>
      </c>
      <c r="V2065" s="40">
        <v>8924.8333333333339</v>
      </c>
      <c r="W2065" s="40">
        <v>8924.8333333333339</v>
      </c>
      <c r="X2065" s="40">
        <v>8924.8333333333339</v>
      </c>
      <c r="Y2065" s="40">
        <v>8924.8333333333339</v>
      </c>
      <c r="Z2065" s="40">
        <v>8924.8333333333339</v>
      </c>
      <c r="AA2065" s="966">
        <f t="shared" si="341"/>
        <v>107097.99999999999</v>
      </c>
      <c r="AB2065" s="1210"/>
      <c r="AC2065" s="1199"/>
      <c r="AD2065" s="1211"/>
    </row>
    <row r="2066" spans="1:30" x14ac:dyDescent="0.2">
      <c r="A2066" s="1422"/>
      <c r="B2066" s="2522"/>
      <c r="C2066" s="2456"/>
      <c r="D2066" s="2420"/>
      <c r="E2066" s="2420"/>
      <c r="F2066" s="2420"/>
      <c r="G2066" s="2420"/>
      <c r="H2066" s="2420"/>
      <c r="I2066" s="2420"/>
      <c r="J2066" s="2515"/>
      <c r="K2066" s="40">
        <v>55235</v>
      </c>
      <c r="L2066" s="3191"/>
      <c r="M2066" s="111" t="s">
        <v>296</v>
      </c>
      <c r="N2066" s="111"/>
      <c r="O2066" s="40">
        <v>4602.916666666667</v>
      </c>
      <c r="P2066" s="40">
        <v>4602.916666666667</v>
      </c>
      <c r="Q2066" s="40">
        <v>4602.916666666667</v>
      </c>
      <c r="R2066" s="40">
        <v>4602.916666666667</v>
      </c>
      <c r="S2066" s="40">
        <v>4602.916666666667</v>
      </c>
      <c r="T2066" s="40">
        <v>4602.916666666667</v>
      </c>
      <c r="U2066" s="40">
        <v>4602.916666666667</v>
      </c>
      <c r="V2066" s="40">
        <v>4602.916666666667</v>
      </c>
      <c r="W2066" s="40">
        <v>4602.916666666667</v>
      </c>
      <c r="X2066" s="40">
        <v>4602.916666666667</v>
      </c>
      <c r="Y2066" s="40">
        <v>4602.916666666667</v>
      </c>
      <c r="Z2066" s="40">
        <v>4602.916666666667</v>
      </c>
      <c r="AA2066" s="966">
        <f t="shared" si="341"/>
        <v>55234.999999999993</v>
      </c>
      <c r="AB2066" s="1210"/>
      <c r="AC2066" s="1199"/>
      <c r="AD2066" s="1211"/>
    </row>
    <row r="2067" spans="1:30" x14ac:dyDescent="0.2">
      <c r="A2067" s="1422"/>
      <c r="B2067" s="2522"/>
      <c r="C2067" s="2456"/>
      <c r="D2067" s="2420"/>
      <c r="E2067" s="2420"/>
      <c r="F2067" s="2420"/>
      <c r="G2067" s="2420"/>
      <c r="H2067" s="2420"/>
      <c r="I2067" s="2420"/>
      <c r="J2067" s="2515"/>
      <c r="K2067" s="40">
        <v>67882</v>
      </c>
      <c r="L2067" s="3191"/>
      <c r="M2067" s="111" t="s">
        <v>297</v>
      </c>
      <c r="N2067" s="111"/>
      <c r="O2067" s="40">
        <v>5656.833333333333</v>
      </c>
      <c r="P2067" s="40">
        <v>5656.833333333333</v>
      </c>
      <c r="Q2067" s="40">
        <v>5656.833333333333</v>
      </c>
      <c r="R2067" s="40">
        <v>5656.833333333333</v>
      </c>
      <c r="S2067" s="40">
        <v>5656.833333333333</v>
      </c>
      <c r="T2067" s="40">
        <v>5656.833333333333</v>
      </c>
      <c r="U2067" s="40">
        <v>5656.833333333333</v>
      </c>
      <c r="V2067" s="40">
        <v>5656.833333333333</v>
      </c>
      <c r="W2067" s="40">
        <v>5656.833333333333</v>
      </c>
      <c r="X2067" s="40">
        <v>5656.833333333333</v>
      </c>
      <c r="Y2067" s="40">
        <v>5656.833333333333</v>
      </c>
      <c r="Z2067" s="40">
        <v>5656.833333333333</v>
      </c>
      <c r="AA2067" s="966">
        <f t="shared" si="341"/>
        <v>67882.000000000015</v>
      </c>
      <c r="AB2067" s="1210"/>
      <c r="AC2067" s="1199"/>
      <c r="AD2067" s="1211"/>
    </row>
    <row r="2068" spans="1:30" x14ac:dyDescent="0.2">
      <c r="A2068" s="1422"/>
      <c r="B2068" s="2522"/>
      <c r="C2068" s="2456"/>
      <c r="D2068" s="2420"/>
      <c r="E2068" s="2420"/>
      <c r="F2068" s="2420"/>
      <c r="G2068" s="2420"/>
      <c r="H2068" s="2420"/>
      <c r="I2068" s="2420"/>
      <c r="J2068" s="2515"/>
      <c r="K2068" s="40">
        <v>4177</v>
      </c>
      <c r="L2068" s="3191"/>
      <c r="M2068" s="111" t="s">
        <v>298</v>
      </c>
      <c r="N2068" s="111"/>
      <c r="O2068" s="40"/>
      <c r="P2068" s="40"/>
      <c r="Q2068" s="40"/>
      <c r="R2068" s="40"/>
      <c r="S2068" s="40"/>
      <c r="T2068" s="40"/>
      <c r="U2068" s="40">
        <v>2088.5</v>
      </c>
      <c r="V2068" s="40"/>
      <c r="W2068" s="40"/>
      <c r="X2068" s="40"/>
      <c r="Y2068" s="40"/>
      <c r="Z2068" s="40">
        <v>2088.5</v>
      </c>
      <c r="AA2068" s="966">
        <f t="shared" si="341"/>
        <v>4177</v>
      </c>
      <c r="AB2068" s="1210"/>
      <c r="AC2068" s="1199"/>
      <c r="AD2068" s="1211"/>
    </row>
    <row r="2069" spans="1:30" x14ac:dyDescent="0.2">
      <c r="A2069" s="1422"/>
      <c r="B2069" s="2522"/>
      <c r="C2069" s="2456"/>
      <c r="D2069" s="2420"/>
      <c r="E2069" s="2420"/>
      <c r="F2069" s="2420"/>
      <c r="G2069" s="2420"/>
      <c r="H2069" s="2420"/>
      <c r="I2069" s="2420"/>
      <c r="J2069" s="2515"/>
      <c r="K2069" s="40">
        <v>2560</v>
      </c>
      <c r="L2069" s="3191"/>
      <c r="M2069" s="111" t="s">
        <v>299</v>
      </c>
      <c r="N2069" s="111"/>
      <c r="O2069" s="40">
        <v>2560</v>
      </c>
      <c r="P2069" s="40"/>
      <c r="Q2069" s="40"/>
      <c r="R2069" s="40"/>
      <c r="S2069" s="40"/>
      <c r="T2069" s="40"/>
      <c r="U2069" s="40"/>
      <c r="V2069" s="40"/>
      <c r="W2069" s="40"/>
      <c r="X2069" s="40"/>
      <c r="Y2069" s="40"/>
      <c r="Z2069" s="40"/>
      <c r="AA2069" s="966">
        <f t="shared" si="341"/>
        <v>2560</v>
      </c>
      <c r="AB2069" s="1210"/>
      <c r="AC2069" s="1199"/>
      <c r="AD2069" s="1211"/>
    </row>
    <row r="2070" spans="1:30" x14ac:dyDescent="0.2">
      <c r="A2070" s="1422"/>
      <c r="B2070" s="2522"/>
      <c r="C2070" s="2456"/>
      <c r="D2070" s="2420"/>
      <c r="E2070" s="2420"/>
      <c r="F2070" s="2420"/>
      <c r="G2070" s="2420"/>
      <c r="H2070" s="2420"/>
      <c r="I2070" s="2420"/>
      <c r="J2070" s="2515"/>
      <c r="K2070" s="40">
        <v>27950</v>
      </c>
      <c r="L2070" s="3191"/>
      <c r="M2070" s="111" t="s">
        <v>300</v>
      </c>
      <c r="N2070" s="111"/>
      <c r="O2070" s="40">
        <v>2329.1666666666665</v>
      </c>
      <c r="P2070" s="40">
        <v>2329.1666666666665</v>
      </c>
      <c r="Q2070" s="40">
        <v>2329.1666666666665</v>
      </c>
      <c r="R2070" s="40">
        <v>2329.1666666666665</v>
      </c>
      <c r="S2070" s="40">
        <v>2329.1666666666665</v>
      </c>
      <c r="T2070" s="40">
        <v>2329.1666666666665</v>
      </c>
      <c r="U2070" s="40">
        <v>2329.1666666666665</v>
      </c>
      <c r="V2070" s="40">
        <v>2329.1666666666665</v>
      </c>
      <c r="W2070" s="40">
        <v>2329.1666666666665</v>
      </c>
      <c r="X2070" s="40">
        <v>2329.1666666666665</v>
      </c>
      <c r="Y2070" s="40">
        <v>2329.1666666666665</v>
      </c>
      <c r="Z2070" s="40">
        <v>2329.1666666666665</v>
      </c>
      <c r="AA2070" s="966">
        <f t="shared" si="341"/>
        <v>27950.000000000004</v>
      </c>
      <c r="AB2070" s="1210"/>
      <c r="AC2070" s="1199"/>
      <c r="AD2070" s="1211"/>
    </row>
    <row r="2071" spans="1:30" x14ac:dyDescent="0.2">
      <c r="A2071" s="1422"/>
      <c r="B2071" s="2522"/>
      <c r="C2071" s="2456"/>
      <c r="D2071" s="2420"/>
      <c r="E2071" s="2420"/>
      <c r="F2071" s="2420"/>
      <c r="G2071" s="2420"/>
      <c r="H2071" s="2420"/>
      <c r="I2071" s="2420"/>
      <c r="J2071" s="2515"/>
      <c r="K2071" s="40">
        <v>2800</v>
      </c>
      <c r="L2071" s="3191"/>
      <c r="M2071" s="111" t="s">
        <v>343</v>
      </c>
      <c r="N2071" s="111"/>
      <c r="O2071" s="40"/>
      <c r="P2071" s="40"/>
      <c r="Q2071" s="40"/>
      <c r="R2071" s="40">
        <v>2800</v>
      </c>
      <c r="S2071" s="40"/>
      <c r="T2071" s="40"/>
      <c r="U2071" s="40"/>
      <c r="V2071" s="40"/>
      <c r="W2071" s="40"/>
      <c r="X2071" s="40"/>
      <c r="Y2071" s="40"/>
      <c r="Z2071" s="40"/>
      <c r="AA2071" s="966">
        <f t="shared" si="341"/>
        <v>2800</v>
      </c>
      <c r="AB2071" s="1210"/>
      <c r="AC2071" s="1199"/>
      <c r="AD2071" s="1211"/>
    </row>
    <row r="2072" spans="1:30" x14ac:dyDescent="0.2">
      <c r="A2072" s="1422"/>
      <c r="B2072" s="2522"/>
      <c r="C2072" s="2456"/>
      <c r="D2072" s="2420"/>
      <c r="E2072" s="2420"/>
      <c r="F2072" s="2420"/>
      <c r="G2072" s="2420"/>
      <c r="H2072" s="2420"/>
      <c r="I2072" s="2420"/>
      <c r="J2072" s="2515"/>
      <c r="K2072" s="40">
        <v>11500</v>
      </c>
      <c r="L2072" s="3191"/>
      <c r="M2072" s="111" t="s">
        <v>309</v>
      </c>
      <c r="N2072" s="111"/>
      <c r="O2072" s="40"/>
      <c r="P2072" s="40"/>
      <c r="Q2072" s="40">
        <v>2300</v>
      </c>
      <c r="R2072" s="40"/>
      <c r="S2072" s="40">
        <v>2300</v>
      </c>
      <c r="T2072" s="40"/>
      <c r="U2072" s="40">
        <v>2300</v>
      </c>
      <c r="V2072" s="40"/>
      <c r="W2072" s="40">
        <v>2300</v>
      </c>
      <c r="X2072" s="40"/>
      <c r="Y2072" s="40">
        <v>2300</v>
      </c>
      <c r="Z2072" s="40"/>
      <c r="AA2072" s="966">
        <f t="shared" si="341"/>
        <v>11500</v>
      </c>
      <c r="AB2072" s="1210"/>
      <c r="AC2072" s="1199"/>
      <c r="AD2072" s="1211"/>
    </row>
    <row r="2073" spans="1:30" x14ac:dyDescent="0.2">
      <c r="A2073" s="1422"/>
      <c r="B2073" s="2522"/>
      <c r="C2073" s="2456"/>
      <c r="D2073" s="2420"/>
      <c r="E2073" s="2420"/>
      <c r="F2073" s="2420"/>
      <c r="G2073" s="2420"/>
      <c r="H2073" s="2420"/>
      <c r="I2073" s="2420"/>
      <c r="J2073" s="2515"/>
      <c r="K2073" s="40">
        <v>66600</v>
      </c>
      <c r="L2073" s="3191"/>
      <c r="M2073" s="111" t="s">
        <v>310</v>
      </c>
      <c r="N2073" s="111"/>
      <c r="O2073" s="40">
        <v>5550</v>
      </c>
      <c r="P2073" s="40">
        <v>5550</v>
      </c>
      <c r="Q2073" s="40">
        <v>5550</v>
      </c>
      <c r="R2073" s="40">
        <v>5550</v>
      </c>
      <c r="S2073" s="40">
        <v>5550</v>
      </c>
      <c r="T2073" s="40">
        <v>5550</v>
      </c>
      <c r="U2073" s="40">
        <v>5550</v>
      </c>
      <c r="V2073" s="40">
        <v>5550</v>
      </c>
      <c r="W2073" s="40">
        <v>5550</v>
      </c>
      <c r="X2073" s="40">
        <v>5550</v>
      </c>
      <c r="Y2073" s="40">
        <v>5550</v>
      </c>
      <c r="Z2073" s="40">
        <v>5550</v>
      </c>
      <c r="AA2073" s="966">
        <f t="shared" si="341"/>
        <v>66600</v>
      </c>
      <c r="AB2073" s="1210"/>
      <c r="AC2073" s="1199"/>
      <c r="AD2073" s="1211"/>
    </row>
    <row r="2074" spans="1:30" x14ac:dyDescent="0.2">
      <c r="A2074" s="1422"/>
      <c r="B2074" s="2522"/>
      <c r="C2074" s="2450"/>
      <c r="D2074" s="2420"/>
      <c r="E2074" s="2420"/>
      <c r="F2074" s="2420"/>
      <c r="G2074" s="2420"/>
      <c r="H2074" s="2420"/>
      <c r="I2074" s="2420"/>
      <c r="J2074" s="2516"/>
      <c r="K2074" s="40">
        <v>5940</v>
      </c>
      <c r="L2074" s="2439"/>
      <c r="M2074" s="111" t="s">
        <v>311</v>
      </c>
      <c r="N2074" s="111"/>
      <c r="O2074" s="40">
        <v>495</v>
      </c>
      <c r="P2074" s="40">
        <v>495</v>
      </c>
      <c r="Q2074" s="40">
        <v>495</v>
      </c>
      <c r="R2074" s="40">
        <v>495</v>
      </c>
      <c r="S2074" s="40">
        <v>495</v>
      </c>
      <c r="T2074" s="40">
        <v>495</v>
      </c>
      <c r="U2074" s="40">
        <v>495</v>
      </c>
      <c r="V2074" s="40">
        <v>495</v>
      </c>
      <c r="W2074" s="40">
        <v>495</v>
      </c>
      <c r="X2074" s="40">
        <v>495</v>
      </c>
      <c r="Y2074" s="40">
        <v>495</v>
      </c>
      <c r="Z2074" s="40">
        <v>495</v>
      </c>
      <c r="AA2074" s="966">
        <f t="shared" si="341"/>
        <v>5940</v>
      </c>
      <c r="AB2074" s="1210"/>
      <c r="AC2074" s="1199"/>
      <c r="AD2074" s="1211"/>
    </row>
    <row r="2075" spans="1:30" x14ac:dyDescent="0.2">
      <c r="A2075" s="1422"/>
      <c r="B2075" s="1427" t="s">
        <v>312</v>
      </c>
      <c r="C2075" s="1128"/>
      <c r="D2075" s="38"/>
      <c r="E2075" s="38"/>
      <c r="F2075" s="38"/>
      <c r="G2075" s="38"/>
      <c r="H2075" s="38"/>
      <c r="I2075" s="38"/>
      <c r="J2075" s="38"/>
      <c r="K2075" s="40">
        <f>SUM(K2064:K2074)</f>
        <v>466742</v>
      </c>
      <c r="L2075" s="38"/>
      <c r="M2075" s="38"/>
      <c r="N2075" s="38"/>
      <c r="O2075" s="38"/>
      <c r="P2075" s="38"/>
      <c r="Q2075" s="38"/>
      <c r="R2075" s="38"/>
      <c r="S2075" s="38"/>
      <c r="T2075" s="38"/>
      <c r="U2075" s="38"/>
      <c r="V2075" s="38"/>
      <c r="W2075" s="38"/>
      <c r="X2075" s="38"/>
      <c r="Y2075" s="38"/>
      <c r="Z2075" s="38"/>
      <c r="AA2075" s="1234"/>
      <c r="AB2075" s="1210"/>
      <c r="AC2075" s="1199"/>
      <c r="AD2075" s="1211"/>
    </row>
    <row r="2076" spans="1:30" ht="22.5" x14ac:dyDescent="0.2">
      <c r="A2076" s="1422"/>
      <c r="B2076" s="1433" t="s">
        <v>276</v>
      </c>
      <c r="C2076" s="1119"/>
      <c r="D2076" s="192">
        <v>3000010</v>
      </c>
      <c r="E2076" s="192" t="s">
        <v>696</v>
      </c>
      <c r="F2076" s="35"/>
      <c r="G2076" s="35"/>
      <c r="H2076" s="35"/>
      <c r="I2076" s="35"/>
      <c r="J2076" s="35"/>
      <c r="K2076" s="35"/>
      <c r="L2076" s="35"/>
      <c r="M2076" s="35"/>
      <c r="N2076" s="35"/>
      <c r="O2076" s="35"/>
      <c r="P2076" s="35"/>
      <c r="Q2076" s="35"/>
      <c r="R2076" s="35"/>
      <c r="S2076" s="3333" t="s">
        <v>15</v>
      </c>
      <c r="T2076" s="3333"/>
      <c r="U2076" s="3333"/>
      <c r="V2076" s="3333"/>
      <c r="W2076" s="3333"/>
      <c r="X2076" s="3333"/>
      <c r="Y2076" s="3333"/>
      <c r="Z2076" s="3333"/>
      <c r="AA2076" s="1228" t="s">
        <v>16</v>
      </c>
      <c r="AB2076" s="1210"/>
      <c r="AC2076" s="1199"/>
      <c r="AD2076" s="1211"/>
    </row>
    <row r="2077" spans="1:30" ht="15" customHeight="1" x14ac:dyDescent="0.2">
      <c r="A2077" s="1422"/>
      <c r="B2077" s="1433"/>
      <c r="C2077" s="1119"/>
      <c r="D2077" s="192"/>
      <c r="E2077" s="192"/>
      <c r="F2077" s="192"/>
      <c r="G2077" s="35"/>
      <c r="H2077" s="35"/>
      <c r="I2077" s="35"/>
      <c r="J2077" s="35"/>
      <c r="K2077" s="35"/>
      <c r="L2077" s="35"/>
      <c r="M2077" s="35"/>
      <c r="N2077" s="35"/>
      <c r="O2077" s="35"/>
      <c r="P2077" s="35"/>
      <c r="Q2077" s="35"/>
      <c r="R2077" s="35"/>
      <c r="S2077" s="3380" t="s">
        <v>697</v>
      </c>
      <c r="T2077" s="3381"/>
      <c r="U2077" s="3381"/>
      <c r="V2077" s="3381"/>
      <c r="W2077" s="3381"/>
      <c r="X2077" s="3381"/>
      <c r="Y2077" s="3381"/>
      <c r="Z2077" s="3382"/>
      <c r="AA2077" s="1214" t="s">
        <v>579</v>
      </c>
      <c r="AB2077" s="1210"/>
      <c r="AC2077" s="1199"/>
      <c r="AD2077" s="1211"/>
    </row>
    <row r="2078" spans="1:30" ht="16.5" customHeight="1" x14ac:dyDescent="0.2">
      <c r="A2078" s="1422"/>
      <c r="B2078" s="2999" t="s">
        <v>278</v>
      </c>
      <c r="C2078" s="3015" t="s">
        <v>21</v>
      </c>
      <c r="D2078" s="2847" t="s">
        <v>22</v>
      </c>
      <c r="E2078" s="2847" t="s">
        <v>23</v>
      </c>
      <c r="F2078" s="2847" t="s">
        <v>24</v>
      </c>
      <c r="G2078" s="2847" t="s">
        <v>25</v>
      </c>
      <c r="H2078" s="2847" t="s">
        <v>26</v>
      </c>
      <c r="I2078" s="2847" t="s">
        <v>27</v>
      </c>
      <c r="J2078" s="3206" t="s">
        <v>28</v>
      </c>
      <c r="K2078" s="3301"/>
      <c r="L2078" s="2847" t="s">
        <v>279</v>
      </c>
      <c r="M2078" s="2847" t="s">
        <v>280</v>
      </c>
      <c r="N2078" s="1017"/>
      <c r="O2078" s="2847" t="s">
        <v>281</v>
      </c>
      <c r="P2078" s="2847"/>
      <c r="Q2078" s="2847"/>
      <c r="R2078" s="2847"/>
      <c r="S2078" s="2847"/>
      <c r="T2078" s="2847"/>
      <c r="U2078" s="2847"/>
      <c r="V2078" s="2847"/>
      <c r="W2078" s="2847"/>
      <c r="X2078" s="2847"/>
      <c r="Y2078" s="2847"/>
      <c r="Z2078" s="2847"/>
      <c r="AA2078" s="3358" t="s">
        <v>32</v>
      </c>
      <c r="AB2078" s="1210"/>
      <c r="AC2078" s="1199"/>
      <c r="AD2078" s="1211"/>
    </row>
    <row r="2079" spans="1:30" x14ac:dyDescent="0.2">
      <c r="A2079" s="1422"/>
      <c r="B2079" s="2999"/>
      <c r="C2079" s="3359"/>
      <c r="D2079" s="2847"/>
      <c r="E2079" s="2847"/>
      <c r="F2079" s="2847"/>
      <c r="G2079" s="2847"/>
      <c r="H2079" s="2847"/>
      <c r="I2079" s="2847"/>
      <c r="J2079" s="1007" t="s">
        <v>33</v>
      </c>
      <c r="K2079" s="2988" t="s">
        <v>282</v>
      </c>
      <c r="L2079" s="2847"/>
      <c r="M2079" s="2847"/>
      <c r="N2079" s="1017"/>
      <c r="O2079" s="1009" t="s">
        <v>283</v>
      </c>
      <c r="P2079" s="1009" t="s">
        <v>284</v>
      </c>
      <c r="Q2079" s="1009" t="s">
        <v>285</v>
      </c>
      <c r="R2079" s="1009" t="s">
        <v>88</v>
      </c>
      <c r="S2079" s="1009" t="s">
        <v>89</v>
      </c>
      <c r="T2079" s="1009" t="s">
        <v>90</v>
      </c>
      <c r="U2079" s="1009" t="s">
        <v>91</v>
      </c>
      <c r="V2079" s="1009" t="s">
        <v>92</v>
      </c>
      <c r="W2079" s="1009" t="s">
        <v>286</v>
      </c>
      <c r="X2079" s="1009" t="s">
        <v>93</v>
      </c>
      <c r="Y2079" s="1009" t="s">
        <v>94</v>
      </c>
      <c r="Z2079" s="1009" t="s">
        <v>95</v>
      </c>
      <c r="AA2079" s="3358"/>
      <c r="AB2079" s="1210"/>
      <c r="AC2079" s="1199"/>
      <c r="AD2079" s="1211"/>
    </row>
    <row r="2080" spans="1:30" ht="12.75" x14ac:dyDescent="0.2">
      <c r="A2080" s="1422"/>
      <c r="B2080" s="2999"/>
      <c r="C2080" s="3359"/>
      <c r="D2080" s="2847"/>
      <c r="E2080" s="2847"/>
      <c r="F2080" s="2847"/>
      <c r="G2080" s="2847"/>
      <c r="H2080" s="2847"/>
      <c r="I2080" s="2847"/>
      <c r="J2080" s="106"/>
      <c r="K2080" s="3186"/>
      <c r="L2080" s="2847"/>
      <c r="M2080" s="1009" t="s">
        <v>287</v>
      </c>
      <c r="N2080" s="1009"/>
      <c r="O2080" s="40"/>
      <c r="P2080" s="40"/>
      <c r="Q2080" s="40">
        <v>1</v>
      </c>
      <c r="R2080" s="40"/>
      <c r="S2080" s="40"/>
      <c r="T2080" s="40"/>
      <c r="U2080" s="40"/>
      <c r="V2080" s="40"/>
      <c r="W2080" s="40"/>
      <c r="X2080" s="40"/>
      <c r="Y2080" s="40"/>
      <c r="Z2080" s="40"/>
      <c r="AA2080" s="1205">
        <f t="shared" ref="AA2080:AA2084" si="343">SUM(O2080:Z2080)</f>
        <v>1</v>
      </c>
      <c r="AB2080" s="1210"/>
      <c r="AC2080" s="1199"/>
      <c r="AD2080" s="1211"/>
    </row>
    <row r="2081" spans="1:30" ht="12.75" x14ac:dyDescent="0.2">
      <c r="A2081" s="1422"/>
      <c r="B2081" s="2999"/>
      <c r="C2081" s="3016"/>
      <c r="D2081" s="2847"/>
      <c r="E2081" s="2847"/>
      <c r="F2081" s="2847"/>
      <c r="G2081" s="2847"/>
      <c r="H2081" s="2847"/>
      <c r="I2081" s="2847"/>
      <c r="J2081" s="1008"/>
      <c r="K2081" s="2989"/>
      <c r="L2081" s="2431" t="s">
        <v>687</v>
      </c>
      <c r="M2081" s="1009" t="s">
        <v>34</v>
      </c>
      <c r="N2081" s="1009"/>
      <c r="O2081" s="40">
        <f>O2082+O2083+O2084</f>
        <v>255</v>
      </c>
      <c r="P2081" s="40">
        <f t="shared" ref="P2081:Z2081" si="344">P2082+P2083+P2084</f>
        <v>255</v>
      </c>
      <c r="Q2081" s="40">
        <f t="shared" si="344"/>
        <v>255</v>
      </c>
      <c r="R2081" s="40">
        <f t="shared" si="344"/>
        <v>255</v>
      </c>
      <c r="S2081" s="40">
        <f t="shared" si="344"/>
        <v>255</v>
      </c>
      <c r="T2081" s="40">
        <f t="shared" si="344"/>
        <v>255</v>
      </c>
      <c r="U2081" s="40">
        <f t="shared" si="344"/>
        <v>255</v>
      </c>
      <c r="V2081" s="40">
        <f t="shared" si="344"/>
        <v>255</v>
      </c>
      <c r="W2081" s="40">
        <f t="shared" si="344"/>
        <v>255</v>
      </c>
      <c r="X2081" s="40">
        <f t="shared" si="344"/>
        <v>255</v>
      </c>
      <c r="Y2081" s="40">
        <f t="shared" si="344"/>
        <v>255</v>
      </c>
      <c r="Z2081" s="40">
        <f t="shared" si="344"/>
        <v>255</v>
      </c>
      <c r="AA2081" s="1205">
        <f t="shared" si="343"/>
        <v>3060</v>
      </c>
      <c r="AB2081" s="1210"/>
      <c r="AC2081" s="1199"/>
      <c r="AD2081" s="1211"/>
    </row>
    <row r="2082" spans="1:30" x14ac:dyDescent="0.2">
      <c r="A2082" s="1422"/>
      <c r="B2082" s="2522">
        <v>5000108</v>
      </c>
      <c r="C2082" s="2438" t="s">
        <v>698</v>
      </c>
      <c r="D2082" s="2420"/>
      <c r="E2082" s="2420" t="s">
        <v>288</v>
      </c>
      <c r="F2082" s="2420" t="s">
        <v>386</v>
      </c>
      <c r="G2082" s="2420" t="s">
        <v>423</v>
      </c>
      <c r="H2082" s="2420"/>
      <c r="I2082" s="2420" t="s">
        <v>573</v>
      </c>
      <c r="J2082" s="3187">
        <v>1</v>
      </c>
      <c r="K2082" s="40">
        <v>1200</v>
      </c>
      <c r="L2082" s="2432"/>
      <c r="M2082" s="111" t="s">
        <v>293</v>
      </c>
      <c r="N2082" s="111"/>
      <c r="O2082" s="40">
        <f t="shared" ref="O2082:Z2084" si="345">$K2082/12</f>
        <v>100</v>
      </c>
      <c r="P2082" s="40">
        <f t="shared" si="345"/>
        <v>100</v>
      </c>
      <c r="Q2082" s="40">
        <f t="shared" si="345"/>
        <v>100</v>
      </c>
      <c r="R2082" s="40">
        <f t="shared" si="345"/>
        <v>100</v>
      </c>
      <c r="S2082" s="40">
        <f t="shared" si="345"/>
        <v>100</v>
      </c>
      <c r="T2082" s="40">
        <f t="shared" si="345"/>
        <v>100</v>
      </c>
      <c r="U2082" s="40">
        <f t="shared" si="345"/>
        <v>100</v>
      </c>
      <c r="V2082" s="40">
        <f t="shared" si="345"/>
        <v>100</v>
      </c>
      <c r="W2082" s="40">
        <f t="shared" si="345"/>
        <v>100</v>
      </c>
      <c r="X2082" s="40">
        <f t="shared" si="345"/>
        <v>100</v>
      </c>
      <c r="Y2082" s="40">
        <f t="shared" si="345"/>
        <v>100</v>
      </c>
      <c r="Z2082" s="40">
        <f t="shared" si="345"/>
        <v>100</v>
      </c>
      <c r="AA2082" s="966">
        <f t="shared" si="343"/>
        <v>1200</v>
      </c>
      <c r="AB2082" s="1210"/>
      <c r="AC2082" s="1199"/>
      <c r="AD2082" s="1211"/>
    </row>
    <row r="2083" spans="1:30" x14ac:dyDescent="0.2">
      <c r="A2083" s="1422"/>
      <c r="B2083" s="2522"/>
      <c r="C2083" s="2456"/>
      <c r="D2083" s="2420"/>
      <c r="E2083" s="2420"/>
      <c r="F2083" s="2420"/>
      <c r="G2083" s="2420"/>
      <c r="H2083" s="2420"/>
      <c r="I2083" s="2420"/>
      <c r="J2083" s="2955"/>
      <c r="K2083" s="40">
        <v>300</v>
      </c>
      <c r="L2083" s="2432"/>
      <c r="M2083" s="111" t="s">
        <v>295</v>
      </c>
      <c r="N2083" s="111"/>
      <c r="O2083" s="40">
        <f t="shared" si="345"/>
        <v>25</v>
      </c>
      <c r="P2083" s="40">
        <f t="shared" si="345"/>
        <v>25</v>
      </c>
      <c r="Q2083" s="40">
        <f t="shared" si="345"/>
        <v>25</v>
      </c>
      <c r="R2083" s="40">
        <f t="shared" si="345"/>
        <v>25</v>
      </c>
      <c r="S2083" s="40">
        <f t="shared" si="345"/>
        <v>25</v>
      </c>
      <c r="T2083" s="40">
        <f t="shared" si="345"/>
        <v>25</v>
      </c>
      <c r="U2083" s="40">
        <f t="shared" si="345"/>
        <v>25</v>
      </c>
      <c r="V2083" s="40">
        <f t="shared" si="345"/>
        <v>25</v>
      </c>
      <c r="W2083" s="40">
        <f t="shared" si="345"/>
        <v>25</v>
      </c>
      <c r="X2083" s="40">
        <f t="shared" si="345"/>
        <v>25</v>
      </c>
      <c r="Y2083" s="40">
        <f t="shared" si="345"/>
        <v>25</v>
      </c>
      <c r="Z2083" s="40">
        <f t="shared" si="345"/>
        <v>25</v>
      </c>
      <c r="AA2083" s="966">
        <f t="shared" si="343"/>
        <v>300</v>
      </c>
      <c r="AB2083" s="1210"/>
      <c r="AC2083" s="1199"/>
      <c r="AD2083" s="1211"/>
    </row>
    <row r="2084" spans="1:30" x14ac:dyDescent="0.2">
      <c r="A2084" s="1422"/>
      <c r="B2084" s="2522"/>
      <c r="C2084" s="2450"/>
      <c r="D2084" s="2420"/>
      <c r="E2084" s="2420"/>
      <c r="F2084" s="2420"/>
      <c r="G2084" s="2420"/>
      <c r="H2084" s="2420"/>
      <c r="I2084" s="2420"/>
      <c r="J2084" s="2956"/>
      <c r="K2084" s="40">
        <v>1560</v>
      </c>
      <c r="L2084" s="2437"/>
      <c r="M2084" s="111" t="s">
        <v>296</v>
      </c>
      <c r="N2084" s="111"/>
      <c r="O2084" s="40">
        <f t="shared" si="345"/>
        <v>130</v>
      </c>
      <c r="P2084" s="40">
        <f t="shared" si="345"/>
        <v>130</v>
      </c>
      <c r="Q2084" s="40">
        <f t="shared" si="345"/>
        <v>130</v>
      </c>
      <c r="R2084" s="40">
        <f t="shared" si="345"/>
        <v>130</v>
      </c>
      <c r="S2084" s="40">
        <f t="shared" si="345"/>
        <v>130</v>
      </c>
      <c r="T2084" s="40">
        <f t="shared" si="345"/>
        <v>130</v>
      </c>
      <c r="U2084" s="40">
        <f t="shared" si="345"/>
        <v>130</v>
      </c>
      <c r="V2084" s="40">
        <f t="shared" si="345"/>
        <v>130</v>
      </c>
      <c r="W2084" s="40">
        <f t="shared" si="345"/>
        <v>130</v>
      </c>
      <c r="X2084" s="40">
        <f t="shared" si="345"/>
        <v>130</v>
      </c>
      <c r="Y2084" s="40">
        <f t="shared" si="345"/>
        <v>130</v>
      </c>
      <c r="Z2084" s="40">
        <f t="shared" si="345"/>
        <v>130</v>
      </c>
      <c r="AA2084" s="966">
        <f t="shared" si="343"/>
        <v>1560</v>
      </c>
      <c r="AB2084" s="1210"/>
      <c r="AC2084" s="1199"/>
      <c r="AD2084" s="1211"/>
    </row>
    <row r="2085" spans="1:30" x14ac:dyDescent="0.2">
      <c r="A2085" s="1422"/>
      <c r="B2085" s="1427" t="s">
        <v>312</v>
      </c>
      <c r="C2085" s="1128"/>
      <c r="D2085" s="38"/>
      <c r="E2085" s="38"/>
      <c r="F2085" s="38"/>
      <c r="G2085" s="38"/>
      <c r="H2085" s="38"/>
      <c r="I2085" s="38"/>
      <c r="J2085" s="38"/>
      <c r="K2085" s="40">
        <f>SUM(K2082:K2084)</f>
        <v>3060</v>
      </c>
      <c r="L2085" s="38"/>
      <c r="M2085" s="38"/>
      <c r="N2085" s="38"/>
      <c r="O2085" s="38"/>
      <c r="P2085" s="38"/>
      <c r="Q2085" s="38"/>
      <c r="R2085" s="38"/>
      <c r="S2085" s="38"/>
      <c r="T2085" s="38"/>
      <c r="U2085" s="38"/>
      <c r="V2085" s="38"/>
      <c r="W2085" s="38"/>
      <c r="X2085" s="38"/>
      <c r="Y2085" s="38"/>
      <c r="Z2085" s="38"/>
      <c r="AA2085" s="966"/>
      <c r="AB2085" s="1210"/>
      <c r="AC2085" s="1199"/>
      <c r="AD2085" s="1211"/>
    </row>
    <row r="2086" spans="1:30" ht="24.75" customHeight="1" x14ac:dyDescent="0.2">
      <c r="A2086" s="1422"/>
      <c r="B2086" s="1433" t="s">
        <v>276</v>
      </c>
      <c r="C2086" s="1119"/>
      <c r="D2086" s="192">
        <v>3000011</v>
      </c>
      <c r="E2086" s="192" t="s">
        <v>699</v>
      </c>
      <c r="F2086" s="35"/>
      <c r="G2086" s="35"/>
      <c r="H2086" s="35"/>
      <c r="I2086" s="35"/>
      <c r="J2086" s="35"/>
      <c r="K2086" s="35"/>
      <c r="L2086" s="35"/>
      <c r="M2086" s="35"/>
      <c r="N2086" s="35"/>
      <c r="O2086" s="35"/>
      <c r="P2086" s="35"/>
      <c r="Q2086" s="35"/>
      <c r="R2086" s="35"/>
      <c r="S2086" s="3333" t="s">
        <v>15</v>
      </c>
      <c r="T2086" s="3333"/>
      <c r="U2086" s="3333"/>
      <c r="V2086" s="3333"/>
      <c r="W2086" s="3333"/>
      <c r="X2086" s="3333"/>
      <c r="Y2086" s="3333"/>
      <c r="Z2086" s="3333"/>
      <c r="AA2086" s="1949" t="s">
        <v>16</v>
      </c>
      <c r="AB2086" s="1210"/>
      <c r="AC2086" s="1199"/>
      <c r="AD2086" s="1211"/>
    </row>
    <row r="2087" spans="1:30" ht="22.5" customHeight="1" x14ac:dyDescent="0.2">
      <c r="A2087" s="1422"/>
      <c r="B2087" s="1433"/>
      <c r="C2087" s="1119"/>
      <c r="D2087" s="192"/>
      <c r="E2087" s="192"/>
      <c r="F2087" s="35"/>
      <c r="G2087" s="35"/>
      <c r="H2087" s="35"/>
      <c r="I2087" s="35"/>
      <c r="J2087" s="35"/>
      <c r="K2087" s="35"/>
      <c r="L2087" s="35"/>
      <c r="M2087" s="35"/>
      <c r="N2087" s="35"/>
      <c r="O2087" s="35"/>
      <c r="P2087" s="35"/>
      <c r="Q2087" s="35"/>
      <c r="R2087" s="35"/>
      <c r="S2087" s="3384" t="s">
        <v>3728</v>
      </c>
      <c r="T2087" s="3385"/>
      <c r="U2087" s="3385"/>
      <c r="V2087" s="3385"/>
      <c r="W2087" s="3385"/>
      <c r="X2087" s="3385"/>
      <c r="Y2087" s="3385"/>
      <c r="Z2087" s="3386"/>
      <c r="AA2087" s="1214" t="s">
        <v>609</v>
      </c>
      <c r="AB2087" s="1210"/>
      <c r="AC2087" s="1199"/>
      <c r="AD2087" s="1211"/>
    </row>
    <row r="2088" spans="1:30" x14ac:dyDescent="0.2">
      <c r="A2088" s="1422"/>
      <c r="B2088" s="2999" t="s">
        <v>278</v>
      </c>
      <c r="C2088" s="3015" t="s">
        <v>21</v>
      </c>
      <c r="D2088" s="2847" t="s">
        <v>22</v>
      </c>
      <c r="E2088" s="2847" t="s">
        <v>23</v>
      </c>
      <c r="F2088" s="2847" t="s">
        <v>24</v>
      </c>
      <c r="G2088" s="2847" t="s">
        <v>25</v>
      </c>
      <c r="H2088" s="2847" t="s">
        <v>26</v>
      </c>
      <c r="I2088" s="2847" t="s">
        <v>27</v>
      </c>
      <c r="J2088" s="3206" t="s">
        <v>28</v>
      </c>
      <c r="K2088" s="3301"/>
      <c r="L2088" s="2988" t="s">
        <v>279</v>
      </c>
      <c r="M2088" s="2847" t="s">
        <v>280</v>
      </c>
      <c r="N2088" s="1017"/>
      <c r="O2088" s="2847" t="s">
        <v>281</v>
      </c>
      <c r="P2088" s="2847"/>
      <c r="Q2088" s="2847"/>
      <c r="R2088" s="2847"/>
      <c r="S2088" s="2847"/>
      <c r="T2088" s="2847"/>
      <c r="U2088" s="2847"/>
      <c r="V2088" s="2847"/>
      <c r="W2088" s="2847"/>
      <c r="X2088" s="2847"/>
      <c r="Y2088" s="2847"/>
      <c r="Z2088" s="2847"/>
      <c r="AA2088" s="3358" t="s">
        <v>32</v>
      </c>
      <c r="AB2088" s="1210"/>
      <c r="AC2088" s="1199"/>
      <c r="AD2088" s="1211"/>
    </row>
    <row r="2089" spans="1:30" x14ac:dyDescent="0.2">
      <c r="A2089" s="1422"/>
      <c r="B2089" s="2999"/>
      <c r="C2089" s="3359"/>
      <c r="D2089" s="2847"/>
      <c r="E2089" s="2847"/>
      <c r="F2089" s="2847"/>
      <c r="G2089" s="2847"/>
      <c r="H2089" s="2847"/>
      <c r="I2089" s="2847"/>
      <c r="J2089" s="1007" t="s">
        <v>33</v>
      </c>
      <c r="K2089" s="2988" t="s">
        <v>282</v>
      </c>
      <c r="L2089" s="3186"/>
      <c r="M2089" s="2847"/>
      <c r="N2089" s="1017"/>
      <c r="O2089" s="1009" t="s">
        <v>283</v>
      </c>
      <c r="P2089" s="1009" t="s">
        <v>284</v>
      </c>
      <c r="Q2089" s="1009" t="s">
        <v>285</v>
      </c>
      <c r="R2089" s="1009" t="s">
        <v>88</v>
      </c>
      <c r="S2089" s="1009" t="s">
        <v>89</v>
      </c>
      <c r="T2089" s="1009" t="s">
        <v>90</v>
      </c>
      <c r="U2089" s="1009" t="s">
        <v>91</v>
      </c>
      <c r="V2089" s="1009" t="s">
        <v>92</v>
      </c>
      <c r="W2089" s="1009" t="s">
        <v>286</v>
      </c>
      <c r="X2089" s="1009" t="s">
        <v>93</v>
      </c>
      <c r="Y2089" s="1009" t="s">
        <v>94</v>
      </c>
      <c r="Z2089" s="1009" t="s">
        <v>95</v>
      </c>
      <c r="AA2089" s="3358"/>
      <c r="AB2089" s="1210"/>
      <c r="AC2089" s="1199"/>
      <c r="AD2089" s="1211"/>
    </row>
    <row r="2090" spans="1:30" ht="12.75" x14ac:dyDescent="0.2">
      <c r="A2090" s="1422"/>
      <c r="B2090" s="2999"/>
      <c r="C2090" s="3359"/>
      <c r="D2090" s="2847"/>
      <c r="E2090" s="2847"/>
      <c r="F2090" s="2847"/>
      <c r="G2090" s="2847"/>
      <c r="H2090" s="2847"/>
      <c r="I2090" s="2847"/>
      <c r="J2090" s="106"/>
      <c r="K2090" s="3186"/>
      <c r="L2090" s="3186"/>
      <c r="M2090" s="1009" t="s">
        <v>287</v>
      </c>
      <c r="N2090" s="1009"/>
      <c r="O2090" s="40">
        <v>3046</v>
      </c>
      <c r="P2090" s="40">
        <v>3046</v>
      </c>
      <c r="Q2090" s="40">
        <v>3046</v>
      </c>
      <c r="R2090" s="40">
        <v>3046</v>
      </c>
      <c r="S2090" s="40">
        <v>3046</v>
      </c>
      <c r="T2090" s="40">
        <v>3046</v>
      </c>
      <c r="U2090" s="40">
        <v>3046</v>
      </c>
      <c r="V2090" s="40">
        <v>3046</v>
      </c>
      <c r="W2090" s="40">
        <v>3046</v>
      </c>
      <c r="X2090" s="40">
        <v>3046</v>
      </c>
      <c r="Y2090" s="40">
        <v>3046</v>
      </c>
      <c r="Z2090" s="40">
        <v>3046</v>
      </c>
      <c r="AA2090" s="1205">
        <f t="shared" ref="AA2090:AA2107" si="346">SUM(O2090:Z2090)</f>
        <v>36552</v>
      </c>
      <c r="AB2090" s="1210"/>
      <c r="AC2090" s="1199"/>
      <c r="AD2090" s="1211"/>
    </row>
    <row r="2091" spans="1:30" ht="12.75" x14ac:dyDescent="0.2">
      <c r="A2091" s="1422"/>
      <c r="B2091" s="2999"/>
      <c r="C2091" s="3016"/>
      <c r="D2091" s="2847"/>
      <c r="E2091" s="2847"/>
      <c r="F2091" s="2847"/>
      <c r="G2091" s="2847"/>
      <c r="H2091" s="2847"/>
      <c r="I2091" s="2847"/>
      <c r="J2091" s="1008"/>
      <c r="K2091" s="2989"/>
      <c r="L2091" s="2989"/>
      <c r="M2091" s="1009" t="s">
        <v>34</v>
      </c>
      <c r="N2091" s="1009"/>
      <c r="O2091" s="40">
        <f>SUM(O2092:O2107)</f>
        <v>41634.583333333336</v>
      </c>
      <c r="P2091" s="40">
        <f t="shared" ref="P2091:Z2091" si="347">SUM(P2092:P2107)</f>
        <v>40725.492424242424</v>
      </c>
      <c r="Q2091" s="40">
        <f t="shared" si="347"/>
        <v>41605.492424242424</v>
      </c>
      <c r="R2091" s="40">
        <f t="shared" si="347"/>
        <v>44705.492424242424</v>
      </c>
      <c r="S2091" s="40">
        <f t="shared" si="347"/>
        <v>40305.492424242424</v>
      </c>
      <c r="T2091" s="40">
        <f t="shared" si="347"/>
        <v>40305.492424242424</v>
      </c>
      <c r="U2091" s="40">
        <f t="shared" si="347"/>
        <v>41832.492424242424</v>
      </c>
      <c r="V2091" s="40">
        <f t="shared" si="347"/>
        <v>40305.492424242424</v>
      </c>
      <c r="W2091" s="40">
        <f t="shared" si="347"/>
        <v>40305.492424242424</v>
      </c>
      <c r="X2091" s="40">
        <f t="shared" si="347"/>
        <v>40305.492424242424</v>
      </c>
      <c r="Y2091" s="40">
        <f t="shared" si="347"/>
        <v>40305.492424242424</v>
      </c>
      <c r="Z2091" s="40">
        <f t="shared" si="347"/>
        <v>41832.492424242424</v>
      </c>
      <c r="AA2091" s="1205">
        <f t="shared" si="346"/>
        <v>494169.00000000006</v>
      </c>
      <c r="AB2091" s="1210"/>
      <c r="AC2091" s="1199"/>
      <c r="AD2091" s="1211"/>
    </row>
    <row r="2092" spans="1:30" x14ac:dyDescent="0.2">
      <c r="A2092" s="1422"/>
      <c r="B2092" s="2522">
        <v>5000109</v>
      </c>
      <c r="C2092" s="2438" t="s">
        <v>700</v>
      </c>
      <c r="D2092" s="3369">
        <v>71</v>
      </c>
      <c r="E2092" s="2420" t="s">
        <v>288</v>
      </c>
      <c r="F2092" s="2420" t="s">
        <v>386</v>
      </c>
      <c r="G2092" s="2420" t="s">
        <v>423</v>
      </c>
      <c r="H2092" s="2420" t="s">
        <v>701</v>
      </c>
      <c r="I2092" s="2420" t="s">
        <v>695</v>
      </c>
      <c r="J2092" s="2514">
        <v>36552</v>
      </c>
      <c r="K2092" s="40">
        <v>267807</v>
      </c>
      <c r="L2092" s="2431" t="s">
        <v>687</v>
      </c>
      <c r="M2092" s="111" t="s">
        <v>293</v>
      </c>
      <c r="N2092" s="111"/>
      <c r="O2092" s="40">
        <v>22317.25</v>
      </c>
      <c r="P2092" s="40">
        <v>22317.25</v>
      </c>
      <c r="Q2092" s="40">
        <v>22317.25</v>
      </c>
      <c r="R2092" s="40">
        <v>22317.25</v>
      </c>
      <c r="S2092" s="40">
        <v>22317.25</v>
      </c>
      <c r="T2092" s="40">
        <v>22317.25</v>
      </c>
      <c r="U2092" s="40">
        <v>22317.25</v>
      </c>
      <c r="V2092" s="40">
        <v>22317.25</v>
      </c>
      <c r="W2092" s="40">
        <v>22317.25</v>
      </c>
      <c r="X2092" s="40">
        <v>22317.25</v>
      </c>
      <c r="Y2092" s="40">
        <v>22317.25</v>
      </c>
      <c r="Z2092" s="40">
        <v>22317.25</v>
      </c>
      <c r="AA2092" s="966">
        <f t="shared" si="346"/>
        <v>267807</v>
      </c>
      <c r="AB2092" s="1210"/>
      <c r="AC2092" s="1199"/>
      <c r="AD2092" s="1211"/>
    </row>
    <row r="2093" spans="1:30" x14ac:dyDescent="0.2">
      <c r="A2093" s="1422"/>
      <c r="B2093" s="2522"/>
      <c r="C2093" s="2456"/>
      <c r="D2093" s="3369"/>
      <c r="E2093" s="2420"/>
      <c r="F2093" s="2420"/>
      <c r="G2093" s="2420"/>
      <c r="H2093" s="2420"/>
      <c r="I2093" s="2420"/>
      <c r="J2093" s="2515"/>
      <c r="K2093" s="40">
        <v>66120</v>
      </c>
      <c r="L2093" s="2432"/>
      <c r="M2093" s="111" t="s">
        <v>295</v>
      </c>
      <c r="N2093" s="111"/>
      <c r="O2093" s="40">
        <v>5510</v>
      </c>
      <c r="P2093" s="40">
        <v>5510</v>
      </c>
      <c r="Q2093" s="40">
        <v>5510</v>
      </c>
      <c r="R2093" s="40">
        <v>5510</v>
      </c>
      <c r="S2093" s="40">
        <v>5510</v>
      </c>
      <c r="T2093" s="40">
        <v>5510</v>
      </c>
      <c r="U2093" s="40">
        <v>5510</v>
      </c>
      <c r="V2093" s="40">
        <v>5510</v>
      </c>
      <c r="W2093" s="40">
        <v>5510</v>
      </c>
      <c r="X2093" s="40">
        <v>5510</v>
      </c>
      <c r="Y2093" s="40">
        <v>5510</v>
      </c>
      <c r="Z2093" s="40">
        <v>5510</v>
      </c>
      <c r="AA2093" s="966">
        <f t="shared" si="346"/>
        <v>66120</v>
      </c>
      <c r="AB2093" s="1210"/>
      <c r="AC2093" s="1199"/>
      <c r="AD2093" s="1211"/>
    </row>
    <row r="2094" spans="1:30" x14ac:dyDescent="0.2">
      <c r="A2094" s="1422"/>
      <c r="B2094" s="2522"/>
      <c r="C2094" s="2456"/>
      <c r="D2094" s="3369"/>
      <c r="E2094" s="2420"/>
      <c r="F2094" s="2420"/>
      <c r="G2094" s="2420"/>
      <c r="H2094" s="2420"/>
      <c r="I2094" s="2420"/>
      <c r="J2094" s="2515"/>
      <c r="K2094" s="40">
        <v>60336</v>
      </c>
      <c r="L2094" s="2432"/>
      <c r="M2094" s="111" t="s">
        <v>296</v>
      </c>
      <c r="N2094" s="111"/>
      <c r="O2094" s="40">
        <v>5028</v>
      </c>
      <c r="P2094" s="40">
        <v>5028</v>
      </c>
      <c r="Q2094" s="40">
        <v>5028</v>
      </c>
      <c r="R2094" s="40">
        <v>5028</v>
      </c>
      <c r="S2094" s="40">
        <v>5028</v>
      </c>
      <c r="T2094" s="40">
        <v>5028</v>
      </c>
      <c r="U2094" s="40">
        <v>5028</v>
      </c>
      <c r="V2094" s="40">
        <v>5028</v>
      </c>
      <c r="W2094" s="40">
        <v>5028</v>
      </c>
      <c r="X2094" s="40">
        <v>5028</v>
      </c>
      <c r="Y2094" s="40">
        <v>5028</v>
      </c>
      <c r="Z2094" s="40">
        <v>5028</v>
      </c>
      <c r="AA2094" s="966">
        <f t="shared" si="346"/>
        <v>60336</v>
      </c>
      <c r="AB2094" s="1210"/>
      <c r="AC2094" s="1199"/>
      <c r="AD2094" s="1211"/>
    </row>
    <row r="2095" spans="1:30" x14ac:dyDescent="0.2">
      <c r="A2095" s="1422"/>
      <c r="B2095" s="2522"/>
      <c r="C2095" s="2456"/>
      <c r="D2095" s="3369"/>
      <c r="E2095" s="2420"/>
      <c r="F2095" s="2420"/>
      <c r="G2095" s="2420"/>
      <c r="H2095" s="2420"/>
      <c r="I2095" s="2420"/>
      <c r="J2095" s="2515"/>
      <c r="K2095" s="40">
        <v>36096</v>
      </c>
      <c r="L2095" s="2432"/>
      <c r="M2095" s="111" t="s">
        <v>297</v>
      </c>
      <c r="N2095" s="111"/>
      <c r="O2095" s="40">
        <v>3008</v>
      </c>
      <c r="P2095" s="40">
        <v>3008</v>
      </c>
      <c r="Q2095" s="40">
        <v>3008</v>
      </c>
      <c r="R2095" s="40">
        <v>3008</v>
      </c>
      <c r="S2095" s="40">
        <v>3008</v>
      </c>
      <c r="T2095" s="40">
        <v>3008</v>
      </c>
      <c r="U2095" s="40">
        <v>3008</v>
      </c>
      <c r="V2095" s="40">
        <v>3008</v>
      </c>
      <c r="W2095" s="40">
        <v>3008</v>
      </c>
      <c r="X2095" s="40">
        <v>3008</v>
      </c>
      <c r="Y2095" s="40">
        <v>3008</v>
      </c>
      <c r="Z2095" s="40">
        <v>3008</v>
      </c>
      <c r="AA2095" s="966">
        <f t="shared" si="346"/>
        <v>36096</v>
      </c>
      <c r="AB2095" s="1210"/>
      <c r="AC2095" s="1199"/>
      <c r="AD2095" s="1211"/>
    </row>
    <row r="2096" spans="1:30" x14ac:dyDescent="0.2">
      <c r="A2096" s="1422"/>
      <c r="B2096" s="2522"/>
      <c r="C2096" s="2456"/>
      <c r="D2096" s="3369"/>
      <c r="E2096" s="2420"/>
      <c r="F2096" s="2420"/>
      <c r="G2096" s="2420"/>
      <c r="H2096" s="2420"/>
      <c r="I2096" s="2420"/>
      <c r="J2096" s="2515"/>
      <c r="K2096" s="40">
        <v>3054</v>
      </c>
      <c r="L2096" s="2432"/>
      <c r="M2096" s="111" t="s">
        <v>298</v>
      </c>
      <c r="N2096" s="111"/>
      <c r="O2096" s="40"/>
      <c r="P2096" s="40"/>
      <c r="Q2096" s="40"/>
      <c r="R2096" s="40"/>
      <c r="S2096" s="40"/>
      <c r="T2096" s="40"/>
      <c r="U2096" s="40">
        <v>1527</v>
      </c>
      <c r="V2096" s="40"/>
      <c r="W2096" s="40"/>
      <c r="X2096" s="40"/>
      <c r="Y2096" s="40"/>
      <c r="Z2096" s="40">
        <v>1527</v>
      </c>
      <c r="AA2096" s="966">
        <f t="shared" si="346"/>
        <v>3054</v>
      </c>
      <c r="AB2096" s="1210"/>
      <c r="AC2096" s="1199"/>
      <c r="AD2096" s="1211"/>
    </row>
    <row r="2097" spans="1:30" x14ac:dyDescent="0.2">
      <c r="A2097" s="1422"/>
      <c r="B2097" s="2522"/>
      <c r="C2097" s="2456"/>
      <c r="D2097" s="3369"/>
      <c r="E2097" s="2420"/>
      <c r="F2097" s="2420"/>
      <c r="G2097" s="2420"/>
      <c r="H2097" s="2420"/>
      <c r="I2097" s="2420"/>
      <c r="J2097" s="2515"/>
      <c r="K2097" s="40">
        <v>2000</v>
      </c>
      <c r="L2097" s="2432"/>
      <c r="M2097" s="111" t="s">
        <v>299</v>
      </c>
      <c r="N2097" s="111"/>
      <c r="O2097" s="40">
        <v>2000</v>
      </c>
      <c r="P2097" s="40"/>
      <c r="Q2097" s="40"/>
      <c r="R2097" s="40"/>
      <c r="S2097" s="40"/>
      <c r="T2097" s="40"/>
      <c r="U2097" s="40"/>
      <c r="V2097" s="40"/>
      <c r="W2097" s="40"/>
      <c r="X2097" s="40"/>
      <c r="Y2097" s="40"/>
      <c r="Z2097" s="40"/>
      <c r="AA2097" s="966">
        <f t="shared" si="346"/>
        <v>2000</v>
      </c>
      <c r="AB2097" s="1210"/>
      <c r="AC2097" s="1199"/>
      <c r="AD2097" s="1211"/>
    </row>
    <row r="2098" spans="1:30" x14ac:dyDescent="0.2">
      <c r="A2098" s="1422"/>
      <c r="B2098" s="2522"/>
      <c r="C2098" s="2456"/>
      <c r="D2098" s="3369"/>
      <c r="E2098" s="2420"/>
      <c r="F2098" s="2420"/>
      <c r="G2098" s="2420"/>
      <c r="H2098" s="2420"/>
      <c r="I2098" s="2420"/>
      <c r="J2098" s="2515"/>
      <c r="K2098" s="40">
        <v>12664</v>
      </c>
      <c r="L2098" s="2432"/>
      <c r="M2098" s="111" t="s">
        <v>300</v>
      </c>
      <c r="N2098" s="111"/>
      <c r="O2098" s="40">
        <v>1055.3333333333333</v>
      </c>
      <c r="P2098" s="40">
        <v>1055.3333333333333</v>
      </c>
      <c r="Q2098" s="40">
        <v>1055.3333333333333</v>
      </c>
      <c r="R2098" s="40">
        <v>1055.3333333333333</v>
      </c>
      <c r="S2098" s="40">
        <v>1055.3333333333333</v>
      </c>
      <c r="T2098" s="40">
        <v>1055.3333333333333</v>
      </c>
      <c r="U2098" s="40">
        <v>1055.3333333333333</v>
      </c>
      <c r="V2098" s="40">
        <v>1055.3333333333333</v>
      </c>
      <c r="W2098" s="40">
        <v>1055.3333333333333</v>
      </c>
      <c r="X2098" s="40">
        <v>1055.3333333333333</v>
      </c>
      <c r="Y2098" s="40">
        <v>1055.3333333333333</v>
      </c>
      <c r="Z2098" s="40">
        <v>1055.3333333333333</v>
      </c>
      <c r="AA2098" s="966">
        <f t="shared" si="346"/>
        <v>12664.000000000002</v>
      </c>
      <c r="AB2098" s="1210"/>
      <c r="AC2098" s="1199"/>
      <c r="AD2098" s="1211"/>
    </row>
    <row r="2099" spans="1:30" x14ac:dyDescent="0.2">
      <c r="A2099" s="1422"/>
      <c r="B2099" s="2522"/>
      <c r="C2099" s="2456"/>
      <c r="D2099" s="3369"/>
      <c r="E2099" s="2420"/>
      <c r="F2099" s="2420"/>
      <c r="G2099" s="2420"/>
      <c r="H2099" s="2420"/>
      <c r="I2099" s="2420"/>
      <c r="J2099" s="2515"/>
      <c r="K2099" s="40">
        <v>1000</v>
      </c>
      <c r="L2099" s="2432"/>
      <c r="M2099" s="111" t="s">
        <v>303</v>
      </c>
      <c r="N2099" s="111"/>
      <c r="O2099" s="40"/>
      <c r="P2099" s="40"/>
      <c r="Q2099" s="40">
        <v>1000</v>
      </c>
      <c r="R2099" s="40"/>
      <c r="S2099" s="40"/>
      <c r="T2099" s="40"/>
      <c r="U2099" s="40"/>
      <c r="V2099" s="40"/>
      <c r="W2099" s="40"/>
      <c r="X2099" s="40"/>
      <c r="Y2099" s="40"/>
      <c r="Z2099" s="40"/>
      <c r="AA2099" s="966">
        <f t="shared" si="346"/>
        <v>1000</v>
      </c>
      <c r="AB2099" s="1210"/>
      <c r="AC2099" s="1199"/>
      <c r="AD2099" s="1211"/>
    </row>
    <row r="2100" spans="1:30" x14ac:dyDescent="0.2">
      <c r="A2100" s="1422"/>
      <c r="B2100" s="2522"/>
      <c r="C2100" s="2456"/>
      <c r="D2100" s="3369"/>
      <c r="E2100" s="2420"/>
      <c r="F2100" s="2420"/>
      <c r="G2100" s="2420"/>
      <c r="H2100" s="2420"/>
      <c r="I2100" s="2420"/>
      <c r="J2100" s="2515"/>
      <c r="K2100" s="40">
        <v>500</v>
      </c>
      <c r="L2100" s="2432"/>
      <c r="M2100" s="111" t="s">
        <v>324</v>
      </c>
      <c r="N2100" s="111"/>
      <c r="O2100" s="40"/>
      <c r="P2100" s="40">
        <v>500</v>
      </c>
      <c r="Q2100" s="40"/>
      <c r="R2100" s="40"/>
      <c r="S2100" s="40"/>
      <c r="T2100" s="40"/>
      <c r="U2100" s="40"/>
      <c r="V2100" s="40"/>
      <c r="W2100" s="40"/>
      <c r="X2100" s="40"/>
      <c r="Y2100" s="40"/>
      <c r="Z2100" s="40"/>
      <c r="AA2100" s="966">
        <f t="shared" si="346"/>
        <v>500</v>
      </c>
      <c r="AB2100" s="1210"/>
      <c r="AC2100" s="1199"/>
      <c r="AD2100" s="1211"/>
    </row>
    <row r="2101" spans="1:30" x14ac:dyDescent="0.2">
      <c r="A2101" s="1422"/>
      <c r="B2101" s="2522"/>
      <c r="C2101" s="2456"/>
      <c r="D2101" s="3369"/>
      <c r="E2101" s="2420"/>
      <c r="F2101" s="2420"/>
      <c r="G2101" s="2420"/>
      <c r="H2101" s="2420"/>
      <c r="I2101" s="2420"/>
      <c r="J2101" s="2515"/>
      <c r="K2101" s="40">
        <v>500</v>
      </c>
      <c r="L2101" s="2432"/>
      <c r="M2101" s="111" t="s">
        <v>393</v>
      </c>
      <c r="N2101" s="111"/>
      <c r="O2101" s="40"/>
      <c r="P2101" s="40"/>
      <c r="Q2101" s="40"/>
      <c r="R2101" s="40">
        <v>500</v>
      </c>
      <c r="S2101" s="40"/>
      <c r="T2101" s="40"/>
      <c r="U2101" s="40"/>
      <c r="V2101" s="40"/>
      <c r="W2101" s="40"/>
      <c r="X2101" s="40"/>
      <c r="Y2101" s="40"/>
      <c r="Z2101" s="40"/>
      <c r="AA2101" s="966">
        <f t="shared" si="346"/>
        <v>500</v>
      </c>
      <c r="AB2101" s="1210"/>
      <c r="AC2101" s="1199"/>
      <c r="AD2101" s="1211"/>
    </row>
    <row r="2102" spans="1:30" x14ac:dyDescent="0.2">
      <c r="A2102" s="1422"/>
      <c r="B2102" s="2522"/>
      <c r="C2102" s="2456"/>
      <c r="D2102" s="3369"/>
      <c r="E2102" s="2420"/>
      <c r="F2102" s="2420"/>
      <c r="G2102" s="2420"/>
      <c r="H2102" s="2420"/>
      <c r="I2102" s="2420"/>
      <c r="J2102" s="2515"/>
      <c r="K2102" s="40">
        <v>300</v>
      </c>
      <c r="L2102" s="2432"/>
      <c r="M2102" s="111" t="s">
        <v>611</v>
      </c>
      <c r="N2102" s="111"/>
      <c r="O2102" s="40"/>
      <c r="P2102" s="40"/>
      <c r="Q2102" s="40">
        <v>300</v>
      </c>
      <c r="R2102" s="40"/>
      <c r="S2102" s="40"/>
      <c r="T2102" s="40"/>
      <c r="U2102" s="40"/>
      <c r="V2102" s="40"/>
      <c r="W2102" s="40"/>
      <c r="X2102" s="40"/>
      <c r="Y2102" s="40"/>
      <c r="Z2102" s="40"/>
      <c r="AA2102" s="966">
        <f t="shared" si="346"/>
        <v>300</v>
      </c>
      <c r="AB2102" s="1210"/>
      <c r="AC2102" s="1199"/>
      <c r="AD2102" s="1211"/>
    </row>
    <row r="2103" spans="1:30" x14ac:dyDescent="0.2">
      <c r="A2103" s="1422"/>
      <c r="B2103" s="2522"/>
      <c r="C2103" s="2456"/>
      <c r="D2103" s="3369"/>
      <c r="E2103" s="2420"/>
      <c r="F2103" s="2420"/>
      <c r="G2103" s="2420"/>
      <c r="H2103" s="2420"/>
      <c r="I2103" s="2420"/>
      <c r="J2103" s="2515"/>
      <c r="K2103" s="40">
        <v>3900</v>
      </c>
      <c r="L2103" s="2432"/>
      <c r="M2103" s="111" t="s">
        <v>343</v>
      </c>
      <c r="N2103" s="111"/>
      <c r="O2103" s="40"/>
      <c r="P2103" s="40"/>
      <c r="Q2103" s="40"/>
      <c r="R2103" s="40">
        <v>3900</v>
      </c>
      <c r="S2103" s="40"/>
      <c r="T2103" s="40"/>
      <c r="U2103" s="40"/>
      <c r="V2103" s="40"/>
      <c r="W2103" s="40"/>
      <c r="X2103" s="40"/>
      <c r="Y2103" s="40"/>
      <c r="Z2103" s="40"/>
      <c r="AA2103" s="966">
        <f t="shared" si="346"/>
        <v>3900</v>
      </c>
      <c r="AB2103" s="1210"/>
      <c r="AC2103" s="1199"/>
      <c r="AD2103" s="1211"/>
    </row>
    <row r="2104" spans="1:30" x14ac:dyDescent="0.2">
      <c r="A2104" s="1422"/>
      <c r="B2104" s="2522"/>
      <c r="C2104" s="2456"/>
      <c r="D2104" s="3369"/>
      <c r="E2104" s="2420"/>
      <c r="F2104" s="2420"/>
      <c r="G2104" s="2420"/>
      <c r="H2104" s="2420"/>
      <c r="I2104" s="2420"/>
      <c r="J2104" s="2515"/>
      <c r="K2104" s="40">
        <v>6500</v>
      </c>
      <c r="L2104" s="2432"/>
      <c r="M2104" s="111" t="s">
        <v>306</v>
      </c>
      <c r="N2104" s="111"/>
      <c r="O2104" s="40"/>
      <c r="P2104" s="40">
        <v>590.90909090909088</v>
      </c>
      <c r="Q2104" s="40">
        <v>590.90909090909088</v>
      </c>
      <c r="R2104" s="40">
        <v>590.90909090909088</v>
      </c>
      <c r="S2104" s="40">
        <v>590.90909090909088</v>
      </c>
      <c r="T2104" s="40">
        <v>590.90909090909088</v>
      </c>
      <c r="U2104" s="40">
        <v>590.90909090909088</v>
      </c>
      <c r="V2104" s="40">
        <v>590.90909090909088</v>
      </c>
      <c r="W2104" s="40">
        <v>590.90909090909088</v>
      </c>
      <c r="X2104" s="40">
        <v>590.90909090909088</v>
      </c>
      <c r="Y2104" s="40">
        <v>590.90909090909088</v>
      </c>
      <c r="Z2104" s="40">
        <v>590.90909090909088</v>
      </c>
      <c r="AA2104" s="966">
        <f t="shared" si="346"/>
        <v>6500</v>
      </c>
      <c r="AB2104" s="1210"/>
      <c r="AC2104" s="1199"/>
      <c r="AD2104" s="1211"/>
    </row>
    <row r="2105" spans="1:30" x14ac:dyDescent="0.2">
      <c r="A2105" s="1422"/>
      <c r="B2105" s="2522"/>
      <c r="C2105" s="2456"/>
      <c r="D2105" s="3369"/>
      <c r="E2105" s="2420"/>
      <c r="F2105" s="2420"/>
      <c r="G2105" s="2420"/>
      <c r="H2105" s="2420"/>
      <c r="I2105" s="2420"/>
      <c r="J2105" s="2515"/>
      <c r="K2105" s="40">
        <v>800</v>
      </c>
      <c r="L2105" s="2432"/>
      <c r="M2105" s="111" t="s">
        <v>307</v>
      </c>
      <c r="N2105" s="111"/>
      <c r="O2105" s="40"/>
      <c r="P2105" s="40"/>
      <c r="Q2105" s="40">
        <v>80</v>
      </c>
      <c r="R2105" s="40">
        <v>80</v>
      </c>
      <c r="S2105" s="40">
        <v>80</v>
      </c>
      <c r="T2105" s="40">
        <v>80</v>
      </c>
      <c r="U2105" s="40">
        <v>80</v>
      </c>
      <c r="V2105" s="40">
        <v>80</v>
      </c>
      <c r="W2105" s="40">
        <v>80</v>
      </c>
      <c r="X2105" s="40">
        <v>80</v>
      </c>
      <c r="Y2105" s="40">
        <v>80</v>
      </c>
      <c r="Z2105" s="40">
        <v>80</v>
      </c>
      <c r="AA2105" s="966">
        <f t="shared" si="346"/>
        <v>800</v>
      </c>
      <c r="AB2105" s="1210"/>
      <c r="AC2105" s="1199"/>
      <c r="AD2105" s="1211"/>
    </row>
    <row r="2106" spans="1:30" x14ac:dyDescent="0.2">
      <c r="A2106" s="1422"/>
      <c r="B2106" s="2522"/>
      <c r="C2106" s="2456"/>
      <c r="D2106" s="3369"/>
      <c r="E2106" s="2420"/>
      <c r="F2106" s="2420"/>
      <c r="G2106" s="2420"/>
      <c r="H2106" s="2420"/>
      <c r="I2106" s="2420"/>
      <c r="J2106" s="2515"/>
      <c r="K2106" s="40">
        <v>30000</v>
      </c>
      <c r="L2106" s="2432"/>
      <c r="M2106" s="111" t="s">
        <v>310</v>
      </c>
      <c r="N2106" s="111"/>
      <c r="O2106" s="40">
        <v>2500</v>
      </c>
      <c r="P2106" s="40">
        <v>2500</v>
      </c>
      <c r="Q2106" s="40">
        <v>2500</v>
      </c>
      <c r="R2106" s="40">
        <v>2500</v>
      </c>
      <c r="S2106" s="40">
        <v>2500</v>
      </c>
      <c r="T2106" s="40">
        <v>2500</v>
      </c>
      <c r="U2106" s="40">
        <v>2500</v>
      </c>
      <c r="V2106" s="40">
        <v>2500</v>
      </c>
      <c r="W2106" s="40">
        <v>2500</v>
      </c>
      <c r="X2106" s="40">
        <v>2500</v>
      </c>
      <c r="Y2106" s="40">
        <v>2500</v>
      </c>
      <c r="Z2106" s="40">
        <v>2500</v>
      </c>
      <c r="AA2106" s="966">
        <f t="shared" si="346"/>
        <v>30000</v>
      </c>
      <c r="AB2106" s="1210"/>
      <c r="AC2106" s="1199"/>
      <c r="AD2106" s="1211"/>
    </row>
    <row r="2107" spans="1:30" x14ac:dyDescent="0.2">
      <c r="A2107" s="1422"/>
      <c r="B2107" s="2522"/>
      <c r="C2107" s="2450"/>
      <c r="D2107" s="3369"/>
      <c r="E2107" s="2420"/>
      <c r="F2107" s="2420"/>
      <c r="G2107" s="2420"/>
      <c r="H2107" s="2420"/>
      <c r="I2107" s="2420"/>
      <c r="J2107" s="2516"/>
      <c r="K2107" s="40">
        <v>2592</v>
      </c>
      <c r="L2107" s="2432"/>
      <c r="M2107" s="111" t="s">
        <v>311</v>
      </c>
      <c r="N2107" s="111"/>
      <c r="O2107" s="40">
        <v>216</v>
      </c>
      <c r="P2107" s="40">
        <v>216</v>
      </c>
      <c r="Q2107" s="40">
        <v>216</v>
      </c>
      <c r="R2107" s="40">
        <v>216</v>
      </c>
      <c r="S2107" s="40">
        <v>216</v>
      </c>
      <c r="T2107" s="40">
        <v>216</v>
      </c>
      <c r="U2107" s="40">
        <v>216</v>
      </c>
      <c r="V2107" s="40">
        <v>216</v>
      </c>
      <c r="W2107" s="40">
        <v>216</v>
      </c>
      <c r="X2107" s="40">
        <v>216</v>
      </c>
      <c r="Y2107" s="40">
        <v>216</v>
      </c>
      <c r="Z2107" s="40">
        <v>216</v>
      </c>
      <c r="AA2107" s="966">
        <f t="shared" si="346"/>
        <v>2592</v>
      </c>
      <c r="AB2107" s="1210"/>
      <c r="AC2107" s="1199"/>
      <c r="AD2107" s="1211"/>
    </row>
    <row r="2108" spans="1:30" x14ac:dyDescent="0.2">
      <c r="A2108" s="1422"/>
      <c r="B2108" s="1427" t="s">
        <v>312</v>
      </c>
      <c r="C2108" s="1128"/>
      <c r="D2108" s="38"/>
      <c r="E2108" s="38"/>
      <c r="F2108" s="38"/>
      <c r="G2108" s="38"/>
      <c r="H2108" s="38"/>
      <c r="I2108" s="38"/>
      <c r="J2108" s="38"/>
      <c r="K2108" s="40">
        <f>SUM(K2092:K2107)</f>
        <v>494169</v>
      </c>
      <c r="L2108" s="2437"/>
      <c r="M2108" s="38"/>
      <c r="N2108" s="38"/>
      <c r="O2108" s="38"/>
      <c r="P2108" s="38"/>
      <c r="Q2108" s="38"/>
      <c r="R2108" s="38"/>
      <c r="S2108" s="38"/>
      <c r="T2108" s="38"/>
      <c r="U2108" s="38"/>
      <c r="V2108" s="38"/>
      <c r="W2108" s="38"/>
      <c r="X2108" s="38"/>
      <c r="Y2108" s="38"/>
      <c r="Z2108" s="38"/>
      <c r="AA2108" s="1199"/>
      <c r="AB2108" s="1210"/>
      <c r="AC2108" s="1199"/>
      <c r="AD2108" s="1211"/>
    </row>
    <row r="2109" spans="1:30" ht="25.5" customHeight="1" x14ac:dyDescent="0.2">
      <c r="A2109" s="1422"/>
      <c r="B2109" s="1433" t="s">
        <v>276</v>
      </c>
      <c r="C2109" s="1119"/>
      <c r="D2109" s="192">
        <v>3000012</v>
      </c>
      <c r="E2109" s="192" t="s">
        <v>702</v>
      </c>
      <c r="F2109" s="35"/>
      <c r="G2109" s="35"/>
      <c r="H2109" s="35"/>
      <c r="I2109" s="35"/>
      <c r="J2109" s="35"/>
      <c r="K2109" s="35"/>
      <c r="L2109" s="35"/>
      <c r="M2109" s="35"/>
      <c r="N2109" s="35"/>
      <c r="O2109" s="35"/>
      <c r="P2109" s="35"/>
      <c r="Q2109" s="35"/>
      <c r="R2109" s="35"/>
      <c r="S2109" s="3333" t="s">
        <v>15</v>
      </c>
      <c r="T2109" s="3333"/>
      <c r="U2109" s="3333"/>
      <c r="V2109" s="3333"/>
      <c r="W2109" s="3333"/>
      <c r="X2109" s="3333"/>
      <c r="Y2109" s="3333"/>
      <c r="Z2109" s="3333"/>
      <c r="AA2109" s="1949" t="s">
        <v>16</v>
      </c>
      <c r="AB2109" s="1210"/>
      <c r="AC2109" s="1199"/>
      <c r="AD2109" s="1211"/>
    </row>
    <row r="2110" spans="1:30" x14ac:dyDescent="0.2">
      <c r="A2110" s="1422"/>
      <c r="B2110" s="1433"/>
      <c r="C2110" s="1119"/>
      <c r="D2110" s="192"/>
      <c r="E2110" s="35"/>
      <c r="F2110" s="192"/>
      <c r="G2110" s="35"/>
      <c r="H2110" s="35"/>
      <c r="I2110" s="35"/>
      <c r="J2110" s="35"/>
      <c r="K2110" s="35"/>
      <c r="L2110" s="35"/>
      <c r="M2110" s="35"/>
      <c r="N2110" s="35"/>
      <c r="O2110" s="35"/>
      <c r="P2110" s="35"/>
      <c r="Q2110" s="35"/>
      <c r="R2110" s="35"/>
      <c r="S2110" s="3383" t="s">
        <v>703</v>
      </c>
      <c r="T2110" s="3383"/>
      <c r="U2110" s="3383"/>
      <c r="V2110" s="3383"/>
      <c r="W2110" s="3383"/>
      <c r="X2110" s="3383"/>
      <c r="Y2110" s="3383"/>
      <c r="Z2110" s="3383"/>
      <c r="AA2110" s="1214" t="s">
        <v>579</v>
      </c>
      <c r="AB2110" s="1210"/>
      <c r="AC2110" s="1199"/>
      <c r="AD2110" s="1211"/>
    </row>
    <row r="2111" spans="1:30" x14ac:dyDescent="0.2">
      <c r="A2111" s="1422"/>
      <c r="B2111" s="2999" t="s">
        <v>278</v>
      </c>
      <c r="C2111" s="3015" t="s">
        <v>21</v>
      </c>
      <c r="D2111" s="2847" t="s">
        <v>22</v>
      </c>
      <c r="E2111" s="2847" t="s">
        <v>23</v>
      </c>
      <c r="F2111" s="2847" t="s">
        <v>24</v>
      </c>
      <c r="G2111" s="2847" t="s">
        <v>25</v>
      </c>
      <c r="H2111" s="2847" t="s">
        <v>26</v>
      </c>
      <c r="I2111" s="2847" t="s">
        <v>27</v>
      </c>
      <c r="J2111" s="3206" t="s">
        <v>28</v>
      </c>
      <c r="K2111" s="3301"/>
      <c r="L2111" s="2988" t="s">
        <v>279</v>
      </c>
      <c r="M2111" s="2847" t="s">
        <v>280</v>
      </c>
      <c r="N2111" s="1017"/>
      <c r="O2111" s="2847" t="s">
        <v>281</v>
      </c>
      <c r="P2111" s="2847"/>
      <c r="Q2111" s="2847"/>
      <c r="R2111" s="2847"/>
      <c r="S2111" s="2847"/>
      <c r="T2111" s="2847"/>
      <c r="U2111" s="2847"/>
      <c r="V2111" s="2847"/>
      <c r="W2111" s="2847"/>
      <c r="X2111" s="2847"/>
      <c r="Y2111" s="2847"/>
      <c r="Z2111" s="2847"/>
      <c r="AA2111" s="3358" t="s">
        <v>32</v>
      </c>
      <c r="AB2111" s="1210"/>
      <c r="AC2111" s="1199"/>
      <c r="AD2111" s="1211"/>
    </row>
    <row r="2112" spans="1:30" x14ac:dyDescent="0.2">
      <c r="A2112" s="1422"/>
      <c r="B2112" s="2999"/>
      <c r="C2112" s="3359"/>
      <c r="D2112" s="2847"/>
      <c r="E2112" s="2847"/>
      <c r="F2112" s="2847"/>
      <c r="G2112" s="2847"/>
      <c r="H2112" s="2847"/>
      <c r="I2112" s="2847"/>
      <c r="J2112" s="1007" t="s">
        <v>33</v>
      </c>
      <c r="K2112" s="2988" t="s">
        <v>282</v>
      </c>
      <c r="L2112" s="3186"/>
      <c r="M2112" s="2847"/>
      <c r="N2112" s="1017"/>
      <c r="O2112" s="1009" t="s">
        <v>283</v>
      </c>
      <c r="P2112" s="1009" t="s">
        <v>284</v>
      </c>
      <c r="Q2112" s="1009" t="s">
        <v>285</v>
      </c>
      <c r="R2112" s="1009" t="s">
        <v>88</v>
      </c>
      <c r="S2112" s="1009" t="s">
        <v>89</v>
      </c>
      <c r="T2112" s="1009" t="s">
        <v>90</v>
      </c>
      <c r="U2112" s="1009" t="s">
        <v>91</v>
      </c>
      <c r="V2112" s="1009" t="s">
        <v>92</v>
      </c>
      <c r="W2112" s="1009" t="s">
        <v>286</v>
      </c>
      <c r="X2112" s="1009" t="s">
        <v>93</v>
      </c>
      <c r="Y2112" s="1009" t="s">
        <v>94</v>
      </c>
      <c r="Z2112" s="1009" t="s">
        <v>95</v>
      </c>
      <c r="AA2112" s="3358"/>
      <c r="AB2112" s="1210"/>
      <c r="AC2112" s="1199"/>
      <c r="AD2112" s="1211"/>
    </row>
    <row r="2113" spans="1:30" ht="12.75" x14ac:dyDescent="0.2">
      <c r="A2113" s="1422"/>
      <c r="B2113" s="2999"/>
      <c r="C2113" s="3359"/>
      <c r="D2113" s="2847"/>
      <c r="E2113" s="2847"/>
      <c r="F2113" s="2847"/>
      <c r="G2113" s="2847"/>
      <c r="H2113" s="2847"/>
      <c r="I2113" s="2847"/>
      <c r="J2113" s="106"/>
      <c r="K2113" s="3186"/>
      <c r="L2113" s="3186"/>
      <c r="M2113" s="1009" t="s">
        <v>287</v>
      </c>
      <c r="N2113" s="1009"/>
      <c r="O2113" s="40">
        <v>60</v>
      </c>
      <c r="P2113" s="40">
        <v>60</v>
      </c>
      <c r="Q2113" s="40">
        <v>61</v>
      </c>
      <c r="R2113" s="40">
        <v>61</v>
      </c>
      <c r="S2113" s="40">
        <v>61</v>
      </c>
      <c r="T2113" s="40">
        <v>61</v>
      </c>
      <c r="U2113" s="40">
        <v>61</v>
      </c>
      <c r="V2113" s="40">
        <v>60</v>
      </c>
      <c r="W2113" s="40">
        <v>60</v>
      </c>
      <c r="X2113" s="40">
        <v>60</v>
      </c>
      <c r="Y2113" s="40">
        <v>60</v>
      </c>
      <c r="Z2113" s="40">
        <v>60</v>
      </c>
      <c r="AA2113" s="1205">
        <f t="shared" ref="AA2113:AA2125" si="348">SUM(O2113:Z2113)</f>
        <v>725</v>
      </c>
      <c r="AB2113" s="1210"/>
      <c r="AC2113" s="1199"/>
      <c r="AD2113" s="1211"/>
    </row>
    <row r="2114" spans="1:30" ht="12.75" x14ac:dyDescent="0.2">
      <c r="A2114" s="1422"/>
      <c r="B2114" s="2999"/>
      <c r="C2114" s="3016"/>
      <c r="D2114" s="2847"/>
      <c r="E2114" s="2847"/>
      <c r="F2114" s="2847"/>
      <c r="G2114" s="2847"/>
      <c r="H2114" s="2847"/>
      <c r="I2114" s="2847"/>
      <c r="J2114" s="1008"/>
      <c r="K2114" s="2989"/>
      <c r="L2114" s="2989"/>
      <c r="M2114" s="1009" t="s">
        <v>34</v>
      </c>
      <c r="N2114" s="1009"/>
      <c r="O2114" s="40">
        <f>SUM(O2115:O2125)</f>
        <v>25719.583333333332</v>
      </c>
      <c r="P2114" s="40">
        <f t="shared" ref="P2114:Z2114" si="349">SUM(P2115:P2125)</f>
        <v>23465.037878787876</v>
      </c>
      <c r="Q2114" s="40">
        <f t="shared" si="349"/>
        <v>23765.037878787876</v>
      </c>
      <c r="R2114" s="40">
        <f t="shared" si="349"/>
        <v>25645.037878787876</v>
      </c>
      <c r="S2114" s="40">
        <f t="shared" si="349"/>
        <v>23465.037878787876</v>
      </c>
      <c r="T2114" s="40">
        <f t="shared" si="349"/>
        <v>23645.037878787876</v>
      </c>
      <c r="U2114" s="40">
        <f t="shared" si="349"/>
        <v>25619.037878787876</v>
      </c>
      <c r="V2114" s="40">
        <f t="shared" si="349"/>
        <v>25445.037878787876</v>
      </c>
      <c r="W2114" s="40">
        <f t="shared" si="349"/>
        <v>23465.037878787876</v>
      </c>
      <c r="X2114" s="40">
        <f t="shared" si="349"/>
        <v>23645.037878787876</v>
      </c>
      <c r="Y2114" s="40">
        <f t="shared" si="349"/>
        <v>23465.037878787876</v>
      </c>
      <c r="Z2114" s="40">
        <f t="shared" si="349"/>
        <v>25799.037878787876</v>
      </c>
      <c r="AA2114" s="1205">
        <f t="shared" si="348"/>
        <v>293143</v>
      </c>
      <c r="AB2114" s="1210"/>
      <c r="AC2114" s="1199"/>
      <c r="AD2114" s="1211"/>
    </row>
    <row r="2115" spans="1:30" x14ac:dyDescent="0.2">
      <c r="A2115" s="1422"/>
      <c r="B2115" s="2522">
        <v>5000110</v>
      </c>
      <c r="C2115" s="2438" t="s">
        <v>704</v>
      </c>
      <c r="D2115" s="2420">
        <v>72</v>
      </c>
      <c r="E2115" s="2420" t="s">
        <v>288</v>
      </c>
      <c r="F2115" s="2420" t="s">
        <v>386</v>
      </c>
      <c r="G2115" s="2420" t="s">
        <v>423</v>
      </c>
      <c r="H2115" s="2420" t="s">
        <v>705</v>
      </c>
      <c r="I2115" s="2420" t="s">
        <v>573</v>
      </c>
      <c r="J2115" s="3187">
        <v>725</v>
      </c>
      <c r="K2115" s="40">
        <v>124416</v>
      </c>
      <c r="L2115" s="2431" t="s">
        <v>687</v>
      </c>
      <c r="M2115" s="112" t="s">
        <v>293</v>
      </c>
      <c r="N2115" s="112"/>
      <c r="O2115" s="40">
        <v>10368</v>
      </c>
      <c r="P2115" s="40">
        <v>10368</v>
      </c>
      <c r="Q2115" s="40">
        <v>10368</v>
      </c>
      <c r="R2115" s="40">
        <v>10368</v>
      </c>
      <c r="S2115" s="40">
        <v>10368</v>
      </c>
      <c r="T2115" s="40">
        <v>10368</v>
      </c>
      <c r="U2115" s="40">
        <v>10368</v>
      </c>
      <c r="V2115" s="40">
        <v>10368</v>
      </c>
      <c r="W2115" s="40">
        <v>10368</v>
      </c>
      <c r="X2115" s="40">
        <v>10368</v>
      </c>
      <c r="Y2115" s="40">
        <v>10368</v>
      </c>
      <c r="Z2115" s="40">
        <v>10368</v>
      </c>
      <c r="AA2115" s="966">
        <f t="shared" si="348"/>
        <v>124416</v>
      </c>
      <c r="AB2115" s="1210"/>
      <c r="AC2115" s="1199"/>
      <c r="AD2115" s="1211"/>
    </row>
    <row r="2116" spans="1:30" x14ac:dyDescent="0.2">
      <c r="A2116" s="1422"/>
      <c r="B2116" s="2522"/>
      <c r="C2116" s="2456"/>
      <c r="D2116" s="2420"/>
      <c r="E2116" s="2420"/>
      <c r="F2116" s="2420"/>
      <c r="G2116" s="2420"/>
      <c r="H2116" s="2420"/>
      <c r="I2116" s="2420"/>
      <c r="J2116" s="2955"/>
      <c r="K2116" s="40">
        <v>84480</v>
      </c>
      <c r="L2116" s="2432"/>
      <c r="M2116" s="112" t="s">
        <v>295</v>
      </c>
      <c r="N2116" s="112"/>
      <c r="O2116" s="40">
        <v>7040</v>
      </c>
      <c r="P2116" s="40">
        <v>7040</v>
      </c>
      <c r="Q2116" s="40">
        <v>7040</v>
      </c>
      <c r="R2116" s="40">
        <v>7040</v>
      </c>
      <c r="S2116" s="40">
        <v>7040</v>
      </c>
      <c r="T2116" s="40">
        <v>7040</v>
      </c>
      <c r="U2116" s="40">
        <v>7040</v>
      </c>
      <c r="V2116" s="40">
        <v>7040</v>
      </c>
      <c r="W2116" s="40">
        <v>7040</v>
      </c>
      <c r="X2116" s="40">
        <v>7040</v>
      </c>
      <c r="Y2116" s="40">
        <v>7040</v>
      </c>
      <c r="Z2116" s="40">
        <v>7040</v>
      </c>
      <c r="AA2116" s="966">
        <f t="shared" si="348"/>
        <v>84480</v>
      </c>
      <c r="AB2116" s="1210"/>
      <c r="AC2116" s="1199"/>
      <c r="AD2116" s="1211"/>
    </row>
    <row r="2117" spans="1:30" x14ac:dyDescent="0.2">
      <c r="A2117" s="1422"/>
      <c r="B2117" s="2522"/>
      <c r="C2117" s="2456"/>
      <c r="D2117" s="2420"/>
      <c r="E2117" s="2420"/>
      <c r="F2117" s="2420"/>
      <c r="G2117" s="2420"/>
      <c r="H2117" s="2420"/>
      <c r="I2117" s="2420"/>
      <c r="J2117" s="2955"/>
      <c r="K2117" s="40">
        <v>53188</v>
      </c>
      <c r="L2117" s="2432"/>
      <c r="M2117" s="112" t="s">
        <v>296</v>
      </c>
      <c r="N2117" s="112"/>
      <c r="O2117" s="40">
        <v>4432.333333333333</v>
      </c>
      <c r="P2117" s="40">
        <v>4432.333333333333</v>
      </c>
      <c r="Q2117" s="40">
        <v>4432.333333333333</v>
      </c>
      <c r="R2117" s="40">
        <v>4432.333333333333</v>
      </c>
      <c r="S2117" s="40">
        <v>4432.333333333333</v>
      </c>
      <c r="T2117" s="40">
        <v>4432.333333333333</v>
      </c>
      <c r="U2117" s="40">
        <v>4432.333333333333</v>
      </c>
      <c r="V2117" s="40">
        <v>4432.333333333333</v>
      </c>
      <c r="W2117" s="40">
        <v>4432.333333333333</v>
      </c>
      <c r="X2117" s="40">
        <v>4432.333333333333</v>
      </c>
      <c r="Y2117" s="40">
        <v>4432.333333333333</v>
      </c>
      <c r="Z2117" s="40">
        <v>4432.333333333333</v>
      </c>
      <c r="AA2117" s="966">
        <f t="shared" si="348"/>
        <v>53188.000000000007</v>
      </c>
      <c r="AB2117" s="1210"/>
      <c r="AC2117" s="1199"/>
      <c r="AD2117" s="1211"/>
    </row>
    <row r="2118" spans="1:30" x14ac:dyDescent="0.2">
      <c r="A2118" s="1422"/>
      <c r="B2118" s="2522"/>
      <c r="C2118" s="2456"/>
      <c r="D2118" s="2420"/>
      <c r="E2118" s="2420"/>
      <c r="F2118" s="2420"/>
      <c r="G2118" s="2420"/>
      <c r="H2118" s="2420"/>
      <c r="I2118" s="2420"/>
      <c r="J2118" s="2955"/>
      <c r="K2118" s="40">
        <v>4308</v>
      </c>
      <c r="L2118" s="2432"/>
      <c r="M2118" s="112" t="s">
        <v>298</v>
      </c>
      <c r="N2118" s="112"/>
      <c r="O2118" s="40"/>
      <c r="P2118" s="40"/>
      <c r="Q2118" s="40"/>
      <c r="R2118" s="40"/>
      <c r="S2118" s="40"/>
      <c r="T2118" s="40"/>
      <c r="U2118" s="40">
        <v>2154</v>
      </c>
      <c r="V2118" s="40"/>
      <c r="W2118" s="40"/>
      <c r="X2118" s="40"/>
      <c r="Y2118" s="40"/>
      <c r="Z2118" s="40">
        <v>2154</v>
      </c>
      <c r="AA2118" s="966">
        <f t="shared" si="348"/>
        <v>4308</v>
      </c>
      <c r="AB2118" s="1210"/>
      <c r="AC2118" s="1199"/>
      <c r="AD2118" s="1211"/>
    </row>
    <row r="2119" spans="1:30" x14ac:dyDescent="0.2">
      <c r="A2119" s="1422"/>
      <c r="B2119" s="2522"/>
      <c r="C2119" s="2456"/>
      <c r="D2119" s="2420"/>
      <c r="E2119" s="2420"/>
      <c r="F2119" s="2420"/>
      <c r="G2119" s="2420"/>
      <c r="H2119" s="2420"/>
      <c r="I2119" s="2420"/>
      <c r="J2119" s="2955"/>
      <c r="K2119" s="40">
        <v>2800</v>
      </c>
      <c r="L2119" s="2432"/>
      <c r="M2119" s="112" t="s">
        <v>299</v>
      </c>
      <c r="N2119" s="112"/>
      <c r="O2119" s="40">
        <v>2800</v>
      </c>
      <c r="P2119" s="40"/>
      <c r="Q2119" s="40"/>
      <c r="R2119" s="40"/>
      <c r="S2119" s="40"/>
      <c r="T2119" s="40"/>
      <c r="U2119" s="40"/>
      <c r="V2119" s="40"/>
      <c r="W2119" s="40"/>
      <c r="X2119" s="40"/>
      <c r="Y2119" s="40"/>
      <c r="Z2119" s="40"/>
      <c r="AA2119" s="966">
        <f t="shared" si="348"/>
        <v>2800</v>
      </c>
      <c r="AB2119" s="1210"/>
      <c r="AC2119" s="1199"/>
      <c r="AD2119" s="1211"/>
    </row>
    <row r="2120" spans="1:30" x14ac:dyDescent="0.2">
      <c r="A2120" s="1422"/>
      <c r="B2120" s="2522"/>
      <c r="C2120" s="2456"/>
      <c r="D2120" s="2420"/>
      <c r="E2120" s="2420"/>
      <c r="F2120" s="2420"/>
      <c r="G2120" s="2420"/>
      <c r="H2120" s="2420"/>
      <c r="I2120" s="2420"/>
      <c r="J2120" s="2955"/>
      <c r="K2120" s="40">
        <v>12951</v>
      </c>
      <c r="L2120" s="2432"/>
      <c r="M2120" s="112" t="s">
        <v>300</v>
      </c>
      <c r="N2120" s="112"/>
      <c r="O2120" s="40">
        <v>1079.25</v>
      </c>
      <c r="P2120" s="40">
        <v>1079.25</v>
      </c>
      <c r="Q2120" s="40">
        <v>1079.25</v>
      </c>
      <c r="R2120" s="40">
        <v>1079.25</v>
      </c>
      <c r="S2120" s="40">
        <v>1079.25</v>
      </c>
      <c r="T2120" s="40">
        <v>1079.25</v>
      </c>
      <c r="U2120" s="40">
        <v>1079.25</v>
      </c>
      <c r="V2120" s="40">
        <v>1079.25</v>
      </c>
      <c r="W2120" s="40">
        <v>1079.25</v>
      </c>
      <c r="X2120" s="40">
        <v>1079.25</v>
      </c>
      <c r="Y2120" s="40">
        <v>1079.25</v>
      </c>
      <c r="Z2120" s="40">
        <v>1079.25</v>
      </c>
      <c r="AA2120" s="966">
        <f t="shared" si="348"/>
        <v>12951</v>
      </c>
      <c r="AB2120" s="1210"/>
      <c r="AC2120" s="1199"/>
      <c r="AD2120" s="1211"/>
    </row>
    <row r="2121" spans="1:30" x14ac:dyDescent="0.2">
      <c r="A2121" s="1422"/>
      <c r="B2121" s="2522"/>
      <c r="C2121" s="2456"/>
      <c r="D2121" s="2420"/>
      <c r="E2121" s="2420"/>
      <c r="F2121" s="2420"/>
      <c r="G2121" s="2420"/>
      <c r="H2121" s="2420"/>
      <c r="I2121" s="2420"/>
      <c r="J2121" s="2955"/>
      <c r="K2121" s="40">
        <v>300</v>
      </c>
      <c r="L2121" s="2432"/>
      <c r="M2121" s="112" t="s">
        <v>303</v>
      </c>
      <c r="N2121" s="112"/>
      <c r="O2121" s="40"/>
      <c r="P2121" s="40"/>
      <c r="Q2121" s="40">
        <v>300</v>
      </c>
      <c r="R2121" s="40"/>
      <c r="S2121" s="40"/>
      <c r="T2121" s="40"/>
      <c r="U2121" s="40"/>
      <c r="V2121" s="40"/>
      <c r="W2121" s="40"/>
      <c r="X2121" s="40"/>
      <c r="Y2121" s="40"/>
      <c r="Z2121" s="40"/>
      <c r="AA2121" s="966">
        <f t="shared" si="348"/>
        <v>300</v>
      </c>
      <c r="AB2121" s="1210"/>
      <c r="AC2121" s="1199"/>
      <c r="AD2121" s="1211"/>
    </row>
    <row r="2122" spans="1:30" x14ac:dyDescent="0.2">
      <c r="A2122" s="1422"/>
      <c r="B2122" s="2522"/>
      <c r="C2122" s="2456"/>
      <c r="D2122" s="2420"/>
      <c r="E2122" s="2420"/>
      <c r="F2122" s="2420"/>
      <c r="G2122" s="2420"/>
      <c r="H2122" s="2420"/>
      <c r="I2122" s="2420"/>
      <c r="J2122" s="2955"/>
      <c r="K2122" s="40">
        <v>3600</v>
      </c>
      <c r="L2122" s="2432"/>
      <c r="M2122" s="112" t="s">
        <v>393</v>
      </c>
      <c r="N2122" s="112"/>
      <c r="O2122" s="40"/>
      <c r="P2122" s="40"/>
      <c r="Q2122" s="40"/>
      <c r="R2122" s="40">
        <v>1800</v>
      </c>
      <c r="S2122" s="40"/>
      <c r="T2122" s="40"/>
      <c r="U2122" s="40"/>
      <c r="V2122" s="40">
        <v>1800</v>
      </c>
      <c r="W2122" s="40"/>
      <c r="X2122" s="40"/>
      <c r="Y2122" s="40"/>
      <c r="Z2122" s="40"/>
      <c r="AA2122" s="966">
        <f t="shared" si="348"/>
        <v>3600</v>
      </c>
      <c r="AB2122" s="1210"/>
      <c r="AC2122" s="1199"/>
      <c r="AD2122" s="1211"/>
    </row>
    <row r="2123" spans="1:30" x14ac:dyDescent="0.2">
      <c r="A2123" s="1422"/>
      <c r="B2123" s="2522"/>
      <c r="C2123" s="2456"/>
      <c r="D2123" s="2420"/>
      <c r="E2123" s="2420"/>
      <c r="F2123" s="2420"/>
      <c r="G2123" s="2420"/>
      <c r="H2123" s="2420"/>
      <c r="I2123" s="2420"/>
      <c r="J2123" s="2955"/>
      <c r="K2123" s="40">
        <v>200</v>
      </c>
      <c r="L2123" s="2432"/>
      <c r="M2123" s="112" t="s">
        <v>343</v>
      </c>
      <c r="N2123" s="112"/>
      <c r="O2123" s="40"/>
      <c r="P2123" s="40"/>
      <c r="Q2123" s="40"/>
      <c r="R2123" s="40">
        <v>200</v>
      </c>
      <c r="S2123" s="40"/>
      <c r="T2123" s="40"/>
      <c r="U2123" s="40"/>
      <c r="V2123" s="40"/>
      <c r="W2123" s="40"/>
      <c r="X2123" s="40"/>
      <c r="Y2123" s="40"/>
      <c r="Z2123" s="40"/>
      <c r="AA2123" s="966">
        <f t="shared" si="348"/>
        <v>200</v>
      </c>
      <c r="AB2123" s="1210"/>
      <c r="AC2123" s="1199"/>
      <c r="AD2123" s="1211"/>
    </row>
    <row r="2124" spans="1:30" x14ac:dyDescent="0.2">
      <c r="A2124" s="1422"/>
      <c r="B2124" s="2522"/>
      <c r="C2124" s="2456"/>
      <c r="D2124" s="2420"/>
      <c r="E2124" s="2420"/>
      <c r="F2124" s="2420"/>
      <c r="G2124" s="2420"/>
      <c r="H2124" s="2420"/>
      <c r="I2124" s="2420"/>
      <c r="J2124" s="2955"/>
      <c r="K2124" s="40">
        <v>6000</v>
      </c>
      <c r="L2124" s="2432"/>
      <c r="M2124" s="112" t="s">
        <v>306</v>
      </c>
      <c r="N2124" s="112"/>
      <c r="O2124" s="40"/>
      <c r="P2124" s="40">
        <v>545.4545454545455</v>
      </c>
      <c r="Q2124" s="40">
        <v>545.4545454545455</v>
      </c>
      <c r="R2124" s="40">
        <v>545.4545454545455</v>
      </c>
      <c r="S2124" s="40">
        <v>545.4545454545455</v>
      </c>
      <c r="T2124" s="40">
        <v>545.4545454545455</v>
      </c>
      <c r="U2124" s="40">
        <v>545.4545454545455</v>
      </c>
      <c r="V2124" s="40">
        <v>545.4545454545455</v>
      </c>
      <c r="W2124" s="40">
        <v>545.4545454545455</v>
      </c>
      <c r="X2124" s="40">
        <v>545.4545454545455</v>
      </c>
      <c r="Y2124" s="40">
        <v>545.4545454545455</v>
      </c>
      <c r="Z2124" s="40">
        <v>545.4545454545455</v>
      </c>
      <c r="AA2124" s="966">
        <f t="shared" si="348"/>
        <v>6000.0000000000018</v>
      </c>
      <c r="AB2124" s="1210"/>
      <c r="AC2124" s="1199"/>
      <c r="AD2124" s="1211"/>
    </row>
    <row r="2125" spans="1:30" x14ac:dyDescent="0.2">
      <c r="A2125" s="1422"/>
      <c r="B2125" s="2522"/>
      <c r="C2125" s="2450"/>
      <c r="D2125" s="2420"/>
      <c r="E2125" s="2420"/>
      <c r="F2125" s="2420"/>
      <c r="G2125" s="2420"/>
      <c r="H2125" s="2420"/>
      <c r="I2125" s="2420"/>
      <c r="J2125" s="2956"/>
      <c r="K2125" s="40">
        <v>900</v>
      </c>
      <c r="L2125" s="2437"/>
      <c r="M2125" s="112" t="s">
        <v>309</v>
      </c>
      <c r="N2125" s="112"/>
      <c r="O2125" s="40"/>
      <c r="P2125" s="40"/>
      <c r="Q2125" s="40"/>
      <c r="R2125" s="40">
        <v>180</v>
      </c>
      <c r="S2125" s="40"/>
      <c r="T2125" s="40">
        <v>180</v>
      </c>
      <c r="U2125" s="40"/>
      <c r="V2125" s="40">
        <v>180</v>
      </c>
      <c r="W2125" s="40"/>
      <c r="X2125" s="40">
        <v>180</v>
      </c>
      <c r="Y2125" s="40"/>
      <c r="Z2125" s="40">
        <v>180</v>
      </c>
      <c r="AA2125" s="966">
        <f t="shared" si="348"/>
        <v>900</v>
      </c>
      <c r="AB2125" s="1210"/>
      <c r="AC2125" s="1199"/>
      <c r="AD2125" s="1211"/>
    </row>
    <row r="2126" spans="1:30" x14ac:dyDescent="0.2">
      <c r="A2126" s="1422"/>
      <c r="B2126" s="1427" t="s">
        <v>312</v>
      </c>
      <c r="C2126" s="1128"/>
      <c r="D2126" s="38"/>
      <c r="E2126" s="38"/>
      <c r="F2126" s="38"/>
      <c r="G2126" s="38"/>
      <c r="H2126" s="38"/>
      <c r="I2126" s="38"/>
      <c r="J2126" s="38"/>
      <c r="K2126" s="40">
        <f>SUM(K2115:K2125)</f>
        <v>293143</v>
      </c>
      <c r="L2126" s="38"/>
      <c r="M2126" s="38"/>
      <c r="N2126" s="38"/>
      <c r="O2126" s="40">
        <v>25719.583333333332</v>
      </c>
      <c r="P2126" s="40">
        <v>23465.037878787876</v>
      </c>
      <c r="Q2126" s="40">
        <v>23765.037878787876</v>
      </c>
      <c r="R2126" s="40">
        <v>25645.037878787876</v>
      </c>
      <c r="S2126" s="40">
        <v>23465.037878787876</v>
      </c>
      <c r="T2126" s="40">
        <v>23645.037878787876</v>
      </c>
      <c r="U2126" s="40">
        <v>25619.037878787876</v>
      </c>
      <c r="V2126" s="40">
        <v>25445.037878787876</v>
      </c>
      <c r="W2126" s="40">
        <v>23465.037878787876</v>
      </c>
      <c r="X2126" s="40">
        <v>23645.037878787876</v>
      </c>
      <c r="Y2126" s="40">
        <v>23465.037878787876</v>
      </c>
      <c r="Z2126" s="40">
        <v>25799.037878787876</v>
      </c>
      <c r="AA2126" s="1234"/>
      <c r="AB2126" s="1210"/>
      <c r="AC2126" s="1199"/>
      <c r="AD2126" s="1211"/>
    </row>
    <row r="2127" spans="1:30" ht="22.5" x14ac:dyDescent="0.2">
      <c r="A2127" s="1422"/>
      <c r="B2127" s="1433" t="s">
        <v>276</v>
      </c>
      <c r="C2127" s="1119"/>
      <c r="D2127" s="192">
        <v>3000013</v>
      </c>
      <c r="E2127" s="192" t="s">
        <v>706</v>
      </c>
      <c r="G2127" s="35"/>
      <c r="H2127" s="35"/>
      <c r="I2127" s="35"/>
      <c r="J2127" s="35"/>
      <c r="K2127" s="192" t="s">
        <v>707</v>
      </c>
      <c r="L2127" s="35"/>
      <c r="M2127" s="35"/>
      <c r="N2127" s="35"/>
      <c r="O2127" s="35"/>
      <c r="P2127" s="35"/>
      <c r="Q2127" s="35"/>
      <c r="R2127" s="35"/>
      <c r="S2127" s="3333" t="s">
        <v>15</v>
      </c>
      <c r="T2127" s="3333"/>
      <c r="U2127" s="3333"/>
      <c r="V2127" s="3333"/>
      <c r="W2127" s="3333"/>
      <c r="X2127" s="3333"/>
      <c r="Y2127" s="3333"/>
      <c r="Z2127" s="3333"/>
      <c r="AA2127" s="2142" t="s">
        <v>16</v>
      </c>
      <c r="AB2127" s="1210"/>
      <c r="AC2127" s="1199"/>
      <c r="AD2127" s="1211"/>
    </row>
    <row r="2128" spans="1:30" ht="23.25" customHeight="1" x14ac:dyDescent="0.2">
      <c r="A2128" s="1422"/>
      <c r="B2128" s="1433"/>
      <c r="C2128" s="1119"/>
      <c r="D2128" s="192"/>
      <c r="E2128" s="192"/>
      <c r="F2128" s="192"/>
      <c r="G2128" s="35"/>
      <c r="H2128" s="35"/>
      <c r="I2128" s="35"/>
      <c r="J2128" s="35"/>
      <c r="K2128" s="35"/>
      <c r="L2128" s="35"/>
      <c r="M2128" s="35"/>
      <c r="N2128" s="35"/>
      <c r="O2128" s="35"/>
      <c r="P2128" s="35"/>
      <c r="Q2128" s="35"/>
      <c r="R2128" s="35"/>
      <c r="S2128" s="3377" t="s">
        <v>708</v>
      </c>
      <c r="T2128" s="3378"/>
      <c r="U2128" s="3378"/>
      <c r="V2128" s="3378"/>
      <c r="W2128" s="3378"/>
      <c r="X2128" s="3378"/>
      <c r="Y2128" s="3378"/>
      <c r="Z2128" s="3379"/>
      <c r="AA2128" s="1214" t="s">
        <v>609</v>
      </c>
      <c r="AB2128" s="1210"/>
      <c r="AC2128" s="1199"/>
      <c r="AD2128" s="1211"/>
    </row>
    <row r="2129" spans="1:30" x14ac:dyDescent="0.2">
      <c r="A2129" s="1422"/>
      <c r="B2129" s="2999" t="s">
        <v>278</v>
      </c>
      <c r="C2129" s="3015" t="s">
        <v>21</v>
      </c>
      <c r="D2129" s="2847" t="s">
        <v>22</v>
      </c>
      <c r="E2129" s="2847" t="s">
        <v>23</v>
      </c>
      <c r="F2129" s="2847" t="s">
        <v>24</v>
      </c>
      <c r="G2129" s="2847" t="s">
        <v>25</v>
      </c>
      <c r="H2129" s="2847" t="s">
        <v>26</v>
      </c>
      <c r="I2129" s="2847" t="s">
        <v>27</v>
      </c>
      <c r="J2129" s="3206" t="s">
        <v>28</v>
      </c>
      <c r="K2129" s="3301"/>
      <c r="L2129" s="2988" t="s">
        <v>279</v>
      </c>
      <c r="M2129" s="2847" t="s">
        <v>280</v>
      </c>
      <c r="N2129" s="1017"/>
      <c r="O2129" s="2847" t="s">
        <v>281</v>
      </c>
      <c r="P2129" s="2847"/>
      <c r="Q2129" s="2847"/>
      <c r="R2129" s="2847"/>
      <c r="S2129" s="2847"/>
      <c r="T2129" s="2847"/>
      <c r="U2129" s="2847"/>
      <c r="V2129" s="2847"/>
      <c r="W2129" s="2847"/>
      <c r="X2129" s="2847"/>
      <c r="Y2129" s="2847"/>
      <c r="Z2129" s="2847"/>
      <c r="AA2129" s="3358" t="s">
        <v>32</v>
      </c>
      <c r="AB2129" s="1210"/>
      <c r="AC2129" s="1199"/>
      <c r="AD2129" s="1211"/>
    </row>
    <row r="2130" spans="1:30" x14ac:dyDescent="0.2">
      <c r="A2130" s="1422"/>
      <c r="B2130" s="2999"/>
      <c r="C2130" s="3359"/>
      <c r="D2130" s="2847"/>
      <c r="E2130" s="2847"/>
      <c r="F2130" s="2847"/>
      <c r="G2130" s="2847"/>
      <c r="H2130" s="2847"/>
      <c r="I2130" s="2847"/>
      <c r="J2130" s="1007" t="s">
        <v>33</v>
      </c>
      <c r="K2130" s="2988" t="s">
        <v>282</v>
      </c>
      <c r="L2130" s="3186"/>
      <c r="M2130" s="2847"/>
      <c r="N2130" s="1017"/>
      <c r="O2130" s="1009" t="s">
        <v>283</v>
      </c>
      <c r="P2130" s="1009" t="s">
        <v>284</v>
      </c>
      <c r="Q2130" s="1009" t="s">
        <v>285</v>
      </c>
      <c r="R2130" s="1009" t="s">
        <v>88</v>
      </c>
      <c r="S2130" s="1009" t="s">
        <v>89</v>
      </c>
      <c r="T2130" s="1009" t="s">
        <v>90</v>
      </c>
      <c r="U2130" s="1009" t="s">
        <v>91</v>
      </c>
      <c r="V2130" s="1009" t="s">
        <v>92</v>
      </c>
      <c r="W2130" s="1009" t="s">
        <v>286</v>
      </c>
      <c r="X2130" s="1009" t="s">
        <v>93</v>
      </c>
      <c r="Y2130" s="1009" t="s">
        <v>94</v>
      </c>
      <c r="Z2130" s="1009" t="s">
        <v>95</v>
      </c>
      <c r="AA2130" s="3358"/>
      <c r="AB2130" s="1210"/>
      <c r="AC2130" s="1199"/>
      <c r="AD2130" s="1211"/>
    </row>
    <row r="2131" spans="1:30" ht="12.75" x14ac:dyDescent="0.2">
      <c r="A2131" s="1422"/>
      <c r="B2131" s="2999"/>
      <c r="C2131" s="3359"/>
      <c r="D2131" s="2847"/>
      <c r="E2131" s="2847"/>
      <c r="F2131" s="2847"/>
      <c r="G2131" s="2847"/>
      <c r="H2131" s="2847"/>
      <c r="I2131" s="2847"/>
      <c r="J2131" s="106"/>
      <c r="K2131" s="3186"/>
      <c r="L2131" s="3186"/>
      <c r="M2131" s="1009" t="s">
        <v>287</v>
      </c>
      <c r="N2131" s="1009"/>
      <c r="O2131" s="40">
        <v>3928.0833333333335</v>
      </c>
      <c r="P2131" s="40">
        <v>3928</v>
      </c>
      <c r="Q2131" s="40">
        <v>3928</v>
      </c>
      <c r="R2131" s="40">
        <v>3928</v>
      </c>
      <c r="S2131" s="40">
        <v>3929</v>
      </c>
      <c r="T2131" s="40">
        <v>3928</v>
      </c>
      <c r="U2131" s="40">
        <v>3928</v>
      </c>
      <c r="V2131" s="40">
        <v>3928</v>
      </c>
      <c r="W2131" s="40">
        <v>3928</v>
      </c>
      <c r="X2131" s="40">
        <v>3928</v>
      </c>
      <c r="Y2131" s="40">
        <v>3928</v>
      </c>
      <c r="Z2131" s="40">
        <v>3928</v>
      </c>
      <c r="AA2131" s="1205">
        <f t="shared" ref="AA2131:AA2150" si="350">SUM(O2131:Z2131)</f>
        <v>47137.083333333336</v>
      </c>
      <c r="AB2131" s="1210"/>
      <c r="AC2131" s="1199"/>
      <c r="AD2131" s="1211"/>
    </row>
    <row r="2132" spans="1:30" ht="12.75" x14ac:dyDescent="0.2">
      <c r="A2132" s="1422"/>
      <c r="B2132" s="2999"/>
      <c r="C2132" s="3016"/>
      <c r="D2132" s="2847"/>
      <c r="E2132" s="2847"/>
      <c r="F2132" s="2847"/>
      <c r="G2132" s="2847"/>
      <c r="H2132" s="2847"/>
      <c r="I2132" s="2847"/>
      <c r="J2132" s="1008"/>
      <c r="K2132" s="2989"/>
      <c r="L2132" s="2989"/>
      <c r="M2132" s="1009" t="s">
        <v>34</v>
      </c>
      <c r="N2132" s="1009"/>
      <c r="O2132" s="40">
        <f>SUM(O2133:O2150)</f>
        <v>55668.666666666672</v>
      </c>
      <c r="P2132" s="40">
        <f t="shared" ref="P2132:Z2132" si="351">SUM(P2133:P2150)</f>
        <v>52548.666666666672</v>
      </c>
      <c r="Q2132" s="40">
        <f t="shared" si="351"/>
        <v>54546.666666666672</v>
      </c>
      <c r="R2132" s="40">
        <f t="shared" si="351"/>
        <v>59914.666666666672</v>
      </c>
      <c r="S2132" s="40">
        <f t="shared" si="351"/>
        <v>54346.666666666672</v>
      </c>
      <c r="T2132" s="40">
        <f t="shared" si="351"/>
        <v>51558.666666666672</v>
      </c>
      <c r="U2132" s="40">
        <f t="shared" si="351"/>
        <v>57181.166666666672</v>
      </c>
      <c r="V2132" s="40">
        <f t="shared" si="351"/>
        <v>51558.666666666672</v>
      </c>
      <c r="W2132" s="40">
        <f t="shared" si="351"/>
        <v>53946.666666666672</v>
      </c>
      <c r="X2132" s="40">
        <f t="shared" si="351"/>
        <v>51558.666666666672</v>
      </c>
      <c r="Y2132" s="40">
        <f t="shared" si="351"/>
        <v>53946.666666666672</v>
      </c>
      <c r="Z2132" s="40">
        <f t="shared" si="351"/>
        <v>54793.166666666672</v>
      </c>
      <c r="AA2132" s="1205">
        <f t="shared" si="350"/>
        <v>651569</v>
      </c>
      <c r="AB2132" s="1210"/>
      <c r="AC2132" s="1199"/>
      <c r="AD2132" s="1211"/>
    </row>
    <row r="2133" spans="1:30" x14ac:dyDescent="0.2">
      <c r="A2133" s="1422"/>
      <c r="B2133" s="2522">
        <v>5000111</v>
      </c>
      <c r="C2133" s="2438" t="s">
        <v>709</v>
      </c>
      <c r="D2133" s="3369"/>
      <c r="E2133" s="3369" t="s">
        <v>288</v>
      </c>
      <c r="F2133" s="2420" t="s">
        <v>386</v>
      </c>
      <c r="G2133" s="2420" t="s">
        <v>423</v>
      </c>
      <c r="H2133" s="2420" t="s">
        <v>710</v>
      </c>
      <c r="I2133" s="2420" t="s">
        <v>695</v>
      </c>
      <c r="J2133" s="2514">
        <v>47137</v>
      </c>
      <c r="K2133" s="40">
        <v>212176</v>
      </c>
      <c r="L2133" s="2431" t="s">
        <v>687</v>
      </c>
      <c r="M2133" s="111" t="s">
        <v>293</v>
      </c>
      <c r="N2133" s="111"/>
      <c r="O2133" s="40">
        <v>17681.333333333332</v>
      </c>
      <c r="P2133" s="40">
        <v>17681.333333333332</v>
      </c>
      <c r="Q2133" s="40">
        <v>17681.333333333332</v>
      </c>
      <c r="R2133" s="40">
        <v>17681.333333333332</v>
      </c>
      <c r="S2133" s="40">
        <v>17681.333333333332</v>
      </c>
      <c r="T2133" s="40">
        <v>17681.333333333332</v>
      </c>
      <c r="U2133" s="40">
        <v>17681.333333333332</v>
      </c>
      <c r="V2133" s="40">
        <v>17681.333333333332</v>
      </c>
      <c r="W2133" s="40">
        <v>17681.333333333332</v>
      </c>
      <c r="X2133" s="40">
        <v>17681.333333333332</v>
      </c>
      <c r="Y2133" s="40">
        <v>17681.333333333332</v>
      </c>
      <c r="Z2133" s="40">
        <v>17681.333333333332</v>
      </c>
      <c r="AA2133" s="966">
        <f t="shared" si="350"/>
        <v>212176.00000000003</v>
      </c>
      <c r="AB2133" s="1210"/>
      <c r="AC2133" s="1199"/>
      <c r="AD2133" s="1211"/>
    </row>
    <row r="2134" spans="1:30" x14ac:dyDescent="0.2">
      <c r="A2134" s="1422"/>
      <c r="B2134" s="2522"/>
      <c r="C2134" s="2456"/>
      <c r="D2134" s="3369"/>
      <c r="E2134" s="3369"/>
      <c r="F2134" s="2420"/>
      <c r="G2134" s="2420"/>
      <c r="H2134" s="2420"/>
      <c r="I2134" s="2420"/>
      <c r="J2134" s="2515"/>
      <c r="K2134" s="40">
        <v>173273</v>
      </c>
      <c r="L2134" s="2432"/>
      <c r="M2134" s="111" t="s">
        <v>295</v>
      </c>
      <c r="N2134" s="111"/>
      <c r="O2134" s="40">
        <v>14439.416666666666</v>
      </c>
      <c r="P2134" s="40">
        <v>14439.416666666666</v>
      </c>
      <c r="Q2134" s="40">
        <v>14439.416666666666</v>
      </c>
      <c r="R2134" s="40">
        <v>14439.416666666666</v>
      </c>
      <c r="S2134" s="40">
        <v>14439.416666666666</v>
      </c>
      <c r="T2134" s="40">
        <v>14439.416666666666</v>
      </c>
      <c r="U2134" s="40">
        <v>14439.416666666666</v>
      </c>
      <c r="V2134" s="40">
        <v>14439.416666666666</v>
      </c>
      <c r="W2134" s="40">
        <v>14439.416666666666</v>
      </c>
      <c r="X2134" s="40">
        <v>14439.416666666666</v>
      </c>
      <c r="Y2134" s="40">
        <v>14439.416666666666</v>
      </c>
      <c r="Z2134" s="40">
        <v>14439.416666666666</v>
      </c>
      <c r="AA2134" s="966">
        <f t="shared" si="350"/>
        <v>173273</v>
      </c>
      <c r="AB2134" s="1210"/>
      <c r="AC2134" s="1199"/>
      <c r="AD2134" s="1211"/>
    </row>
    <row r="2135" spans="1:30" x14ac:dyDescent="0.2">
      <c r="A2135" s="1422"/>
      <c r="B2135" s="2522"/>
      <c r="C2135" s="2456"/>
      <c r="D2135" s="3369"/>
      <c r="E2135" s="3369"/>
      <c r="F2135" s="2420"/>
      <c r="G2135" s="2420"/>
      <c r="H2135" s="2420"/>
      <c r="I2135" s="2420"/>
      <c r="J2135" s="2515"/>
      <c r="K2135" s="40">
        <v>89775</v>
      </c>
      <c r="L2135" s="2432"/>
      <c r="M2135" s="111" t="s">
        <v>296</v>
      </c>
      <c r="N2135" s="111"/>
      <c r="O2135" s="40">
        <v>7481.25</v>
      </c>
      <c r="P2135" s="40">
        <v>7481.25</v>
      </c>
      <c r="Q2135" s="40">
        <v>7481.25</v>
      </c>
      <c r="R2135" s="40">
        <v>7481.25</v>
      </c>
      <c r="S2135" s="40">
        <v>7481.25</v>
      </c>
      <c r="T2135" s="40">
        <v>7481.25</v>
      </c>
      <c r="U2135" s="40">
        <v>7481.25</v>
      </c>
      <c r="V2135" s="40">
        <v>7481.25</v>
      </c>
      <c r="W2135" s="40">
        <v>7481.25</v>
      </c>
      <c r="X2135" s="40">
        <v>7481.25</v>
      </c>
      <c r="Y2135" s="40">
        <v>7481.25</v>
      </c>
      <c r="Z2135" s="40">
        <v>7481.25</v>
      </c>
      <c r="AA2135" s="966">
        <f t="shared" si="350"/>
        <v>89775</v>
      </c>
      <c r="AB2135" s="1210"/>
      <c r="AC2135" s="1199"/>
      <c r="AD2135" s="1211"/>
    </row>
    <row r="2136" spans="1:30" x14ac:dyDescent="0.2">
      <c r="A2136" s="1422"/>
      <c r="B2136" s="2522"/>
      <c r="C2136" s="2456"/>
      <c r="D2136" s="3369"/>
      <c r="E2136" s="3369"/>
      <c r="F2136" s="2420"/>
      <c r="G2136" s="2420"/>
      <c r="H2136" s="2420"/>
      <c r="I2136" s="2420"/>
      <c r="J2136" s="2515"/>
      <c r="K2136" s="40">
        <v>76834</v>
      </c>
      <c r="L2136" s="2432"/>
      <c r="M2136" s="111" t="s">
        <v>297</v>
      </c>
      <c r="N2136" s="111"/>
      <c r="O2136" s="40">
        <v>6402.833333333333</v>
      </c>
      <c r="P2136" s="40">
        <v>6402.833333333333</v>
      </c>
      <c r="Q2136" s="40">
        <v>6402.833333333333</v>
      </c>
      <c r="R2136" s="40">
        <v>6402.833333333333</v>
      </c>
      <c r="S2136" s="40">
        <v>6402.833333333333</v>
      </c>
      <c r="T2136" s="40">
        <v>6402.833333333333</v>
      </c>
      <c r="U2136" s="40">
        <v>6402.833333333333</v>
      </c>
      <c r="V2136" s="40">
        <v>6402.833333333333</v>
      </c>
      <c r="W2136" s="40">
        <v>6402.833333333333</v>
      </c>
      <c r="X2136" s="40">
        <v>6402.833333333333</v>
      </c>
      <c r="Y2136" s="40">
        <v>6402.833333333333</v>
      </c>
      <c r="Z2136" s="40">
        <v>6402.833333333333</v>
      </c>
      <c r="AA2136" s="966">
        <f t="shared" si="350"/>
        <v>76834</v>
      </c>
      <c r="AB2136" s="1210"/>
      <c r="AC2136" s="1199"/>
      <c r="AD2136" s="1211"/>
    </row>
    <row r="2137" spans="1:30" x14ac:dyDescent="0.2">
      <c r="A2137" s="1422"/>
      <c r="B2137" s="2522"/>
      <c r="C2137" s="2456"/>
      <c r="D2137" s="3369"/>
      <c r="E2137" s="3369"/>
      <c r="F2137" s="2420"/>
      <c r="G2137" s="2420"/>
      <c r="H2137" s="2420"/>
      <c r="I2137" s="2420"/>
      <c r="J2137" s="2515"/>
      <c r="K2137" s="40">
        <v>6469</v>
      </c>
      <c r="L2137" s="2432"/>
      <c r="M2137" s="111" t="s">
        <v>298</v>
      </c>
      <c r="N2137" s="111"/>
      <c r="O2137" s="40"/>
      <c r="P2137" s="40"/>
      <c r="Q2137" s="40"/>
      <c r="R2137" s="40"/>
      <c r="S2137" s="40"/>
      <c r="T2137" s="40"/>
      <c r="U2137" s="40">
        <v>3234.5</v>
      </c>
      <c r="V2137" s="40"/>
      <c r="W2137" s="40"/>
      <c r="X2137" s="40"/>
      <c r="Y2137" s="40"/>
      <c r="Z2137" s="40">
        <v>3234.5</v>
      </c>
      <c r="AA2137" s="966">
        <f t="shared" si="350"/>
        <v>6469</v>
      </c>
      <c r="AB2137" s="1210"/>
      <c r="AC2137" s="1199"/>
      <c r="AD2137" s="1211"/>
    </row>
    <row r="2138" spans="1:30" x14ac:dyDescent="0.2">
      <c r="A2138" s="1422"/>
      <c r="B2138" s="2522"/>
      <c r="C2138" s="2456"/>
      <c r="D2138" s="3369"/>
      <c r="E2138" s="3369"/>
      <c r="F2138" s="2420"/>
      <c r="G2138" s="2420"/>
      <c r="H2138" s="2420"/>
      <c r="I2138" s="2420"/>
      <c r="J2138" s="2515"/>
      <c r="K2138" s="40">
        <v>4160</v>
      </c>
      <c r="L2138" s="2432"/>
      <c r="M2138" s="111" t="s">
        <v>299</v>
      </c>
      <c r="N2138" s="111"/>
      <c r="O2138" s="40">
        <v>4160</v>
      </c>
      <c r="P2138" s="40"/>
      <c r="Q2138" s="40"/>
      <c r="R2138" s="40"/>
      <c r="S2138" s="40"/>
      <c r="T2138" s="40"/>
      <c r="U2138" s="40"/>
      <c r="V2138" s="40"/>
      <c r="W2138" s="40"/>
      <c r="X2138" s="40"/>
      <c r="Y2138" s="40"/>
      <c r="Z2138" s="40"/>
      <c r="AA2138" s="966">
        <f t="shared" si="350"/>
        <v>4160</v>
      </c>
      <c r="AB2138" s="1210"/>
      <c r="AC2138" s="1199"/>
      <c r="AD2138" s="1211"/>
    </row>
    <row r="2139" spans="1:30" x14ac:dyDescent="0.2">
      <c r="A2139" s="1422"/>
      <c r="B2139" s="2522"/>
      <c r="C2139" s="2456"/>
      <c r="D2139" s="3369"/>
      <c r="E2139" s="3369"/>
      <c r="F2139" s="2420"/>
      <c r="G2139" s="2420"/>
      <c r="H2139" s="2420"/>
      <c r="I2139" s="2420"/>
      <c r="J2139" s="2515"/>
      <c r="K2139" s="40">
        <v>36898</v>
      </c>
      <c r="L2139" s="2432"/>
      <c r="M2139" s="111" t="s">
        <v>300</v>
      </c>
      <c r="N2139" s="111"/>
      <c r="O2139" s="40">
        <v>3074.8333333333335</v>
      </c>
      <c r="P2139" s="40">
        <v>3074.8333333333335</v>
      </c>
      <c r="Q2139" s="40">
        <v>3074.8333333333335</v>
      </c>
      <c r="R2139" s="40">
        <v>3074.8333333333335</v>
      </c>
      <c r="S2139" s="40">
        <v>3074.8333333333335</v>
      </c>
      <c r="T2139" s="40">
        <v>3074.8333333333335</v>
      </c>
      <c r="U2139" s="40">
        <v>3074.8333333333335</v>
      </c>
      <c r="V2139" s="40">
        <v>3074.8333333333335</v>
      </c>
      <c r="W2139" s="40">
        <v>3074.8333333333335</v>
      </c>
      <c r="X2139" s="40">
        <v>3074.8333333333335</v>
      </c>
      <c r="Y2139" s="40">
        <v>3074.8333333333335</v>
      </c>
      <c r="Z2139" s="40">
        <v>3074.8333333333335</v>
      </c>
      <c r="AA2139" s="966">
        <f t="shared" si="350"/>
        <v>36898</v>
      </c>
      <c r="AB2139" s="1210"/>
      <c r="AC2139" s="1199"/>
      <c r="AD2139" s="1211"/>
    </row>
    <row r="2140" spans="1:30" x14ac:dyDescent="0.2">
      <c r="A2140" s="1422"/>
      <c r="B2140" s="2522"/>
      <c r="C2140" s="2456"/>
      <c r="D2140" s="3369"/>
      <c r="E2140" s="3369"/>
      <c r="F2140" s="2420"/>
      <c r="G2140" s="2420"/>
      <c r="H2140" s="2420"/>
      <c r="I2140" s="2420"/>
      <c r="J2140" s="2515"/>
      <c r="K2140" s="40">
        <v>400</v>
      </c>
      <c r="L2140" s="2432"/>
      <c r="M2140" s="111" t="s">
        <v>302</v>
      </c>
      <c r="N2140" s="111"/>
      <c r="O2140" s="40"/>
      <c r="P2140" s="40"/>
      <c r="Q2140" s="40"/>
      <c r="R2140" s="40"/>
      <c r="S2140" s="40">
        <v>400</v>
      </c>
      <c r="T2140" s="40"/>
      <c r="U2140" s="40"/>
      <c r="V2140" s="40"/>
      <c r="W2140" s="40"/>
      <c r="X2140" s="40"/>
      <c r="Y2140" s="40"/>
      <c r="Z2140" s="40"/>
      <c r="AA2140" s="966">
        <f t="shared" si="350"/>
        <v>400</v>
      </c>
      <c r="AB2140" s="1210"/>
      <c r="AC2140" s="1199"/>
      <c r="AD2140" s="1211"/>
    </row>
    <row r="2141" spans="1:30" x14ac:dyDescent="0.2">
      <c r="A2141" s="1422"/>
      <c r="B2141" s="2522"/>
      <c r="C2141" s="2456"/>
      <c r="D2141" s="3369"/>
      <c r="E2141" s="3369"/>
      <c r="F2141" s="2420"/>
      <c r="G2141" s="2420"/>
      <c r="H2141" s="2420"/>
      <c r="I2141" s="2420"/>
      <c r="J2141" s="2515"/>
      <c r="K2141" s="40">
        <v>600</v>
      </c>
      <c r="L2141" s="2432"/>
      <c r="M2141" s="111" t="s">
        <v>303</v>
      </c>
      <c r="N2141" s="111"/>
      <c r="O2141" s="40"/>
      <c r="P2141" s="40"/>
      <c r="Q2141" s="40">
        <v>600</v>
      </c>
      <c r="R2141" s="40"/>
      <c r="S2141" s="40"/>
      <c r="T2141" s="40"/>
      <c r="U2141" s="40"/>
      <c r="V2141" s="40"/>
      <c r="W2141" s="40"/>
      <c r="X2141" s="40"/>
      <c r="Y2141" s="40"/>
      <c r="Z2141" s="40"/>
      <c r="AA2141" s="966">
        <f t="shared" si="350"/>
        <v>600</v>
      </c>
      <c r="AB2141" s="1210"/>
      <c r="AC2141" s="1199"/>
      <c r="AD2141" s="1211"/>
    </row>
    <row r="2142" spans="1:30" x14ac:dyDescent="0.2">
      <c r="A2142" s="1422"/>
      <c r="B2142" s="2522"/>
      <c r="C2142" s="2456"/>
      <c r="D2142" s="3369"/>
      <c r="E2142" s="3369"/>
      <c r="F2142" s="2420"/>
      <c r="G2142" s="2420"/>
      <c r="H2142" s="2420"/>
      <c r="I2142" s="2420"/>
      <c r="J2142" s="2515"/>
      <c r="K2142" s="40">
        <v>200</v>
      </c>
      <c r="L2142" s="2432"/>
      <c r="M2142" s="111" t="s">
        <v>324</v>
      </c>
      <c r="N2142" s="111"/>
      <c r="O2142" s="40"/>
      <c r="P2142" s="40">
        <v>200</v>
      </c>
      <c r="Q2142" s="40"/>
      <c r="R2142" s="40"/>
      <c r="S2142" s="40"/>
      <c r="T2142" s="40"/>
      <c r="U2142" s="40"/>
      <c r="V2142" s="40"/>
      <c r="W2142" s="40"/>
      <c r="X2142" s="40"/>
      <c r="Y2142" s="40"/>
      <c r="Z2142" s="40"/>
      <c r="AA2142" s="966">
        <f t="shared" si="350"/>
        <v>200</v>
      </c>
      <c r="AB2142" s="1210"/>
      <c r="AC2142" s="1199"/>
      <c r="AD2142" s="1211"/>
    </row>
    <row r="2143" spans="1:30" x14ac:dyDescent="0.2">
      <c r="A2143" s="1422"/>
      <c r="B2143" s="2522"/>
      <c r="C2143" s="2456"/>
      <c r="D2143" s="3369"/>
      <c r="E2143" s="3369"/>
      <c r="F2143" s="2420"/>
      <c r="G2143" s="2420"/>
      <c r="H2143" s="2420"/>
      <c r="I2143" s="2420"/>
      <c r="J2143" s="2515"/>
      <c r="K2143" s="40">
        <v>1500</v>
      </c>
      <c r="L2143" s="2432"/>
      <c r="M2143" s="111" t="s">
        <v>393</v>
      </c>
      <c r="N2143" s="111"/>
      <c r="O2143" s="40"/>
      <c r="P2143" s="40"/>
      <c r="Q2143" s="40"/>
      <c r="R2143" s="40">
        <v>1500</v>
      </c>
      <c r="S2143" s="40"/>
      <c r="T2143" s="40"/>
      <c r="U2143" s="40"/>
      <c r="V2143" s="40"/>
      <c r="W2143" s="40"/>
      <c r="X2143" s="40"/>
      <c r="Y2143" s="40"/>
      <c r="Z2143" s="40"/>
      <c r="AA2143" s="966">
        <f t="shared" si="350"/>
        <v>1500</v>
      </c>
      <c r="AB2143" s="1210"/>
      <c r="AC2143" s="1199"/>
      <c r="AD2143" s="1211"/>
    </row>
    <row r="2144" spans="1:30" x14ac:dyDescent="0.2">
      <c r="A2144" s="1422"/>
      <c r="B2144" s="2522"/>
      <c r="C2144" s="2456"/>
      <c r="D2144" s="3369"/>
      <c r="E2144" s="3369"/>
      <c r="F2144" s="2420"/>
      <c r="G2144" s="2420"/>
      <c r="H2144" s="2420"/>
      <c r="I2144" s="2420"/>
      <c r="J2144" s="2515"/>
      <c r="K2144" s="40">
        <v>6436</v>
      </c>
      <c r="L2144" s="2432"/>
      <c r="M2144" s="111" t="s">
        <v>343</v>
      </c>
      <c r="N2144" s="111"/>
      <c r="O2144" s="40"/>
      <c r="P2144" s="40"/>
      <c r="Q2144" s="40"/>
      <c r="R2144" s="40">
        <v>6436</v>
      </c>
      <c r="S2144" s="40"/>
      <c r="T2144" s="40"/>
      <c r="U2144" s="40"/>
      <c r="V2144" s="40"/>
      <c r="W2144" s="40"/>
      <c r="X2144" s="40"/>
      <c r="Y2144" s="40"/>
      <c r="Z2144" s="40"/>
      <c r="AA2144" s="966">
        <f t="shared" si="350"/>
        <v>6436</v>
      </c>
      <c r="AB2144" s="1210"/>
      <c r="AC2144" s="1199"/>
      <c r="AD2144" s="1211"/>
    </row>
    <row r="2145" spans="1:30" x14ac:dyDescent="0.2">
      <c r="A2145" s="1422"/>
      <c r="B2145" s="2522"/>
      <c r="C2145" s="2456"/>
      <c r="D2145" s="3369"/>
      <c r="E2145" s="3369"/>
      <c r="F2145" s="2420"/>
      <c r="G2145" s="2420"/>
      <c r="H2145" s="2420"/>
      <c r="I2145" s="2420"/>
      <c r="J2145" s="2515"/>
      <c r="K2145" s="40">
        <v>840</v>
      </c>
      <c r="L2145" s="2432"/>
      <c r="M2145" s="111" t="s">
        <v>306</v>
      </c>
      <c r="N2145" s="111"/>
      <c r="O2145" s="40"/>
      <c r="P2145" s="40">
        <v>840</v>
      </c>
      <c r="Q2145" s="40"/>
      <c r="R2145" s="40"/>
      <c r="S2145" s="40"/>
      <c r="T2145" s="40"/>
      <c r="U2145" s="40"/>
      <c r="V2145" s="40"/>
      <c r="W2145" s="40"/>
      <c r="X2145" s="40"/>
      <c r="Y2145" s="40"/>
      <c r="Z2145" s="40"/>
      <c r="AA2145" s="966">
        <f t="shared" si="350"/>
        <v>840</v>
      </c>
      <c r="AB2145" s="1210"/>
      <c r="AC2145" s="1199"/>
      <c r="AD2145" s="1211"/>
    </row>
    <row r="2146" spans="1:30" x14ac:dyDescent="0.2">
      <c r="A2146" s="1422"/>
      <c r="B2146" s="2522"/>
      <c r="C2146" s="2456"/>
      <c r="D2146" s="3369"/>
      <c r="E2146" s="3369"/>
      <c r="F2146" s="2420"/>
      <c r="G2146" s="2420"/>
      <c r="H2146" s="2420"/>
      <c r="I2146" s="2420"/>
      <c r="J2146" s="2515"/>
      <c r="K2146" s="40">
        <v>500</v>
      </c>
      <c r="L2146" s="2432"/>
      <c r="M2146" s="111" t="s">
        <v>307</v>
      </c>
      <c r="N2146" s="111"/>
      <c r="O2146" s="40"/>
      <c r="P2146" s="40"/>
      <c r="Q2146" s="40">
        <v>50</v>
      </c>
      <c r="R2146" s="40">
        <v>50</v>
      </c>
      <c r="S2146" s="40">
        <v>50</v>
      </c>
      <c r="T2146" s="40">
        <v>50</v>
      </c>
      <c r="U2146" s="40">
        <v>50</v>
      </c>
      <c r="V2146" s="40">
        <v>50</v>
      </c>
      <c r="W2146" s="40">
        <v>50</v>
      </c>
      <c r="X2146" s="40">
        <v>50</v>
      </c>
      <c r="Y2146" s="40">
        <v>50</v>
      </c>
      <c r="Z2146" s="40">
        <v>50</v>
      </c>
      <c r="AA2146" s="966">
        <f t="shared" si="350"/>
        <v>500</v>
      </c>
      <c r="AB2146" s="1210"/>
      <c r="AC2146" s="1199"/>
      <c r="AD2146" s="1211"/>
    </row>
    <row r="2147" spans="1:30" x14ac:dyDescent="0.2">
      <c r="A2147" s="1422"/>
      <c r="B2147" s="2522"/>
      <c r="C2147" s="2456"/>
      <c r="D2147" s="3369"/>
      <c r="E2147" s="3369"/>
      <c r="F2147" s="2420"/>
      <c r="G2147" s="2420"/>
      <c r="H2147" s="2420"/>
      <c r="I2147" s="2420"/>
      <c r="J2147" s="2515"/>
      <c r="K2147" s="40">
        <v>420</v>
      </c>
      <c r="L2147" s="2432"/>
      <c r="M2147" s="111" t="s">
        <v>308</v>
      </c>
      <c r="N2147" s="111"/>
      <c r="O2147" s="40"/>
      <c r="P2147" s="40"/>
      <c r="Q2147" s="40"/>
      <c r="R2147" s="40">
        <v>420</v>
      </c>
      <c r="S2147" s="40"/>
      <c r="T2147" s="40"/>
      <c r="U2147" s="40"/>
      <c r="V2147" s="40"/>
      <c r="W2147" s="40"/>
      <c r="X2147" s="40"/>
      <c r="Y2147" s="40"/>
      <c r="Z2147" s="40"/>
      <c r="AA2147" s="966">
        <f t="shared" si="350"/>
        <v>420</v>
      </c>
      <c r="AB2147" s="1210"/>
      <c r="AC2147" s="1199"/>
      <c r="AD2147" s="1211"/>
    </row>
    <row r="2148" spans="1:30" x14ac:dyDescent="0.2">
      <c r="A2148" s="1422"/>
      <c r="B2148" s="2522"/>
      <c r="C2148" s="2456"/>
      <c r="D2148" s="3369"/>
      <c r="E2148" s="3369"/>
      <c r="F2148" s="2420"/>
      <c r="G2148" s="2420"/>
      <c r="H2148" s="2420"/>
      <c r="I2148" s="2420"/>
      <c r="J2148" s="2515"/>
      <c r="K2148" s="40">
        <v>11940</v>
      </c>
      <c r="L2148" s="2432"/>
      <c r="M2148" s="111" t="s">
        <v>309</v>
      </c>
      <c r="N2148" s="111"/>
      <c r="O2148" s="40"/>
      <c r="P2148" s="40"/>
      <c r="Q2148" s="40">
        <v>2388</v>
      </c>
      <c r="R2148" s="40"/>
      <c r="S2148" s="40">
        <v>2388</v>
      </c>
      <c r="T2148" s="40"/>
      <c r="U2148" s="40">
        <v>2388</v>
      </c>
      <c r="V2148" s="40"/>
      <c r="W2148" s="40">
        <v>2388</v>
      </c>
      <c r="X2148" s="40"/>
      <c r="Y2148" s="40">
        <v>2388</v>
      </c>
      <c r="Z2148" s="40"/>
      <c r="AA2148" s="966">
        <f t="shared" si="350"/>
        <v>11940</v>
      </c>
      <c r="AB2148" s="1210"/>
      <c r="AC2148" s="1199"/>
      <c r="AD2148" s="1211"/>
    </row>
    <row r="2149" spans="1:30" x14ac:dyDescent="0.2">
      <c r="A2149" s="1422"/>
      <c r="B2149" s="2522"/>
      <c r="C2149" s="2456"/>
      <c r="D2149" s="3369"/>
      <c r="E2149" s="3369"/>
      <c r="F2149" s="2420"/>
      <c r="G2149" s="2420"/>
      <c r="H2149" s="2420"/>
      <c r="I2149" s="2420"/>
      <c r="J2149" s="2515"/>
      <c r="K2149" s="40">
        <v>27900</v>
      </c>
      <c r="L2149" s="2432"/>
      <c r="M2149" s="111" t="s">
        <v>310</v>
      </c>
      <c r="N2149" s="111"/>
      <c r="O2149" s="40">
        <v>2325</v>
      </c>
      <c r="P2149" s="40">
        <v>2325</v>
      </c>
      <c r="Q2149" s="40">
        <v>2325</v>
      </c>
      <c r="R2149" s="40">
        <v>2325</v>
      </c>
      <c r="S2149" s="40">
        <v>2325</v>
      </c>
      <c r="T2149" s="40">
        <v>2325</v>
      </c>
      <c r="U2149" s="40">
        <v>2325</v>
      </c>
      <c r="V2149" s="40">
        <v>2325</v>
      </c>
      <c r="W2149" s="40">
        <v>2325</v>
      </c>
      <c r="X2149" s="40">
        <v>2325</v>
      </c>
      <c r="Y2149" s="40">
        <v>2325</v>
      </c>
      <c r="Z2149" s="40">
        <v>2325</v>
      </c>
      <c r="AA2149" s="966">
        <f t="shared" si="350"/>
        <v>27900</v>
      </c>
      <c r="AB2149" s="1210"/>
      <c r="AC2149" s="1199"/>
      <c r="AD2149" s="1211"/>
    </row>
    <row r="2150" spans="1:30" x14ac:dyDescent="0.2">
      <c r="A2150" s="1422"/>
      <c r="B2150" s="2522"/>
      <c r="C2150" s="2450"/>
      <c r="D2150" s="3369"/>
      <c r="E2150" s="3369"/>
      <c r="F2150" s="2420"/>
      <c r="G2150" s="2420"/>
      <c r="H2150" s="2420"/>
      <c r="I2150" s="2420"/>
      <c r="J2150" s="2516"/>
      <c r="K2150" s="40">
        <v>1248</v>
      </c>
      <c r="L2150" s="2432"/>
      <c r="M2150" s="111" t="s">
        <v>311</v>
      </c>
      <c r="N2150" s="111"/>
      <c r="O2150" s="40">
        <v>104</v>
      </c>
      <c r="P2150" s="40">
        <v>104</v>
      </c>
      <c r="Q2150" s="40">
        <v>104</v>
      </c>
      <c r="R2150" s="40">
        <v>104</v>
      </c>
      <c r="S2150" s="40">
        <v>104</v>
      </c>
      <c r="T2150" s="40">
        <v>104</v>
      </c>
      <c r="U2150" s="40">
        <v>104</v>
      </c>
      <c r="V2150" s="40">
        <v>104</v>
      </c>
      <c r="W2150" s="40">
        <v>104</v>
      </c>
      <c r="X2150" s="40">
        <v>104</v>
      </c>
      <c r="Y2150" s="40">
        <v>104</v>
      </c>
      <c r="Z2150" s="40">
        <v>104</v>
      </c>
      <c r="AA2150" s="966">
        <f t="shared" si="350"/>
        <v>1248</v>
      </c>
      <c r="AB2150" s="1210"/>
      <c r="AC2150" s="1199"/>
      <c r="AD2150" s="1211"/>
    </row>
    <row r="2151" spans="1:30" x14ac:dyDescent="0.2">
      <c r="A2151" s="1422"/>
      <c r="B2151" s="1427" t="s">
        <v>312</v>
      </c>
      <c r="C2151" s="1128"/>
      <c r="D2151" s="38"/>
      <c r="E2151" s="38"/>
      <c r="F2151" s="38"/>
      <c r="G2151" s="38"/>
      <c r="H2151" s="38"/>
      <c r="I2151" s="38"/>
      <c r="J2151" s="38"/>
      <c r="K2151" s="40">
        <f>SUM(K2133:K2150)</f>
        <v>651569</v>
      </c>
      <c r="L2151" s="2437"/>
      <c r="M2151" s="38"/>
      <c r="N2151" s="38"/>
      <c r="O2151" s="40">
        <v>55668.666666666672</v>
      </c>
      <c r="P2151" s="40">
        <v>52548.666666666672</v>
      </c>
      <c r="Q2151" s="40">
        <v>54546.666666666672</v>
      </c>
      <c r="R2151" s="40">
        <v>59914.666666666672</v>
      </c>
      <c r="S2151" s="40">
        <v>54346.666666666672</v>
      </c>
      <c r="T2151" s="40">
        <v>51558.666666666672</v>
      </c>
      <c r="U2151" s="40">
        <v>57181.166666666672</v>
      </c>
      <c r="V2151" s="40">
        <v>51558.666666666672</v>
      </c>
      <c r="W2151" s="40">
        <v>53946.666666666672</v>
      </c>
      <c r="X2151" s="40">
        <v>51558.666666666672</v>
      </c>
      <c r="Y2151" s="40">
        <v>53946.666666666672</v>
      </c>
      <c r="Z2151" s="40">
        <v>54793.166666666672</v>
      </c>
      <c r="AA2151" s="1199"/>
      <c r="AB2151" s="1210"/>
      <c r="AC2151" s="1199"/>
      <c r="AD2151" s="1211"/>
    </row>
    <row r="2152" spans="1:30" ht="22.5" customHeight="1" x14ac:dyDescent="0.2">
      <c r="A2152" s="1422"/>
      <c r="B2152" s="1433" t="s">
        <v>276</v>
      </c>
      <c r="C2152" s="1119"/>
      <c r="D2152" s="192">
        <v>3000014</v>
      </c>
      <c r="E2152" s="192" t="s">
        <v>706</v>
      </c>
      <c r="G2152" s="35"/>
      <c r="H2152" s="35"/>
      <c r="I2152" s="35"/>
      <c r="J2152" s="35"/>
      <c r="K2152" s="192" t="s">
        <v>711</v>
      </c>
      <c r="L2152" s="35"/>
      <c r="M2152" s="35"/>
      <c r="N2152" s="35"/>
      <c r="O2152" s="35"/>
      <c r="P2152" s="35"/>
      <c r="Q2152" s="35"/>
      <c r="R2152" s="35"/>
      <c r="S2152" s="3333" t="s">
        <v>15</v>
      </c>
      <c r="T2152" s="3333"/>
      <c r="U2152" s="3333"/>
      <c r="V2152" s="3333"/>
      <c r="W2152" s="3333"/>
      <c r="X2152" s="3333"/>
      <c r="Y2152" s="3333"/>
      <c r="Z2152" s="3333"/>
      <c r="AA2152" s="1963" t="s">
        <v>16</v>
      </c>
      <c r="AB2152" s="1210"/>
      <c r="AC2152" s="1199"/>
      <c r="AD2152" s="1211"/>
    </row>
    <row r="2153" spans="1:30" ht="24.75" customHeight="1" x14ac:dyDescent="0.2">
      <c r="A2153" s="1422"/>
      <c r="B2153" s="1433"/>
      <c r="C2153" s="1119"/>
      <c r="D2153" s="192"/>
      <c r="E2153" s="192"/>
      <c r="F2153" s="192"/>
      <c r="G2153" s="35"/>
      <c r="H2153" s="35"/>
      <c r="I2153" s="35"/>
      <c r="J2153" s="35"/>
      <c r="K2153" s="35"/>
      <c r="L2153" s="35"/>
      <c r="M2153" s="35"/>
      <c r="N2153" s="35"/>
      <c r="O2153" s="35"/>
      <c r="P2153" s="35"/>
      <c r="Q2153" s="35"/>
      <c r="R2153" s="35"/>
      <c r="S2153" s="3383" t="s">
        <v>3729</v>
      </c>
      <c r="T2153" s="3383"/>
      <c r="U2153" s="3383"/>
      <c r="V2153" s="3383"/>
      <c r="W2153" s="3383"/>
      <c r="X2153" s="3383"/>
      <c r="Y2153" s="3383"/>
      <c r="Z2153" s="3383"/>
      <c r="AA2153" s="1214" t="s">
        <v>579</v>
      </c>
      <c r="AB2153" s="1210"/>
      <c r="AC2153" s="1199"/>
      <c r="AD2153" s="1211"/>
    </row>
    <row r="2154" spans="1:30" x14ac:dyDescent="0.2">
      <c r="A2154" s="1422"/>
      <c r="B2154" s="2999" t="s">
        <v>278</v>
      </c>
      <c r="C2154" s="3015" t="s">
        <v>21</v>
      </c>
      <c r="D2154" s="2847" t="s">
        <v>22</v>
      </c>
      <c r="E2154" s="2847" t="s">
        <v>23</v>
      </c>
      <c r="F2154" s="2847" t="s">
        <v>24</v>
      </c>
      <c r="G2154" s="2847" t="s">
        <v>25</v>
      </c>
      <c r="H2154" s="2847" t="s">
        <v>26</v>
      </c>
      <c r="I2154" s="2847" t="s">
        <v>27</v>
      </c>
      <c r="J2154" s="3206" t="s">
        <v>28</v>
      </c>
      <c r="K2154" s="3301"/>
      <c r="L2154" s="2988" t="s">
        <v>279</v>
      </c>
      <c r="M2154" s="2847" t="s">
        <v>280</v>
      </c>
      <c r="N2154" s="1017"/>
      <c r="O2154" s="2847" t="s">
        <v>281</v>
      </c>
      <c r="P2154" s="2847"/>
      <c r="Q2154" s="2847"/>
      <c r="R2154" s="2847"/>
      <c r="S2154" s="2847"/>
      <c r="T2154" s="2847"/>
      <c r="U2154" s="2847"/>
      <c r="V2154" s="2847"/>
      <c r="W2154" s="2847"/>
      <c r="X2154" s="2847"/>
      <c r="Y2154" s="2847"/>
      <c r="Z2154" s="2847"/>
      <c r="AA2154" s="3358" t="s">
        <v>32</v>
      </c>
      <c r="AB2154" s="1210"/>
      <c r="AC2154" s="1199"/>
      <c r="AD2154" s="1211"/>
    </row>
    <row r="2155" spans="1:30" x14ac:dyDescent="0.2">
      <c r="A2155" s="1422"/>
      <c r="B2155" s="2999"/>
      <c r="C2155" s="3359"/>
      <c r="D2155" s="2847"/>
      <c r="E2155" s="2847"/>
      <c r="F2155" s="2847"/>
      <c r="G2155" s="2847"/>
      <c r="H2155" s="2847"/>
      <c r="I2155" s="2847"/>
      <c r="J2155" s="1007" t="s">
        <v>33</v>
      </c>
      <c r="K2155" s="2988" t="s">
        <v>282</v>
      </c>
      <c r="L2155" s="3186"/>
      <c r="M2155" s="2847"/>
      <c r="N2155" s="1017"/>
      <c r="O2155" s="1009" t="s">
        <v>283</v>
      </c>
      <c r="P2155" s="1009" t="s">
        <v>284</v>
      </c>
      <c r="Q2155" s="1009" t="s">
        <v>285</v>
      </c>
      <c r="R2155" s="1009" t="s">
        <v>88</v>
      </c>
      <c r="S2155" s="1009" t="s">
        <v>89</v>
      </c>
      <c r="T2155" s="1009" t="s">
        <v>90</v>
      </c>
      <c r="U2155" s="1009" t="s">
        <v>91</v>
      </c>
      <c r="V2155" s="1009" t="s">
        <v>92</v>
      </c>
      <c r="W2155" s="1009" t="s">
        <v>286</v>
      </c>
      <c r="X2155" s="1009" t="s">
        <v>93</v>
      </c>
      <c r="Y2155" s="1009" t="s">
        <v>94</v>
      </c>
      <c r="Z2155" s="1009" t="s">
        <v>95</v>
      </c>
      <c r="AA2155" s="3358"/>
      <c r="AB2155" s="1210"/>
      <c r="AC2155" s="1199"/>
      <c r="AD2155" s="1211"/>
    </row>
    <row r="2156" spans="1:30" ht="12.75" x14ac:dyDescent="0.2">
      <c r="A2156" s="1422"/>
      <c r="B2156" s="2999"/>
      <c r="C2156" s="3359"/>
      <c r="D2156" s="2847"/>
      <c r="E2156" s="2847"/>
      <c r="F2156" s="2847"/>
      <c r="G2156" s="2847"/>
      <c r="H2156" s="2847"/>
      <c r="I2156" s="2847"/>
      <c r="J2156" s="106"/>
      <c r="K2156" s="3186"/>
      <c r="L2156" s="3186"/>
      <c r="M2156" s="1009" t="s">
        <v>287</v>
      </c>
      <c r="N2156" s="1009"/>
      <c r="O2156" s="40">
        <v>21</v>
      </c>
      <c r="P2156" s="40">
        <v>21</v>
      </c>
      <c r="Q2156" s="40">
        <v>21</v>
      </c>
      <c r="R2156" s="40">
        <v>23</v>
      </c>
      <c r="S2156" s="40">
        <v>23</v>
      </c>
      <c r="T2156" s="40">
        <v>23</v>
      </c>
      <c r="U2156" s="40">
        <v>23</v>
      </c>
      <c r="V2156" s="40">
        <v>23</v>
      </c>
      <c r="W2156" s="40">
        <v>23</v>
      </c>
      <c r="X2156" s="40">
        <v>23</v>
      </c>
      <c r="Y2156" s="40">
        <v>23</v>
      </c>
      <c r="Z2156" s="40">
        <v>23</v>
      </c>
      <c r="AA2156" s="1205">
        <f t="shared" ref="AA2156:AA2164" si="352">SUM(O2156:Z2156)</f>
        <v>270</v>
      </c>
      <c r="AB2156" s="1210"/>
      <c r="AC2156" s="1199"/>
      <c r="AD2156" s="1211"/>
    </row>
    <row r="2157" spans="1:30" ht="12.75" x14ac:dyDescent="0.2">
      <c r="A2157" s="1422"/>
      <c r="B2157" s="2999"/>
      <c r="C2157" s="3016"/>
      <c r="D2157" s="2847"/>
      <c r="E2157" s="2847"/>
      <c r="F2157" s="2847"/>
      <c r="G2157" s="2847"/>
      <c r="H2157" s="2847"/>
      <c r="I2157" s="2847"/>
      <c r="J2157" s="1008"/>
      <c r="K2157" s="2989"/>
      <c r="L2157" s="2989"/>
      <c r="M2157" s="1009" t="s">
        <v>34</v>
      </c>
      <c r="N2157" s="1009"/>
      <c r="O2157" s="40">
        <f>SUM(O2158:O2164)</f>
        <v>5023.8333333333339</v>
      </c>
      <c r="P2157" s="40">
        <f t="shared" ref="P2157:Z2157" si="353">SUM(P2158:P2164)</f>
        <v>4623.8333333333339</v>
      </c>
      <c r="Q2157" s="40">
        <f t="shared" si="353"/>
        <v>4623.8333333333339</v>
      </c>
      <c r="R2157" s="40">
        <f t="shared" si="353"/>
        <v>7323.8333333333339</v>
      </c>
      <c r="S2157" s="40">
        <f t="shared" si="353"/>
        <v>4623.8333333333339</v>
      </c>
      <c r="T2157" s="40">
        <f t="shared" si="353"/>
        <v>4623.8333333333339</v>
      </c>
      <c r="U2157" s="40">
        <f t="shared" si="353"/>
        <v>4950.8333333333339</v>
      </c>
      <c r="V2157" s="40">
        <f t="shared" si="353"/>
        <v>4623.8333333333339</v>
      </c>
      <c r="W2157" s="40">
        <f t="shared" si="353"/>
        <v>4623.8333333333339</v>
      </c>
      <c r="X2157" s="40">
        <f t="shared" si="353"/>
        <v>4623.8333333333339</v>
      </c>
      <c r="Y2157" s="40">
        <f t="shared" si="353"/>
        <v>4623.8333333333339</v>
      </c>
      <c r="Z2157" s="40">
        <f t="shared" si="353"/>
        <v>4950.8333333333339</v>
      </c>
      <c r="AA2157" s="1205">
        <f t="shared" si="352"/>
        <v>59240.000000000022</v>
      </c>
      <c r="AB2157" s="1210"/>
      <c r="AC2157" s="1199"/>
      <c r="AD2157" s="1211"/>
    </row>
    <row r="2158" spans="1:30" x14ac:dyDescent="0.2">
      <c r="A2158" s="1422"/>
      <c r="B2158" s="2522">
        <v>5000112</v>
      </c>
      <c r="C2158" s="2438" t="s">
        <v>712</v>
      </c>
      <c r="D2158" s="3369"/>
      <c r="E2158" s="2420" t="s">
        <v>288</v>
      </c>
      <c r="F2158" s="2420" t="s">
        <v>386</v>
      </c>
      <c r="G2158" s="2420" t="s">
        <v>423</v>
      </c>
      <c r="H2158" s="2420" t="s">
        <v>713</v>
      </c>
      <c r="I2158" s="2420" t="s">
        <v>573</v>
      </c>
      <c r="J2158" s="2514">
        <v>270</v>
      </c>
      <c r="K2158" s="40">
        <v>33588</v>
      </c>
      <c r="L2158" s="2431" t="s">
        <v>687</v>
      </c>
      <c r="M2158" s="111" t="s">
        <v>293</v>
      </c>
      <c r="N2158" s="111"/>
      <c r="O2158" s="40">
        <v>2799</v>
      </c>
      <c r="P2158" s="40">
        <v>2799</v>
      </c>
      <c r="Q2158" s="40">
        <v>2799</v>
      </c>
      <c r="R2158" s="40">
        <v>2799</v>
      </c>
      <c r="S2158" s="40">
        <v>2799</v>
      </c>
      <c r="T2158" s="40">
        <v>2799</v>
      </c>
      <c r="U2158" s="40">
        <v>2799</v>
      </c>
      <c r="V2158" s="40">
        <v>2799</v>
      </c>
      <c r="W2158" s="40">
        <v>2799</v>
      </c>
      <c r="X2158" s="40">
        <v>2799</v>
      </c>
      <c r="Y2158" s="40">
        <v>2799</v>
      </c>
      <c r="Z2158" s="40">
        <v>2799</v>
      </c>
      <c r="AA2158" s="966">
        <f t="shared" si="352"/>
        <v>33588</v>
      </c>
      <c r="AB2158" s="1210"/>
      <c r="AC2158" s="1199"/>
      <c r="AD2158" s="1211"/>
    </row>
    <row r="2159" spans="1:30" x14ac:dyDescent="0.2">
      <c r="A2159" s="1422"/>
      <c r="B2159" s="2522"/>
      <c r="C2159" s="2456"/>
      <c r="D2159" s="3369"/>
      <c r="E2159" s="2420"/>
      <c r="F2159" s="2420"/>
      <c r="G2159" s="2420"/>
      <c r="H2159" s="2420"/>
      <c r="I2159" s="2420"/>
      <c r="J2159" s="2515"/>
      <c r="K2159" s="40">
        <v>19763</v>
      </c>
      <c r="L2159" s="2432"/>
      <c r="M2159" s="111" t="s">
        <v>296</v>
      </c>
      <c r="N2159" s="111"/>
      <c r="O2159" s="40">
        <v>1646.9166666666667</v>
      </c>
      <c r="P2159" s="40">
        <v>1646.9166666666667</v>
      </c>
      <c r="Q2159" s="40">
        <v>1646.9166666666667</v>
      </c>
      <c r="R2159" s="40">
        <v>1646.9166666666667</v>
      </c>
      <c r="S2159" s="40">
        <v>1646.9166666666667</v>
      </c>
      <c r="T2159" s="40">
        <v>1646.9166666666667</v>
      </c>
      <c r="U2159" s="40">
        <v>1646.9166666666667</v>
      </c>
      <c r="V2159" s="40">
        <v>1646.9166666666667</v>
      </c>
      <c r="W2159" s="40">
        <v>1646.9166666666667</v>
      </c>
      <c r="X2159" s="40">
        <v>1646.9166666666667</v>
      </c>
      <c r="Y2159" s="40">
        <v>1646.9166666666667</v>
      </c>
      <c r="Z2159" s="40">
        <v>1646.9166666666667</v>
      </c>
      <c r="AA2159" s="966">
        <f t="shared" si="352"/>
        <v>19763</v>
      </c>
      <c r="AB2159" s="1210"/>
      <c r="AC2159" s="1199"/>
      <c r="AD2159" s="1211"/>
    </row>
    <row r="2160" spans="1:30" x14ac:dyDescent="0.2">
      <c r="A2160" s="1422"/>
      <c r="B2160" s="2522"/>
      <c r="C2160" s="2456"/>
      <c r="D2160" s="3369"/>
      <c r="E2160" s="2420"/>
      <c r="F2160" s="2420"/>
      <c r="G2160" s="2420"/>
      <c r="H2160" s="2420"/>
      <c r="I2160" s="2420"/>
      <c r="J2160" s="2515"/>
      <c r="K2160" s="40">
        <v>654</v>
      </c>
      <c r="L2160" s="2432"/>
      <c r="M2160" s="111" t="s">
        <v>298</v>
      </c>
      <c r="N2160" s="111"/>
      <c r="O2160" s="40"/>
      <c r="P2160" s="40"/>
      <c r="Q2160" s="40"/>
      <c r="R2160" s="40"/>
      <c r="S2160" s="40"/>
      <c r="T2160" s="40"/>
      <c r="U2160" s="40">
        <v>327</v>
      </c>
      <c r="V2160" s="40"/>
      <c r="W2160" s="40"/>
      <c r="X2160" s="40"/>
      <c r="Y2160" s="40"/>
      <c r="Z2160" s="40">
        <v>327</v>
      </c>
      <c r="AA2160" s="966">
        <f t="shared" si="352"/>
        <v>654</v>
      </c>
      <c r="AB2160" s="1210"/>
      <c r="AC2160" s="1199"/>
      <c r="AD2160" s="1211"/>
    </row>
    <row r="2161" spans="1:30" x14ac:dyDescent="0.2">
      <c r="A2161" s="1422"/>
      <c r="B2161" s="2522"/>
      <c r="C2161" s="2456"/>
      <c r="D2161" s="3369"/>
      <c r="E2161" s="2420"/>
      <c r="F2161" s="2420"/>
      <c r="G2161" s="2420"/>
      <c r="H2161" s="2420"/>
      <c r="I2161" s="2420"/>
      <c r="J2161" s="2515"/>
      <c r="K2161" s="40">
        <v>400</v>
      </c>
      <c r="L2161" s="2432"/>
      <c r="M2161" s="111" t="s">
        <v>299</v>
      </c>
      <c r="N2161" s="111"/>
      <c r="O2161" s="40">
        <v>400</v>
      </c>
      <c r="P2161" s="40"/>
      <c r="Q2161" s="40"/>
      <c r="R2161" s="40"/>
      <c r="S2161" s="40"/>
      <c r="T2161" s="40"/>
      <c r="U2161" s="40"/>
      <c r="V2161" s="40"/>
      <c r="W2161" s="40"/>
      <c r="X2161" s="40"/>
      <c r="Y2161" s="40"/>
      <c r="Z2161" s="40"/>
      <c r="AA2161" s="966">
        <f t="shared" si="352"/>
        <v>400</v>
      </c>
      <c r="AB2161" s="1210"/>
      <c r="AC2161" s="1199"/>
      <c r="AD2161" s="1211"/>
    </row>
    <row r="2162" spans="1:30" x14ac:dyDescent="0.2">
      <c r="A2162" s="1422"/>
      <c r="B2162" s="2522"/>
      <c r="C2162" s="2456"/>
      <c r="D2162" s="3369"/>
      <c r="E2162" s="2420"/>
      <c r="F2162" s="2420"/>
      <c r="G2162" s="2420"/>
      <c r="H2162" s="2420"/>
      <c r="I2162" s="2420"/>
      <c r="J2162" s="2515"/>
      <c r="K2162" s="40">
        <v>2135</v>
      </c>
      <c r="L2162" s="2432"/>
      <c r="M2162" s="111" t="s">
        <v>300</v>
      </c>
      <c r="N2162" s="111"/>
      <c r="O2162" s="40">
        <v>177.91666666666666</v>
      </c>
      <c r="P2162" s="40">
        <v>177.91666666666666</v>
      </c>
      <c r="Q2162" s="40">
        <v>177.91666666666666</v>
      </c>
      <c r="R2162" s="40">
        <v>177.91666666666666</v>
      </c>
      <c r="S2162" s="40">
        <v>177.91666666666666</v>
      </c>
      <c r="T2162" s="40">
        <v>177.91666666666666</v>
      </c>
      <c r="U2162" s="40">
        <v>177.91666666666666</v>
      </c>
      <c r="V2162" s="40">
        <v>177.91666666666666</v>
      </c>
      <c r="W2162" s="40">
        <v>177.91666666666666</v>
      </c>
      <c r="X2162" s="40">
        <v>177.91666666666666</v>
      </c>
      <c r="Y2162" s="40">
        <v>177.91666666666666</v>
      </c>
      <c r="Z2162" s="40">
        <v>177.91666666666666</v>
      </c>
      <c r="AA2162" s="966">
        <f t="shared" si="352"/>
        <v>2135.0000000000005</v>
      </c>
      <c r="AB2162" s="1210"/>
      <c r="AC2162" s="1199"/>
      <c r="AD2162" s="1211"/>
    </row>
    <row r="2163" spans="1:30" x14ac:dyDescent="0.2">
      <c r="A2163" s="1422"/>
      <c r="B2163" s="2522"/>
      <c r="C2163" s="2456"/>
      <c r="D2163" s="3369"/>
      <c r="E2163" s="2420"/>
      <c r="F2163" s="2420"/>
      <c r="G2163" s="2420"/>
      <c r="H2163" s="2420"/>
      <c r="I2163" s="2420"/>
      <c r="J2163" s="2515"/>
      <c r="K2163" s="40">
        <v>2250</v>
      </c>
      <c r="L2163" s="2432"/>
      <c r="M2163" s="111" t="s">
        <v>393</v>
      </c>
      <c r="N2163" s="111"/>
      <c r="O2163" s="40"/>
      <c r="P2163" s="40"/>
      <c r="Q2163" s="40"/>
      <c r="R2163" s="40">
        <v>2250</v>
      </c>
      <c r="S2163" s="40"/>
      <c r="T2163" s="40"/>
      <c r="U2163" s="40"/>
      <c r="V2163" s="40"/>
      <c r="W2163" s="40"/>
      <c r="X2163" s="40"/>
      <c r="Y2163" s="40"/>
      <c r="Z2163" s="40"/>
      <c r="AA2163" s="966">
        <f t="shared" si="352"/>
        <v>2250</v>
      </c>
      <c r="AB2163" s="1210"/>
      <c r="AC2163" s="1199"/>
      <c r="AD2163" s="1211"/>
    </row>
    <row r="2164" spans="1:30" x14ac:dyDescent="0.2">
      <c r="A2164" s="1422"/>
      <c r="B2164" s="2522"/>
      <c r="C2164" s="2450"/>
      <c r="D2164" s="3369"/>
      <c r="E2164" s="2420"/>
      <c r="F2164" s="2420"/>
      <c r="G2164" s="2420"/>
      <c r="H2164" s="2420"/>
      <c r="I2164" s="2420"/>
      <c r="J2164" s="2516"/>
      <c r="K2164" s="40">
        <v>450</v>
      </c>
      <c r="L2164" s="2432"/>
      <c r="M2164" s="111" t="s">
        <v>611</v>
      </c>
      <c r="N2164" s="111"/>
      <c r="O2164" s="40"/>
      <c r="P2164" s="40"/>
      <c r="Q2164" s="40"/>
      <c r="R2164" s="40">
        <v>450</v>
      </c>
      <c r="S2164" s="40"/>
      <c r="T2164" s="40"/>
      <c r="U2164" s="40"/>
      <c r="V2164" s="40"/>
      <c r="W2164" s="40"/>
      <c r="X2164" s="40"/>
      <c r="Y2164" s="40"/>
      <c r="Z2164" s="40"/>
      <c r="AA2164" s="966">
        <f t="shared" si="352"/>
        <v>450</v>
      </c>
      <c r="AB2164" s="1210"/>
      <c r="AC2164" s="1199"/>
      <c r="AD2164" s="1211"/>
    </row>
    <row r="2165" spans="1:30" x14ac:dyDescent="0.2">
      <c r="A2165" s="1422"/>
      <c r="B2165" s="1427" t="s">
        <v>312</v>
      </c>
      <c r="C2165" s="1128"/>
      <c r="D2165" s="38"/>
      <c r="E2165" s="38"/>
      <c r="F2165" s="38"/>
      <c r="G2165" s="38"/>
      <c r="H2165" s="38"/>
      <c r="I2165" s="38"/>
      <c r="J2165" s="38"/>
      <c r="K2165" s="40">
        <f>SUM(K2158:K2164)</f>
        <v>59240</v>
      </c>
      <c r="L2165" s="2437"/>
      <c r="M2165" s="38"/>
      <c r="N2165" s="38"/>
      <c r="O2165" s="40">
        <v>5023.8333333333339</v>
      </c>
      <c r="P2165" s="40">
        <v>4623.8333333333339</v>
      </c>
      <c r="Q2165" s="40">
        <v>4623.8333333333339</v>
      </c>
      <c r="R2165" s="40">
        <v>7323.8333333333339</v>
      </c>
      <c r="S2165" s="40">
        <v>4623.8333333333339</v>
      </c>
      <c r="T2165" s="40">
        <v>4623.8333333333339</v>
      </c>
      <c r="U2165" s="40">
        <v>4950.8333333333339</v>
      </c>
      <c r="V2165" s="40">
        <v>4623.8333333333339</v>
      </c>
      <c r="W2165" s="40">
        <v>4623.8333333333339</v>
      </c>
      <c r="X2165" s="40">
        <v>4623.8333333333339</v>
      </c>
      <c r="Y2165" s="40">
        <v>4623.8333333333339</v>
      </c>
      <c r="Z2165" s="40">
        <v>4950.8333333333339</v>
      </c>
      <c r="AA2165" s="1199"/>
      <c r="AB2165" s="1210"/>
      <c r="AC2165" s="1199"/>
      <c r="AD2165" s="1211"/>
    </row>
    <row r="2166" spans="1:30" ht="22.5" x14ac:dyDescent="0.2">
      <c r="A2166" s="1422"/>
      <c r="B2166" s="1433" t="s">
        <v>276</v>
      </c>
      <c r="C2166" s="1119"/>
      <c r="D2166" s="192">
        <v>3000015</v>
      </c>
      <c r="E2166" s="192" t="s">
        <v>706</v>
      </c>
      <c r="J2166" s="35"/>
      <c r="K2166" s="192" t="s">
        <v>714</v>
      </c>
      <c r="L2166" s="35"/>
      <c r="M2166" s="35"/>
      <c r="N2166" s="35"/>
      <c r="O2166" s="35"/>
      <c r="P2166" s="35"/>
      <c r="Q2166" s="35"/>
      <c r="R2166" s="35"/>
      <c r="S2166" s="35"/>
      <c r="T2166" s="35"/>
      <c r="U2166" s="3375" t="s">
        <v>15</v>
      </c>
      <c r="V2166" s="3375"/>
      <c r="W2166" s="3375"/>
      <c r="X2166" s="3375"/>
      <c r="Y2166" s="3375"/>
      <c r="Z2166" s="3375"/>
      <c r="AA2166" s="1963" t="s">
        <v>16</v>
      </c>
      <c r="AB2166" s="1210"/>
      <c r="AC2166" s="1199"/>
      <c r="AD2166" s="1211"/>
    </row>
    <row r="2167" spans="1:30" ht="24.75" customHeight="1" x14ac:dyDescent="0.2">
      <c r="A2167" s="1422"/>
      <c r="B2167" s="1433"/>
      <c r="C2167" s="1119"/>
      <c r="D2167" s="192"/>
      <c r="E2167" s="192"/>
      <c r="F2167" s="192"/>
      <c r="G2167" s="35"/>
      <c r="H2167" s="35"/>
      <c r="I2167" s="35"/>
      <c r="J2167" s="35"/>
      <c r="K2167" s="35"/>
      <c r="L2167" s="35"/>
      <c r="M2167" s="35"/>
      <c r="N2167" s="35"/>
      <c r="O2167" s="35"/>
      <c r="P2167" s="35"/>
      <c r="Q2167" s="35"/>
      <c r="R2167" s="35"/>
      <c r="S2167" s="35"/>
      <c r="T2167" s="35"/>
      <c r="U2167" s="3383" t="s">
        <v>715</v>
      </c>
      <c r="V2167" s="3383"/>
      <c r="W2167" s="3383"/>
      <c r="X2167" s="3383"/>
      <c r="Y2167" s="3383"/>
      <c r="Z2167" s="3383"/>
      <c r="AA2167" s="1214" t="s">
        <v>609</v>
      </c>
      <c r="AB2167" s="1210"/>
      <c r="AC2167" s="1199"/>
      <c r="AD2167" s="1211"/>
    </row>
    <row r="2168" spans="1:30" x14ac:dyDescent="0.2">
      <c r="A2168" s="1422"/>
      <c r="B2168" s="2999" t="s">
        <v>278</v>
      </c>
      <c r="C2168" s="3015" t="s">
        <v>21</v>
      </c>
      <c r="D2168" s="2847" t="s">
        <v>22</v>
      </c>
      <c r="E2168" s="2847" t="s">
        <v>23</v>
      </c>
      <c r="F2168" s="2847" t="s">
        <v>24</v>
      </c>
      <c r="G2168" s="2847" t="s">
        <v>25</v>
      </c>
      <c r="H2168" s="2847" t="s">
        <v>26</v>
      </c>
      <c r="I2168" s="2847" t="s">
        <v>27</v>
      </c>
      <c r="J2168" s="3206" t="s">
        <v>28</v>
      </c>
      <c r="K2168" s="3301"/>
      <c r="L2168" s="2988" t="s">
        <v>279</v>
      </c>
      <c r="M2168" s="2847" t="s">
        <v>280</v>
      </c>
      <c r="N2168" s="1017"/>
      <c r="O2168" s="2847" t="s">
        <v>281</v>
      </c>
      <c r="P2168" s="2847"/>
      <c r="Q2168" s="2847"/>
      <c r="R2168" s="2847"/>
      <c r="S2168" s="2847"/>
      <c r="T2168" s="2847"/>
      <c r="U2168" s="2847"/>
      <c r="V2168" s="2847"/>
      <c r="W2168" s="2847"/>
      <c r="X2168" s="2847"/>
      <c r="Y2168" s="2847"/>
      <c r="Z2168" s="2847"/>
      <c r="AA2168" s="3358" t="s">
        <v>32</v>
      </c>
      <c r="AB2168" s="1210"/>
      <c r="AC2168" s="1199"/>
      <c r="AD2168" s="1211"/>
    </row>
    <row r="2169" spans="1:30" x14ac:dyDescent="0.2">
      <c r="A2169" s="1422"/>
      <c r="B2169" s="2999"/>
      <c r="C2169" s="3359"/>
      <c r="D2169" s="2847"/>
      <c r="E2169" s="2847"/>
      <c r="F2169" s="2847"/>
      <c r="G2169" s="2847"/>
      <c r="H2169" s="2847"/>
      <c r="I2169" s="2847"/>
      <c r="J2169" s="2988" t="s">
        <v>33</v>
      </c>
      <c r="K2169" s="2988" t="s">
        <v>282</v>
      </c>
      <c r="L2169" s="3186"/>
      <c r="M2169" s="2847"/>
      <c r="N2169" s="1017"/>
      <c r="O2169" s="1009" t="s">
        <v>283</v>
      </c>
      <c r="P2169" s="1009" t="s">
        <v>284</v>
      </c>
      <c r="Q2169" s="1009" t="s">
        <v>285</v>
      </c>
      <c r="R2169" s="1009" t="s">
        <v>88</v>
      </c>
      <c r="S2169" s="1009" t="s">
        <v>89</v>
      </c>
      <c r="T2169" s="1009" t="s">
        <v>90</v>
      </c>
      <c r="U2169" s="1009" t="s">
        <v>91</v>
      </c>
      <c r="V2169" s="1009" t="s">
        <v>92</v>
      </c>
      <c r="W2169" s="1009" t="s">
        <v>286</v>
      </c>
      <c r="X2169" s="1009" t="s">
        <v>93</v>
      </c>
      <c r="Y2169" s="1009" t="s">
        <v>94</v>
      </c>
      <c r="Z2169" s="1009" t="s">
        <v>95</v>
      </c>
      <c r="AA2169" s="3358"/>
      <c r="AB2169" s="1210"/>
      <c r="AC2169" s="1199"/>
      <c r="AD2169" s="1211"/>
    </row>
    <row r="2170" spans="1:30" ht="12.75" x14ac:dyDescent="0.2">
      <c r="A2170" s="1422"/>
      <c r="B2170" s="2999"/>
      <c r="C2170" s="3359"/>
      <c r="D2170" s="2847"/>
      <c r="E2170" s="2847"/>
      <c r="F2170" s="2847"/>
      <c r="G2170" s="2847"/>
      <c r="H2170" s="2847"/>
      <c r="I2170" s="2847"/>
      <c r="J2170" s="3186"/>
      <c r="K2170" s="3186"/>
      <c r="L2170" s="3186"/>
      <c r="M2170" s="1009" t="s">
        <v>287</v>
      </c>
      <c r="N2170" s="1009"/>
      <c r="O2170" s="40">
        <v>2800</v>
      </c>
      <c r="P2170" s="40">
        <v>2800</v>
      </c>
      <c r="Q2170" s="40">
        <v>2801</v>
      </c>
      <c r="R2170" s="40">
        <v>2801</v>
      </c>
      <c r="S2170" s="40">
        <v>2801</v>
      </c>
      <c r="T2170" s="40">
        <v>2801</v>
      </c>
      <c r="U2170" s="40">
        <v>2801</v>
      </c>
      <c r="V2170" s="40">
        <v>2801</v>
      </c>
      <c r="W2170" s="40">
        <v>2801</v>
      </c>
      <c r="X2170" s="40">
        <v>2801</v>
      </c>
      <c r="Y2170" s="40">
        <v>2801</v>
      </c>
      <c r="Z2170" s="40">
        <v>2801</v>
      </c>
      <c r="AA2170" s="1205">
        <f t="shared" ref="AA2170:AA2187" si="354">SUM(O2170:Z2170)</f>
        <v>33610</v>
      </c>
      <c r="AB2170" s="1210"/>
      <c r="AC2170" s="1199"/>
      <c r="AD2170" s="1211"/>
    </row>
    <row r="2171" spans="1:30" ht="12.75" x14ac:dyDescent="0.2">
      <c r="A2171" s="1422"/>
      <c r="B2171" s="2999"/>
      <c r="C2171" s="3016"/>
      <c r="D2171" s="2847"/>
      <c r="E2171" s="2847"/>
      <c r="F2171" s="2847"/>
      <c r="G2171" s="2847"/>
      <c r="H2171" s="2847"/>
      <c r="I2171" s="2847"/>
      <c r="J2171" s="2989"/>
      <c r="K2171" s="2989"/>
      <c r="L2171" s="2989"/>
      <c r="M2171" s="1009" t="s">
        <v>34</v>
      </c>
      <c r="N2171" s="1009"/>
      <c r="O2171" s="40">
        <f>SUM(O2172:O2187)</f>
        <v>97677.333333333343</v>
      </c>
      <c r="P2171" s="40">
        <f t="shared" ref="P2171:Z2171" si="355">SUM(P2172:P2187)</f>
        <v>92210.666666666657</v>
      </c>
      <c r="Q2171" s="40">
        <f t="shared" si="355"/>
        <v>98110.833333333328</v>
      </c>
      <c r="R2171" s="40">
        <f t="shared" si="355"/>
        <v>108326.83333333333</v>
      </c>
      <c r="S2171" s="40">
        <f t="shared" si="355"/>
        <v>90997.333333333328</v>
      </c>
      <c r="T2171" s="40">
        <f t="shared" si="355"/>
        <v>92430.666666666657</v>
      </c>
      <c r="U2171" s="40">
        <f t="shared" si="355"/>
        <v>96197.333333333343</v>
      </c>
      <c r="V2171" s="40">
        <f t="shared" si="355"/>
        <v>114440.33333333333</v>
      </c>
      <c r="W2171" s="40">
        <f t="shared" si="355"/>
        <v>90997.333333333328</v>
      </c>
      <c r="X2171" s="40">
        <f t="shared" si="355"/>
        <v>92430.666666666657</v>
      </c>
      <c r="Y2171" s="40">
        <f t="shared" si="355"/>
        <v>90997.333333333328</v>
      </c>
      <c r="Z2171" s="40">
        <f t="shared" si="355"/>
        <v>96197.333333333343</v>
      </c>
      <c r="AA2171" s="1205">
        <f t="shared" si="354"/>
        <v>1161014</v>
      </c>
      <c r="AB2171" s="1210"/>
      <c r="AC2171" s="1199"/>
      <c r="AD2171" s="1211"/>
    </row>
    <row r="2172" spans="1:30" x14ac:dyDescent="0.2">
      <c r="A2172" s="1422"/>
      <c r="B2172" s="2522">
        <v>5000113</v>
      </c>
      <c r="C2172" s="2438" t="s">
        <v>716</v>
      </c>
      <c r="D2172" s="3369">
        <v>73</v>
      </c>
      <c r="E2172" s="3369" t="s">
        <v>288</v>
      </c>
      <c r="F2172" s="2420" t="s">
        <v>386</v>
      </c>
      <c r="G2172" s="2420" t="s">
        <v>423</v>
      </c>
      <c r="H2172" s="2420" t="s">
        <v>717</v>
      </c>
      <c r="I2172" s="2420" t="s">
        <v>695</v>
      </c>
      <c r="J2172" s="2515">
        <v>33610</v>
      </c>
      <c r="K2172" s="40">
        <v>394538</v>
      </c>
      <c r="L2172" s="2431" t="s">
        <v>687</v>
      </c>
      <c r="M2172" s="111" t="s">
        <v>293</v>
      </c>
      <c r="N2172" s="111"/>
      <c r="O2172" s="40">
        <v>32878.166666666664</v>
      </c>
      <c r="P2172" s="40">
        <v>32878.166666666664</v>
      </c>
      <c r="Q2172" s="40">
        <v>32878.166666666664</v>
      </c>
      <c r="R2172" s="40">
        <v>32878.166666666664</v>
      </c>
      <c r="S2172" s="40">
        <v>32878.166666666664</v>
      </c>
      <c r="T2172" s="40">
        <v>32878.166666666664</v>
      </c>
      <c r="U2172" s="40">
        <v>32878.166666666664</v>
      </c>
      <c r="V2172" s="40">
        <v>32878.166666666664</v>
      </c>
      <c r="W2172" s="40">
        <v>32878.166666666664</v>
      </c>
      <c r="X2172" s="40">
        <v>32878.166666666664</v>
      </c>
      <c r="Y2172" s="40">
        <v>32878.166666666664</v>
      </c>
      <c r="Z2172" s="40">
        <v>32878.166666666664</v>
      </c>
      <c r="AA2172" s="966">
        <f t="shared" si="354"/>
        <v>394538.00000000006</v>
      </c>
      <c r="AB2172" s="1210"/>
      <c r="AC2172" s="1199"/>
      <c r="AD2172" s="1211"/>
    </row>
    <row r="2173" spans="1:30" x14ac:dyDescent="0.2">
      <c r="A2173" s="1422"/>
      <c r="B2173" s="2522"/>
      <c r="C2173" s="2456"/>
      <c r="D2173" s="3369"/>
      <c r="E2173" s="3369"/>
      <c r="F2173" s="2420"/>
      <c r="G2173" s="2420"/>
      <c r="H2173" s="2420"/>
      <c r="I2173" s="2420"/>
      <c r="J2173" s="2515"/>
      <c r="K2173" s="40">
        <v>210074</v>
      </c>
      <c r="L2173" s="2432"/>
      <c r="M2173" s="111" t="s">
        <v>295</v>
      </c>
      <c r="N2173" s="111"/>
      <c r="O2173" s="40">
        <v>17506.166666666668</v>
      </c>
      <c r="P2173" s="40">
        <v>17506.166666666668</v>
      </c>
      <c r="Q2173" s="40">
        <v>17506.166666666668</v>
      </c>
      <c r="R2173" s="40">
        <v>17506.166666666668</v>
      </c>
      <c r="S2173" s="40">
        <v>17506.166666666668</v>
      </c>
      <c r="T2173" s="40">
        <v>17506.166666666668</v>
      </c>
      <c r="U2173" s="40">
        <v>17506.166666666668</v>
      </c>
      <c r="V2173" s="40">
        <v>17506.166666666668</v>
      </c>
      <c r="W2173" s="40">
        <v>17506.166666666668</v>
      </c>
      <c r="X2173" s="40">
        <v>17506.166666666668</v>
      </c>
      <c r="Y2173" s="40">
        <v>17506.166666666668</v>
      </c>
      <c r="Z2173" s="40">
        <v>17506.166666666668</v>
      </c>
      <c r="AA2173" s="966">
        <f t="shared" si="354"/>
        <v>210073.99999999997</v>
      </c>
      <c r="AB2173" s="1210"/>
      <c r="AC2173" s="1199"/>
      <c r="AD2173" s="1211"/>
    </row>
    <row r="2174" spans="1:30" x14ac:dyDescent="0.2">
      <c r="A2174" s="1422"/>
      <c r="B2174" s="2522"/>
      <c r="C2174" s="2456"/>
      <c r="D2174" s="3369"/>
      <c r="E2174" s="3369"/>
      <c r="F2174" s="2420"/>
      <c r="G2174" s="2420"/>
      <c r="H2174" s="2420"/>
      <c r="I2174" s="2420"/>
      <c r="J2174" s="2515"/>
      <c r="K2174" s="40">
        <v>143132</v>
      </c>
      <c r="L2174" s="2432"/>
      <c r="M2174" s="111" t="s">
        <v>296</v>
      </c>
      <c r="N2174" s="111"/>
      <c r="O2174" s="40">
        <v>11927.666666666666</v>
      </c>
      <c r="P2174" s="40">
        <v>11927.666666666666</v>
      </c>
      <c r="Q2174" s="40">
        <v>11927.666666666666</v>
      </c>
      <c r="R2174" s="40">
        <v>11927.666666666666</v>
      </c>
      <c r="S2174" s="40">
        <v>11927.666666666666</v>
      </c>
      <c r="T2174" s="40">
        <v>11927.666666666666</v>
      </c>
      <c r="U2174" s="40">
        <v>11927.666666666666</v>
      </c>
      <c r="V2174" s="40">
        <v>11927.666666666666</v>
      </c>
      <c r="W2174" s="40">
        <v>11927.666666666666</v>
      </c>
      <c r="X2174" s="40">
        <v>11927.666666666666</v>
      </c>
      <c r="Y2174" s="40">
        <v>11927.666666666666</v>
      </c>
      <c r="Z2174" s="40">
        <v>11927.666666666666</v>
      </c>
      <c r="AA2174" s="966">
        <f t="shared" si="354"/>
        <v>143132</v>
      </c>
      <c r="AB2174" s="1210"/>
      <c r="AC2174" s="1199"/>
      <c r="AD2174" s="1211"/>
    </row>
    <row r="2175" spans="1:30" x14ac:dyDescent="0.2">
      <c r="A2175" s="1422"/>
      <c r="B2175" s="2522"/>
      <c r="C2175" s="2456"/>
      <c r="D2175" s="3369"/>
      <c r="E2175" s="3369"/>
      <c r="F2175" s="2420"/>
      <c r="G2175" s="2420"/>
      <c r="H2175" s="2420"/>
      <c r="I2175" s="2420"/>
      <c r="J2175" s="2515"/>
      <c r="K2175" s="40">
        <v>15852</v>
      </c>
      <c r="L2175" s="2432"/>
      <c r="M2175" s="111" t="s">
        <v>297</v>
      </c>
      <c r="N2175" s="111"/>
      <c r="O2175" s="40">
        <v>1321</v>
      </c>
      <c r="P2175" s="40">
        <v>1321</v>
      </c>
      <c r="Q2175" s="40">
        <v>1321</v>
      </c>
      <c r="R2175" s="40">
        <v>1321</v>
      </c>
      <c r="S2175" s="40">
        <v>1321</v>
      </c>
      <c r="T2175" s="40">
        <v>1321</v>
      </c>
      <c r="U2175" s="40">
        <v>1321</v>
      </c>
      <c r="V2175" s="40">
        <v>1321</v>
      </c>
      <c r="W2175" s="40">
        <v>1321</v>
      </c>
      <c r="X2175" s="40">
        <v>1321</v>
      </c>
      <c r="Y2175" s="40">
        <v>1321</v>
      </c>
      <c r="Z2175" s="40">
        <v>1321</v>
      </c>
      <c r="AA2175" s="966">
        <f t="shared" si="354"/>
        <v>15852</v>
      </c>
      <c r="AB2175" s="1210"/>
      <c r="AC2175" s="1199"/>
      <c r="AD2175" s="1211"/>
    </row>
    <row r="2176" spans="1:30" x14ac:dyDescent="0.2">
      <c r="A2176" s="1422"/>
      <c r="B2176" s="2522"/>
      <c r="C2176" s="2456"/>
      <c r="D2176" s="3369"/>
      <c r="E2176" s="3369"/>
      <c r="F2176" s="2420"/>
      <c r="G2176" s="2420"/>
      <c r="H2176" s="2420"/>
      <c r="I2176" s="2420"/>
      <c r="J2176" s="2515"/>
      <c r="K2176" s="40">
        <v>10400</v>
      </c>
      <c r="L2176" s="2432"/>
      <c r="M2176" s="111" t="s">
        <v>298</v>
      </c>
      <c r="N2176" s="111"/>
      <c r="O2176" s="40"/>
      <c r="P2176" s="40"/>
      <c r="Q2176" s="40"/>
      <c r="R2176" s="40"/>
      <c r="S2176" s="40"/>
      <c r="T2176" s="40"/>
      <c r="U2176" s="40">
        <v>5200</v>
      </c>
      <c r="V2176" s="40"/>
      <c r="W2176" s="40"/>
      <c r="X2176" s="40"/>
      <c r="Y2176" s="40"/>
      <c r="Z2176" s="40">
        <v>5200</v>
      </c>
      <c r="AA2176" s="966">
        <f t="shared" si="354"/>
        <v>10400</v>
      </c>
      <c r="AB2176" s="1210"/>
      <c r="AC2176" s="1199"/>
      <c r="AD2176" s="1211"/>
    </row>
    <row r="2177" spans="1:30" x14ac:dyDescent="0.2">
      <c r="A2177" s="1422"/>
      <c r="B2177" s="2522"/>
      <c r="C2177" s="2456"/>
      <c r="D2177" s="3369"/>
      <c r="E2177" s="3369"/>
      <c r="F2177" s="2420"/>
      <c r="G2177" s="2420"/>
      <c r="H2177" s="2420"/>
      <c r="I2177" s="2420"/>
      <c r="J2177" s="2515"/>
      <c r="K2177" s="40">
        <v>6900</v>
      </c>
      <c r="L2177" s="2432"/>
      <c r="M2177" s="111" t="s">
        <v>299</v>
      </c>
      <c r="N2177" s="111"/>
      <c r="O2177" s="40">
        <v>6900</v>
      </c>
      <c r="P2177" s="40"/>
      <c r="Q2177" s="40"/>
      <c r="R2177" s="40"/>
      <c r="S2177" s="40"/>
      <c r="T2177" s="40"/>
      <c r="U2177" s="40"/>
      <c r="V2177" s="40"/>
      <c r="W2177" s="40"/>
      <c r="X2177" s="40"/>
      <c r="Y2177" s="40"/>
      <c r="Z2177" s="40"/>
      <c r="AA2177" s="966">
        <f t="shared" si="354"/>
        <v>6900</v>
      </c>
      <c r="AB2177" s="1210"/>
      <c r="AC2177" s="1199"/>
      <c r="AD2177" s="1211"/>
    </row>
    <row r="2178" spans="1:30" x14ac:dyDescent="0.2">
      <c r="A2178" s="1422"/>
      <c r="B2178" s="2522"/>
      <c r="C2178" s="2456"/>
      <c r="D2178" s="3369"/>
      <c r="E2178" s="3369"/>
      <c r="F2178" s="2420"/>
      <c r="G2178" s="2420"/>
      <c r="H2178" s="2420"/>
      <c r="I2178" s="2420"/>
      <c r="J2178" s="2515"/>
      <c r="K2178" s="40">
        <v>31871</v>
      </c>
      <c r="L2178" s="2432"/>
      <c r="M2178" s="111" t="s">
        <v>300</v>
      </c>
      <c r="N2178" s="111"/>
      <c r="O2178" s="40">
        <v>2655.9166666666665</v>
      </c>
      <c r="P2178" s="40">
        <v>2655.9166666666665</v>
      </c>
      <c r="Q2178" s="40">
        <v>2655.9166666666665</v>
      </c>
      <c r="R2178" s="40">
        <v>2655.9166666666665</v>
      </c>
      <c r="S2178" s="40">
        <v>2655.9166666666665</v>
      </c>
      <c r="T2178" s="40">
        <v>2655.9166666666665</v>
      </c>
      <c r="U2178" s="40">
        <v>2655.9166666666665</v>
      </c>
      <c r="V2178" s="40">
        <v>2655.9166666666665</v>
      </c>
      <c r="W2178" s="40">
        <v>2655.9166666666665</v>
      </c>
      <c r="X2178" s="40">
        <v>2655.9166666666665</v>
      </c>
      <c r="Y2178" s="40">
        <v>2655.9166666666665</v>
      </c>
      <c r="Z2178" s="40">
        <v>2655.9166666666665</v>
      </c>
      <c r="AA2178" s="966">
        <f t="shared" si="354"/>
        <v>31871.000000000004</v>
      </c>
      <c r="AB2178" s="1210"/>
      <c r="AC2178" s="1199"/>
      <c r="AD2178" s="1211"/>
    </row>
    <row r="2179" spans="1:30" x14ac:dyDescent="0.2">
      <c r="A2179" s="1422"/>
      <c r="B2179" s="2522"/>
      <c r="C2179" s="2456"/>
      <c r="D2179" s="3369"/>
      <c r="E2179" s="3369"/>
      <c r="F2179" s="2420"/>
      <c r="G2179" s="2420"/>
      <c r="H2179" s="2420"/>
      <c r="I2179" s="2420"/>
      <c r="J2179" s="2515"/>
      <c r="K2179" s="40">
        <v>1193</v>
      </c>
      <c r="L2179" s="2432"/>
      <c r="M2179" s="111" t="s">
        <v>301</v>
      </c>
      <c r="N2179" s="111"/>
      <c r="O2179" s="40">
        <v>99.416666666666671</v>
      </c>
      <c r="P2179" s="40">
        <v>99.416666666666671</v>
      </c>
      <c r="Q2179" s="40">
        <v>99.416666666666671</v>
      </c>
      <c r="R2179" s="40">
        <v>99.416666666666671</v>
      </c>
      <c r="S2179" s="40">
        <v>99.416666666666671</v>
      </c>
      <c r="T2179" s="40">
        <v>99.416666666666671</v>
      </c>
      <c r="U2179" s="40">
        <v>99.416666666666671</v>
      </c>
      <c r="V2179" s="40">
        <v>99.416666666666671</v>
      </c>
      <c r="W2179" s="40">
        <v>99.416666666666671</v>
      </c>
      <c r="X2179" s="40">
        <v>99.416666666666671</v>
      </c>
      <c r="Y2179" s="40">
        <v>99.416666666666671</v>
      </c>
      <c r="Z2179" s="40">
        <v>99.416666666666671</v>
      </c>
      <c r="AA2179" s="966">
        <f t="shared" si="354"/>
        <v>1193</v>
      </c>
      <c r="AB2179" s="1210"/>
      <c r="AC2179" s="1199"/>
      <c r="AD2179" s="1211"/>
    </row>
    <row r="2180" spans="1:30" x14ac:dyDescent="0.2">
      <c r="A2180" s="1422"/>
      <c r="B2180" s="2522"/>
      <c r="C2180" s="2456"/>
      <c r="D2180" s="3369"/>
      <c r="E2180" s="3369"/>
      <c r="F2180" s="2420"/>
      <c r="G2180" s="2420"/>
      <c r="H2180" s="2420"/>
      <c r="I2180" s="2420"/>
      <c r="J2180" s="2515"/>
      <c r="K2180" s="40">
        <v>1000</v>
      </c>
      <c r="L2180" s="2432"/>
      <c r="M2180" s="111" t="s">
        <v>303</v>
      </c>
      <c r="N2180" s="111"/>
      <c r="O2180" s="40"/>
      <c r="P2180" s="40"/>
      <c r="Q2180" s="40">
        <v>1000</v>
      </c>
      <c r="R2180" s="40"/>
      <c r="S2180" s="40"/>
      <c r="T2180" s="40"/>
      <c r="U2180" s="40"/>
      <c r="V2180" s="40"/>
      <c r="W2180" s="40"/>
      <c r="X2180" s="40"/>
      <c r="Y2180" s="40"/>
      <c r="Z2180" s="40"/>
      <c r="AA2180" s="966">
        <f t="shared" si="354"/>
        <v>1000</v>
      </c>
      <c r="AB2180" s="1210"/>
      <c r="AC2180" s="1199"/>
      <c r="AD2180" s="1211"/>
    </row>
    <row r="2181" spans="1:30" x14ac:dyDescent="0.2">
      <c r="A2181" s="1422"/>
      <c r="B2181" s="2522"/>
      <c r="C2181" s="2456"/>
      <c r="D2181" s="3369"/>
      <c r="E2181" s="3369"/>
      <c r="F2181" s="2420"/>
      <c r="G2181" s="2420"/>
      <c r="H2181" s="2420"/>
      <c r="I2181" s="2420"/>
      <c r="J2181" s="2515"/>
      <c r="K2181" s="40">
        <v>4300</v>
      </c>
      <c r="L2181" s="2432"/>
      <c r="M2181" s="111" t="s">
        <v>324</v>
      </c>
      <c r="N2181" s="111"/>
      <c r="O2181" s="40"/>
      <c r="P2181" s="40">
        <v>1433.3333333333333</v>
      </c>
      <c r="Q2181" s="40"/>
      <c r="R2181" s="40"/>
      <c r="S2181" s="40"/>
      <c r="T2181" s="40">
        <v>1433.3333333333333</v>
      </c>
      <c r="U2181" s="40"/>
      <c r="V2181" s="40"/>
      <c r="W2181" s="40"/>
      <c r="X2181" s="40">
        <v>1433.3333333333333</v>
      </c>
      <c r="Y2181" s="40"/>
      <c r="Z2181" s="40"/>
      <c r="AA2181" s="966">
        <f t="shared" si="354"/>
        <v>4300</v>
      </c>
      <c r="AB2181" s="1210"/>
      <c r="AC2181" s="1199"/>
      <c r="AD2181" s="1211"/>
    </row>
    <row r="2182" spans="1:30" x14ac:dyDescent="0.2">
      <c r="A2182" s="1422"/>
      <c r="B2182" s="2522"/>
      <c r="C2182" s="2456"/>
      <c r="D2182" s="3369"/>
      <c r="E2182" s="3369"/>
      <c r="F2182" s="2420"/>
      <c r="G2182" s="2420"/>
      <c r="H2182" s="2420"/>
      <c r="I2182" s="2420"/>
      <c r="J2182" s="2515"/>
      <c r="K2182" s="40">
        <v>6044</v>
      </c>
      <c r="L2182" s="2432"/>
      <c r="M2182" s="111" t="s">
        <v>393</v>
      </c>
      <c r="N2182" s="111"/>
      <c r="O2182" s="40"/>
      <c r="P2182" s="40"/>
      <c r="Q2182" s="40"/>
      <c r="R2182" s="40">
        <v>3022</v>
      </c>
      <c r="S2182" s="40"/>
      <c r="T2182" s="40"/>
      <c r="U2182" s="40"/>
      <c r="V2182" s="40">
        <v>3022</v>
      </c>
      <c r="W2182" s="40"/>
      <c r="X2182" s="40"/>
      <c r="Y2182" s="40"/>
      <c r="Z2182" s="40"/>
      <c r="AA2182" s="966">
        <f t="shared" si="354"/>
        <v>6044</v>
      </c>
      <c r="AB2182" s="1210"/>
      <c r="AC2182" s="1199"/>
      <c r="AD2182" s="1211"/>
    </row>
    <row r="2183" spans="1:30" x14ac:dyDescent="0.2">
      <c r="A2183" s="1422"/>
      <c r="B2183" s="2522"/>
      <c r="C2183" s="2456"/>
      <c r="D2183" s="3369"/>
      <c r="E2183" s="3369"/>
      <c r="F2183" s="2420"/>
      <c r="G2183" s="2420"/>
      <c r="H2183" s="2420"/>
      <c r="I2183" s="2420"/>
      <c r="J2183" s="2515"/>
      <c r="K2183" s="40">
        <v>28615</v>
      </c>
      <c r="L2183" s="2432"/>
      <c r="M2183" s="111" t="s">
        <v>343</v>
      </c>
      <c r="N2183" s="111"/>
      <c r="O2183" s="40"/>
      <c r="P2183" s="40"/>
      <c r="Q2183" s="40"/>
      <c r="R2183" s="40">
        <v>14307.5</v>
      </c>
      <c r="S2183" s="40"/>
      <c r="T2183" s="40"/>
      <c r="U2183" s="40"/>
      <c r="V2183" s="40">
        <v>14307.5</v>
      </c>
      <c r="W2183" s="40"/>
      <c r="X2183" s="40"/>
      <c r="Y2183" s="40"/>
      <c r="Z2183" s="40"/>
      <c r="AA2183" s="966">
        <f t="shared" si="354"/>
        <v>28615</v>
      </c>
      <c r="AB2183" s="1210"/>
      <c r="AC2183" s="1199"/>
      <c r="AD2183" s="1211"/>
    </row>
    <row r="2184" spans="1:30" x14ac:dyDescent="0.2">
      <c r="A2184" s="1422"/>
      <c r="B2184" s="2522"/>
      <c r="C2184" s="2456"/>
      <c r="D2184" s="3369"/>
      <c r="E2184" s="3369"/>
      <c r="F2184" s="2420"/>
      <c r="G2184" s="2420"/>
      <c r="H2184" s="2420"/>
      <c r="I2184" s="2420"/>
      <c r="J2184" s="2515"/>
      <c r="K2184" s="40">
        <v>12227</v>
      </c>
      <c r="L2184" s="2432"/>
      <c r="M2184" s="111" t="s">
        <v>304</v>
      </c>
      <c r="N2184" s="111"/>
      <c r="O2184" s="40"/>
      <c r="P2184" s="40"/>
      <c r="Q2184" s="40">
        <v>6113.5</v>
      </c>
      <c r="R2184" s="40"/>
      <c r="S2184" s="40"/>
      <c r="T2184" s="40"/>
      <c r="U2184" s="40"/>
      <c r="V2184" s="40">
        <v>6113.5</v>
      </c>
      <c r="W2184" s="40"/>
      <c r="X2184" s="40"/>
      <c r="Y2184" s="40"/>
      <c r="Z2184" s="40"/>
      <c r="AA2184" s="966">
        <f t="shared" si="354"/>
        <v>12227</v>
      </c>
      <c r="AB2184" s="1210"/>
      <c r="AC2184" s="1199"/>
      <c r="AD2184" s="1211"/>
    </row>
    <row r="2185" spans="1:30" x14ac:dyDescent="0.2">
      <c r="A2185" s="1422"/>
      <c r="B2185" s="2522"/>
      <c r="C2185" s="2456"/>
      <c r="D2185" s="3369"/>
      <c r="E2185" s="3369"/>
      <c r="F2185" s="2420"/>
      <c r="G2185" s="2420"/>
      <c r="H2185" s="2420"/>
      <c r="I2185" s="2420"/>
      <c r="J2185" s="2515"/>
      <c r="K2185" s="40">
        <v>2200</v>
      </c>
      <c r="L2185" s="2432"/>
      <c r="M2185" s="111" t="s">
        <v>307</v>
      </c>
      <c r="N2185" s="111"/>
      <c r="O2185" s="40"/>
      <c r="P2185" s="40"/>
      <c r="Q2185" s="40">
        <v>220</v>
      </c>
      <c r="R2185" s="40">
        <v>220</v>
      </c>
      <c r="S2185" s="40">
        <v>220</v>
      </c>
      <c r="T2185" s="40">
        <v>220</v>
      </c>
      <c r="U2185" s="40">
        <v>220</v>
      </c>
      <c r="V2185" s="40">
        <v>220</v>
      </c>
      <c r="W2185" s="40">
        <v>220</v>
      </c>
      <c r="X2185" s="40">
        <v>220</v>
      </c>
      <c r="Y2185" s="40">
        <v>220</v>
      </c>
      <c r="Z2185" s="40">
        <v>220</v>
      </c>
      <c r="AA2185" s="966">
        <f t="shared" si="354"/>
        <v>2200</v>
      </c>
      <c r="AB2185" s="1210"/>
      <c r="AC2185" s="1199"/>
      <c r="AD2185" s="1211"/>
    </row>
    <row r="2186" spans="1:30" x14ac:dyDescent="0.2">
      <c r="A2186" s="1422"/>
      <c r="B2186" s="2522"/>
      <c r="C2186" s="2456"/>
      <c r="D2186" s="3369"/>
      <c r="E2186" s="3369"/>
      <c r="F2186" s="2420"/>
      <c r="G2186" s="2420"/>
      <c r="H2186" s="2420"/>
      <c r="I2186" s="2420"/>
      <c r="J2186" s="2515"/>
      <c r="K2186" s="40">
        <v>282456</v>
      </c>
      <c r="L2186" s="2432"/>
      <c r="M2186" s="111" t="s">
        <v>310</v>
      </c>
      <c r="N2186" s="111"/>
      <c r="O2186" s="40">
        <v>23538</v>
      </c>
      <c r="P2186" s="40">
        <v>23538</v>
      </c>
      <c r="Q2186" s="40">
        <v>23538</v>
      </c>
      <c r="R2186" s="40">
        <v>23538</v>
      </c>
      <c r="S2186" s="40">
        <v>23538</v>
      </c>
      <c r="T2186" s="40">
        <v>23538</v>
      </c>
      <c r="U2186" s="40">
        <v>23538</v>
      </c>
      <c r="V2186" s="40">
        <v>23538</v>
      </c>
      <c r="W2186" s="40">
        <v>23538</v>
      </c>
      <c r="X2186" s="40">
        <v>23538</v>
      </c>
      <c r="Y2186" s="40">
        <v>23538</v>
      </c>
      <c r="Z2186" s="40">
        <v>23538</v>
      </c>
      <c r="AA2186" s="966">
        <f t="shared" si="354"/>
        <v>282456</v>
      </c>
      <c r="AB2186" s="1210"/>
      <c r="AC2186" s="1199"/>
      <c r="AD2186" s="1211"/>
    </row>
    <row r="2187" spans="1:30" x14ac:dyDescent="0.2">
      <c r="A2187" s="1422"/>
      <c r="B2187" s="2522"/>
      <c r="C2187" s="2450"/>
      <c r="D2187" s="3369"/>
      <c r="E2187" s="3369"/>
      <c r="F2187" s="2420"/>
      <c r="G2187" s="2420"/>
      <c r="H2187" s="2420"/>
      <c r="I2187" s="2420"/>
      <c r="J2187" s="2516"/>
      <c r="K2187" s="40">
        <v>10212</v>
      </c>
      <c r="L2187" s="2437"/>
      <c r="M2187" s="111" t="s">
        <v>311</v>
      </c>
      <c r="N2187" s="111"/>
      <c r="O2187" s="40">
        <v>851</v>
      </c>
      <c r="P2187" s="40">
        <v>851</v>
      </c>
      <c r="Q2187" s="40">
        <v>851</v>
      </c>
      <c r="R2187" s="40">
        <v>851</v>
      </c>
      <c r="S2187" s="40">
        <v>851</v>
      </c>
      <c r="T2187" s="40">
        <v>851</v>
      </c>
      <c r="U2187" s="40">
        <v>851</v>
      </c>
      <c r="V2187" s="40">
        <v>851</v>
      </c>
      <c r="W2187" s="40">
        <v>851</v>
      </c>
      <c r="X2187" s="40">
        <v>851</v>
      </c>
      <c r="Y2187" s="40">
        <v>851</v>
      </c>
      <c r="Z2187" s="40">
        <v>851</v>
      </c>
      <c r="AA2187" s="966">
        <f t="shared" si="354"/>
        <v>10212</v>
      </c>
      <c r="AB2187" s="1210"/>
      <c r="AC2187" s="1199"/>
      <c r="AD2187" s="1211"/>
    </row>
    <row r="2188" spans="1:30" x14ac:dyDescent="0.2">
      <c r="A2188" s="1422"/>
      <c r="B2188" s="1427" t="s">
        <v>312</v>
      </c>
      <c r="C2188" s="1128"/>
      <c r="D2188" s="38"/>
      <c r="E2188" s="38"/>
      <c r="F2188" s="38"/>
      <c r="G2188" s="38"/>
      <c r="H2188" s="38"/>
      <c r="I2188" s="38"/>
      <c r="J2188" s="38"/>
      <c r="K2188" s="40">
        <f>SUM(K2172:K2187)</f>
        <v>1161014</v>
      </c>
      <c r="L2188" s="38"/>
      <c r="M2188" s="38"/>
      <c r="N2188" s="38"/>
      <c r="O2188" s="40">
        <v>97677.333333333343</v>
      </c>
      <c r="P2188" s="40">
        <v>92210.666666666657</v>
      </c>
      <c r="Q2188" s="40">
        <v>98110.833333333328</v>
      </c>
      <c r="R2188" s="40">
        <v>108326.83333333333</v>
      </c>
      <c r="S2188" s="40">
        <v>90997.333333333328</v>
      </c>
      <c r="T2188" s="40">
        <v>92430.666666666657</v>
      </c>
      <c r="U2188" s="40">
        <v>96197.333333333343</v>
      </c>
      <c r="V2188" s="40">
        <v>114440.33333333333</v>
      </c>
      <c r="W2188" s="40">
        <v>90997.333333333328</v>
      </c>
      <c r="X2188" s="40">
        <v>92430.666666666657</v>
      </c>
      <c r="Y2188" s="40">
        <v>90997.333333333328</v>
      </c>
      <c r="Z2188" s="40">
        <v>96197.333333333343</v>
      </c>
      <c r="AA2188" s="1234"/>
      <c r="AB2188" s="1210"/>
      <c r="AC2188" s="1199"/>
      <c r="AD2188" s="1211"/>
    </row>
    <row r="2189" spans="1:30" ht="21" customHeight="1" x14ac:dyDescent="0.2">
      <c r="A2189" s="1422"/>
      <c r="B2189" s="1950" t="s">
        <v>276</v>
      </c>
      <c r="C2189" s="1941"/>
      <c r="D2189" s="1941">
        <v>3000016</v>
      </c>
      <c r="E2189" s="1941" t="s">
        <v>706</v>
      </c>
      <c r="F2189" s="1437"/>
      <c r="G2189" s="628"/>
      <c r="H2189" s="628"/>
      <c r="I2189" s="628"/>
      <c r="J2189" s="628"/>
      <c r="K2189" s="1941" t="s">
        <v>718</v>
      </c>
      <c r="L2189" s="628"/>
      <c r="M2189" s="628"/>
      <c r="N2189" s="628"/>
      <c r="O2189" s="628"/>
      <c r="P2189" s="35"/>
      <c r="Q2189" s="35"/>
      <c r="R2189" s="35"/>
      <c r="S2189" s="35"/>
      <c r="T2189" s="35"/>
      <c r="U2189" s="3375" t="s">
        <v>15</v>
      </c>
      <c r="V2189" s="3375"/>
      <c r="W2189" s="3375"/>
      <c r="X2189" s="3375"/>
      <c r="Y2189" s="3375"/>
      <c r="Z2189" s="3375"/>
      <c r="AA2189" s="1966" t="s">
        <v>16</v>
      </c>
      <c r="AB2189" s="1210"/>
      <c r="AC2189" s="1199"/>
      <c r="AD2189" s="1211"/>
    </row>
    <row r="2190" spans="1:30" ht="28.5" customHeight="1" x14ac:dyDescent="0.2">
      <c r="A2190" s="1422"/>
      <c r="B2190" s="1433"/>
      <c r="C2190" s="1119"/>
      <c r="D2190" s="192"/>
      <c r="E2190" s="192"/>
      <c r="F2190" s="192"/>
      <c r="G2190" s="35"/>
      <c r="H2190" s="35"/>
      <c r="I2190" s="35"/>
      <c r="J2190" s="35"/>
      <c r="K2190" s="35"/>
      <c r="L2190" s="35"/>
      <c r="M2190" s="35"/>
      <c r="N2190" s="35"/>
      <c r="O2190" s="35"/>
      <c r="P2190" s="35"/>
      <c r="Q2190" s="35"/>
      <c r="R2190" s="35"/>
      <c r="S2190" s="35"/>
      <c r="T2190" s="35"/>
      <c r="U2190" s="3383" t="s">
        <v>719</v>
      </c>
      <c r="V2190" s="3383"/>
      <c r="W2190" s="3383"/>
      <c r="X2190" s="3383"/>
      <c r="Y2190" s="3383"/>
      <c r="Z2190" s="3383"/>
      <c r="AA2190" s="1957" t="s">
        <v>579</v>
      </c>
      <c r="AB2190" s="1210"/>
      <c r="AC2190" s="1199"/>
      <c r="AD2190" s="1211"/>
    </row>
    <row r="2191" spans="1:30" x14ac:dyDescent="0.2">
      <c r="A2191" s="1422"/>
      <c r="B2191" s="2999" t="s">
        <v>278</v>
      </c>
      <c r="C2191" s="3015" t="s">
        <v>21</v>
      </c>
      <c r="D2191" s="2847" t="s">
        <v>22</v>
      </c>
      <c r="E2191" s="2847" t="s">
        <v>23</v>
      </c>
      <c r="F2191" s="2847" t="s">
        <v>24</v>
      </c>
      <c r="G2191" s="2847" t="s">
        <v>25</v>
      </c>
      <c r="H2191" s="2847" t="s">
        <v>26</v>
      </c>
      <c r="I2191" s="2847" t="s">
        <v>27</v>
      </c>
      <c r="J2191" s="3206" t="s">
        <v>28</v>
      </c>
      <c r="K2191" s="3301"/>
      <c r="L2191" s="2988" t="s">
        <v>279</v>
      </c>
      <c r="M2191" s="2847" t="s">
        <v>280</v>
      </c>
      <c r="N2191" s="1017"/>
      <c r="O2191" s="2847" t="s">
        <v>281</v>
      </c>
      <c r="P2191" s="2847"/>
      <c r="Q2191" s="2847"/>
      <c r="R2191" s="2847"/>
      <c r="S2191" s="2847"/>
      <c r="T2191" s="2847"/>
      <c r="U2191" s="2847"/>
      <c r="V2191" s="2847"/>
      <c r="W2191" s="2847"/>
      <c r="X2191" s="2847"/>
      <c r="Y2191" s="2847"/>
      <c r="Z2191" s="2847"/>
      <c r="AA2191" s="3358" t="s">
        <v>32</v>
      </c>
      <c r="AB2191" s="1210"/>
      <c r="AC2191" s="1199"/>
      <c r="AD2191" s="1211"/>
    </row>
    <row r="2192" spans="1:30" x14ac:dyDescent="0.2">
      <c r="A2192" s="1422"/>
      <c r="B2192" s="2999"/>
      <c r="C2192" s="3359"/>
      <c r="D2192" s="2847"/>
      <c r="E2192" s="2847"/>
      <c r="F2192" s="2847"/>
      <c r="G2192" s="2847"/>
      <c r="H2192" s="2847"/>
      <c r="I2192" s="2847"/>
      <c r="J2192" s="2988" t="s">
        <v>33</v>
      </c>
      <c r="K2192" s="2988" t="s">
        <v>282</v>
      </c>
      <c r="L2192" s="3186"/>
      <c r="M2192" s="2847"/>
      <c r="N2192" s="1017"/>
      <c r="O2192" s="1009" t="s">
        <v>283</v>
      </c>
      <c r="P2192" s="1009" t="s">
        <v>284</v>
      </c>
      <c r="Q2192" s="1009" t="s">
        <v>285</v>
      </c>
      <c r="R2192" s="1009" t="s">
        <v>88</v>
      </c>
      <c r="S2192" s="1009" t="s">
        <v>89</v>
      </c>
      <c r="T2192" s="1009" t="s">
        <v>90</v>
      </c>
      <c r="U2192" s="1009" t="s">
        <v>91</v>
      </c>
      <c r="V2192" s="1009" t="s">
        <v>92</v>
      </c>
      <c r="W2192" s="1009" t="s">
        <v>286</v>
      </c>
      <c r="X2192" s="1009" t="s">
        <v>93</v>
      </c>
      <c r="Y2192" s="1009" t="s">
        <v>94</v>
      </c>
      <c r="Z2192" s="1009" t="s">
        <v>95</v>
      </c>
      <c r="AA2192" s="3358"/>
      <c r="AB2192" s="1210"/>
      <c r="AC2192" s="1199"/>
      <c r="AD2192" s="1211"/>
    </row>
    <row r="2193" spans="1:30" ht="12.75" x14ac:dyDescent="0.2">
      <c r="A2193" s="1422"/>
      <c r="B2193" s="2999"/>
      <c r="C2193" s="3359"/>
      <c r="D2193" s="2847"/>
      <c r="E2193" s="2847"/>
      <c r="F2193" s="2847"/>
      <c r="G2193" s="2847"/>
      <c r="H2193" s="2847"/>
      <c r="I2193" s="2847"/>
      <c r="J2193" s="3186"/>
      <c r="K2193" s="3186"/>
      <c r="L2193" s="3186"/>
      <c r="M2193" s="1009" t="s">
        <v>287</v>
      </c>
      <c r="N2193" s="1009"/>
      <c r="O2193" s="40">
        <v>460</v>
      </c>
      <c r="P2193" s="40">
        <v>460</v>
      </c>
      <c r="Q2193" s="40">
        <v>462</v>
      </c>
      <c r="R2193" s="40">
        <v>462</v>
      </c>
      <c r="S2193" s="40">
        <v>462</v>
      </c>
      <c r="T2193" s="40">
        <v>462</v>
      </c>
      <c r="U2193" s="40">
        <v>462</v>
      </c>
      <c r="V2193" s="40">
        <v>462</v>
      </c>
      <c r="W2193" s="40">
        <v>462</v>
      </c>
      <c r="X2193" s="40">
        <v>462</v>
      </c>
      <c r="Y2193" s="40">
        <v>462</v>
      </c>
      <c r="Z2193" s="40">
        <v>462</v>
      </c>
      <c r="AA2193" s="1205">
        <f t="shared" ref="AA2193:AA2217" si="356">SUM(O2193:Z2193)</f>
        <v>5540</v>
      </c>
      <c r="AB2193" s="1210"/>
      <c r="AC2193" s="1199"/>
      <c r="AD2193" s="1211"/>
    </row>
    <row r="2194" spans="1:30" ht="12.75" x14ac:dyDescent="0.2">
      <c r="A2194" s="1422"/>
      <c r="B2194" s="2999"/>
      <c r="C2194" s="3016"/>
      <c r="D2194" s="2847"/>
      <c r="E2194" s="2847"/>
      <c r="F2194" s="2847"/>
      <c r="G2194" s="2847"/>
      <c r="H2194" s="2847"/>
      <c r="I2194" s="2847"/>
      <c r="J2194" s="2989"/>
      <c r="K2194" s="2989"/>
      <c r="L2194" s="2989"/>
      <c r="M2194" s="1009" t="s">
        <v>34</v>
      </c>
      <c r="N2194" s="1009"/>
      <c r="O2194" s="40">
        <f>SUM(O2195:O2217)</f>
        <v>176510.49999999994</v>
      </c>
      <c r="P2194" s="40">
        <f t="shared" ref="P2194:Z2194" si="357">SUM(P2195:P2217)</f>
        <v>166865.04545454538</v>
      </c>
      <c r="Q2194" s="40">
        <f t="shared" si="357"/>
        <v>176646.94545454538</v>
      </c>
      <c r="R2194" s="40">
        <f t="shared" si="357"/>
        <v>181446.94545454538</v>
      </c>
      <c r="S2194" s="40">
        <f t="shared" si="357"/>
        <v>176346.94545454538</v>
      </c>
      <c r="T2194" s="40">
        <f t="shared" si="357"/>
        <v>175746.94545454538</v>
      </c>
      <c r="U2194" s="40">
        <f t="shared" si="357"/>
        <v>184196.94545454538</v>
      </c>
      <c r="V2194" s="40">
        <f t="shared" si="357"/>
        <v>181646.94545454538</v>
      </c>
      <c r="W2194" s="40">
        <f t="shared" si="357"/>
        <v>175746.94545454538</v>
      </c>
      <c r="X2194" s="40">
        <f t="shared" si="357"/>
        <v>175746.94545454538</v>
      </c>
      <c r="Y2194" s="40">
        <f t="shared" si="357"/>
        <v>175746.94545454538</v>
      </c>
      <c r="Z2194" s="40">
        <f t="shared" si="357"/>
        <v>184196.94545454538</v>
      </c>
      <c r="AA2194" s="1205">
        <f t="shared" si="356"/>
        <v>2130844.9999999986</v>
      </c>
      <c r="AB2194" s="1210"/>
      <c r="AC2194" s="1199"/>
      <c r="AD2194" s="1211"/>
    </row>
    <row r="2195" spans="1:30" x14ac:dyDescent="0.2">
      <c r="A2195" s="1422"/>
      <c r="B2195" s="2522">
        <v>5000114</v>
      </c>
      <c r="C2195" s="2438" t="s">
        <v>720</v>
      </c>
      <c r="D2195" s="3369">
        <v>74</v>
      </c>
      <c r="E2195" s="2420" t="s">
        <v>288</v>
      </c>
      <c r="F2195" s="2420" t="s">
        <v>386</v>
      </c>
      <c r="G2195" s="2420" t="s">
        <v>423</v>
      </c>
      <c r="H2195" s="2420" t="s">
        <v>721</v>
      </c>
      <c r="I2195" s="2420" t="s">
        <v>573</v>
      </c>
      <c r="J2195" s="2514">
        <v>5540</v>
      </c>
      <c r="K2195" s="40">
        <v>17520</v>
      </c>
      <c r="L2195" s="2431" t="s">
        <v>687</v>
      </c>
      <c r="M2195" s="111" t="s">
        <v>409</v>
      </c>
      <c r="N2195" s="111"/>
      <c r="O2195" s="40">
        <v>1460</v>
      </c>
      <c r="P2195" s="40">
        <v>1460</v>
      </c>
      <c r="Q2195" s="40">
        <v>1460</v>
      </c>
      <c r="R2195" s="40">
        <v>1460</v>
      </c>
      <c r="S2195" s="40">
        <v>1460</v>
      </c>
      <c r="T2195" s="40">
        <v>1460</v>
      </c>
      <c r="U2195" s="40">
        <v>1460</v>
      </c>
      <c r="V2195" s="40">
        <v>1460</v>
      </c>
      <c r="W2195" s="40">
        <v>1460</v>
      </c>
      <c r="X2195" s="40">
        <v>1460</v>
      </c>
      <c r="Y2195" s="40">
        <v>1460</v>
      </c>
      <c r="Z2195" s="40">
        <v>1460</v>
      </c>
      <c r="AA2195" s="966">
        <f t="shared" si="356"/>
        <v>17520</v>
      </c>
      <c r="AB2195" s="1210"/>
      <c r="AC2195" s="1199"/>
      <c r="AD2195" s="1211"/>
    </row>
    <row r="2196" spans="1:30" x14ac:dyDescent="0.2">
      <c r="A2196" s="1422"/>
      <c r="B2196" s="2522"/>
      <c r="C2196" s="2456"/>
      <c r="D2196" s="3369"/>
      <c r="E2196" s="2420"/>
      <c r="F2196" s="2420"/>
      <c r="G2196" s="2420"/>
      <c r="H2196" s="2420"/>
      <c r="I2196" s="2420"/>
      <c r="J2196" s="2515"/>
      <c r="K2196" s="40">
        <v>879318</v>
      </c>
      <c r="L2196" s="2432"/>
      <c r="M2196" s="111" t="s">
        <v>293</v>
      </c>
      <c r="N2196" s="111"/>
      <c r="O2196" s="40">
        <v>73276.5</v>
      </c>
      <c r="P2196" s="40">
        <v>73276.5</v>
      </c>
      <c r="Q2196" s="40">
        <v>73276.5</v>
      </c>
      <c r="R2196" s="40">
        <v>73276.5</v>
      </c>
      <c r="S2196" s="40">
        <v>73276.5</v>
      </c>
      <c r="T2196" s="40">
        <v>73276.5</v>
      </c>
      <c r="U2196" s="40">
        <v>73276.5</v>
      </c>
      <c r="V2196" s="40">
        <v>73276.5</v>
      </c>
      <c r="W2196" s="40">
        <v>73276.5</v>
      </c>
      <c r="X2196" s="40">
        <v>73276.5</v>
      </c>
      <c r="Y2196" s="40">
        <v>73276.5</v>
      </c>
      <c r="Z2196" s="40">
        <v>73276.5</v>
      </c>
      <c r="AA2196" s="966">
        <f t="shared" si="356"/>
        <v>879318</v>
      </c>
      <c r="AB2196" s="1210"/>
      <c r="AC2196" s="1199"/>
      <c r="AD2196" s="1211"/>
    </row>
    <row r="2197" spans="1:30" x14ac:dyDescent="0.2">
      <c r="A2197" s="1422"/>
      <c r="B2197" s="2522"/>
      <c r="C2197" s="2456"/>
      <c r="D2197" s="3369"/>
      <c r="E2197" s="2420"/>
      <c r="F2197" s="2420"/>
      <c r="G2197" s="2420"/>
      <c r="H2197" s="2420"/>
      <c r="I2197" s="2420"/>
      <c r="J2197" s="2515"/>
      <c r="K2197" s="40">
        <v>108552</v>
      </c>
      <c r="L2197" s="2432"/>
      <c r="M2197" s="111" t="s">
        <v>321</v>
      </c>
      <c r="N2197" s="111"/>
      <c r="O2197" s="40">
        <v>9046</v>
      </c>
      <c r="P2197" s="40">
        <v>9046</v>
      </c>
      <c r="Q2197" s="40">
        <v>9046</v>
      </c>
      <c r="R2197" s="40">
        <v>9046</v>
      </c>
      <c r="S2197" s="40">
        <v>9046</v>
      </c>
      <c r="T2197" s="40">
        <v>9046</v>
      </c>
      <c r="U2197" s="40">
        <v>9046</v>
      </c>
      <c r="V2197" s="40">
        <v>9046</v>
      </c>
      <c r="W2197" s="40">
        <v>9046</v>
      </c>
      <c r="X2197" s="40">
        <v>9046</v>
      </c>
      <c r="Y2197" s="40">
        <v>9046</v>
      </c>
      <c r="Z2197" s="40">
        <v>9046</v>
      </c>
      <c r="AA2197" s="966">
        <f t="shared" si="356"/>
        <v>108552</v>
      </c>
      <c r="AB2197" s="1210"/>
      <c r="AC2197" s="1199"/>
      <c r="AD2197" s="1211"/>
    </row>
    <row r="2198" spans="1:30" x14ac:dyDescent="0.2">
      <c r="A2198" s="1422"/>
      <c r="B2198" s="2522"/>
      <c r="C2198" s="2456"/>
      <c r="D2198" s="3369"/>
      <c r="E2198" s="2420"/>
      <c r="F2198" s="2420"/>
      <c r="G2198" s="2420"/>
      <c r="H2198" s="2420"/>
      <c r="I2198" s="2420"/>
      <c r="J2198" s="2515"/>
      <c r="K2198" s="40">
        <v>220612</v>
      </c>
      <c r="L2198" s="2432"/>
      <c r="M2198" s="111" t="s">
        <v>295</v>
      </c>
      <c r="N2198" s="111"/>
      <c r="O2198" s="40">
        <v>18384.333333333332</v>
      </c>
      <c r="P2198" s="40">
        <v>18384.333333333332</v>
      </c>
      <c r="Q2198" s="40">
        <v>18384.333333333332</v>
      </c>
      <c r="R2198" s="40">
        <v>18384.333333333332</v>
      </c>
      <c r="S2198" s="40">
        <v>18384.333333333332</v>
      </c>
      <c r="T2198" s="40">
        <v>18384.333333333332</v>
      </c>
      <c r="U2198" s="40">
        <v>18384.333333333332</v>
      </c>
      <c r="V2198" s="40">
        <v>18384.333333333332</v>
      </c>
      <c r="W2198" s="40">
        <v>18384.333333333332</v>
      </c>
      <c r="X2198" s="40">
        <v>18384.333333333332</v>
      </c>
      <c r="Y2198" s="40">
        <v>18384.333333333332</v>
      </c>
      <c r="Z2198" s="40">
        <v>18384.333333333332</v>
      </c>
      <c r="AA2198" s="966">
        <f t="shared" si="356"/>
        <v>220612.00000000003</v>
      </c>
      <c r="AB2198" s="1210"/>
      <c r="AC2198" s="1199"/>
      <c r="AD2198" s="1211"/>
    </row>
    <row r="2199" spans="1:30" x14ac:dyDescent="0.2">
      <c r="A2199" s="1422"/>
      <c r="B2199" s="2522"/>
      <c r="C2199" s="2456"/>
      <c r="D2199" s="3369"/>
      <c r="E2199" s="2420"/>
      <c r="F2199" s="2420"/>
      <c r="G2199" s="2420"/>
      <c r="H2199" s="2420"/>
      <c r="I2199" s="2420"/>
      <c r="J2199" s="2515"/>
      <c r="K2199" s="40">
        <v>20688</v>
      </c>
      <c r="L2199" s="2432"/>
      <c r="M2199" s="111" t="s">
        <v>332</v>
      </c>
      <c r="N2199" s="111"/>
      <c r="O2199" s="40">
        <v>1724</v>
      </c>
      <c r="P2199" s="40">
        <v>1724</v>
      </c>
      <c r="Q2199" s="40">
        <v>1724</v>
      </c>
      <c r="R2199" s="40">
        <v>1724</v>
      </c>
      <c r="S2199" s="40">
        <v>1724</v>
      </c>
      <c r="T2199" s="40">
        <v>1724</v>
      </c>
      <c r="U2199" s="40">
        <v>1724</v>
      </c>
      <c r="V2199" s="40">
        <v>1724</v>
      </c>
      <c r="W2199" s="40">
        <v>1724</v>
      </c>
      <c r="X2199" s="40">
        <v>1724</v>
      </c>
      <c r="Y2199" s="40">
        <v>1724</v>
      </c>
      <c r="Z2199" s="40">
        <v>1724</v>
      </c>
      <c r="AA2199" s="966">
        <f t="shared" si="356"/>
        <v>20688</v>
      </c>
      <c r="AB2199" s="1210"/>
      <c r="AC2199" s="1199"/>
      <c r="AD2199" s="1211"/>
    </row>
    <row r="2200" spans="1:30" x14ac:dyDescent="0.2">
      <c r="A2200" s="1422"/>
      <c r="B2200" s="2522"/>
      <c r="C2200" s="2456"/>
      <c r="D2200" s="3369"/>
      <c r="E2200" s="2420"/>
      <c r="F2200" s="2420"/>
      <c r="G2200" s="2420"/>
      <c r="H2200" s="2420"/>
      <c r="I2200" s="2420"/>
      <c r="J2200" s="2515"/>
      <c r="K2200" s="40">
        <v>295380</v>
      </c>
      <c r="L2200" s="2432"/>
      <c r="M2200" s="111" t="s">
        <v>296</v>
      </c>
      <c r="N2200" s="111"/>
      <c r="O2200" s="40">
        <v>24615</v>
      </c>
      <c r="P2200" s="40">
        <v>24615</v>
      </c>
      <c r="Q2200" s="40">
        <v>24615</v>
      </c>
      <c r="R2200" s="40">
        <v>24615</v>
      </c>
      <c r="S2200" s="40">
        <v>24615</v>
      </c>
      <c r="T2200" s="40">
        <v>24615</v>
      </c>
      <c r="U2200" s="40">
        <v>24615</v>
      </c>
      <c r="V2200" s="40">
        <v>24615</v>
      </c>
      <c r="W2200" s="40">
        <v>24615</v>
      </c>
      <c r="X2200" s="40">
        <v>24615</v>
      </c>
      <c r="Y2200" s="40">
        <v>24615</v>
      </c>
      <c r="Z2200" s="40">
        <v>24615</v>
      </c>
      <c r="AA2200" s="966">
        <f t="shared" si="356"/>
        <v>295380</v>
      </c>
      <c r="AB2200" s="1210"/>
      <c r="AC2200" s="1199"/>
      <c r="AD2200" s="1211"/>
    </row>
    <row r="2201" spans="1:30" x14ac:dyDescent="0.2">
      <c r="A2201" s="1422"/>
      <c r="B2201" s="2522"/>
      <c r="C2201" s="2456"/>
      <c r="D2201" s="3369"/>
      <c r="E2201" s="2420"/>
      <c r="F2201" s="2420"/>
      <c r="G2201" s="2420"/>
      <c r="H2201" s="2420"/>
      <c r="I2201" s="2420"/>
      <c r="J2201" s="2515"/>
      <c r="K2201" s="40">
        <v>83352</v>
      </c>
      <c r="L2201" s="2432"/>
      <c r="M2201" s="111" t="s">
        <v>297</v>
      </c>
      <c r="N2201" s="111"/>
      <c r="O2201" s="40">
        <v>6946</v>
      </c>
      <c r="P2201" s="40">
        <v>6946</v>
      </c>
      <c r="Q2201" s="40">
        <v>6946</v>
      </c>
      <c r="R2201" s="40">
        <v>6946</v>
      </c>
      <c r="S2201" s="40">
        <v>6946</v>
      </c>
      <c r="T2201" s="40">
        <v>6946</v>
      </c>
      <c r="U2201" s="40">
        <v>6946</v>
      </c>
      <c r="V2201" s="40">
        <v>6946</v>
      </c>
      <c r="W2201" s="40">
        <v>6946</v>
      </c>
      <c r="X2201" s="40">
        <v>6946</v>
      </c>
      <c r="Y2201" s="40">
        <v>6946</v>
      </c>
      <c r="Z2201" s="40">
        <v>6946</v>
      </c>
      <c r="AA2201" s="966">
        <f t="shared" si="356"/>
        <v>83352</v>
      </c>
      <c r="AB2201" s="1210"/>
      <c r="AC2201" s="1199"/>
      <c r="AD2201" s="1211"/>
    </row>
    <row r="2202" spans="1:30" x14ac:dyDescent="0.2">
      <c r="A2202" s="1422"/>
      <c r="B2202" s="2522"/>
      <c r="C2202" s="2456"/>
      <c r="D2202" s="3369"/>
      <c r="E2202" s="2420"/>
      <c r="F2202" s="2420"/>
      <c r="G2202" s="2420"/>
      <c r="H2202" s="2420"/>
      <c r="I2202" s="2420"/>
      <c r="J2202" s="2515"/>
      <c r="K2202" s="40">
        <v>16900</v>
      </c>
      <c r="L2202" s="2432"/>
      <c r="M2202" s="111" t="s">
        <v>298</v>
      </c>
      <c r="N2202" s="111"/>
      <c r="O2202" s="40"/>
      <c r="P2202" s="40"/>
      <c r="Q2202" s="40"/>
      <c r="R2202" s="40"/>
      <c r="S2202" s="40"/>
      <c r="T2202" s="40"/>
      <c r="U2202" s="40">
        <v>8450</v>
      </c>
      <c r="V2202" s="40"/>
      <c r="W2202" s="40"/>
      <c r="X2202" s="40"/>
      <c r="Y2202" s="40"/>
      <c r="Z2202" s="40">
        <v>8450</v>
      </c>
      <c r="AA2202" s="966">
        <f t="shared" si="356"/>
        <v>16900</v>
      </c>
      <c r="AB2202" s="1210"/>
      <c r="AC2202" s="1199"/>
      <c r="AD2202" s="1211"/>
    </row>
    <row r="2203" spans="1:30" x14ac:dyDescent="0.2">
      <c r="A2203" s="1422"/>
      <c r="B2203" s="2522"/>
      <c r="C2203" s="2456"/>
      <c r="D2203" s="3369"/>
      <c r="E2203" s="2420"/>
      <c r="F2203" s="2420"/>
      <c r="G2203" s="2420"/>
      <c r="H2203" s="2420"/>
      <c r="I2203" s="2420"/>
      <c r="J2203" s="2515"/>
      <c r="K2203" s="40">
        <v>11200</v>
      </c>
      <c r="L2203" s="2432"/>
      <c r="M2203" s="111" t="s">
        <v>299</v>
      </c>
      <c r="N2203" s="111"/>
      <c r="O2203" s="40">
        <v>11200</v>
      </c>
      <c r="P2203" s="40"/>
      <c r="Q2203" s="40"/>
      <c r="R2203" s="40"/>
      <c r="S2203" s="40"/>
      <c r="T2203" s="40"/>
      <c r="U2203" s="40"/>
      <c r="V2203" s="40"/>
      <c r="W2203" s="40"/>
      <c r="X2203" s="40"/>
      <c r="Y2203" s="40"/>
      <c r="Z2203" s="40"/>
      <c r="AA2203" s="966">
        <f t="shared" si="356"/>
        <v>11200</v>
      </c>
      <c r="AB2203" s="1210"/>
      <c r="AC2203" s="1199"/>
      <c r="AD2203" s="1211"/>
    </row>
    <row r="2204" spans="1:30" x14ac:dyDescent="0.2">
      <c r="A2204" s="1422"/>
      <c r="B2204" s="2522"/>
      <c r="C2204" s="2456"/>
      <c r="D2204" s="3369"/>
      <c r="E2204" s="2420"/>
      <c r="F2204" s="2420"/>
      <c r="G2204" s="2420"/>
      <c r="H2204" s="2420"/>
      <c r="I2204" s="2420"/>
      <c r="J2204" s="2515"/>
      <c r="K2204" s="40">
        <v>57518</v>
      </c>
      <c r="L2204" s="2432"/>
      <c r="M2204" s="111" t="s">
        <v>300</v>
      </c>
      <c r="N2204" s="111"/>
      <c r="O2204" s="40">
        <v>4793.166666666667</v>
      </c>
      <c r="P2204" s="40">
        <v>4793.166666666667</v>
      </c>
      <c r="Q2204" s="40">
        <v>4793.166666666667</v>
      </c>
      <c r="R2204" s="40">
        <v>4793.166666666667</v>
      </c>
      <c r="S2204" s="40">
        <v>4793.166666666667</v>
      </c>
      <c r="T2204" s="40">
        <v>4793.166666666667</v>
      </c>
      <c r="U2204" s="40">
        <v>4793.166666666667</v>
      </c>
      <c r="V2204" s="40">
        <v>4793.166666666667</v>
      </c>
      <c r="W2204" s="40">
        <v>4793.166666666667</v>
      </c>
      <c r="X2204" s="40">
        <v>4793.166666666667</v>
      </c>
      <c r="Y2204" s="40">
        <v>4793.166666666667</v>
      </c>
      <c r="Z2204" s="40">
        <v>4793.166666666667</v>
      </c>
      <c r="AA2204" s="966">
        <f t="shared" si="356"/>
        <v>57517.999999999993</v>
      </c>
      <c r="AB2204" s="1210"/>
      <c r="AC2204" s="1199"/>
      <c r="AD2204" s="1211"/>
    </row>
    <row r="2205" spans="1:30" x14ac:dyDescent="0.2">
      <c r="A2205" s="1422"/>
      <c r="B2205" s="2522"/>
      <c r="C2205" s="2456"/>
      <c r="D2205" s="3369"/>
      <c r="E2205" s="2420"/>
      <c r="F2205" s="2420"/>
      <c r="G2205" s="2420"/>
      <c r="H2205" s="2420"/>
      <c r="I2205" s="2420"/>
      <c r="J2205" s="2515"/>
      <c r="K2205" s="40">
        <v>872</v>
      </c>
      <c r="L2205" s="2432"/>
      <c r="M2205" s="111" t="s">
        <v>301</v>
      </c>
      <c r="N2205" s="111"/>
      <c r="O2205" s="40">
        <v>72.666666666666671</v>
      </c>
      <c r="P2205" s="40">
        <v>72.666666666666671</v>
      </c>
      <c r="Q2205" s="40">
        <v>72.666666666666671</v>
      </c>
      <c r="R2205" s="40">
        <v>72.666666666666671</v>
      </c>
      <c r="S2205" s="40">
        <v>72.666666666666671</v>
      </c>
      <c r="T2205" s="40">
        <v>72.666666666666671</v>
      </c>
      <c r="U2205" s="40">
        <v>72.666666666666671</v>
      </c>
      <c r="V2205" s="40">
        <v>72.666666666666671</v>
      </c>
      <c r="W2205" s="40">
        <v>72.666666666666671</v>
      </c>
      <c r="X2205" s="40">
        <v>72.666666666666671</v>
      </c>
      <c r="Y2205" s="40">
        <v>72.666666666666671</v>
      </c>
      <c r="Z2205" s="40">
        <v>72.666666666666671</v>
      </c>
      <c r="AA2205" s="966">
        <f t="shared" si="356"/>
        <v>871.99999999999989</v>
      </c>
      <c r="AB2205" s="1210"/>
      <c r="AC2205" s="1199"/>
      <c r="AD2205" s="1211"/>
    </row>
    <row r="2206" spans="1:30" x14ac:dyDescent="0.2">
      <c r="A2206" s="1422"/>
      <c r="B2206" s="2522"/>
      <c r="C2206" s="2456"/>
      <c r="D2206" s="3369"/>
      <c r="E2206" s="2420"/>
      <c r="F2206" s="2420"/>
      <c r="G2206" s="2420"/>
      <c r="H2206" s="2420"/>
      <c r="I2206" s="2420"/>
      <c r="J2206" s="2515"/>
      <c r="K2206" s="40">
        <v>600</v>
      </c>
      <c r="L2206" s="2432"/>
      <c r="M2206" s="111" t="s">
        <v>302</v>
      </c>
      <c r="N2206" s="111"/>
      <c r="O2206" s="40"/>
      <c r="P2206" s="40"/>
      <c r="Q2206" s="40"/>
      <c r="R2206" s="40"/>
      <c r="S2206" s="40">
        <v>600</v>
      </c>
      <c r="T2206" s="40"/>
      <c r="U2206" s="40"/>
      <c r="V2206" s="40"/>
      <c r="W2206" s="40"/>
      <c r="X2206" s="40"/>
      <c r="Y2206" s="40"/>
      <c r="Z2206" s="40"/>
      <c r="AA2206" s="966">
        <f t="shared" si="356"/>
        <v>600</v>
      </c>
      <c r="AB2206" s="1210"/>
      <c r="AC2206" s="1199"/>
      <c r="AD2206" s="1211"/>
    </row>
    <row r="2207" spans="1:30" x14ac:dyDescent="0.2">
      <c r="A2207" s="1422"/>
      <c r="B2207" s="2522"/>
      <c r="C2207" s="2456"/>
      <c r="D2207" s="3369"/>
      <c r="E2207" s="2420"/>
      <c r="F2207" s="2420"/>
      <c r="G2207" s="2420"/>
      <c r="H2207" s="2420"/>
      <c r="I2207" s="2420"/>
      <c r="J2207" s="2515"/>
      <c r="K2207" s="40">
        <v>1800</v>
      </c>
      <c r="L2207" s="2432"/>
      <c r="M2207" s="111" t="s">
        <v>303</v>
      </c>
      <c r="N2207" s="111"/>
      <c r="O2207" s="40"/>
      <c r="P2207" s="40"/>
      <c r="Q2207" s="40">
        <v>900</v>
      </c>
      <c r="R2207" s="40"/>
      <c r="S2207" s="40"/>
      <c r="T2207" s="40"/>
      <c r="U2207" s="40"/>
      <c r="V2207" s="40">
        <v>900</v>
      </c>
      <c r="W2207" s="40"/>
      <c r="X2207" s="40"/>
      <c r="Y2207" s="40"/>
      <c r="Z2207" s="40"/>
      <c r="AA2207" s="966">
        <f t="shared" si="356"/>
        <v>1800</v>
      </c>
      <c r="AB2207" s="1210"/>
      <c r="AC2207" s="1199"/>
      <c r="AD2207" s="1211"/>
    </row>
    <row r="2208" spans="1:30" x14ac:dyDescent="0.2">
      <c r="A2208" s="1422"/>
      <c r="B2208" s="2522"/>
      <c r="C2208" s="2456"/>
      <c r="D2208" s="3369"/>
      <c r="E2208" s="2420"/>
      <c r="F2208" s="2420"/>
      <c r="G2208" s="2420"/>
      <c r="H2208" s="2420"/>
      <c r="I2208" s="2420"/>
      <c r="J2208" s="2515"/>
      <c r="K2208" s="40">
        <v>300</v>
      </c>
      <c r="L2208" s="2432"/>
      <c r="M2208" s="111" t="s">
        <v>324</v>
      </c>
      <c r="N2208" s="111"/>
      <c r="O2208" s="40"/>
      <c r="P2208" s="40">
        <v>300</v>
      </c>
      <c r="Q2208" s="40"/>
      <c r="R2208" s="40"/>
      <c r="S2208" s="40"/>
      <c r="T2208" s="40"/>
      <c r="U2208" s="40"/>
      <c r="V2208" s="40"/>
      <c r="W2208" s="40"/>
      <c r="X2208" s="40"/>
      <c r="Y2208" s="40"/>
      <c r="Z2208" s="40"/>
      <c r="AA2208" s="966">
        <f t="shared" si="356"/>
        <v>300</v>
      </c>
      <c r="AB2208" s="1210"/>
      <c r="AC2208" s="1199"/>
      <c r="AD2208" s="1211"/>
    </row>
    <row r="2209" spans="1:30" x14ac:dyDescent="0.2">
      <c r="A2209" s="1422"/>
      <c r="B2209" s="2522"/>
      <c r="C2209" s="2456"/>
      <c r="D2209" s="3369"/>
      <c r="E2209" s="2420"/>
      <c r="F2209" s="2420"/>
      <c r="G2209" s="2420"/>
      <c r="H2209" s="2420"/>
      <c r="I2209" s="2420"/>
      <c r="J2209" s="2515"/>
      <c r="K2209" s="40">
        <v>10000</v>
      </c>
      <c r="L2209" s="2432"/>
      <c r="M2209" s="111" t="s">
        <v>393</v>
      </c>
      <c r="N2209" s="111"/>
      <c r="O2209" s="40"/>
      <c r="P2209" s="40"/>
      <c r="Q2209" s="40"/>
      <c r="R2209" s="40">
        <v>5000</v>
      </c>
      <c r="S2209" s="40"/>
      <c r="T2209" s="40"/>
      <c r="U2209" s="40"/>
      <c r="V2209" s="40">
        <v>5000</v>
      </c>
      <c r="W2209" s="40"/>
      <c r="X2209" s="40"/>
      <c r="Y2209" s="40"/>
      <c r="Z2209" s="40"/>
      <c r="AA2209" s="966">
        <f t="shared" si="356"/>
        <v>10000</v>
      </c>
      <c r="AB2209" s="1210"/>
      <c r="AC2209" s="1199"/>
      <c r="AD2209" s="1211"/>
    </row>
    <row r="2210" spans="1:30" x14ac:dyDescent="0.2">
      <c r="A2210" s="1422"/>
      <c r="B2210" s="2522"/>
      <c r="C2210" s="2456"/>
      <c r="D2210" s="3369"/>
      <c r="E2210" s="2420"/>
      <c r="F2210" s="2420"/>
      <c r="G2210" s="2420"/>
      <c r="H2210" s="2420"/>
      <c r="I2210" s="2420"/>
      <c r="J2210" s="2515"/>
      <c r="K2210" s="40">
        <v>700</v>
      </c>
      <c r="L2210" s="2432"/>
      <c r="M2210" s="111" t="s">
        <v>343</v>
      </c>
      <c r="N2210" s="111"/>
      <c r="O2210" s="40"/>
      <c r="P2210" s="40"/>
      <c r="Q2210" s="40"/>
      <c r="R2210" s="40">
        <v>700</v>
      </c>
      <c r="S2210" s="40"/>
      <c r="T2210" s="40"/>
      <c r="U2210" s="40"/>
      <c r="V2210" s="40"/>
      <c r="W2210" s="40"/>
      <c r="X2210" s="40"/>
      <c r="Y2210" s="40"/>
      <c r="Z2210" s="40"/>
      <c r="AA2210" s="966">
        <f t="shared" si="356"/>
        <v>700</v>
      </c>
      <c r="AB2210" s="1210"/>
      <c r="AC2210" s="1199"/>
      <c r="AD2210" s="1211"/>
    </row>
    <row r="2211" spans="1:30" x14ac:dyDescent="0.2">
      <c r="A2211" s="1422"/>
      <c r="B2211" s="2522"/>
      <c r="C2211" s="2456"/>
      <c r="D2211" s="3369"/>
      <c r="E2211" s="2420"/>
      <c r="F2211" s="2420"/>
      <c r="G2211" s="2420"/>
      <c r="H2211" s="2420"/>
      <c r="I2211" s="2420"/>
      <c r="J2211" s="2515"/>
      <c r="K2211" s="40">
        <v>1000</v>
      </c>
      <c r="L2211" s="2432"/>
      <c r="M2211" s="111" t="s">
        <v>305</v>
      </c>
      <c r="N2211" s="111"/>
      <c r="O2211" s="40"/>
      <c r="P2211" s="40">
        <v>1000</v>
      </c>
      <c r="Q2211" s="40"/>
      <c r="R2211" s="40"/>
      <c r="S2211" s="40"/>
      <c r="T2211" s="40"/>
      <c r="U2211" s="40"/>
      <c r="V2211" s="40"/>
      <c r="W2211" s="40"/>
      <c r="X2211" s="40"/>
      <c r="Y2211" s="40"/>
      <c r="Z2211" s="40"/>
      <c r="AA2211" s="966">
        <f t="shared" si="356"/>
        <v>1000</v>
      </c>
      <c r="AB2211" s="1210"/>
      <c r="AC2211" s="1199"/>
      <c r="AD2211" s="1211"/>
    </row>
    <row r="2212" spans="1:30" x14ac:dyDescent="0.2">
      <c r="A2212" s="1422"/>
      <c r="B2212" s="2522"/>
      <c r="C2212" s="2456"/>
      <c r="D2212" s="3369"/>
      <c r="E2212" s="2420"/>
      <c r="F2212" s="2420"/>
      <c r="G2212" s="2420"/>
      <c r="H2212" s="2420"/>
      <c r="I2212" s="2420"/>
      <c r="J2212" s="2515"/>
      <c r="K2212" s="40">
        <v>2800</v>
      </c>
      <c r="L2212" s="2432"/>
      <c r="M2212" s="111" t="s">
        <v>306</v>
      </c>
      <c r="N2212" s="111"/>
      <c r="O2212" s="40"/>
      <c r="P2212" s="40">
        <v>254.54545454545453</v>
      </c>
      <c r="Q2212" s="40">
        <v>254.54545454545453</v>
      </c>
      <c r="R2212" s="40">
        <v>254.54545454545453</v>
      </c>
      <c r="S2212" s="40">
        <v>254.54545454545453</v>
      </c>
      <c r="T2212" s="40">
        <v>254.54545454545453</v>
      </c>
      <c r="U2212" s="40">
        <v>254.54545454545453</v>
      </c>
      <c r="V2212" s="40">
        <v>254.54545454545453</v>
      </c>
      <c r="W2212" s="40">
        <v>254.54545454545453</v>
      </c>
      <c r="X2212" s="40">
        <v>254.54545454545453</v>
      </c>
      <c r="Y2212" s="40">
        <v>254.54545454545453</v>
      </c>
      <c r="Z2212" s="40">
        <v>254.54545454545453</v>
      </c>
      <c r="AA2212" s="966">
        <f t="shared" si="356"/>
        <v>2800</v>
      </c>
      <c r="AB2212" s="1210"/>
      <c r="AC2212" s="1199"/>
      <c r="AD2212" s="1211"/>
    </row>
    <row r="2213" spans="1:30" x14ac:dyDescent="0.2">
      <c r="A2213" s="1422"/>
      <c r="B2213" s="2522"/>
      <c r="C2213" s="2456"/>
      <c r="D2213" s="3369"/>
      <c r="E2213" s="2420"/>
      <c r="F2213" s="2420"/>
      <c r="G2213" s="2420"/>
      <c r="H2213" s="2420"/>
      <c r="I2213" s="2420"/>
      <c r="J2213" s="2515"/>
      <c r="K2213" s="40">
        <v>800</v>
      </c>
      <c r="L2213" s="2432"/>
      <c r="M2213" s="111" t="s">
        <v>307</v>
      </c>
      <c r="N2213" s="111"/>
      <c r="O2213" s="40"/>
      <c r="P2213" s="40"/>
      <c r="Q2213" s="40">
        <v>80</v>
      </c>
      <c r="R2213" s="40">
        <v>80</v>
      </c>
      <c r="S2213" s="40">
        <v>80</v>
      </c>
      <c r="T2213" s="40">
        <v>80</v>
      </c>
      <c r="U2213" s="40">
        <v>80</v>
      </c>
      <c r="V2213" s="40">
        <v>80</v>
      </c>
      <c r="W2213" s="40">
        <v>80</v>
      </c>
      <c r="X2213" s="40">
        <v>80</v>
      </c>
      <c r="Y2213" s="40">
        <v>80</v>
      </c>
      <c r="Z2213" s="40">
        <v>80</v>
      </c>
      <c r="AA2213" s="966">
        <f t="shared" si="356"/>
        <v>800</v>
      </c>
      <c r="AB2213" s="1210"/>
      <c r="AC2213" s="1199"/>
      <c r="AD2213" s="1211"/>
    </row>
    <row r="2214" spans="1:30" x14ac:dyDescent="0.2">
      <c r="A2214" s="1422"/>
      <c r="B2214" s="2522"/>
      <c r="C2214" s="2456"/>
      <c r="D2214" s="3369"/>
      <c r="E2214" s="2420"/>
      <c r="F2214" s="2420"/>
      <c r="G2214" s="2420"/>
      <c r="H2214" s="2420"/>
      <c r="I2214" s="2420"/>
      <c r="J2214" s="2515"/>
      <c r="K2214" s="40">
        <v>21349</v>
      </c>
      <c r="L2214" s="2432"/>
      <c r="M2214" s="111" t="s">
        <v>625</v>
      </c>
      <c r="N2214" s="111"/>
      <c r="O2214" s="40"/>
      <c r="P2214" s="40"/>
      <c r="Q2214" s="40">
        <v>2134.9</v>
      </c>
      <c r="R2214" s="40">
        <v>2134.9</v>
      </c>
      <c r="S2214" s="40">
        <v>2134.9</v>
      </c>
      <c r="T2214" s="40">
        <v>2134.9</v>
      </c>
      <c r="U2214" s="40">
        <v>2134.9</v>
      </c>
      <c r="V2214" s="40">
        <v>2134.9</v>
      </c>
      <c r="W2214" s="40">
        <v>2134.9</v>
      </c>
      <c r="X2214" s="40">
        <v>2134.9</v>
      </c>
      <c r="Y2214" s="40">
        <v>2134.9</v>
      </c>
      <c r="Z2214" s="40">
        <v>2134.9</v>
      </c>
      <c r="AA2214" s="966">
        <f t="shared" si="356"/>
        <v>21349.000000000004</v>
      </c>
      <c r="AB2214" s="1210"/>
      <c r="AC2214" s="1199"/>
      <c r="AD2214" s="1211"/>
    </row>
    <row r="2215" spans="1:30" x14ac:dyDescent="0.2">
      <c r="A2215" s="1422"/>
      <c r="B2215" s="2522"/>
      <c r="C2215" s="2456"/>
      <c r="D2215" s="3369"/>
      <c r="E2215" s="2420"/>
      <c r="F2215" s="2420"/>
      <c r="G2215" s="2420"/>
      <c r="H2215" s="2420"/>
      <c r="I2215" s="2420"/>
      <c r="J2215" s="2515"/>
      <c r="K2215" s="40">
        <v>280751</v>
      </c>
      <c r="L2215" s="2432"/>
      <c r="M2215" s="111" t="s">
        <v>310</v>
      </c>
      <c r="N2215" s="111"/>
      <c r="O2215" s="40">
        <v>23395.916666666668</v>
      </c>
      <c r="P2215" s="40">
        <v>23395.916666666668</v>
      </c>
      <c r="Q2215" s="40">
        <v>23395.916666666668</v>
      </c>
      <c r="R2215" s="40">
        <v>23395.916666666668</v>
      </c>
      <c r="S2215" s="40">
        <v>23395.916666666668</v>
      </c>
      <c r="T2215" s="40">
        <v>23395.916666666668</v>
      </c>
      <c r="U2215" s="40">
        <v>23395.916666666668</v>
      </c>
      <c r="V2215" s="40">
        <v>23395.916666666668</v>
      </c>
      <c r="W2215" s="40">
        <v>23395.916666666668</v>
      </c>
      <c r="X2215" s="40">
        <v>23395.916666666668</v>
      </c>
      <c r="Y2215" s="40">
        <v>23395.916666666668</v>
      </c>
      <c r="Z2215" s="40">
        <v>23395.916666666668</v>
      </c>
      <c r="AA2215" s="966">
        <f t="shared" si="356"/>
        <v>280750.99999999994</v>
      </c>
      <c r="AB2215" s="1210"/>
      <c r="AC2215" s="1199"/>
      <c r="AD2215" s="1211"/>
    </row>
    <row r="2216" spans="1:30" x14ac:dyDescent="0.2">
      <c r="A2216" s="1422"/>
      <c r="B2216" s="2522"/>
      <c r="C2216" s="2456"/>
      <c r="D2216" s="3369"/>
      <c r="E2216" s="2420"/>
      <c r="F2216" s="2420"/>
      <c r="G2216" s="2420"/>
      <c r="H2216" s="2420"/>
      <c r="I2216" s="2420"/>
      <c r="J2216" s="2515"/>
      <c r="K2216" s="40">
        <v>19163</v>
      </c>
      <c r="L2216" s="2432"/>
      <c r="M2216" s="111" t="s">
        <v>311</v>
      </c>
      <c r="N2216" s="111"/>
      <c r="O2216" s="40">
        <v>1596.9166666666667</v>
      </c>
      <c r="P2216" s="40">
        <v>1596.9166666666667</v>
      </c>
      <c r="Q2216" s="40">
        <v>1596.9166666666667</v>
      </c>
      <c r="R2216" s="40">
        <v>1596.9166666666667</v>
      </c>
      <c r="S2216" s="40">
        <v>1596.9166666666667</v>
      </c>
      <c r="T2216" s="40">
        <v>1596.9166666666667</v>
      </c>
      <c r="U2216" s="40">
        <v>1596.9166666666667</v>
      </c>
      <c r="V2216" s="40">
        <v>1596.9166666666667</v>
      </c>
      <c r="W2216" s="40">
        <v>1596.9166666666667</v>
      </c>
      <c r="X2216" s="40">
        <v>1596.9166666666667</v>
      </c>
      <c r="Y2216" s="40">
        <v>1596.9166666666667</v>
      </c>
      <c r="Z2216" s="40">
        <v>1596.9166666666667</v>
      </c>
      <c r="AA2216" s="966">
        <f t="shared" si="356"/>
        <v>19163</v>
      </c>
      <c r="AB2216" s="1210"/>
      <c r="AC2216" s="1199"/>
      <c r="AD2216" s="1211"/>
    </row>
    <row r="2217" spans="1:30" x14ac:dyDescent="0.2">
      <c r="A2217" s="1422"/>
      <c r="B2217" s="2522"/>
      <c r="C2217" s="2450"/>
      <c r="D2217" s="3369"/>
      <c r="E2217" s="2420"/>
      <c r="F2217" s="2420"/>
      <c r="G2217" s="2420"/>
      <c r="H2217" s="2420"/>
      <c r="I2217" s="2420"/>
      <c r="J2217" s="2516"/>
      <c r="K2217" s="40">
        <v>79670</v>
      </c>
      <c r="L2217" s="2432"/>
      <c r="M2217" s="111" t="s">
        <v>397</v>
      </c>
      <c r="N2217" s="111"/>
      <c r="O2217" s="40"/>
      <c r="P2217" s="40"/>
      <c r="Q2217" s="40">
        <v>7967</v>
      </c>
      <c r="R2217" s="40">
        <v>7967</v>
      </c>
      <c r="S2217" s="40">
        <v>7967</v>
      </c>
      <c r="T2217" s="40">
        <v>7967</v>
      </c>
      <c r="U2217" s="40">
        <v>7967</v>
      </c>
      <c r="V2217" s="40">
        <v>7967</v>
      </c>
      <c r="W2217" s="40">
        <v>7967</v>
      </c>
      <c r="X2217" s="40">
        <v>7967</v>
      </c>
      <c r="Y2217" s="40">
        <v>7967</v>
      </c>
      <c r="Z2217" s="40">
        <v>7967</v>
      </c>
      <c r="AA2217" s="966">
        <f t="shared" si="356"/>
        <v>79670</v>
      </c>
      <c r="AB2217" s="1210"/>
      <c r="AC2217" s="1199"/>
      <c r="AD2217" s="1211"/>
    </row>
    <row r="2218" spans="1:30" x14ac:dyDescent="0.2">
      <c r="A2218" s="1422"/>
      <c r="B2218" s="1427" t="s">
        <v>312</v>
      </c>
      <c r="C2218" s="1128"/>
      <c r="D2218" s="38"/>
      <c r="E2218" s="38"/>
      <c r="F2218" s="38"/>
      <c r="G2218" s="38"/>
      <c r="H2218" s="38"/>
      <c r="I2218" s="38"/>
      <c r="J2218" s="38"/>
      <c r="K2218" s="40">
        <f>SUM(K2195:K2217)</f>
        <v>2130845</v>
      </c>
      <c r="L2218" s="2437"/>
      <c r="M2218" s="38"/>
      <c r="N2218" s="38"/>
      <c r="O2218" s="40">
        <v>176510.49999999994</v>
      </c>
      <c r="P2218" s="40">
        <v>166865.04545454538</v>
      </c>
      <c r="Q2218" s="40">
        <v>176646.94545454538</v>
      </c>
      <c r="R2218" s="40">
        <v>181446.94545454538</v>
      </c>
      <c r="S2218" s="40">
        <v>176346.94545454538</v>
      </c>
      <c r="T2218" s="40">
        <v>175746.94545454538</v>
      </c>
      <c r="U2218" s="40">
        <v>184196.94545454538</v>
      </c>
      <c r="V2218" s="40">
        <v>181646.94545454538</v>
      </c>
      <c r="W2218" s="40">
        <v>175746.94545454538</v>
      </c>
      <c r="X2218" s="40">
        <v>175746.94545454538</v>
      </c>
      <c r="Y2218" s="40">
        <v>175746.94545454538</v>
      </c>
      <c r="Z2218" s="40">
        <v>184196.94545454538</v>
      </c>
      <c r="AA2218" s="1199"/>
      <c r="AB2218" s="1210"/>
      <c r="AC2218" s="1199"/>
      <c r="AD2218" s="1211"/>
    </row>
    <row r="2219" spans="1:30" ht="22.5" x14ac:dyDescent="0.2">
      <c r="A2219" s="1422"/>
      <c r="B2219" s="1433" t="s">
        <v>276</v>
      </c>
      <c r="C2219" s="1119"/>
      <c r="D2219" s="192">
        <v>3000017</v>
      </c>
      <c r="E2219" s="192" t="s">
        <v>706</v>
      </c>
      <c r="G2219" s="35"/>
      <c r="I2219" s="35"/>
      <c r="J2219" s="35"/>
      <c r="K2219" s="192" t="s">
        <v>722</v>
      </c>
      <c r="L2219" s="35"/>
      <c r="M2219" s="35"/>
      <c r="N2219" s="35"/>
      <c r="O2219" s="35"/>
      <c r="P2219" s="35"/>
      <c r="Q2219" s="35"/>
      <c r="R2219" s="35"/>
      <c r="S2219" s="35"/>
      <c r="T2219" s="35"/>
      <c r="U2219" s="3375" t="s">
        <v>15</v>
      </c>
      <c r="V2219" s="3375"/>
      <c r="W2219" s="3375"/>
      <c r="X2219" s="3375"/>
      <c r="Y2219" s="3375"/>
      <c r="Z2219" s="3375"/>
      <c r="AA2219" s="1949" t="s">
        <v>16</v>
      </c>
      <c r="AB2219" s="1210"/>
      <c r="AC2219" s="1199"/>
      <c r="AD2219" s="1211"/>
    </row>
    <row r="2220" spans="1:30" ht="26.25" customHeight="1" x14ac:dyDescent="0.2">
      <c r="A2220" s="1422"/>
      <c r="B2220" s="1433"/>
      <c r="C2220" s="1119"/>
      <c r="D2220" s="192"/>
      <c r="E2220" s="192"/>
      <c r="F2220" s="192"/>
      <c r="G2220" s="35"/>
      <c r="H2220" s="35"/>
      <c r="I2220" s="35"/>
      <c r="J2220" s="35"/>
      <c r="K2220" s="35"/>
      <c r="L2220" s="35"/>
      <c r="M2220" s="35"/>
      <c r="N2220" s="35"/>
      <c r="O2220" s="35"/>
      <c r="P2220" s="35"/>
      <c r="Q2220" s="35"/>
      <c r="R2220" s="35"/>
      <c r="S2220" s="35"/>
      <c r="T2220" s="35"/>
      <c r="U2220" s="3383" t="s">
        <v>723</v>
      </c>
      <c r="V2220" s="3383"/>
      <c r="W2220" s="3383"/>
      <c r="X2220" s="3383"/>
      <c r="Y2220" s="3383"/>
      <c r="Z2220" s="3383"/>
      <c r="AA2220" s="1957" t="s">
        <v>579</v>
      </c>
      <c r="AB2220" s="1210"/>
      <c r="AC2220" s="1199"/>
      <c r="AD2220" s="1211"/>
    </row>
    <row r="2221" spans="1:30" x14ac:dyDescent="0.2">
      <c r="A2221" s="1422"/>
      <c r="B2221" s="2999" t="s">
        <v>278</v>
      </c>
      <c r="C2221" s="3015" t="s">
        <v>21</v>
      </c>
      <c r="D2221" s="2847" t="s">
        <v>22</v>
      </c>
      <c r="E2221" s="2847" t="s">
        <v>23</v>
      </c>
      <c r="F2221" s="2847" t="s">
        <v>24</v>
      </c>
      <c r="G2221" s="2847" t="s">
        <v>25</v>
      </c>
      <c r="H2221" s="2847" t="s">
        <v>26</v>
      </c>
      <c r="I2221" s="2847" t="s">
        <v>27</v>
      </c>
      <c r="J2221" s="3206" t="s">
        <v>28</v>
      </c>
      <c r="K2221" s="3301"/>
      <c r="L2221" s="2988" t="s">
        <v>279</v>
      </c>
      <c r="M2221" s="2847" t="s">
        <v>280</v>
      </c>
      <c r="N2221" s="1017"/>
      <c r="O2221" s="2847" t="s">
        <v>281</v>
      </c>
      <c r="P2221" s="2847"/>
      <c r="Q2221" s="2847"/>
      <c r="R2221" s="2847"/>
      <c r="S2221" s="2847"/>
      <c r="T2221" s="2847"/>
      <c r="U2221" s="2847"/>
      <c r="V2221" s="2847"/>
      <c r="W2221" s="2847"/>
      <c r="X2221" s="2847"/>
      <c r="Y2221" s="2847"/>
      <c r="Z2221" s="2847"/>
      <c r="AA2221" s="3358" t="s">
        <v>32</v>
      </c>
      <c r="AB2221" s="1210"/>
      <c r="AC2221" s="1199"/>
      <c r="AD2221" s="1211"/>
    </row>
    <row r="2222" spans="1:30" x14ac:dyDescent="0.2">
      <c r="A2222" s="1422"/>
      <c r="B2222" s="2999"/>
      <c r="C2222" s="3359"/>
      <c r="D2222" s="2847"/>
      <c r="E2222" s="2847"/>
      <c r="F2222" s="2847"/>
      <c r="G2222" s="2847"/>
      <c r="H2222" s="2847"/>
      <c r="I2222" s="2847"/>
      <c r="J2222" s="1007" t="s">
        <v>33</v>
      </c>
      <c r="K2222" s="2988" t="s">
        <v>282</v>
      </c>
      <c r="L2222" s="3186"/>
      <c r="M2222" s="2847"/>
      <c r="N2222" s="1017"/>
      <c r="O2222" s="1009" t="s">
        <v>283</v>
      </c>
      <c r="P2222" s="1009" t="s">
        <v>284</v>
      </c>
      <c r="Q2222" s="1009" t="s">
        <v>285</v>
      </c>
      <c r="R2222" s="1009" t="s">
        <v>88</v>
      </c>
      <c r="S2222" s="1009" t="s">
        <v>89</v>
      </c>
      <c r="T2222" s="1009" t="s">
        <v>90</v>
      </c>
      <c r="U2222" s="1009" t="s">
        <v>91</v>
      </c>
      <c r="V2222" s="1009" t="s">
        <v>92</v>
      </c>
      <c r="W2222" s="1009" t="s">
        <v>286</v>
      </c>
      <c r="X2222" s="1009" t="s">
        <v>93</v>
      </c>
      <c r="Y2222" s="1009" t="s">
        <v>94</v>
      </c>
      <c r="Z2222" s="1009" t="s">
        <v>95</v>
      </c>
      <c r="AA2222" s="3358"/>
      <c r="AB2222" s="1210"/>
      <c r="AC2222" s="1199"/>
      <c r="AD2222" s="1211"/>
    </row>
    <row r="2223" spans="1:30" ht="12.75" x14ac:dyDescent="0.2">
      <c r="A2223" s="1422"/>
      <c r="B2223" s="2999"/>
      <c r="C2223" s="3359"/>
      <c r="D2223" s="2847"/>
      <c r="E2223" s="2847"/>
      <c r="F2223" s="2847"/>
      <c r="G2223" s="2847"/>
      <c r="H2223" s="2847"/>
      <c r="I2223" s="2847"/>
      <c r="J2223" s="106"/>
      <c r="K2223" s="3186"/>
      <c r="L2223" s="3186"/>
      <c r="M2223" s="1009" t="s">
        <v>287</v>
      </c>
      <c r="N2223" s="1009"/>
      <c r="O2223" s="40">
        <v>64</v>
      </c>
      <c r="P2223" s="40">
        <v>64</v>
      </c>
      <c r="Q2223" s="40">
        <v>64</v>
      </c>
      <c r="R2223" s="40">
        <v>64</v>
      </c>
      <c r="S2223" s="40">
        <v>64</v>
      </c>
      <c r="T2223" s="40">
        <v>64</v>
      </c>
      <c r="U2223" s="40">
        <v>64</v>
      </c>
      <c r="V2223" s="40">
        <v>64</v>
      </c>
      <c r="W2223" s="40">
        <v>64</v>
      </c>
      <c r="X2223" s="40">
        <v>64</v>
      </c>
      <c r="Y2223" s="40">
        <v>64</v>
      </c>
      <c r="Z2223" s="40">
        <v>64</v>
      </c>
      <c r="AA2223" s="1205">
        <f t="shared" ref="AA2223:AA2239" si="358">SUM(O2223:Z2223)</f>
        <v>768</v>
      </c>
      <c r="AB2223" s="1210"/>
      <c r="AC2223" s="1199"/>
      <c r="AD2223" s="1211"/>
    </row>
    <row r="2224" spans="1:30" ht="12.75" x14ac:dyDescent="0.2">
      <c r="A2224" s="1422"/>
      <c r="B2224" s="2999"/>
      <c r="C2224" s="3016"/>
      <c r="D2224" s="2847"/>
      <c r="E2224" s="2847"/>
      <c r="F2224" s="2847"/>
      <c r="G2224" s="2847"/>
      <c r="H2224" s="2847"/>
      <c r="I2224" s="2847"/>
      <c r="J2224" s="1008"/>
      <c r="K2224" s="2989"/>
      <c r="L2224" s="2989"/>
      <c r="M2224" s="1009" t="s">
        <v>34</v>
      </c>
      <c r="N2224" s="1009"/>
      <c r="O2224" s="40">
        <f>SUM(O2225:O2239)</f>
        <v>134038.25000000003</v>
      </c>
      <c r="P2224" s="40">
        <f t="shared" ref="P2224:Z2224" si="359">SUM(P2225:P2239)</f>
        <v>122622.25</v>
      </c>
      <c r="Q2224" s="40">
        <f t="shared" si="359"/>
        <v>123722.25</v>
      </c>
      <c r="R2224" s="40">
        <f t="shared" si="359"/>
        <v>133422.25000000003</v>
      </c>
      <c r="S2224" s="40">
        <f t="shared" si="359"/>
        <v>123072.25</v>
      </c>
      <c r="T2224" s="40">
        <f t="shared" si="359"/>
        <v>122672.25</v>
      </c>
      <c r="U2224" s="40">
        <f t="shared" si="359"/>
        <v>130931.25</v>
      </c>
      <c r="V2224" s="40">
        <f t="shared" si="359"/>
        <v>134472.25000000003</v>
      </c>
      <c r="W2224" s="40">
        <f t="shared" si="359"/>
        <v>122672.25</v>
      </c>
      <c r="X2224" s="40">
        <f t="shared" si="359"/>
        <v>122672.25</v>
      </c>
      <c r="Y2224" s="40">
        <f t="shared" si="359"/>
        <v>122672.25</v>
      </c>
      <c r="Z2224" s="40">
        <f t="shared" si="359"/>
        <v>130931.25</v>
      </c>
      <c r="AA2224" s="1205">
        <f t="shared" si="358"/>
        <v>1523901</v>
      </c>
      <c r="AB2224" s="1210"/>
      <c r="AC2224" s="1199"/>
      <c r="AD2224" s="1211"/>
    </row>
    <row r="2225" spans="1:30" x14ac:dyDescent="0.2">
      <c r="A2225" s="1422"/>
      <c r="B2225" s="2522">
        <v>5000115</v>
      </c>
      <c r="C2225" s="2438" t="s">
        <v>724</v>
      </c>
      <c r="D2225" s="2420"/>
      <c r="E2225" s="2420" t="s">
        <v>288</v>
      </c>
      <c r="F2225" s="2420" t="s">
        <v>386</v>
      </c>
      <c r="G2225" s="2420" t="s">
        <v>423</v>
      </c>
      <c r="H2225" s="2420"/>
      <c r="I2225" s="2420" t="s">
        <v>573</v>
      </c>
      <c r="J2225" s="2514">
        <v>768</v>
      </c>
      <c r="K2225" s="40">
        <v>508752</v>
      </c>
      <c r="L2225" s="2431" t="s">
        <v>687</v>
      </c>
      <c r="M2225" s="111" t="s">
        <v>293</v>
      </c>
      <c r="N2225" s="111"/>
      <c r="O2225" s="40">
        <v>42396</v>
      </c>
      <c r="P2225" s="40">
        <v>42396</v>
      </c>
      <c r="Q2225" s="40">
        <v>42396</v>
      </c>
      <c r="R2225" s="40">
        <v>42396</v>
      </c>
      <c r="S2225" s="40">
        <v>42396</v>
      </c>
      <c r="T2225" s="40">
        <v>42396</v>
      </c>
      <c r="U2225" s="40">
        <v>42396</v>
      </c>
      <c r="V2225" s="40">
        <v>42396</v>
      </c>
      <c r="W2225" s="40">
        <v>42396</v>
      </c>
      <c r="X2225" s="40">
        <v>42396</v>
      </c>
      <c r="Y2225" s="40">
        <v>42396</v>
      </c>
      <c r="Z2225" s="40">
        <v>42396</v>
      </c>
      <c r="AA2225" s="966">
        <f t="shared" si="358"/>
        <v>508752</v>
      </c>
      <c r="AB2225" s="1210"/>
      <c r="AC2225" s="1199"/>
      <c r="AD2225" s="1211"/>
    </row>
    <row r="2226" spans="1:30" x14ac:dyDescent="0.2">
      <c r="A2226" s="1422"/>
      <c r="B2226" s="2522"/>
      <c r="C2226" s="2456"/>
      <c r="D2226" s="2420"/>
      <c r="E2226" s="2420"/>
      <c r="F2226" s="2420"/>
      <c r="G2226" s="2420"/>
      <c r="H2226" s="2420"/>
      <c r="I2226" s="2420"/>
      <c r="J2226" s="2515"/>
      <c r="K2226" s="40">
        <v>369704</v>
      </c>
      <c r="L2226" s="2432"/>
      <c r="M2226" s="111" t="s">
        <v>295</v>
      </c>
      <c r="N2226" s="111"/>
      <c r="O2226" s="40">
        <v>30808.666666666668</v>
      </c>
      <c r="P2226" s="40">
        <v>30808.666666666668</v>
      </c>
      <c r="Q2226" s="40">
        <v>30808.666666666668</v>
      </c>
      <c r="R2226" s="40">
        <v>30808.666666666668</v>
      </c>
      <c r="S2226" s="40">
        <v>30808.666666666668</v>
      </c>
      <c r="T2226" s="40">
        <v>30808.666666666668</v>
      </c>
      <c r="U2226" s="40">
        <v>30808.666666666668</v>
      </c>
      <c r="V2226" s="40">
        <v>30808.666666666668</v>
      </c>
      <c r="W2226" s="40">
        <v>30808.666666666668</v>
      </c>
      <c r="X2226" s="40">
        <v>30808.666666666668</v>
      </c>
      <c r="Y2226" s="40">
        <v>30808.666666666668</v>
      </c>
      <c r="Z2226" s="40">
        <v>30808.666666666668</v>
      </c>
      <c r="AA2226" s="966">
        <f t="shared" si="358"/>
        <v>369704.00000000006</v>
      </c>
      <c r="AB2226" s="1210"/>
      <c r="AC2226" s="1199"/>
      <c r="AD2226" s="1211"/>
    </row>
    <row r="2227" spans="1:30" x14ac:dyDescent="0.2">
      <c r="A2227" s="1422"/>
      <c r="B2227" s="2522"/>
      <c r="C2227" s="2456"/>
      <c r="D2227" s="2420"/>
      <c r="E2227" s="2420"/>
      <c r="F2227" s="2420"/>
      <c r="G2227" s="2420"/>
      <c r="H2227" s="2420"/>
      <c r="I2227" s="2420"/>
      <c r="J2227" s="2515"/>
      <c r="K2227" s="40">
        <v>315586</v>
      </c>
      <c r="L2227" s="2432"/>
      <c r="M2227" s="111" t="s">
        <v>296</v>
      </c>
      <c r="N2227" s="111"/>
      <c r="O2227" s="40">
        <v>26298.833333333332</v>
      </c>
      <c r="P2227" s="40">
        <v>26298.833333333332</v>
      </c>
      <c r="Q2227" s="40">
        <v>26298.833333333332</v>
      </c>
      <c r="R2227" s="40">
        <v>26298.833333333332</v>
      </c>
      <c r="S2227" s="40">
        <v>26298.833333333332</v>
      </c>
      <c r="T2227" s="40">
        <v>26298.833333333332</v>
      </c>
      <c r="U2227" s="40">
        <v>26298.833333333332</v>
      </c>
      <c r="V2227" s="40">
        <v>26298.833333333332</v>
      </c>
      <c r="W2227" s="40">
        <v>26298.833333333332</v>
      </c>
      <c r="X2227" s="40">
        <v>26298.833333333332</v>
      </c>
      <c r="Y2227" s="40">
        <v>26298.833333333332</v>
      </c>
      <c r="Z2227" s="40">
        <v>26298.833333333332</v>
      </c>
      <c r="AA2227" s="966">
        <f t="shared" si="358"/>
        <v>315586</v>
      </c>
      <c r="AB2227" s="1210"/>
      <c r="AC2227" s="1199"/>
      <c r="AD2227" s="1211"/>
    </row>
    <row r="2228" spans="1:30" x14ac:dyDescent="0.2">
      <c r="A2228" s="1422"/>
      <c r="B2228" s="2522"/>
      <c r="C2228" s="2456"/>
      <c r="D2228" s="2420"/>
      <c r="E2228" s="2420"/>
      <c r="F2228" s="2420"/>
      <c r="G2228" s="2420"/>
      <c r="H2228" s="2420"/>
      <c r="I2228" s="2420"/>
      <c r="J2228" s="2515"/>
      <c r="K2228" s="40">
        <v>55848</v>
      </c>
      <c r="L2228" s="2432"/>
      <c r="M2228" s="111" t="s">
        <v>297</v>
      </c>
      <c r="N2228" s="111"/>
      <c r="O2228" s="40">
        <v>4654</v>
      </c>
      <c r="P2228" s="40">
        <v>4654</v>
      </c>
      <c r="Q2228" s="40">
        <v>4654</v>
      </c>
      <c r="R2228" s="40">
        <v>4654</v>
      </c>
      <c r="S2228" s="40">
        <v>4654</v>
      </c>
      <c r="T2228" s="40">
        <v>4654</v>
      </c>
      <c r="U2228" s="40">
        <v>4654</v>
      </c>
      <c r="V2228" s="40">
        <v>4654</v>
      </c>
      <c r="W2228" s="40">
        <v>4654</v>
      </c>
      <c r="X2228" s="40">
        <v>4654</v>
      </c>
      <c r="Y2228" s="40">
        <v>4654</v>
      </c>
      <c r="Z2228" s="40">
        <v>4654</v>
      </c>
      <c r="AA2228" s="966">
        <f t="shared" si="358"/>
        <v>55848</v>
      </c>
      <c r="AB2228" s="1210"/>
      <c r="AC2228" s="1199"/>
      <c r="AD2228" s="1211"/>
    </row>
    <row r="2229" spans="1:30" x14ac:dyDescent="0.2">
      <c r="A2229" s="1422"/>
      <c r="B2229" s="2522"/>
      <c r="C2229" s="2456"/>
      <c r="D2229" s="2420"/>
      <c r="E2229" s="2420"/>
      <c r="F2229" s="2420"/>
      <c r="G2229" s="2420"/>
      <c r="H2229" s="2420"/>
      <c r="I2229" s="2420"/>
      <c r="J2229" s="2515"/>
      <c r="K2229" s="40">
        <v>16518</v>
      </c>
      <c r="L2229" s="2432"/>
      <c r="M2229" s="111" t="s">
        <v>298</v>
      </c>
      <c r="N2229" s="111"/>
      <c r="O2229" s="40"/>
      <c r="P2229" s="40"/>
      <c r="Q2229" s="40"/>
      <c r="R2229" s="40"/>
      <c r="S2229" s="40"/>
      <c r="T2229" s="40"/>
      <c r="U2229" s="40">
        <v>8259</v>
      </c>
      <c r="V2229" s="40"/>
      <c r="W2229" s="40"/>
      <c r="X2229" s="40"/>
      <c r="Y2229" s="40"/>
      <c r="Z2229" s="40">
        <v>8259</v>
      </c>
      <c r="AA2229" s="966">
        <f t="shared" si="358"/>
        <v>16518</v>
      </c>
      <c r="AB2229" s="1210"/>
      <c r="AC2229" s="1199"/>
      <c r="AD2229" s="1211"/>
    </row>
    <row r="2230" spans="1:30" x14ac:dyDescent="0.2">
      <c r="A2230" s="1422"/>
      <c r="B2230" s="2522"/>
      <c r="C2230" s="2456"/>
      <c r="D2230" s="2420"/>
      <c r="E2230" s="2420"/>
      <c r="F2230" s="2420"/>
      <c r="G2230" s="2420"/>
      <c r="H2230" s="2420"/>
      <c r="I2230" s="2420"/>
      <c r="J2230" s="2515"/>
      <c r="K2230" s="40">
        <v>11416</v>
      </c>
      <c r="L2230" s="2432"/>
      <c r="M2230" s="111" t="s">
        <v>299</v>
      </c>
      <c r="N2230" s="111"/>
      <c r="O2230" s="40">
        <v>11416</v>
      </c>
      <c r="P2230" s="40"/>
      <c r="Q2230" s="40"/>
      <c r="R2230" s="40"/>
      <c r="S2230" s="40"/>
      <c r="T2230" s="40"/>
      <c r="U2230" s="40"/>
      <c r="V2230" s="40"/>
      <c r="W2230" s="40"/>
      <c r="X2230" s="40"/>
      <c r="Y2230" s="40"/>
      <c r="Z2230" s="40"/>
      <c r="AA2230" s="966">
        <f t="shared" si="358"/>
        <v>11416</v>
      </c>
      <c r="AB2230" s="1210"/>
      <c r="AC2230" s="1199"/>
      <c r="AD2230" s="1211"/>
    </row>
    <row r="2231" spans="1:30" x14ac:dyDescent="0.2">
      <c r="A2231" s="1422"/>
      <c r="B2231" s="2522"/>
      <c r="C2231" s="2456"/>
      <c r="D2231" s="2420"/>
      <c r="E2231" s="2420"/>
      <c r="F2231" s="2420"/>
      <c r="G2231" s="2420"/>
      <c r="H2231" s="2420"/>
      <c r="I2231" s="2420"/>
      <c r="J2231" s="2515"/>
      <c r="K2231" s="40">
        <v>50456</v>
      </c>
      <c r="L2231" s="2432"/>
      <c r="M2231" s="111" t="s">
        <v>300</v>
      </c>
      <c r="N2231" s="111"/>
      <c r="O2231" s="40">
        <v>4204.666666666667</v>
      </c>
      <c r="P2231" s="40">
        <v>4204.666666666667</v>
      </c>
      <c r="Q2231" s="40">
        <v>4204.666666666667</v>
      </c>
      <c r="R2231" s="40">
        <v>4204.666666666667</v>
      </c>
      <c r="S2231" s="40">
        <v>4204.666666666667</v>
      </c>
      <c r="T2231" s="40">
        <v>4204.666666666667</v>
      </c>
      <c r="U2231" s="40">
        <v>4204.666666666667</v>
      </c>
      <c r="V2231" s="40">
        <v>4204.666666666667</v>
      </c>
      <c r="W2231" s="40">
        <v>4204.666666666667</v>
      </c>
      <c r="X2231" s="40">
        <v>4204.666666666667</v>
      </c>
      <c r="Y2231" s="40">
        <v>4204.666666666667</v>
      </c>
      <c r="Z2231" s="40">
        <v>4204.666666666667</v>
      </c>
      <c r="AA2231" s="966">
        <f t="shared" si="358"/>
        <v>50455.999999999993</v>
      </c>
      <c r="AB2231" s="1210"/>
      <c r="AC2231" s="1199"/>
      <c r="AD2231" s="1211"/>
    </row>
    <row r="2232" spans="1:30" x14ac:dyDescent="0.2">
      <c r="A2232" s="1422"/>
      <c r="B2232" s="2522"/>
      <c r="C2232" s="2456"/>
      <c r="D2232" s="2420"/>
      <c r="E2232" s="2420"/>
      <c r="F2232" s="2420"/>
      <c r="G2232" s="2420"/>
      <c r="H2232" s="2420"/>
      <c r="I2232" s="2420"/>
      <c r="J2232" s="2515"/>
      <c r="K2232" s="40">
        <v>81</v>
      </c>
      <c r="L2232" s="2432"/>
      <c r="M2232" s="111" t="s">
        <v>301</v>
      </c>
      <c r="N2232" s="111"/>
      <c r="O2232" s="40">
        <v>6.75</v>
      </c>
      <c r="P2232" s="40">
        <v>6.75</v>
      </c>
      <c r="Q2232" s="40">
        <v>6.75</v>
      </c>
      <c r="R2232" s="40">
        <v>6.75</v>
      </c>
      <c r="S2232" s="40">
        <v>6.75</v>
      </c>
      <c r="T2232" s="40">
        <v>6.75</v>
      </c>
      <c r="U2232" s="40">
        <v>6.75</v>
      </c>
      <c r="V2232" s="40">
        <v>6.75</v>
      </c>
      <c r="W2232" s="40">
        <v>6.75</v>
      </c>
      <c r="X2232" s="40">
        <v>6.75</v>
      </c>
      <c r="Y2232" s="40">
        <v>6.75</v>
      </c>
      <c r="Z2232" s="40">
        <v>6.75</v>
      </c>
      <c r="AA2232" s="966">
        <f t="shared" si="358"/>
        <v>81</v>
      </c>
      <c r="AB2232" s="1210"/>
      <c r="AC2232" s="1199"/>
      <c r="AD2232" s="1211"/>
    </row>
    <row r="2233" spans="1:30" x14ac:dyDescent="0.2">
      <c r="A2233" s="1422"/>
      <c r="B2233" s="2522"/>
      <c r="C2233" s="2456"/>
      <c r="D2233" s="2420"/>
      <c r="E2233" s="2420"/>
      <c r="F2233" s="2420"/>
      <c r="G2233" s="2420"/>
      <c r="H2233" s="2420"/>
      <c r="I2233" s="2420"/>
      <c r="J2233" s="2515"/>
      <c r="K2233" s="40">
        <v>400</v>
      </c>
      <c r="L2233" s="2432"/>
      <c r="M2233" s="111" t="s">
        <v>302</v>
      </c>
      <c r="N2233" s="111"/>
      <c r="O2233" s="40"/>
      <c r="P2233" s="40"/>
      <c r="Q2233" s="40"/>
      <c r="R2233" s="40"/>
      <c r="S2233" s="40">
        <v>400</v>
      </c>
      <c r="T2233" s="40"/>
      <c r="U2233" s="40"/>
      <c r="V2233" s="40"/>
      <c r="W2233" s="40"/>
      <c r="X2233" s="40"/>
      <c r="Y2233" s="40"/>
      <c r="Z2233" s="40"/>
      <c r="AA2233" s="966">
        <f t="shared" si="358"/>
        <v>400</v>
      </c>
      <c r="AB2233" s="1210"/>
      <c r="AC2233" s="1199"/>
      <c r="AD2233" s="1211"/>
    </row>
    <row r="2234" spans="1:30" x14ac:dyDescent="0.2">
      <c r="A2234" s="1422"/>
      <c r="B2234" s="2522"/>
      <c r="C2234" s="2456"/>
      <c r="D2234" s="2420"/>
      <c r="E2234" s="2420"/>
      <c r="F2234" s="2420"/>
      <c r="G2234" s="2420"/>
      <c r="H2234" s="2420"/>
      <c r="I2234" s="2420"/>
      <c r="J2234" s="2515"/>
      <c r="K2234" s="40">
        <v>2100</v>
      </c>
      <c r="L2234" s="2432"/>
      <c r="M2234" s="111" t="s">
        <v>303</v>
      </c>
      <c r="N2234" s="111"/>
      <c r="O2234" s="40"/>
      <c r="P2234" s="40"/>
      <c r="Q2234" s="40">
        <v>1050</v>
      </c>
      <c r="R2234" s="40"/>
      <c r="S2234" s="40"/>
      <c r="T2234" s="40"/>
      <c r="U2234" s="40"/>
      <c r="V2234" s="40">
        <v>1050</v>
      </c>
      <c r="W2234" s="40"/>
      <c r="X2234" s="40"/>
      <c r="Y2234" s="40"/>
      <c r="Z2234" s="40"/>
      <c r="AA2234" s="966">
        <f t="shared" si="358"/>
        <v>2100</v>
      </c>
      <c r="AB2234" s="1210"/>
      <c r="AC2234" s="1199"/>
      <c r="AD2234" s="1211"/>
    </row>
    <row r="2235" spans="1:30" x14ac:dyDescent="0.2">
      <c r="A2235" s="1422"/>
      <c r="B2235" s="2522"/>
      <c r="C2235" s="2456"/>
      <c r="D2235" s="2420"/>
      <c r="E2235" s="2420"/>
      <c r="F2235" s="2420"/>
      <c r="G2235" s="2420"/>
      <c r="H2235" s="2420"/>
      <c r="I2235" s="2420"/>
      <c r="J2235" s="2515"/>
      <c r="K2235" s="40">
        <v>12000</v>
      </c>
      <c r="L2235" s="2432"/>
      <c r="M2235" s="111" t="s">
        <v>393</v>
      </c>
      <c r="N2235" s="111"/>
      <c r="O2235" s="40"/>
      <c r="P2235" s="40"/>
      <c r="Q2235" s="40"/>
      <c r="R2235" s="40">
        <v>6000</v>
      </c>
      <c r="S2235" s="40"/>
      <c r="T2235" s="40"/>
      <c r="U2235" s="40"/>
      <c r="V2235" s="40">
        <v>6000</v>
      </c>
      <c r="W2235" s="40"/>
      <c r="X2235" s="40"/>
      <c r="Y2235" s="40"/>
      <c r="Z2235" s="40"/>
      <c r="AA2235" s="966">
        <f t="shared" si="358"/>
        <v>12000</v>
      </c>
      <c r="AB2235" s="1210"/>
      <c r="AC2235" s="1199"/>
      <c r="AD2235" s="1211"/>
    </row>
    <row r="2236" spans="1:30" x14ac:dyDescent="0.2">
      <c r="A2236" s="1422"/>
      <c r="B2236" s="2522"/>
      <c r="C2236" s="2456"/>
      <c r="D2236" s="2420"/>
      <c r="E2236" s="2420"/>
      <c r="F2236" s="2420"/>
      <c r="G2236" s="2420"/>
      <c r="H2236" s="2420"/>
      <c r="I2236" s="2420"/>
      <c r="J2236" s="2515"/>
      <c r="K2236" s="40">
        <v>9500</v>
      </c>
      <c r="L2236" s="2432"/>
      <c r="M2236" s="111" t="s">
        <v>343</v>
      </c>
      <c r="N2236" s="111"/>
      <c r="O2236" s="40"/>
      <c r="P2236" s="40"/>
      <c r="Q2236" s="40"/>
      <c r="R2236" s="40">
        <v>4750</v>
      </c>
      <c r="S2236" s="40"/>
      <c r="T2236" s="40"/>
      <c r="U2236" s="40"/>
      <c r="V2236" s="40">
        <v>4750</v>
      </c>
      <c r="W2236" s="40"/>
      <c r="X2236" s="40"/>
      <c r="Y2236" s="40"/>
      <c r="Z2236" s="40"/>
      <c r="AA2236" s="966">
        <f t="shared" si="358"/>
        <v>9500</v>
      </c>
      <c r="AB2236" s="1210"/>
      <c r="AC2236" s="1199"/>
      <c r="AD2236" s="1211"/>
    </row>
    <row r="2237" spans="1:30" x14ac:dyDescent="0.2">
      <c r="A2237" s="1422"/>
      <c r="B2237" s="2522"/>
      <c r="C2237" s="2456"/>
      <c r="D2237" s="2420"/>
      <c r="E2237" s="2420"/>
      <c r="F2237" s="2420"/>
      <c r="G2237" s="2420"/>
      <c r="H2237" s="2420"/>
      <c r="I2237" s="2420"/>
      <c r="J2237" s="2515"/>
      <c r="K2237" s="40">
        <v>500</v>
      </c>
      <c r="L2237" s="2432"/>
      <c r="M2237" s="111" t="s">
        <v>307</v>
      </c>
      <c r="N2237" s="111"/>
      <c r="O2237" s="40"/>
      <c r="P2237" s="40"/>
      <c r="Q2237" s="40">
        <v>50</v>
      </c>
      <c r="R2237" s="40">
        <v>50</v>
      </c>
      <c r="S2237" s="40">
        <v>50</v>
      </c>
      <c r="T2237" s="40">
        <v>50</v>
      </c>
      <c r="U2237" s="40">
        <v>50</v>
      </c>
      <c r="V2237" s="40">
        <v>50</v>
      </c>
      <c r="W2237" s="40">
        <v>50</v>
      </c>
      <c r="X2237" s="40">
        <v>50</v>
      </c>
      <c r="Y2237" s="40">
        <v>50</v>
      </c>
      <c r="Z2237" s="40">
        <v>50</v>
      </c>
      <c r="AA2237" s="966">
        <f t="shared" si="358"/>
        <v>500</v>
      </c>
      <c r="AB2237" s="1210"/>
      <c r="AC2237" s="1199"/>
      <c r="AD2237" s="1211"/>
    </row>
    <row r="2238" spans="1:30" x14ac:dyDescent="0.2">
      <c r="A2238" s="1422"/>
      <c r="B2238" s="2522"/>
      <c r="C2238" s="2456"/>
      <c r="D2238" s="2420"/>
      <c r="E2238" s="2420"/>
      <c r="F2238" s="2420"/>
      <c r="G2238" s="2420"/>
      <c r="H2238" s="2420"/>
      <c r="I2238" s="2420"/>
      <c r="J2238" s="2515"/>
      <c r="K2238" s="40">
        <v>159096</v>
      </c>
      <c r="L2238" s="2432"/>
      <c r="M2238" s="111" t="s">
        <v>310</v>
      </c>
      <c r="N2238" s="111"/>
      <c r="O2238" s="40">
        <v>13258</v>
      </c>
      <c r="P2238" s="40">
        <v>13258</v>
      </c>
      <c r="Q2238" s="40">
        <v>13258</v>
      </c>
      <c r="R2238" s="40">
        <v>13258</v>
      </c>
      <c r="S2238" s="40">
        <v>13258</v>
      </c>
      <c r="T2238" s="40">
        <v>13258</v>
      </c>
      <c r="U2238" s="40">
        <v>13258</v>
      </c>
      <c r="V2238" s="40">
        <v>13258</v>
      </c>
      <c r="W2238" s="40">
        <v>13258</v>
      </c>
      <c r="X2238" s="40">
        <v>13258</v>
      </c>
      <c r="Y2238" s="40">
        <v>13258</v>
      </c>
      <c r="Z2238" s="40">
        <v>13258</v>
      </c>
      <c r="AA2238" s="966">
        <f t="shared" si="358"/>
        <v>159096</v>
      </c>
      <c r="AB2238" s="1210"/>
      <c r="AC2238" s="1199"/>
      <c r="AD2238" s="1211"/>
    </row>
    <row r="2239" spans="1:30" x14ac:dyDescent="0.2">
      <c r="A2239" s="1422"/>
      <c r="B2239" s="2522"/>
      <c r="C2239" s="2450"/>
      <c r="D2239" s="2420"/>
      <c r="E2239" s="2420"/>
      <c r="F2239" s="2420"/>
      <c r="G2239" s="2420"/>
      <c r="H2239" s="2420"/>
      <c r="I2239" s="2420"/>
      <c r="J2239" s="2516"/>
      <c r="K2239" s="40">
        <v>11944</v>
      </c>
      <c r="L2239" s="2432"/>
      <c r="M2239" s="111" t="s">
        <v>311</v>
      </c>
      <c r="N2239" s="111"/>
      <c r="O2239" s="40">
        <v>995.33333333333337</v>
      </c>
      <c r="P2239" s="40">
        <v>995.33333333333337</v>
      </c>
      <c r="Q2239" s="40">
        <v>995.33333333333337</v>
      </c>
      <c r="R2239" s="40">
        <v>995.33333333333337</v>
      </c>
      <c r="S2239" s="40">
        <v>995.33333333333337</v>
      </c>
      <c r="T2239" s="40">
        <v>995.33333333333337</v>
      </c>
      <c r="U2239" s="40">
        <v>995.33333333333337</v>
      </c>
      <c r="V2239" s="40">
        <v>995.33333333333337</v>
      </c>
      <c r="W2239" s="40">
        <v>995.33333333333337</v>
      </c>
      <c r="X2239" s="40">
        <v>995.33333333333337</v>
      </c>
      <c r="Y2239" s="40">
        <v>995.33333333333337</v>
      </c>
      <c r="Z2239" s="40">
        <v>995.33333333333337</v>
      </c>
      <c r="AA2239" s="966">
        <f t="shared" si="358"/>
        <v>11944.000000000002</v>
      </c>
      <c r="AB2239" s="1210"/>
      <c r="AC2239" s="1199"/>
      <c r="AD2239" s="1211"/>
    </row>
    <row r="2240" spans="1:30" x14ac:dyDescent="0.2">
      <c r="A2240" s="1422"/>
      <c r="B2240" s="1427" t="s">
        <v>312</v>
      </c>
      <c r="C2240" s="1128"/>
      <c r="D2240" s="38"/>
      <c r="E2240" s="38"/>
      <c r="F2240" s="38"/>
      <c r="G2240" s="38"/>
      <c r="H2240" s="38"/>
      <c r="I2240" s="38"/>
      <c r="J2240" s="38"/>
      <c r="K2240" s="40">
        <f>SUM(K2225:K2239)</f>
        <v>1523901</v>
      </c>
      <c r="L2240" s="2437"/>
      <c r="M2240" s="112"/>
      <c r="N2240" s="112"/>
      <c r="O2240" s="40">
        <v>134038.25000000003</v>
      </c>
      <c r="P2240" s="40">
        <v>122622.25</v>
      </c>
      <c r="Q2240" s="40">
        <v>123722.25</v>
      </c>
      <c r="R2240" s="40">
        <v>133422.25000000003</v>
      </c>
      <c r="S2240" s="40">
        <v>123072.25</v>
      </c>
      <c r="T2240" s="40">
        <v>122672.25</v>
      </c>
      <c r="U2240" s="40">
        <v>130931.25</v>
      </c>
      <c r="V2240" s="40">
        <v>134472.25000000003</v>
      </c>
      <c r="W2240" s="40">
        <v>122672.25</v>
      </c>
      <c r="X2240" s="40">
        <v>122672.25</v>
      </c>
      <c r="Y2240" s="40">
        <v>122672.25</v>
      </c>
      <c r="Z2240" s="40">
        <v>130931.25</v>
      </c>
      <c r="AA2240" s="1234"/>
      <c r="AB2240" s="1210"/>
      <c r="AC2240" s="1199"/>
      <c r="AD2240" s="1211"/>
    </row>
    <row r="2241" spans="1:30" x14ac:dyDescent="0.2">
      <c r="A2241" s="1422"/>
      <c r="B2241" s="1422"/>
      <c r="C2241" s="1124"/>
      <c r="D2241" s="35"/>
      <c r="E2241" s="35"/>
      <c r="F2241" s="35"/>
      <c r="G2241" s="35"/>
      <c r="H2241" s="35"/>
      <c r="I2241" s="35"/>
      <c r="J2241" s="35"/>
      <c r="K2241" s="113"/>
      <c r="L2241" s="113"/>
      <c r="M2241" s="114"/>
      <c r="N2241" s="114"/>
      <c r="O2241" s="35"/>
      <c r="P2241" s="35"/>
      <c r="Q2241" s="35"/>
      <c r="R2241" s="35"/>
      <c r="S2241" s="35"/>
      <c r="T2241" s="35"/>
      <c r="U2241" s="35"/>
      <c r="V2241" s="35"/>
      <c r="W2241" s="35"/>
      <c r="X2241" s="35"/>
      <c r="Y2241" s="35"/>
      <c r="Z2241" s="35"/>
      <c r="AA2241" s="1199"/>
      <c r="AB2241" s="1210"/>
      <c r="AC2241" s="1199"/>
      <c r="AD2241" s="1211"/>
    </row>
    <row r="2242" spans="1:30" x14ac:dyDescent="0.2">
      <c r="A2242" s="1422"/>
      <c r="B2242" s="1422"/>
      <c r="C2242" s="1124"/>
      <c r="D2242" s="35"/>
      <c r="E2242" s="35"/>
      <c r="F2242" s="35"/>
      <c r="G2242" s="35"/>
      <c r="H2242" s="35"/>
      <c r="I2242" s="35"/>
      <c r="J2242" s="35"/>
      <c r="K2242" s="113"/>
      <c r="L2242" s="113"/>
      <c r="M2242" s="114"/>
      <c r="N2242" s="114"/>
      <c r="O2242" s="35"/>
      <c r="P2242" s="35"/>
      <c r="Q2242" s="35"/>
      <c r="R2242" s="35"/>
      <c r="S2242" s="35"/>
      <c r="T2242" s="35"/>
      <c r="U2242" s="35"/>
      <c r="V2242" s="35"/>
      <c r="W2242" s="35"/>
      <c r="X2242" s="35"/>
      <c r="Y2242" s="35"/>
      <c r="Z2242" s="35"/>
      <c r="AA2242" s="1199"/>
      <c r="AB2242" s="1210"/>
      <c r="AC2242" s="1199"/>
      <c r="AD2242" s="1211"/>
    </row>
    <row r="2243" spans="1:30" ht="22.5" x14ac:dyDescent="0.2">
      <c r="A2243" s="1422"/>
      <c r="B2243" s="1433" t="s">
        <v>276</v>
      </c>
      <c r="C2243" s="1119"/>
      <c r="D2243" s="35"/>
      <c r="E2243" s="35"/>
      <c r="F2243" s="35"/>
      <c r="G2243" s="35"/>
      <c r="H2243" s="35"/>
      <c r="I2243" s="35"/>
      <c r="J2243" s="35"/>
      <c r="K2243" s="35"/>
      <c r="L2243" s="35"/>
      <c r="M2243" s="35"/>
      <c r="N2243" s="35"/>
      <c r="O2243" s="35"/>
      <c r="P2243" s="35"/>
      <c r="Q2243" s="35"/>
      <c r="R2243" s="35"/>
      <c r="S2243" s="3333" t="s">
        <v>15</v>
      </c>
      <c r="T2243" s="3333"/>
      <c r="U2243" s="3333"/>
      <c r="V2243" s="3333"/>
      <c r="W2243" s="3333"/>
      <c r="X2243" s="3333"/>
      <c r="Y2243" s="3333"/>
      <c r="Z2243" s="3333"/>
      <c r="AA2243" s="1228" t="s">
        <v>16</v>
      </c>
      <c r="AB2243" s="1210"/>
      <c r="AC2243" s="1199"/>
      <c r="AD2243" s="1211"/>
    </row>
    <row r="2244" spans="1:30" x14ac:dyDescent="0.2">
      <c r="A2244" s="1422"/>
      <c r="B2244" s="1433"/>
      <c r="C2244" s="1119"/>
      <c r="D2244" s="192">
        <v>3000680</v>
      </c>
      <c r="E2244" s="192" t="s">
        <v>725</v>
      </c>
      <c r="F2244" s="35"/>
      <c r="G2244" s="35"/>
      <c r="H2244" s="35"/>
      <c r="I2244" s="35"/>
      <c r="J2244" s="35"/>
      <c r="K2244" s="35"/>
      <c r="L2244" s="35"/>
      <c r="M2244" s="35"/>
      <c r="N2244" s="35"/>
      <c r="O2244" s="35"/>
      <c r="P2244" s="35"/>
      <c r="Q2244" s="35"/>
      <c r="R2244" s="35"/>
      <c r="S2244" s="3333" t="s">
        <v>726</v>
      </c>
      <c r="T2244" s="3333"/>
      <c r="U2244" s="3333"/>
      <c r="V2244" s="3333"/>
      <c r="W2244" s="3333"/>
      <c r="X2244" s="3333"/>
      <c r="Y2244" s="3333"/>
      <c r="Z2244" s="3333"/>
      <c r="AA2244" s="1228" t="s">
        <v>579</v>
      </c>
      <c r="AB2244" s="1210"/>
      <c r="AC2244" s="1199"/>
      <c r="AD2244" s="1211"/>
    </row>
    <row r="2245" spans="1:30" x14ac:dyDescent="0.2">
      <c r="A2245" s="1422"/>
      <c r="B2245" s="2999" t="s">
        <v>278</v>
      </c>
      <c r="C2245" s="3015" t="s">
        <v>21</v>
      </c>
      <c r="D2245" s="2847" t="s">
        <v>22</v>
      </c>
      <c r="E2245" s="2847" t="s">
        <v>23</v>
      </c>
      <c r="F2245" s="2847" t="s">
        <v>24</v>
      </c>
      <c r="G2245" s="2847" t="s">
        <v>25</v>
      </c>
      <c r="H2245" s="2847" t="s">
        <v>26</v>
      </c>
      <c r="I2245" s="2847" t="s">
        <v>27</v>
      </c>
      <c r="J2245" s="3206" t="s">
        <v>28</v>
      </c>
      <c r="K2245" s="3301"/>
      <c r="L2245" s="2988" t="s">
        <v>279</v>
      </c>
      <c r="M2245" s="2847" t="s">
        <v>280</v>
      </c>
      <c r="N2245" s="1017"/>
      <c r="O2245" s="2847" t="s">
        <v>281</v>
      </c>
      <c r="P2245" s="2847"/>
      <c r="Q2245" s="2847"/>
      <c r="R2245" s="2847"/>
      <c r="S2245" s="2847"/>
      <c r="T2245" s="2847"/>
      <c r="U2245" s="2847"/>
      <c r="V2245" s="2847"/>
      <c r="W2245" s="2847"/>
      <c r="X2245" s="2847"/>
      <c r="Y2245" s="2847"/>
      <c r="Z2245" s="2847"/>
      <c r="AA2245" s="3358" t="s">
        <v>32</v>
      </c>
      <c r="AB2245" s="1210"/>
      <c r="AC2245" s="1199"/>
      <c r="AD2245" s="1211"/>
    </row>
    <row r="2246" spans="1:30" x14ac:dyDescent="0.2">
      <c r="A2246" s="1422"/>
      <c r="B2246" s="2999"/>
      <c r="C2246" s="3359"/>
      <c r="D2246" s="2847"/>
      <c r="E2246" s="2847"/>
      <c r="F2246" s="2847"/>
      <c r="G2246" s="2847"/>
      <c r="H2246" s="2847"/>
      <c r="I2246" s="2847"/>
      <c r="J2246" s="1007" t="s">
        <v>33</v>
      </c>
      <c r="K2246" s="2988" t="s">
        <v>282</v>
      </c>
      <c r="L2246" s="3186"/>
      <c r="M2246" s="2847"/>
      <c r="N2246" s="1017"/>
      <c r="O2246" s="1009" t="s">
        <v>283</v>
      </c>
      <c r="P2246" s="1009" t="s">
        <v>284</v>
      </c>
      <c r="Q2246" s="1009" t="s">
        <v>285</v>
      </c>
      <c r="R2246" s="1009" t="s">
        <v>88</v>
      </c>
      <c r="S2246" s="1009" t="s">
        <v>89</v>
      </c>
      <c r="T2246" s="1009" t="s">
        <v>90</v>
      </c>
      <c r="U2246" s="1009" t="s">
        <v>91</v>
      </c>
      <c r="V2246" s="1009" t="s">
        <v>92</v>
      </c>
      <c r="W2246" s="1009" t="s">
        <v>286</v>
      </c>
      <c r="X2246" s="1009" t="s">
        <v>93</v>
      </c>
      <c r="Y2246" s="1009" t="s">
        <v>94</v>
      </c>
      <c r="Z2246" s="1009" t="s">
        <v>95</v>
      </c>
      <c r="AA2246" s="3358"/>
      <c r="AB2246" s="1210"/>
      <c r="AC2246" s="1199"/>
      <c r="AD2246" s="1211"/>
    </row>
    <row r="2247" spans="1:30" ht="12.75" x14ac:dyDescent="0.2">
      <c r="A2247" s="1422"/>
      <c r="B2247" s="2999"/>
      <c r="C2247" s="3359"/>
      <c r="D2247" s="2847"/>
      <c r="E2247" s="2847"/>
      <c r="F2247" s="2847"/>
      <c r="G2247" s="2847"/>
      <c r="H2247" s="2847"/>
      <c r="I2247" s="2847"/>
      <c r="J2247" s="106"/>
      <c r="K2247" s="3186"/>
      <c r="L2247" s="3186"/>
      <c r="M2247" s="1009" t="s">
        <v>287</v>
      </c>
      <c r="N2247" s="1009"/>
      <c r="O2247" s="40">
        <v>23363.083333333332</v>
      </c>
      <c r="P2247" s="40">
        <v>23363</v>
      </c>
      <c r="Q2247" s="40">
        <v>23363</v>
      </c>
      <c r="R2247" s="40">
        <v>23363</v>
      </c>
      <c r="S2247" s="40">
        <v>23363</v>
      </c>
      <c r="T2247" s="40">
        <v>23363</v>
      </c>
      <c r="U2247" s="40">
        <v>23364</v>
      </c>
      <c r="V2247" s="40">
        <v>23363</v>
      </c>
      <c r="W2247" s="40">
        <v>23363</v>
      </c>
      <c r="X2247" s="40">
        <v>23363</v>
      </c>
      <c r="Y2247" s="40">
        <v>23363</v>
      </c>
      <c r="Z2247" s="40">
        <v>23363</v>
      </c>
      <c r="AA2247" s="1205">
        <f t="shared" ref="AA2247:AA2266" si="360">SUM(O2247:Z2247)</f>
        <v>280357.08333333331</v>
      </c>
      <c r="AB2247" s="1210"/>
      <c r="AC2247" s="1199"/>
      <c r="AD2247" s="1211"/>
    </row>
    <row r="2248" spans="1:30" ht="12.75" x14ac:dyDescent="0.2">
      <c r="A2248" s="1422"/>
      <c r="B2248" s="2999"/>
      <c r="C2248" s="3016"/>
      <c r="D2248" s="2847"/>
      <c r="E2248" s="2847"/>
      <c r="F2248" s="2847"/>
      <c r="G2248" s="2847"/>
      <c r="H2248" s="2847"/>
      <c r="I2248" s="2847"/>
      <c r="J2248" s="1008"/>
      <c r="K2248" s="2989"/>
      <c r="L2248" s="2989"/>
      <c r="M2248" s="1009" t="s">
        <v>34</v>
      </c>
      <c r="N2248" s="1009"/>
      <c r="O2248" s="40">
        <f>SUM(O2249:O2266)</f>
        <v>150040.16666666669</v>
      </c>
      <c r="P2248" s="40">
        <f t="shared" ref="P2248:Z2248" si="361">SUM(P2249:P2266)</f>
        <v>135012.89393939398</v>
      </c>
      <c r="Q2248" s="40">
        <f t="shared" si="361"/>
        <v>136032.89393939398</v>
      </c>
      <c r="R2248" s="40">
        <f t="shared" si="361"/>
        <v>144562.89393939398</v>
      </c>
      <c r="S2248" s="40">
        <f t="shared" si="361"/>
        <v>135132.89393939398</v>
      </c>
      <c r="T2248" s="40">
        <f t="shared" si="361"/>
        <v>135132.89393939398</v>
      </c>
      <c r="U2248" s="40">
        <f t="shared" si="361"/>
        <v>145959.89393939398</v>
      </c>
      <c r="V2248" s="40">
        <f t="shared" si="361"/>
        <v>142362.89393939398</v>
      </c>
      <c r="W2248" s="40">
        <f t="shared" si="361"/>
        <v>135132.89393939398</v>
      </c>
      <c r="X2248" s="40">
        <f t="shared" si="361"/>
        <v>134332.89393939398</v>
      </c>
      <c r="Y2248" s="40">
        <f t="shared" si="361"/>
        <v>135132.89393939398</v>
      </c>
      <c r="Z2248" s="40">
        <f t="shared" si="361"/>
        <v>145159.89393939398</v>
      </c>
      <c r="AA2248" s="1205">
        <f t="shared" si="360"/>
        <v>1673996.0000000009</v>
      </c>
      <c r="AB2248" s="1210"/>
      <c r="AC2248" s="1199"/>
      <c r="AD2248" s="1211"/>
    </row>
    <row r="2249" spans="1:30" x14ac:dyDescent="0.2">
      <c r="A2249" s="1422"/>
      <c r="B2249" s="2522">
        <v>5000104</v>
      </c>
      <c r="C2249" s="2438" t="s">
        <v>727</v>
      </c>
      <c r="D2249" s="2420">
        <v>75</v>
      </c>
      <c r="E2249" s="2420" t="s">
        <v>288</v>
      </c>
      <c r="F2249" s="2420" t="s">
        <v>386</v>
      </c>
      <c r="G2249" s="2420" t="s">
        <v>387</v>
      </c>
      <c r="H2249" s="2420"/>
      <c r="I2249" s="2514" t="s">
        <v>573</v>
      </c>
      <c r="J2249" s="3297">
        <v>280357</v>
      </c>
      <c r="K2249" s="40">
        <v>598264</v>
      </c>
      <c r="L2249" s="2431" t="s">
        <v>687</v>
      </c>
      <c r="M2249" s="111" t="s">
        <v>293</v>
      </c>
      <c r="N2249" s="111"/>
      <c r="O2249" s="40">
        <v>49855.333333333336</v>
      </c>
      <c r="P2249" s="40">
        <v>49855.333333333336</v>
      </c>
      <c r="Q2249" s="40">
        <v>49855.333333333336</v>
      </c>
      <c r="R2249" s="40">
        <v>49855.333333333336</v>
      </c>
      <c r="S2249" s="40">
        <v>49855.333333333336</v>
      </c>
      <c r="T2249" s="40">
        <v>49855.333333333336</v>
      </c>
      <c r="U2249" s="40">
        <v>49855.333333333336</v>
      </c>
      <c r="V2249" s="40">
        <v>49855.333333333336</v>
      </c>
      <c r="W2249" s="40">
        <v>49855.333333333336</v>
      </c>
      <c r="X2249" s="40">
        <v>49855.333333333336</v>
      </c>
      <c r="Y2249" s="40">
        <v>49855.333333333336</v>
      </c>
      <c r="Z2249" s="40">
        <v>49855.333333333336</v>
      </c>
      <c r="AA2249" s="966">
        <f t="shared" si="360"/>
        <v>598264</v>
      </c>
      <c r="AB2249" s="1210"/>
      <c r="AC2249" s="1199"/>
      <c r="AD2249" s="1211"/>
    </row>
    <row r="2250" spans="1:30" x14ac:dyDescent="0.2">
      <c r="A2250" s="1422"/>
      <c r="B2250" s="2522"/>
      <c r="C2250" s="2456"/>
      <c r="D2250" s="2420"/>
      <c r="E2250" s="2420"/>
      <c r="F2250" s="2420"/>
      <c r="G2250" s="2420"/>
      <c r="H2250" s="2420"/>
      <c r="I2250" s="2515"/>
      <c r="J2250" s="3298"/>
      <c r="K2250" s="40">
        <v>465564</v>
      </c>
      <c r="L2250" s="2432"/>
      <c r="M2250" s="111" t="s">
        <v>295</v>
      </c>
      <c r="N2250" s="111"/>
      <c r="O2250" s="40">
        <v>38797</v>
      </c>
      <c r="P2250" s="40">
        <v>38797</v>
      </c>
      <c r="Q2250" s="40">
        <v>38797</v>
      </c>
      <c r="R2250" s="40">
        <v>38797</v>
      </c>
      <c r="S2250" s="40">
        <v>38797</v>
      </c>
      <c r="T2250" s="40">
        <v>38797</v>
      </c>
      <c r="U2250" s="40">
        <v>38797</v>
      </c>
      <c r="V2250" s="40">
        <v>38797</v>
      </c>
      <c r="W2250" s="40">
        <v>38797</v>
      </c>
      <c r="X2250" s="40">
        <v>38797</v>
      </c>
      <c r="Y2250" s="40">
        <v>38797</v>
      </c>
      <c r="Z2250" s="40">
        <v>38797</v>
      </c>
      <c r="AA2250" s="966">
        <f t="shared" si="360"/>
        <v>465564</v>
      </c>
      <c r="AB2250" s="1210"/>
      <c r="AC2250" s="1199"/>
      <c r="AD2250" s="1211"/>
    </row>
    <row r="2251" spans="1:30" x14ac:dyDescent="0.2">
      <c r="A2251" s="1422"/>
      <c r="B2251" s="2522"/>
      <c r="C2251" s="2456"/>
      <c r="D2251" s="2420"/>
      <c r="E2251" s="2420"/>
      <c r="F2251" s="2420"/>
      <c r="G2251" s="2420"/>
      <c r="H2251" s="2420"/>
      <c r="I2251" s="2515"/>
      <c r="J2251" s="3298"/>
      <c r="K2251" s="40">
        <v>189386</v>
      </c>
      <c r="L2251" s="2432"/>
      <c r="M2251" s="111" t="s">
        <v>296</v>
      </c>
      <c r="N2251" s="111"/>
      <c r="O2251" s="40">
        <v>15782.166666666666</v>
      </c>
      <c r="P2251" s="40">
        <v>15782.166666666666</v>
      </c>
      <c r="Q2251" s="40">
        <v>15782.166666666666</v>
      </c>
      <c r="R2251" s="40">
        <v>15782.166666666666</v>
      </c>
      <c r="S2251" s="40">
        <v>15782.166666666666</v>
      </c>
      <c r="T2251" s="40">
        <v>15782.166666666666</v>
      </c>
      <c r="U2251" s="40">
        <v>15782.166666666666</v>
      </c>
      <c r="V2251" s="40">
        <v>15782.166666666666</v>
      </c>
      <c r="W2251" s="40">
        <v>15782.166666666666</v>
      </c>
      <c r="X2251" s="40">
        <v>15782.166666666666</v>
      </c>
      <c r="Y2251" s="40">
        <v>15782.166666666666</v>
      </c>
      <c r="Z2251" s="40">
        <v>15782.166666666666</v>
      </c>
      <c r="AA2251" s="966">
        <f t="shared" si="360"/>
        <v>189385.99999999997</v>
      </c>
      <c r="AB2251" s="1210"/>
      <c r="AC2251" s="1199"/>
      <c r="AD2251" s="1211"/>
    </row>
    <row r="2252" spans="1:30" x14ac:dyDescent="0.2">
      <c r="A2252" s="1422"/>
      <c r="B2252" s="2522"/>
      <c r="C2252" s="2456"/>
      <c r="D2252" s="2420"/>
      <c r="E2252" s="2420"/>
      <c r="F2252" s="2420"/>
      <c r="G2252" s="2420"/>
      <c r="H2252" s="2420"/>
      <c r="I2252" s="2515"/>
      <c r="J2252" s="3298"/>
      <c r="K2252" s="40">
        <v>47273</v>
      </c>
      <c r="L2252" s="2432"/>
      <c r="M2252" s="111" t="s">
        <v>297</v>
      </c>
      <c r="N2252" s="111"/>
      <c r="O2252" s="40">
        <v>3939.4166666666665</v>
      </c>
      <c r="P2252" s="40">
        <v>3939.4166666666665</v>
      </c>
      <c r="Q2252" s="40">
        <v>3939.4166666666665</v>
      </c>
      <c r="R2252" s="40">
        <v>3939.4166666666665</v>
      </c>
      <c r="S2252" s="40">
        <v>3939.4166666666665</v>
      </c>
      <c r="T2252" s="40">
        <v>3939.4166666666665</v>
      </c>
      <c r="U2252" s="40">
        <v>3939.4166666666665</v>
      </c>
      <c r="V2252" s="40">
        <v>3939.4166666666665</v>
      </c>
      <c r="W2252" s="40">
        <v>3939.4166666666665</v>
      </c>
      <c r="X2252" s="40">
        <v>3939.4166666666665</v>
      </c>
      <c r="Y2252" s="40">
        <v>3939.4166666666665</v>
      </c>
      <c r="Z2252" s="40">
        <v>3939.4166666666665</v>
      </c>
      <c r="AA2252" s="966">
        <f t="shared" si="360"/>
        <v>47272.999999999993</v>
      </c>
      <c r="AB2252" s="1210"/>
      <c r="AC2252" s="1199"/>
      <c r="AD2252" s="1211"/>
    </row>
    <row r="2253" spans="1:30" x14ac:dyDescent="0.2">
      <c r="A2253" s="1422"/>
      <c r="B2253" s="2522"/>
      <c r="C2253" s="2456"/>
      <c r="D2253" s="2420"/>
      <c r="E2253" s="2420"/>
      <c r="F2253" s="2420"/>
      <c r="G2253" s="2420"/>
      <c r="H2253" s="2420"/>
      <c r="I2253" s="2515"/>
      <c r="J2253" s="3298"/>
      <c r="K2253" s="40">
        <v>21654</v>
      </c>
      <c r="L2253" s="2432"/>
      <c r="M2253" s="111" t="s">
        <v>298</v>
      </c>
      <c r="N2253" s="111"/>
      <c r="O2253" s="40"/>
      <c r="P2253" s="40"/>
      <c r="Q2253" s="40"/>
      <c r="R2253" s="40"/>
      <c r="S2253" s="40"/>
      <c r="T2253" s="40"/>
      <c r="U2253" s="40">
        <v>10827</v>
      </c>
      <c r="V2253" s="40"/>
      <c r="W2253" s="40"/>
      <c r="X2253" s="40"/>
      <c r="Y2253" s="40"/>
      <c r="Z2253" s="40">
        <v>10827</v>
      </c>
      <c r="AA2253" s="966">
        <f t="shared" si="360"/>
        <v>21654</v>
      </c>
      <c r="AB2253" s="1210"/>
      <c r="AC2253" s="1199"/>
      <c r="AD2253" s="1211"/>
    </row>
    <row r="2254" spans="1:30" x14ac:dyDescent="0.2">
      <c r="A2254" s="1422"/>
      <c r="B2254" s="2522"/>
      <c r="C2254" s="2456"/>
      <c r="D2254" s="2420"/>
      <c r="E2254" s="2420"/>
      <c r="F2254" s="2420"/>
      <c r="G2254" s="2420"/>
      <c r="H2254" s="2420"/>
      <c r="I2254" s="2515"/>
      <c r="J2254" s="3298"/>
      <c r="K2254" s="40">
        <v>16900</v>
      </c>
      <c r="L2254" s="2432"/>
      <c r="M2254" s="111" t="s">
        <v>299</v>
      </c>
      <c r="N2254" s="111"/>
      <c r="O2254" s="40">
        <v>16900</v>
      </c>
      <c r="P2254" s="40"/>
      <c r="Q2254" s="40"/>
      <c r="R2254" s="40"/>
      <c r="S2254" s="40"/>
      <c r="T2254" s="40"/>
      <c r="U2254" s="40"/>
      <c r="V2254" s="40"/>
      <c r="W2254" s="40"/>
      <c r="X2254" s="40"/>
      <c r="Y2254" s="40"/>
      <c r="Z2254" s="40"/>
      <c r="AA2254" s="966">
        <f t="shared" si="360"/>
        <v>16900</v>
      </c>
      <c r="AB2254" s="1210"/>
      <c r="AC2254" s="1199"/>
      <c r="AD2254" s="1211"/>
    </row>
    <row r="2255" spans="1:30" x14ac:dyDescent="0.2">
      <c r="A2255" s="1422"/>
      <c r="B2255" s="2522"/>
      <c r="C2255" s="2456"/>
      <c r="D2255" s="2420"/>
      <c r="E2255" s="2420"/>
      <c r="F2255" s="2420"/>
      <c r="G2255" s="2420"/>
      <c r="H2255" s="2420"/>
      <c r="I2255" s="2515"/>
      <c r="J2255" s="3298"/>
      <c r="K2255" s="40">
        <v>58765</v>
      </c>
      <c r="L2255" s="2432"/>
      <c r="M2255" s="111" t="s">
        <v>300</v>
      </c>
      <c r="N2255" s="111"/>
      <c r="O2255" s="40">
        <v>4897.083333333333</v>
      </c>
      <c r="P2255" s="40">
        <v>4897.083333333333</v>
      </c>
      <c r="Q2255" s="40">
        <v>4897.083333333333</v>
      </c>
      <c r="R2255" s="40">
        <v>4897.083333333333</v>
      </c>
      <c r="S2255" s="40">
        <v>4897.083333333333</v>
      </c>
      <c r="T2255" s="40">
        <v>4897.083333333333</v>
      </c>
      <c r="U2255" s="40">
        <v>4897.083333333333</v>
      </c>
      <c r="V2255" s="40">
        <v>4897.083333333333</v>
      </c>
      <c r="W2255" s="40">
        <v>4897.083333333333</v>
      </c>
      <c r="X2255" s="40">
        <v>4897.083333333333</v>
      </c>
      <c r="Y2255" s="40">
        <v>4897.083333333333</v>
      </c>
      <c r="Z2255" s="40">
        <v>4897.083333333333</v>
      </c>
      <c r="AA2255" s="966">
        <f t="shared" si="360"/>
        <v>58765.000000000007</v>
      </c>
      <c r="AB2255" s="1210"/>
      <c r="AC2255" s="1199"/>
      <c r="AD2255" s="1211"/>
    </row>
    <row r="2256" spans="1:30" x14ac:dyDescent="0.2">
      <c r="A2256" s="1422"/>
      <c r="B2256" s="2522"/>
      <c r="C2256" s="2456"/>
      <c r="D2256" s="2420"/>
      <c r="E2256" s="2420"/>
      <c r="F2256" s="2420"/>
      <c r="G2256" s="2420"/>
      <c r="H2256" s="2420"/>
      <c r="I2256" s="2515"/>
      <c r="J2256" s="3298"/>
      <c r="K2256" s="40">
        <v>3033</v>
      </c>
      <c r="L2256" s="2432"/>
      <c r="M2256" s="111" t="s">
        <v>301</v>
      </c>
      <c r="N2256" s="111"/>
      <c r="O2256" s="40">
        <v>252.75</v>
      </c>
      <c r="P2256" s="40">
        <v>252.75</v>
      </c>
      <c r="Q2256" s="40">
        <v>252.75</v>
      </c>
      <c r="R2256" s="40">
        <v>252.75</v>
      </c>
      <c r="S2256" s="40">
        <v>252.75</v>
      </c>
      <c r="T2256" s="40">
        <v>252.75</v>
      </c>
      <c r="U2256" s="40">
        <v>252.75</v>
      </c>
      <c r="V2256" s="40">
        <v>252.75</v>
      </c>
      <c r="W2256" s="40">
        <v>252.75</v>
      </c>
      <c r="X2256" s="40">
        <v>252.75</v>
      </c>
      <c r="Y2256" s="40">
        <v>252.75</v>
      </c>
      <c r="Z2256" s="40">
        <v>252.75</v>
      </c>
      <c r="AA2256" s="966">
        <f t="shared" si="360"/>
        <v>3033</v>
      </c>
      <c r="AB2256" s="1210"/>
      <c r="AC2256" s="1199"/>
      <c r="AD2256" s="1211"/>
    </row>
    <row r="2257" spans="1:30" x14ac:dyDescent="0.2">
      <c r="A2257" s="1422"/>
      <c r="B2257" s="2522"/>
      <c r="C2257" s="2456"/>
      <c r="D2257" s="2420"/>
      <c r="E2257" s="2420"/>
      <c r="F2257" s="2420"/>
      <c r="G2257" s="2420"/>
      <c r="H2257" s="2420"/>
      <c r="I2257" s="2515"/>
      <c r="J2257" s="3298"/>
      <c r="K2257" s="40">
        <v>900</v>
      </c>
      <c r="L2257" s="2432"/>
      <c r="M2257" s="111" t="s">
        <v>303</v>
      </c>
      <c r="N2257" s="111"/>
      <c r="O2257" s="40"/>
      <c r="P2257" s="40"/>
      <c r="Q2257" s="40">
        <v>900</v>
      </c>
      <c r="R2257" s="40"/>
      <c r="S2257" s="40"/>
      <c r="T2257" s="40"/>
      <c r="U2257" s="40"/>
      <c r="V2257" s="40"/>
      <c r="W2257" s="40"/>
      <c r="X2257" s="40"/>
      <c r="Y2257" s="40"/>
      <c r="Z2257" s="40"/>
      <c r="AA2257" s="966">
        <f t="shared" si="360"/>
        <v>900</v>
      </c>
      <c r="AB2257" s="1210"/>
      <c r="AC2257" s="1199"/>
      <c r="AD2257" s="1211"/>
    </row>
    <row r="2258" spans="1:30" x14ac:dyDescent="0.2">
      <c r="A2258" s="1422"/>
      <c r="B2258" s="2522"/>
      <c r="C2258" s="2456"/>
      <c r="D2258" s="2420"/>
      <c r="E2258" s="2420"/>
      <c r="F2258" s="2420"/>
      <c r="G2258" s="2420"/>
      <c r="H2258" s="2420"/>
      <c r="I2258" s="2515"/>
      <c r="J2258" s="3298"/>
      <c r="K2258" s="40">
        <v>1600</v>
      </c>
      <c r="L2258" s="2432"/>
      <c r="M2258" s="111" t="s">
        <v>324</v>
      </c>
      <c r="N2258" s="111"/>
      <c r="O2258" s="40"/>
      <c r="P2258" s="40">
        <v>800</v>
      </c>
      <c r="Q2258" s="40"/>
      <c r="R2258" s="40"/>
      <c r="S2258" s="40"/>
      <c r="T2258" s="40">
        <v>800</v>
      </c>
      <c r="U2258" s="40"/>
      <c r="V2258" s="40"/>
      <c r="W2258" s="40"/>
      <c r="X2258" s="40"/>
      <c r="Y2258" s="40"/>
      <c r="Z2258" s="40"/>
      <c r="AA2258" s="966">
        <f t="shared" si="360"/>
        <v>1600</v>
      </c>
      <c r="AB2258" s="1210"/>
      <c r="AC2258" s="1199"/>
      <c r="AD2258" s="1211"/>
    </row>
    <row r="2259" spans="1:30" x14ac:dyDescent="0.2">
      <c r="A2259" s="1422"/>
      <c r="B2259" s="2522"/>
      <c r="C2259" s="2456"/>
      <c r="D2259" s="2420"/>
      <c r="E2259" s="2420"/>
      <c r="F2259" s="2420"/>
      <c r="G2259" s="2420"/>
      <c r="H2259" s="2420"/>
      <c r="I2259" s="2515"/>
      <c r="J2259" s="3298"/>
      <c r="K2259" s="40">
        <v>1200</v>
      </c>
      <c r="L2259" s="2432"/>
      <c r="M2259" s="111" t="s">
        <v>393</v>
      </c>
      <c r="N2259" s="111"/>
      <c r="O2259" s="40"/>
      <c r="P2259" s="40"/>
      <c r="Q2259" s="40"/>
      <c r="R2259" s="40">
        <v>1200</v>
      </c>
      <c r="S2259" s="40"/>
      <c r="T2259" s="40"/>
      <c r="U2259" s="40"/>
      <c r="V2259" s="40"/>
      <c r="W2259" s="40"/>
      <c r="X2259" s="40"/>
      <c r="Y2259" s="40"/>
      <c r="Z2259" s="40"/>
      <c r="AA2259" s="966">
        <f t="shared" si="360"/>
        <v>1200</v>
      </c>
      <c r="AB2259" s="1210"/>
      <c r="AC2259" s="1199"/>
      <c r="AD2259" s="1211"/>
    </row>
    <row r="2260" spans="1:30" x14ac:dyDescent="0.2">
      <c r="A2260" s="1422"/>
      <c r="B2260" s="2522"/>
      <c r="C2260" s="2456"/>
      <c r="D2260" s="2420"/>
      <c r="E2260" s="2420"/>
      <c r="F2260" s="2420"/>
      <c r="G2260" s="2420"/>
      <c r="H2260" s="2420"/>
      <c r="I2260" s="2515"/>
      <c r="J2260" s="3298"/>
      <c r="K2260" s="40">
        <v>16060</v>
      </c>
      <c r="L2260" s="2432"/>
      <c r="M2260" s="111" t="s">
        <v>343</v>
      </c>
      <c r="N2260" s="111"/>
      <c r="O2260" s="40"/>
      <c r="P2260" s="40"/>
      <c r="Q2260" s="40"/>
      <c r="R2260" s="40">
        <v>8030</v>
      </c>
      <c r="S2260" s="40"/>
      <c r="T2260" s="40"/>
      <c r="U2260" s="40"/>
      <c r="V2260" s="40">
        <v>8030</v>
      </c>
      <c r="W2260" s="40"/>
      <c r="X2260" s="40"/>
      <c r="Y2260" s="40"/>
      <c r="Z2260" s="40"/>
      <c r="AA2260" s="966">
        <f t="shared" si="360"/>
        <v>16060</v>
      </c>
      <c r="AB2260" s="1210"/>
      <c r="AC2260" s="1199"/>
      <c r="AD2260" s="1211"/>
    </row>
    <row r="2261" spans="1:30" x14ac:dyDescent="0.2">
      <c r="A2261" s="1422"/>
      <c r="B2261" s="2522"/>
      <c r="C2261" s="2456"/>
      <c r="D2261" s="2420"/>
      <c r="E2261" s="2420"/>
      <c r="F2261" s="2420"/>
      <c r="G2261" s="2420"/>
      <c r="H2261" s="2420"/>
      <c r="I2261" s="2515"/>
      <c r="J2261" s="3298"/>
      <c r="K2261" s="40">
        <v>11800</v>
      </c>
      <c r="L2261" s="2432"/>
      <c r="M2261" s="111" t="s">
        <v>306</v>
      </c>
      <c r="N2261" s="111"/>
      <c r="O2261" s="40"/>
      <c r="P2261" s="40">
        <v>1072.7272727272727</v>
      </c>
      <c r="Q2261" s="40">
        <v>1072.7272727272727</v>
      </c>
      <c r="R2261" s="40">
        <v>1072.7272727272727</v>
      </c>
      <c r="S2261" s="40">
        <v>1072.7272727272727</v>
      </c>
      <c r="T2261" s="40">
        <v>1072.7272727272727</v>
      </c>
      <c r="U2261" s="40">
        <v>1072.7272727272727</v>
      </c>
      <c r="V2261" s="40">
        <v>1072.7272727272727</v>
      </c>
      <c r="W2261" s="40">
        <v>1072.7272727272727</v>
      </c>
      <c r="X2261" s="40">
        <v>1072.7272727272727</v>
      </c>
      <c r="Y2261" s="40">
        <v>1072.7272727272727</v>
      </c>
      <c r="Z2261" s="40">
        <v>1072.7272727272727</v>
      </c>
      <c r="AA2261" s="966">
        <f t="shared" si="360"/>
        <v>11799.999999999998</v>
      </c>
      <c r="AB2261" s="1210"/>
      <c r="AC2261" s="1199"/>
      <c r="AD2261" s="1211"/>
    </row>
    <row r="2262" spans="1:30" x14ac:dyDescent="0.2">
      <c r="A2262" s="1422"/>
      <c r="B2262" s="2522"/>
      <c r="C2262" s="2456"/>
      <c r="D2262" s="2420"/>
      <c r="E2262" s="2420"/>
      <c r="F2262" s="2420"/>
      <c r="G2262" s="2420"/>
      <c r="H2262" s="2420"/>
      <c r="I2262" s="2515"/>
      <c r="J2262" s="3298"/>
      <c r="K2262" s="40">
        <v>1200</v>
      </c>
      <c r="L2262" s="2432"/>
      <c r="M2262" s="111" t="s">
        <v>307</v>
      </c>
      <c r="N2262" s="111"/>
      <c r="O2262" s="40"/>
      <c r="P2262" s="40"/>
      <c r="Q2262" s="40">
        <v>120</v>
      </c>
      <c r="R2262" s="40">
        <v>120</v>
      </c>
      <c r="S2262" s="40">
        <v>120</v>
      </c>
      <c r="T2262" s="40">
        <v>120</v>
      </c>
      <c r="U2262" s="40">
        <v>120</v>
      </c>
      <c r="V2262" s="40">
        <v>120</v>
      </c>
      <c r="W2262" s="40">
        <v>120</v>
      </c>
      <c r="X2262" s="40">
        <v>120</v>
      </c>
      <c r="Y2262" s="40">
        <v>120</v>
      </c>
      <c r="Z2262" s="40">
        <v>120</v>
      </c>
      <c r="AA2262" s="966">
        <f t="shared" si="360"/>
        <v>1200</v>
      </c>
      <c r="AB2262" s="1210"/>
      <c r="AC2262" s="1199"/>
      <c r="AD2262" s="1211"/>
    </row>
    <row r="2263" spans="1:30" x14ac:dyDescent="0.2">
      <c r="A2263" s="1422"/>
      <c r="B2263" s="2522"/>
      <c r="C2263" s="2456"/>
      <c r="D2263" s="2420"/>
      <c r="E2263" s="2420"/>
      <c r="F2263" s="2420"/>
      <c r="G2263" s="2420"/>
      <c r="H2263" s="2420"/>
      <c r="I2263" s="2515"/>
      <c r="J2263" s="3298"/>
      <c r="K2263" s="40">
        <v>1000</v>
      </c>
      <c r="L2263" s="2432"/>
      <c r="M2263" s="111" t="s">
        <v>395</v>
      </c>
      <c r="N2263" s="111"/>
      <c r="O2263" s="40"/>
      <c r="P2263" s="40"/>
      <c r="Q2263" s="40"/>
      <c r="R2263" s="40">
        <v>1000</v>
      </c>
      <c r="S2263" s="40"/>
      <c r="T2263" s="40"/>
      <c r="U2263" s="40"/>
      <c r="V2263" s="40"/>
      <c r="W2263" s="40"/>
      <c r="X2263" s="40"/>
      <c r="Y2263" s="40"/>
      <c r="Z2263" s="40"/>
      <c r="AA2263" s="966">
        <f t="shared" si="360"/>
        <v>1000</v>
      </c>
      <c r="AB2263" s="1210"/>
      <c r="AC2263" s="1199"/>
      <c r="AD2263" s="1211"/>
    </row>
    <row r="2264" spans="1:30" x14ac:dyDescent="0.2">
      <c r="A2264" s="1422"/>
      <c r="B2264" s="2522"/>
      <c r="C2264" s="2456"/>
      <c r="D2264" s="2420"/>
      <c r="E2264" s="2420"/>
      <c r="F2264" s="2420"/>
      <c r="G2264" s="2420"/>
      <c r="H2264" s="2420"/>
      <c r="I2264" s="2515"/>
      <c r="J2264" s="3298"/>
      <c r="K2264" s="40">
        <v>4000</v>
      </c>
      <c r="L2264" s="2432"/>
      <c r="M2264" s="111" t="s">
        <v>309</v>
      </c>
      <c r="N2264" s="111"/>
      <c r="O2264" s="40"/>
      <c r="P2264" s="40"/>
      <c r="Q2264" s="40">
        <v>800</v>
      </c>
      <c r="R2264" s="40"/>
      <c r="S2264" s="40">
        <v>800</v>
      </c>
      <c r="T2264" s="40"/>
      <c r="U2264" s="40">
        <v>800</v>
      </c>
      <c r="V2264" s="40"/>
      <c r="W2264" s="40">
        <v>800</v>
      </c>
      <c r="X2264" s="40"/>
      <c r="Y2264" s="40">
        <v>800</v>
      </c>
      <c r="Z2264" s="40"/>
      <c r="AA2264" s="966">
        <f t="shared" si="360"/>
        <v>4000</v>
      </c>
      <c r="AB2264" s="1210"/>
      <c r="AC2264" s="1199"/>
      <c r="AD2264" s="1211"/>
    </row>
    <row r="2265" spans="1:30" x14ac:dyDescent="0.2">
      <c r="A2265" s="1422"/>
      <c r="B2265" s="2522"/>
      <c r="C2265" s="2456"/>
      <c r="D2265" s="2420"/>
      <c r="E2265" s="2420"/>
      <c r="F2265" s="2420"/>
      <c r="G2265" s="2420"/>
      <c r="H2265" s="2420"/>
      <c r="I2265" s="2515"/>
      <c r="J2265" s="3298"/>
      <c r="K2265" s="40">
        <v>221140</v>
      </c>
      <c r="L2265" s="2432"/>
      <c r="M2265" s="111" t="s">
        <v>310</v>
      </c>
      <c r="N2265" s="111"/>
      <c r="O2265" s="40">
        <v>18428.333333333332</v>
      </c>
      <c r="P2265" s="40">
        <v>18428.333333333332</v>
      </c>
      <c r="Q2265" s="40">
        <v>18428.333333333332</v>
      </c>
      <c r="R2265" s="40">
        <v>18428.333333333332</v>
      </c>
      <c r="S2265" s="40">
        <v>18428.333333333332</v>
      </c>
      <c r="T2265" s="40">
        <v>18428.333333333332</v>
      </c>
      <c r="U2265" s="40">
        <v>18428.333333333332</v>
      </c>
      <c r="V2265" s="40">
        <v>18428.333333333332</v>
      </c>
      <c r="W2265" s="40">
        <v>18428.333333333332</v>
      </c>
      <c r="X2265" s="40">
        <v>18428.333333333332</v>
      </c>
      <c r="Y2265" s="40">
        <v>18428.333333333332</v>
      </c>
      <c r="Z2265" s="40">
        <v>18428.333333333332</v>
      </c>
      <c r="AA2265" s="966">
        <f t="shared" si="360"/>
        <v>221140.00000000003</v>
      </c>
      <c r="AB2265" s="1210"/>
      <c r="AC2265" s="1199"/>
      <c r="AD2265" s="1211"/>
    </row>
    <row r="2266" spans="1:30" x14ac:dyDescent="0.2">
      <c r="A2266" s="1422"/>
      <c r="B2266" s="2522"/>
      <c r="C2266" s="2450"/>
      <c r="D2266" s="2420"/>
      <c r="E2266" s="2420"/>
      <c r="F2266" s="2420"/>
      <c r="G2266" s="2420"/>
      <c r="H2266" s="2420"/>
      <c r="I2266" s="2516"/>
      <c r="J2266" s="3299"/>
      <c r="K2266" s="40">
        <v>14257</v>
      </c>
      <c r="L2266" s="2432"/>
      <c r="M2266" s="111" t="s">
        <v>311</v>
      </c>
      <c r="N2266" s="111"/>
      <c r="O2266" s="40">
        <v>1188.0833333333333</v>
      </c>
      <c r="P2266" s="40">
        <v>1188.0833333333333</v>
      </c>
      <c r="Q2266" s="40">
        <v>1188.0833333333333</v>
      </c>
      <c r="R2266" s="40">
        <v>1188.0833333333333</v>
      </c>
      <c r="S2266" s="40">
        <v>1188.0833333333333</v>
      </c>
      <c r="T2266" s="40">
        <v>1188.0833333333333</v>
      </c>
      <c r="U2266" s="40">
        <v>1188.0833333333333</v>
      </c>
      <c r="V2266" s="40">
        <v>1188.0833333333333</v>
      </c>
      <c r="W2266" s="40">
        <v>1188.0833333333333</v>
      </c>
      <c r="X2266" s="40">
        <v>1188.0833333333333</v>
      </c>
      <c r="Y2266" s="40">
        <v>1188.0833333333333</v>
      </c>
      <c r="Z2266" s="40">
        <v>1188.0833333333333</v>
      </c>
      <c r="AA2266" s="966">
        <f t="shared" si="360"/>
        <v>14257.000000000002</v>
      </c>
      <c r="AB2266" s="1210"/>
      <c r="AC2266" s="1199"/>
      <c r="AD2266" s="1211"/>
    </row>
    <row r="2267" spans="1:30" x14ac:dyDescent="0.2">
      <c r="A2267" s="1422"/>
      <c r="B2267" s="1427" t="s">
        <v>312</v>
      </c>
      <c r="C2267" s="1128"/>
      <c r="D2267" s="38"/>
      <c r="E2267" s="38"/>
      <c r="F2267" s="38"/>
      <c r="G2267" s="38"/>
      <c r="H2267" s="38"/>
      <c r="I2267" s="38"/>
      <c r="J2267" s="38"/>
      <c r="K2267" s="40">
        <f>SUM(K2249:K2266)</f>
        <v>1673996</v>
      </c>
      <c r="L2267" s="2437"/>
      <c r="M2267" s="112"/>
      <c r="N2267" s="112"/>
      <c r="O2267" s="40">
        <v>150040.16666666669</v>
      </c>
      <c r="P2267" s="40">
        <v>135012.89393939398</v>
      </c>
      <c r="Q2267" s="40">
        <v>136032.89393939398</v>
      </c>
      <c r="R2267" s="40">
        <v>144562.89393939398</v>
      </c>
      <c r="S2267" s="40">
        <v>135132.89393939398</v>
      </c>
      <c r="T2267" s="40">
        <v>135132.89393939398</v>
      </c>
      <c r="U2267" s="40">
        <v>145959.89393939398</v>
      </c>
      <c r="V2267" s="40">
        <v>142362.89393939398</v>
      </c>
      <c r="W2267" s="40">
        <v>135132.89393939398</v>
      </c>
      <c r="X2267" s="40">
        <v>134332.89393939398</v>
      </c>
      <c r="Y2267" s="40">
        <v>135132.89393939398</v>
      </c>
      <c r="Z2267" s="40">
        <v>145159.89393939398</v>
      </c>
      <c r="AA2267" s="1964"/>
      <c r="AB2267" s="1210"/>
      <c r="AC2267" s="1199"/>
      <c r="AD2267" s="1211"/>
    </row>
    <row r="2268" spans="1:30" x14ac:dyDescent="0.2">
      <c r="A2268" s="1422"/>
      <c r="B2268" s="1422"/>
      <c r="C2268" s="1124"/>
      <c r="D2268" s="35"/>
      <c r="E2268" s="35"/>
      <c r="F2268" s="35"/>
      <c r="G2268" s="35"/>
      <c r="H2268" s="35"/>
      <c r="I2268" s="35"/>
      <c r="J2268" s="35"/>
      <c r="K2268" s="113"/>
      <c r="L2268" s="113"/>
      <c r="M2268" s="114"/>
      <c r="N2268" s="114"/>
      <c r="O2268" s="35"/>
      <c r="P2268" s="35"/>
      <c r="Q2268" s="35"/>
      <c r="R2268" s="35"/>
      <c r="S2268" s="35"/>
      <c r="T2268" s="35"/>
      <c r="U2268" s="35"/>
      <c r="V2268" s="35"/>
      <c r="W2268" s="35"/>
      <c r="X2268" s="35"/>
      <c r="Y2268" s="35"/>
      <c r="Z2268" s="35"/>
      <c r="AA2268" s="1199"/>
      <c r="AB2268" s="1210"/>
      <c r="AC2268" s="1199"/>
      <c r="AD2268" s="1211"/>
    </row>
    <row r="2269" spans="1:30" x14ac:dyDescent="0.2">
      <c r="A2269" s="1422"/>
      <c r="B2269" s="1422"/>
      <c r="C2269" s="1124"/>
      <c r="D2269" s="35"/>
      <c r="E2269" s="35"/>
      <c r="F2269" s="35"/>
      <c r="G2269" s="35"/>
      <c r="H2269" s="35"/>
      <c r="I2269" s="35"/>
      <c r="J2269" s="35"/>
      <c r="K2269" s="113"/>
      <c r="L2269" s="113"/>
      <c r="M2269" s="114"/>
      <c r="N2269" s="114"/>
      <c r="O2269" s="35"/>
      <c r="P2269" s="35"/>
      <c r="Q2269" s="35"/>
      <c r="R2269" s="35"/>
      <c r="S2269" s="35"/>
      <c r="T2269" s="35"/>
      <c r="U2269" s="35"/>
      <c r="V2269" s="35"/>
      <c r="W2269" s="35"/>
      <c r="X2269" s="35"/>
      <c r="Y2269" s="35"/>
      <c r="Z2269" s="35"/>
      <c r="AA2269" s="1199"/>
      <c r="AB2269" s="1210"/>
      <c r="AC2269" s="1199"/>
      <c r="AD2269" s="1211"/>
    </row>
    <row r="2270" spans="1:30" ht="26.25" customHeight="1" x14ac:dyDescent="0.2">
      <c r="A2270" s="1422"/>
      <c r="B2270" s="1433" t="s">
        <v>276</v>
      </c>
      <c r="C2270" s="1119"/>
      <c r="D2270" s="35"/>
      <c r="E2270" s="35"/>
      <c r="F2270" s="35"/>
      <c r="G2270" s="35"/>
      <c r="H2270" s="35"/>
      <c r="I2270" s="35"/>
      <c r="J2270" s="35"/>
      <c r="K2270" s="35"/>
      <c r="L2270" s="35"/>
      <c r="M2270" s="35"/>
      <c r="N2270" s="35"/>
      <c r="O2270" s="35"/>
      <c r="P2270" s="35"/>
      <c r="Q2270" s="35"/>
      <c r="R2270" s="35"/>
      <c r="S2270" s="3333" t="s">
        <v>15</v>
      </c>
      <c r="T2270" s="3333"/>
      <c r="U2270" s="3333"/>
      <c r="V2270" s="3333"/>
      <c r="W2270" s="3333"/>
      <c r="X2270" s="3333"/>
      <c r="Y2270" s="3333"/>
      <c r="Z2270" s="3333"/>
      <c r="AA2270" s="1949" t="s">
        <v>16</v>
      </c>
      <c r="AB2270" s="1210"/>
      <c r="AC2270" s="1199"/>
      <c r="AD2270" s="1211"/>
    </row>
    <row r="2271" spans="1:30" x14ac:dyDescent="0.2">
      <c r="A2271" s="1422"/>
      <c r="B2271" s="1433"/>
      <c r="C2271" s="1119"/>
      <c r="D2271" s="192">
        <v>3000681</v>
      </c>
      <c r="E2271" s="192" t="s">
        <v>728</v>
      </c>
      <c r="F2271" s="35"/>
      <c r="G2271" s="35"/>
      <c r="H2271" s="35"/>
      <c r="I2271" s="35"/>
      <c r="J2271" s="35"/>
      <c r="K2271" s="35"/>
      <c r="L2271" s="35"/>
      <c r="M2271" s="35"/>
      <c r="N2271" s="35"/>
      <c r="O2271" s="35"/>
      <c r="P2271" s="35"/>
      <c r="Q2271" s="35"/>
      <c r="R2271" s="35"/>
      <c r="S2271" s="3333" t="s">
        <v>729</v>
      </c>
      <c r="T2271" s="3333"/>
      <c r="U2271" s="3333"/>
      <c r="V2271" s="3333"/>
      <c r="W2271" s="3333"/>
      <c r="X2271" s="3333"/>
      <c r="Y2271" s="3333"/>
      <c r="Z2271" s="3333"/>
      <c r="AA2271" s="1949" t="s">
        <v>579</v>
      </c>
      <c r="AB2271" s="1210"/>
      <c r="AC2271" s="1199"/>
      <c r="AD2271" s="1211"/>
    </row>
    <row r="2272" spans="1:30" x14ac:dyDescent="0.2">
      <c r="A2272" s="1422"/>
      <c r="B2272" s="2999" t="s">
        <v>278</v>
      </c>
      <c r="C2272" s="3015" t="s">
        <v>21</v>
      </c>
      <c r="D2272" s="2847" t="s">
        <v>22</v>
      </c>
      <c r="E2272" s="2847" t="s">
        <v>23</v>
      </c>
      <c r="F2272" s="2847" t="s">
        <v>24</v>
      </c>
      <c r="G2272" s="2847" t="s">
        <v>25</v>
      </c>
      <c r="H2272" s="2847" t="s">
        <v>26</v>
      </c>
      <c r="I2272" s="2847" t="s">
        <v>27</v>
      </c>
      <c r="J2272" s="3206" t="s">
        <v>28</v>
      </c>
      <c r="K2272" s="3301"/>
      <c r="L2272" s="2988" t="s">
        <v>279</v>
      </c>
      <c r="M2272" s="2847" t="s">
        <v>280</v>
      </c>
      <c r="N2272" s="1017"/>
      <c r="O2272" s="2847" t="s">
        <v>281</v>
      </c>
      <c r="P2272" s="2847"/>
      <c r="Q2272" s="2847"/>
      <c r="R2272" s="2847"/>
      <c r="S2272" s="2847"/>
      <c r="T2272" s="2847"/>
      <c r="U2272" s="2847"/>
      <c r="V2272" s="2847"/>
      <c r="W2272" s="2847"/>
      <c r="X2272" s="2847"/>
      <c r="Y2272" s="2847"/>
      <c r="Z2272" s="2847"/>
      <c r="AA2272" s="3358" t="s">
        <v>32</v>
      </c>
      <c r="AB2272" s="1210"/>
      <c r="AC2272" s="1199"/>
      <c r="AD2272" s="1211"/>
    </row>
    <row r="2273" spans="1:30" x14ac:dyDescent="0.2">
      <c r="A2273" s="1422"/>
      <c r="B2273" s="2999"/>
      <c r="C2273" s="3359"/>
      <c r="D2273" s="2847"/>
      <c r="E2273" s="2847"/>
      <c r="F2273" s="2847"/>
      <c r="G2273" s="2847"/>
      <c r="H2273" s="2847"/>
      <c r="I2273" s="2847"/>
      <c r="J2273" s="1007" t="s">
        <v>33</v>
      </c>
      <c r="K2273" s="2988" t="s">
        <v>282</v>
      </c>
      <c r="L2273" s="3186"/>
      <c r="M2273" s="2847"/>
      <c r="N2273" s="1017"/>
      <c r="O2273" s="1009" t="s">
        <v>283</v>
      </c>
      <c r="P2273" s="1009" t="s">
        <v>284</v>
      </c>
      <c r="Q2273" s="1009" t="s">
        <v>285</v>
      </c>
      <c r="R2273" s="1009" t="s">
        <v>88</v>
      </c>
      <c r="S2273" s="1009" t="s">
        <v>89</v>
      </c>
      <c r="T2273" s="1009" t="s">
        <v>90</v>
      </c>
      <c r="U2273" s="1009" t="s">
        <v>91</v>
      </c>
      <c r="V2273" s="1009" t="s">
        <v>92</v>
      </c>
      <c r="W2273" s="1009" t="s">
        <v>286</v>
      </c>
      <c r="X2273" s="1009" t="s">
        <v>93</v>
      </c>
      <c r="Y2273" s="1009" t="s">
        <v>94</v>
      </c>
      <c r="Z2273" s="1009" t="s">
        <v>95</v>
      </c>
      <c r="AA2273" s="3358"/>
      <c r="AB2273" s="1210"/>
      <c r="AC2273" s="1199"/>
      <c r="AD2273" s="1211"/>
    </row>
    <row r="2274" spans="1:30" ht="12.75" x14ac:dyDescent="0.2">
      <c r="A2274" s="1422"/>
      <c r="B2274" s="2999"/>
      <c r="C2274" s="3359"/>
      <c r="D2274" s="2847"/>
      <c r="E2274" s="2847"/>
      <c r="F2274" s="2847"/>
      <c r="G2274" s="2847"/>
      <c r="H2274" s="2847"/>
      <c r="I2274" s="2847"/>
      <c r="J2274" s="106"/>
      <c r="K2274" s="3186"/>
      <c r="L2274" s="3186"/>
      <c r="M2274" s="1009" t="s">
        <v>287</v>
      </c>
      <c r="N2274" s="1009"/>
      <c r="O2274" s="40">
        <v>6170</v>
      </c>
      <c r="P2274" s="40">
        <v>6174</v>
      </c>
      <c r="Q2274" s="40">
        <v>6174</v>
      </c>
      <c r="R2274" s="40">
        <v>6174</v>
      </c>
      <c r="S2274" s="40">
        <v>6174</v>
      </c>
      <c r="T2274" s="40">
        <v>6174</v>
      </c>
      <c r="U2274" s="40">
        <v>6174</v>
      </c>
      <c r="V2274" s="40">
        <v>6174</v>
      </c>
      <c r="W2274" s="40">
        <v>6174</v>
      </c>
      <c r="X2274" s="40">
        <v>6174</v>
      </c>
      <c r="Y2274" s="40">
        <v>6174</v>
      </c>
      <c r="Z2274" s="40">
        <v>6174</v>
      </c>
      <c r="AA2274" s="1205">
        <f t="shared" ref="AA2274:AA2288" si="362">SUM(O2274:Z2274)</f>
        <v>74084</v>
      </c>
      <c r="AB2274" s="1210"/>
      <c r="AC2274" s="1199"/>
      <c r="AD2274" s="1211"/>
    </row>
    <row r="2275" spans="1:30" ht="12.75" x14ac:dyDescent="0.2">
      <c r="A2275" s="1422"/>
      <c r="B2275" s="2999"/>
      <c r="C2275" s="3016"/>
      <c r="D2275" s="2847"/>
      <c r="E2275" s="2847"/>
      <c r="F2275" s="2847"/>
      <c r="G2275" s="2847"/>
      <c r="H2275" s="2847"/>
      <c r="I2275" s="2847"/>
      <c r="J2275" s="1008"/>
      <c r="K2275" s="2989"/>
      <c r="L2275" s="2989"/>
      <c r="M2275" s="1009" t="s">
        <v>34</v>
      </c>
      <c r="N2275" s="1009"/>
      <c r="O2275" s="40">
        <f>SUM(O2276:O2288)</f>
        <v>44618.916666666664</v>
      </c>
      <c r="P2275" s="40">
        <f t="shared" ref="P2275:Z2275" si="363">SUM(P2276:P2288)</f>
        <v>38858.916666666664</v>
      </c>
      <c r="Q2275" s="40">
        <f t="shared" si="363"/>
        <v>38158.916666666664</v>
      </c>
      <c r="R2275" s="40">
        <f t="shared" si="363"/>
        <v>41508.916666666664</v>
      </c>
      <c r="S2275" s="40">
        <f t="shared" si="363"/>
        <v>37858.916666666664</v>
      </c>
      <c r="T2275" s="40">
        <f t="shared" si="363"/>
        <v>37858.916666666664</v>
      </c>
      <c r="U2275" s="40">
        <f t="shared" si="363"/>
        <v>43215.416666666664</v>
      </c>
      <c r="V2275" s="40">
        <f t="shared" si="363"/>
        <v>41508.916666666664</v>
      </c>
      <c r="W2275" s="40">
        <f t="shared" si="363"/>
        <v>37858.916666666664</v>
      </c>
      <c r="X2275" s="40">
        <f t="shared" si="363"/>
        <v>37858.916666666664</v>
      </c>
      <c r="Y2275" s="40">
        <f t="shared" si="363"/>
        <v>37858.916666666664</v>
      </c>
      <c r="Z2275" s="40">
        <f t="shared" si="363"/>
        <v>43215.416666666664</v>
      </c>
      <c r="AA2275" s="1205">
        <f t="shared" si="362"/>
        <v>480380.00000000006</v>
      </c>
      <c r="AB2275" s="1210"/>
      <c r="AC2275" s="1199"/>
      <c r="AD2275" s="1211"/>
    </row>
    <row r="2276" spans="1:30" x14ac:dyDescent="0.2">
      <c r="A2276" s="1422"/>
      <c r="B2276" s="2522">
        <v>5000105</v>
      </c>
      <c r="C2276" s="2438" t="s">
        <v>730</v>
      </c>
      <c r="D2276" s="2420">
        <v>76</v>
      </c>
      <c r="E2276" s="2420" t="s">
        <v>288</v>
      </c>
      <c r="F2276" s="2420" t="s">
        <v>386</v>
      </c>
      <c r="G2276" s="2420" t="s">
        <v>387</v>
      </c>
      <c r="H2276" s="2420"/>
      <c r="I2276" s="2420" t="s">
        <v>573</v>
      </c>
      <c r="J2276" s="2514">
        <v>74084</v>
      </c>
      <c r="K2276" s="40">
        <v>198331</v>
      </c>
      <c r="L2276" s="2431" t="s">
        <v>687</v>
      </c>
      <c r="M2276" s="111" t="s">
        <v>293</v>
      </c>
      <c r="N2276" s="111"/>
      <c r="O2276" s="40">
        <v>16527.583333333332</v>
      </c>
      <c r="P2276" s="40">
        <v>16527.583333333332</v>
      </c>
      <c r="Q2276" s="40">
        <v>16527.583333333332</v>
      </c>
      <c r="R2276" s="40">
        <v>16527.583333333332</v>
      </c>
      <c r="S2276" s="40">
        <v>16527.583333333332</v>
      </c>
      <c r="T2276" s="40">
        <v>16527.583333333332</v>
      </c>
      <c r="U2276" s="40">
        <v>16527.583333333332</v>
      </c>
      <c r="V2276" s="40">
        <v>16527.583333333332</v>
      </c>
      <c r="W2276" s="40">
        <v>16527.583333333332</v>
      </c>
      <c r="X2276" s="40">
        <v>16527.583333333332</v>
      </c>
      <c r="Y2276" s="40">
        <v>16527.583333333332</v>
      </c>
      <c r="Z2276" s="40">
        <v>16527.583333333332</v>
      </c>
      <c r="AA2276" s="966">
        <f t="shared" si="362"/>
        <v>198331.00000000003</v>
      </c>
      <c r="AB2276" s="1210"/>
      <c r="AC2276" s="1199"/>
      <c r="AD2276" s="1211"/>
    </row>
    <row r="2277" spans="1:30" x14ac:dyDescent="0.2">
      <c r="A2277" s="1422"/>
      <c r="B2277" s="2522"/>
      <c r="C2277" s="2456"/>
      <c r="D2277" s="2420"/>
      <c r="E2277" s="2420"/>
      <c r="F2277" s="2420"/>
      <c r="G2277" s="2420"/>
      <c r="H2277" s="2420"/>
      <c r="I2277" s="2420"/>
      <c r="J2277" s="2515"/>
      <c r="K2277" s="40">
        <v>16357</v>
      </c>
      <c r="L2277" s="2432"/>
      <c r="M2277" s="111" t="s">
        <v>321</v>
      </c>
      <c r="N2277" s="111"/>
      <c r="O2277" s="40">
        <v>1363.0833333333333</v>
      </c>
      <c r="P2277" s="40">
        <v>1363.0833333333333</v>
      </c>
      <c r="Q2277" s="40">
        <v>1363.0833333333333</v>
      </c>
      <c r="R2277" s="40">
        <v>1363.0833333333333</v>
      </c>
      <c r="S2277" s="40">
        <v>1363.0833333333333</v>
      </c>
      <c r="T2277" s="40">
        <v>1363.0833333333333</v>
      </c>
      <c r="U2277" s="40">
        <v>1363.0833333333333</v>
      </c>
      <c r="V2277" s="40">
        <v>1363.0833333333333</v>
      </c>
      <c r="W2277" s="40">
        <v>1363.0833333333333</v>
      </c>
      <c r="X2277" s="40">
        <v>1363.0833333333333</v>
      </c>
      <c r="Y2277" s="40">
        <v>1363.0833333333333</v>
      </c>
      <c r="Z2277" s="40">
        <v>1363.0833333333333</v>
      </c>
      <c r="AA2277" s="966">
        <f t="shared" si="362"/>
        <v>16357.000000000002</v>
      </c>
      <c r="AB2277" s="1210"/>
      <c r="AC2277" s="1199"/>
      <c r="AD2277" s="1211"/>
    </row>
    <row r="2278" spans="1:30" x14ac:dyDescent="0.2">
      <c r="A2278" s="1422"/>
      <c r="B2278" s="2522"/>
      <c r="C2278" s="2456"/>
      <c r="D2278" s="2420"/>
      <c r="E2278" s="2420"/>
      <c r="F2278" s="2420"/>
      <c r="G2278" s="2420"/>
      <c r="H2278" s="2420"/>
      <c r="I2278" s="2420"/>
      <c r="J2278" s="2515"/>
      <c r="K2278" s="40">
        <v>84480</v>
      </c>
      <c r="L2278" s="2432"/>
      <c r="M2278" s="111" t="s">
        <v>295</v>
      </c>
      <c r="N2278" s="111"/>
      <c r="O2278" s="40">
        <v>7040</v>
      </c>
      <c r="P2278" s="40">
        <v>7040</v>
      </c>
      <c r="Q2278" s="40">
        <v>7040</v>
      </c>
      <c r="R2278" s="40">
        <v>7040</v>
      </c>
      <c r="S2278" s="40">
        <v>7040</v>
      </c>
      <c r="T2278" s="40">
        <v>7040</v>
      </c>
      <c r="U2278" s="40">
        <v>7040</v>
      </c>
      <c r="V2278" s="40">
        <v>7040</v>
      </c>
      <c r="W2278" s="40">
        <v>7040</v>
      </c>
      <c r="X2278" s="40">
        <v>7040</v>
      </c>
      <c r="Y2278" s="40">
        <v>7040</v>
      </c>
      <c r="Z2278" s="40">
        <v>7040</v>
      </c>
      <c r="AA2278" s="966">
        <f t="shared" si="362"/>
        <v>84480</v>
      </c>
      <c r="AB2278" s="1210"/>
      <c r="AC2278" s="1199"/>
      <c r="AD2278" s="1211"/>
    </row>
    <row r="2279" spans="1:30" x14ac:dyDescent="0.2">
      <c r="A2279" s="1422"/>
      <c r="B2279" s="2522"/>
      <c r="C2279" s="2456"/>
      <c r="D2279" s="2420"/>
      <c r="E2279" s="2420"/>
      <c r="F2279" s="2420"/>
      <c r="G2279" s="2420"/>
      <c r="H2279" s="2420"/>
      <c r="I2279" s="2420"/>
      <c r="J2279" s="2515"/>
      <c r="K2279" s="40">
        <v>83904</v>
      </c>
      <c r="L2279" s="2432"/>
      <c r="M2279" s="111" t="s">
        <v>296</v>
      </c>
      <c r="N2279" s="111"/>
      <c r="O2279" s="40">
        <v>6992</v>
      </c>
      <c r="P2279" s="40">
        <v>6992</v>
      </c>
      <c r="Q2279" s="40">
        <v>6992</v>
      </c>
      <c r="R2279" s="40">
        <v>6992</v>
      </c>
      <c r="S2279" s="40">
        <v>6992</v>
      </c>
      <c r="T2279" s="40">
        <v>6992</v>
      </c>
      <c r="U2279" s="40">
        <v>6992</v>
      </c>
      <c r="V2279" s="40">
        <v>6992</v>
      </c>
      <c r="W2279" s="40">
        <v>6992</v>
      </c>
      <c r="X2279" s="40">
        <v>6992</v>
      </c>
      <c r="Y2279" s="40">
        <v>6992</v>
      </c>
      <c r="Z2279" s="40">
        <v>6992</v>
      </c>
      <c r="AA2279" s="966">
        <f t="shared" si="362"/>
        <v>83904</v>
      </c>
      <c r="AB2279" s="1210"/>
      <c r="AC2279" s="1199"/>
      <c r="AD2279" s="1211"/>
    </row>
    <row r="2280" spans="1:30" x14ac:dyDescent="0.2">
      <c r="A2280" s="1422"/>
      <c r="B2280" s="2522"/>
      <c r="C2280" s="2456"/>
      <c r="D2280" s="2420"/>
      <c r="E2280" s="2420"/>
      <c r="F2280" s="2420"/>
      <c r="G2280" s="2420"/>
      <c r="H2280" s="2420"/>
      <c r="I2280" s="2420"/>
      <c r="J2280" s="2515"/>
      <c r="K2280" s="40">
        <v>7584</v>
      </c>
      <c r="L2280" s="2432"/>
      <c r="M2280" s="111" t="s">
        <v>297</v>
      </c>
      <c r="N2280" s="111"/>
      <c r="O2280" s="40">
        <v>632</v>
      </c>
      <c r="P2280" s="40">
        <v>632</v>
      </c>
      <c r="Q2280" s="40">
        <v>632</v>
      </c>
      <c r="R2280" s="40">
        <v>632</v>
      </c>
      <c r="S2280" s="40">
        <v>632</v>
      </c>
      <c r="T2280" s="40">
        <v>632</v>
      </c>
      <c r="U2280" s="40">
        <v>632</v>
      </c>
      <c r="V2280" s="40">
        <v>632</v>
      </c>
      <c r="W2280" s="40">
        <v>632</v>
      </c>
      <c r="X2280" s="40">
        <v>632</v>
      </c>
      <c r="Y2280" s="40">
        <v>632</v>
      </c>
      <c r="Z2280" s="40">
        <v>632</v>
      </c>
      <c r="AA2280" s="966">
        <f t="shared" si="362"/>
        <v>7584</v>
      </c>
      <c r="AB2280" s="1210"/>
      <c r="AC2280" s="1199"/>
      <c r="AD2280" s="1211"/>
    </row>
    <row r="2281" spans="1:30" x14ac:dyDescent="0.2">
      <c r="A2281" s="1422"/>
      <c r="B2281" s="2522"/>
      <c r="C2281" s="2456"/>
      <c r="D2281" s="2420"/>
      <c r="E2281" s="2420"/>
      <c r="F2281" s="2420"/>
      <c r="G2281" s="2420"/>
      <c r="H2281" s="2420"/>
      <c r="I2281" s="2420"/>
      <c r="J2281" s="2515"/>
      <c r="K2281" s="40">
        <v>10713</v>
      </c>
      <c r="L2281" s="2432"/>
      <c r="M2281" s="111" t="s">
        <v>298</v>
      </c>
      <c r="N2281" s="111"/>
      <c r="O2281" s="40"/>
      <c r="P2281" s="40"/>
      <c r="Q2281" s="40"/>
      <c r="R2281" s="40"/>
      <c r="S2281" s="40"/>
      <c r="T2281" s="40"/>
      <c r="U2281" s="40">
        <v>5356.5</v>
      </c>
      <c r="V2281" s="40"/>
      <c r="W2281" s="40"/>
      <c r="X2281" s="40"/>
      <c r="Y2281" s="40"/>
      <c r="Z2281" s="40">
        <v>5356.5</v>
      </c>
      <c r="AA2281" s="966">
        <f t="shared" si="362"/>
        <v>10713</v>
      </c>
      <c r="AB2281" s="1210"/>
      <c r="AC2281" s="1199"/>
      <c r="AD2281" s="1211"/>
    </row>
    <row r="2282" spans="1:30" x14ac:dyDescent="0.2">
      <c r="A2282" s="1422"/>
      <c r="B2282" s="2522"/>
      <c r="C2282" s="2456"/>
      <c r="D2282" s="2420"/>
      <c r="E2282" s="2420"/>
      <c r="F2282" s="2420"/>
      <c r="G2282" s="2420"/>
      <c r="H2282" s="2420"/>
      <c r="I2282" s="2420"/>
      <c r="J2282" s="2515"/>
      <c r="K2282" s="40">
        <v>6760</v>
      </c>
      <c r="L2282" s="2432"/>
      <c r="M2282" s="111" t="s">
        <v>299</v>
      </c>
      <c r="N2282" s="111"/>
      <c r="O2282" s="40">
        <v>6760</v>
      </c>
      <c r="P2282" s="40"/>
      <c r="Q2282" s="40"/>
      <c r="R2282" s="40"/>
      <c r="S2282" s="40"/>
      <c r="T2282" s="40"/>
      <c r="U2282" s="40"/>
      <c r="V2282" s="40"/>
      <c r="W2282" s="40"/>
      <c r="X2282" s="40"/>
      <c r="Y2282" s="40"/>
      <c r="Z2282" s="40"/>
      <c r="AA2282" s="966">
        <f t="shared" si="362"/>
        <v>6760</v>
      </c>
      <c r="AB2282" s="1210"/>
      <c r="AC2282" s="1199"/>
      <c r="AD2282" s="1211"/>
    </row>
    <row r="2283" spans="1:30" x14ac:dyDescent="0.2">
      <c r="A2283" s="1422"/>
      <c r="B2283" s="2522"/>
      <c r="C2283" s="2456"/>
      <c r="D2283" s="2420"/>
      <c r="E2283" s="2420"/>
      <c r="F2283" s="2420"/>
      <c r="G2283" s="2420"/>
      <c r="H2283" s="2420"/>
      <c r="I2283" s="2420"/>
      <c r="J2283" s="2515"/>
      <c r="K2283" s="40">
        <v>23031</v>
      </c>
      <c r="L2283" s="2432"/>
      <c r="M2283" s="111" t="s">
        <v>300</v>
      </c>
      <c r="N2283" s="111"/>
      <c r="O2283" s="40">
        <v>1919.25</v>
      </c>
      <c r="P2283" s="40">
        <v>1919.25</v>
      </c>
      <c r="Q2283" s="40">
        <v>1919.25</v>
      </c>
      <c r="R2283" s="40">
        <v>1919.25</v>
      </c>
      <c r="S2283" s="40">
        <v>1919.25</v>
      </c>
      <c r="T2283" s="40">
        <v>1919.25</v>
      </c>
      <c r="U2283" s="40">
        <v>1919.25</v>
      </c>
      <c r="V2283" s="40">
        <v>1919.25</v>
      </c>
      <c r="W2283" s="40">
        <v>1919.25</v>
      </c>
      <c r="X2283" s="40">
        <v>1919.25</v>
      </c>
      <c r="Y2283" s="40">
        <v>1919.25</v>
      </c>
      <c r="Z2283" s="40">
        <v>1919.25</v>
      </c>
      <c r="AA2283" s="966">
        <f t="shared" si="362"/>
        <v>23031</v>
      </c>
      <c r="AB2283" s="1210"/>
      <c r="AC2283" s="1199"/>
      <c r="AD2283" s="1211"/>
    </row>
    <row r="2284" spans="1:30" x14ac:dyDescent="0.2">
      <c r="A2284" s="1422"/>
      <c r="B2284" s="2522"/>
      <c r="C2284" s="2456"/>
      <c r="D2284" s="2420"/>
      <c r="E2284" s="2420"/>
      <c r="F2284" s="2420"/>
      <c r="G2284" s="2420"/>
      <c r="H2284" s="2420"/>
      <c r="I2284" s="2420"/>
      <c r="J2284" s="2515"/>
      <c r="K2284" s="40">
        <v>300</v>
      </c>
      <c r="L2284" s="2432"/>
      <c r="M2284" s="111" t="s">
        <v>324</v>
      </c>
      <c r="N2284" s="111"/>
      <c r="O2284" s="40"/>
      <c r="P2284" s="40"/>
      <c r="Q2284" s="40">
        <v>300</v>
      </c>
      <c r="R2284" s="40"/>
      <c r="S2284" s="40"/>
      <c r="T2284" s="40"/>
      <c r="U2284" s="40"/>
      <c r="V2284" s="40"/>
      <c r="W2284" s="40"/>
      <c r="X2284" s="40"/>
      <c r="Y2284" s="40"/>
      <c r="Z2284" s="40"/>
      <c r="AA2284" s="966">
        <f t="shared" si="362"/>
        <v>300</v>
      </c>
      <c r="AB2284" s="1210"/>
      <c r="AC2284" s="1199"/>
      <c r="AD2284" s="1211"/>
    </row>
    <row r="2285" spans="1:30" x14ac:dyDescent="0.2">
      <c r="A2285" s="1422"/>
      <c r="B2285" s="2522"/>
      <c r="C2285" s="2456"/>
      <c r="D2285" s="2420"/>
      <c r="E2285" s="2420"/>
      <c r="F2285" s="2420"/>
      <c r="G2285" s="2420"/>
      <c r="H2285" s="2420"/>
      <c r="I2285" s="2420"/>
      <c r="J2285" s="2515"/>
      <c r="K2285" s="40">
        <v>7300</v>
      </c>
      <c r="L2285" s="2432"/>
      <c r="M2285" s="111" t="s">
        <v>343</v>
      </c>
      <c r="N2285" s="111"/>
      <c r="O2285" s="40"/>
      <c r="P2285" s="40"/>
      <c r="Q2285" s="40"/>
      <c r="R2285" s="40">
        <v>3650</v>
      </c>
      <c r="S2285" s="40"/>
      <c r="T2285" s="40"/>
      <c r="U2285" s="40"/>
      <c r="V2285" s="40">
        <v>3650</v>
      </c>
      <c r="W2285" s="40"/>
      <c r="X2285" s="40"/>
      <c r="Y2285" s="40"/>
      <c r="Z2285" s="40"/>
      <c r="AA2285" s="966">
        <f t="shared" si="362"/>
        <v>7300</v>
      </c>
      <c r="AB2285" s="1210"/>
      <c r="AC2285" s="1199"/>
      <c r="AD2285" s="1211"/>
    </row>
    <row r="2286" spans="1:30" x14ac:dyDescent="0.2">
      <c r="A2286" s="1422"/>
      <c r="B2286" s="2522"/>
      <c r="C2286" s="2456"/>
      <c r="D2286" s="2420"/>
      <c r="E2286" s="2420"/>
      <c r="F2286" s="2420"/>
      <c r="G2286" s="2420"/>
      <c r="H2286" s="2420"/>
      <c r="I2286" s="2420"/>
      <c r="J2286" s="2515"/>
      <c r="K2286" s="40">
        <v>1000</v>
      </c>
      <c r="L2286" s="2432"/>
      <c r="M2286" s="111" t="s">
        <v>306</v>
      </c>
      <c r="N2286" s="111"/>
      <c r="O2286" s="40"/>
      <c r="P2286" s="40">
        <v>1000</v>
      </c>
      <c r="Q2286" s="40"/>
      <c r="R2286" s="40"/>
      <c r="S2286" s="40"/>
      <c r="T2286" s="40"/>
      <c r="U2286" s="40"/>
      <c r="V2286" s="40"/>
      <c r="W2286" s="40"/>
      <c r="X2286" s="40"/>
      <c r="Y2286" s="40"/>
      <c r="Z2286" s="40"/>
      <c r="AA2286" s="966">
        <f t="shared" si="362"/>
        <v>1000</v>
      </c>
      <c r="AB2286" s="1210"/>
      <c r="AC2286" s="1199"/>
      <c r="AD2286" s="1211"/>
    </row>
    <row r="2287" spans="1:30" x14ac:dyDescent="0.2">
      <c r="A2287" s="1422"/>
      <c r="B2287" s="2522"/>
      <c r="C2287" s="2456"/>
      <c r="D2287" s="2420"/>
      <c r="E2287" s="2420"/>
      <c r="F2287" s="2420"/>
      <c r="G2287" s="2420"/>
      <c r="H2287" s="2420"/>
      <c r="I2287" s="2420"/>
      <c r="J2287" s="2515"/>
      <c r="K2287" s="40">
        <v>38400</v>
      </c>
      <c r="L2287" s="2432"/>
      <c r="M2287" s="111" t="s">
        <v>310</v>
      </c>
      <c r="N2287" s="111"/>
      <c r="O2287" s="40">
        <v>3200</v>
      </c>
      <c r="P2287" s="40">
        <v>3200</v>
      </c>
      <c r="Q2287" s="40">
        <v>3200</v>
      </c>
      <c r="R2287" s="40">
        <v>3200</v>
      </c>
      <c r="S2287" s="40">
        <v>3200</v>
      </c>
      <c r="T2287" s="40">
        <v>3200</v>
      </c>
      <c r="U2287" s="40">
        <v>3200</v>
      </c>
      <c r="V2287" s="40">
        <v>3200</v>
      </c>
      <c r="W2287" s="40">
        <v>3200</v>
      </c>
      <c r="X2287" s="40">
        <v>3200</v>
      </c>
      <c r="Y2287" s="40">
        <v>3200</v>
      </c>
      <c r="Z2287" s="40">
        <v>3200</v>
      </c>
      <c r="AA2287" s="966">
        <f t="shared" si="362"/>
        <v>38400</v>
      </c>
      <c r="AB2287" s="1210"/>
      <c r="AC2287" s="1199"/>
      <c r="AD2287" s="1211"/>
    </row>
    <row r="2288" spans="1:30" x14ac:dyDescent="0.2">
      <c r="A2288" s="1422"/>
      <c r="B2288" s="2522"/>
      <c r="C2288" s="2450"/>
      <c r="D2288" s="2420"/>
      <c r="E2288" s="2420"/>
      <c r="F2288" s="2420"/>
      <c r="G2288" s="2420"/>
      <c r="H2288" s="2420"/>
      <c r="I2288" s="2420"/>
      <c r="J2288" s="2516"/>
      <c r="K2288" s="40">
        <v>2220</v>
      </c>
      <c r="L2288" s="2432"/>
      <c r="M2288" s="111" t="s">
        <v>311</v>
      </c>
      <c r="N2288" s="111"/>
      <c r="O2288" s="40">
        <v>185</v>
      </c>
      <c r="P2288" s="40">
        <v>185</v>
      </c>
      <c r="Q2288" s="40">
        <v>185</v>
      </c>
      <c r="R2288" s="40">
        <v>185</v>
      </c>
      <c r="S2288" s="40">
        <v>185</v>
      </c>
      <c r="T2288" s="40">
        <v>185</v>
      </c>
      <c r="U2288" s="40">
        <v>185</v>
      </c>
      <c r="V2288" s="40">
        <v>185</v>
      </c>
      <c r="W2288" s="40">
        <v>185</v>
      </c>
      <c r="X2288" s="40">
        <v>185</v>
      </c>
      <c r="Y2288" s="40">
        <v>185</v>
      </c>
      <c r="Z2288" s="40">
        <v>185</v>
      </c>
      <c r="AA2288" s="966">
        <f t="shared" si="362"/>
        <v>2220</v>
      </c>
      <c r="AB2288" s="1210"/>
      <c r="AC2288" s="1199"/>
      <c r="AD2288" s="1211"/>
    </row>
    <row r="2289" spans="1:30" x14ac:dyDescent="0.2">
      <c r="A2289" s="1422"/>
      <c r="B2289" s="1427" t="s">
        <v>312</v>
      </c>
      <c r="C2289" s="1128"/>
      <c r="D2289" s="38"/>
      <c r="E2289" s="38"/>
      <c r="F2289" s="38"/>
      <c r="G2289" s="38"/>
      <c r="H2289" s="38"/>
      <c r="I2289" s="38"/>
      <c r="J2289" s="38"/>
      <c r="K2289" s="40">
        <f>SUM(K2276:K2288)</f>
        <v>480380</v>
      </c>
      <c r="L2289" s="2437"/>
      <c r="M2289" s="112"/>
      <c r="N2289" s="112"/>
      <c r="O2289" s="40">
        <v>44618.916666666664</v>
      </c>
      <c r="P2289" s="40">
        <v>38858.916666666664</v>
      </c>
      <c r="Q2289" s="40">
        <v>38158.916666666664</v>
      </c>
      <c r="R2289" s="40">
        <v>41508.916666666664</v>
      </c>
      <c r="S2289" s="40">
        <v>37858.916666666664</v>
      </c>
      <c r="T2289" s="40">
        <v>37858.916666666664</v>
      </c>
      <c r="U2289" s="40">
        <v>43215.416666666664</v>
      </c>
      <c r="V2289" s="40">
        <v>41508.916666666664</v>
      </c>
      <c r="W2289" s="40">
        <v>37858.916666666664</v>
      </c>
      <c r="X2289" s="40">
        <v>37858.916666666664</v>
      </c>
      <c r="Y2289" s="40">
        <v>37858.916666666664</v>
      </c>
      <c r="Z2289" s="40">
        <v>43215.416666666664</v>
      </c>
      <c r="AA2289" s="1964"/>
      <c r="AB2289" s="1210"/>
      <c r="AC2289" s="1199"/>
      <c r="AD2289" s="1211"/>
    </row>
    <row r="2290" spans="1:30" x14ac:dyDescent="0.2">
      <c r="A2290" s="1422"/>
      <c r="B2290" s="1422"/>
      <c r="C2290" s="1124"/>
      <c r="D2290" s="35"/>
      <c r="E2290" s="35"/>
      <c r="F2290" s="35"/>
      <c r="G2290" s="35"/>
      <c r="H2290" s="35"/>
      <c r="I2290" s="35"/>
      <c r="J2290" s="35"/>
      <c r="K2290" s="113"/>
      <c r="L2290" s="113"/>
      <c r="M2290" s="114"/>
      <c r="N2290" s="114"/>
      <c r="O2290" s="35"/>
      <c r="P2290" s="35"/>
      <c r="Q2290" s="35"/>
      <c r="R2290" s="35"/>
      <c r="S2290" s="35"/>
      <c r="T2290" s="35"/>
      <c r="U2290" s="35"/>
      <c r="V2290" s="35"/>
      <c r="W2290" s="35"/>
      <c r="X2290" s="35"/>
      <c r="Y2290" s="35"/>
      <c r="Z2290" s="35"/>
      <c r="AA2290" s="1199"/>
      <c r="AB2290" s="1210"/>
      <c r="AC2290" s="1199"/>
      <c r="AD2290" s="1211"/>
    </row>
    <row r="2291" spans="1:30" x14ac:dyDescent="0.2">
      <c r="A2291" s="1422"/>
      <c r="B2291" s="1422"/>
      <c r="C2291" s="1124"/>
      <c r="D2291" s="35"/>
      <c r="E2291" s="35"/>
      <c r="F2291" s="35"/>
      <c r="G2291" s="35"/>
      <c r="H2291" s="35"/>
      <c r="I2291" s="35"/>
      <c r="J2291" s="35"/>
      <c r="K2291" s="113"/>
      <c r="L2291" s="113"/>
      <c r="M2291" s="114"/>
      <c r="N2291" s="114"/>
      <c r="O2291" s="35"/>
      <c r="P2291" s="35"/>
      <c r="Q2291" s="35"/>
      <c r="R2291" s="35"/>
      <c r="S2291" s="35"/>
      <c r="T2291" s="35"/>
      <c r="U2291" s="35"/>
      <c r="V2291" s="35"/>
      <c r="W2291" s="35"/>
      <c r="X2291" s="35"/>
      <c r="Y2291" s="35"/>
      <c r="Z2291" s="35"/>
      <c r="AA2291" s="1199"/>
      <c r="AB2291" s="1210"/>
      <c r="AC2291" s="1199"/>
      <c r="AD2291" s="1211"/>
    </row>
    <row r="2292" spans="1:30" ht="26.25" customHeight="1" x14ac:dyDescent="0.2">
      <c r="A2292" s="1422"/>
      <c r="B2292" s="1433" t="s">
        <v>276</v>
      </c>
      <c r="C2292" s="1119"/>
      <c r="D2292" s="35"/>
      <c r="E2292" s="35"/>
      <c r="F2292" s="35"/>
      <c r="G2292" s="35"/>
      <c r="H2292" s="35"/>
      <c r="I2292" s="35"/>
      <c r="J2292" s="35"/>
      <c r="K2292" s="35"/>
      <c r="L2292" s="35"/>
      <c r="M2292" s="35"/>
      <c r="N2292" s="35"/>
      <c r="O2292" s="35"/>
      <c r="P2292" s="35"/>
      <c r="Q2292" s="35"/>
      <c r="R2292" s="35"/>
      <c r="S2292" s="3333" t="s">
        <v>15</v>
      </c>
      <c r="T2292" s="3333"/>
      <c r="U2292" s="3333"/>
      <c r="V2292" s="3333"/>
      <c r="W2292" s="3333"/>
      <c r="X2292" s="3333"/>
      <c r="Y2292" s="3333"/>
      <c r="Z2292" s="3333"/>
      <c r="AA2292" s="1949" t="s">
        <v>16</v>
      </c>
      <c r="AB2292" s="1210"/>
      <c r="AC2292" s="1199"/>
      <c r="AD2292" s="1211"/>
    </row>
    <row r="2293" spans="1:30" x14ac:dyDescent="0.2">
      <c r="A2293" s="1422"/>
      <c r="B2293" s="1433"/>
      <c r="C2293" s="1119"/>
      <c r="D2293" s="192">
        <v>3000682</v>
      </c>
      <c r="E2293" s="192" t="s">
        <v>731</v>
      </c>
      <c r="F2293" s="192" t="s">
        <v>732</v>
      </c>
      <c r="G2293" s="35"/>
      <c r="H2293" s="35"/>
      <c r="I2293" s="35"/>
      <c r="J2293" s="35"/>
      <c r="K2293" s="35"/>
      <c r="L2293" s="35"/>
      <c r="M2293" s="35"/>
      <c r="N2293" s="35"/>
      <c r="O2293" s="35"/>
      <c r="P2293" s="35"/>
      <c r="Q2293" s="35"/>
      <c r="R2293" s="35"/>
      <c r="S2293" s="3333" t="s">
        <v>733</v>
      </c>
      <c r="T2293" s="3333"/>
      <c r="U2293" s="3333"/>
      <c r="V2293" s="3333"/>
      <c r="W2293" s="3333"/>
      <c r="X2293" s="3333"/>
      <c r="Y2293" s="3333"/>
      <c r="Z2293" s="3333"/>
      <c r="AA2293" s="1949" t="s">
        <v>579</v>
      </c>
      <c r="AB2293" s="1210"/>
      <c r="AC2293" s="1199"/>
      <c r="AD2293" s="1211"/>
    </row>
    <row r="2294" spans="1:30" x14ac:dyDescent="0.2">
      <c r="A2294" s="1422"/>
      <c r="B2294" s="2999" t="s">
        <v>278</v>
      </c>
      <c r="C2294" s="3015" t="s">
        <v>21</v>
      </c>
      <c r="D2294" s="2847" t="s">
        <v>22</v>
      </c>
      <c r="E2294" s="2847" t="s">
        <v>23</v>
      </c>
      <c r="F2294" s="2847" t="s">
        <v>24</v>
      </c>
      <c r="G2294" s="2847" t="s">
        <v>25</v>
      </c>
      <c r="H2294" s="2847" t="s">
        <v>26</v>
      </c>
      <c r="I2294" s="2847" t="s">
        <v>27</v>
      </c>
      <c r="J2294" s="3206" t="s">
        <v>28</v>
      </c>
      <c r="K2294" s="3301"/>
      <c r="L2294" s="2988" t="s">
        <v>279</v>
      </c>
      <c r="M2294" s="2847" t="s">
        <v>280</v>
      </c>
      <c r="N2294" s="1017"/>
      <c r="O2294" s="2847" t="s">
        <v>281</v>
      </c>
      <c r="P2294" s="2847"/>
      <c r="Q2294" s="2847"/>
      <c r="R2294" s="2847"/>
      <c r="S2294" s="2847"/>
      <c r="T2294" s="2847"/>
      <c r="U2294" s="2847"/>
      <c r="V2294" s="2847"/>
      <c r="W2294" s="2847"/>
      <c r="X2294" s="2847"/>
      <c r="Y2294" s="2847"/>
      <c r="Z2294" s="2847"/>
      <c r="AA2294" s="3358" t="s">
        <v>32</v>
      </c>
      <c r="AB2294" s="1210"/>
      <c r="AC2294" s="1199"/>
      <c r="AD2294" s="1211"/>
    </row>
    <row r="2295" spans="1:30" x14ac:dyDescent="0.2">
      <c r="A2295" s="1422"/>
      <c r="B2295" s="2999"/>
      <c r="C2295" s="3359"/>
      <c r="D2295" s="2847"/>
      <c r="E2295" s="2847"/>
      <c r="F2295" s="2847"/>
      <c r="G2295" s="2847"/>
      <c r="H2295" s="2847"/>
      <c r="I2295" s="2847"/>
      <c r="J2295" s="1007" t="s">
        <v>33</v>
      </c>
      <c r="K2295" s="2988" t="s">
        <v>282</v>
      </c>
      <c r="L2295" s="3186"/>
      <c r="M2295" s="2847"/>
      <c r="N2295" s="1017"/>
      <c r="O2295" s="1009" t="s">
        <v>283</v>
      </c>
      <c r="P2295" s="1009" t="s">
        <v>284</v>
      </c>
      <c r="Q2295" s="1009" t="s">
        <v>285</v>
      </c>
      <c r="R2295" s="1009" t="s">
        <v>88</v>
      </c>
      <c r="S2295" s="1009" t="s">
        <v>89</v>
      </c>
      <c r="T2295" s="1009" t="s">
        <v>90</v>
      </c>
      <c r="U2295" s="1009" t="s">
        <v>91</v>
      </c>
      <c r="V2295" s="1009" t="s">
        <v>92</v>
      </c>
      <c r="W2295" s="1009" t="s">
        <v>286</v>
      </c>
      <c r="X2295" s="1009" t="s">
        <v>93</v>
      </c>
      <c r="Y2295" s="1009" t="s">
        <v>94</v>
      </c>
      <c r="Z2295" s="1009" t="s">
        <v>95</v>
      </c>
      <c r="AA2295" s="3358"/>
      <c r="AB2295" s="1210"/>
      <c r="AC2295" s="1199"/>
      <c r="AD2295" s="1211"/>
    </row>
    <row r="2296" spans="1:30" ht="12.75" x14ac:dyDescent="0.2">
      <c r="A2296" s="1422"/>
      <c r="B2296" s="2999"/>
      <c r="C2296" s="3359"/>
      <c r="D2296" s="2847"/>
      <c r="E2296" s="2847"/>
      <c r="F2296" s="2847"/>
      <c r="G2296" s="2847"/>
      <c r="H2296" s="2847"/>
      <c r="I2296" s="2847"/>
      <c r="J2296" s="106"/>
      <c r="K2296" s="3186"/>
      <c r="L2296" s="3186"/>
      <c r="M2296" s="1009" t="s">
        <v>287</v>
      </c>
      <c r="N2296" s="1009"/>
      <c r="O2296" s="40">
        <v>221</v>
      </c>
      <c r="P2296" s="40">
        <v>222</v>
      </c>
      <c r="Q2296" s="40">
        <v>222</v>
      </c>
      <c r="R2296" s="40">
        <v>222</v>
      </c>
      <c r="S2296" s="40">
        <v>222</v>
      </c>
      <c r="T2296" s="40">
        <v>221</v>
      </c>
      <c r="U2296" s="40">
        <v>221</v>
      </c>
      <c r="V2296" s="40">
        <v>221</v>
      </c>
      <c r="W2296" s="40">
        <v>221</v>
      </c>
      <c r="X2296" s="40">
        <v>221</v>
      </c>
      <c r="Y2296" s="40">
        <v>221</v>
      </c>
      <c r="Z2296" s="40">
        <v>221</v>
      </c>
      <c r="AA2296" s="1205">
        <f t="shared" ref="AA2296:AA2309" si="364">SUM(O2296:Z2296)</f>
        <v>2656</v>
      </c>
      <c r="AB2296" s="1210"/>
      <c r="AC2296" s="1199"/>
      <c r="AD2296" s="1211"/>
    </row>
    <row r="2297" spans="1:30" ht="12.75" x14ac:dyDescent="0.2">
      <c r="A2297" s="1422"/>
      <c r="B2297" s="2999"/>
      <c r="C2297" s="3016"/>
      <c r="D2297" s="2847"/>
      <c r="E2297" s="2847"/>
      <c r="F2297" s="2847"/>
      <c r="G2297" s="2847"/>
      <c r="H2297" s="2847"/>
      <c r="I2297" s="2847"/>
      <c r="J2297" s="1008"/>
      <c r="K2297" s="2989"/>
      <c r="L2297" s="2989"/>
      <c r="M2297" s="1009" t="s">
        <v>34</v>
      </c>
      <c r="N2297" s="1009"/>
      <c r="O2297" s="40">
        <f>SUM(O2298:O2309)</f>
        <v>63498.083333333328</v>
      </c>
      <c r="P2297" s="40">
        <f t="shared" ref="P2297:Z2297" si="365">SUM(P2298:P2309)</f>
        <v>60698.083333333328</v>
      </c>
      <c r="Q2297" s="40">
        <f t="shared" si="365"/>
        <v>60298.083333333328</v>
      </c>
      <c r="R2297" s="40">
        <f t="shared" si="365"/>
        <v>61798.083333333328</v>
      </c>
      <c r="S2297" s="40">
        <f t="shared" si="365"/>
        <v>60298.083333333328</v>
      </c>
      <c r="T2297" s="40">
        <f t="shared" si="365"/>
        <v>60298.083333333328</v>
      </c>
      <c r="U2297" s="40">
        <f t="shared" si="365"/>
        <v>62779.083333333328</v>
      </c>
      <c r="V2297" s="40">
        <f t="shared" si="365"/>
        <v>60298.083333333328</v>
      </c>
      <c r="W2297" s="40">
        <f t="shared" si="365"/>
        <v>60298.083333333328</v>
      </c>
      <c r="X2297" s="40">
        <f t="shared" si="365"/>
        <v>60298.083333333328</v>
      </c>
      <c r="Y2297" s="40">
        <f t="shared" si="365"/>
        <v>60298.083333333328</v>
      </c>
      <c r="Z2297" s="40">
        <f t="shared" si="365"/>
        <v>62779.083333333328</v>
      </c>
      <c r="AA2297" s="1205">
        <f t="shared" si="364"/>
        <v>733639</v>
      </c>
      <c r="AB2297" s="1210"/>
      <c r="AC2297" s="1199"/>
      <c r="AD2297" s="1211"/>
    </row>
    <row r="2298" spans="1:30" x14ac:dyDescent="0.2">
      <c r="A2298" s="1422"/>
      <c r="B2298" s="2522">
        <v>5000106</v>
      </c>
      <c r="C2298" s="2438" t="s">
        <v>734</v>
      </c>
      <c r="D2298" s="2420">
        <v>77</v>
      </c>
      <c r="E2298" s="2420" t="s">
        <v>288</v>
      </c>
      <c r="F2298" s="2420" t="s">
        <v>386</v>
      </c>
      <c r="G2298" s="2420" t="s">
        <v>387</v>
      </c>
      <c r="H2298" s="2420"/>
      <c r="I2298" s="2420" t="s">
        <v>573</v>
      </c>
      <c r="J2298" s="2514">
        <v>2656</v>
      </c>
      <c r="K2298" s="40">
        <v>200764</v>
      </c>
      <c r="L2298" s="2431" t="s">
        <v>687</v>
      </c>
      <c r="M2298" s="111" t="s">
        <v>293</v>
      </c>
      <c r="N2298" s="111"/>
      <c r="O2298" s="40">
        <v>16730.333333333332</v>
      </c>
      <c r="P2298" s="40">
        <v>16730.333333333332</v>
      </c>
      <c r="Q2298" s="40">
        <v>16730.333333333332</v>
      </c>
      <c r="R2298" s="40">
        <v>16730.333333333332</v>
      </c>
      <c r="S2298" s="40">
        <v>16730.333333333332</v>
      </c>
      <c r="T2298" s="40">
        <v>16730.333333333332</v>
      </c>
      <c r="U2298" s="40">
        <v>16730.333333333332</v>
      </c>
      <c r="V2298" s="40">
        <v>16730.333333333332</v>
      </c>
      <c r="W2298" s="40">
        <v>16730.333333333332</v>
      </c>
      <c r="X2298" s="40">
        <v>16730.333333333332</v>
      </c>
      <c r="Y2298" s="40">
        <v>16730.333333333332</v>
      </c>
      <c r="Z2298" s="40">
        <v>16730.333333333332</v>
      </c>
      <c r="AA2298" s="966">
        <f t="shared" si="364"/>
        <v>200764.00000000003</v>
      </c>
      <c r="AB2298" s="1210"/>
      <c r="AC2298" s="1199"/>
      <c r="AD2298" s="1211"/>
    </row>
    <row r="2299" spans="1:30" x14ac:dyDescent="0.2">
      <c r="A2299" s="1422"/>
      <c r="B2299" s="2522"/>
      <c r="C2299" s="2456"/>
      <c r="D2299" s="2420"/>
      <c r="E2299" s="2420"/>
      <c r="F2299" s="2420"/>
      <c r="G2299" s="2420"/>
      <c r="H2299" s="2420"/>
      <c r="I2299" s="2420"/>
      <c r="J2299" s="2515"/>
      <c r="K2299" s="40">
        <v>26868</v>
      </c>
      <c r="L2299" s="2432"/>
      <c r="M2299" s="111" t="s">
        <v>321</v>
      </c>
      <c r="N2299" s="111"/>
      <c r="O2299" s="40">
        <v>2239</v>
      </c>
      <c r="P2299" s="40">
        <v>2239</v>
      </c>
      <c r="Q2299" s="40">
        <v>2239</v>
      </c>
      <c r="R2299" s="40">
        <v>2239</v>
      </c>
      <c r="S2299" s="40">
        <v>2239</v>
      </c>
      <c r="T2299" s="40">
        <v>2239</v>
      </c>
      <c r="U2299" s="40">
        <v>2239</v>
      </c>
      <c r="V2299" s="40">
        <v>2239</v>
      </c>
      <c r="W2299" s="40">
        <v>2239</v>
      </c>
      <c r="X2299" s="40">
        <v>2239</v>
      </c>
      <c r="Y2299" s="40">
        <v>2239</v>
      </c>
      <c r="Z2299" s="40">
        <v>2239</v>
      </c>
      <c r="AA2299" s="966">
        <f t="shared" si="364"/>
        <v>26868</v>
      </c>
      <c r="AB2299" s="1210"/>
      <c r="AC2299" s="1199"/>
      <c r="AD2299" s="1211"/>
    </row>
    <row r="2300" spans="1:30" x14ac:dyDescent="0.2">
      <c r="A2300" s="1422"/>
      <c r="B2300" s="2522"/>
      <c r="C2300" s="2456"/>
      <c r="D2300" s="2420"/>
      <c r="E2300" s="2420"/>
      <c r="F2300" s="2420"/>
      <c r="G2300" s="2420"/>
      <c r="H2300" s="2420"/>
      <c r="I2300" s="2420"/>
      <c r="J2300" s="2515"/>
      <c r="K2300" s="40">
        <v>164980</v>
      </c>
      <c r="L2300" s="2432"/>
      <c r="M2300" s="111" t="s">
        <v>295</v>
      </c>
      <c r="N2300" s="111"/>
      <c r="O2300" s="40">
        <v>13748.333333333334</v>
      </c>
      <c r="P2300" s="40">
        <v>13748.333333333334</v>
      </c>
      <c r="Q2300" s="40">
        <v>13748.333333333334</v>
      </c>
      <c r="R2300" s="40">
        <v>13748.333333333334</v>
      </c>
      <c r="S2300" s="40">
        <v>13748.333333333334</v>
      </c>
      <c r="T2300" s="40">
        <v>13748.333333333334</v>
      </c>
      <c r="U2300" s="40">
        <v>13748.333333333334</v>
      </c>
      <c r="V2300" s="40">
        <v>13748.333333333334</v>
      </c>
      <c r="W2300" s="40">
        <v>13748.333333333334</v>
      </c>
      <c r="X2300" s="40">
        <v>13748.333333333334</v>
      </c>
      <c r="Y2300" s="40">
        <v>13748.333333333334</v>
      </c>
      <c r="Z2300" s="40">
        <v>13748.333333333334</v>
      </c>
      <c r="AA2300" s="966">
        <f t="shared" si="364"/>
        <v>164980</v>
      </c>
      <c r="AB2300" s="1210"/>
      <c r="AC2300" s="1199"/>
      <c r="AD2300" s="1211"/>
    </row>
    <row r="2301" spans="1:30" x14ac:dyDescent="0.2">
      <c r="A2301" s="1422"/>
      <c r="B2301" s="2522"/>
      <c r="C2301" s="2456"/>
      <c r="D2301" s="2420"/>
      <c r="E2301" s="2420"/>
      <c r="F2301" s="2420"/>
      <c r="G2301" s="2420"/>
      <c r="H2301" s="2420"/>
      <c r="I2301" s="2420"/>
      <c r="J2301" s="2515"/>
      <c r="K2301" s="40">
        <v>27756</v>
      </c>
      <c r="L2301" s="2432"/>
      <c r="M2301" s="111" t="s">
        <v>296</v>
      </c>
      <c r="N2301" s="111"/>
      <c r="O2301" s="40">
        <v>2313</v>
      </c>
      <c r="P2301" s="40">
        <v>2313</v>
      </c>
      <c r="Q2301" s="40">
        <v>2313</v>
      </c>
      <c r="R2301" s="40">
        <v>2313</v>
      </c>
      <c r="S2301" s="40">
        <v>2313</v>
      </c>
      <c r="T2301" s="40">
        <v>2313</v>
      </c>
      <c r="U2301" s="40">
        <v>2313</v>
      </c>
      <c r="V2301" s="40">
        <v>2313</v>
      </c>
      <c r="W2301" s="40">
        <v>2313</v>
      </c>
      <c r="X2301" s="40">
        <v>2313</v>
      </c>
      <c r="Y2301" s="40">
        <v>2313</v>
      </c>
      <c r="Z2301" s="40">
        <v>2313</v>
      </c>
      <c r="AA2301" s="966">
        <f t="shared" si="364"/>
        <v>27756</v>
      </c>
      <c r="AB2301" s="1210"/>
      <c r="AC2301" s="1199"/>
      <c r="AD2301" s="1211"/>
    </row>
    <row r="2302" spans="1:30" x14ac:dyDescent="0.2">
      <c r="A2302" s="1422"/>
      <c r="B2302" s="2522"/>
      <c r="C2302" s="2456"/>
      <c r="D2302" s="2420"/>
      <c r="E2302" s="2420"/>
      <c r="F2302" s="2420"/>
      <c r="G2302" s="2420"/>
      <c r="H2302" s="2420"/>
      <c r="I2302" s="2420"/>
      <c r="J2302" s="2515"/>
      <c r="K2302" s="40">
        <v>74764</v>
      </c>
      <c r="L2302" s="2432"/>
      <c r="M2302" s="111" t="s">
        <v>297</v>
      </c>
      <c r="N2302" s="111"/>
      <c r="O2302" s="40">
        <v>6230.333333333333</v>
      </c>
      <c r="P2302" s="40">
        <v>6230.333333333333</v>
      </c>
      <c r="Q2302" s="40">
        <v>6230.333333333333</v>
      </c>
      <c r="R2302" s="40">
        <v>6230.333333333333</v>
      </c>
      <c r="S2302" s="40">
        <v>6230.333333333333</v>
      </c>
      <c r="T2302" s="40">
        <v>6230.333333333333</v>
      </c>
      <c r="U2302" s="40">
        <v>6230.333333333333</v>
      </c>
      <c r="V2302" s="40">
        <v>6230.333333333333</v>
      </c>
      <c r="W2302" s="40">
        <v>6230.333333333333</v>
      </c>
      <c r="X2302" s="40">
        <v>6230.333333333333</v>
      </c>
      <c r="Y2302" s="40">
        <v>6230.333333333333</v>
      </c>
      <c r="Z2302" s="40">
        <v>6230.333333333333</v>
      </c>
      <c r="AA2302" s="966">
        <f t="shared" si="364"/>
        <v>74764</v>
      </c>
      <c r="AB2302" s="1210"/>
      <c r="AC2302" s="1199"/>
      <c r="AD2302" s="1211"/>
    </row>
    <row r="2303" spans="1:30" x14ac:dyDescent="0.2">
      <c r="A2303" s="1422"/>
      <c r="B2303" s="2522"/>
      <c r="C2303" s="2456"/>
      <c r="D2303" s="2420"/>
      <c r="E2303" s="2420"/>
      <c r="F2303" s="2420"/>
      <c r="G2303" s="2420"/>
      <c r="H2303" s="2420"/>
      <c r="I2303" s="2420"/>
      <c r="J2303" s="2515"/>
      <c r="K2303" s="40">
        <v>4962</v>
      </c>
      <c r="L2303" s="2432"/>
      <c r="M2303" s="111" t="s">
        <v>298</v>
      </c>
      <c r="N2303" s="111"/>
      <c r="O2303" s="40"/>
      <c r="P2303" s="40"/>
      <c r="Q2303" s="40"/>
      <c r="R2303" s="40"/>
      <c r="S2303" s="40"/>
      <c r="T2303" s="40"/>
      <c r="U2303" s="40">
        <v>2481</v>
      </c>
      <c r="V2303" s="40"/>
      <c r="W2303" s="40"/>
      <c r="X2303" s="40"/>
      <c r="Y2303" s="40"/>
      <c r="Z2303" s="40">
        <v>2481</v>
      </c>
      <c r="AA2303" s="966">
        <f t="shared" si="364"/>
        <v>4962</v>
      </c>
      <c r="AB2303" s="1210"/>
      <c r="AC2303" s="1199"/>
      <c r="AD2303" s="1211"/>
    </row>
    <row r="2304" spans="1:30" x14ac:dyDescent="0.2">
      <c r="A2304" s="1422"/>
      <c r="B2304" s="2522"/>
      <c r="C2304" s="2456"/>
      <c r="D2304" s="2420"/>
      <c r="E2304" s="2420"/>
      <c r="F2304" s="2420"/>
      <c r="G2304" s="2420"/>
      <c r="H2304" s="2420"/>
      <c r="I2304" s="2420"/>
      <c r="J2304" s="2515"/>
      <c r="K2304" s="40">
        <v>3200</v>
      </c>
      <c r="L2304" s="2432"/>
      <c r="M2304" s="111" t="s">
        <v>299</v>
      </c>
      <c r="N2304" s="111"/>
      <c r="O2304" s="40">
        <v>3200</v>
      </c>
      <c r="P2304" s="40"/>
      <c r="Q2304" s="40"/>
      <c r="R2304" s="40"/>
      <c r="S2304" s="40"/>
      <c r="T2304" s="40"/>
      <c r="U2304" s="40"/>
      <c r="V2304" s="40"/>
      <c r="W2304" s="40"/>
      <c r="X2304" s="40"/>
      <c r="Y2304" s="40"/>
      <c r="Z2304" s="40"/>
      <c r="AA2304" s="966">
        <f t="shared" si="364"/>
        <v>3200</v>
      </c>
      <c r="AB2304" s="1210"/>
      <c r="AC2304" s="1199"/>
      <c r="AD2304" s="1211"/>
    </row>
    <row r="2305" spans="1:30" x14ac:dyDescent="0.2">
      <c r="A2305" s="1422"/>
      <c r="B2305" s="2522"/>
      <c r="C2305" s="2456"/>
      <c r="D2305" s="2420"/>
      <c r="E2305" s="2420"/>
      <c r="F2305" s="2420"/>
      <c r="G2305" s="2420"/>
      <c r="H2305" s="2420"/>
      <c r="I2305" s="2420"/>
      <c r="J2305" s="2515"/>
      <c r="K2305" s="40">
        <v>13190</v>
      </c>
      <c r="L2305" s="2432"/>
      <c r="M2305" s="111" t="s">
        <v>300</v>
      </c>
      <c r="N2305" s="111"/>
      <c r="O2305" s="40">
        <v>1099.1666666666667</v>
      </c>
      <c r="P2305" s="40">
        <v>1099.1666666666667</v>
      </c>
      <c r="Q2305" s="40">
        <v>1099.1666666666667</v>
      </c>
      <c r="R2305" s="40">
        <v>1099.1666666666667</v>
      </c>
      <c r="S2305" s="40">
        <v>1099.1666666666667</v>
      </c>
      <c r="T2305" s="40">
        <v>1099.1666666666667</v>
      </c>
      <c r="U2305" s="40">
        <v>1099.1666666666667</v>
      </c>
      <c r="V2305" s="40">
        <v>1099.1666666666667</v>
      </c>
      <c r="W2305" s="40">
        <v>1099.1666666666667</v>
      </c>
      <c r="X2305" s="40">
        <v>1099.1666666666667</v>
      </c>
      <c r="Y2305" s="40">
        <v>1099.1666666666667</v>
      </c>
      <c r="Z2305" s="40">
        <v>1099.1666666666667</v>
      </c>
      <c r="AA2305" s="966">
        <f t="shared" si="364"/>
        <v>13189.999999999998</v>
      </c>
      <c r="AB2305" s="1210"/>
      <c r="AC2305" s="1199"/>
      <c r="AD2305" s="1211"/>
    </row>
    <row r="2306" spans="1:30" x14ac:dyDescent="0.2">
      <c r="A2306" s="1422"/>
      <c r="B2306" s="2522"/>
      <c r="C2306" s="2456"/>
      <c r="D2306" s="2420"/>
      <c r="E2306" s="2420"/>
      <c r="F2306" s="2420"/>
      <c r="G2306" s="2420"/>
      <c r="H2306" s="2420"/>
      <c r="I2306" s="2420"/>
      <c r="J2306" s="2515"/>
      <c r="K2306" s="40">
        <v>1500</v>
      </c>
      <c r="L2306" s="2432"/>
      <c r="M2306" s="111" t="s">
        <v>343</v>
      </c>
      <c r="N2306" s="111"/>
      <c r="O2306" s="40"/>
      <c r="P2306" s="40"/>
      <c r="Q2306" s="40"/>
      <c r="R2306" s="40">
        <v>1500</v>
      </c>
      <c r="S2306" s="40"/>
      <c r="T2306" s="40"/>
      <c r="U2306" s="40"/>
      <c r="V2306" s="40"/>
      <c r="W2306" s="40"/>
      <c r="X2306" s="40"/>
      <c r="Y2306" s="40"/>
      <c r="Z2306" s="40"/>
      <c r="AA2306" s="966">
        <f t="shared" si="364"/>
        <v>1500</v>
      </c>
      <c r="AB2306" s="1210"/>
      <c r="AC2306" s="1199"/>
      <c r="AD2306" s="1211"/>
    </row>
    <row r="2307" spans="1:30" x14ac:dyDescent="0.2">
      <c r="A2307" s="1422"/>
      <c r="B2307" s="2522"/>
      <c r="C2307" s="2456"/>
      <c r="D2307" s="2420"/>
      <c r="E2307" s="2420"/>
      <c r="F2307" s="2420"/>
      <c r="G2307" s="2420"/>
      <c r="H2307" s="2420"/>
      <c r="I2307" s="2420"/>
      <c r="J2307" s="2515"/>
      <c r="K2307" s="40">
        <v>400</v>
      </c>
      <c r="L2307" s="2432"/>
      <c r="M2307" s="111" t="s">
        <v>306</v>
      </c>
      <c r="N2307" s="111"/>
      <c r="O2307" s="40"/>
      <c r="P2307" s="40">
        <v>400</v>
      </c>
      <c r="Q2307" s="40"/>
      <c r="R2307" s="40"/>
      <c r="S2307" s="40"/>
      <c r="T2307" s="40"/>
      <c r="U2307" s="40"/>
      <c r="V2307" s="40"/>
      <c r="W2307" s="40"/>
      <c r="X2307" s="40"/>
      <c r="Y2307" s="40"/>
      <c r="Z2307" s="40"/>
      <c r="AA2307" s="966">
        <f t="shared" si="364"/>
        <v>400</v>
      </c>
      <c r="AB2307" s="1210"/>
      <c r="AC2307" s="1199"/>
      <c r="AD2307" s="1211"/>
    </row>
    <row r="2308" spans="1:30" x14ac:dyDescent="0.2">
      <c r="A2308" s="1422"/>
      <c r="B2308" s="2522"/>
      <c r="C2308" s="2456"/>
      <c r="D2308" s="2420"/>
      <c r="E2308" s="2420"/>
      <c r="F2308" s="2420"/>
      <c r="G2308" s="2420"/>
      <c r="H2308" s="2420"/>
      <c r="I2308" s="2420"/>
      <c r="J2308" s="2515"/>
      <c r="K2308" s="40">
        <v>202941</v>
      </c>
      <c r="L2308" s="2432"/>
      <c r="M2308" s="111" t="s">
        <v>310</v>
      </c>
      <c r="N2308" s="111"/>
      <c r="O2308" s="40">
        <v>16911.75</v>
      </c>
      <c r="P2308" s="40">
        <v>16911.75</v>
      </c>
      <c r="Q2308" s="40">
        <v>16911.75</v>
      </c>
      <c r="R2308" s="40">
        <v>16911.75</v>
      </c>
      <c r="S2308" s="40">
        <v>16911.75</v>
      </c>
      <c r="T2308" s="40">
        <v>16911.75</v>
      </c>
      <c r="U2308" s="40">
        <v>16911.75</v>
      </c>
      <c r="V2308" s="40">
        <v>16911.75</v>
      </c>
      <c r="W2308" s="40">
        <v>16911.75</v>
      </c>
      <c r="X2308" s="40">
        <v>16911.75</v>
      </c>
      <c r="Y2308" s="40">
        <v>16911.75</v>
      </c>
      <c r="Z2308" s="40">
        <v>16911.75</v>
      </c>
      <c r="AA2308" s="966">
        <f t="shared" si="364"/>
        <v>202941</v>
      </c>
      <c r="AB2308" s="1210"/>
      <c r="AC2308" s="1199"/>
      <c r="AD2308" s="1211"/>
    </row>
    <row r="2309" spans="1:30" x14ac:dyDescent="0.2">
      <c r="A2309" s="1422"/>
      <c r="B2309" s="2522"/>
      <c r="C2309" s="2450"/>
      <c r="D2309" s="2420"/>
      <c r="E2309" s="2420"/>
      <c r="F2309" s="2420"/>
      <c r="G2309" s="2420"/>
      <c r="H2309" s="2420"/>
      <c r="I2309" s="2420"/>
      <c r="J2309" s="2516"/>
      <c r="K2309" s="40">
        <v>12314</v>
      </c>
      <c r="L2309" s="2437"/>
      <c r="M2309" s="111" t="s">
        <v>311</v>
      </c>
      <c r="N2309" s="111"/>
      <c r="O2309" s="40">
        <v>1026.1666666666667</v>
      </c>
      <c r="P2309" s="40">
        <v>1026.1666666666667</v>
      </c>
      <c r="Q2309" s="40">
        <v>1026.1666666666667</v>
      </c>
      <c r="R2309" s="40">
        <v>1026.1666666666667</v>
      </c>
      <c r="S2309" s="40">
        <v>1026.1666666666667</v>
      </c>
      <c r="T2309" s="40">
        <v>1026.1666666666667</v>
      </c>
      <c r="U2309" s="40">
        <v>1026.1666666666667</v>
      </c>
      <c r="V2309" s="40">
        <v>1026.1666666666667</v>
      </c>
      <c r="W2309" s="40">
        <v>1026.1666666666667</v>
      </c>
      <c r="X2309" s="40">
        <v>1026.1666666666667</v>
      </c>
      <c r="Y2309" s="40">
        <v>1026.1666666666667</v>
      </c>
      <c r="Z2309" s="40">
        <v>1026.1666666666667</v>
      </c>
      <c r="AA2309" s="966">
        <f t="shared" si="364"/>
        <v>12313.999999999998</v>
      </c>
      <c r="AB2309" s="1210"/>
      <c r="AC2309" s="1199"/>
      <c r="AD2309" s="1211"/>
    </row>
    <row r="2310" spans="1:30" x14ac:dyDescent="0.2">
      <c r="A2310" s="1422"/>
      <c r="B2310" s="1427" t="s">
        <v>312</v>
      </c>
      <c r="C2310" s="1128"/>
      <c r="D2310" s="38"/>
      <c r="E2310" s="38"/>
      <c r="F2310" s="38"/>
      <c r="G2310" s="38"/>
      <c r="H2310" s="38"/>
      <c r="I2310" s="38"/>
      <c r="J2310" s="38"/>
      <c r="K2310" s="40">
        <f>SUM(K2298:K2309)</f>
        <v>733639</v>
      </c>
      <c r="L2310" s="115"/>
      <c r="M2310" s="112"/>
      <c r="N2310" s="112"/>
      <c r="O2310" s="40">
        <v>63498.083333333328</v>
      </c>
      <c r="P2310" s="40">
        <v>60698.083333333328</v>
      </c>
      <c r="Q2310" s="40">
        <v>60298.083333333328</v>
      </c>
      <c r="R2310" s="40">
        <v>61798.083333333328</v>
      </c>
      <c r="S2310" s="40">
        <v>60298.083333333328</v>
      </c>
      <c r="T2310" s="40">
        <v>60298.083333333328</v>
      </c>
      <c r="U2310" s="40">
        <v>62779.083333333328</v>
      </c>
      <c r="V2310" s="40">
        <v>60298.083333333328</v>
      </c>
      <c r="W2310" s="40">
        <v>60298.083333333328</v>
      </c>
      <c r="X2310" s="40">
        <v>60298.083333333328</v>
      </c>
      <c r="Y2310" s="40">
        <v>60298.083333333328</v>
      </c>
      <c r="Z2310" s="40">
        <v>62779.083333333328</v>
      </c>
      <c r="AA2310" s="1234"/>
      <c r="AB2310" s="1210"/>
      <c r="AC2310" s="1199"/>
      <c r="AD2310" s="1211"/>
    </row>
    <row r="2311" spans="1:30" x14ac:dyDescent="0.2">
      <c r="A2311" s="1422"/>
      <c r="B2311" s="1422"/>
      <c r="C2311" s="1124"/>
      <c r="D2311" s="35"/>
      <c r="E2311" s="35"/>
      <c r="F2311" s="35"/>
      <c r="G2311" s="35"/>
      <c r="H2311" s="35"/>
      <c r="I2311" s="35"/>
      <c r="J2311" s="35"/>
      <c r="K2311" s="113"/>
      <c r="L2311" s="113"/>
      <c r="M2311" s="114"/>
      <c r="N2311" s="114"/>
      <c r="O2311" s="35"/>
      <c r="P2311" s="35"/>
      <c r="Q2311" s="35"/>
      <c r="R2311" s="35"/>
      <c r="S2311" s="35"/>
      <c r="T2311" s="35"/>
      <c r="U2311" s="35"/>
      <c r="V2311" s="35"/>
      <c r="W2311" s="35"/>
      <c r="X2311" s="35"/>
      <c r="Y2311" s="35"/>
      <c r="Z2311" s="35"/>
      <c r="AA2311" s="1199"/>
      <c r="AB2311" s="1210"/>
      <c r="AC2311" s="1199"/>
      <c r="AD2311" s="1211"/>
    </row>
    <row r="2312" spans="1:30" x14ac:dyDescent="0.2">
      <c r="A2312" s="1422"/>
      <c r="B2312" s="1422"/>
      <c r="C2312" s="1124"/>
      <c r="D2312" s="35"/>
      <c r="E2312" s="35"/>
      <c r="F2312" s="35"/>
      <c r="G2312" s="35"/>
      <c r="H2312" s="35"/>
      <c r="I2312" s="35"/>
      <c r="J2312" s="35"/>
      <c r="K2312" s="113"/>
      <c r="L2312" s="113"/>
      <c r="M2312" s="114"/>
      <c r="N2312" s="114"/>
      <c r="O2312" s="35"/>
      <c r="P2312" s="35"/>
      <c r="Q2312" s="35"/>
      <c r="R2312" s="35"/>
      <c r="S2312" s="35"/>
      <c r="T2312" s="35"/>
      <c r="U2312" s="35"/>
      <c r="V2312" s="35"/>
      <c r="W2312" s="35"/>
      <c r="X2312" s="35"/>
      <c r="Y2312" s="35"/>
      <c r="Z2312" s="35"/>
      <c r="AA2312" s="1199"/>
      <c r="AB2312" s="1210"/>
      <c r="AC2312" s="1199"/>
      <c r="AD2312" s="1211"/>
    </row>
    <row r="2313" spans="1:30" ht="22.5" x14ac:dyDescent="0.2">
      <c r="A2313" s="1422"/>
      <c r="B2313" s="1433" t="s">
        <v>276</v>
      </c>
      <c r="C2313" s="1119"/>
      <c r="D2313" s="35"/>
      <c r="E2313" s="35"/>
      <c r="F2313" s="35"/>
      <c r="G2313" s="35"/>
      <c r="H2313" s="35"/>
      <c r="I2313" s="35"/>
      <c r="J2313" s="35"/>
      <c r="K2313" s="35"/>
      <c r="L2313" s="35"/>
      <c r="M2313" s="35"/>
      <c r="N2313" s="35"/>
      <c r="O2313" s="35"/>
      <c r="P2313" s="35"/>
      <c r="Q2313" s="35"/>
      <c r="R2313" s="35"/>
      <c r="S2313" s="3333" t="s">
        <v>15</v>
      </c>
      <c r="T2313" s="3333"/>
      <c r="U2313" s="3333"/>
      <c r="V2313" s="3333"/>
      <c r="W2313" s="3333"/>
      <c r="X2313" s="3333"/>
      <c r="Y2313" s="3333"/>
      <c r="Z2313" s="3333"/>
      <c r="AA2313" s="1949" t="s">
        <v>16</v>
      </c>
      <c r="AB2313" s="1210"/>
      <c r="AC2313" s="1199"/>
      <c r="AD2313" s="1211"/>
    </row>
    <row r="2314" spans="1:30" x14ac:dyDescent="0.2">
      <c r="A2314" s="1422"/>
      <c r="B2314" s="1433"/>
      <c r="C2314" s="1119"/>
      <c r="D2314" s="192">
        <v>3043987</v>
      </c>
      <c r="E2314" s="2140" t="s">
        <v>735</v>
      </c>
      <c r="F2314" s="113"/>
      <c r="G2314" s="35"/>
      <c r="H2314" s="35"/>
      <c r="I2314" s="35"/>
      <c r="J2314" s="35"/>
      <c r="K2314" s="35"/>
      <c r="L2314" s="35"/>
      <c r="M2314" s="35"/>
      <c r="N2314" s="35"/>
      <c r="O2314" s="35"/>
      <c r="P2314" s="35"/>
      <c r="Q2314" s="35"/>
      <c r="R2314" s="35"/>
      <c r="S2314" s="3383" t="s">
        <v>736</v>
      </c>
      <c r="T2314" s="3383"/>
      <c r="U2314" s="3383"/>
      <c r="V2314" s="3383"/>
      <c r="W2314" s="3383"/>
      <c r="X2314" s="3383"/>
      <c r="Y2314" s="3383"/>
      <c r="Z2314" s="3383"/>
      <c r="AA2314" s="1957" t="s">
        <v>352</v>
      </c>
      <c r="AB2314" s="1210"/>
      <c r="AC2314" s="1199"/>
      <c r="AD2314" s="1211"/>
    </row>
    <row r="2315" spans="1:30" x14ac:dyDescent="0.2">
      <c r="A2315" s="1422"/>
      <c r="B2315" s="2999" t="s">
        <v>278</v>
      </c>
      <c r="C2315" s="3015" t="s">
        <v>21</v>
      </c>
      <c r="D2315" s="2847" t="s">
        <v>22</v>
      </c>
      <c r="E2315" s="2847" t="s">
        <v>23</v>
      </c>
      <c r="F2315" s="2847" t="s">
        <v>24</v>
      </c>
      <c r="G2315" s="2847" t="s">
        <v>25</v>
      </c>
      <c r="H2315" s="2847" t="s">
        <v>26</v>
      </c>
      <c r="I2315" s="2847" t="s">
        <v>27</v>
      </c>
      <c r="J2315" s="3206" t="s">
        <v>28</v>
      </c>
      <c r="K2315" s="3301"/>
      <c r="L2315" s="2988" t="s">
        <v>279</v>
      </c>
      <c r="M2315" s="2847" t="s">
        <v>280</v>
      </c>
      <c r="N2315" s="1017"/>
      <c r="O2315" s="2847" t="s">
        <v>281</v>
      </c>
      <c r="P2315" s="2847"/>
      <c r="Q2315" s="2847"/>
      <c r="R2315" s="2847"/>
      <c r="S2315" s="2847"/>
      <c r="T2315" s="2847"/>
      <c r="U2315" s="2847"/>
      <c r="V2315" s="2847"/>
      <c r="W2315" s="2847"/>
      <c r="X2315" s="2847"/>
      <c r="Y2315" s="2847"/>
      <c r="Z2315" s="2847"/>
      <c r="AA2315" s="3358" t="s">
        <v>32</v>
      </c>
      <c r="AB2315" s="1210"/>
      <c r="AC2315" s="1199"/>
      <c r="AD2315" s="1211"/>
    </row>
    <row r="2316" spans="1:30" x14ac:dyDescent="0.2">
      <c r="A2316" s="1422"/>
      <c r="B2316" s="2999"/>
      <c r="C2316" s="3359"/>
      <c r="D2316" s="2847"/>
      <c r="E2316" s="2847"/>
      <c r="F2316" s="2847"/>
      <c r="G2316" s="2847"/>
      <c r="H2316" s="2847"/>
      <c r="I2316" s="2847"/>
      <c r="J2316" s="1007" t="s">
        <v>33</v>
      </c>
      <c r="K2316" s="2988" t="s">
        <v>282</v>
      </c>
      <c r="L2316" s="3186"/>
      <c r="M2316" s="2847"/>
      <c r="N2316" s="1017"/>
      <c r="O2316" s="1009" t="s">
        <v>283</v>
      </c>
      <c r="P2316" s="1009" t="s">
        <v>284</v>
      </c>
      <c r="Q2316" s="1009" t="s">
        <v>285</v>
      </c>
      <c r="R2316" s="1009" t="s">
        <v>88</v>
      </c>
      <c r="S2316" s="1009" t="s">
        <v>89</v>
      </c>
      <c r="T2316" s="1009" t="s">
        <v>90</v>
      </c>
      <c r="U2316" s="1009" t="s">
        <v>91</v>
      </c>
      <c r="V2316" s="1009" t="s">
        <v>92</v>
      </c>
      <c r="W2316" s="1009" t="s">
        <v>286</v>
      </c>
      <c r="X2316" s="1009" t="s">
        <v>93</v>
      </c>
      <c r="Y2316" s="1009" t="s">
        <v>94</v>
      </c>
      <c r="Z2316" s="1009" t="s">
        <v>95</v>
      </c>
      <c r="AA2316" s="3358"/>
      <c r="AB2316" s="1210"/>
      <c r="AC2316" s="1199"/>
      <c r="AD2316" s="1211"/>
    </row>
    <row r="2317" spans="1:30" ht="12.75" x14ac:dyDescent="0.2">
      <c r="A2317" s="1422"/>
      <c r="B2317" s="2999"/>
      <c r="C2317" s="3359"/>
      <c r="D2317" s="2847"/>
      <c r="E2317" s="2847"/>
      <c r="F2317" s="2847"/>
      <c r="G2317" s="2847"/>
      <c r="H2317" s="2847"/>
      <c r="I2317" s="2847"/>
      <c r="J2317" s="106"/>
      <c r="K2317" s="3186"/>
      <c r="L2317" s="3186"/>
      <c r="M2317" s="1009" t="s">
        <v>287</v>
      </c>
      <c r="N2317" s="1009"/>
      <c r="O2317" s="40">
        <v>16458</v>
      </c>
      <c r="P2317" s="40">
        <v>19458</v>
      </c>
      <c r="Q2317" s="40">
        <v>19458</v>
      </c>
      <c r="R2317" s="40">
        <v>19460</v>
      </c>
      <c r="S2317" s="40">
        <v>19460</v>
      </c>
      <c r="T2317" s="40">
        <v>19460</v>
      </c>
      <c r="U2317" s="40">
        <v>19460</v>
      </c>
      <c r="V2317" s="40">
        <v>19460</v>
      </c>
      <c r="W2317" s="40">
        <v>19460</v>
      </c>
      <c r="X2317" s="40">
        <v>19460</v>
      </c>
      <c r="Y2317" s="40">
        <v>19460</v>
      </c>
      <c r="Z2317" s="40">
        <v>19460</v>
      </c>
      <c r="AA2317" s="1205">
        <f t="shared" ref="AA2317:AA2334" si="366">SUM(O2317:Z2317)</f>
        <v>230514</v>
      </c>
      <c r="AB2317" s="1210"/>
      <c r="AC2317" s="1199"/>
      <c r="AD2317" s="1211"/>
    </row>
    <row r="2318" spans="1:30" ht="12.75" x14ac:dyDescent="0.2">
      <c r="A2318" s="1422"/>
      <c r="B2318" s="2999"/>
      <c r="C2318" s="3016"/>
      <c r="D2318" s="2847"/>
      <c r="E2318" s="2847"/>
      <c r="F2318" s="2847"/>
      <c r="G2318" s="2847"/>
      <c r="H2318" s="2847"/>
      <c r="I2318" s="2847"/>
      <c r="J2318" s="1008"/>
      <c r="K2318" s="2989"/>
      <c r="L2318" s="2989"/>
      <c r="M2318" s="1009" t="s">
        <v>34</v>
      </c>
      <c r="N2318" s="1009"/>
      <c r="O2318" s="40">
        <f>SUM(O2319:O2334)</f>
        <v>175238.16666666669</v>
      </c>
      <c r="P2318" s="40">
        <f t="shared" ref="P2318:Z2318" si="367">SUM(P2319:P2334)</f>
        <v>159638.16666666669</v>
      </c>
      <c r="Q2318" s="40">
        <f t="shared" si="367"/>
        <v>162318.16666666669</v>
      </c>
      <c r="R2318" s="40">
        <f t="shared" si="367"/>
        <v>162518.16666666669</v>
      </c>
      <c r="S2318" s="40">
        <f t="shared" si="367"/>
        <v>160318.16666666669</v>
      </c>
      <c r="T2318" s="40">
        <f t="shared" si="367"/>
        <v>161018.16666666669</v>
      </c>
      <c r="U2318" s="40">
        <f t="shared" si="367"/>
        <v>174018.16666666669</v>
      </c>
      <c r="V2318" s="40">
        <f t="shared" si="367"/>
        <v>161018.16666666669</v>
      </c>
      <c r="W2318" s="40">
        <f t="shared" si="367"/>
        <v>160318.16666666669</v>
      </c>
      <c r="X2318" s="40">
        <f t="shared" si="367"/>
        <v>161018.16666666669</v>
      </c>
      <c r="Y2318" s="40">
        <f t="shared" si="367"/>
        <v>160318.16666666669</v>
      </c>
      <c r="Z2318" s="40">
        <f t="shared" si="367"/>
        <v>172718.16666666669</v>
      </c>
      <c r="AA2318" s="1205">
        <f t="shared" si="366"/>
        <v>1970458.0000000007</v>
      </c>
      <c r="AB2318" s="1210"/>
      <c r="AC2318" s="1199"/>
      <c r="AD2318" s="1211"/>
    </row>
    <row r="2319" spans="1:30" x14ac:dyDescent="0.2">
      <c r="A2319" s="1422"/>
      <c r="B2319" s="2522">
        <v>5000098</v>
      </c>
      <c r="C2319" s="2438" t="s">
        <v>737</v>
      </c>
      <c r="D2319" s="2420">
        <v>78</v>
      </c>
      <c r="E2319" s="2420" t="s">
        <v>288</v>
      </c>
      <c r="F2319" s="2420" t="s">
        <v>313</v>
      </c>
      <c r="G2319" s="2420" t="s">
        <v>329</v>
      </c>
      <c r="H2319" s="2420"/>
      <c r="I2319" s="2420" t="s">
        <v>354</v>
      </c>
      <c r="J2319" s="2514">
        <v>233514</v>
      </c>
      <c r="K2319" s="40">
        <v>245112</v>
      </c>
      <c r="L2319" s="2431" t="s">
        <v>687</v>
      </c>
      <c r="M2319" s="111" t="s">
        <v>293</v>
      </c>
      <c r="N2319" s="111"/>
      <c r="O2319" s="40">
        <v>20426</v>
      </c>
      <c r="P2319" s="40">
        <v>20426</v>
      </c>
      <c r="Q2319" s="40">
        <v>20426</v>
      </c>
      <c r="R2319" s="40">
        <v>20426</v>
      </c>
      <c r="S2319" s="40">
        <v>20426</v>
      </c>
      <c r="T2319" s="40">
        <v>20426</v>
      </c>
      <c r="U2319" s="40">
        <v>20426</v>
      </c>
      <c r="V2319" s="40">
        <v>20426</v>
      </c>
      <c r="W2319" s="40">
        <v>20426</v>
      </c>
      <c r="X2319" s="40">
        <v>20426</v>
      </c>
      <c r="Y2319" s="40">
        <v>20426</v>
      </c>
      <c r="Z2319" s="40">
        <v>20426</v>
      </c>
      <c r="AA2319" s="966">
        <f t="shared" si="366"/>
        <v>245112</v>
      </c>
      <c r="AB2319" s="1210"/>
      <c r="AC2319" s="1199"/>
      <c r="AD2319" s="1211"/>
    </row>
    <row r="2320" spans="1:30" x14ac:dyDescent="0.2">
      <c r="A2320" s="1422"/>
      <c r="B2320" s="2522"/>
      <c r="C2320" s="2456"/>
      <c r="D2320" s="2420"/>
      <c r="E2320" s="2420"/>
      <c r="F2320" s="2420"/>
      <c r="G2320" s="2420"/>
      <c r="H2320" s="2420"/>
      <c r="I2320" s="2420"/>
      <c r="J2320" s="2515"/>
      <c r="K2320" s="40">
        <v>26868</v>
      </c>
      <c r="L2320" s="2432"/>
      <c r="M2320" s="111" t="s">
        <v>321</v>
      </c>
      <c r="N2320" s="111"/>
      <c r="O2320" s="40">
        <v>2239</v>
      </c>
      <c r="P2320" s="40">
        <v>2239</v>
      </c>
      <c r="Q2320" s="40">
        <v>2239</v>
      </c>
      <c r="R2320" s="40">
        <v>2239</v>
      </c>
      <c r="S2320" s="40">
        <v>2239</v>
      </c>
      <c r="T2320" s="40">
        <v>2239</v>
      </c>
      <c r="U2320" s="40">
        <v>2239</v>
      </c>
      <c r="V2320" s="40">
        <v>2239</v>
      </c>
      <c r="W2320" s="40">
        <v>2239</v>
      </c>
      <c r="X2320" s="40">
        <v>2239</v>
      </c>
      <c r="Y2320" s="40">
        <v>2239</v>
      </c>
      <c r="Z2320" s="40">
        <v>2239</v>
      </c>
      <c r="AA2320" s="966">
        <f t="shared" si="366"/>
        <v>26868</v>
      </c>
      <c r="AB2320" s="1210"/>
      <c r="AC2320" s="1199"/>
      <c r="AD2320" s="1211"/>
    </row>
    <row r="2321" spans="1:30" x14ac:dyDescent="0.2">
      <c r="A2321" s="1422"/>
      <c r="B2321" s="2522"/>
      <c r="C2321" s="2456"/>
      <c r="D2321" s="2420"/>
      <c r="E2321" s="2420"/>
      <c r="F2321" s="2420"/>
      <c r="G2321" s="2420"/>
      <c r="H2321" s="2420"/>
      <c r="I2321" s="2420"/>
      <c r="J2321" s="2515"/>
      <c r="K2321" s="40">
        <v>976968</v>
      </c>
      <c r="L2321" s="2432"/>
      <c r="M2321" s="111" t="s">
        <v>294</v>
      </c>
      <c r="N2321" s="111"/>
      <c r="O2321" s="40">
        <v>81414</v>
      </c>
      <c r="P2321" s="40">
        <v>81414</v>
      </c>
      <c r="Q2321" s="40">
        <v>81414</v>
      </c>
      <c r="R2321" s="40">
        <v>81414</v>
      </c>
      <c r="S2321" s="40">
        <v>81414</v>
      </c>
      <c r="T2321" s="40">
        <v>81414</v>
      </c>
      <c r="U2321" s="40">
        <v>81414</v>
      </c>
      <c r="V2321" s="40">
        <v>81414</v>
      </c>
      <c r="W2321" s="40">
        <v>81414</v>
      </c>
      <c r="X2321" s="40">
        <v>81414</v>
      </c>
      <c r="Y2321" s="40">
        <v>81414</v>
      </c>
      <c r="Z2321" s="40">
        <v>81414</v>
      </c>
      <c r="AA2321" s="966">
        <f t="shared" si="366"/>
        <v>976968</v>
      </c>
      <c r="AB2321" s="1210"/>
      <c r="AC2321" s="1199"/>
      <c r="AD2321" s="1211"/>
    </row>
    <row r="2322" spans="1:30" x14ac:dyDescent="0.2">
      <c r="A2322" s="1422"/>
      <c r="B2322" s="2522"/>
      <c r="C2322" s="2456"/>
      <c r="D2322" s="2420"/>
      <c r="E2322" s="2420"/>
      <c r="F2322" s="2420"/>
      <c r="G2322" s="2420"/>
      <c r="H2322" s="2420"/>
      <c r="I2322" s="2420"/>
      <c r="J2322" s="2515"/>
      <c r="K2322" s="40">
        <v>191888</v>
      </c>
      <c r="L2322" s="2432"/>
      <c r="M2322" s="111" t="s">
        <v>295</v>
      </c>
      <c r="N2322" s="111"/>
      <c r="O2322" s="40">
        <v>15990.666666666666</v>
      </c>
      <c r="P2322" s="40">
        <v>15990.666666666666</v>
      </c>
      <c r="Q2322" s="40">
        <v>15990.666666666666</v>
      </c>
      <c r="R2322" s="40">
        <v>15990.666666666666</v>
      </c>
      <c r="S2322" s="40">
        <v>15990.666666666666</v>
      </c>
      <c r="T2322" s="40">
        <v>15990.666666666666</v>
      </c>
      <c r="U2322" s="40">
        <v>15990.666666666666</v>
      </c>
      <c r="V2322" s="40">
        <v>15990.666666666666</v>
      </c>
      <c r="W2322" s="40">
        <v>15990.666666666666</v>
      </c>
      <c r="X2322" s="40">
        <v>15990.666666666666</v>
      </c>
      <c r="Y2322" s="40">
        <v>15990.666666666666</v>
      </c>
      <c r="Z2322" s="40">
        <v>15990.666666666666</v>
      </c>
      <c r="AA2322" s="966">
        <f t="shared" si="366"/>
        <v>191887.99999999997</v>
      </c>
      <c r="AB2322" s="1210"/>
      <c r="AC2322" s="1199"/>
      <c r="AD2322" s="1211"/>
    </row>
    <row r="2323" spans="1:30" x14ac:dyDescent="0.2">
      <c r="A2323" s="1422"/>
      <c r="B2323" s="2522"/>
      <c r="C2323" s="2456"/>
      <c r="D2323" s="2420"/>
      <c r="E2323" s="2420"/>
      <c r="F2323" s="2420"/>
      <c r="G2323" s="2420"/>
      <c r="H2323" s="2420"/>
      <c r="I2323" s="2420"/>
      <c r="J2323" s="2515"/>
      <c r="K2323" s="40">
        <v>309933</v>
      </c>
      <c r="L2323" s="2432"/>
      <c r="M2323" s="111" t="s">
        <v>296</v>
      </c>
      <c r="N2323" s="111"/>
      <c r="O2323" s="40">
        <v>25827.75</v>
      </c>
      <c r="P2323" s="40">
        <v>25827.75</v>
      </c>
      <c r="Q2323" s="40">
        <v>25827.75</v>
      </c>
      <c r="R2323" s="40">
        <v>25827.75</v>
      </c>
      <c r="S2323" s="40">
        <v>25827.75</v>
      </c>
      <c r="T2323" s="40">
        <v>25827.75</v>
      </c>
      <c r="U2323" s="40">
        <v>25827.75</v>
      </c>
      <c r="V2323" s="40">
        <v>25827.75</v>
      </c>
      <c r="W2323" s="40">
        <v>25827.75</v>
      </c>
      <c r="X2323" s="40">
        <v>25827.75</v>
      </c>
      <c r="Y2323" s="40">
        <v>25827.75</v>
      </c>
      <c r="Z2323" s="40">
        <v>25827.75</v>
      </c>
      <c r="AA2323" s="966">
        <f t="shared" si="366"/>
        <v>309933</v>
      </c>
      <c r="AB2323" s="1210"/>
      <c r="AC2323" s="1199"/>
      <c r="AD2323" s="1211"/>
    </row>
    <row r="2324" spans="1:30" x14ac:dyDescent="0.2">
      <c r="A2324" s="1422"/>
      <c r="B2324" s="2522"/>
      <c r="C2324" s="2456"/>
      <c r="D2324" s="2420"/>
      <c r="E2324" s="2420"/>
      <c r="F2324" s="2420"/>
      <c r="G2324" s="2420"/>
      <c r="H2324" s="2420"/>
      <c r="I2324" s="2420"/>
      <c r="J2324" s="2515"/>
      <c r="K2324" s="40">
        <v>26472</v>
      </c>
      <c r="L2324" s="2432"/>
      <c r="M2324" s="111" t="s">
        <v>297</v>
      </c>
      <c r="N2324" s="111"/>
      <c r="O2324" s="40">
        <v>2206</v>
      </c>
      <c r="P2324" s="40">
        <v>2206</v>
      </c>
      <c r="Q2324" s="40">
        <v>2206</v>
      </c>
      <c r="R2324" s="40">
        <v>2206</v>
      </c>
      <c r="S2324" s="40">
        <v>2206</v>
      </c>
      <c r="T2324" s="40">
        <v>2206</v>
      </c>
      <c r="U2324" s="40">
        <v>2206</v>
      </c>
      <c r="V2324" s="40">
        <v>2206</v>
      </c>
      <c r="W2324" s="40">
        <v>2206</v>
      </c>
      <c r="X2324" s="40">
        <v>2206</v>
      </c>
      <c r="Y2324" s="40">
        <v>2206</v>
      </c>
      <c r="Z2324" s="40">
        <v>2206</v>
      </c>
      <c r="AA2324" s="966">
        <f t="shared" si="366"/>
        <v>26472</v>
      </c>
      <c r="AB2324" s="1210"/>
      <c r="AC2324" s="1199"/>
      <c r="AD2324" s="1211"/>
    </row>
    <row r="2325" spans="1:30" x14ac:dyDescent="0.2">
      <c r="A2325" s="1422"/>
      <c r="B2325" s="2522"/>
      <c r="C2325" s="2456"/>
      <c r="D2325" s="2420"/>
      <c r="E2325" s="2420"/>
      <c r="F2325" s="2420"/>
      <c r="G2325" s="2420"/>
      <c r="H2325" s="2420"/>
      <c r="I2325" s="2420"/>
      <c r="J2325" s="2515"/>
      <c r="K2325" s="40">
        <v>23400</v>
      </c>
      <c r="L2325" s="2432"/>
      <c r="M2325" s="111" t="s">
        <v>298</v>
      </c>
      <c r="N2325" s="111"/>
      <c r="O2325" s="40"/>
      <c r="P2325" s="40"/>
      <c r="Q2325" s="40"/>
      <c r="R2325" s="40"/>
      <c r="S2325" s="40"/>
      <c r="T2325" s="40"/>
      <c r="U2325" s="40">
        <v>11700</v>
      </c>
      <c r="V2325" s="40"/>
      <c r="W2325" s="40"/>
      <c r="X2325" s="40"/>
      <c r="Y2325" s="40"/>
      <c r="Z2325" s="40">
        <v>11700</v>
      </c>
      <c r="AA2325" s="966">
        <f t="shared" si="366"/>
        <v>23400</v>
      </c>
      <c r="AB2325" s="1210"/>
      <c r="AC2325" s="1199"/>
      <c r="AD2325" s="1211"/>
    </row>
    <row r="2326" spans="1:30" x14ac:dyDescent="0.2">
      <c r="A2326" s="1422"/>
      <c r="B2326" s="2522"/>
      <c r="C2326" s="2456"/>
      <c r="D2326" s="2420"/>
      <c r="E2326" s="2420"/>
      <c r="F2326" s="2420"/>
      <c r="G2326" s="2420"/>
      <c r="H2326" s="2420"/>
      <c r="I2326" s="2420"/>
      <c r="J2326" s="2515"/>
      <c r="K2326" s="40">
        <v>15600</v>
      </c>
      <c r="L2326" s="2432"/>
      <c r="M2326" s="111" t="s">
        <v>299</v>
      </c>
      <c r="N2326" s="111"/>
      <c r="O2326" s="40">
        <v>15600</v>
      </c>
      <c r="P2326" s="40"/>
      <c r="Q2326" s="40"/>
      <c r="R2326" s="40"/>
      <c r="S2326" s="40"/>
      <c r="T2326" s="40"/>
      <c r="U2326" s="40"/>
      <c r="V2326" s="40"/>
      <c r="W2326" s="40"/>
      <c r="X2326" s="40"/>
      <c r="Y2326" s="40"/>
      <c r="Z2326" s="40"/>
      <c r="AA2326" s="966">
        <f t="shared" si="366"/>
        <v>15600</v>
      </c>
      <c r="AB2326" s="1210"/>
      <c r="AC2326" s="1199"/>
      <c r="AD2326" s="1211"/>
    </row>
    <row r="2327" spans="1:30" x14ac:dyDescent="0.2">
      <c r="A2327" s="1422"/>
      <c r="B2327" s="2522"/>
      <c r="C2327" s="2456"/>
      <c r="D2327" s="2420"/>
      <c r="E2327" s="2420"/>
      <c r="F2327" s="2420"/>
      <c r="G2327" s="2420"/>
      <c r="H2327" s="2420"/>
      <c r="I2327" s="2420"/>
      <c r="J2327" s="2515"/>
      <c r="K2327" s="40">
        <v>82966</v>
      </c>
      <c r="L2327" s="2432"/>
      <c r="M2327" s="111" t="s">
        <v>300</v>
      </c>
      <c r="N2327" s="111"/>
      <c r="O2327" s="40">
        <v>6913.833333333333</v>
      </c>
      <c r="P2327" s="40">
        <v>6913.833333333333</v>
      </c>
      <c r="Q2327" s="40">
        <v>6913.833333333333</v>
      </c>
      <c r="R2327" s="40">
        <v>6913.833333333333</v>
      </c>
      <c r="S2327" s="40">
        <v>6913.833333333333</v>
      </c>
      <c r="T2327" s="40">
        <v>6913.833333333333</v>
      </c>
      <c r="U2327" s="40">
        <v>6913.833333333333</v>
      </c>
      <c r="V2327" s="40">
        <v>6913.833333333333</v>
      </c>
      <c r="W2327" s="40">
        <v>6913.833333333333</v>
      </c>
      <c r="X2327" s="40">
        <v>6913.833333333333</v>
      </c>
      <c r="Y2327" s="40">
        <v>6913.833333333333</v>
      </c>
      <c r="Z2327" s="40">
        <v>6913.833333333333</v>
      </c>
      <c r="AA2327" s="966">
        <f t="shared" si="366"/>
        <v>82966</v>
      </c>
      <c r="AB2327" s="1210"/>
      <c r="AC2327" s="1199"/>
      <c r="AD2327" s="1211"/>
    </row>
    <row r="2328" spans="1:30" x14ac:dyDescent="0.2">
      <c r="A2328" s="1422"/>
      <c r="B2328" s="2522"/>
      <c r="C2328" s="2456"/>
      <c r="D2328" s="2420"/>
      <c r="E2328" s="2420"/>
      <c r="F2328" s="2420"/>
      <c r="G2328" s="2420"/>
      <c r="H2328" s="2420"/>
      <c r="I2328" s="2420"/>
      <c r="J2328" s="2515"/>
      <c r="K2328" s="40">
        <v>816</v>
      </c>
      <c r="L2328" s="2432"/>
      <c r="M2328" s="111" t="s">
        <v>301</v>
      </c>
      <c r="N2328" s="111"/>
      <c r="O2328" s="40">
        <v>68</v>
      </c>
      <c r="P2328" s="40">
        <v>68</v>
      </c>
      <c r="Q2328" s="40">
        <v>68</v>
      </c>
      <c r="R2328" s="40">
        <v>68</v>
      </c>
      <c r="S2328" s="40">
        <v>68</v>
      </c>
      <c r="T2328" s="40">
        <v>68</v>
      </c>
      <c r="U2328" s="40">
        <v>68</v>
      </c>
      <c r="V2328" s="40">
        <v>68</v>
      </c>
      <c r="W2328" s="40">
        <v>68</v>
      </c>
      <c r="X2328" s="40">
        <v>68</v>
      </c>
      <c r="Y2328" s="40">
        <v>68</v>
      </c>
      <c r="Z2328" s="40">
        <v>68</v>
      </c>
      <c r="AA2328" s="966">
        <f t="shared" si="366"/>
        <v>816</v>
      </c>
      <c r="AB2328" s="1210"/>
      <c r="AC2328" s="1199"/>
      <c r="AD2328" s="1211"/>
    </row>
    <row r="2329" spans="1:30" x14ac:dyDescent="0.2">
      <c r="A2329" s="1422"/>
      <c r="B2329" s="2522"/>
      <c r="C2329" s="2456"/>
      <c r="D2329" s="2420"/>
      <c r="E2329" s="2420"/>
      <c r="F2329" s="2420"/>
      <c r="G2329" s="2420"/>
      <c r="H2329" s="2420"/>
      <c r="I2329" s="2420"/>
      <c r="J2329" s="2515"/>
      <c r="K2329" s="40">
        <v>1500</v>
      </c>
      <c r="L2329" s="2432"/>
      <c r="M2329" s="111" t="s">
        <v>304</v>
      </c>
      <c r="N2329" s="111"/>
      <c r="O2329" s="40"/>
      <c r="P2329" s="40"/>
      <c r="Q2329" s="40"/>
      <c r="R2329" s="40">
        <v>1500</v>
      </c>
      <c r="S2329" s="40"/>
      <c r="T2329" s="40"/>
      <c r="U2329" s="40"/>
      <c r="V2329" s="40"/>
      <c r="W2329" s="40"/>
      <c r="X2329" s="40"/>
      <c r="Y2329" s="40"/>
      <c r="Z2329" s="40"/>
      <c r="AA2329" s="966">
        <f t="shared" si="366"/>
        <v>1500</v>
      </c>
      <c r="AB2329" s="1210"/>
      <c r="AC2329" s="1199"/>
      <c r="AD2329" s="1211"/>
    </row>
    <row r="2330" spans="1:30" x14ac:dyDescent="0.2">
      <c r="A2330" s="1422"/>
      <c r="B2330" s="2522"/>
      <c r="C2330" s="2456"/>
      <c r="D2330" s="2420"/>
      <c r="E2330" s="2420"/>
      <c r="F2330" s="2420"/>
      <c r="G2330" s="2420"/>
      <c r="H2330" s="2420"/>
      <c r="I2330" s="2420"/>
      <c r="J2330" s="2515"/>
      <c r="K2330" s="40">
        <v>6800</v>
      </c>
      <c r="L2330" s="2432"/>
      <c r="M2330" s="111" t="s">
        <v>355</v>
      </c>
      <c r="N2330" s="111"/>
      <c r="O2330" s="40"/>
      <c r="P2330" s="40"/>
      <c r="Q2330" s="40">
        <v>680</v>
      </c>
      <c r="R2330" s="40">
        <v>680</v>
      </c>
      <c r="S2330" s="40">
        <v>680</v>
      </c>
      <c r="T2330" s="40">
        <v>680</v>
      </c>
      <c r="U2330" s="40">
        <v>680</v>
      </c>
      <c r="V2330" s="40">
        <v>680</v>
      </c>
      <c r="W2330" s="40">
        <v>680</v>
      </c>
      <c r="X2330" s="40">
        <v>680</v>
      </c>
      <c r="Y2330" s="40">
        <v>680</v>
      </c>
      <c r="Z2330" s="40">
        <v>680</v>
      </c>
      <c r="AA2330" s="966">
        <f t="shared" si="366"/>
        <v>6800</v>
      </c>
      <c r="AB2330" s="1210"/>
      <c r="AC2330" s="1199"/>
      <c r="AD2330" s="1211"/>
    </row>
    <row r="2331" spans="1:30" x14ac:dyDescent="0.2">
      <c r="A2331" s="1422"/>
      <c r="B2331" s="2522"/>
      <c r="C2331" s="2456"/>
      <c r="D2331" s="2420"/>
      <c r="E2331" s="2420"/>
      <c r="F2331" s="2420"/>
      <c r="G2331" s="2420"/>
      <c r="H2331" s="2420"/>
      <c r="I2331" s="2420"/>
      <c r="J2331" s="2515"/>
      <c r="K2331" s="40">
        <v>4000</v>
      </c>
      <c r="L2331" s="2432"/>
      <c r="M2331" s="111" t="s">
        <v>308</v>
      </c>
      <c r="N2331" s="111"/>
      <c r="O2331" s="40"/>
      <c r="P2331" s="40"/>
      <c r="Q2331" s="40">
        <v>2000</v>
      </c>
      <c r="R2331" s="40"/>
      <c r="S2331" s="40"/>
      <c r="T2331" s="40"/>
      <c r="U2331" s="40">
        <v>2000</v>
      </c>
      <c r="V2331" s="40"/>
      <c r="W2331" s="40"/>
      <c r="X2331" s="40"/>
      <c r="Y2331" s="40"/>
      <c r="Z2331" s="40"/>
      <c r="AA2331" s="966">
        <f t="shared" si="366"/>
        <v>4000</v>
      </c>
      <c r="AB2331" s="1210"/>
      <c r="AC2331" s="1199"/>
      <c r="AD2331" s="1211"/>
    </row>
    <row r="2332" spans="1:30" x14ac:dyDescent="0.2">
      <c r="A2332" s="1422"/>
      <c r="B2332" s="2522"/>
      <c r="C2332" s="2456"/>
      <c r="D2332" s="2420"/>
      <c r="E2332" s="2420"/>
      <c r="F2332" s="2420"/>
      <c r="G2332" s="2420"/>
      <c r="H2332" s="2420"/>
      <c r="I2332" s="2420"/>
      <c r="J2332" s="2515"/>
      <c r="K2332" s="40">
        <v>3500</v>
      </c>
      <c r="L2332" s="2432"/>
      <c r="M2332" s="111" t="s">
        <v>309</v>
      </c>
      <c r="N2332" s="111"/>
      <c r="O2332" s="40"/>
      <c r="P2332" s="40"/>
      <c r="Q2332" s="40"/>
      <c r="R2332" s="40">
        <v>700</v>
      </c>
      <c r="S2332" s="40"/>
      <c r="T2332" s="40">
        <v>700</v>
      </c>
      <c r="U2332" s="40"/>
      <c r="V2332" s="40">
        <v>700</v>
      </c>
      <c r="W2332" s="40"/>
      <c r="X2332" s="40">
        <v>700</v>
      </c>
      <c r="Y2332" s="40"/>
      <c r="Z2332" s="40">
        <v>700</v>
      </c>
      <c r="AA2332" s="966">
        <f t="shared" si="366"/>
        <v>3500</v>
      </c>
      <c r="AB2332" s="1210"/>
      <c r="AC2332" s="1199"/>
      <c r="AD2332" s="1211"/>
    </row>
    <row r="2333" spans="1:30" x14ac:dyDescent="0.2">
      <c r="A2333" s="1422"/>
      <c r="B2333" s="2522"/>
      <c r="C2333" s="2456"/>
      <c r="D2333" s="2420"/>
      <c r="E2333" s="2420"/>
      <c r="F2333" s="2420"/>
      <c r="G2333" s="2420"/>
      <c r="H2333" s="2420"/>
      <c r="I2333" s="2420"/>
      <c r="J2333" s="2515"/>
      <c r="K2333" s="40">
        <v>50367</v>
      </c>
      <c r="L2333" s="2432"/>
      <c r="M2333" s="111" t="s">
        <v>310</v>
      </c>
      <c r="N2333" s="111"/>
      <c r="O2333" s="40">
        <v>4197.25</v>
      </c>
      <c r="P2333" s="40">
        <v>4197.25</v>
      </c>
      <c r="Q2333" s="40">
        <v>4197.25</v>
      </c>
      <c r="R2333" s="40">
        <v>4197.25</v>
      </c>
      <c r="S2333" s="40">
        <v>4197.25</v>
      </c>
      <c r="T2333" s="40">
        <v>4197.25</v>
      </c>
      <c r="U2333" s="40">
        <v>4197.25</v>
      </c>
      <c r="V2333" s="40">
        <v>4197.25</v>
      </c>
      <c r="W2333" s="40">
        <v>4197.25</v>
      </c>
      <c r="X2333" s="40">
        <v>4197.25</v>
      </c>
      <c r="Y2333" s="40">
        <v>4197.25</v>
      </c>
      <c r="Z2333" s="40">
        <v>4197.25</v>
      </c>
      <c r="AA2333" s="966">
        <f t="shared" si="366"/>
        <v>50367</v>
      </c>
      <c r="AB2333" s="1210"/>
      <c r="AC2333" s="1199"/>
      <c r="AD2333" s="1211"/>
    </row>
    <row r="2334" spans="1:30" x14ac:dyDescent="0.2">
      <c r="A2334" s="1422"/>
      <c r="B2334" s="2522"/>
      <c r="C2334" s="2450"/>
      <c r="D2334" s="2420"/>
      <c r="E2334" s="2420"/>
      <c r="F2334" s="2420"/>
      <c r="G2334" s="2420"/>
      <c r="H2334" s="2420"/>
      <c r="I2334" s="2420"/>
      <c r="J2334" s="2516"/>
      <c r="K2334" s="40">
        <v>4268</v>
      </c>
      <c r="L2334" s="2432"/>
      <c r="M2334" s="111" t="s">
        <v>311</v>
      </c>
      <c r="N2334" s="111"/>
      <c r="O2334" s="40">
        <v>355.66666666666669</v>
      </c>
      <c r="P2334" s="40">
        <v>355.66666666666669</v>
      </c>
      <c r="Q2334" s="40">
        <v>355.66666666666669</v>
      </c>
      <c r="R2334" s="40">
        <v>355.66666666666669</v>
      </c>
      <c r="S2334" s="40">
        <v>355.66666666666669</v>
      </c>
      <c r="T2334" s="40">
        <v>355.66666666666669</v>
      </c>
      <c r="U2334" s="40">
        <v>355.66666666666669</v>
      </c>
      <c r="V2334" s="40">
        <v>355.66666666666669</v>
      </c>
      <c r="W2334" s="40">
        <v>355.66666666666669</v>
      </c>
      <c r="X2334" s="40">
        <v>355.66666666666669</v>
      </c>
      <c r="Y2334" s="40">
        <v>355.66666666666669</v>
      </c>
      <c r="Z2334" s="40">
        <v>355.66666666666669</v>
      </c>
      <c r="AA2334" s="966">
        <f t="shared" si="366"/>
        <v>4267.9999999999991</v>
      </c>
      <c r="AB2334" s="1210"/>
      <c r="AC2334" s="1199"/>
      <c r="AD2334" s="1211"/>
    </row>
    <row r="2335" spans="1:30" x14ac:dyDescent="0.2">
      <c r="A2335" s="1422"/>
      <c r="B2335" s="1427" t="s">
        <v>312</v>
      </c>
      <c r="C2335" s="1128"/>
      <c r="D2335" s="38"/>
      <c r="E2335" s="38"/>
      <c r="F2335" s="38"/>
      <c r="G2335" s="38"/>
      <c r="H2335" s="38"/>
      <c r="I2335" s="38"/>
      <c r="J2335" s="38"/>
      <c r="K2335" s="40">
        <f>SUM(K2319:K2334)</f>
        <v>1970458</v>
      </c>
      <c r="L2335" s="2437"/>
      <c r="M2335" s="38"/>
      <c r="N2335" s="38"/>
      <c r="O2335" s="40">
        <v>175238.16666666669</v>
      </c>
      <c r="P2335" s="40">
        <v>159638.16666666669</v>
      </c>
      <c r="Q2335" s="40">
        <v>162318.16666666669</v>
      </c>
      <c r="R2335" s="40">
        <v>162518.16666666669</v>
      </c>
      <c r="S2335" s="40">
        <v>160318.16666666669</v>
      </c>
      <c r="T2335" s="40">
        <v>161018.16666666669</v>
      </c>
      <c r="U2335" s="40">
        <v>174018.16666666669</v>
      </c>
      <c r="V2335" s="40">
        <v>161018.16666666669</v>
      </c>
      <c r="W2335" s="40">
        <v>160318.16666666669</v>
      </c>
      <c r="X2335" s="40">
        <v>161018.16666666669</v>
      </c>
      <c r="Y2335" s="40">
        <v>160318.16666666669</v>
      </c>
      <c r="Z2335" s="40">
        <v>172718.16666666669</v>
      </c>
      <c r="AA2335" s="1964"/>
      <c r="AB2335" s="1210"/>
      <c r="AC2335" s="1199"/>
      <c r="AD2335" s="1211"/>
    </row>
    <row r="2336" spans="1:30" x14ac:dyDescent="0.2">
      <c r="A2336" s="1422"/>
      <c r="B2336" s="1422"/>
      <c r="C2336" s="1124"/>
      <c r="D2336" s="35"/>
      <c r="E2336" s="35"/>
      <c r="F2336" s="35"/>
      <c r="G2336" s="35"/>
      <c r="H2336" s="35"/>
      <c r="I2336" s="35"/>
      <c r="J2336" s="35"/>
      <c r="K2336" s="35"/>
      <c r="L2336" s="35"/>
      <c r="M2336" s="35"/>
      <c r="N2336" s="35"/>
      <c r="O2336" s="35"/>
      <c r="P2336" s="35"/>
      <c r="Q2336" s="35"/>
      <c r="R2336" s="35"/>
      <c r="S2336" s="35"/>
      <c r="T2336" s="35"/>
      <c r="U2336" s="35"/>
      <c r="V2336" s="35"/>
      <c r="W2336" s="35"/>
      <c r="X2336" s="35"/>
      <c r="Y2336" s="35"/>
      <c r="Z2336" s="35"/>
      <c r="AA2336" s="1199"/>
      <c r="AB2336" s="1210"/>
      <c r="AC2336" s="1199"/>
      <c r="AD2336" s="1211"/>
    </row>
    <row r="2337" spans="1:30" x14ac:dyDescent="0.2">
      <c r="A2337" s="1422"/>
      <c r="B2337" s="1422"/>
      <c r="C2337" s="1124"/>
      <c r="D2337" s="35"/>
      <c r="E2337" s="35"/>
      <c r="F2337" s="35"/>
      <c r="G2337" s="35"/>
      <c r="H2337" s="35"/>
      <c r="I2337" s="35"/>
      <c r="J2337" s="35"/>
      <c r="K2337" s="35"/>
      <c r="L2337" s="35"/>
      <c r="M2337" s="35"/>
      <c r="N2337" s="35"/>
      <c r="O2337" s="35"/>
      <c r="P2337" s="35"/>
      <c r="Q2337" s="35"/>
      <c r="R2337" s="35"/>
      <c r="S2337" s="35"/>
      <c r="T2337" s="35"/>
      <c r="U2337" s="35"/>
      <c r="V2337" s="35"/>
      <c r="W2337" s="35"/>
      <c r="X2337" s="35"/>
      <c r="Y2337" s="35"/>
      <c r="Z2337" s="35"/>
      <c r="AA2337" s="1199"/>
      <c r="AB2337" s="1210"/>
      <c r="AC2337" s="1199"/>
      <c r="AD2337" s="1211"/>
    </row>
    <row r="2338" spans="1:30" ht="24.75" customHeight="1" x14ac:dyDescent="0.2">
      <c r="A2338" s="1422"/>
      <c r="B2338" s="1433" t="s">
        <v>276</v>
      </c>
      <c r="C2338" s="1119"/>
      <c r="D2338" s="35"/>
      <c r="E2338" s="199"/>
      <c r="F2338" s="35"/>
      <c r="G2338" s="35"/>
      <c r="H2338" s="35"/>
      <c r="I2338" s="35"/>
      <c r="J2338" s="35"/>
      <c r="K2338" s="35"/>
      <c r="L2338" s="35"/>
      <c r="M2338" s="35"/>
      <c r="N2338" s="35"/>
      <c r="O2338" s="35"/>
      <c r="P2338" s="35"/>
      <c r="Q2338" s="35"/>
      <c r="R2338" s="35"/>
      <c r="S2338" s="3333" t="s">
        <v>15</v>
      </c>
      <c r="T2338" s="3333"/>
      <c r="U2338" s="3333"/>
      <c r="V2338" s="3333"/>
      <c r="W2338" s="3333"/>
      <c r="X2338" s="3333"/>
      <c r="Y2338" s="3333"/>
      <c r="Z2338" s="3333"/>
      <c r="AA2338" s="1949" t="s">
        <v>16</v>
      </c>
      <c r="AB2338" s="1210"/>
      <c r="AC2338" s="1199"/>
      <c r="AD2338" s="1211"/>
    </row>
    <row r="2339" spans="1:30" ht="14.25" customHeight="1" x14ac:dyDescent="0.2">
      <c r="A2339" s="1422"/>
      <c r="B2339" s="1433"/>
      <c r="C2339" s="1119"/>
      <c r="D2339" s="116">
        <v>3043988</v>
      </c>
      <c r="E2339" s="113" t="s">
        <v>738</v>
      </c>
      <c r="F2339" s="113"/>
      <c r="G2339" s="35"/>
      <c r="H2339" s="35"/>
      <c r="I2339" s="35"/>
      <c r="J2339" s="35"/>
      <c r="K2339" s="35"/>
      <c r="L2339" s="35"/>
      <c r="M2339" s="35"/>
      <c r="N2339" s="35"/>
      <c r="O2339" s="35"/>
      <c r="P2339" s="35"/>
      <c r="Q2339" s="35"/>
      <c r="R2339" s="35"/>
      <c r="S2339" s="3333" t="s">
        <v>739</v>
      </c>
      <c r="T2339" s="3333"/>
      <c r="U2339" s="3333"/>
      <c r="V2339" s="3333"/>
      <c r="W2339" s="3333"/>
      <c r="X2339" s="3333"/>
      <c r="Y2339" s="3333"/>
      <c r="Z2339" s="3333"/>
      <c r="AA2339" s="1949" t="s">
        <v>376</v>
      </c>
      <c r="AB2339" s="1210"/>
      <c r="AC2339" s="1199"/>
      <c r="AD2339" s="1211"/>
    </row>
    <row r="2340" spans="1:30" x14ac:dyDescent="0.2">
      <c r="A2340" s="1422"/>
      <c r="B2340" s="2999" t="s">
        <v>278</v>
      </c>
      <c r="C2340" s="3015" t="s">
        <v>21</v>
      </c>
      <c r="D2340" s="2847" t="s">
        <v>22</v>
      </c>
      <c r="E2340" s="2847" t="s">
        <v>23</v>
      </c>
      <c r="F2340" s="2847" t="s">
        <v>24</v>
      </c>
      <c r="G2340" s="2847" t="s">
        <v>25</v>
      </c>
      <c r="H2340" s="2847" t="s">
        <v>26</v>
      </c>
      <c r="I2340" s="2847" t="s">
        <v>27</v>
      </c>
      <c r="J2340" s="3206" t="s">
        <v>28</v>
      </c>
      <c r="K2340" s="3301"/>
      <c r="L2340" s="2988" t="s">
        <v>279</v>
      </c>
      <c r="M2340" s="2847" t="s">
        <v>280</v>
      </c>
      <c r="N2340" s="1017"/>
      <c r="O2340" s="2847" t="s">
        <v>281</v>
      </c>
      <c r="P2340" s="2847"/>
      <c r="Q2340" s="2847"/>
      <c r="R2340" s="2847"/>
      <c r="S2340" s="2847"/>
      <c r="T2340" s="2847"/>
      <c r="U2340" s="2847"/>
      <c r="V2340" s="2847"/>
      <c r="W2340" s="2847"/>
      <c r="X2340" s="2847"/>
      <c r="Y2340" s="2847"/>
      <c r="Z2340" s="2847"/>
      <c r="AA2340" s="3358" t="s">
        <v>32</v>
      </c>
      <c r="AB2340" s="1210"/>
      <c r="AC2340" s="1199"/>
      <c r="AD2340" s="1211"/>
    </row>
    <row r="2341" spans="1:30" x14ac:dyDescent="0.2">
      <c r="A2341" s="1422"/>
      <c r="B2341" s="2999"/>
      <c r="C2341" s="3359"/>
      <c r="D2341" s="2847"/>
      <c r="E2341" s="2847"/>
      <c r="F2341" s="2847"/>
      <c r="G2341" s="2847"/>
      <c r="H2341" s="2847"/>
      <c r="I2341" s="2847"/>
      <c r="J2341" s="1007" t="s">
        <v>33</v>
      </c>
      <c r="K2341" s="2988" t="s">
        <v>282</v>
      </c>
      <c r="L2341" s="3186"/>
      <c r="M2341" s="2847"/>
      <c r="N2341" s="1017"/>
      <c r="O2341" s="1009" t="s">
        <v>283</v>
      </c>
      <c r="P2341" s="1009" t="s">
        <v>284</v>
      </c>
      <c r="Q2341" s="1009" t="s">
        <v>285</v>
      </c>
      <c r="R2341" s="1009" t="s">
        <v>88</v>
      </c>
      <c r="S2341" s="1009" t="s">
        <v>89</v>
      </c>
      <c r="T2341" s="1009" t="s">
        <v>90</v>
      </c>
      <c r="U2341" s="1009" t="s">
        <v>91</v>
      </c>
      <c r="V2341" s="1009" t="s">
        <v>92</v>
      </c>
      <c r="W2341" s="1009" t="s">
        <v>286</v>
      </c>
      <c r="X2341" s="1009" t="s">
        <v>93</v>
      </c>
      <c r="Y2341" s="1009" t="s">
        <v>94</v>
      </c>
      <c r="Z2341" s="1009" t="s">
        <v>95</v>
      </c>
      <c r="AA2341" s="3358"/>
      <c r="AB2341" s="1210"/>
      <c r="AC2341" s="1199"/>
      <c r="AD2341" s="1211"/>
    </row>
    <row r="2342" spans="1:30" ht="12.75" x14ac:dyDescent="0.2">
      <c r="A2342" s="1422"/>
      <c r="B2342" s="2999"/>
      <c r="C2342" s="3359"/>
      <c r="D2342" s="2847"/>
      <c r="E2342" s="2847"/>
      <c r="F2342" s="2847"/>
      <c r="G2342" s="2847"/>
      <c r="H2342" s="2847"/>
      <c r="I2342" s="2847"/>
      <c r="J2342" s="106"/>
      <c r="K2342" s="3186"/>
      <c r="L2342" s="3186"/>
      <c r="M2342" s="1009" t="s">
        <v>287</v>
      </c>
      <c r="N2342" s="1009"/>
      <c r="O2342" s="40">
        <v>1400.3333333333333</v>
      </c>
      <c r="P2342" s="40">
        <v>1400</v>
      </c>
      <c r="Q2342" s="40">
        <v>1400</v>
      </c>
      <c r="R2342" s="40">
        <v>1402</v>
      </c>
      <c r="S2342" s="40">
        <v>1402</v>
      </c>
      <c r="T2342" s="40">
        <v>1400</v>
      </c>
      <c r="U2342" s="40">
        <v>1400</v>
      </c>
      <c r="V2342" s="40">
        <v>1400</v>
      </c>
      <c r="W2342" s="40">
        <v>1400</v>
      </c>
      <c r="X2342" s="40">
        <v>1400</v>
      </c>
      <c r="Y2342" s="40">
        <v>1400</v>
      </c>
      <c r="Z2342" s="40">
        <v>1400</v>
      </c>
      <c r="AA2342" s="1205">
        <f t="shared" ref="AA2342:AA2358" si="368">SUM(O2342:Z2342)</f>
        <v>16804.333333333332</v>
      </c>
      <c r="AB2342" s="1210"/>
      <c r="AC2342" s="1199"/>
      <c r="AD2342" s="1211"/>
    </row>
    <row r="2343" spans="1:30" ht="12.75" x14ac:dyDescent="0.2">
      <c r="A2343" s="1422"/>
      <c r="B2343" s="2999"/>
      <c r="C2343" s="3016"/>
      <c r="D2343" s="2847"/>
      <c r="E2343" s="2847"/>
      <c r="F2343" s="2847"/>
      <c r="G2343" s="2847"/>
      <c r="H2343" s="2847"/>
      <c r="I2343" s="2847"/>
      <c r="J2343" s="1008"/>
      <c r="K2343" s="2989"/>
      <c r="L2343" s="2989"/>
      <c r="M2343" s="1009" t="s">
        <v>34</v>
      </c>
      <c r="N2343" s="1009"/>
      <c r="O2343" s="40">
        <f>SUM(O2344:O2358)</f>
        <v>57692.166666666657</v>
      </c>
      <c r="P2343" s="40">
        <f t="shared" ref="P2343:Z2343" si="369">SUM(P2344:P2358)</f>
        <v>54492.166666666657</v>
      </c>
      <c r="Q2343" s="40">
        <f t="shared" si="369"/>
        <v>56342.166666666657</v>
      </c>
      <c r="R2343" s="40">
        <f t="shared" si="369"/>
        <v>56192.166666666657</v>
      </c>
      <c r="S2343" s="40">
        <f t="shared" si="369"/>
        <v>54692.166666666657</v>
      </c>
      <c r="T2343" s="40">
        <f t="shared" si="369"/>
        <v>56192.166666666657</v>
      </c>
      <c r="U2343" s="40">
        <f t="shared" si="369"/>
        <v>58242.166666666657</v>
      </c>
      <c r="V2343" s="40">
        <f t="shared" si="369"/>
        <v>56192.166666666657</v>
      </c>
      <c r="W2343" s="40">
        <f t="shared" si="369"/>
        <v>54692.166666666657</v>
      </c>
      <c r="X2343" s="40">
        <f t="shared" si="369"/>
        <v>56192.166666666657</v>
      </c>
      <c r="Y2343" s="40">
        <f t="shared" si="369"/>
        <v>54692.166666666657</v>
      </c>
      <c r="Z2343" s="40">
        <f t="shared" si="369"/>
        <v>58592.166666666657</v>
      </c>
      <c r="AA2343" s="1205">
        <f t="shared" si="368"/>
        <v>674205.99999999965</v>
      </c>
      <c r="AB2343" s="1210"/>
      <c r="AC2343" s="1199"/>
      <c r="AD2343" s="1211"/>
    </row>
    <row r="2344" spans="1:30" x14ac:dyDescent="0.2">
      <c r="A2344" s="1422"/>
      <c r="B2344" s="2522">
        <v>5000099</v>
      </c>
      <c r="C2344" s="2438" t="s">
        <v>740</v>
      </c>
      <c r="D2344" s="2420"/>
      <c r="E2344" s="2420" t="s">
        <v>288</v>
      </c>
      <c r="F2344" s="2420" t="s">
        <v>313</v>
      </c>
      <c r="G2344" s="2420" t="s">
        <v>329</v>
      </c>
      <c r="H2344" s="2420"/>
      <c r="I2344" s="2420" t="s">
        <v>379</v>
      </c>
      <c r="J2344" s="2514">
        <v>16804</v>
      </c>
      <c r="K2344" s="40">
        <v>116056</v>
      </c>
      <c r="L2344" s="2431" t="s">
        <v>687</v>
      </c>
      <c r="M2344" s="111" t="s">
        <v>293</v>
      </c>
      <c r="N2344" s="111"/>
      <c r="O2344" s="40">
        <v>9671.3333333333339</v>
      </c>
      <c r="P2344" s="40">
        <v>9671.3333333333339</v>
      </c>
      <c r="Q2344" s="40">
        <v>9671.3333333333339</v>
      </c>
      <c r="R2344" s="40">
        <v>9671.3333333333339</v>
      </c>
      <c r="S2344" s="40">
        <v>9671.3333333333339</v>
      </c>
      <c r="T2344" s="40">
        <v>9671.3333333333339</v>
      </c>
      <c r="U2344" s="40">
        <v>9671.3333333333339</v>
      </c>
      <c r="V2344" s="40">
        <v>9671.3333333333339</v>
      </c>
      <c r="W2344" s="40">
        <v>9671.3333333333339</v>
      </c>
      <c r="X2344" s="40">
        <v>9671.3333333333339</v>
      </c>
      <c r="Y2344" s="40">
        <v>9671.3333333333339</v>
      </c>
      <c r="Z2344" s="40">
        <v>9671.3333333333339</v>
      </c>
      <c r="AA2344" s="966">
        <f t="shared" si="368"/>
        <v>116055.99999999999</v>
      </c>
      <c r="AB2344" s="1210"/>
      <c r="AC2344" s="1199"/>
      <c r="AD2344" s="1211"/>
    </row>
    <row r="2345" spans="1:30" x14ac:dyDescent="0.2">
      <c r="A2345" s="1422"/>
      <c r="B2345" s="2522"/>
      <c r="C2345" s="2456"/>
      <c r="D2345" s="2420"/>
      <c r="E2345" s="2420"/>
      <c r="F2345" s="2420"/>
      <c r="G2345" s="2420"/>
      <c r="H2345" s="2420"/>
      <c r="I2345" s="2420"/>
      <c r="J2345" s="2515"/>
      <c r="K2345" s="40">
        <v>26868</v>
      </c>
      <c r="L2345" s="2432"/>
      <c r="M2345" s="111" t="s">
        <v>294</v>
      </c>
      <c r="N2345" s="111"/>
      <c r="O2345" s="40">
        <v>2239</v>
      </c>
      <c r="P2345" s="40">
        <v>2239</v>
      </c>
      <c r="Q2345" s="40">
        <v>2239</v>
      </c>
      <c r="R2345" s="40">
        <v>2239</v>
      </c>
      <c r="S2345" s="40">
        <v>2239</v>
      </c>
      <c r="T2345" s="40">
        <v>2239</v>
      </c>
      <c r="U2345" s="40">
        <v>2239</v>
      </c>
      <c r="V2345" s="40">
        <v>2239</v>
      </c>
      <c r="W2345" s="40">
        <v>2239</v>
      </c>
      <c r="X2345" s="40">
        <v>2239</v>
      </c>
      <c r="Y2345" s="40">
        <v>2239</v>
      </c>
      <c r="Z2345" s="40">
        <v>2239</v>
      </c>
      <c r="AA2345" s="966">
        <f t="shared" si="368"/>
        <v>26868</v>
      </c>
      <c r="AB2345" s="1210"/>
      <c r="AC2345" s="1199"/>
      <c r="AD2345" s="1211"/>
    </row>
    <row r="2346" spans="1:30" x14ac:dyDescent="0.2">
      <c r="A2346" s="1422"/>
      <c r="B2346" s="2522"/>
      <c r="C2346" s="2456"/>
      <c r="D2346" s="2420"/>
      <c r="E2346" s="2420"/>
      <c r="F2346" s="2420"/>
      <c r="G2346" s="2420"/>
      <c r="H2346" s="2420"/>
      <c r="I2346" s="2420"/>
      <c r="J2346" s="2515"/>
      <c r="K2346" s="40">
        <v>140072</v>
      </c>
      <c r="L2346" s="2432"/>
      <c r="M2346" s="111" t="s">
        <v>295</v>
      </c>
      <c r="N2346" s="111"/>
      <c r="O2346" s="40">
        <v>11672.666666666666</v>
      </c>
      <c r="P2346" s="40">
        <v>11672.666666666666</v>
      </c>
      <c r="Q2346" s="40">
        <v>11672.666666666666</v>
      </c>
      <c r="R2346" s="40">
        <v>11672.666666666666</v>
      </c>
      <c r="S2346" s="40">
        <v>11672.666666666666</v>
      </c>
      <c r="T2346" s="40">
        <v>11672.666666666666</v>
      </c>
      <c r="U2346" s="40">
        <v>11672.666666666666</v>
      </c>
      <c r="V2346" s="40">
        <v>11672.666666666666</v>
      </c>
      <c r="W2346" s="40">
        <v>11672.666666666666</v>
      </c>
      <c r="X2346" s="40">
        <v>11672.666666666666</v>
      </c>
      <c r="Y2346" s="40">
        <v>11672.666666666666</v>
      </c>
      <c r="Z2346" s="40">
        <v>11672.666666666666</v>
      </c>
      <c r="AA2346" s="966">
        <f t="shared" si="368"/>
        <v>140072.00000000003</v>
      </c>
      <c r="AB2346" s="1210"/>
      <c r="AC2346" s="1199"/>
      <c r="AD2346" s="1211"/>
    </row>
    <row r="2347" spans="1:30" x14ac:dyDescent="0.2">
      <c r="A2347" s="1422"/>
      <c r="B2347" s="2522"/>
      <c r="C2347" s="2456"/>
      <c r="D2347" s="2420"/>
      <c r="E2347" s="2420"/>
      <c r="F2347" s="2420"/>
      <c r="G2347" s="2420"/>
      <c r="H2347" s="2420"/>
      <c r="I2347" s="2420"/>
      <c r="J2347" s="2515"/>
      <c r="K2347" s="40">
        <v>70804</v>
      </c>
      <c r="L2347" s="2432"/>
      <c r="M2347" s="111" t="s">
        <v>296</v>
      </c>
      <c r="N2347" s="111"/>
      <c r="O2347" s="40">
        <v>5900.333333333333</v>
      </c>
      <c r="P2347" s="40">
        <v>5900.333333333333</v>
      </c>
      <c r="Q2347" s="40">
        <v>5900.333333333333</v>
      </c>
      <c r="R2347" s="40">
        <v>5900.333333333333</v>
      </c>
      <c r="S2347" s="40">
        <v>5900.333333333333</v>
      </c>
      <c r="T2347" s="40">
        <v>5900.333333333333</v>
      </c>
      <c r="U2347" s="40">
        <v>5900.333333333333</v>
      </c>
      <c r="V2347" s="40">
        <v>5900.333333333333</v>
      </c>
      <c r="W2347" s="40">
        <v>5900.333333333333</v>
      </c>
      <c r="X2347" s="40">
        <v>5900.333333333333</v>
      </c>
      <c r="Y2347" s="40">
        <v>5900.333333333333</v>
      </c>
      <c r="Z2347" s="40">
        <v>5900.333333333333</v>
      </c>
      <c r="AA2347" s="966">
        <f t="shared" si="368"/>
        <v>70804.000000000015</v>
      </c>
      <c r="AB2347" s="1210"/>
      <c r="AC2347" s="1199"/>
      <c r="AD2347" s="1211"/>
    </row>
    <row r="2348" spans="1:30" x14ac:dyDescent="0.2">
      <c r="A2348" s="1422"/>
      <c r="B2348" s="2522"/>
      <c r="C2348" s="2456"/>
      <c r="D2348" s="2420"/>
      <c r="E2348" s="2420"/>
      <c r="F2348" s="2420"/>
      <c r="G2348" s="2420"/>
      <c r="H2348" s="2420"/>
      <c r="I2348" s="2420"/>
      <c r="J2348" s="2515"/>
      <c r="K2348" s="40">
        <v>86022</v>
      </c>
      <c r="L2348" s="2432"/>
      <c r="M2348" s="111" t="s">
        <v>297</v>
      </c>
      <c r="N2348" s="111"/>
      <c r="O2348" s="40">
        <v>7168.5</v>
      </c>
      <c r="P2348" s="40">
        <v>7168.5</v>
      </c>
      <c r="Q2348" s="40">
        <v>7168.5</v>
      </c>
      <c r="R2348" s="40">
        <v>7168.5</v>
      </c>
      <c r="S2348" s="40">
        <v>7168.5</v>
      </c>
      <c r="T2348" s="40">
        <v>7168.5</v>
      </c>
      <c r="U2348" s="40">
        <v>7168.5</v>
      </c>
      <c r="V2348" s="40">
        <v>7168.5</v>
      </c>
      <c r="W2348" s="40">
        <v>7168.5</v>
      </c>
      <c r="X2348" s="40">
        <v>7168.5</v>
      </c>
      <c r="Y2348" s="40">
        <v>7168.5</v>
      </c>
      <c r="Z2348" s="40">
        <v>7168.5</v>
      </c>
      <c r="AA2348" s="966">
        <f t="shared" si="368"/>
        <v>86022</v>
      </c>
      <c r="AB2348" s="1210"/>
      <c r="AC2348" s="1199"/>
      <c r="AD2348" s="1211"/>
    </row>
    <row r="2349" spans="1:30" x14ac:dyDescent="0.2">
      <c r="A2349" s="1422"/>
      <c r="B2349" s="2522"/>
      <c r="C2349" s="2456"/>
      <c r="D2349" s="2420"/>
      <c r="E2349" s="2420"/>
      <c r="F2349" s="2420"/>
      <c r="G2349" s="2420"/>
      <c r="H2349" s="2420"/>
      <c r="I2349" s="2420"/>
      <c r="J2349" s="2515"/>
      <c r="K2349" s="40">
        <v>4800</v>
      </c>
      <c r="L2349" s="2432"/>
      <c r="M2349" s="111" t="s">
        <v>298</v>
      </c>
      <c r="N2349" s="111"/>
      <c r="O2349" s="40"/>
      <c r="P2349" s="40"/>
      <c r="Q2349" s="40"/>
      <c r="R2349" s="40"/>
      <c r="S2349" s="40"/>
      <c r="T2349" s="40"/>
      <c r="U2349" s="40">
        <v>2400</v>
      </c>
      <c r="V2349" s="40"/>
      <c r="W2349" s="40"/>
      <c r="X2349" s="40"/>
      <c r="Y2349" s="40"/>
      <c r="Z2349" s="40">
        <v>2400</v>
      </c>
      <c r="AA2349" s="966">
        <f t="shared" si="368"/>
        <v>4800</v>
      </c>
      <c r="AB2349" s="1210"/>
      <c r="AC2349" s="1199"/>
      <c r="AD2349" s="1211"/>
    </row>
    <row r="2350" spans="1:30" x14ac:dyDescent="0.2">
      <c r="A2350" s="1422"/>
      <c r="B2350" s="2522"/>
      <c r="C2350" s="2456"/>
      <c r="D2350" s="2420"/>
      <c r="E2350" s="2420"/>
      <c r="F2350" s="2420"/>
      <c r="G2350" s="2420"/>
      <c r="H2350" s="2420"/>
      <c r="I2350" s="2420"/>
      <c r="J2350" s="2515"/>
      <c r="K2350" s="40">
        <v>3200</v>
      </c>
      <c r="L2350" s="2432"/>
      <c r="M2350" s="111" t="s">
        <v>299</v>
      </c>
      <c r="N2350" s="111"/>
      <c r="O2350" s="40">
        <v>3200</v>
      </c>
      <c r="P2350" s="40"/>
      <c r="Q2350" s="40"/>
      <c r="R2350" s="40"/>
      <c r="S2350" s="40"/>
      <c r="T2350" s="40"/>
      <c r="U2350" s="40"/>
      <c r="V2350" s="40"/>
      <c r="W2350" s="40"/>
      <c r="X2350" s="40"/>
      <c r="Y2350" s="40"/>
      <c r="Z2350" s="40"/>
      <c r="AA2350" s="966">
        <f t="shared" si="368"/>
        <v>3200</v>
      </c>
      <c r="AB2350" s="1210"/>
      <c r="AC2350" s="1199"/>
      <c r="AD2350" s="1211"/>
    </row>
    <row r="2351" spans="1:30" x14ac:dyDescent="0.2">
      <c r="A2351" s="1422"/>
      <c r="B2351" s="2522"/>
      <c r="C2351" s="2456"/>
      <c r="D2351" s="2420"/>
      <c r="E2351" s="2420"/>
      <c r="F2351" s="2420"/>
      <c r="G2351" s="2420"/>
      <c r="H2351" s="2420"/>
      <c r="I2351" s="2420"/>
      <c r="J2351" s="2515"/>
      <c r="K2351" s="40">
        <v>13749</v>
      </c>
      <c r="L2351" s="2432"/>
      <c r="M2351" s="111" t="s">
        <v>300</v>
      </c>
      <c r="N2351" s="111"/>
      <c r="O2351" s="40">
        <v>1145.75</v>
      </c>
      <c r="P2351" s="40">
        <v>1145.75</v>
      </c>
      <c r="Q2351" s="40">
        <v>1145.75</v>
      </c>
      <c r="R2351" s="40">
        <v>1145.75</v>
      </c>
      <c r="S2351" s="40">
        <v>1145.75</v>
      </c>
      <c r="T2351" s="40">
        <v>1145.75</v>
      </c>
      <c r="U2351" s="40">
        <v>1145.75</v>
      </c>
      <c r="V2351" s="40">
        <v>1145.75</v>
      </c>
      <c r="W2351" s="40">
        <v>1145.75</v>
      </c>
      <c r="X2351" s="40">
        <v>1145.75</v>
      </c>
      <c r="Y2351" s="40">
        <v>1145.75</v>
      </c>
      <c r="Z2351" s="40">
        <v>1145.75</v>
      </c>
      <c r="AA2351" s="966">
        <f t="shared" si="368"/>
        <v>13749</v>
      </c>
      <c r="AB2351" s="1210"/>
      <c r="AC2351" s="1199"/>
      <c r="AD2351" s="1211"/>
    </row>
    <row r="2352" spans="1:30" x14ac:dyDescent="0.2">
      <c r="A2352" s="1422"/>
      <c r="B2352" s="2522"/>
      <c r="C2352" s="2456"/>
      <c r="D2352" s="2420"/>
      <c r="E2352" s="2420"/>
      <c r="F2352" s="2420"/>
      <c r="G2352" s="2420"/>
      <c r="H2352" s="2420"/>
      <c r="I2352" s="2420"/>
      <c r="J2352" s="2515"/>
      <c r="K2352" s="40">
        <v>335</v>
      </c>
      <c r="L2352" s="2432"/>
      <c r="M2352" s="111" t="s">
        <v>301</v>
      </c>
      <c r="N2352" s="111"/>
      <c r="O2352" s="40">
        <v>27.916666666666668</v>
      </c>
      <c r="P2352" s="40">
        <v>27.916666666666668</v>
      </c>
      <c r="Q2352" s="40">
        <v>27.916666666666668</v>
      </c>
      <c r="R2352" s="40">
        <v>27.916666666666668</v>
      </c>
      <c r="S2352" s="40">
        <v>27.916666666666668</v>
      </c>
      <c r="T2352" s="40">
        <v>27.916666666666668</v>
      </c>
      <c r="U2352" s="40">
        <v>27.916666666666668</v>
      </c>
      <c r="V2352" s="40">
        <v>27.916666666666668</v>
      </c>
      <c r="W2352" s="40">
        <v>27.916666666666668</v>
      </c>
      <c r="X2352" s="40">
        <v>27.916666666666668</v>
      </c>
      <c r="Y2352" s="40">
        <v>27.916666666666668</v>
      </c>
      <c r="Z2352" s="40">
        <v>27.916666666666668</v>
      </c>
      <c r="AA2352" s="966">
        <f t="shared" si="368"/>
        <v>335</v>
      </c>
      <c r="AB2352" s="1210"/>
      <c r="AC2352" s="1199"/>
      <c r="AD2352" s="1211"/>
    </row>
    <row r="2353" spans="1:30" x14ac:dyDescent="0.2">
      <c r="A2353" s="1422"/>
      <c r="B2353" s="2522"/>
      <c r="C2353" s="2456"/>
      <c r="D2353" s="2420"/>
      <c r="E2353" s="2420"/>
      <c r="F2353" s="2420"/>
      <c r="G2353" s="2420"/>
      <c r="H2353" s="2420"/>
      <c r="I2353" s="2420"/>
      <c r="J2353" s="2515"/>
      <c r="K2353" s="40">
        <v>200</v>
      </c>
      <c r="L2353" s="2432"/>
      <c r="M2353" s="111" t="s">
        <v>303</v>
      </c>
      <c r="N2353" s="111"/>
      <c r="O2353" s="40"/>
      <c r="P2353" s="40"/>
      <c r="Q2353" s="40">
        <v>200</v>
      </c>
      <c r="R2353" s="40"/>
      <c r="S2353" s="40"/>
      <c r="T2353" s="40"/>
      <c r="U2353" s="40"/>
      <c r="V2353" s="40"/>
      <c r="W2353" s="40"/>
      <c r="X2353" s="40"/>
      <c r="Y2353" s="40"/>
      <c r="Z2353" s="40"/>
      <c r="AA2353" s="966">
        <f t="shared" si="368"/>
        <v>200</v>
      </c>
      <c r="AB2353" s="1210"/>
      <c r="AC2353" s="1199"/>
      <c r="AD2353" s="1211"/>
    </row>
    <row r="2354" spans="1:30" x14ac:dyDescent="0.2">
      <c r="A2354" s="1422"/>
      <c r="B2354" s="2522"/>
      <c r="C2354" s="2456"/>
      <c r="D2354" s="2420"/>
      <c r="E2354" s="2420"/>
      <c r="F2354" s="2420"/>
      <c r="G2354" s="2420"/>
      <c r="H2354" s="2420"/>
      <c r="I2354" s="2420"/>
      <c r="J2354" s="2515"/>
      <c r="K2354" s="40">
        <v>2300</v>
      </c>
      <c r="L2354" s="2432"/>
      <c r="M2354" s="111" t="s">
        <v>304</v>
      </c>
      <c r="N2354" s="111"/>
      <c r="O2354" s="40"/>
      <c r="P2354" s="40"/>
      <c r="Q2354" s="40">
        <v>1150</v>
      </c>
      <c r="R2354" s="40"/>
      <c r="S2354" s="40"/>
      <c r="T2354" s="40"/>
      <c r="U2354" s="40">
        <v>1150</v>
      </c>
      <c r="V2354" s="40"/>
      <c r="W2354" s="40"/>
      <c r="X2354" s="40"/>
      <c r="Y2354" s="40"/>
      <c r="Z2354" s="40"/>
      <c r="AA2354" s="966">
        <f t="shared" si="368"/>
        <v>2300</v>
      </c>
      <c r="AB2354" s="1210"/>
      <c r="AC2354" s="1199"/>
      <c r="AD2354" s="1211"/>
    </row>
    <row r="2355" spans="1:30" x14ac:dyDescent="0.2">
      <c r="A2355" s="1422"/>
      <c r="B2355" s="2522"/>
      <c r="C2355" s="2456"/>
      <c r="D2355" s="2420"/>
      <c r="E2355" s="2420"/>
      <c r="F2355" s="2420"/>
      <c r="G2355" s="2420"/>
      <c r="H2355" s="2420"/>
      <c r="I2355" s="2420"/>
      <c r="J2355" s="2515"/>
      <c r="K2355" s="40">
        <v>2000</v>
      </c>
      <c r="L2355" s="2432"/>
      <c r="M2355" s="111" t="s">
        <v>307</v>
      </c>
      <c r="N2355" s="111"/>
      <c r="O2355" s="40"/>
      <c r="P2355" s="40"/>
      <c r="Q2355" s="40">
        <v>200</v>
      </c>
      <c r="R2355" s="40">
        <v>200</v>
      </c>
      <c r="S2355" s="40">
        <v>200</v>
      </c>
      <c r="T2355" s="40">
        <v>200</v>
      </c>
      <c r="U2355" s="40">
        <v>200</v>
      </c>
      <c r="V2355" s="40">
        <v>200</v>
      </c>
      <c r="W2355" s="40">
        <v>200</v>
      </c>
      <c r="X2355" s="40">
        <v>200</v>
      </c>
      <c r="Y2355" s="40">
        <v>200</v>
      </c>
      <c r="Z2355" s="40">
        <v>200</v>
      </c>
      <c r="AA2355" s="966">
        <f t="shared" si="368"/>
        <v>2000</v>
      </c>
      <c r="AB2355" s="1210"/>
      <c r="AC2355" s="1199"/>
      <c r="AD2355" s="1211"/>
    </row>
    <row r="2356" spans="1:30" x14ac:dyDescent="0.2">
      <c r="A2356" s="1422"/>
      <c r="B2356" s="2522"/>
      <c r="C2356" s="2456"/>
      <c r="D2356" s="2420"/>
      <c r="E2356" s="2420"/>
      <c r="F2356" s="2420"/>
      <c r="G2356" s="2420"/>
      <c r="H2356" s="2420"/>
      <c r="I2356" s="2420"/>
      <c r="J2356" s="2515"/>
      <c r="K2356" s="40">
        <v>300</v>
      </c>
      <c r="L2356" s="2432"/>
      <c r="M2356" s="111" t="s">
        <v>308</v>
      </c>
      <c r="N2356" s="111"/>
      <c r="O2356" s="40"/>
      <c r="P2356" s="40"/>
      <c r="Q2356" s="40">
        <v>300</v>
      </c>
      <c r="R2356" s="40"/>
      <c r="S2356" s="40"/>
      <c r="T2356" s="40"/>
      <c r="U2356" s="40"/>
      <c r="V2356" s="40"/>
      <c r="W2356" s="40"/>
      <c r="X2356" s="40"/>
      <c r="Y2356" s="40"/>
      <c r="Z2356" s="40"/>
      <c r="AA2356" s="966">
        <f t="shared" si="368"/>
        <v>300</v>
      </c>
      <c r="AB2356" s="1210"/>
      <c r="AC2356" s="1199"/>
      <c r="AD2356" s="1211"/>
    </row>
    <row r="2357" spans="1:30" x14ac:dyDescent="0.2">
      <c r="A2357" s="1422"/>
      <c r="B2357" s="2522"/>
      <c r="C2357" s="2456"/>
      <c r="D2357" s="2420"/>
      <c r="E2357" s="2420"/>
      <c r="F2357" s="2420"/>
      <c r="G2357" s="2420"/>
      <c r="H2357" s="2420"/>
      <c r="I2357" s="2420"/>
      <c r="J2357" s="2515"/>
      <c r="K2357" s="40">
        <v>7500</v>
      </c>
      <c r="L2357" s="2432"/>
      <c r="M2357" s="111" t="s">
        <v>309</v>
      </c>
      <c r="N2357" s="111"/>
      <c r="O2357" s="40"/>
      <c r="P2357" s="40"/>
      <c r="Q2357" s="40"/>
      <c r="R2357" s="40">
        <v>1500</v>
      </c>
      <c r="S2357" s="40"/>
      <c r="T2357" s="40">
        <v>1500</v>
      </c>
      <c r="U2357" s="40"/>
      <c r="V2357" s="40">
        <v>1500</v>
      </c>
      <c r="W2357" s="40"/>
      <c r="X2357" s="40">
        <v>1500</v>
      </c>
      <c r="Y2357" s="40"/>
      <c r="Z2357" s="40">
        <v>1500</v>
      </c>
      <c r="AA2357" s="966">
        <f t="shared" si="368"/>
        <v>7500</v>
      </c>
      <c r="AB2357" s="1210"/>
      <c r="AC2357" s="1199"/>
      <c r="AD2357" s="1211"/>
    </row>
    <row r="2358" spans="1:30" x14ac:dyDescent="0.2">
      <c r="A2358" s="1422"/>
      <c r="B2358" s="2522"/>
      <c r="C2358" s="2450"/>
      <c r="D2358" s="2420"/>
      <c r="E2358" s="2420"/>
      <c r="F2358" s="2420"/>
      <c r="G2358" s="2420"/>
      <c r="H2358" s="2420"/>
      <c r="I2358" s="2420"/>
      <c r="J2358" s="2516"/>
      <c r="K2358" s="40">
        <v>200000</v>
      </c>
      <c r="L2358" s="2432"/>
      <c r="M2358" s="111" t="s">
        <v>397</v>
      </c>
      <c r="N2358" s="111"/>
      <c r="O2358" s="40">
        <v>16666.666666666668</v>
      </c>
      <c r="P2358" s="40">
        <v>16666.666666666668</v>
      </c>
      <c r="Q2358" s="40">
        <v>16666.666666666668</v>
      </c>
      <c r="R2358" s="40">
        <v>16666.666666666668</v>
      </c>
      <c r="S2358" s="40">
        <v>16666.666666666668</v>
      </c>
      <c r="T2358" s="40">
        <v>16666.666666666668</v>
      </c>
      <c r="U2358" s="40">
        <v>16666.666666666668</v>
      </c>
      <c r="V2358" s="40">
        <v>16666.666666666668</v>
      </c>
      <c r="W2358" s="40">
        <v>16666.666666666668</v>
      </c>
      <c r="X2358" s="40">
        <v>16666.666666666668</v>
      </c>
      <c r="Y2358" s="40">
        <v>16666.666666666668</v>
      </c>
      <c r="Z2358" s="40">
        <v>16666.666666666668</v>
      </c>
      <c r="AA2358" s="966">
        <f t="shared" si="368"/>
        <v>199999.99999999997</v>
      </c>
      <c r="AB2358" s="1210"/>
      <c r="AC2358" s="1199"/>
      <c r="AD2358" s="1211"/>
    </row>
    <row r="2359" spans="1:30" x14ac:dyDescent="0.2">
      <c r="A2359" s="1422"/>
      <c r="B2359" s="1427" t="s">
        <v>312</v>
      </c>
      <c r="C2359" s="1128"/>
      <c r="D2359" s="38"/>
      <c r="E2359" s="38"/>
      <c r="F2359" s="38"/>
      <c r="G2359" s="38"/>
      <c r="H2359" s="38"/>
      <c r="I2359" s="38"/>
      <c r="J2359" s="38"/>
      <c r="K2359" s="40">
        <f>SUM(K2344:K2358)</f>
        <v>674206</v>
      </c>
      <c r="L2359" s="2437"/>
      <c r="M2359" s="112"/>
      <c r="N2359" s="112"/>
      <c r="O2359" s="40">
        <v>57692.166666666657</v>
      </c>
      <c r="P2359" s="40">
        <v>54492.166666666657</v>
      </c>
      <c r="Q2359" s="40">
        <v>56342.166666666657</v>
      </c>
      <c r="R2359" s="40">
        <v>56192.166666666657</v>
      </c>
      <c r="S2359" s="40">
        <v>54692.166666666657</v>
      </c>
      <c r="T2359" s="40">
        <v>56192.166666666657</v>
      </c>
      <c r="U2359" s="40">
        <v>58242.166666666657</v>
      </c>
      <c r="V2359" s="40">
        <v>56192.166666666657</v>
      </c>
      <c r="W2359" s="40">
        <v>54692.166666666657</v>
      </c>
      <c r="X2359" s="40">
        <v>56192.166666666657</v>
      </c>
      <c r="Y2359" s="40">
        <v>54692.166666666657</v>
      </c>
      <c r="Z2359" s="40">
        <v>58592.166666666657</v>
      </c>
      <c r="AA2359" s="1964"/>
      <c r="AB2359" s="1210"/>
      <c r="AC2359" s="1199"/>
      <c r="AD2359" s="1211"/>
    </row>
    <row r="2360" spans="1:30" x14ac:dyDescent="0.2">
      <c r="A2360" s="1422"/>
      <c r="B2360" s="1422"/>
      <c r="C2360" s="1124"/>
      <c r="D2360" s="35"/>
      <c r="E2360" s="35"/>
      <c r="F2360" s="35"/>
      <c r="G2360" s="35"/>
      <c r="H2360" s="35"/>
      <c r="I2360" s="35"/>
      <c r="J2360" s="35"/>
      <c r="K2360" s="113"/>
      <c r="L2360" s="113"/>
      <c r="M2360" s="114"/>
      <c r="N2360" s="114"/>
      <c r="O2360" s="35"/>
      <c r="P2360" s="35"/>
      <c r="Q2360" s="35"/>
      <c r="R2360" s="35"/>
      <c r="S2360" s="35"/>
      <c r="T2360" s="35"/>
      <c r="U2360" s="35"/>
      <c r="V2360" s="35"/>
      <c r="W2360" s="35"/>
      <c r="X2360" s="35"/>
      <c r="Y2360" s="35"/>
      <c r="Z2360" s="35"/>
      <c r="AA2360" s="1199"/>
      <c r="AB2360" s="1210"/>
      <c r="AC2360" s="1199"/>
      <c r="AD2360" s="1211"/>
    </row>
    <row r="2361" spans="1:30" x14ac:dyDescent="0.2">
      <c r="A2361" s="1422"/>
      <c r="B2361" s="1422"/>
      <c r="C2361" s="1124"/>
      <c r="D2361" s="35"/>
      <c r="E2361" s="35"/>
      <c r="F2361" s="35"/>
      <c r="G2361" s="35"/>
      <c r="H2361" s="35"/>
      <c r="I2361" s="35"/>
      <c r="J2361" s="35"/>
      <c r="K2361" s="113"/>
      <c r="L2361" s="113"/>
      <c r="M2361" s="114"/>
      <c r="N2361" s="114"/>
      <c r="O2361" s="35"/>
      <c r="P2361" s="35"/>
      <c r="Q2361" s="35"/>
      <c r="R2361" s="35"/>
      <c r="S2361" s="35"/>
      <c r="T2361" s="35"/>
      <c r="U2361" s="35"/>
      <c r="V2361" s="35"/>
      <c r="W2361" s="35"/>
      <c r="X2361" s="35"/>
      <c r="Y2361" s="35"/>
      <c r="Z2361" s="35"/>
      <c r="AA2361" s="1199"/>
      <c r="AB2361" s="1210"/>
      <c r="AC2361" s="1199"/>
      <c r="AD2361" s="1211"/>
    </row>
    <row r="2362" spans="1:30" ht="24" customHeight="1" x14ac:dyDescent="0.2">
      <c r="A2362" s="1422"/>
      <c r="B2362" s="1433" t="s">
        <v>276</v>
      </c>
      <c r="C2362" s="1119"/>
      <c r="D2362" s="35"/>
      <c r="E2362" s="199"/>
      <c r="F2362" s="35"/>
      <c r="G2362" s="35"/>
      <c r="H2362" s="35"/>
      <c r="I2362" s="35"/>
      <c r="J2362" s="35"/>
      <c r="K2362" s="35"/>
      <c r="L2362" s="35"/>
      <c r="M2362" s="35"/>
      <c r="N2362" s="35"/>
      <c r="O2362" s="35"/>
      <c r="P2362" s="35"/>
      <c r="Q2362" s="35"/>
      <c r="R2362" s="35"/>
      <c r="S2362" s="3333" t="s">
        <v>15</v>
      </c>
      <c r="T2362" s="3333"/>
      <c r="U2362" s="3333"/>
      <c r="V2362" s="3333"/>
      <c r="W2362" s="3333"/>
      <c r="X2362" s="3333"/>
      <c r="Y2362" s="3333"/>
      <c r="Z2362" s="3333"/>
      <c r="AA2362" s="1228" t="s">
        <v>16</v>
      </c>
      <c r="AB2362" s="1210"/>
      <c r="AC2362" s="1199"/>
      <c r="AD2362" s="1211"/>
    </row>
    <row r="2363" spans="1:30" ht="22.5" x14ac:dyDescent="0.2">
      <c r="A2363" s="1422"/>
      <c r="B2363" s="1433"/>
      <c r="C2363" s="1119"/>
      <c r="D2363" s="116">
        <v>3043989</v>
      </c>
      <c r="E2363" s="113" t="s">
        <v>741</v>
      </c>
      <c r="F2363" s="113"/>
      <c r="G2363" s="35"/>
      <c r="H2363" s="35"/>
      <c r="I2363" s="35"/>
      <c r="J2363" s="35"/>
      <c r="K2363" s="35"/>
      <c r="L2363" s="35"/>
      <c r="M2363" s="35"/>
      <c r="N2363" s="35"/>
      <c r="O2363" s="35"/>
      <c r="P2363" s="35"/>
      <c r="Q2363" s="35"/>
      <c r="R2363" s="35"/>
      <c r="S2363" s="3333" t="s">
        <v>742</v>
      </c>
      <c r="T2363" s="3333"/>
      <c r="U2363" s="3333"/>
      <c r="V2363" s="3333"/>
      <c r="W2363" s="3333"/>
      <c r="X2363" s="3333"/>
      <c r="Y2363" s="3333"/>
      <c r="Z2363" s="3333"/>
      <c r="AA2363" s="1228" t="s">
        <v>371</v>
      </c>
      <c r="AB2363" s="1210"/>
      <c r="AC2363" s="1199"/>
      <c r="AD2363" s="1211"/>
    </row>
    <row r="2364" spans="1:30" x14ac:dyDescent="0.2">
      <c r="A2364" s="1422"/>
      <c r="B2364" s="2999" t="s">
        <v>278</v>
      </c>
      <c r="C2364" s="3015" t="s">
        <v>21</v>
      </c>
      <c r="D2364" s="2847" t="s">
        <v>22</v>
      </c>
      <c r="E2364" s="2847" t="s">
        <v>23</v>
      </c>
      <c r="F2364" s="2847" t="s">
        <v>24</v>
      </c>
      <c r="G2364" s="2847" t="s">
        <v>25</v>
      </c>
      <c r="H2364" s="2847" t="s">
        <v>26</v>
      </c>
      <c r="I2364" s="2847" t="s">
        <v>27</v>
      </c>
      <c r="J2364" s="3206" t="s">
        <v>28</v>
      </c>
      <c r="K2364" s="3301"/>
      <c r="L2364" s="2988" t="s">
        <v>279</v>
      </c>
      <c r="M2364" s="2847" t="s">
        <v>280</v>
      </c>
      <c r="N2364" s="1017"/>
      <c r="O2364" s="2847" t="s">
        <v>281</v>
      </c>
      <c r="P2364" s="2847"/>
      <c r="Q2364" s="2847"/>
      <c r="R2364" s="2847"/>
      <c r="S2364" s="2847"/>
      <c r="T2364" s="2847"/>
      <c r="U2364" s="2847"/>
      <c r="V2364" s="2847"/>
      <c r="W2364" s="2847"/>
      <c r="X2364" s="2847"/>
      <c r="Y2364" s="2847"/>
      <c r="Z2364" s="2847"/>
      <c r="AA2364" s="3358" t="s">
        <v>32</v>
      </c>
      <c r="AB2364" s="1210"/>
      <c r="AC2364" s="1199"/>
      <c r="AD2364" s="1211"/>
    </row>
    <row r="2365" spans="1:30" x14ac:dyDescent="0.2">
      <c r="A2365" s="1422"/>
      <c r="B2365" s="2999"/>
      <c r="C2365" s="3359"/>
      <c r="D2365" s="2847"/>
      <c r="E2365" s="2847"/>
      <c r="F2365" s="2847"/>
      <c r="G2365" s="2847"/>
      <c r="H2365" s="2847"/>
      <c r="I2365" s="2847"/>
      <c r="J2365" s="1007" t="s">
        <v>33</v>
      </c>
      <c r="K2365" s="2988" t="s">
        <v>282</v>
      </c>
      <c r="L2365" s="3186"/>
      <c r="M2365" s="2847"/>
      <c r="N2365" s="1017"/>
      <c r="O2365" s="1009" t="s">
        <v>283</v>
      </c>
      <c r="P2365" s="1009" t="s">
        <v>284</v>
      </c>
      <c r="Q2365" s="1009" t="s">
        <v>285</v>
      </c>
      <c r="R2365" s="1009" t="s">
        <v>88</v>
      </c>
      <c r="S2365" s="1009" t="s">
        <v>89</v>
      </c>
      <c r="T2365" s="1009" t="s">
        <v>90</v>
      </c>
      <c r="U2365" s="1009" t="s">
        <v>91</v>
      </c>
      <c r="V2365" s="1009" t="s">
        <v>92</v>
      </c>
      <c r="W2365" s="1009" t="s">
        <v>286</v>
      </c>
      <c r="X2365" s="1009" t="s">
        <v>93</v>
      </c>
      <c r="Y2365" s="1009" t="s">
        <v>94</v>
      </c>
      <c r="Z2365" s="1009" t="s">
        <v>95</v>
      </c>
      <c r="AA2365" s="3358"/>
      <c r="AB2365" s="1210"/>
      <c r="AC2365" s="1199"/>
      <c r="AD2365" s="1211"/>
    </row>
    <row r="2366" spans="1:30" ht="12.75" x14ac:dyDescent="0.2">
      <c r="A2366" s="1422"/>
      <c r="B2366" s="2999"/>
      <c r="C2366" s="3359"/>
      <c r="D2366" s="2847"/>
      <c r="E2366" s="2847"/>
      <c r="F2366" s="2847"/>
      <c r="G2366" s="2847"/>
      <c r="H2366" s="2847"/>
      <c r="I2366" s="2847"/>
      <c r="J2366" s="106"/>
      <c r="K2366" s="3186"/>
      <c r="L2366" s="3186"/>
      <c r="M2366" s="1009" t="s">
        <v>287</v>
      </c>
      <c r="N2366" s="1009"/>
      <c r="O2366" s="40"/>
      <c r="P2366" s="40"/>
      <c r="Q2366" s="40">
        <v>88</v>
      </c>
      <c r="R2366" s="40">
        <v>90</v>
      </c>
      <c r="S2366" s="40">
        <v>90</v>
      </c>
      <c r="T2366" s="40">
        <v>90</v>
      </c>
      <c r="U2366" s="40">
        <v>90</v>
      </c>
      <c r="V2366" s="40">
        <v>90</v>
      </c>
      <c r="W2366" s="40">
        <v>90</v>
      </c>
      <c r="X2366" s="40">
        <v>90</v>
      </c>
      <c r="Y2366" s="40">
        <v>90</v>
      </c>
      <c r="Z2366" s="40">
        <v>90</v>
      </c>
      <c r="AA2366" s="1205">
        <f t="shared" ref="AA2366:AA2379" si="370">SUM(O2366:Z2366)</f>
        <v>898</v>
      </c>
      <c r="AB2366" s="1210"/>
      <c r="AC2366" s="1199"/>
      <c r="AD2366" s="1211"/>
    </row>
    <row r="2367" spans="1:30" ht="12.75" x14ac:dyDescent="0.2">
      <c r="A2367" s="1422"/>
      <c r="B2367" s="2999"/>
      <c r="C2367" s="3016"/>
      <c r="D2367" s="2847"/>
      <c r="E2367" s="2847"/>
      <c r="F2367" s="2847"/>
      <c r="G2367" s="2847"/>
      <c r="H2367" s="2847"/>
      <c r="I2367" s="2847"/>
      <c r="J2367" s="1008"/>
      <c r="K2367" s="2989"/>
      <c r="L2367" s="2989"/>
      <c r="M2367" s="1009" t="s">
        <v>34</v>
      </c>
      <c r="N2367" s="1009"/>
      <c r="O2367" s="40">
        <f>SUM(O2368:O2379)</f>
        <v>80641.916666666657</v>
      </c>
      <c r="P2367" s="40">
        <f t="shared" ref="P2367:Z2367" si="371">SUM(P2368:P2379)</f>
        <v>56241.916666666672</v>
      </c>
      <c r="Q2367" s="40">
        <f t="shared" si="371"/>
        <v>56741.916666666672</v>
      </c>
      <c r="R2367" s="40">
        <f t="shared" si="371"/>
        <v>56241.916666666672</v>
      </c>
      <c r="S2367" s="40">
        <f t="shared" si="371"/>
        <v>56241.916666666672</v>
      </c>
      <c r="T2367" s="40">
        <f t="shared" si="371"/>
        <v>56741.916666666672</v>
      </c>
      <c r="U2367" s="40">
        <f t="shared" si="371"/>
        <v>69541.916666666657</v>
      </c>
      <c r="V2367" s="40">
        <f t="shared" si="371"/>
        <v>56241.916666666672</v>
      </c>
      <c r="W2367" s="40">
        <f t="shared" si="371"/>
        <v>56241.916666666672</v>
      </c>
      <c r="X2367" s="40">
        <f t="shared" si="371"/>
        <v>56241.916666666672</v>
      </c>
      <c r="Y2367" s="40">
        <f t="shared" si="371"/>
        <v>56241.916666666672</v>
      </c>
      <c r="Z2367" s="40">
        <f t="shared" si="371"/>
        <v>69541.916666666657</v>
      </c>
      <c r="AA2367" s="1205">
        <f t="shared" si="370"/>
        <v>726903</v>
      </c>
      <c r="AB2367" s="1210"/>
      <c r="AC2367" s="1199"/>
      <c r="AD2367" s="1211"/>
    </row>
    <row r="2368" spans="1:30" x14ac:dyDescent="0.2">
      <c r="A2368" s="1422"/>
      <c r="B2368" s="2522">
        <v>5000100</v>
      </c>
      <c r="C2368" s="2438" t="s">
        <v>743</v>
      </c>
      <c r="D2368" s="2420"/>
      <c r="E2368" s="2420" t="s">
        <v>288</v>
      </c>
      <c r="F2368" s="2420" t="s">
        <v>313</v>
      </c>
      <c r="G2368" s="2420" t="s">
        <v>329</v>
      </c>
      <c r="H2368" s="2420"/>
      <c r="I2368" s="2420" t="s">
        <v>373</v>
      </c>
      <c r="J2368" s="2514">
        <v>898</v>
      </c>
      <c r="K2368" s="40">
        <v>113405</v>
      </c>
      <c r="L2368" s="2431" t="s">
        <v>687</v>
      </c>
      <c r="M2368" s="111" t="s">
        <v>293</v>
      </c>
      <c r="N2368" s="111"/>
      <c r="O2368" s="40">
        <v>9450.4166666666661</v>
      </c>
      <c r="P2368" s="40">
        <v>9450.4166666666661</v>
      </c>
      <c r="Q2368" s="40">
        <v>9450.4166666666661</v>
      </c>
      <c r="R2368" s="40">
        <v>9450.4166666666661</v>
      </c>
      <c r="S2368" s="40">
        <v>9450.4166666666661</v>
      </c>
      <c r="T2368" s="40">
        <v>9450.4166666666661</v>
      </c>
      <c r="U2368" s="40">
        <v>9450.4166666666661</v>
      </c>
      <c r="V2368" s="40">
        <v>9450.4166666666661</v>
      </c>
      <c r="W2368" s="40">
        <v>9450.4166666666661</v>
      </c>
      <c r="X2368" s="40">
        <v>9450.4166666666661</v>
      </c>
      <c r="Y2368" s="40">
        <v>9450.4166666666661</v>
      </c>
      <c r="Z2368" s="40">
        <v>9450.4166666666661</v>
      </c>
      <c r="AA2368" s="966">
        <f t="shared" si="370"/>
        <v>113405.00000000001</v>
      </c>
      <c r="AB2368" s="1210"/>
      <c r="AC2368" s="1199"/>
      <c r="AD2368" s="1211"/>
    </row>
    <row r="2369" spans="1:30" x14ac:dyDescent="0.2">
      <c r="A2369" s="1422"/>
      <c r="B2369" s="2522"/>
      <c r="C2369" s="2456"/>
      <c r="D2369" s="2420"/>
      <c r="E2369" s="2420"/>
      <c r="F2369" s="2420"/>
      <c r="G2369" s="2420"/>
      <c r="H2369" s="2420"/>
      <c r="I2369" s="2420"/>
      <c r="J2369" s="2515"/>
      <c r="K2369" s="40">
        <v>132840</v>
      </c>
      <c r="L2369" s="2432"/>
      <c r="M2369" s="111" t="s">
        <v>295</v>
      </c>
      <c r="N2369" s="111"/>
      <c r="O2369" s="40">
        <v>11070</v>
      </c>
      <c r="P2369" s="40">
        <v>11070</v>
      </c>
      <c r="Q2369" s="40">
        <v>11070</v>
      </c>
      <c r="R2369" s="40">
        <v>11070</v>
      </c>
      <c r="S2369" s="40">
        <v>11070</v>
      </c>
      <c r="T2369" s="40">
        <v>11070</v>
      </c>
      <c r="U2369" s="40">
        <v>11070</v>
      </c>
      <c r="V2369" s="40">
        <v>11070</v>
      </c>
      <c r="W2369" s="40">
        <v>11070</v>
      </c>
      <c r="X2369" s="40">
        <v>11070</v>
      </c>
      <c r="Y2369" s="40">
        <v>11070</v>
      </c>
      <c r="Z2369" s="40">
        <v>11070</v>
      </c>
      <c r="AA2369" s="966">
        <f t="shared" si="370"/>
        <v>132840</v>
      </c>
      <c r="AB2369" s="1210"/>
      <c r="AC2369" s="1199"/>
      <c r="AD2369" s="1211"/>
    </row>
    <row r="2370" spans="1:30" x14ac:dyDescent="0.2">
      <c r="A2370" s="1422"/>
      <c r="B2370" s="2522"/>
      <c r="C2370" s="2456"/>
      <c r="D2370" s="2420"/>
      <c r="E2370" s="2420"/>
      <c r="F2370" s="2420"/>
      <c r="G2370" s="2420"/>
      <c r="H2370" s="2420"/>
      <c r="I2370" s="2420"/>
      <c r="J2370" s="2515"/>
      <c r="K2370" s="40">
        <v>66914</v>
      </c>
      <c r="L2370" s="2432"/>
      <c r="M2370" s="111" t="s">
        <v>296</v>
      </c>
      <c r="N2370" s="111"/>
      <c r="O2370" s="40">
        <v>5576.166666666667</v>
      </c>
      <c r="P2370" s="40">
        <v>5576.166666666667</v>
      </c>
      <c r="Q2370" s="40">
        <v>5576.166666666667</v>
      </c>
      <c r="R2370" s="40">
        <v>5576.166666666667</v>
      </c>
      <c r="S2370" s="40">
        <v>5576.166666666667</v>
      </c>
      <c r="T2370" s="40">
        <v>5576.166666666667</v>
      </c>
      <c r="U2370" s="40">
        <v>5576.166666666667</v>
      </c>
      <c r="V2370" s="40">
        <v>5576.166666666667</v>
      </c>
      <c r="W2370" s="40">
        <v>5576.166666666667</v>
      </c>
      <c r="X2370" s="40">
        <v>5576.166666666667</v>
      </c>
      <c r="Y2370" s="40">
        <v>5576.166666666667</v>
      </c>
      <c r="Z2370" s="40">
        <v>5576.166666666667</v>
      </c>
      <c r="AA2370" s="966">
        <f t="shared" si="370"/>
        <v>66913.999999999985</v>
      </c>
      <c r="AB2370" s="1210"/>
      <c r="AC2370" s="1199"/>
      <c r="AD2370" s="1211"/>
    </row>
    <row r="2371" spans="1:30" x14ac:dyDescent="0.2">
      <c r="A2371" s="1422"/>
      <c r="B2371" s="2522"/>
      <c r="C2371" s="2456"/>
      <c r="D2371" s="2420"/>
      <c r="E2371" s="2420"/>
      <c r="F2371" s="2420"/>
      <c r="G2371" s="2420"/>
      <c r="H2371" s="2420"/>
      <c r="I2371" s="2420"/>
      <c r="J2371" s="2515"/>
      <c r="K2371" s="40">
        <v>5688</v>
      </c>
      <c r="L2371" s="2432"/>
      <c r="M2371" s="111" t="s">
        <v>297</v>
      </c>
      <c r="N2371" s="111"/>
      <c r="O2371" s="40">
        <v>474</v>
      </c>
      <c r="P2371" s="40">
        <v>474</v>
      </c>
      <c r="Q2371" s="40">
        <v>474</v>
      </c>
      <c r="R2371" s="40">
        <v>474</v>
      </c>
      <c r="S2371" s="40">
        <v>474</v>
      </c>
      <c r="T2371" s="40">
        <v>474</v>
      </c>
      <c r="U2371" s="40">
        <v>474</v>
      </c>
      <c r="V2371" s="40">
        <v>474</v>
      </c>
      <c r="W2371" s="40">
        <v>474</v>
      </c>
      <c r="X2371" s="40">
        <v>474</v>
      </c>
      <c r="Y2371" s="40">
        <v>474</v>
      </c>
      <c r="Z2371" s="40">
        <v>474</v>
      </c>
      <c r="AA2371" s="966">
        <f t="shared" si="370"/>
        <v>5688</v>
      </c>
      <c r="AB2371" s="1210"/>
      <c r="AC2371" s="1199"/>
      <c r="AD2371" s="1211"/>
    </row>
    <row r="2372" spans="1:30" x14ac:dyDescent="0.2">
      <c r="A2372" s="1422"/>
      <c r="B2372" s="2522"/>
      <c r="C2372" s="2456"/>
      <c r="D2372" s="2420"/>
      <c r="E2372" s="2420"/>
      <c r="F2372" s="2420"/>
      <c r="G2372" s="2420"/>
      <c r="H2372" s="2420"/>
      <c r="I2372" s="2420"/>
      <c r="J2372" s="2515"/>
      <c r="K2372" s="40">
        <v>26600</v>
      </c>
      <c r="L2372" s="2432"/>
      <c r="M2372" s="111" t="s">
        <v>298</v>
      </c>
      <c r="N2372" s="111"/>
      <c r="O2372" s="40"/>
      <c r="P2372" s="40"/>
      <c r="Q2372" s="40"/>
      <c r="R2372" s="40"/>
      <c r="S2372" s="40"/>
      <c r="T2372" s="40"/>
      <c r="U2372" s="40">
        <v>13300</v>
      </c>
      <c r="V2372" s="40"/>
      <c r="W2372" s="40"/>
      <c r="X2372" s="40"/>
      <c r="Y2372" s="40"/>
      <c r="Z2372" s="40">
        <v>13300</v>
      </c>
      <c r="AA2372" s="966">
        <f t="shared" si="370"/>
        <v>26600</v>
      </c>
      <c r="AB2372" s="1210"/>
      <c r="AC2372" s="1199"/>
      <c r="AD2372" s="1211"/>
    </row>
    <row r="2373" spans="1:30" x14ac:dyDescent="0.2">
      <c r="A2373" s="1422"/>
      <c r="B2373" s="2522"/>
      <c r="C2373" s="2456"/>
      <c r="D2373" s="2420"/>
      <c r="E2373" s="2420"/>
      <c r="F2373" s="2420"/>
      <c r="G2373" s="2420"/>
      <c r="H2373" s="2420"/>
      <c r="I2373" s="2420"/>
      <c r="J2373" s="2515"/>
      <c r="K2373" s="40">
        <v>24400</v>
      </c>
      <c r="L2373" s="2432"/>
      <c r="M2373" s="111" t="s">
        <v>299</v>
      </c>
      <c r="N2373" s="111"/>
      <c r="O2373" s="40">
        <v>24400</v>
      </c>
      <c r="P2373" s="40"/>
      <c r="Q2373" s="40"/>
      <c r="R2373" s="40"/>
      <c r="S2373" s="40"/>
      <c r="T2373" s="40"/>
      <c r="U2373" s="40"/>
      <c r="V2373" s="40"/>
      <c r="W2373" s="40"/>
      <c r="X2373" s="40"/>
      <c r="Y2373" s="40"/>
      <c r="Z2373" s="40"/>
      <c r="AA2373" s="966">
        <f t="shared" si="370"/>
        <v>24400</v>
      </c>
      <c r="AB2373" s="1210"/>
      <c r="AC2373" s="1199"/>
      <c r="AD2373" s="1211"/>
    </row>
    <row r="2374" spans="1:30" x14ac:dyDescent="0.2">
      <c r="A2374" s="1422"/>
      <c r="B2374" s="2522"/>
      <c r="C2374" s="2456"/>
      <c r="D2374" s="2420"/>
      <c r="E2374" s="2420"/>
      <c r="F2374" s="2420"/>
      <c r="G2374" s="2420"/>
      <c r="H2374" s="2420"/>
      <c r="I2374" s="2420"/>
      <c r="J2374" s="2515"/>
      <c r="K2374" s="40">
        <v>11159</v>
      </c>
      <c r="L2374" s="2432"/>
      <c r="M2374" s="111" t="s">
        <v>300</v>
      </c>
      <c r="N2374" s="111"/>
      <c r="O2374" s="40">
        <v>929.91666666666663</v>
      </c>
      <c r="P2374" s="40">
        <v>929.91666666666663</v>
      </c>
      <c r="Q2374" s="40">
        <v>929.91666666666663</v>
      </c>
      <c r="R2374" s="40">
        <v>929.91666666666663</v>
      </c>
      <c r="S2374" s="40">
        <v>929.91666666666663</v>
      </c>
      <c r="T2374" s="40">
        <v>929.91666666666663</v>
      </c>
      <c r="U2374" s="40">
        <v>929.91666666666663</v>
      </c>
      <c r="V2374" s="40">
        <v>929.91666666666663</v>
      </c>
      <c r="W2374" s="40">
        <v>929.91666666666663</v>
      </c>
      <c r="X2374" s="40">
        <v>929.91666666666663</v>
      </c>
      <c r="Y2374" s="40">
        <v>929.91666666666663</v>
      </c>
      <c r="Z2374" s="40">
        <v>929.91666666666663</v>
      </c>
      <c r="AA2374" s="966">
        <f t="shared" si="370"/>
        <v>11158.999999999998</v>
      </c>
      <c r="AB2374" s="1210"/>
      <c r="AC2374" s="1199"/>
      <c r="AD2374" s="1211"/>
    </row>
    <row r="2375" spans="1:30" x14ac:dyDescent="0.2">
      <c r="A2375" s="1422"/>
      <c r="B2375" s="2522"/>
      <c r="C2375" s="2456"/>
      <c r="D2375" s="2420"/>
      <c r="E2375" s="2420"/>
      <c r="F2375" s="2420"/>
      <c r="G2375" s="2420"/>
      <c r="H2375" s="2420"/>
      <c r="I2375" s="2420"/>
      <c r="J2375" s="2515"/>
      <c r="K2375" s="40">
        <v>392</v>
      </c>
      <c r="L2375" s="2432"/>
      <c r="M2375" s="111" t="s">
        <v>301</v>
      </c>
      <c r="N2375" s="111"/>
      <c r="O2375" s="40">
        <v>32.666666666666664</v>
      </c>
      <c r="P2375" s="40">
        <v>32.666666666666664</v>
      </c>
      <c r="Q2375" s="40">
        <v>32.666666666666664</v>
      </c>
      <c r="R2375" s="40">
        <v>32.666666666666664</v>
      </c>
      <c r="S2375" s="40">
        <v>32.666666666666664</v>
      </c>
      <c r="T2375" s="40">
        <v>32.666666666666664</v>
      </c>
      <c r="U2375" s="40">
        <v>32.666666666666664</v>
      </c>
      <c r="V2375" s="40">
        <v>32.666666666666664</v>
      </c>
      <c r="W2375" s="40">
        <v>32.666666666666664</v>
      </c>
      <c r="X2375" s="40">
        <v>32.666666666666664</v>
      </c>
      <c r="Y2375" s="40">
        <v>32.666666666666664</v>
      </c>
      <c r="Z2375" s="40">
        <v>32.666666666666664</v>
      </c>
      <c r="AA2375" s="966">
        <f t="shared" si="370"/>
        <v>392.00000000000006</v>
      </c>
      <c r="AB2375" s="1210"/>
      <c r="AC2375" s="1199"/>
      <c r="AD2375" s="1211"/>
    </row>
    <row r="2376" spans="1:30" x14ac:dyDescent="0.2">
      <c r="A2376" s="1422"/>
      <c r="B2376" s="2522"/>
      <c r="C2376" s="2456"/>
      <c r="D2376" s="2420"/>
      <c r="E2376" s="2420"/>
      <c r="F2376" s="2420"/>
      <c r="G2376" s="2420"/>
      <c r="H2376" s="2420"/>
      <c r="I2376" s="2420"/>
      <c r="J2376" s="2515"/>
      <c r="K2376" s="40">
        <v>200</v>
      </c>
      <c r="L2376" s="2432"/>
      <c r="M2376" s="111" t="s">
        <v>303</v>
      </c>
      <c r="N2376" s="111"/>
      <c r="O2376" s="40"/>
      <c r="P2376" s="40"/>
      <c r="Q2376" s="40">
        <v>200</v>
      </c>
      <c r="R2376" s="40"/>
      <c r="S2376" s="40"/>
      <c r="T2376" s="40"/>
      <c r="U2376" s="40"/>
      <c r="V2376" s="40"/>
      <c r="W2376" s="40"/>
      <c r="X2376" s="40"/>
      <c r="Y2376" s="40"/>
      <c r="Z2376" s="40"/>
      <c r="AA2376" s="966">
        <f t="shared" si="370"/>
        <v>200</v>
      </c>
      <c r="AB2376" s="1210"/>
      <c r="AC2376" s="1199"/>
      <c r="AD2376" s="1211"/>
    </row>
    <row r="2377" spans="1:30" x14ac:dyDescent="0.2">
      <c r="A2377" s="1422"/>
      <c r="B2377" s="2522"/>
      <c r="C2377" s="2456"/>
      <c r="D2377" s="2420"/>
      <c r="E2377" s="2420"/>
      <c r="F2377" s="2420"/>
      <c r="G2377" s="2420"/>
      <c r="H2377" s="2420"/>
      <c r="I2377" s="2420"/>
      <c r="J2377" s="2515"/>
      <c r="K2377" s="40">
        <v>300</v>
      </c>
      <c r="L2377" s="2432"/>
      <c r="M2377" s="111" t="s">
        <v>308</v>
      </c>
      <c r="N2377" s="111"/>
      <c r="O2377" s="40"/>
      <c r="P2377" s="40"/>
      <c r="Q2377" s="40">
        <v>300</v>
      </c>
      <c r="R2377" s="40"/>
      <c r="S2377" s="40"/>
      <c r="T2377" s="40"/>
      <c r="U2377" s="40"/>
      <c r="V2377" s="40"/>
      <c r="W2377" s="40"/>
      <c r="X2377" s="40"/>
      <c r="Y2377" s="40"/>
      <c r="Z2377" s="40"/>
      <c r="AA2377" s="966">
        <f t="shared" si="370"/>
        <v>300</v>
      </c>
      <c r="AB2377" s="1210"/>
      <c r="AC2377" s="1199"/>
      <c r="AD2377" s="1211"/>
    </row>
    <row r="2378" spans="1:30" x14ac:dyDescent="0.2">
      <c r="A2378" s="1422"/>
      <c r="B2378" s="2522"/>
      <c r="C2378" s="2456"/>
      <c r="D2378" s="2420"/>
      <c r="E2378" s="2420"/>
      <c r="F2378" s="2420"/>
      <c r="G2378" s="2420"/>
      <c r="H2378" s="2420"/>
      <c r="I2378" s="2420"/>
      <c r="J2378" s="2515"/>
      <c r="K2378" s="40">
        <v>500</v>
      </c>
      <c r="L2378" s="2432"/>
      <c r="M2378" s="111" t="s">
        <v>309</v>
      </c>
      <c r="N2378" s="111"/>
      <c r="O2378" s="40"/>
      <c r="P2378" s="40"/>
      <c r="Q2378" s="40"/>
      <c r="R2378" s="40"/>
      <c r="S2378" s="40"/>
      <c r="T2378" s="40">
        <v>500</v>
      </c>
      <c r="U2378" s="40"/>
      <c r="V2378" s="40"/>
      <c r="W2378" s="40"/>
      <c r="X2378" s="40"/>
      <c r="Y2378" s="40"/>
      <c r="Z2378" s="40"/>
      <c r="AA2378" s="966">
        <f t="shared" si="370"/>
        <v>500</v>
      </c>
      <c r="AB2378" s="1210"/>
      <c r="AC2378" s="1199"/>
      <c r="AD2378" s="1211"/>
    </row>
    <row r="2379" spans="1:30" x14ac:dyDescent="0.2">
      <c r="A2379" s="1422"/>
      <c r="B2379" s="2522"/>
      <c r="C2379" s="2450"/>
      <c r="D2379" s="2420"/>
      <c r="E2379" s="2420"/>
      <c r="F2379" s="2420"/>
      <c r="G2379" s="2420"/>
      <c r="H2379" s="2420"/>
      <c r="I2379" s="2420"/>
      <c r="J2379" s="2516"/>
      <c r="K2379" s="40">
        <v>344505</v>
      </c>
      <c r="L2379" s="2432"/>
      <c r="M2379" s="111" t="s">
        <v>397</v>
      </c>
      <c r="N2379" s="111"/>
      <c r="O2379" s="40">
        <v>28708.75</v>
      </c>
      <c r="P2379" s="40">
        <v>28708.75</v>
      </c>
      <c r="Q2379" s="40">
        <v>28708.75</v>
      </c>
      <c r="R2379" s="40">
        <v>28708.75</v>
      </c>
      <c r="S2379" s="40">
        <v>28708.75</v>
      </c>
      <c r="T2379" s="40">
        <v>28708.75</v>
      </c>
      <c r="U2379" s="40">
        <v>28708.75</v>
      </c>
      <c r="V2379" s="40">
        <v>28708.75</v>
      </c>
      <c r="W2379" s="40">
        <v>28708.75</v>
      </c>
      <c r="X2379" s="40">
        <v>28708.75</v>
      </c>
      <c r="Y2379" s="40">
        <v>28708.75</v>
      </c>
      <c r="Z2379" s="40">
        <v>28708.75</v>
      </c>
      <c r="AA2379" s="966">
        <f t="shared" si="370"/>
        <v>344505</v>
      </c>
      <c r="AB2379" s="1210"/>
      <c r="AC2379" s="1199"/>
      <c r="AD2379" s="1211"/>
    </row>
    <row r="2380" spans="1:30" x14ac:dyDescent="0.2">
      <c r="A2380" s="1422"/>
      <c r="B2380" s="1427" t="s">
        <v>312</v>
      </c>
      <c r="C2380" s="1128"/>
      <c r="D2380" s="38"/>
      <c r="E2380" s="38"/>
      <c r="F2380" s="38"/>
      <c r="G2380" s="38"/>
      <c r="H2380" s="38"/>
      <c r="I2380" s="38"/>
      <c r="J2380" s="38"/>
      <c r="K2380" s="40">
        <f>SUM(K2368:K2379)</f>
        <v>726903</v>
      </c>
      <c r="L2380" s="2437"/>
      <c r="M2380" s="112"/>
      <c r="N2380" s="112"/>
      <c r="O2380" s="40">
        <v>80641.916666666657</v>
      </c>
      <c r="P2380" s="40">
        <v>56241.916666666672</v>
      </c>
      <c r="Q2380" s="40">
        <v>56741.916666666672</v>
      </c>
      <c r="R2380" s="40">
        <v>56241.916666666672</v>
      </c>
      <c r="S2380" s="40">
        <v>56241.916666666672</v>
      </c>
      <c r="T2380" s="40">
        <v>56741.916666666672</v>
      </c>
      <c r="U2380" s="40">
        <v>69541.916666666657</v>
      </c>
      <c r="V2380" s="40">
        <v>56241.916666666672</v>
      </c>
      <c r="W2380" s="40">
        <v>56241.916666666672</v>
      </c>
      <c r="X2380" s="40">
        <v>56241.916666666672</v>
      </c>
      <c r="Y2380" s="40">
        <v>56241.916666666672</v>
      </c>
      <c r="Z2380" s="40">
        <v>69541.916666666657</v>
      </c>
      <c r="AA2380" s="1964"/>
      <c r="AB2380" s="1210"/>
      <c r="AC2380" s="1199"/>
      <c r="AD2380" s="1211"/>
    </row>
    <row r="2381" spans="1:30" x14ac:dyDescent="0.2">
      <c r="A2381" s="1422"/>
      <c r="B2381" s="1422"/>
      <c r="C2381" s="1124"/>
      <c r="D2381" s="35"/>
      <c r="E2381" s="35"/>
      <c r="F2381" s="35"/>
      <c r="G2381" s="35"/>
      <c r="H2381" s="35"/>
      <c r="I2381" s="35"/>
      <c r="J2381" s="35"/>
      <c r="K2381" s="113"/>
      <c r="L2381" s="113"/>
      <c r="M2381" s="114"/>
      <c r="N2381" s="114"/>
      <c r="O2381" s="35"/>
      <c r="P2381" s="35"/>
      <c r="Q2381" s="35"/>
      <c r="R2381" s="35"/>
      <c r="S2381" s="35"/>
      <c r="T2381" s="35"/>
      <c r="U2381" s="35"/>
      <c r="V2381" s="35"/>
      <c r="W2381" s="35"/>
      <c r="X2381" s="35"/>
      <c r="Y2381" s="35"/>
      <c r="Z2381" s="35"/>
      <c r="AA2381" s="1199"/>
      <c r="AB2381" s="1210"/>
      <c r="AC2381" s="1199"/>
      <c r="AD2381" s="1211"/>
    </row>
    <row r="2382" spans="1:30" ht="8.25" customHeight="1" x14ac:dyDescent="0.2">
      <c r="A2382" s="1422"/>
      <c r="B2382" s="1422"/>
      <c r="C2382" s="1124"/>
      <c r="D2382" s="35"/>
      <c r="E2382" s="35"/>
      <c r="F2382" s="35"/>
      <c r="G2382" s="35"/>
      <c r="H2382" s="35"/>
      <c r="I2382" s="35"/>
      <c r="J2382" s="35"/>
      <c r="K2382" s="113"/>
      <c r="L2382" s="113"/>
      <c r="M2382" s="114"/>
      <c r="N2382" s="114"/>
      <c r="O2382" s="35"/>
      <c r="P2382" s="35"/>
      <c r="Q2382" s="35"/>
      <c r="R2382" s="35"/>
      <c r="S2382" s="35"/>
      <c r="T2382" s="35"/>
      <c r="U2382" s="35"/>
      <c r="V2382" s="35"/>
      <c r="W2382" s="35"/>
      <c r="X2382" s="35"/>
      <c r="Y2382" s="35"/>
      <c r="Z2382" s="35"/>
      <c r="AA2382" s="1199"/>
      <c r="AB2382" s="1210"/>
      <c r="AC2382" s="1199"/>
      <c r="AD2382" s="1211"/>
    </row>
    <row r="2383" spans="1:30" ht="22.5" customHeight="1" x14ac:dyDescent="0.2">
      <c r="A2383" s="1422"/>
      <c r="B2383" s="1433" t="s">
        <v>276</v>
      </c>
      <c r="C2383" s="1119"/>
      <c r="D2383" s="35"/>
      <c r="E2383" s="199"/>
      <c r="F2383" s="35"/>
      <c r="G2383" s="35"/>
      <c r="H2383" s="35"/>
      <c r="I2383" s="35"/>
      <c r="J2383" s="35"/>
      <c r="K2383" s="35"/>
      <c r="L2383" s="35"/>
      <c r="M2383" s="35"/>
      <c r="N2383" s="35"/>
      <c r="O2383" s="35"/>
      <c r="P2383" s="35"/>
      <c r="Q2383" s="35"/>
      <c r="R2383" s="35"/>
      <c r="S2383" s="3333" t="s">
        <v>15</v>
      </c>
      <c r="T2383" s="3333"/>
      <c r="U2383" s="3333"/>
      <c r="V2383" s="3333"/>
      <c r="W2383" s="3333"/>
      <c r="X2383" s="3333"/>
      <c r="Y2383" s="3333"/>
      <c r="Z2383" s="3333"/>
      <c r="AA2383" s="1949" t="s">
        <v>16</v>
      </c>
      <c r="AB2383" s="1210"/>
      <c r="AC2383" s="1199"/>
      <c r="AD2383" s="1211"/>
    </row>
    <row r="2384" spans="1:30" ht="20.25" customHeight="1" x14ac:dyDescent="0.2">
      <c r="A2384" s="1422"/>
      <c r="B2384" s="1433"/>
      <c r="C2384" s="1119"/>
      <c r="D2384" s="116">
        <v>3043990</v>
      </c>
      <c r="E2384" s="3387" t="s">
        <v>744</v>
      </c>
      <c r="F2384" s="3387"/>
      <c r="G2384" s="3387"/>
      <c r="H2384" s="3387"/>
      <c r="I2384" s="3387"/>
      <c r="J2384" s="3387"/>
      <c r="K2384" s="3387"/>
      <c r="L2384" s="3387"/>
      <c r="M2384" s="3387"/>
      <c r="N2384" s="3387"/>
      <c r="O2384" s="3387"/>
      <c r="P2384" s="3387"/>
      <c r="Q2384" s="3387"/>
      <c r="R2384" s="3388"/>
      <c r="S2384" s="3333" t="s">
        <v>745</v>
      </c>
      <c r="T2384" s="3333"/>
      <c r="U2384" s="3333"/>
      <c r="V2384" s="3333"/>
      <c r="W2384" s="3333"/>
      <c r="X2384" s="3333"/>
      <c r="Y2384" s="3333"/>
      <c r="Z2384" s="3333"/>
      <c r="AA2384" s="1949" t="s">
        <v>361</v>
      </c>
      <c r="AB2384" s="1210"/>
      <c r="AC2384" s="1199"/>
      <c r="AD2384" s="1211"/>
    </row>
    <row r="2385" spans="1:30" x14ac:dyDescent="0.2">
      <c r="A2385" s="1422"/>
      <c r="B2385" s="2999" t="s">
        <v>278</v>
      </c>
      <c r="C2385" s="3015" t="s">
        <v>21</v>
      </c>
      <c r="D2385" s="2847" t="s">
        <v>22</v>
      </c>
      <c r="E2385" s="2847" t="s">
        <v>23</v>
      </c>
      <c r="F2385" s="2847" t="s">
        <v>24</v>
      </c>
      <c r="G2385" s="2847" t="s">
        <v>25</v>
      </c>
      <c r="H2385" s="2847" t="s">
        <v>26</v>
      </c>
      <c r="I2385" s="2847" t="s">
        <v>27</v>
      </c>
      <c r="J2385" s="3206" t="s">
        <v>28</v>
      </c>
      <c r="K2385" s="3301"/>
      <c r="L2385" s="2988" t="s">
        <v>279</v>
      </c>
      <c r="M2385" s="2847" t="s">
        <v>280</v>
      </c>
      <c r="N2385" s="1017"/>
      <c r="O2385" s="2847" t="s">
        <v>281</v>
      </c>
      <c r="P2385" s="2847"/>
      <c r="Q2385" s="2847"/>
      <c r="R2385" s="2847"/>
      <c r="S2385" s="2847"/>
      <c r="T2385" s="2847"/>
      <c r="U2385" s="2847"/>
      <c r="V2385" s="2847"/>
      <c r="W2385" s="2847"/>
      <c r="X2385" s="2847"/>
      <c r="Y2385" s="2847"/>
      <c r="Z2385" s="2847"/>
      <c r="AA2385" s="3358" t="s">
        <v>32</v>
      </c>
      <c r="AB2385" s="1210"/>
      <c r="AC2385" s="1199"/>
      <c r="AD2385" s="1211"/>
    </row>
    <row r="2386" spans="1:30" x14ac:dyDescent="0.2">
      <c r="A2386" s="1422"/>
      <c r="B2386" s="2999"/>
      <c r="C2386" s="3359"/>
      <c r="D2386" s="2847"/>
      <c r="E2386" s="2847"/>
      <c r="F2386" s="2847"/>
      <c r="G2386" s="2847"/>
      <c r="H2386" s="2847"/>
      <c r="I2386" s="2847"/>
      <c r="J2386" s="1007" t="s">
        <v>33</v>
      </c>
      <c r="K2386" s="2988" t="s">
        <v>282</v>
      </c>
      <c r="L2386" s="3186"/>
      <c r="M2386" s="2847"/>
      <c r="N2386" s="1017"/>
      <c r="O2386" s="1009" t="s">
        <v>283</v>
      </c>
      <c r="P2386" s="1009" t="s">
        <v>284</v>
      </c>
      <c r="Q2386" s="1009" t="s">
        <v>285</v>
      </c>
      <c r="R2386" s="1009" t="s">
        <v>88</v>
      </c>
      <c r="S2386" s="1009" t="s">
        <v>89</v>
      </c>
      <c r="T2386" s="1009" t="s">
        <v>90</v>
      </c>
      <c r="U2386" s="1009" t="s">
        <v>91</v>
      </c>
      <c r="V2386" s="1009" t="s">
        <v>92</v>
      </c>
      <c r="W2386" s="1009" t="s">
        <v>286</v>
      </c>
      <c r="X2386" s="1009" t="s">
        <v>93</v>
      </c>
      <c r="Y2386" s="1009" t="s">
        <v>94</v>
      </c>
      <c r="Z2386" s="1009" t="s">
        <v>95</v>
      </c>
      <c r="AA2386" s="3358"/>
      <c r="AB2386" s="1210"/>
      <c r="AC2386" s="1199"/>
      <c r="AD2386" s="1211"/>
    </row>
    <row r="2387" spans="1:30" ht="12.75" x14ac:dyDescent="0.2">
      <c r="A2387" s="1422"/>
      <c r="B2387" s="2999"/>
      <c r="C2387" s="3359"/>
      <c r="D2387" s="2847"/>
      <c r="E2387" s="2847"/>
      <c r="F2387" s="2847"/>
      <c r="G2387" s="2847"/>
      <c r="H2387" s="2847"/>
      <c r="I2387" s="2847"/>
      <c r="J2387" s="106"/>
      <c r="K2387" s="3186"/>
      <c r="L2387" s="3186"/>
      <c r="M2387" s="1009" t="s">
        <v>287</v>
      </c>
      <c r="N2387" s="1009"/>
      <c r="O2387" s="40"/>
      <c r="P2387" s="40"/>
      <c r="Q2387" s="40">
        <v>2</v>
      </c>
      <c r="R2387" s="40">
        <v>2</v>
      </c>
      <c r="S2387" s="40">
        <v>3</v>
      </c>
      <c r="T2387" s="40">
        <v>3</v>
      </c>
      <c r="U2387" s="40">
        <v>3</v>
      </c>
      <c r="V2387" s="40">
        <v>3</v>
      </c>
      <c r="W2387" s="40">
        <v>3</v>
      </c>
      <c r="X2387" s="40">
        <v>3</v>
      </c>
      <c r="Y2387" s="40">
        <v>3</v>
      </c>
      <c r="Z2387" s="40">
        <v>3</v>
      </c>
      <c r="AA2387" s="1205">
        <f t="shared" ref="AA2387:AA2394" si="372">SUM(O2387:Z2387)</f>
        <v>28</v>
      </c>
      <c r="AB2387" s="1210"/>
      <c r="AC2387" s="1199"/>
      <c r="AD2387" s="1211"/>
    </row>
    <row r="2388" spans="1:30" ht="12.75" x14ac:dyDescent="0.2">
      <c r="A2388" s="1422"/>
      <c r="B2388" s="2999"/>
      <c r="C2388" s="3016"/>
      <c r="D2388" s="2847"/>
      <c r="E2388" s="2847"/>
      <c r="F2388" s="2847"/>
      <c r="G2388" s="2847"/>
      <c r="H2388" s="2847"/>
      <c r="I2388" s="2847"/>
      <c r="J2388" s="1008"/>
      <c r="K2388" s="2989"/>
      <c r="L2388" s="2989"/>
      <c r="M2388" s="1009" t="s">
        <v>34</v>
      </c>
      <c r="N2388" s="1009"/>
      <c r="O2388" s="40">
        <f>SUM(O2389:O2394)</f>
        <v>5543.5833333333339</v>
      </c>
      <c r="P2388" s="40">
        <f t="shared" ref="P2388:Z2388" si="373">SUM(P2389:P2394)</f>
        <v>5543.5833333333339</v>
      </c>
      <c r="Q2388" s="40">
        <f t="shared" si="373"/>
        <v>5743.5833333333339</v>
      </c>
      <c r="R2388" s="40">
        <f t="shared" si="373"/>
        <v>6093.5833333333339</v>
      </c>
      <c r="S2388" s="40">
        <f t="shared" si="373"/>
        <v>5543.5833333333339</v>
      </c>
      <c r="T2388" s="40">
        <f t="shared" si="373"/>
        <v>5543.5833333333339</v>
      </c>
      <c r="U2388" s="40">
        <f t="shared" si="373"/>
        <v>5543.5833333333339</v>
      </c>
      <c r="V2388" s="40">
        <f t="shared" si="373"/>
        <v>5793.5833333333339</v>
      </c>
      <c r="W2388" s="40">
        <f t="shared" si="373"/>
        <v>5543.5833333333339</v>
      </c>
      <c r="X2388" s="40">
        <f t="shared" si="373"/>
        <v>5543.5833333333339</v>
      </c>
      <c r="Y2388" s="40">
        <f t="shared" si="373"/>
        <v>5543.5833333333339</v>
      </c>
      <c r="Z2388" s="40">
        <f t="shared" si="373"/>
        <v>5543.5833333333339</v>
      </c>
      <c r="AA2388" s="1205">
        <f t="shared" si="372"/>
        <v>67523.000000000015</v>
      </c>
      <c r="AB2388" s="1210"/>
      <c r="AC2388" s="1199"/>
      <c r="AD2388" s="1211"/>
    </row>
    <row r="2389" spans="1:30" x14ac:dyDescent="0.2">
      <c r="A2389" s="1422"/>
      <c r="B2389" s="2522">
        <v>5000101</v>
      </c>
      <c r="C2389" s="2438" t="s">
        <v>746</v>
      </c>
      <c r="D2389" s="2420"/>
      <c r="E2389" s="2420" t="s">
        <v>288</v>
      </c>
      <c r="F2389" s="2420" t="s">
        <v>313</v>
      </c>
      <c r="G2389" s="2420" t="s">
        <v>329</v>
      </c>
      <c r="H2389" s="2420"/>
      <c r="I2389" s="2420" t="s">
        <v>363</v>
      </c>
      <c r="J2389" s="2514">
        <v>28</v>
      </c>
      <c r="K2389" s="40">
        <v>60827</v>
      </c>
      <c r="L2389" s="2431" t="s">
        <v>687</v>
      </c>
      <c r="M2389" s="1128" t="s">
        <v>293</v>
      </c>
      <c r="N2389" s="1128"/>
      <c r="O2389" s="40">
        <v>5068.916666666667</v>
      </c>
      <c r="P2389" s="40">
        <v>5068.916666666667</v>
      </c>
      <c r="Q2389" s="40">
        <v>5068.916666666667</v>
      </c>
      <c r="R2389" s="40">
        <v>5068.916666666667</v>
      </c>
      <c r="S2389" s="40">
        <v>5068.916666666667</v>
      </c>
      <c r="T2389" s="40">
        <v>5068.916666666667</v>
      </c>
      <c r="U2389" s="40">
        <v>5068.916666666667</v>
      </c>
      <c r="V2389" s="40">
        <v>5068.916666666667</v>
      </c>
      <c r="W2389" s="40">
        <v>5068.916666666667</v>
      </c>
      <c r="X2389" s="40">
        <v>5068.916666666667</v>
      </c>
      <c r="Y2389" s="40">
        <v>5068.916666666667</v>
      </c>
      <c r="Z2389" s="40">
        <v>5068.916666666667</v>
      </c>
      <c r="AA2389" s="966">
        <f t="shared" si="372"/>
        <v>60826.999999999993</v>
      </c>
      <c r="AB2389" s="1210"/>
      <c r="AC2389" s="1199"/>
      <c r="AD2389" s="1211"/>
    </row>
    <row r="2390" spans="1:30" x14ac:dyDescent="0.2">
      <c r="A2390" s="1422"/>
      <c r="B2390" s="2522"/>
      <c r="C2390" s="2456"/>
      <c r="D2390" s="2420"/>
      <c r="E2390" s="2420"/>
      <c r="F2390" s="2420"/>
      <c r="G2390" s="2420"/>
      <c r="H2390" s="2420"/>
      <c r="I2390" s="2420"/>
      <c r="J2390" s="2515"/>
      <c r="K2390" s="40">
        <v>200</v>
      </c>
      <c r="L2390" s="2432"/>
      <c r="M2390" s="1128" t="s">
        <v>303</v>
      </c>
      <c r="N2390" s="1128"/>
      <c r="O2390" s="40"/>
      <c r="P2390" s="40"/>
      <c r="Q2390" s="40">
        <v>200</v>
      </c>
      <c r="R2390" s="40"/>
      <c r="S2390" s="40"/>
      <c r="T2390" s="40"/>
      <c r="U2390" s="40"/>
      <c r="V2390" s="40"/>
      <c r="W2390" s="40"/>
      <c r="X2390" s="40"/>
      <c r="Y2390" s="40"/>
      <c r="Z2390" s="40"/>
      <c r="AA2390" s="966">
        <f t="shared" si="372"/>
        <v>200</v>
      </c>
      <c r="AB2390" s="1210"/>
      <c r="AC2390" s="1199"/>
      <c r="AD2390" s="1211"/>
    </row>
    <row r="2391" spans="1:30" x14ac:dyDescent="0.2">
      <c r="A2391" s="1422"/>
      <c r="B2391" s="2522"/>
      <c r="C2391" s="2456"/>
      <c r="D2391" s="2420"/>
      <c r="E2391" s="2420"/>
      <c r="F2391" s="2420"/>
      <c r="G2391" s="2420"/>
      <c r="H2391" s="2420"/>
      <c r="I2391" s="2420"/>
      <c r="J2391" s="2515"/>
      <c r="K2391" s="40">
        <v>300</v>
      </c>
      <c r="L2391" s="2432"/>
      <c r="M2391" s="1128" t="s">
        <v>308</v>
      </c>
      <c r="N2391" s="1128"/>
      <c r="O2391" s="40"/>
      <c r="P2391" s="40"/>
      <c r="Q2391" s="40"/>
      <c r="R2391" s="40">
        <v>300</v>
      </c>
      <c r="S2391" s="40"/>
      <c r="T2391" s="40"/>
      <c r="U2391" s="40"/>
      <c r="V2391" s="40"/>
      <c r="W2391" s="40"/>
      <c r="X2391" s="40"/>
      <c r="Y2391" s="40"/>
      <c r="Z2391" s="40"/>
      <c r="AA2391" s="966">
        <f t="shared" si="372"/>
        <v>300</v>
      </c>
      <c r="AB2391" s="1210"/>
      <c r="AC2391" s="1199"/>
      <c r="AD2391" s="1211"/>
    </row>
    <row r="2392" spans="1:30" x14ac:dyDescent="0.2">
      <c r="A2392" s="1422"/>
      <c r="B2392" s="2522"/>
      <c r="C2392" s="2456"/>
      <c r="D2392" s="2420"/>
      <c r="E2392" s="2420"/>
      <c r="F2392" s="2420"/>
      <c r="G2392" s="2420"/>
      <c r="H2392" s="2420"/>
      <c r="I2392" s="2420"/>
      <c r="J2392" s="2515"/>
      <c r="K2392" s="40">
        <v>500</v>
      </c>
      <c r="L2392" s="2432"/>
      <c r="M2392" s="1128" t="s">
        <v>309</v>
      </c>
      <c r="N2392" s="1128"/>
      <c r="O2392" s="40"/>
      <c r="P2392" s="40"/>
      <c r="Q2392" s="40"/>
      <c r="R2392" s="40">
        <v>250</v>
      </c>
      <c r="S2392" s="40"/>
      <c r="T2392" s="40"/>
      <c r="U2392" s="40"/>
      <c r="V2392" s="40">
        <v>250</v>
      </c>
      <c r="W2392" s="40"/>
      <c r="X2392" s="40"/>
      <c r="Y2392" s="40"/>
      <c r="Z2392" s="40"/>
      <c r="AA2392" s="966">
        <f t="shared" si="372"/>
        <v>500</v>
      </c>
      <c r="AB2392" s="1210"/>
      <c r="AC2392" s="1199"/>
      <c r="AD2392" s="1211"/>
    </row>
    <row r="2393" spans="1:30" x14ac:dyDescent="0.2">
      <c r="A2393" s="1422"/>
      <c r="B2393" s="2522"/>
      <c r="C2393" s="2456"/>
      <c r="D2393" s="2420"/>
      <c r="E2393" s="2420"/>
      <c r="F2393" s="2420"/>
      <c r="G2393" s="2420"/>
      <c r="H2393" s="2420"/>
      <c r="I2393" s="2420"/>
      <c r="J2393" s="2515"/>
      <c r="K2393" s="40">
        <v>5400</v>
      </c>
      <c r="L2393" s="2432"/>
      <c r="M2393" s="1128" t="s">
        <v>310</v>
      </c>
      <c r="N2393" s="1128"/>
      <c r="O2393" s="40">
        <v>450</v>
      </c>
      <c r="P2393" s="40">
        <v>450</v>
      </c>
      <c r="Q2393" s="40">
        <v>450</v>
      </c>
      <c r="R2393" s="40">
        <v>450</v>
      </c>
      <c r="S2393" s="40">
        <v>450</v>
      </c>
      <c r="T2393" s="40">
        <v>450</v>
      </c>
      <c r="U2393" s="40">
        <v>450</v>
      </c>
      <c r="V2393" s="40">
        <v>450</v>
      </c>
      <c r="W2393" s="40">
        <v>450</v>
      </c>
      <c r="X2393" s="40">
        <v>450</v>
      </c>
      <c r="Y2393" s="40">
        <v>450</v>
      </c>
      <c r="Z2393" s="40">
        <v>450</v>
      </c>
      <c r="AA2393" s="966">
        <f t="shared" si="372"/>
        <v>5400</v>
      </c>
      <c r="AB2393" s="1210"/>
      <c r="AC2393" s="1199"/>
      <c r="AD2393" s="1211"/>
    </row>
    <row r="2394" spans="1:30" x14ac:dyDescent="0.2">
      <c r="A2394" s="1422"/>
      <c r="B2394" s="2522"/>
      <c r="C2394" s="2450"/>
      <c r="D2394" s="2420"/>
      <c r="E2394" s="2420"/>
      <c r="F2394" s="2420"/>
      <c r="G2394" s="2420"/>
      <c r="H2394" s="2420"/>
      <c r="I2394" s="2420"/>
      <c r="J2394" s="2516"/>
      <c r="K2394" s="40">
        <v>296</v>
      </c>
      <c r="L2394" s="2437"/>
      <c r="M2394" s="1128" t="s">
        <v>311</v>
      </c>
      <c r="N2394" s="1128"/>
      <c r="O2394" s="40">
        <v>24.666666666666668</v>
      </c>
      <c r="P2394" s="40">
        <v>24.666666666666668</v>
      </c>
      <c r="Q2394" s="40">
        <v>24.666666666666668</v>
      </c>
      <c r="R2394" s="40">
        <v>24.666666666666668</v>
      </c>
      <c r="S2394" s="40">
        <v>24.666666666666668</v>
      </c>
      <c r="T2394" s="40">
        <v>24.666666666666668</v>
      </c>
      <c r="U2394" s="40">
        <v>24.666666666666668</v>
      </c>
      <c r="V2394" s="40">
        <v>24.666666666666668</v>
      </c>
      <c r="W2394" s="40">
        <v>24.666666666666668</v>
      </c>
      <c r="X2394" s="40">
        <v>24.666666666666668</v>
      </c>
      <c r="Y2394" s="40">
        <v>24.666666666666668</v>
      </c>
      <c r="Z2394" s="40">
        <v>24.666666666666668</v>
      </c>
      <c r="AA2394" s="966">
        <f t="shared" si="372"/>
        <v>296</v>
      </c>
      <c r="AB2394" s="1210"/>
      <c r="AC2394" s="1199"/>
      <c r="AD2394" s="1211"/>
    </row>
    <row r="2395" spans="1:30" x14ac:dyDescent="0.2">
      <c r="A2395" s="1422"/>
      <c r="B2395" s="1427" t="s">
        <v>312</v>
      </c>
      <c r="C2395" s="1128"/>
      <c r="D2395" s="38"/>
      <c r="E2395" s="38"/>
      <c r="F2395" s="38"/>
      <c r="G2395" s="38"/>
      <c r="H2395" s="38"/>
      <c r="I2395" s="38"/>
      <c r="J2395" s="38"/>
      <c r="K2395" s="40">
        <f>SUM(K2389:K2394)</f>
        <v>67523</v>
      </c>
      <c r="L2395" s="115"/>
      <c r="M2395" s="112"/>
      <c r="N2395" s="112"/>
      <c r="O2395" s="40">
        <v>5543.5833333333339</v>
      </c>
      <c r="P2395" s="40">
        <v>5543.5833333333339</v>
      </c>
      <c r="Q2395" s="40">
        <v>5743.5833333333339</v>
      </c>
      <c r="R2395" s="40">
        <v>6093.5833333333339</v>
      </c>
      <c r="S2395" s="40">
        <v>5543.5833333333339</v>
      </c>
      <c r="T2395" s="40">
        <v>5543.5833333333339</v>
      </c>
      <c r="U2395" s="40">
        <v>5543.5833333333339</v>
      </c>
      <c r="V2395" s="40">
        <v>5793.5833333333339</v>
      </c>
      <c r="W2395" s="40">
        <v>5543.5833333333339</v>
      </c>
      <c r="X2395" s="40">
        <v>5543.5833333333339</v>
      </c>
      <c r="Y2395" s="40">
        <v>5543.5833333333339</v>
      </c>
      <c r="Z2395" s="40">
        <v>5543.5833333333339</v>
      </c>
      <c r="AA2395" s="1234"/>
      <c r="AB2395" s="1210"/>
      <c r="AC2395" s="1199"/>
      <c r="AD2395" s="1211"/>
    </row>
    <row r="2396" spans="1:30" x14ac:dyDescent="0.2">
      <c r="A2396" s="1422"/>
      <c r="B2396" s="1422"/>
      <c r="C2396" s="1124"/>
      <c r="D2396" s="35"/>
      <c r="E2396" s="35"/>
      <c r="F2396" s="35"/>
      <c r="G2396" s="35"/>
      <c r="H2396" s="35"/>
      <c r="I2396" s="35"/>
      <c r="J2396" s="35"/>
      <c r="K2396" s="113"/>
      <c r="L2396" s="113"/>
      <c r="M2396" s="114"/>
      <c r="N2396" s="114"/>
      <c r="O2396" s="35"/>
      <c r="P2396" s="35"/>
      <c r="Q2396" s="35"/>
      <c r="R2396" s="109"/>
      <c r="S2396" s="35"/>
      <c r="T2396" s="35"/>
      <c r="U2396" s="35"/>
      <c r="V2396" s="35"/>
      <c r="W2396" s="35"/>
      <c r="X2396" s="35"/>
      <c r="Y2396" s="35"/>
      <c r="Z2396" s="35"/>
      <c r="AA2396" s="1199"/>
      <c r="AB2396" s="1210"/>
      <c r="AC2396" s="1199"/>
      <c r="AD2396" s="1211"/>
    </row>
    <row r="2397" spans="1:30" x14ac:dyDescent="0.2">
      <c r="A2397" s="1422"/>
      <c r="B2397" s="1422"/>
      <c r="C2397" s="1124"/>
      <c r="D2397" s="35"/>
      <c r="E2397" s="35"/>
      <c r="F2397" s="35"/>
      <c r="G2397" s="35"/>
      <c r="H2397" s="35"/>
      <c r="I2397" s="35"/>
      <c r="J2397" s="35"/>
      <c r="K2397" s="113"/>
      <c r="L2397" s="113"/>
      <c r="M2397" s="114"/>
      <c r="N2397" s="114"/>
      <c r="O2397" s="35"/>
      <c r="P2397" s="35"/>
      <c r="Q2397" s="35"/>
      <c r="R2397" s="35"/>
      <c r="S2397" s="35"/>
      <c r="T2397" s="35"/>
      <c r="U2397" s="35"/>
      <c r="V2397" s="35"/>
      <c r="W2397" s="35"/>
      <c r="X2397" s="35"/>
      <c r="Y2397" s="35"/>
      <c r="Z2397" s="35"/>
      <c r="AA2397" s="1199"/>
      <c r="AB2397" s="1210"/>
      <c r="AC2397" s="1199"/>
      <c r="AD2397" s="1211"/>
    </row>
    <row r="2398" spans="1:30" ht="29.25" customHeight="1" x14ac:dyDescent="0.2">
      <c r="A2398" s="1422"/>
      <c r="B2398" s="1433" t="s">
        <v>276</v>
      </c>
      <c r="C2398" s="1119"/>
      <c r="D2398" s="35"/>
      <c r="E2398" s="35"/>
      <c r="F2398" s="35"/>
      <c r="G2398" s="35"/>
      <c r="H2398" s="35"/>
      <c r="I2398" s="35"/>
      <c r="J2398" s="35"/>
      <c r="K2398" s="35"/>
      <c r="L2398" s="35"/>
      <c r="M2398" s="35"/>
      <c r="N2398" s="35"/>
      <c r="O2398" s="35"/>
      <c r="P2398" s="35"/>
      <c r="Q2398" s="35"/>
      <c r="R2398" s="35"/>
      <c r="S2398" s="3333" t="s">
        <v>15</v>
      </c>
      <c r="T2398" s="3333"/>
      <c r="U2398" s="3333"/>
      <c r="V2398" s="3333"/>
      <c r="W2398" s="3333"/>
      <c r="X2398" s="3333"/>
      <c r="Y2398" s="3333"/>
      <c r="Z2398" s="3333"/>
      <c r="AA2398" s="1949" t="s">
        <v>16</v>
      </c>
      <c r="AB2398" s="1210"/>
      <c r="AC2398" s="1199"/>
      <c r="AD2398" s="1211"/>
    </row>
    <row r="2399" spans="1:30" x14ac:dyDescent="0.2">
      <c r="A2399" s="1422"/>
      <c r="B2399" s="1433"/>
      <c r="C2399" s="1119"/>
      <c r="D2399" s="116">
        <v>3043997</v>
      </c>
      <c r="E2399" s="199"/>
      <c r="F2399" s="113" t="s">
        <v>747</v>
      </c>
      <c r="G2399" s="35"/>
      <c r="H2399" s="35"/>
      <c r="I2399" s="35"/>
      <c r="J2399" s="35"/>
      <c r="K2399" s="35"/>
      <c r="L2399" s="35"/>
      <c r="M2399" s="35"/>
      <c r="N2399" s="35"/>
      <c r="O2399" s="35"/>
      <c r="P2399" s="35"/>
      <c r="Q2399" s="35"/>
      <c r="R2399" s="35"/>
      <c r="S2399" s="3333" t="s">
        <v>748</v>
      </c>
      <c r="T2399" s="3333"/>
      <c r="U2399" s="3333"/>
      <c r="V2399" s="3333"/>
      <c r="W2399" s="3333"/>
      <c r="X2399" s="3333"/>
      <c r="Y2399" s="3333"/>
      <c r="Z2399" s="3333"/>
      <c r="AA2399" s="1949" t="s">
        <v>579</v>
      </c>
      <c r="AB2399" s="1210"/>
      <c r="AC2399" s="1199"/>
      <c r="AD2399" s="1211"/>
    </row>
    <row r="2400" spans="1:30" x14ac:dyDescent="0.2">
      <c r="A2400" s="1422"/>
      <c r="B2400" s="2999" t="s">
        <v>278</v>
      </c>
      <c r="C2400" s="3015" t="s">
        <v>21</v>
      </c>
      <c r="D2400" s="2847" t="s">
        <v>22</v>
      </c>
      <c r="E2400" s="2847" t="s">
        <v>23</v>
      </c>
      <c r="F2400" s="2847" t="s">
        <v>24</v>
      </c>
      <c r="G2400" s="2847" t="s">
        <v>25</v>
      </c>
      <c r="H2400" s="2847" t="s">
        <v>26</v>
      </c>
      <c r="I2400" s="2847" t="s">
        <v>27</v>
      </c>
      <c r="J2400" s="3206" t="s">
        <v>28</v>
      </c>
      <c r="K2400" s="3301"/>
      <c r="L2400" s="2988" t="s">
        <v>279</v>
      </c>
      <c r="M2400" s="2847" t="s">
        <v>280</v>
      </c>
      <c r="N2400" s="1017"/>
      <c r="O2400" s="2847" t="s">
        <v>281</v>
      </c>
      <c r="P2400" s="2847"/>
      <c r="Q2400" s="2847"/>
      <c r="R2400" s="2847"/>
      <c r="S2400" s="2847"/>
      <c r="T2400" s="2847"/>
      <c r="U2400" s="2847"/>
      <c r="V2400" s="2847"/>
      <c r="W2400" s="2847"/>
      <c r="X2400" s="2847"/>
      <c r="Y2400" s="2847"/>
      <c r="Z2400" s="2847"/>
      <c r="AA2400" s="3358" t="s">
        <v>32</v>
      </c>
      <c r="AB2400" s="1210"/>
      <c r="AC2400" s="1199"/>
      <c r="AD2400" s="1211"/>
    </row>
    <row r="2401" spans="1:30" x14ac:dyDescent="0.2">
      <c r="A2401" s="1422"/>
      <c r="B2401" s="2999"/>
      <c r="C2401" s="3359"/>
      <c r="D2401" s="2847"/>
      <c r="E2401" s="2847"/>
      <c r="F2401" s="2847"/>
      <c r="G2401" s="2847"/>
      <c r="H2401" s="2847"/>
      <c r="I2401" s="2847"/>
      <c r="J2401" s="1007" t="s">
        <v>33</v>
      </c>
      <c r="K2401" s="2988" t="s">
        <v>282</v>
      </c>
      <c r="L2401" s="3186"/>
      <c r="M2401" s="2847"/>
      <c r="N2401" s="1017"/>
      <c r="O2401" s="1009" t="s">
        <v>283</v>
      </c>
      <c r="P2401" s="1009" t="s">
        <v>284</v>
      </c>
      <c r="Q2401" s="1009" t="s">
        <v>285</v>
      </c>
      <c r="R2401" s="1009" t="s">
        <v>88</v>
      </c>
      <c r="S2401" s="1009" t="s">
        <v>89</v>
      </c>
      <c r="T2401" s="1009" t="s">
        <v>90</v>
      </c>
      <c r="U2401" s="1009" t="s">
        <v>91</v>
      </c>
      <c r="V2401" s="1009" t="s">
        <v>92</v>
      </c>
      <c r="W2401" s="1009" t="s">
        <v>286</v>
      </c>
      <c r="X2401" s="1009" t="s">
        <v>93</v>
      </c>
      <c r="Y2401" s="1009" t="s">
        <v>94</v>
      </c>
      <c r="Z2401" s="1009" t="s">
        <v>95</v>
      </c>
      <c r="AA2401" s="3358"/>
      <c r="AB2401" s="1210"/>
      <c r="AC2401" s="1199"/>
      <c r="AD2401" s="1211"/>
    </row>
    <row r="2402" spans="1:30" ht="12.75" x14ac:dyDescent="0.2">
      <c r="A2402" s="1422"/>
      <c r="B2402" s="2999"/>
      <c r="C2402" s="3359"/>
      <c r="D2402" s="2847"/>
      <c r="E2402" s="2847"/>
      <c r="F2402" s="2847"/>
      <c r="G2402" s="2847"/>
      <c r="H2402" s="2847"/>
      <c r="I2402" s="2847"/>
      <c r="J2402" s="106"/>
      <c r="K2402" s="3186"/>
      <c r="L2402" s="3186"/>
      <c r="M2402" s="1009" t="s">
        <v>287</v>
      </c>
      <c r="N2402" s="1009"/>
      <c r="O2402" s="40">
        <v>60</v>
      </c>
      <c r="P2402" s="40">
        <v>60</v>
      </c>
      <c r="Q2402" s="40">
        <v>63</v>
      </c>
      <c r="R2402" s="40">
        <v>63</v>
      </c>
      <c r="S2402" s="40">
        <v>63</v>
      </c>
      <c r="T2402" s="40">
        <v>63</v>
      </c>
      <c r="U2402" s="40">
        <v>63</v>
      </c>
      <c r="V2402" s="40">
        <v>63</v>
      </c>
      <c r="W2402" s="40">
        <v>63</v>
      </c>
      <c r="X2402" s="40">
        <v>63</v>
      </c>
      <c r="Y2402" s="40">
        <v>63</v>
      </c>
      <c r="Z2402" s="40">
        <v>63</v>
      </c>
      <c r="AA2402" s="1205">
        <f t="shared" ref="AA2402:AA2415" si="374">SUM(O2402:Z2402)</f>
        <v>750</v>
      </c>
      <c r="AB2402" s="1210"/>
      <c r="AC2402" s="1199"/>
      <c r="AD2402" s="1211"/>
    </row>
    <row r="2403" spans="1:30" ht="12.75" x14ac:dyDescent="0.2">
      <c r="A2403" s="1422"/>
      <c r="B2403" s="2999"/>
      <c r="C2403" s="3016"/>
      <c r="D2403" s="2847"/>
      <c r="E2403" s="2847"/>
      <c r="F2403" s="2847"/>
      <c r="G2403" s="2847"/>
      <c r="H2403" s="2847"/>
      <c r="I2403" s="2847"/>
      <c r="J2403" s="1008"/>
      <c r="K2403" s="2989"/>
      <c r="L2403" s="2989"/>
      <c r="M2403" s="1009" t="s">
        <v>34</v>
      </c>
      <c r="N2403" s="1009"/>
      <c r="O2403" s="40">
        <f>SUM(O2404:O2415)</f>
        <v>57217.666666666664</v>
      </c>
      <c r="P2403" s="40">
        <f t="shared" ref="P2403:Z2403" si="375">SUM(P2404:P2415)</f>
        <v>53890.393939393936</v>
      </c>
      <c r="Q2403" s="40">
        <f t="shared" si="375"/>
        <v>55490.393939393936</v>
      </c>
      <c r="R2403" s="40">
        <f t="shared" si="375"/>
        <v>53890.393939393936</v>
      </c>
      <c r="S2403" s="40">
        <f t="shared" si="375"/>
        <v>53890.393939393936</v>
      </c>
      <c r="T2403" s="40">
        <f t="shared" si="375"/>
        <v>53890.393939393936</v>
      </c>
      <c r="U2403" s="40">
        <f t="shared" si="375"/>
        <v>56590.393939393936</v>
      </c>
      <c r="V2403" s="40">
        <f t="shared" si="375"/>
        <v>53890.393939393936</v>
      </c>
      <c r="W2403" s="40">
        <f t="shared" si="375"/>
        <v>53890.393939393936</v>
      </c>
      <c r="X2403" s="40">
        <f t="shared" si="375"/>
        <v>53890.393939393936</v>
      </c>
      <c r="Y2403" s="40">
        <f t="shared" si="375"/>
        <v>53890.393939393936</v>
      </c>
      <c r="Z2403" s="40">
        <f t="shared" si="375"/>
        <v>56590.393939393936</v>
      </c>
      <c r="AA2403" s="1205">
        <f t="shared" si="374"/>
        <v>657011.99999999988</v>
      </c>
      <c r="AB2403" s="1210"/>
      <c r="AC2403" s="1199"/>
      <c r="AD2403" s="1211"/>
    </row>
    <row r="2404" spans="1:30" x14ac:dyDescent="0.2">
      <c r="A2404" s="1422"/>
      <c r="B2404" s="2522">
        <v>5000103</v>
      </c>
      <c r="C2404" s="2438" t="s">
        <v>749</v>
      </c>
      <c r="D2404" s="2420">
        <v>79</v>
      </c>
      <c r="E2404" s="2420" t="s">
        <v>288</v>
      </c>
      <c r="F2404" s="2420" t="s">
        <v>386</v>
      </c>
      <c r="G2404" s="2420" t="s">
        <v>423</v>
      </c>
      <c r="H2404" s="2420"/>
      <c r="I2404" s="2420" t="s">
        <v>573</v>
      </c>
      <c r="J2404" s="2514">
        <v>750</v>
      </c>
      <c r="K2404" s="40">
        <v>387012</v>
      </c>
      <c r="L2404" s="2431" t="s">
        <v>687</v>
      </c>
      <c r="M2404" s="111" t="s">
        <v>293</v>
      </c>
      <c r="N2404" s="111"/>
      <c r="O2404" s="40">
        <v>32251</v>
      </c>
      <c r="P2404" s="40">
        <v>32251</v>
      </c>
      <c r="Q2404" s="40">
        <v>32251</v>
      </c>
      <c r="R2404" s="40">
        <v>32251</v>
      </c>
      <c r="S2404" s="40">
        <v>32251</v>
      </c>
      <c r="T2404" s="40">
        <v>32251</v>
      </c>
      <c r="U2404" s="40">
        <v>32251</v>
      </c>
      <c r="V2404" s="40">
        <v>32251</v>
      </c>
      <c r="W2404" s="40">
        <v>32251</v>
      </c>
      <c r="X2404" s="40">
        <v>32251</v>
      </c>
      <c r="Y2404" s="40">
        <v>32251</v>
      </c>
      <c r="Z2404" s="40">
        <v>32251</v>
      </c>
      <c r="AA2404" s="966">
        <f t="shared" si="374"/>
        <v>387012</v>
      </c>
      <c r="AB2404" s="1210"/>
      <c r="AC2404" s="1199"/>
      <c r="AD2404" s="1211"/>
    </row>
    <row r="2405" spans="1:30" x14ac:dyDescent="0.2">
      <c r="A2405" s="1422"/>
      <c r="B2405" s="2522"/>
      <c r="C2405" s="2456"/>
      <c r="D2405" s="2420"/>
      <c r="E2405" s="2420"/>
      <c r="F2405" s="2420"/>
      <c r="G2405" s="2420"/>
      <c r="H2405" s="2420"/>
      <c r="I2405" s="2420"/>
      <c r="J2405" s="2515"/>
      <c r="K2405" s="40">
        <v>56720</v>
      </c>
      <c r="L2405" s="2432"/>
      <c r="M2405" s="111" t="s">
        <v>295</v>
      </c>
      <c r="N2405" s="111"/>
      <c r="O2405" s="40">
        <v>4726.666666666667</v>
      </c>
      <c r="P2405" s="40">
        <v>4726.666666666667</v>
      </c>
      <c r="Q2405" s="40">
        <v>4726.666666666667</v>
      </c>
      <c r="R2405" s="40">
        <v>4726.666666666667</v>
      </c>
      <c r="S2405" s="40">
        <v>4726.666666666667</v>
      </c>
      <c r="T2405" s="40">
        <v>4726.666666666667</v>
      </c>
      <c r="U2405" s="40">
        <v>4726.666666666667</v>
      </c>
      <c r="V2405" s="40">
        <v>4726.666666666667</v>
      </c>
      <c r="W2405" s="40">
        <v>4726.666666666667</v>
      </c>
      <c r="X2405" s="40">
        <v>4726.666666666667</v>
      </c>
      <c r="Y2405" s="40">
        <v>4726.666666666667</v>
      </c>
      <c r="Z2405" s="40">
        <v>4726.666666666667</v>
      </c>
      <c r="AA2405" s="966">
        <f t="shared" si="374"/>
        <v>56719.999999999993</v>
      </c>
      <c r="AB2405" s="1210"/>
      <c r="AC2405" s="1199"/>
      <c r="AD2405" s="1211"/>
    </row>
    <row r="2406" spans="1:30" x14ac:dyDescent="0.2">
      <c r="A2406" s="1422"/>
      <c r="B2406" s="2522"/>
      <c r="C2406" s="2456"/>
      <c r="D2406" s="2420"/>
      <c r="E2406" s="2420"/>
      <c r="F2406" s="2420"/>
      <c r="G2406" s="2420"/>
      <c r="H2406" s="2420"/>
      <c r="I2406" s="2420"/>
      <c r="J2406" s="2515"/>
      <c r="K2406" s="40">
        <v>58892</v>
      </c>
      <c r="L2406" s="2432"/>
      <c r="M2406" s="111" t="s">
        <v>296</v>
      </c>
      <c r="N2406" s="111"/>
      <c r="O2406" s="40">
        <v>4907.666666666667</v>
      </c>
      <c r="P2406" s="40">
        <v>4907.666666666667</v>
      </c>
      <c r="Q2406" s="40">
        <v>4907.666666666667</v>
      </c>
      <c r="R2406" s="40">
        <v>4907.666666666667</v>
      </c>
      <c r="S2406" s="40">
        <v>4907.666666666667</v>
      </c>
      <c r="T2406" s="40">
        <v>4907.666666666667</v>
      </c>
      <c r="U2406" s="40">
        <v>4907.666666666667</v>
      </c>
      <c r="V2406" s="40">
        <v>4907.666666666667</v>
      </c>
      <c r="W2406" s="40">
        <v>4907.666666666667</v>
      </c>
      <c r="X2406" s="40">
        <v>4907.666666666667</v>
      </c>
      <c r="Y2406" s="40">
        <v>4907.666666666667</v>
      </c>
      <c r="Z2406" s="40">
        <v>4907.666666666667</v>
      </c>
      <c r="AA2406" s="966">
        <f t="shared" si="374"/>
        <v>58891.999999999993</v>
      </c>
      <c r="AB2406" s="1210"/>
      <c r="AC2406" s="1199"/>
      <c r="AD2406" s="1211"/>
    </row>
    <row r="2407" spans="1:30" x14ac:dyDescent="0.2">
      <c r="A2407" s="1422"/>
      <c r="B2407" s="2522"/>
      <c r="C2407" s="2456"/>
      <c r="D2407" s="2420"/>
      <c r="E2407" s="2420"/>
      <c r="F2407" s="2420"/>
      <c r="G2407" s="2420"/>
      <c r="H2407" s="2420"/>
      <c r="I2407" s="2420"/>
      <c r="J2407" s="2515"/>
      <c r="K2407" s="40">
        <v>17376</v>
      </c>
      <c r="L2407" s="2432"/>
      <c r="M2407" s="111" t="s">
        <v>297</v>
      </c>
      <c r="N2407" s="111"/>
      <c r="O2407" s="40">
        <v>1448</v>
      </c>
      <c r="P2407" s="40">
        <v>1448</v>
      </c>
      <c r="Q2407" s="40">
        <v>1448</v>
      </c>
      <c r="R2407" s="40">
        <v>1448</v>
      </c>
      <c r="S2407" s="40">
        <v>1448</v>
      </c>
      <c r="T2407" s="40">
        <v>1448</v>
      </c>
      <c r="U2407" s="40">
        <v>1448</v>
      </c>
      <c r="V2407" s="40">
        <v>1448</v>
      </c>
      <c r="W2407" s="40">
        <v>1448</v>
      </c>
      <c r="X2407" s="40">
        <v>1448</v>
      </c>
      <c r="Y2407" s="40">
        <v>1448</v>
      </c>
      <c r="Z2407" s="40">
        <v>1448</v>
      </c>
      <c r="AA2407" s="966">
        <f t="shared" si="374"/>
        <v>17376</v>
      </c>
      <c r="AB2407" s="1210"/>
      <c r="AC2407" s="1199"/>
      <c r="AD2407" s="1211"/>
    </row>
    <row r="2408" spans="1:30" x14ac:dyDescent="0.2">
      <c r="A2408" s="1422"/>
      <c r="B2408" s="2522"/>
      <c r="C2408" s="2456"/>
      <c r="D2408" s="2420"/>
      <c r="E2408" s="2420"/>
      <c r="F2408" s="2420"/>
      <c r="G2408" s="2420"/>
      <c r="H2408" s="2420"/>
      <c r="I2408" s="2420"/>
      <c r="J2408" s="2515"/>
      <c r="K2408" s="40">
        <v>5400</v>
      </c>
      <c r="L2408" s="2432"/>
      <c r="M2408" s="111" t="s">
        <v>298</v>
      </c>
      <c r="N2408" s="111"/>
      <c r="O2408" s="40"/>
      <c r="P2408" s="40"/>
      <c r="Q2408" s="40"/>
      <c r="R2408" s="40"/>
      <c r="S2408" s="40"/>
      <c r="T2408" s="40"/>
      <c r="U2408" s="40">
        <v>2700</v>
      </c>
      <c r="V2408" s="40"/>
      <c r="W2408" s="40"/>
      <c r="X2408" s="40"/>
      <c r="Y2408" s="40"/>
      <c r="Z2408" s="40">
        <v>2700</v>
      </c>
      <c r="AA2408" s="966">
        <f t="shared" si="374"/>
        <v>5400</v>
      </c>
      <c r="AB2408" s="1210"/>
      <c r="AC2408" s="1199"/>
      <c r="AD2408" s="1211"/>
    </row>
    <row r="2409" spans="1:30" x14ac:dyDescent="0.2">
      <c r="A2409" s="1422"/>
      <c r="B2409" s="2522"/>
      <c r="C2409" s="2456"/>
      <c r="D2409" s="2420"/>
      <c r="E2409" s="2420"/>
      <c r="F2409" s="2420"/>
      <c r="G2409" s="2420"/>
      <c r="H2409" s="2420"/>
      <c r="I2409" s="2420"/>
      <c r="J2409" s="2515"/>
      <c r="K2409" s="40">
        <v>3600</v>
      </c>
      <c r="L2409" s="2432"/>
      <c r="M2409" s="111" t="s">
        <v>299</v>
      </c>
      <c r="N2409" s="111"/>
      <c r="O2409" s="40">
        <v>3600</v>
      </c>
      <c r="P2409" s="40"/>
      <c r="Q2409" s="40"/>
      <c r="R2409" s="40"/>
      <c r="S2409" s="40"/>
      <c r="T2409" s="40"/>
      <c r="U2409" s="40"/>
      <c r="V2409" s="40"/>
      <c r="W2409" s="40"/>
      <c r="X2409" s="40"/>
      <c r="Y2409" s="40"/>
      <c r="Z2409" s="40"/>
      <c r="AA2409" s="966">
        <f t="shared" si="374"/>
        <v>3600</v>
      </c>
      <c r="AB2409" s="1210"/>
      <c r="AC2409" s="1199"/>
      <c r="AD2409" s="1211"/>
    </row>
    <row r="2410" spans="1:30" x14ac:dyDescent="0.2">
      <c r="A2410" s="1422"/>
      <c r="B2410" s="2522"/>
      <c r="C2410" s="2456"/>
      <c r="D2410" s="2420"/>
      <c r="E2410" s="2420"/>
      <c r="F2410" s="2420"/>
      <c r="G2410" s="2420"/>
      <c r="H2410" s="2420"/>
      <c r="I2410" s="2420"/>
      <c r="J2410" s="2515"/>
      <c r="K2410" s="40">
        <v>22583</v>
      </c>
      <c r="L2410" s="2432"/>
      <c r="M2410" s="111" t="s">
        <v>300</v>
      </c>
      <c r="N2410" s="111"/>
      <c r="O2410" s="40">
        <v>1881.9166666666667</v>
      </c>
      <c r="P2410" s="40">
        <v>1881.9166666666667</v>
      </c>
      <c r="Q2410" s="40">
        <v>1881.9166666666667</v>
      </c>
      <c r="R2410" s="40">
        <v>1881.9166666666667</v>
      </c>
      <c r="S2410" s="40">
        <v>1881.9166666666667</v>
      </c>
      <c r="T2410" s="40">
        <v>1881.9166666666667</v>
      </c>
      <c r="U2410" s="40">
        <v>1881.9166666666667</v>
      </c>
      <c r="V2410" s="40">
        <v>1881.9166666666667</v>
      </c>
      <c r="W2410" s="40">
        <v>1881.9166666666667</v>
      </c>
      <c r="X2410" s="40">
        <v>1881.9166666666667</v>
      </c>
      <c r="Y2410" s="40">
        <v>1881.9166666666667</v>
      </c>
      <c r="Z2410" s="40">
        <v>1881.9166666666667</v>
      </c>
      <c r="AA2410" s="966">
        <f t="shared" si="374"/>
        <v>22583.000000000004</v>
      </c>
      <c r="AB2410" s="1210"/>
      <c r="AC2410" s="1199"/>
      <c r="AD2410" s="1211"/>
    </row>
    <row r="2411" spans="1:30" x14ac:dyDescent="0.2">
      <c r="A2411" s="1422"/>
      <c r="B2411" s="2522"/>
      <c r="C2411" s="2456"/>
      <c r="D2411" s="2420"/>
      <c r="E2411" s="2420"/>
      <c r="F2411" s="2420"/>
      <c r="G2411" s="2420"/>
      <c r="H2411" s="2420"/>
      <c r="I2411" s="2420"/>
      <c r="J2411" s="2515"/>
      <c r="K2411" s="40">
        <v>1396</v>
      </c>
      <c r="L2411" s="2432"/>
      <c r="M2411" s="111" t="s">
        <v>301</v>
      </c>
      <c r="N2411" s="111"/>
      <c r="O2411" s="40">
        <v>116.33333333333333</v>
      </c>
      <c r="P2411" s="40">
        <v>116.33333333333333</v>
      </c>
      <c r="Q2411" s="40">
        <v>116.33333333333333</v>
      </c>
      <c r="R2411" s="40">
        <v>116.33333333333333</v>
      </c>
      <c r="S2411" s="40">
        <v>116.33333333333333</v>
      </c>
      <c r="T2411" s="40">
        <v>116.33333333333333</v>
      </c>
      <c r="U2411" s="40">
        <v>116.33333333333333</v>
      </c>
      <c r="V2411" s="40">
        <v>116.33333333333333</v>
      </c>
      <c r="W2411" s="40">
        <v>116.33333333333333</v>
      </c>
      <c r="X2411" s="40">
        <v>116.33333333333333</v>
      </c>
      <c r="Y2411" s="40">
        <v>116.33333333333333</v>
      </c>
      <c r="Z2411" s="40">
        <v>116.33333333333333</v>
      </c>
      <c r="AA2411" s="966">
        <f t="shared" si="374"/>
        <v>1395.9999999999998</v>
      </c>
      <c r="AB2411" s="1210"/>
      <c r="AC2411" s="1199"/>
      <c r="AD2411" s="1211"/>
    </row>
    <row r="2412" spans="1:30" x14ac:dyDescent="0.2">
      <c r="A2412" s="1422"/>
      <c r="B2412" s="2522"/>
      <c r="C2412" s="2456"/>
      <c r="D2412" s="2420"/>
      <c r="E2412" s="2420"/>
      <c r="F2412" s="2420"/>
      <c r="G2412" s="2420"/>
      <c r="H2412" s="2420"/>
      <c r="I2412" s="2420"/>
      <c r="J2412" s="2515"/>
      <c r="K2412" s="40">
        <v>3000</v>
      </c>
      <c r="L2412" s="2432"/>
      <c r="M2412" s="111" t="s">
        <v>306</v>
      </c>
      <c r="N2412" s="111"/>
      <c r="O2412" s="40"/>
      <c r="P2412" s="40">
        <v>272.72727272727275</v>
      </c>
      <c r="Q2412" s="40">
        <v>272.72727272727275</v>
      </c>
      <c r="R2412" s="40">
        <v>272.72727272727275</v>
      </c>
      <c r="S2412" s="40">
        <v>272.72727272727275</v>
      </c>
      <c r="T2412" s="40">
        <v>272.72727272727275</v>
      </c>
      <c r="U2412" s="40">
        <v>272.72727272727275</v>
      </c>
      <c r="V2412" s="40">
        <v>272.72727272727275</v>
      </c>
      <c r="W2412" s="40">
        <v>272.72727272727275</v>
      </c>
      <c r="X2412" s="40">
        <v>272.72727272727275</v>
      </c>
      <c r="Y2412" s="40">
        <v>272.72727272727275</v>
      </c>
      <c r="Z2412" s="40">
        <v>272.72727272727275</v>
      </c>
      <c r="AA2412" s="966">
        <f t="shared" si="374"/>
        <v>3000.0000000000009</v>
      </c>
      <c r="AB2412" s="1210"/>
      <c r="AC2412" s="1199"/>
      <c r="AD2412" s="1211"/>
    </row>
    <row r="2413" spans="1:30" x14ac:dyDescent="0.2">
      <c r="A2413" s="1422"/>
      <c r="B2413" s="2522"/>
      <c r="C2413" s="2456"/>
      <c r="D2413" s="2420"/>
      <c r="E2413" s="2420"/>
      <c r="F2413" s="2420"/>
      <c r="G2413" s="2420"/>
      <c r="H2413" s="2420"/>
      <c r="I2413" s="2420"/>
      <c r="J2413" s="2515"/>
      <c r="K2413" s="40">
        <v>1600</v>
      </c>
      <c r="L2413" s="2432"/>
      <c r="M2413" s="111" t="s">
        <v>308</v>
      </c>
      <c r="N2413" s="111"/>
      <c r="O2413" s="40"/>
      <c r="P2413" s="40"/>
      <c r="Q2413" s="40">
        <v>1600</v>
      </c>
      <c r="R2413" s="40"/>
      <c r="S2413" s="40"/>
      <c r="T2413" s="40"/>
      <c r="U2413" s="40"/>
      <c r="V2413" s="40"/>
      <c r="W2413" s="40"/>
      <c r="X2413" s="40"/>
      <c r="Y2413" s="40"/>
      <c r="Z2413" s="40"/>
      <c r="AA2413" s="966">
        <f t="shared" si="374"/>
        <v>1600</v>
      </c>
      <c r="AB2413" s="1210"/>
      <c r="AC2413" s="1199"/>
      <c r="AD2413" s="1211"/>
    </row>
    <row r="2414" spans="1:30" x14ac:dyDescent="0.2">
      <c r="A2414" s="1422"/>
      <c r="B2414" s="2522"/>
      <c r="C2414" s="2456"/>
      <c r="D2414" s="2420"/>
      <c r="E2414" s="2420"/>
      <c r="F2414" s="2420"/>
      <c r="G2414" s="2420"/>
      <c r="H2414" s="2420"/>
      <c r="I2414" s="2420"/>
      <c r="J2414" s="2515"/>
      <c r="K2414" s="40">
        <v>90301</v>
      </c>
      <c r="L2414" s="2432"/>
      <c r="M2414" s="111" t="s">
        <v>310</v>
      </c>
      <c r="N2414" s="111"/>
      <c r="O2414" s="40">
        <v>7525.083333333333</v>
      </c>
      <c r="P2414" s="40">
        <v>7525.083333333333</v>
      </c>
      <c r="Q2414" s="40">
        <v>7525.083333333333</v>
      </c>
      <c r="R2414" s="40">
        <v>7525.083333333333</v>
      </c>
      <c r="S2414" s="40">
        <v>7525.083333333333</v>
      </c>
      <c r="T2414" s="40">
        <v>7525.083333333333</v>
      </c>
      <c r="U2414" s="40">
        <v>7525.083333333333</v>
      </c>
      <c r="V2414" s="40">
        <v>7525.083333333333</v>
      </c>
      <c r="W2414" s="40">
        <v>7525.083333333333</v>
      </c>
      <c r="X2414" s="40">
        <v>7525.083333333333</v>
      </c>
      <c r="Y2414" s="40">
        <v>7525.083333333333</v>
      </c>
      <c r="Z2414" s="40">
        <v>7525.083333333333</v>
      </c>
      <c r="AA2414" s="966">
        <f t="shared" si="374"/>
        <v>90300.999999999985</v>
      </c>
      <c r="AB2414" s="1210"/>
      <c r="AC2414" s="1199"/>
      <c r="AD2414" s="1211"/>
    </row>
    <row r="2415" spans="1:30" x14ac:dyDescent="0.2">
      <c r="A2415" s="1422"/>
      <c r="B2415" s="2522"/>
      <c r="C2415" s="2450"/>
      <c r="D2415" s="2420"/>
      <c r="E2415" s="2420"/>
      <c r="F2415" s="2420"/>
      <c r="G2415" s="2420"/>
      <c r="H2415" s="2420"/>
      <c r="I2415" s="2420"/>
      <c r="J2415" s="2516"/>
      <c r="K2415" s="40">
        <v>9132</v>
      </c>
      <c r="L2415" s="2432"/>
      <c r="M2415" s="111" t="s">
        <v>311</v>
      </c>
      <c r="N2415" s="111"/>
      <c r="O2415" s="40">
        <v>761</v>
      </c>
      <c r="P2415" s="40">
        <v>761</v>
      </c>
      <c r="Q2415" s="40">
        <v>761</v>
      </c>
      <c r="R2415" s="40">
        <v>761</v>
      </c>
      <c r="S2415" s="40">
        <v>761</v>
      </c>
      <c r="T2415" s="40">
        <v>761</v>
      </c>
      <c r="U2415" s="40">
        <v>761</v>
      </c>
      <c r="V2415" s="40">
        <v>761</v>
      </c>
      <c r="W2415" s="40">
        <v>761</v>
      </c>
      <c r="X2415" s="40">
        <v>761</v>
      </c>
      <c r="Y2415" s="40">
        <v>761</v>
      </c>
      <c r="Z2415" s="40">
        <v>761</v>
      </c>
      <c r="AA2415" s="966">
        <f t="shared" si="374"/>
        <v>9132</v>
      </c>
      <c r="AB2415" s="1210"/>
      <c r="AC2415" s="1199"/>
      <c r="AD2415" s="1211"/>
    </row>
    <row r="2416" spans="1:30" x14ac:dyDescent="0.2">
      <c r="A2416" s="1422"/>
      <c r="B2416" s="1427" t="s">
        <v>312</v>
      </c>
      <c r="C2416" s="1128"/>
      <c r="D2416" s="38"/>
      <c r="E2416" s="38"/>
      <c r="F2416" s="38"/>
      <c r="G2416" s="38"/>
      <c r="H2416" s="38"/>
      <c r="I2416" s="38"/>
      <c r="J2416" s="38"/>
      <c r="K2416" s="40">
        <f>SUM(K2404:K2415)</f>
        <v>657012</v>
      </c>
      <c r="L2416" s="2437"/>
      <c r="M2416" s="38"/>
      <c r="N2416" s="38"/>
      <c r="O2416" s="40">
        <v>57217.666666666664</v>
      </c>
      <c r="P2416" s="40">
        <v>53890.393939393936</v>
      </c>
      <c r="Q2416" s="40">
        <v>55490.393939393936</v>
      </c>
      <c r="R2416" s="40">
        <v>53890.393939393936</v>
      </c>
      <c r="S2416" s="40">
        <v>53890.393939393936</v>
      </c>
      <c r="T2416" s="40">
        <v>53890.393939393936</v>
      </c>
      <c r="U2416" s="40">
        <v>56590.393939393936</v>
      </c>
      <c r="V2416" s="40">
        <v>53890.393939393936</v>
      </c>
      <c r="W2416" s="40">
        <v>53890.393939393936</v>
      </c>
      <c r="X2416" s="40">
        <v>53890.393939393936</v>
      </c>
      <c r="Y2416" s="40">
        <v>53890.393939393936</v>
      </c>
      <c r="Z2416" s="40">
        <v>56590.393939393936</v>
      </c>
      <c r="AA2416" s="1964"/>
      <c r="AB2416" s="1210"/>
      <c r="AC2416" s="1199"/>
      <c r="AD2416" s="1211"/>
    </row>
    <row r="2417" spans="1:30" x14ac:dyDescent="0.2">
      <c r="A2417" s="1422"/>
      <c r="B2417" s="1422"/>
      <c r="C2417" s="1124"/>
      <c r="D2417" s="35"/>
      <c r="E2417" s="35"/>
      <c r="F2417" s="35"/>
      <c r="G2417" s="35"/>
      <c r="H2417" s="35"/>
      <c r="I2417" s="35"/>
      <c r="J2417" s="35"/>
      <c r="K2417" s="35"/>
      <c r="L2417" s="35"/>
      <c r="M2417" s="35"/>
      <c r="N2417" s="35"/>
      <c r="O2417" s="35"/>
      <c r="P2417" s="35"/>
      <c r="Q2417" s="35"/>
      <c r="R2417" s="35"/>
      <c r="S2417" s="35"/>
      <c r="T2417" s="35"/>
      <c r="U2417" s="35"/>
      <c r="V2417" s="35"/>
      <c r="W2417" s="35"/>
      <c r="X2417" s="35"/>
      <c r="Y2417" s="35"/>
      <c r="Z2417" s="35"/>
      <c r="AA2417" s="1199"/>
      <c r="AB2417" s="1210"/>
      <c r="AC2417" s="1199"/>
      <c r="AD2417" s="1211"/>
    </row>
    <row r="2418" spans="1:30" x14ac:dyDescent="0.2">
      <c r="A2418" s="1422"/>
      <c r="B2418" s="3389" t="s">
        <v>269</v>
      </c>
      <c r="C2418" s="2138"/>
      <c r="D2418" s="38" t="s">
        <v>270</v>
      </c>
      <c r="E2418" s="38"/>
      <c r="F2418" s="38"/>
      <c r="G2418" s="38"/>
      <c r="H2418" s="38"/>
      <c r="I2418" s="38"/>
      <c r="J2418" s="38"/>
      <c r="K2418" s="40"/>
      <c r="L2418" s="60"/>
      <c r="M2418" s="60"/>
      <c r="N2418" s="60"/>
      <c r="O2418" s="60"/>
      <c r="P2418" s="60"/>
      <c r="Q2418" s="60"/>
      <c r="R2418" s="60"/>
      <c r="S2418" s="60"/>
      <c r="T2418" s="35"/>
      <c r="U2418" s="35"/>
      <c r="V2418" s="35"/>
      <c r="W2418" s="35"/>
      <c r="X2418" s="35"/>
      <c r="Y2418" s="35"/>
      <c r="Z2418" s="35"/>
      <c r="AA2418" s="1199"/>
      <c r="AB2418" s="1210"/>
      <c r="AC2418" s="1199"/>
      <c r="AD2418" s="1211"/>
    </row>
    <row r="2419" spans="1:30" x14ac:dyDescent="0.2">
      <c r="A2419" s="1422"/>
      <c r="B2419" s="3389"/>
      <c r="C2419" s="2138"/>
      <c r="D2419" s="38" t="s">
        <v>271</v>
      </c>
      <c r="E2419" s="38"/>
      <c r="F2419" s="38"/>
      <c r="G2419" s="38"/>
      <c r="H2419" s="38"/>
      <c r="I2419" s="38"/>
      <c r="J2419" s="38"/>
      <c r="K2419" s="40"/>
      <c r="L2419" s="60"/>
      <c r="M2419" s="60"/>
      <c r="N2419" s="60"/>
      <c r="O2419" s="60"/>
      <c r="P2419" s="60"/>
      <c r="Q2419" s="60"/>
      <c r="R2419" s="60"/>
      <c r="S2419" s="60"/>
      <c r="T2419" s="35"/>
      <c r="U2419" s="35"/>
      <c r="V2419" s="35"/>
      <c r="W2419" s="35"/>
      <c r="X2419" s="35"/>
      <c r="Y2419" s="35"/>
      <c r="Z2419" s="35"/>
      <c r="AA2419" s="1199"/>
      <c r="AB2419" s="1210"/>
      <c r="AC2419" s="1199"/>
      <c r="AD2419" s="1211"/>
    </row>
    <row r="2420" spans="1:30" ht="21.75" customHeight="1" x14ac:dyDescent="0.2">
      <c r="A2420" s="1422"/>
      <c r="B2420" s="1545" t="s">
        <v>8</v>
      </c>
      <c r="C2420" s="2064"/>
      <c r="D2420" s="2127" t="s">
        <v>639</v>
      </c>
      <c r="E2420" s="2127"/>
      <c r="F2420" s="2127"/>
      <c r="G2420" s="2127"/>
      <c r="H2420" s="2127"/>
      <c r="I2420" s="2127"/>
      <c r="J2420" s="2127"/>
      <c r="K2420" s="2133"/>
      <c r="L2420" s="2134"/>
      <c r="M2420" s="2134"/>
      <c r="N2420" s="2134"/>
      <c r="O2420" s="2134"/>
      <c r="P2420" s="2134"/>
      <c r="Q2420" s="2134"/>
      <c r="R2420" s="2134"/>
      <c r="S2420" s="2134"/>
      <c r="T2420" s="2135"/>
      <c r="U2420" s="2135"/>
      <c r="V2420" s="2135"/>
      <c r="W2420" s="2135"/>
      <c r="X2420" s="2135"/>
      <c r="Y2420" s="2135"/>
      <c r="Z2420" s="2135"/>
      <c r="AA2420" s="2139"/>
      <c r="AB2420" s="1210"/>
      <c r="AC2420" s="1199"/>
      <c r="AD2420" s="1211"/>
    </row>
    <row r="2421" spans="1:30" ht="22.5" x14ac:dyDescent="0.2">
      <c r="A2421" s="1422"/>
      <c r="B2421" s="2173" t="s">
        <v>272</v>
      </c>
      <c r="C2421" s="2178"/>
      <c r="D2421" s="913" t="s">
        <v>84</v>
      </c>
      <c r="E2421" s="38"/>
      <c r="F2421" s="38"/>
      <c r="G2421" s="38"/>
      <c r="H2421" s="38"/>
      <c r="I2421" s="38"/>
      <c r="J2421" s="38"/>
      <c r="K2421" s="40"/>
      <c r="L2421" s="60"/>
      <c r="M2421" s="60"/>
      <c r="N2421" s="60"/>
      <c r="O2421" s="60"/>
      <c r="P2421" s="60"/>
      <c r="Q2421" s="60"/>
      <c r="R2421" s="60"/>
      <c r="S2421" s="60"/>
      <c r="T2421" s="35"/>
      <c r="U2421" s="3333" t="s">
        <v>15</v>
      </c>
      <c r="V2421" s="3333"/>
      <c r="W2421" s="3333"/>
      <c r="X2421" s="3333"/>
      <c r="Y2421" s="3333"/>
      <c r="Z2421" s="3333"/>
      <c r="AA2421" s="1228" t="s">
        <v>16</v>
      </c>
      <c r="AB2421" s="1210"/>
      <c r="AC2421" s="1199"/>
      <c r="AD2421" s="1211"/>
    </row>
    <row r="2422" spans="1:30" x14ac:dyDescent="0.2">
      <c r="A2422" s="1422"/>
      <c r="B2422" s="1424" t="s">
        <v>13</v>
      </c>
      <c r="C2422" s="2138"/>
      <c r="D2422" s="2125" t="s">
        <v>750</v>
      </c>
      <c r="E2422" s="107" t="s">
        <v>751</v>
      </c>
      <c r="F2422" s="38"/>
      <c r="G2422" s="38"/>
      <c r="H2422" s="38"/>
      <c r="I2422" s="38"/>
      <c r="J2422" s="38"/>
      <c r="K2422" s="40"/>
      <c r="L2422" s="60"/>
      <c r="M2422" s="60"/>
      <c r="N2422" s="60"/>
      <c r="O2422" s="60"/>
      <c r="P2422" s="60"/>
      <c r="Q2422" s="60"/>
      <c r="R2422" s="60"/>
      <c r="S2422" s="60"/>
      <c r="T2422" s="35"/>
      <c r="U2422" s="3333" t="s">
        <v>752</v>
      </c>
      <c r="V2422" s="3333"/>
      <c r="W2422" s="3333"/>
      <c r="X2422" s="3333"/>
      <c r="Y2422" s="3333"/>
      <c r="Z2422" s="3333"/>
      <c r="AA2422" s="1228" t="s">
        <v>753</v>
      </c>
      <c r="AB2422" s="1210"/>
      <c r="AC2422" s="1199"/>
      <c r="AD2422" s="1211"/>
    </row>
    <row r="2423" spans="1:30" x14ac:dyDescent="0.2">
      <c r="A2423" s="1422"/>
      <c r="B2423" s="1424" t="s">
        <v>276</v>
      </c>
      <c r="C2423" s="2138"/>
      <c r="D2423" s="159">
        <v>3000001</v>
      </c>
      <c r="E2423" s="159" t="s">
        <v>277</v>
      </c>
      <c r="F2423" s="38"/>
      <c r="G2423" s="38"/>
      <c r="H2423" s="38"/>
      <c r="I2423" s="38"/>
      <c r="J2423" s="38"/>
      <c r="K2423" s="40"/>
      <c r="L2423" s="60"/>
      <c r="M2423" s="60"/>
      <c r="N2423" s="60"/>
      <c r="O2423" s="60"/>
      <c r="P2423" s="60"/>
      <c r="Q2423" s="60"/>
      <c r="R2423" s="60"/>
      <c r="S2423" s="60"/>
      <c r="T2423" s="35"/>
      <c r="U2423" s="35"/>
      <c r="V2423" s="35"/>
      <c r="W2423" s="35"/>
      <c r="X2423" s="35"/>
      <c r="Y2423" s="35"/>
      <c r="Z2423" s="35"/>
      <c r="AA2423" s="1199"/>
      <c r="AB2423" s="1210"/>
      <c r="AC2423" s="1199"/>
      <c r="AD2423" s="1211"/>
    </row>
    <row r="2424" spans="1:30" x14ac:dyDescent="0.2">
      <c r="A2424" s="1422"/>
      <c r="B2424" s="2999" t="s">
        <v>278</v>
      </c>
      <c r="C2424" s="2999" t="s">
        <v>21</v>
      </c>
      <c r="D2424" s="2847" t="s">
        <v>22</v>
      </c>
      <c r="E2424" s="2847" t="s">
        <v>23</v>
      </c>
      <c r="F2424" s="2847" t="s">
        <v>24</v>
      </c>
      <c r="G2424" s="2847" t="s">
        <v>25</v>
      </c>
      <c r="H2424" s="2847" t="s">
        <v>26</v>
      </c>
      <c r="I2424" s="2847" t="s">
        <v>27</v>
      </c>
      <c r="J2424" s="2847" t="s">
        <v>28</v>
      </c>
      <c r="K2424" s="2847"/>
      <c r="L2424" s="2987" t="s">
        <v>279</v>
      </c>
      <c r="M2424" s="3273" t="s">
        <v>280</v>
      </c>
      <c r="N2424" s="3274"/>
      <c r="O2424" s="2847" t="s">
        <v>281</v>
      </c>
      <c r="P2424" s="2847"/>
      <c r="Q2424" s="2847"/>
      <c r="R2424" s="2847"/>
      <c r="S2424" s="2847"/>
      <c r="T2424" s="2847"/>
      <c r="U2424" s="2847"/>
      <c r="V2424" s="2847"/>
      <c r="W2424" s="2847"/>
      <c r="X2424" s="2847"/>
      <c r="Y2424" s="2847"/>
      <c r="Z2424" s="2847"/>
      <c r="AA2424" s="3358" t="s">
        <v>32</v>
      </c>
      <c r="AB2424" s="1210"/>
      <c r="AC2424" s="1199"/>
      <c r="AD2424" s="1211"/>
    </row>
    <row r="2425" spans="1:30" x14ac:dyDescent="0.2">
      <c r="A2425" s="1422"/>
      <c r="B2425" s="2999"/>
      <c r="C2425" s="2999"/>
      <c r="D2425" s="2847"/>
      <c r="E2425" s="2847"/>
      <c r="F2425" s="2847"/>
      <c r="G2425" s="2847"/>
      <c r="H2425" s="2847"/>
      <c r="I2425" s="2847"/>
      <c r="J2425" s="2847" t="s">
        <v>33</v>
      </c>
      <c r="K2425" s="2847" t="s">
        <v>282</v>
      </c>
      <c r="L2425" s="3341"/>
      <c r="M2425" s="3275"/>
      <c r="N2425" s="3276"/>
      <c r="O2425" s="1009" t="s">
        <v>283</v>
      </c>
      <c r="P2425" s="1009" t="s">
        <v>284</v>
      </c>
      <c r="Q2425" s="1009" t="s">
        <v>285</v>
      </c>
      <c r="R2425" s="1009" t="s">
        <v>88</v>
      </c>
      <c r="S2425" s="1009" t="s">
        <v>89</v>
      </c>
      <c r="T2425" s="1009" t="s">
        <v>90</v>
      </c>
      <c r="U2425" s="1009" t="s">
        <v>91</v>
      </c>
      <c r="V2425" s="1009" t="s">
        <v>92</v>
      </c>
      <c r="W2425" s="1009" t="s">
        <v>286</v>
      </c>
      <c r="X2425" s="1009" t="s">
        <v>93</v>
      </c>
      <c r="Y2425" s="1009" t="s">
        <v>94</v>
      </c>
      <c r="Z2425" s="1009" t="s">
        <v>95</v>
      </c>
      <c r="AA2425" s="3358"/>
      <c r="AB2425" s="1210"/>
      <c r="AC2425" s="1199"/>
      <c r="AD2425" s="1211"/>
    </row>
    <row r="2426" spans="1:30" x14ac:dyDescent="0.2">
      <c r="A2426" s="1422"/>
      <c r="B2426" s="2999"/>
      <c r="C2426" s="2999"/>
      <c r="D2426" s="2847"/>
      <c r="E2426" s="2847"/>
      <c r="F2426" s="2847"/>
      <c r="G2426" s="2847"/>
      <c r="H2426" s="2847"/>
      <c r="I2426" s="2847"/>
      <c r="J2426" s="2847"/>
      <c r="K2426" s="2847"/>
      <c r="L2426" s="3341"/>
      <c r="M2426" s="3271" t="s">
        <v>287</v>
      </c>
      <c r="N2426" s="3272"/>
      <c r="O2426" s="1093"/>
      <c r="P2426" s="1093">
        <v>6</v>
      </c>
      <c r="Q2426" s="1093">
        <v>7</v>
      </c>
      <c r="R2426" s="1093">
        <v>7</v>
      </c>
      <c r="S2426" s="1093">
        <v>7</v>
      </c>
      <c r="T2426" s="1093">
        <v>7</v>
      </c>
      <c r="U2426" s="1093">
        <v>7</v>
      </c>
      <c r="V2426" s="1093">
        <v>7</v>
      </c>
      <c r="W2426" s="1093">
        <v>6</v>
      </c>
      <c r="X2426" s="1093">
        <v>7</v>
      </c>
      <c r="Y2426" s="1093">
        <v>7</v>
      </c>
      <c r="Z2426" s="1093">
        <v>6</v>
      </c>
      <c r="AA2426" s="1216">
        <f t="shared" ref="AA2426:AA2448" si="376">SUM(O2426:Z2426)</f>
        <v>74</v>
      </c>
      <c r="AB2426" s="1210"/>
      <c r="AC2426" s="1199"/>
      <c r="AD2426" s="1211"/>
    </row>
    <row r="2427" spans="1:30" x14ac:dyDescent="0.2">
      <c r="A2427" s="1422"/>
      <c r="B2427" s="2999"/>
      <c r="C2427" s="2999"/>
      <c r="D2427" s="2847"/>
      <c r="E2427" s="2847"/>
      <c r="F2427" s="2847"/>
      <c r="G2427" s="2847"/>
      <c r="H2427" s="2847"/>
      <c r="I2427" s="2847"/>
      <c r="J2427" s="2847"/>
      <c r="K2427" s="2847"/>
      <c r="L2427" s="3001"/>
      <c r="M2427" s="3271" t="s">
        <v>34</v>
      </c>
      <c r="N2427" s="3272"/>
      <c r="O2427" s="117">
        <f>SUM(O2428:O2448)</f>
        <v>31505.333333333332</v>
      </c>
      <c r="P2427" s="117">
        <f t="shared" ref="P2427:Z2427" si="377">SUM(P2428:P2448)</f>
        <v>32451.901515151516</v>
      </c>
      <c r="Q2427" s="117">
        <f t="shared" si="377"/>
        <v>44209.751515151511</v>
      </c>
      <c r="R2427" s="117">
        <f t="shared" si="377"/>
        <v>31835.151515151516</v>
      </c>
      <c r="S2427" s="117">
        <f t="shared" si="377"/>
        <v>40630.501515151511</v>
      </c>
      <c r="T2427" s="117">
        <f t="shared" si="377"/>
        <v>31335.151515151516</v>
      </c>
      <c r="U2427" s="117">
        <f t="shared" si="377"/>
        <v>37839.751515151511</v>
      </c>
      <c r="V2427" s="117">
        <f t="shared" si="377"/>
        <v>35147.901515151512</v>
      </c>
      <c r="W2427" s="117">
        <f t="shared" si="377"/>
        <v>35013.751515151518</v>
      </c>
      <c r="X2427" s="117">
        <f t="shared" si="377"/>
        <v>31335.151515151516</v>
      </c>
      <c r="Y2427" s="117">
        <f t="shared" si="377"/>
        <v>36130.501515151518</v>
      </c>
      <c r="Z2427" s="117">
        <f t="shared" si="377"/>
        <v>34161.151515151512</v>
      </c>
      <c r="AA2427" s="1216">
        <f t="shared" si="376"/>
        <v>421595.99999999994</v>
      </c>
      <c r="AB2427" s="1210"/>
      <c r="AC2427" s="1199"/>
      <c r="AD2427" s="1211"/>
    </row>
    <row r="2428" spans="1:30" x14ac:dyDescent="0.2">
      <c r="A2428" s="1422"/>
      <c r="B2428" s="2522">
        <v>5004441</v>
      </c>
      <c r="C2428" s="3190" t="s">
        <v>754</v>
      </c>
      <c r="D2428" s="2421">
        <v>80</v>
      </c>
      <c r="E2428" s="2421" t="s">
        <v>288</v>
      </c>
      <c r="F2428" s="2420" t="s">
        <v>289</v>
      </c>
      <c r="G2428" s="2420" t="s">
        <v>290</v>
      </c>
      <c r="H2428" s="2431" t="s">
        <v>755</v>
      </c>
      <c r="I2428" s="2420" t="s">
        <v>292</v>
      </c>
      <c r="J2428" s="2514">
        <v>74</v>
      </c>
      <c r="K2428" s="118">
        <v>17696</v>
      </c>
      <c r="L2428" s="115"/>
      <c r="M2428" s="3287" t="s">
        <v>319</v>
      </c>
      <c r="N2428" s="3288"/>
      <c r="O2428" s="41">
        <v>1474.6666666666667</v>
      </c>
      <c r="P2428" s="41">
        <v>1474.6666666666667</v>
      </c>
      <c r="Q2428" s="41">
        <v>1474.6666666666667</v>
      </c>
      <c r="R2428" s="41">
        <v>1474.6666666666667</v>
      </c>
      <c r="S2428" s="41">
        <v>1474.6666666666667</v>
      </c>
      <c r="T2428" s="41">
        <v>1474.6666666666667</v>
      </c>
      <c r="U2428" s="41">
        <v>1474.6666666666667</v>
      </c>
      <c r="V2428" s="41">
        <v>1474.6666666666667</v>
      </c>
      <c r="W2428" s="41">
        <v>1474.6666666666667</v>
      </c>
      <c r="X2428" s="41">
        <v>1474.6666666666667</v>
      </c>
      <c r="Y2428" s="41">
        <v>1474.6666666666667</v>
      </c>
      <c r="Z2428" s="41">
        <v>1474.6666666666667</v>
      </c>
      <c r="AA2428" s="1217">
        <f t="shared" si="376"/>
        <v>17695.999999999996</v>
      </c>
      <c r="AB2428" s="1210"/>
      <c r="AC2428" s="1199"/>
      <c r="AD2428" s="1211"/>
    </row>
    <row r="2429" spans="1:30" x14ac:dyDescent="0.2">
      <c r="A2429" s="1422"/>
      <c r="B2429" s="2522"/>
      <c r="C2429" s="3191"/>
      <c r="D2429" s="2421"/>
      <c r="E2429" s="2421"/>
      <c r="F2429" s="2420"/>
      <c r="G2429" s="2420"/>
      <c r="H2429" s="2432"/>
      <c r="I2429" s="2420"/>
      <c r="J2429" s="2515"/>
      <c r="K2429" s="118">
        <v>147940</v>
      </c>
      <c r="L2429" s="115"/>
      <c r="M2429" s="3287" t="s">
        <v>320</v>
      </c>
      <c r="N2429" s="3288"/>
      <c r="O2429" s="41">
        <v>12328.333333333334</v>
      </c>
      <c r="P2429" s="41">
        <v>12328.333333333334</v>
      </c>
      <c r="Q2429" s="41">
        <v>12328.333333333334</v>
      </c>
      <c r="R2429" s="41">
        <v>12328.333333333334</v>
      </c>
      <c r="S2429" s="41">
        <v>12328.333333333334</v>
      </c>
      <c r="T2429" s="41">
        <v>12328.333333333334</v>
      </c>
      <c r="U2429" s="41">
        <v>12328.333333333334</v>
      </c>
      <c r="V2429" s="41">
        <v>12328.333333333334</v>
      </c>
      <c r="W2429" s="41">
        <v>12328.333333333334</v>
      </c>
      <c r="X2429" s="41">
        <v>12328.333333333334</v>
      </c>
      <c r="Y2429" s="41">
        <v>12328.333333333334</v>
      </c>
      <c r="Z2429" s="41">
        <v>12328.333333333334</v>
      </c>
      <c r="AA2429" s="1217">
        <f t="shared" si="376"/>
        <v>147940</v>
      </c>
      <c r="AB2429" s="1210"/>
      <c r="AC2429" s="1199"/>
      <c r="AD2429" s="1211"/>
    </row>
    <row r="2430" spans="1:30" x14ac:dyDescent="0.2">
      <c r="A2430" s="1422"/>
      <c r="B2430" s="2522"/>
      <c r="C2430" s="3191"/>
      <c r="D2430" s="2421"/>
      <c r="E2430" s="2421"/>
      <c r="F2430" s="2420"/>
      <c r="G2430" s="2420"/>
      <c r="H2430" s="2432"/>
      <c r="I2430" s="2420"/>
      <c r="J2430" s="2515"/>
      <c r="K2430" s="118">
        <v>138045</v>
      </c>
      <c r="L2430" s="115"/>
      <c r="M2430" s="3287" t="s">
        <v>293</v>
      </c>
      <c r="N2430" s="3288"/>
      <c r="O2430" s="41">
        <v>11503.75</v>
      </c>
      <c r="P2430" s="41">
        <v>11503.75</v>
      </c>
      <c r="Q2430" s="41">
        <v>11503.75</v>
      </c>
      <c r="R2430" s="41">
        <v>11503.75</v>
      </c>
      <c r="S2430" s="41">
        <v>11503.75</v>
      </c>
      <c r="T2430" s="41">
        <v>11503.75</v>
      </c>
      <c r="U2430" s="41">
        <v>11503.75</v>
      </c>
      <c r="V2430" s="41">
        <v>11503.75</v>
      </c>
      <c r="W2430" s="41">
        <v>11503.75</v>
      </c>
      <c r="X2430" s="41">
        <v>11503.75</v>
      </c>
      <c r="Y2430" s="41">
        <v>11503.75</v>
      </c>
      <c r="Z2430" s="41">
        <v>11503.75</v>
      </c>
      <c r="AA2430" s="1217">
        <f t="shared" si="376"/>
        <v>138045</v>
      </c>
      <c r="AB2430" s="1210"/>
      <c r="AC2430" s="1199"/>
      <c r="AD2430" s="1211"/>
    </row>
    <row r="2431" spans="1:30" x14ac:dyDescent="0.2">
      <c r="A2431" s="1422"/>
      <c r="B2431" s="2522"/>
      <c r="C2431" s="3191"/>
      <c r="D2431" s="2421"/>
      <c r="E2431" s="2421"/>
      <c r="F2431" s="2420"/>
      <c r="G2431" s="2420"/>
      <c r="H2431" s="2432"/>
      <c r="I2431" s="2420"/>
      <c r="J2431" s="2515"/>
      <c r="K2431" s="118">
        <v>13411</v>
      </c>
      <c r="L2431" s="115"/>
      <c r="M2431" s="3287" t="s">
        <v>296</v>
      </c>
      <c r="N2431" s="3288"/>
      <c r="O2431" s="41">
        <v>1117.5833333333333</v>
      </c>
      <c r="P2431" s="41">
        <v>1117.5833333333333</v>
      </c>
      <c r="Q2431" s="41">
        <v>1117.5833333333333</v>
      </c>
      <c r="R2431" s="41">
        <v>1117.5833333333333</v>
      </c>
      <c r="S2431" s="41">
        <v>1117.5833333333333</v>
      </c>
      <c r="T2431" s="41">
        <v>1117.5833333333333</v>
      </c>
      <c r="U2431" s="41">
        <v>1117.5833333333333</v>
      </c>
      <c r="V2431" s="41">
        <v>1117.5833333333333</v>
      </c>
      <c r="W2431" s="41">
        <v>1117.5833333333333</v>
      </c>
      <c r="X2431" s="41">
        <v>1117.5833333333333</v>
      </c>
      <c r="Y2431" s="41">
        <v>1117.5833333333333</v>
      </c>
      <c r="Z2431" s="41">
        <v>1117.5833333333333</v>
      </c>
      <c r="AA2431" s="1217">
        <f t="shared" si="376"/>
        <v>13411.000000000002</v>
      </c>
      <c r="AB2431" s="1210"/>
      <c r="AC2431" s="1199"/>
      <c r="AD2431" s="1211"/>
    </row>
    <row r="2432" spans="1:30" x14ac:dyDescent="0.2">
      <c r="A2432" s="1422"/>
      <c r="B2432" s="2522"/>
      <c r="C2432" s="3191"/>
      <c r="D2432" s="2421"/>
      <c r="E2432" s="2421"/>
      <c r="F2432" s="2420"/>
      <c r="G2432" s="2420"/>
      <c r="H2432" s="2432"/>
      <c r="I2432" s="2420"/>
      <c r="J2432" s="2515"/>
      <c r="K2432" s="118">
        <v>13200</v>
      </c>
      <c r="L2432" s="115"/>
      <c r="M2432" s="3287" t="s">
        <v>297</v>
      </c>
      <c r="N2432" s="3288"/>
      <c r="O2432" s="41">
        <v>1100</v>
      </c>
      <c r="P2432" s="41">
        <v>1100</v>
      </c>
      <c r="Q2432" s="41">
        <v>1100</v>
      </c>
      <c r="R2432" s="41">
        <v>1100</v>
      </c>
      <c r="S2432" s="41">
        <v>1100</v>
      </c>
      <c r="T2432" s="41">
        <v>1100</v>
      </c>
      <c r="U2432" s="41">
        <v>1100</v>
      </c>
      <c r="V2432" s="41">
        <v>1100</v>
      </c>
      <c r="W2432" s="41">
        <v>1100</v>
      </c>
      <c r="X2432" s="41">
        <v>1100</v>
      </c>
      <c r="Y2432" s="41">
        <v>1100</v>
      </c>
      <c r="Z2432" s="41">
        <v>1100</v>
      </c>
      <c r="AA2432" s="1217">
        <f t="shared" si="376"/>
        <v>13200</v>
      </c>
      <c r="AB2432" s="1210"/>
      <c r="AC2432" s="1199"/>
      <c r="AD2432" s="1211"/>
    </row>
    <row r="2433" spans="1:30" x14ac:dyDescent="0.2">
      <c r="A2433" s="1422"/>
      <c r="B2433" s="2522"/>
      <c r="C2433" s="3191"/>
      <c r="D2433" s="2421"/>
      <c r="E2433" s="2421"/>
      <c r="F2433" s="2420"/>
      <c r="G2433" s="2420"/>
      <c r="H2433" s="2432"/>
      <c r="I2433" s="2420"/>
      <c r="J2433" s="2515"/>
      <c r="K2433" s="118">
        <v>5652</v>
      </c>
      <c r="L2433" s="115"/>
      <c r="M2433" s="3287" t="s">
        <v>298</v>
      </c>
      <c r="N2433" s="3288"/>
      <c r="O2433" s="41"/>
      <c r="P2433" s="41"/>
      <c r="Q2433" s="41"/>
      <c r="R2433" s="41"/>
      <c r="S2433" s="41"/>
      <c r="T2433" s="41"/>
      <c r="U2433" s="41">
        <v>2826</v>
      </c>
      <c r="V2433" s="41"/>
      <c r="W2433" s="41"/>
      <c r="X2433" s="41"/>
      <c r="Y2433" s="41"/>
      <c r="Z2433" s="41">
        <v>2826</v>
      </c>
      <c r="AA2433" s="1217">
        <f t="shared" si="376"/>
        <v>5652</v>
      </c>
      <c r="AB2433" s="1210"/>
      <c r="AC2433" s="1199"/>
      <c r="AD2433" s="1211"/>
    </row>
    <row r="2434" spans="1:30" x14ac:dyDescent="0.2">
      <c r="A2434" s="1422"/>
      <c r="B2434" s="2522"/>
      <c r="C2434" s="3191"/>
      <c r="D2434" s="2421"/>
      <c r="E2434" s="2421"/>
      <c r="F2434" s="2420"/>
      <c r="G2434" s="2420"/>
      <c r="H2434" s="2432"/>
      <c r="I2434" s="2420"/>
      <c r="J2434" s="2515"/>
      <c r="K2434" s="118">
        <v>2400</v>
      </c>
      <c r="L2434" s="115"/>
      <c r="M2434" s="3287" t="s">
        <v>299</v>
      </c>
      <c r="N2434" s="3288"/>
      <c r="O2434" s="41">
        <v>2400</v>
      </c>
      <c r="P2434" s="41"/>
      <c r="Q2434" s="41"/>
      <c r="R2434" s="41"/>
      <c r="S2434" s="41"/>
      <c r="T2434" s="41"/>
      <c r="U2434" s="41"/>
      <c r="V2434" s="41"/>
      <c r="W2434" s="41"/>
      <c r="X2434" s="41"/>
      <c r="Y2434" s="41"/>
      <c r="Z2434" s="41"/>
      <c r="AA2434" s="1217">
        <f t="shared" si="376"/>
        <v>2400</v>
      </c>
      <c r="AB2434" s="1210"/>
      <c r="AC2434" s="1199"/>
      <c r="AD2434" s="1211"/>
    </row>
    <row r="2435" spans="1:30" x14ac:dyDescent="0.2">
      <c r="A2435" s="1422"/>
      <c r="B2435" s="2522"/>
      <c r="C2435" s="3191"/>
      <c r="D2435" s="2421"/>
      <c r="E2435" s="2421"/>
      <c r="F2435" s="2420"/>
      <c r="G2435" s="2420"/>
      <c r="H2435" s="2432"/>
      <c r="I2435" s="2420"/>
      <c r="J2435" s="2515"/>
      <c r="K2435" s="118">
        <v>12651</v>
      </c>
      <c r="L2435" s="115"/>
      <c r="M2435" s="3287" t="s">
        <v>300</v>
      </c>
      <c r="N2435" s="3288"/>
      <c r="O2435" s="41">
        <v>1054.25</v>
      </c>
      <c r="P2435" s="41">
        <v>1054.25</v>
      </c>
      <c r="Q2435" s="41">
        <v>1054.25</v>
      </c>
      <c r="R2435" s="41">
        <v>1054.25</v>
      </c>
      <c r="S2435" s="41">
        <v>1054.25</v>
      </c>
      <c r="T2435" s="41">
        <v>1054.25</v>
      </c>
      <c r="U2435" s="41">
        <v>1054.25</v>
      </c>
      <c r="V2435" s="41">
        <v>1054.25</v>
      </c>
      <c r="W2435" s="41">
        <v>1054.25</v>
      </c>
      <c r="X2435" s="41">
        <v>1054.25</v>
      </c>
      <c r="Y2435" s="41">
        <v>1054.25</v>
      </c>
      <c r="Z2435" s="41">
        <v>1054.25</v>
      </c>
      <c r="AA2435" s="1217">
        <f t="shared" si="376"/>
        <v>12651</v>
      </c>
      <c r="AB2435" s="1210"/>
      <c r="AC2435" s="1199"/>
      <c r="AD2435" s="1211"/>
    </row>
    <row r="2436" spans="1:30" x14ac:dyDescent="0.2">
      <c r="A2436" s="1422"/>
      <c r="B2436" s="2522"/>
      <c r="C2436" s="3191"/>
      <c r="D2436" s="2421"/>
      <c r="E2436" s="2421"/>
      <c r="F2436" s="2420"/>
      <c r="G2436" s="2420"/>
      <c r="H2436" s="2432"/>
      <c r="I2436" s="2420"/>
      <c r="J2436" s="2515"/>
      <c r="K2436" s="118">
        <v>321</v>
      </c>
      <c r="L2436" s="115"/>
      <c r="M2436" s="3287" t="s">
        <v>301</v>
      </c>
      <c r="N2436" s="3288"/>
      <c r="O2436" s="41">
        <v>26.75</v>
      </c>
      <c r="P2436" s="41">
        <v>26.75</v>
      </c>
      <c r="Q2436" s="41">
        <v>26.75</v>
      </c>
      <c r="R2436" s="41">
        <v>26.75</v>
      </c>
      <c r="S2436" s="41">
        <v>26.75</v>
      </c>
      <c r="T2436" s="41">
        <v>26.75</v>
      </c>
      <c r="U2436" s="41">
        <v>26.75</v>
      </c>
      <c r="V2436" s="41">
        <v>26.75</v>
      </c>
      <c r="W2436" s="41">
        <v>26.75</v>
      </c>
      <c r="X2436" s="41">
        <v>26.75</v>
      </c>
      <c r="Y2436" s="41">
        <v>26.75</v>
      </c>
      <c r="Z2436" s="41">
        <v>26.75</v>
      </c>
      <c r="AA2436" s="1217">
        <f t="shared" si="376"/>
        <v>321</v>
      </c>
      <c r="AB2436" s="1210"/>
      <c r="AC2436" s="1199"/>
      <c r="AD2436" s="1211"/>
    </row>
    <row r="2437" spans="1:30" x14ac:dyDescent="0.2">
      <c r="A2437" s="1422"/>
      <c r="B2437" s="2522"/>
      <c r="C2437" s="3191"/>
      <c r="D2437" s="2421"/>
      <c r="E2437" s="2421"/>
      <c r="F2437" s="2420"/>
      <c r="G2437" s="2420"/>
      <c r="H2437" s="2432"/>
      <c r="I2437" s="2420"/>
      <c r="J2437" s="2515"/>
      <c r="K2437" s="118">
        <v>500</v>
      </c>
      <c r="L2437" s="115"/>
      <c r="M2437" s="3287" t="s">
        <v>380</v>
      </c>
      <c r="N2437" s="3288"/>
      <c r="O2437" s="41">
        <v>500</v>
      </c>
      <c r="P2437" s="41"/>
      <c r="Q2437" s="41"/>
      <c r="R2437" s="41"/>
      <c r="S2437" s="41"/>
      <c r="T2437" s="41"/>
      <c r="U2437" s="41"/>
      <c r="V2437" s="41"/>
      <c r="W2437" s="41"/>
      <c r="X2437" s="41"/>
      <c r="Y2437" s="41"/>
      <c r="Z2437" s="41"/>
      <c r="AA2437" s="1217">
        <f t="shared" si="376"/>
        <v>500</v>
      </c>
      <c r="AB2437" s="1210"/>
      <c r="AC2437" s="1199"/>
      <c r="AD2437" s="1211"/>
    </row>
    <row r="2438" spans="1:30" x14ac:dyDescent="0.2">
      <c r="A2438" s="1422"/>
      <c r="B2438" s="2522"/>
      <c r="C2438" s="3191"/>
      <c r="D2438" s="2421"/>
      <c r="E2438" s="2421"/>
      <c r="F2438" s="2420"/>
      <c r="G2438" s="2420"/>
      <c r="H2438" s="2432"/>
      <c r="I2438" s="2420"/>
      <c r="J2438" s="2515"/>
      <c r="K2438" s="118">
        <v>4500</v>
      </c>
      <c r="L2438" s="115"/>
      <c r="M2438" s="3287" t="s">
        <v>302</v>
      </c>
      <c r="N2438" s="3288"/>
      <c r="O2438" s="41"/>
      <c r="P2438" s="41"/>
      <c r="Q2438" s="41"/>
      <c r="R2438" s="41"/>
      <c r="S2438" s="41">
        <v>4500</v>
      </c>
      <c r="T2438" s="41"/>
      <c r="U2438" s="41"/>
      <c r="V2438" s="41"/>
      <c r="W2438" s="41"/>
      <c r="X2438" s="41"/>
      <c r="Y2438" s="41"/>
      <c r="Z2438" s="41"/>
      <c r="AA2438" s="1217">
        <f t="shared" si="376"/>
        <v>4500</v>
      </c>
      <c r="AB2438" s="1210"/>
      <c r="AC2438" s="1199"/>
      <c r="AD2438" s="1211"/>
    </row>
    <row r="2439" spans="1:30" x14ac:dyDescent="0.2">
      <c r="A2439" s="1422"/>
      <c r="B2439" s="2522"/>
      <c r="C2439" s="3191"/>
      <c r="D2439" s="2421"/>
      <c r="E2439" s="2421"/>
      <c r="F2439" s="2420"/>
      <c r="G2439" s="2420"/>
      <c r="H2439" s="2432"/>
      <c r="I2439" s="2420"/>
      <c r="J2439" s="2515"/>
      <c r="K2439" s="118">
        <v>2500</v>
      </c>
      <c r="L2439" s="115"/>
      <c r="M2439" s="3287" t="s">
        <v>323</v>
      </c>
      <c r="N2439" s="3288"/>
      <c r="O2439" s="41"/>
      <c r="P2439" s="41"/>
      <c r="Q2439" s="41">
        <v>2500</v>
      </c>
      <c r="R2439" s="41"/>
      <c r="S2439" s="41"/>
      <c r="T2439" s="41"/>
      <c r="U2439" s="41"/>
      <c r="V2439" s="41"/>
      <c r="W2439" s="41"/>
      <c r="X2439" s="41"/>
      <c r="Y2439" s="41"/>
      <c r="Z2439" s="41"/>
      <c r="AA2439" s="1217">
        <f t="shared" si="376"/>
        <v>2500</v>
      </c>
      <c r="AB2439" s="1210"/>
      <c r="AC2439" s="1199"/>
      <c r="AD2439" s="1211"/>
    </row>
    <row r="2440" spans="1:30" x14ac:dyDescent="0.2">
      <c r="A2440" s="1422"/>
      <c r="B2440" s="2522"/>
      <c r="C2440" s="3191"/>
      <c r="D2440" s="2421"/>
      <c r="E2440" s="2421"/>
      <c r="F2440" s="2420"/>
      <c r="G2440" s="2420"/>
      <c r="H2440" s="2432"/>
      <c r="I2440" s="2420"/>
      <c r="J2440" s="2515"/>
      <c r="K2440" s="118">
        <v>5392</v>
      </c>
      <c r="L2440" s="115"/>
      <c r="M2440" s="3287" t="s">
        <v>303</v>
      </c>
      <c r="N2440" s="3288"/>
      <c r="O2440" s="41"/>
      <c r="P2440" s="41"/>
      <c r="Q2440" s="41">
        <v>2696</v>
      </c>
      <c r="R2440" s="41"/>
      <c r="S2440" s="41"/>
      <c r="T2440" s="41"/>
      <c r="U2440" s="41"/>
      <c r="V2440" s="41">
        <v>2696</v>
      </c>
      <c r="W2440" s="41"/>
      <c r="X2440" s="41"/>
      <c r="Y2440" s="41"/>
      <c r="Z2440" s="41"/>
      <c r="AA2440" s="1217">
        <f t="shared" si="376"/>
        <v>5392</v>
      </c>
      <c r="AB2440" s="1210"/>
      <c r="AC2440" s="1199"/>
      <c r="AD2440" s="1211"/>
    </row>
    <row r="2441" spans="1:30" x14ac:dyDescent="0.2">
      <c r="A2441" s="1422"/>
      <c r="B2441" s="2522"/>
      <c r="C2441" s="3191"/>
      <c r="D2441" s="2421"/>
      <c r="E2441" s="2421"/>
      <c r="F2441" s="2420"/>
      <c r="G2441" s="2420"/>
      <c r="H2441" s="2432"/>
      <c r="I2441" s="2420"/>
      <c r="J2441" s="2515"/>
      <c r="K2441" s="118">
        <v>1500</v>
      </c>
      <c r="L2441" s="115"/>
      <c r="M2441" s="3287" t="s">
        <v>324</v>
      </c>
      <c r="N2441" s="3288"/>
      <c r="O2441" s="41"/>
      <c r="P2441" s="41"/>
      <c r="Q2441" s="41">
        <v>1500</v>
      </c>
      <c r="R2441" s="41"/>
      <c r="S2441" s="41"/>
      <c r="T2441" s="41"/>
      <c r="U2441" s="41"/>
      <c r="V2441" s="41"/>
      <c r="W2441" s="41"/>
      <c r="X2441" s="41"/>
      <c r="Y2441" s="41"/>
      <c r="Z2441" s="41"/>
      <c r="AA2441" s="1217">
        <f t="shared" si="376"/>
        <v>1500</v>
      </c>
      <c r="AB2441" s="1210"/>
      <c r="AC2441" s="1199"/>
      <c r="AD2441" s="1211"/>
    </row>
    <row r="2442" spans="1:30" x14ac:dyDescent="0.2">
      <c r="A2442" s="1422"/>
      <c r="B2442" s="2522"/>
      <c r="C2442" s="3191"/>
      <c r="D2442" s="2421"/>
      <c r="E2442" s="2421"/>
      <c r="F2442" s="2420"/>
      <c r="G2442" s="2420"/>
      <c r="H2442" s="2432"/>
      <c r="I2442" s="2420"/>
      <c r="J2442" s="2515"/>
      <c r="K2442" s="118">
        <v>500</v>
      </c>
      <c r="L2442" s="115"/>
      <c r="M2442" s="3287" t="s">
        <v>381</v>
      </c>
      <c r="N2442" s="3288"/>
      <c r="O2442" s="41"/>
      <c r="P2442" s="41"/>
      <c r="Q2442" s="41"/>
      <c r="R2442" s="41">
        <v>500</v>
      </c>
      <c r="S2442" s="41"/>
      <c r="T2442" s="41"/>
      <c r="U2442" s="41"/>
      <c r="V2442" s="41"/>
      <c r="W2442" s="41"/>
      <c r="X2442" s="41"/>
      <c r="Y2442" s="41"/>
      <c r="Z2442" s="41"/>
      <c r="AA2442" s="1217">
        <f t="shared" si="376"/>
        <v>500</v>
      </c>
      <c r="AB2442" s="1210"/>
      <c r="AC2442" s="1199"/>
      <c r="AD2442" s="1211"/>
    </row>
    <row r="2443" spans="1:30" x14ac:dyDescent="0.2">
      <c r="A2443" s="1422"/>
      <c r="B2443" s="2522"/>
      <c r="C2443" s="3191"/>
      <c r="D2443" s="2421"/>
      <c r="E2443" s="2421"/>
      <c r="F2443" s="2420"/>
      <c r="G2443" s="2420"/>
      <c r="H2443" s="2432"/>
      <c r="I2443" s="2420"/>
      <c r="J2443" s="2515"/>
      <c r="K2443" s="118">
        <v>2000</v>
      </c>
      <c r="L2443" s="115"/>
      <c r="M2443" s="3287" t="s">
        <v>304</v>
      </c>
      <c r="N2443" s="3288"/>
      <c r="O2443" s="41"/>
      <c r="P2443" s="41"/>
      <c r="Q2443" s="41">
        <v>2000</v>
      </c>
      <c r="R2443" s="41"/>
      <c r="S2443" s="41"/>
      <c r="T2443" s="41"/>
      <c r="U2443" s="41"/>
      <c r="V2443" s="41"/>
      <c r="W2443" s="41"/>
      <c r="X2443" s="41"/>
      <c r="Y2443" s="41"/>
      <c r="Z2443" s="41"/>
      <c r="AA2443" s="1217">
        <f t="shared" si="376"/>
        <v>2000</v>
      </c>
      <c r="AB2443" s="1210"/>
      <c r="AC2443" s="1199"/>
      <c r="AD2443" s="1211"/>
    </row>
    <row r="2444" spans="1:30" x14ac:dyDescent="0.2">
      <c r="A2444" s="1422"/>
      <c r="B2444" s="2522"/>
      <c r="C2444" s="3191"/>
      <c r="D2444" s="2421"/>
      <c r="E2444" s="2421"/>
      <c r="F2444" s="2420"/>
      <c r="G2444" s="2420"/>
      <c r="H2444" s="2432"/>
      <c r="I2444" s="2420"/>
      <c r="J2444" s="2515"/>
      <c r="K2444" s="118">
        <v>4467</v>
      </c>
      <c r="L2444" s="115"/>
      <c r="M2444" s="3287" t="s">
        <v>305</v>
      </c>
      <c r="N2444" s="3288"/>
      <c r="O2444" s="41"/>
      <c r="P2444" s="41">
        <v>1116.75</v>
      </c>
      <c r="Q2444" s="41"/>
      <c r="R2444" s="41"/>
      <c r="S2444" s="41">
        <v>1116.75</v>
      </c>
      <c r="T2444" s="41"/>
      <c r="U2444" s="41"/>
      <c r="V2444" s="41">
        <v>1116.75</v>
      </c>
      <c r="W2444" s="41"/>
      <c r="X2444" s="41"/>
      <c r="Y2444" s="41">
        <v>1116.75</v>
      </c>
      <c r="Z2444" s="41"/>
      <c r="AA2444" s="1217">
        <f t="shared" si="376"/>
        <v>4467</v>
      </c>
      <c r="AB2444" s="1210"/>
      <c r="AC2444" s="1199"/>
      <c r="AD2444" s="1211"/>
    </row>
    <row r="2445" spans="1:30" x14ac:dyDescent="0.2">
      <c r="A2445" s="1422"/>
      <c r="B2445" s="2522"/>
      <c r="C2445" s="3191"/>
      <c r="D2445" s="2421"/>
      <c r="E2445" s="2421"/>
      <c r="F2445" s="2420"/>
      <c r="G2445" s="2420"/>
      <c r="H2445" s="2432"/>
      <c r="I2445" s="2420"/>
      <c r="J2445" s="2515"/>
      <c r="K2445" s="118">
        <v>25028</v>
      </c>
      <c r="L2445" s="115"/>
      <c r="M2445" s="3287" t="s">
        <v>306</v>
      </c>
      <c r="N2445" s="3288"/>
      <c r="O2445" s="41"/>
      <c r="P2445" s="41">
        <v>2275.2727272727275</v>
      </c>
      <c r="Q2445" s="41">
        <v>2275.2727272727275</v>
      </c>
      <c r="R2445" s="41">
        <v>2275.2727272727275</v>
      </c>
      <c r="S2445" s="41">
        <v>2275.2727272727275</v>
      </c>
      <c r="T2445" s="41">
        <v>2275.2727272727275</v>
      </c>
      <c r="U2445" s="41">
        <v>2275.2727272727275</v>
      </c>
      <c r="V2445" s="41">
        <v>2275.2727272727275</v>
      </c>
      <c r="W2445" s="41">
        <v>2275.2727272727275</v>
      </c>
      <c r="X2445" s="41">
        <v>2275.2727272727275</v>
      </c>
      <c r="Y2445" s="41">
        <v>2275.2727272727275</v>
      </c>
      <c r="Z2445" s="41">
        <v>2275.2727272727275</v>
      </c>
      <c r="AA2445" s="1217">
        <f t="shared" si="376"/>
        <v>25028.000000000004</v>
      </c>
      <c r="AB2445" s="1210"/>
      <c r="AC2445" s="1199"/>
      <c r="AD2445" s="1211"/>
    </row>
    <row r="2446" spans="1:30" x14ac:dyDescent="0.2">
      <c r="A2446" s="1422"/>
      <c r="B2446" s="2522"/>
      <c r="C2446" s="3191"/>
      <c r="D2446" s="2421"/>
      <c r="E2446" s="2421"/>
      <c r="F2446" s="2420"/>
      <c r="G2446" s="2420"/>
      <c r="H2446" s="2432"/>
      <c r="I2446" s="2420"/>
      <c r="J2446" s="2515"/>
      <c r="K2446" s="118">
        <v>5000</v>
      </c>
      <c r="L2446" s="115"/>
      <c r="M2446" s="3287" t="s">
        <v>307</v>
      </c>
      <c r="N2446" s="3288"/>
      <c r="O2446" s="41"/>
      <c r="P2446" s="41">
        <v>454.54545454545456</v>
      </c>
      <c r="Q2446" s="41">
        <v>454.54545454545456</v>
      </c>
      <c r="R2446" s="41">
        <v>454.54545454545456</v>
      </c>
      <c r="S2446" s="41">
        <v>454.54545454545456</v>
      </c>
      <c r="T2446" s="41">
        <v>454.54545454545456</v>
      </c>
      <c r="U2446" s="41">
        <v>454.54545454545456</v>
      </c>
      <c r="V2446" s="41">
        <v>454.54545454545456</v>
      </c>
      <c r="W2446" s="41">
        <v>454.54545454545456</v>
      </c>
      <c r="X2446" s="41">
        <v>454.54545454545456</v>
      </c>
      <c r="Y2446" s="41">
        <v>454.54545454545456</v>
      </c>
      <c r="Z2446" s="41">
        <v>454.54545454545456</v>
      </c>
      <c r="AA2446" s="1217">
        <f t="shared" si="376"/>
        <v>5000.0000000000009</v>
      </c>
      <c r="AB2446" s="1210"/>
      <c r="AC2446" s="1199"/>
      <c r="AD2446" s="1211"/>
    </row>
    <row r="2447" spans="1:30" x14ac:dyDescent="0.2">
      <c r="A2447" s="1422"/>
      <c r="B2447" s="2522"/>
      <c r="C2447" s="3191"/>
      <c r="D2447" s="2421"/>
      <c r="E2447" s="2421"/>
      <c r="F2447" s="2420"/>
      <c r="G2447" s="2420"/>
      <c r="H2447" s="2432"/>
      <c r="I2447" s="2420"/>
      <c r="J2447" s="2515"/>
      <c r="K2447" s="118">
        <v>500</v>
      </c>
      <c r="L2447" s="115"/>
      <c r="M2447" s="3287" t="s">
        <v>308</v>
      </c>
      <c r="N2447" s="3288"/>
      <c r="O2447" s="41"/>
      <c r="P2447" s="41"/>
      <c r="Q2447" s="41">
        <v>500</v>
      </c>
      <c r="R2447" s="41"/>
      <c r="S2447" s="41"/>
      <c r="T2447" s="41"/>
      <c r="U2447" s="41"/>
      <c r="V2447" s="41"/>
      <c r="W2447" s="41"/>
      <c r="X2447" s="41"/>
      <c r="Y2447" s="41"/>
      <c r="Z2447" s="41"/>
      <c r="AA2447" s="1217">
        <f t="shared" si="376"/>
        <v>500</v>
      </c>
      <c r="AB2447" s="1210"/>
      <c r="AC2447" s="1199"/>
      <c r="AD2447" s="1211"/>
    </row>
    <row r="2448" spans="1:30" x14ac:dyDescent="0.2">
      <c r="A2448" s="1422"/>
      <c r="B2448" s="2522"/>
      <c r="C2448" s="2439"/>
      <c r="D2448" s="2421"/>
      <c r="E2448" s="2421"/>
      <c r="F2448" s="2420"/>
      <c r="G2448" s="2420"/>
      <c r="H2448" s="2432"/>
      <c r="I2448" s="2420"/>
      <c r="J2448" s="2516"/>
      <c r="K2448" s="118">
        <v>18393</v>
      </c>
      <c r="L2448" s="115"/>
      <c r="M2448" s="3287" t="s">
        <v>309</v>
      </c>
      <c r="N2448" s="3288"/>
      <c r="O2448" s="41"/>
      <c r="P2448" s="41"/>
      <c r="Q2448" s="41">
        <v>3678.6</v>
      </c>
      <c r="R2448" s="41"/>
      <c r="S2448" s="41">
        <v>3678.6</v>
      </c>
      <c r="T2448" s="41"/>
      <c r="U2448" s="41">
        <v>3678.6</v>
      </c>
      <c r="V2448" s="41"/>
      <c r="W2448" s="41">
        <v>3678.6</v>
      </c>
      <c r="X2448" s="41"/>
      <c r="Y2448" s="41">
        <v>3678.6</v>
      </c>
      <c r="Z2448" s="41"/>
      <c r="AA2448" s="1217">
        <f t="shared" si="376"/>
        <v>18393</v>
      </c>
      <c r="AB2448" s="1210"/>
      <c r="AC2448" s="1199"/>
      <c r="AD2448" s="1211"/>
    </row>
    <row r="2449" spans="1:30" x14ac:dyDescent="0.2">
      <c r="A2449" s="1422"/>
      <c r="B2449" s="1427" t="s">
        <v>312</v>
      </c>
      <c r="C2449" s="1273"/>
      <c r="D2449" s="38"/>
      <c r="E2449" s="38"/>
      <c r="F2449" s="38"/>
      <c r="G2449" s="38"/>
      <c r="H2449" s="119"/>
      <c r="I2449" s="38"/>
      <c r="J2449" s="38"/>
      <c r="K2449" s="118">
        <f>SUM(K2428:K2448)</f>
        <v>421596</v>
      </c>
      <c r="L2449" s="38"/>
      <c r="M2449" s="3287"/>
      <c r="N2449" s="3288"/>
      <c r="O2449" s="38"/>
      <c r="P2449" s="38"/>
      <c r="Q2449" s="38"/>
      <c r="R2449" s="38"/>
      <c r="S2449" s="38"/>
      <c r="T2449" s="38"/>
      <c r="U2449" s="38"/>
      <c r="V2449" s="38"/>
      <c r="W2449" s="38"/>
      <c r="X2449" s="38"/>
      <c r="Y2449" s="38"/>
      <c r="Z2449" s="38"/>
      <c r="AA2449" s="1234"/>
      <c r="AB2449" s="1210"/>
      <c r="AC2449" s="1199"/>
      <c r="AD2449" s="1211"/>
    </row>
    <row r="2450" spans="1:30" x14ac:dyDescent="0.2">
      <c r="A2450" s="1422"/>
      <c r="B2450" s="2999" t="s">
        <v>278</v>
      </c>
      <c r="C2450" s="3015" t="s">
        <v>21</v>
      </c>
      <c r="D2450" s="2847" t="s">
        <v>22</v>
      </c>
      <c r="E2450" s="2847" t="s">
        <v>23</v>
      </c>
      <c r="F2450" s="2847" t="s">
        <v>24</v>
      </c>
      <c r="G2450" s="2847" t="s">
        <v>25</v>
      </c>
      <c r="H2450" s="2847" t="s">
        <v>26</v>
      </c>
      <c r="I2450" s="2847" t="s">
        <v>27</v>
      </c>
      <c r="J2450" s="3206" t="s">
        <v>28</v>
      </c>
      <c r="K2450" s="3301"/>
      <c r="L2450" s="2988" t="s">
        <v>279</v>
      </c>
      <c r="M2450" s="3273" t="s">
        <v>280</v>
      </c>
      <c r="N2450" s="3274"/>
      <c r="O2450" s="2847" t="s">
        <v>3113</v>
      </c>
      <c r="P2450" s="2847"/>
      <c r="Q2450" s="2847"/>
      <c r="R2450" s="2847"/>
      <c r="S2450" s="2847"/>
      <c r="T2450" s="2847"/>
      <c r="U2450" s="2847"/>
      <c r="V2450" s="2847"/>
      <c r="W2450" s="2847"/>
      <c r="X2450" s="2847"/>
      <c r="Y2450" s="2847"/>
      <c r="Z2450" s="2847"/>
      <c r="AA2450" s="3358" t="s">
        <v>32</v>
      </c>
      <c r="AB2450" s="1210"/>
      <c r="AC2450" s="1199"/>
      <c r="AD2450" s="1211"/>
    </row>
    <row r="2451" spans="1:30" x14ac:dyDescent="0.2">
      <c r="A2451" s="1422"/>
      <c r="B2451" s="2999"/>
      <c r="C2451" s="3359"/>
      <c r="D2451" s="2847"/>
      <c r="E2451" s="2847"/>
      <c r="F2451" s="2847"/>
      <c r="G2451" s="2847"/>
      <c r="H2451" s="2847"/>
      <c r="I2451" s="2847"/>
      <c r="J2451" s="2988" t="s">
        <v>33</v>
      </c>
      <c r="K2451" s="2988" t="s">
        <v>282</v>
      </c>
      <c r="L2451" s="3186"/>
      <c r="M2451" s="3275"/>
      <c r="N2451" s="3276"/>
      <c r="O2451" s="1009" t="s">
        <v>283</v>
      </c>
      <c r="P2451" s="1009" t="s">
        <v>284</v>
      </c>
      <c r="Q2451" s="1009" t="s">
        <v>285</v>
      </c>
      <c r="R2451" s="1009" t="s">
        <v>88</v>
      </c>
      <c r="S2451" s="1009" t="s">
        <v>89</v>
      </c>
      <c r="T2451" s="1009" t="s">
        <v>90</v>
      </c>
      <c r="U2451" s="1009" t="s">
        <v>91</v>
      </c>
      <c r="V2451" s="1009" t="s">
        <v>92</v>
      </c>
      <c r="W2451" s="1009" t="s">
        <v>286</v>
      </c>
      <c r="X2451" s="1009" t="s">
        <v>93</v>
      </c>
      <c r="Y2451" s="1009" t="s">
        <v>94</v>
      </c>
      <c r="Z2451" s="1009" t="s">
        <v>95</v>
      </c>
      <c r="AA2451" s="3358"/>
      <c r="AB2451" s="1210"/>
      <c r="AC2451" s="1199"/>
      <c r="AD2451" s="1211"/>
    </row>
    <row r="2452" spans="1:30" x14ac:dyDescent="0.2">
      <c r="A2452" s="1422"/>
      <c r="B2452" s="2999"/>
      <c r="C2452" s="3359"/>
      <c r="D2452" s="2847"/>
      <c r="E2452" s="2847"/>
      <c r="F2452" s="2847"/>
      <c r="G2452" s="2847"/>
      <c r="H2452" s="2847"/>
      <c r="I2452" s="2847"/>
      <c r="J2452" s="3186"/>
      <c r="K2452" s="3186"/>
      <c r="L2452" s="3186"/>
      <c r="M2452" s="3271" t="s">
        <v>287</v>
      </c>
      <c r="N2452" s="3272"/>
      <c r="O2452" s="1095"/>
      <c r="P2452" s="1095">
        <v>1</v>
      </c>
      <c r="Q2452" s="1095">
        <v>1</v>
      </c>
      <c r="R2452" s="1095">
        <v>1</v>
      </c>
      <c r="S2452" s="1095"/>
      <c r="T2452" s="1095"/>
      <c r="U2452" s="1095"/>
      <c r="V2452" s="1095"/>
      <c r="W2452" s="1095"/>
      <c r="X2452" s="1095"/>
      <c r="Y2452" s="1095"/>
      <c r="Z2452" s="1095"/>
      <c r="AA2452" s="1216">
        <f t="shared" ref="AA2452:AA2460" si="378">SUM(O2452:Z2452)</f>
        <v>3</v>
      </c>
      <c r="AB2452" s="1210"/>
      <c r="AC2452" s="1199"/>
      <c r="AD2452" s="1211"/>
    </row>
    <row r="2453" spans="1:30" x14ac:dyDescent="0.2">
      <c r="A2453" s="1422"/>
      <c r="B2453" s="2999"/>
      <c r="C2453" s="3016"/>
      <c r="D2453" s="2847"/>
      <c r="E2453" s="2847"/>
      <c r="F2453" s="2847"/>
      <c r="G2453" s="2847"/>
      <c r="H2453" s="2847"/>
      <c r="I2453" s="2847"/>
      <c r="J2453" s="2989"/>
      <c r="K2453" s="2989"/>
      <c r="L2453" s="2989"/>
      <c r="M2453" s="3271" t="s">
        <v>34</v>
      </c>
      <c r="N2453" s="3272"/>
      <c r="O2453" s="120">
        <f>SUM(O2454:O2460)</f>
        <v>0</v>
      </c>
      <c r="P2453" s="120">
        <f t="shared" ref="P2453:Z2453" si="379">SUM(P2454:P2460)</f>
        <v>1340.909090909091</v>
      </c>
      <c r="Q2453" s="120">
        <f t="shared" si="379"/>
        <v>3075.5090909090909</v>
      </c>
      <c r="R2453" s="120">
        <f t="shared" si="379"/>
        <v>2590.909090909091</v>
      </c>
      <c r="S2453" s="120">
        <f t="shared" si="379"/>
        <v>2325.5090909090909</v>
      </c>
      <c r="T2453" s="120">
        <f t="shared" si="379"/>
        <v>590.90909090909099</v>
      </c>
      <c r="U2453" s="120">
        <f t="shared" si="379"/>
        <v>1575.5090909090909</v>
      </c>
      <c r="V2453" s="120">
        <f t="shared" si="379"/>
        <v>1340.909090909091</v>
      </c>
      <c r="W2453" s="120">
        <f t="shared" si="379"/>
        <v>1575.5090909090909</v>
      </c>
      <c r="X2453" s="120">
        <f t="shared" si="379"/>
        <v>590.90909090909099</v>
      </c>
      <c r="Y2453" s="120">
        <f t="shared" si="379"/>
        <v>2325.5090909090909</v>
      </c>
      <c r="Z2453" s="120">
        <f t="shared" si="379"/>
        <v>590.90909090909099</v>
      </c>
      <c r="AA2453" s="1216">
        <f t="shared" si="378"/>
        <v>17923.000000000004</v>
      </c>
      <c r="AB2453" s="1210"/>
      <c r="AC2453" s="1199"/>
      <c r="AD2453" s="1211"/>
    </row>
    <row r="2454" spans="1:30" x14ac:dyDescent="0.2">
      <c r="A2454" s="1422"/>
      <c r="B2454" s="2522">
        <v>5004442</v>
      </c>
      <c r="C2454" s="2438" t="s">
        <v>756</v>
      </c>
      <c r="D2454" s="2420">
        <v>81</v>
      </c>
      <c r="E2454" s="2420" t="s">
        <v>288</v>
      </c>
      <c r="F2454" s="2420" t="s">
        <v>313</v>
      </c>
      <c r="G2454" s="2420" t="s">
        <v>314</v>
      </c>
      <c r="H2454" s="2420" t="s">
        <v>757</v>
      </c>
      <c r="I2454" s="2420" t="s">
        <v>316</v>
      </c>
      <c r="J2454" s="2514">
        <v>3</v>
      </c>
      <c r="K2454" s="120">
        <v>2000</v>
      </c>
      <c r="L2454" s="115"/>
      <c r="M2454" s="3287" t="s">
        <v>304</v>
      </c>
      <c r="N2454" s="3288"/>
      <c r="O2454" s="41"/>
      <c r="P2454" s="41"/>
      <c r="Q2454" s="41"/>
      <c r="R2454" s="41">
        <v>2000</v>
      </c>
      <c r="S2454" s="41"/>
      <c r="T2454" s="41"/>
      <c r="U2454" s="41"/>
      <c r="V2454" s="41"/>
      <c r="W2454" s="41"/>
      <c r="X2454" s="41"/>
      <c r="Y2454" s="41"/>
      <c r="Z2454" s="41"/>
      <c r="AA2454" s="1217">
        <f t="shared" si="378"/>
        <v>2000</v>
      </c>
      <c r="AB2454" s="1210"/>
      <c r="AC2454" s="1199"/>
      <c r="AD2454" s="1211"/>
    </row>
    <row r="2455" spans="1:30" x14ac:dyDescent="0.2">
      <c r="A2455" s="1422"/>
      <c r="B2455" s="2522"/>
      <c r="C2455" s="2456"/>
      <c r="D2455" s="2420"/>
      <c r="E2455" s="2420"/>
      <c r="F2455" s="2420"/>
      <c r="G2455" s="2420"/>
      <c r="H2455" s="2420"/>
      <c r="I2455" s="2420"/>
      <c r="J2455" s="2515"/>
      <c r="K2455" s="120">
        <v>3000</v>
      </c>
      <c r="L2455" s="115"/>
      <c r="M2455" s="3287" t="s">
        <v>305</v>
      </c>
      <c r="N2455" s="3288"/>
      <c r="O2455" s="41"/>
      <c r="P2455" s="41">
        <v>750</v>
      </c>
      <c r="Q2455" s="41"/>
      <c r="R2455" s="41"/>
      <c r="S2455" s="41">
        <v>750</v>
      </c>
      <c r="T2455" s="41"/>
      <c r="U2455" s="41"/>
      <c r="V2455" s="41">
        <v>750</v>
      </c>
      <c r="W2455" s="41"/>
      <c r="X2455" s="41"/>
      <c r="Y2455" s="41">
        <v>750</v>
      </c>
      <c r="Z2455" s="41"/>
      <c r="AA2455" s="1217">
        <f t="shared" si="378"/>
        <v>3000</v>
      </c>
      <c r="AB2455" s="1210"/>
      <c r="AC2455" s="1199"/>
      <c r="AD2455" s="1211"/>
    </row>
    <row r="2456" spans="1:30" x14ac:dyDescent="0.2">
      <c r="A2456" s="1422"/>
      <c r="B2456" s="2522"/>
      <c r="C2456" s="2456"/>
      <c r="D2456" s="2420"/>
      <c r="E2456" s="2420"/>
      <c r="F2456" s="2420"/>
      <c r="G2456" s="2420"/>
      <c r="H2456" s="2420"/>
      <c r="I2456" s="2420"/>
      <c r="J2456" s="2515"/>
      <c r="K2456" s="120">
        <v>5000</v>
      </c>
      <c r="L2456" s="115"/>
      <c r="M2456" s="3287" t="s">
        <v>306</v>
      </c>
      <c r="N2456" s="3288"/>
      <c r="O2456" s="41"/>
      <c r="P2456" s="41">
        <v>454.54545454545456</v>
      </c>
      <c r="Q2456" s="41">
        <v>454.54545454545456</v>
      </c>
      <c r="R2456" s="41">
        <v>454.54545454545456</v>
      </c>
      <c r="S2456" s="41">
        <v>454.54545454545456</v>
      </c>
      <c r="T2456" s="41">
        <v>454.54545454545456</v>
      </c>
      <c r="U2456" s="41">
        <v>454.54545454545456</v>
      </c>
      <c r="V2456" s="41">
        <v>454.54545454545456</v>
      </c>
      <c r="W2456" s="41">
        <v>454.54545454545456</v>
      </c>
      <c r="X2456" s="41">
        <v>454.54545454545456</v>
      </c>
      <c r="Y2456" s="41">
        <v>454.54545454545456</v>
      </c>
      <c r="Z2456" s="41">
        <v>454.54545454545456</v>
      </c>
      <c r="AA2456" s="1217">
        <f t="shared" si="378"/>
        <v>5000.0000000000009</v>
      </c>
      <c r="AB2456" s="1210"/>
      <c r="AC2456" s="1199"/>
      <c r="AD2456" s="1211"/>
    </row>
    <row r="2457" spans="1:30" x14ac:dyDescent="0.2">
      <c r="A2457" s="1422"/>
      <c r="B2457" s="2522"/>
      <c r="C2457" s="2456"/>
      <c r="D2457" s="2420"/>
      <c r="E2457" s="2420"/>
      <c r="F2457" s="2420"/>
      <c r="G2457" s="2420"/>
      <c r="H2457" s="2420"/>
      <c r="I2457" s="2420"/>
      <c r="J2457" s="2515"/>
      <c r="K2457" s="120">
        <v>1500</v>
      </c>
      <c r="L2457" s="115"/>
      <c r="M2457" s="3287" t="s">
        <v>307</v>
      </c>
      <c r="N2457" s="3288"/>
      <c r="O2457" s="41"/>
      <c r="P2457" s="41">
        <v>136.36363636363637</v>
      </c>
      <c r="Q2457" s="41">
        <v>136.36363636363637</v>
      </c>
      <c r="R2457" s="41">
        <v>136.36363636363637</v>
      </c>
      <c r="S2457" s="41">
        <v>136.36363636363637</v>
      </c>
      <c r="T2457" s="41">
        <v>136.36363636363637</v>
      </c>
      <c r="U2457" s="41">
        <v>136.36363636363637</v>
      </c>
      <c r="V2457" s="41">
        <v>136.36363636363637</v>
      </c>
      <c r="W2457" s="41">
        <v>136.36363636363637</v>
      </c>
      <c r="X2457" s="41">
        <v>136.36363636363637</v>
      </c>
      <c r="Y2457" s="41">
        <v>136.36363636363637</v>
      </c>
      <c r="Z2457" s="41">
        <v>136.36363636363637</v>
      </c>
      <c r="AA2457" s="1217">
        <f t="shared" si="378"/>
        <v>1500.0000000000005</v>
      </c>
      <c r="AB2457" s="1210"/>
      <c r="AC2457" s="1199"/>
      <c r="AD2457" s="1211"/>
    </row>
    <row r="2458" spans="1:30" x14ac:dyDescent="0.2">
      <c r="A2458" s="1422"/>
      <c r="B2458" s="2522"/>
      <c r="C2458" s="2456"/>
      <c r="D2458" s="2420"/>
      <c r="E2458" s="2420"/>
      <c r="F2458" s="2420"/>
      <c r="G2458" s="2420"/>
      <c r="H2458" s="2420"/>
      <c r="I2458" s="2420"/>
      <c r="J2458" s="2515"/>
      <c r="K2458" s="120">
        <v>1000</v>
      </c>
      <c r="L2458" s="115"/>
      <c r="M2458" s="3287" t="s">
        <v>355</v>
      </c>
      <c r="N2458" s="3288"/>
      <c r="O2458" s="41"/>
      <c r="P2458" s="41"/>
      <c r="Q2458" s="41">
        <v>1000</v>
      </c>
      <c r="R2458" s="41"/>
      <c r="S2458" s="41"/>
      <c r="T2458" s="41"/>
      <c r="U2458" s="41"/>
      <c r="V2458" s="41"/>
      <c r="W2458" s="41"/>
      <c r="X2458" s="41"/>
      <c r="Y2458" s="41"/>
      <c r="Z2458" s="41"/>
      <c r="AA2458" s="1217">
        <f t="shared" si="378"/>
        <v>1000</v>
      </c>
      <c r="AB2458" s="1210"/>
      <c r="AC2458" s="1199"/>
      <c r="AD2458" s="1211"/>
    </row>
    <row r="2459" spans="1:30" x14ac:dyDescent="0.2">
      <c r="A2459" s="1422"/>
      <c r="B2459" s="2522"/>
      <c r="C2459" s="2456"/>
      <c r="D2459" s="2420"/>
      <c r="E2459" s="2420"/>
      <c r="F2459" s="2420"/>
      <c r="G2459" s="2420"/>
      <c r="H2459" s="2420"/>
      <c r="I2459" s="2420"/>
      <c r="J2459" s="2515"/>
      <c r="K2459" s="120">
        <v>500</v>
      </c>
      <c r="L2459" s="115"/>
      <c r="M2459" s="3287" t="s">
        <v>308</v>
      </c>
      <c r="N2459" s="3288"/>
      <c r="O2459" s="41"/>
      <c r="P2459" s="41"/>
      <c r="Q2459" s="41">
        <v>500</v>
      </c>
      <c r="R2459" s="41"/>
      <c r="S2459" s="41"/>
      <c r="T2459" s="41"/>
      <c r="U2459" s="41"/>
      <c r="V2459" s="41"/>
      <c r="W2459" s="41"/>
      <c r="X2459" s="41"/>
      <c r="Y2459" s="41"/>
      <c r="Z2459" s="41"/>
      <c r="AA2459" s="1217">
        <f t="shared" si="378"/>
        <v>500</v>
      </c>
      <c r="AB2459" s="1210"/>
      <c r="AC2459" s="1199"/>
      <c r="AD2459" s="1211"/>
    </row>
    <row r="2460" spans="1:30" x14ac:dyDescent="0.2">
      <c r="A2460" s="1422"/>
      <c r="B2460" s="2522"/>
      <c r="C2460" s="2450"/>
      <c r="D2460" s="2420"/>
      <c r="E2460" s="2420"/>
      <c r="F2460" s="2420"/>
      <c r="G2460" s="2420"/>
      <c r="H2460" s="2420"/>
      <c r="I2460" s="2420"/>
      <c r="J2460" s="2516"/>
      <c r="K2460" s="120">
        <v>4923</v>
      </c>
      <c r="L2460" s="115"/>
      <c r="M2460" s="3287" t="s">
        <v>309</v>
      </c>
      <c r="N2460" s="3288"/>
      <c r="O2460" s="41"/>
      <c r="P2460" s="41"/>
      <c r="Q2460" s="41">
        <v>984.6</v>
      </c>
      <c r="R2460" s="41"/>
      <c r="S2460" s="41">
        <v>984.6</v>
      </c>
      <c r="T2460" s="41"/>
      <c r="U2460" s="41">
        <v>984.6</v>
      </c>
      <c r="V2460" s="41"/>
      <c r="W2460" s="41">
        <v>984.6</v>
      </c>
      <c r="X2460" s="41"/>
      <c r="Y2460" s="41">
        <v>984.6</v>
      </c>
      <c r="Z2460" s="41"/>
      <c r="AA2460" s="1217">
        <f t="shared" si="378"/>
        <v>4923</v>
      </c>
      <c r="AB2460" s="1210"/>
      <c r="AC2460" s="1199"/>
      <c r="AD2460" s="1211"/>
    </row>
    <row r="2461" spans="1:30" x14ac:dyDescent="0.2">
      <c r="A2461" s="1422"/>
      <c r="B2461" s="1427" t="s">
        <v>312</v>
      </c>
      <c r="C2461" s="1273"/>
      <c r="D2461" s="38"/>
      <c r="E2461" s="38"/>
      <c r="F2461" s="38"/>
      <c r="G2461" s="38"/>
      <c r="H2461" s="38"/>
      <c r="I2461" s="38"/>
      <c r="J2461" s="38"/>
      <c r="K2461" s="120">
        <f>SUM(K2454:K2460)</f>
        <v>17923</v>
      </c>
      <c r="L2461" s="38"/>
      <c r="M2461" s="38"/>
      <c r="N2461" s="38"/>
      <c r="O2461" s="38"/>
      <c r="P2461" s="38"/>
      <c r="Q2461" s="38"/>
      <c r="R2461" s="38"/>
      <c r="S2461" s="38"/>
      <c r="T2461" s="38"/>
      <c r="U2461" s="38"/>
      <c r="V2461" s="38"/>
      <c r="W2461" s="38"/>
      <c r="X2461" s="38"/>
      <c r="Y2461" s="38"/>
      <c r="Z2461" s="38"/>
      <c r="AA2461" s="1217"/>
      <c r="AB2461" s="1210"/>
      <c r="AC2461" s="1199"/>
      <c r="AD2461" s="1211"/>
    </row>
    <row r="2462" spans="1:30" ht="22.5" x14ac:dyDescent="0.2">
      <c r="A2462" s="1422"/>
      <c r="B2462" s="1433" t="s">
        <v>276</v>
      </c>
      <c r="C2462" s="1121"/>
      <c r="D2462" s="1119">
        <v>3000003</v>
      </c>
      <c r="E2462" s="192" t="s">
        <v>758</v>
      </c>
      <c r="F2462" s="35"/>
      <c r="G2462" s="35"/>
      <c r="H2462" s="35"/>
      <c r="I2462" s="35"/>
      <c r="J2462" s="35"/>
      <c r="K2462" s="60"/>
      <c r="L2462" s="60"/>
      <c r="M2462" s="60"/>
      <c r="N2462" s="60"/>
      <c r="O2462" s="60"/>
      <c r="P2462" s="60"/>
      <c r="Q2462" s="60"/>
      <c r="R2462" s="3333" t="s">
        <v>15</v>
      </c>
      <c r="S2462" s="3333"/>
      <c r="T2462" s="3333"/>
      <c r="U2462" s="3333"/>
      <c r="V2462" s="3333"/>
      <c r="W2462" s="3333"/>
      <c r="X2462" s="3333"/>
      <c r="Y2462" s="3333"/>
      <c r="Z2462" s="3333"/>
      <c r="AA2462" s="1228" t="s">
        <v>16</v>
      </c>
      <c r="AB2462" s="1210"/>
      <c r="AC2462" s="1199"/>
      <c r="AD2462" s="1211"/>
    </row>
    <row r="2463" spans="1:30" ht="33.75" x14ac:dyDescent="0.2">
      <c r="A2463" s="1422"/>
      <c r="B2463" s="1433"/>
      <c r="C2463" s="1121"/>
      <c r="D2463" s="1119"/>
      <c r="E2463" s="192"/>
      <c r="F2463" s="35"/>
      <c r="G2463" s="35"/>
      <c r="H2463" s="35"/>
      <c r="I2463" s="35"/>
      <c r="J2463" s="35"/>
      <c r="K2463" s="60"/>
      <c r="L2463" s="60"/>
      <c r="M2463" s="60"/>
      <c r="N2463" s="60"/>
      <c r="O2463" s="60"/>
      <c r="P2463" s="60"/>
      <c r="Q2463" s="60"/>
      <c r="R2463" s="3390" t="s">
        <v>3730</v>
      </c>
      <c r="S2463" s="3390"/>
      <c r="T2463" s="3390"/>
      <c r="U2463" s="3390"/>
      <c r="V2463" s="3390"/>
      <c r="W2463" s="3390"/>
      <c r="X2463" s="3390"/>
      <c r="Y2463" s="3390"/>
      <c r="Z2463" s="3390"/>
      <c r="AA2463" s="1218" t="s">
        <v>366</v>
      </c>
      <c r="AB2463" s="1210"/>
      <c r="AC2463" s="1199"/>
      <c r="AD2463" s="1211"/>
    </row>
    <row r="2464" spans="1:30" x14ac:dyDescent="0.2">
      <c r="A2464" s="1422"/>
      <c r="B2464" s="2999" t="s">
        <v>278</v>
      </c>
      <c r="C2464" s="3015" t="s">
        <v>21</v>
      </c>
      <c r="D2464" s="2847" t="s">
        <v>22</v>
      </c>
      <c r="E2464" s="2847" t="s">
        <v>23</v>
      </c>
      <c r="F2464" s="2847" t="s">
        <v>24</v>
      </c>
      <c r="G2464" s="2847" t="s">
        <v>25</v>
      </c>
      <c r="H2464" s="2847" t="s">
        <v>26</v>
      </c>
      <c r="I2464" s="2847" t="s">
        <v>27</v>
      </c>
      <c r="J2464" s="3206" t="s">
        <v>28</v>
      </c>
      <c r="K2464" s="3301"/>
      <c r="L2464" s="2988" t="s">
        <v>279</v>
      </c>
      <c r="M2464" s="3273" t="s">
        <v>280</v>
      </c>
      <c r="N2464" s="3274"/>
      <c r="O2464" s="2847" t="s">
        <v>281</v>
      </c>
      <c r="P2464" s="2847"/>
      <c r="Q2464" s="2847"/>
      <c r="R2464" s="2847"/>
      <c r="S2464" s="2847"/>
      <c r="T2464" s="2847"/>
      <c r="U2464" s="2847"/>
      <c r="V2464" s="2847"/>
      <c r="W2464" s="2847"/>
      <c r="X2464" s="2847"/>
      <c r="Y2464" s="2847"/>
      <c r="Z2464" s="2847"/>
      <c r="AA2464" s="3358" t="s">
        <v>32</v>
      </c>
      <c r="AB2464" s="1210"/>
      <c r="AC2464" s="1199"/>
      <c r="AD2464" s="1211"/>
    </row>
    <row r="2465" spans="1:30" x14ac:dyDescent="0.2">
      <c r="A2465" s="1422"/>
      <c r="B2465" s="2999"/>
      <c r="C2465" s="3359"/>
      <c r="D2465" s="2847"/>
      <c r="E2465" s="2847"/>
      <c r="F2465" s="2847"/>
      <c r="G2465" s="2847"/>
      <c r="H2465" s="2847"/>
      <c r="I2465" s="2847"/>
      <c r="J2465" s="2988" t="s">
        <v>33</v>
      </c>
      <c r="K2465" s="2988" t="s">
        <v>282</v>
      </c>
      <c r="L2465" s="3186"/>
      <c r="M2465" s="3275"/>
      <c r="N2465" s="3276"/>
      <c r="O2465" s="1009" t="s">
        <v>283</v>
      </c>
      <c r="P2465" s="1009" t="s">
        <v>284</v>
      </c>
      <c r="Q2465" s="1009" t="s">
        <v>285</v>
      </c>
      <c r="R2465" s="1009" t="s">
        <v>88</v>
      </c>
      <c r="S2465" s="1009" t="s">
        <v>89</v>
      </c>
      <c r="T2465" s="1009" t="s">
        <v>90</v>
      </c>
      <c r="U2465" s="1009" t="s">
        <v>91</v>
      </c>
      <c r="V2465" s="1009" t="s">
        <v>92</v>
      </c>
      <c r="W2465" s="1009" t="s">
        <v>286</v>
      </c>
      <c r="X2465" s="1009" t="s">
        <v>93</v>
      </c>
      <c r="Y2465" s="1009" t="s">
        <v>94</v>
      </c>
      <c r="Z2465" s="1009" t="s">
        <v>95</v>
      </c>
      <c r="AA2465" s="3358"/>
      <c r="AB2465" s="1210"/>
      <c r="AC2465" s="1199"/>
      <c r="AD2465" s="1211"/>
    </row>
    <row r="2466" spans="1:30" x14ac:dyDescent="0.2">
      <c r="A2466" s="1422"/>
      <c r="B2466" s="2999"/>
      <c r="C2466" s="3359"/>
      <c r="D2466" s="2847"/>
      <c r="E2466" s="2847"/>
      <c r="F2466" s="2847"/>
      <c r="G2466" s="2847"/>
      <c r="H2466" s="2847"/>
      <c r="I2466" s="2847"/>
      <c r="J2466" s="3186"/>
      <c r="K2466" s="3186"/>
      <c r="L2466" s="3186"/>
      <c r="M2466" s="3271" t="s">
        <v>287</v>
      </c>
      <c r="N2466" s="3272"/>
      <c r="O2466" s="1095">
        <v>8</v>
      </c>
      <c r="P2466" s="1095">
        <v>7</v>
      </c>
      <c r="Q2466" s="1095">
        <v>8</v>
      </c>
      <c r="R2466" s="1095">
        <v>8</v>
      </c>
      <c r="S2466" s="1095">
        <v>8</v>
      </c>
      <c r="T2466" s="1095">
        <v>8</v>
      </c>
      <c r="U2466" s="1095">
        <v>8</v>
      </c>
      <c r="V2466" s="1095">
        <v>7</v>
      </c>
      <c r="W2466" s="1095">
        <v>8</v>
      </c>
      <c r="X2466" s="1095">
        <v>8</v>
      </c>
      <c r="Y2466" s="1095">
        <v>8</v>
      </c>
      <c r="Z2466" s="1095">
        <v>7</v>
      </c>
      <c r="AA2466" s="1216">
        <f t="shared" ref="AA2466:AA2482" si="380">SUM(O2466:Z2466)</f>
        <v>93</v>
      </c>
      <c r="AB2466" s="1210"/>
      <c r="AC2466" s="1199"/>
      <c r="AD2466" s="1211"/>
    </row>
    <row r="2467" spans="1:30" x14ac:dyDescent="0.2">
      <c r="A2467" s="1422"/>
      <c r="B2467" s="2999"/>
      <c r="C2467" s="3016"/>
      <c r="D2467" s="2847"/>
      <c r="E2467" s="2847"/>
      <c r="F2467" s="2847"/>
      <c r="G2467" s="2847"/>
      <c r="H2467" s="2847"/>
      <c r="I2467" s="2847"/>
      <c r="J2467" s="2989"/>
      <c r="K2467" s="2989"/>
      <c r="L2467" s="2989"/>
      <c r="M2467" s="3271" t="s">
        <v>34</v>
      </c>
      <c r="N2467" s="3272"/>
      <c r="O2467" s="120">
        <f>SUM(O2468:O2482)</f>
        <v>6424.5</v>
      </c>
      <c r="P2467" s="120">
        <f t="shared" ref="P2467:Z2467" si="381">SUM(P2468:P2482)</f>
        <v>6742.681818181818</v>
      </c>
      <c r="Q2467" s="120">
        <f t="shared" si="381"/>
        <v>11742.681818181818</v>
      </c>
      <c r="R2467" s="120">
        <f t="shared" si="381"/>
        <v>6342.681818181818</v>
      </c>
      <c r="S2467" s="120">
        <f t="shared" si="381"/>
        <v>8242.681818181818</v>
      </c>
      <c r="T2467" s="120">
        <f t="shared" si="381"/>
        <v>6342.681818181818</v>
      </c>
      <c r="U2467" s="120">
        <f t="shared" si="381"/>
        <v>7842.681818181818</v>
      </c>
      <c r="V2467" s="120">
        <f t="shared" si="381"/>
        <v>6742.681818181818</v>
      </c>
      <c r="W2467" s="120">
        <f t="shared" si="381"/>
        <v>7242.681818181818</v>
      </c>
      <c r="X2467" s="120">
        <f t="shared" si="381"/>
        <v>6342.681818181818</v>
      </c>
      <c r="Y2467" s="120">
        <f t="shared" si="381"/>
        <v>7242.681818181818</v>
      </c>
      <c r="Z2467" s="120">
        <f t="shared" si="381"/>
        <v>6942.681818181818</v>
      </c>
      <c r="AA2467" s="1216">
        <f t="shared" si="380"/>
        <v>88194.000000000015</v>
      </c>
      <c r="AB2467" s="1210"/>
      <c r="AC2467" s="1199"/>
      <c r="AD2467" s="1211"/>
    </row>
    <row r="2468" spans="1:30" x14ac:dyDescent="0.2">
      <c r="A2468" s="1422"/>
      <c r="B2468" s="2522">
        <v>5000131</v>
      </c>
      <c r="C2468" s="3190" t="s">
        <v>759</v>
      </c>
      <c r="D2468" s="2421"/>
      <c r="E2468" s="2421" t="s">
        <v>288</v>
      </c>
      <c r="F2468" s="2420" t="s">
        <v>313</v>
      </c>
      <c r="G2468" s="2420" t="s">
        <v>329</v>
      </c>
      <c r="H2468" s="2420"/>
      <c r="I2468" s="2420" t="s">
        <v>354</v>
      </c>
      <c r="J2468" s="2514">
        <v>93</v>
      </c>
      <c r="K2468" s="115">
        <v>42432</v>
      </c>
      <c r="L2468" s="115"/>
      <c r="M2468" s="3287" t="s">
        <v>295</v>
      </c>
      <c r="N2468" s="3288"/>
      <c r="O2468" s="41">
        <v>3536</v>
      </c>
      <c r="P2468" s="41">
        <v>3536</v>
      </c>
      <c r="Q2468" s="41">
        <v>3536</v>
      </c>
      <c r="R2468" s="41">
        <v>3536</v>
      </c>
      <c r="S2468" s="41">
        <v>3536</v>
      </c>
      <c r="T2468" s="41">
        <v>3536</v>
      </c>
      <c r="U2468" s="41">
        <v>3536</v>
      </c>
      <c r="V2468" s="41">
        <v>3536</v>
      </c>
      <c r="W2468" s="41">
        <v>3536</v>
      </c>
      <c r="X2468" s="41">
        <v>3536</v>
      </c>
      <c r="Y2468" s="41">
        <v>3536</v>
      </c>
      <c r="Z2468" s="41">
        <v>3536</v>
      </c>
      <c r="AA2468" s="1217">
        <f t="shared" si="380"/>
        <v>42432</v>
      </c>
      <c r="AB2468" s="1210"/>
      <c r="AC2468" s="1199"/>
      <c r="AD2468" s="1211"/>
    </row>
    <row r="2469" spans="1:30" x14ac:dyDescent="0.2">
      <c r="A2469" s="1422"/>
      <c r="B2469" s="2522"/>
      <c r="C2469" s="3191"/>
      <c r="D2469" s="2421"/>
      <c r="E2469" s="2421"/>
      <c r="F2469" s="2420"/>
      <c r="G2469" s="2420"/>
      <c r="H2469" s="2420"/>
      <c r="I2469" s="2420"/>
      <c r="J2469" s="2515"/>
      <c r="K2469" s="115">
        <v>7220</v>
      </c>
      <c r="L2469" s="115"/>
      <c r="M2469" s="3287" t="s">
        <v>296</v>
      </c>
      <c r="N2469" s="3288"/>
      <c r="O2469" s="41">
        <v>601.66666666666663</v>
      </c>
      <c r="P2469" s="41">
        <v>601.66666666666663</v>
      </c>
      <c r="Q2469" s="41">
        <v>601.66666666666663</v>
      </c>
      <c r="R2469" s="41">
        <v>601.66666666666663</v>
      </c>
      <c r="S2469" s="41">
        <v>601.66666666666663</v>
      </c>
      <c r="T2469" s="41">
        <v>601.66666666666663</v>
      </c>
      <c r="U2469" s="41">
        <v>601.66666666666663</v>
      </c>
      <c r="V2469" s="41">
        <v>601.66666666666663</v>
      </c>
      <c r="W2469" s="41">
        <v>601.66666666666663</v>
      </c>
      <c r="X2469" s="41">
        <v>601.66666666666663</v>
      </c>
      <c r="Y2469" s="41">
        <v>601.66666666666663</v>
      </c>
      <c r="Z2469" s="41">
        <v>601.66666666666663</v>
      </c>
      <c r="AA2469" s="1217">
        <f t="shared" si="380"/>
        <v>7220.0000000000009</v>
      </c>
      <c r="AB2469" s="1210"/>
      <c r="AC2469" s="1199"/>
      <c r="AD2469" s="1211"/>
    </row>
    <row r="2470" spans="1:30" x14ac:dyDescent="0.2">
      <c r="A2470" s="1422"/>
      <c r="B2470" s="2522"/>
      <c r="C2470" s="3191"/>
      <c r="D2470" s="2421"/>
      <c r="E2470" s="2421"/>
      <c r="F2470" s="2420"/>
      <c r="G2470" s="2420"/>
      <c r="H2470" s="2420"/>
      <c r="I2470" s="2420"/>
      <c r="J2470" s="2515"/>
      <c r="K2470" s="115">
        <v>15252</v>
      </c>
      <c r="L2470" s="115"/>
      <c r="M2470" s="3287" t="s">
        <v>297</v>
      </c>
      <c r="N2470" s="3288"/>
      <c r="O2470" s="41">
        <v>1271</v>
      </c>
      <c r="P2470" s="41">
        <v>1271</v>
      </c>
      <c r="Q2470" s="41">
        <v>1271</v>
      </c>
      <c r="R2470" s="41">
        <v>1271</v>
      </c>
      <c r="S2470" s="41">
        <v>1271</v>
      </c>
      <c r="T2470" s="41">
        <v>1271</v>
      </c>
      <c r="U2470" s="41">
        <v>1271</v>
      </c>
      <c r="V2470" s="41">
        <v>1271</v>
      </c>
      <c r="W2470" s="41">
        <v>1271</v>
      </c>
      <c r="X2470" s="41">
        <v>1271</v>
      </c>
      <c r="Y2470" s="41">
        <v>1271</v>
      </c>
      <c r="Z2470" s="41">
        <v>1271</v>
      </c>
      <c r="AA2470" s="1217">
        <f t="shared" si="380"/>
        <v>15252</v>
      </c>
      <c r="AB2470" s="1210"/>
      <c r="AC2470" s="1199"/>
      <c r="AD2470" s="1211"/>
    </row>
    <row r="2471" spans="1:30" x14ac:dyDescent="0.2">
      <c r="A2471" s="1422"/>
      <c r="B2471" s="2522"/>
      <c r="C2471" s="3191"/>
      <c r="D2471" s="2421"/>
      <c r="E2471" s="2421"/>
      <c r="F2471" s="2420"/>
      <c r="G2471" s="2420"/>
      <c r="H2471" s="2420"/>
      <c r="I2471" s="2420"/>
      <c r="J2471" s="2515"/>
      <c r="K2471" s="115">
        <v>1200</v>
      </c>
      <c r="L2471" s="115"/>
      <c r="M2471" s="3287" t="s">
        <v>298</v>
      </c>
      <c r="N2471" s="3288"/>
      <c r="O2471" s="41"/>
      <c r="P2471" s="41"/>
      <c r="Q2471" s="41"/>
      <c r="R2471" s="41"/>
      <c r="S2471" s="41"/>
      <c r="T2471" s="41"/>
      <c r="U2471" s="41">
        <v>600</v>
      </c>
      <c r="V2471" s="41"/>
      <c r="W2471" s="41"/>
      <c r="X2471" s="41"/>
      <c r="Y2471" s="41"/>
      <c r="Z2471" s="41">
        <v>600</v>
      </c>
      <c r="AA2471" s="1217">
        <f t="shared" si="380"/>
        <v>1200</v>
      </c>
      <c r="AB2471" s="1210"/>
      <c r="AC2471" s="1199"/>
      <c r="AD2471" s="1211"/>
    </row>
    <row r="2472" spans="1:30" x14ac:dyDescent="0.2">
      <c r="A2472" s="1422"/>
      <c r="B2472" s="2522"/>
      <c r="C2472" s="3191"/>
      <c r="D2472" s="2421"/>
      <c r="E2472" s="2421"/>
      <c r="F2472" s="2420"/>
      <c r="G2472" s="2420"/>
      <c r="H2472" s="2420"/>
      <c r="I2472" s="2420"/>
      <c r="J2472" s="2515"/>
      <c r="K2472" s="115">
        <v>800</v>
      </c>
      <c r="L2472" s="115"/>
      <c r="M2472" s="3287" t="s">
        <v>299</v>
      </c>
      <c r="N2472" s="3288"/>
      <c r="O2472" s="41">
        <v>800</v>
      </c>
      <c r="P2472" s="41"/>
      <c r="Q2472" s="41"/>
      <c r="R2472" s="41"/>
      <c r="S2472" s="41"/>
      <c r="T2472" s="41"/>
      <c r="U2472" s="41"/>
      <c r="V2472" s="41"/>
      <c r="W2472" s="41"/>
      <c r="X2472" s="41"/>
      <c r="Y2472" s="41"/>
      <c r="Z2472" s="41"/>
      <c r="AA2472" s="1217">
        <f t="shared" si="380"/>
        <v>800</v>
      </c>
      <c r="AB2472" s="1210"/>
      <c r="AC2472" s="1199"/>
      <c r="AD2472" s="1211"/>
    </row>
    <row r="2473" spans="1:30" x14ac:dyDescent="0.2">
      <c r="A2473" s="1422"/>
      <c r="B2473" s="2522"/>
      <c r="C2473" s="3191"/>
      <c r="D2473" s="2421"/>
      <c r="E2473" s="2421"/>
      <c r="F2473" s="2420"/>
      <c r="G2473" s="2420"/>
      <c r="H2473" s="2420"/>
      <c r="I2473" s="2420"/>
      <c r="J2473" s="2515"/>
      <c r="K2473" s="115">
        <v>2590</v>
      </c>
      <c r="L2473" s="115"/>
      <c r="M2473" s="3287" t="s">
        <v>300</v>
      </c>
      <c r="N2473" s="3288"/>
      <c r="O2473" s="41">
        <v>215.83333333333334</v>
      </c>
      <c r="P2473" s="41">
        <v>215.83333333333334</v>
      </c>
      <c r="Q2473" s="41">
        <v>215.83333333333334</v>
      </c>
      <c r="R2473" s="41">
        <v>215.83333333333334</v>
      </c>
      <c r="S2473" s="41">
        <v>215.83333333333334</v>
      </c>
      <c r="T2473" s="41">
        <v>215.83333333333334</v>
      </c>
      <c r="U2473" s="41">
        <v>215.83333333333334</v>
      </c>
      <c r="V2473" s="41">
        <v>215.83333333333334</v>
      </c>
      <c r="W2473" s="41">
        <v>215.83333333333334</v>
      </c>
      <c r="X2473" s="41">
        <v>215.83333333333334</v>
      </c>
      <c r="Y2473" s="41">
        <v>215.83333333333334</v>
      </c>
      <c r="Z2473" s="41">
        <v>215.83333333333334</v>
      </c>
      <c r="AA2473" s="1217">
        <f t="shared" si="380"/>
        <v>2590</v>
      </c>
      <c r="AB2473" s="1210"/>
      <c r="AC2473" s="1199"/>
      <c r="AD2473" s="1211"/>
    </row>
    <row r="2474" spans="1:30" x14ac:dyDescent="0.2">
      <c r="A2474" s="1422"/>
      <c r="B2474" s="2522"/>
      <c r="C2474" s="3191"/>
      <c r="D2474" s="2421"/>
      <c r="E2474" s="2421"/>
      <c r="F2474" s="2420"/>
      <c r="G2474" s="2420"/>
      <c r="H2474" s="2420"/>
      <c r="I2474" s="2420"/>
      <c r="J2474" s="2515"/>
      <c r="K2474" s="115">
        <v>1000</v>
      </c>
      <c r="L2474" s="115"/>
      <c r="M2474" s="3287" t="s">
        <v>302</v>
      </c>
      <c r="N2474" s="3288"/>
      <c r="O2474" s="41"/>
      <c r="P2474" s="41"/>
      <c r="Q2474" s="41"/>
      <c r="R2474" s="41"/>
      <c r="S2474" s="41">
        <v>1000</v>
      </c>
      <c r="T2474" s="41"/>
      <c r="U2474" s="41"/>
      <c r="V2474" s="41"/>
      <c r="W2474" s="41"/>
      <c r="X2474" s="41"/>
      <c r="Y2474" s="41"/>
      <c r="Z2474" s="41"/>
      <c r="AA2474" s="1217">
        <f t="shared" si="380"/>
        <v>1000</v>
      </c>
      <c r="AB2474" s="1210"/>
      <c r="AC2474" s="1199"/>
      <c r="AD2474" s="1211"/>
    </row>
    <row r="2475" spans="1:30" x14ac:dyDescent="0.2">
      <c r="A2475" s="1422"/>
      <c r="B2475" s="2522"/>
      <c r="C2475" s="3191"/>
      <c r="D2475" s="2421"/>
      <c r="E2475" s="2421"/>
      <c r="F2475" s="2420"/>
      <c r="G2475" s="2420"/>
      <c r="H2475" s="2420"/>
      <c r="I2475" s="2420"/>
      <c r="J2475" s="2515"/>
      <c r="K2475" s="115">
        <v>1500</v>
      </c>
      <c r="L2475" s="115"/>
      <c r="M2475" s="3287" t="s">
        <v>303</v>
      </c>
      <c r="N2475" s="3288"/>
      <c r="O2475" s="41"/>
      <c r="P2475" s="41"/>
      <c r="Q2475" s="41">
        <v>1500</v>
      </c>
      <c r="R2475" s="41"/>
      <c r="S2475" s="41"/>
      <c r="T2475" s="41"/>
      <c r="U2475" s="41"/>
      <c r="V2475" s="41"/>
      <c r="W2475" s="41"/>
      <c r="X2475" s="41"/>
      <c r="Y2475" s="41"/>
      <c r="Z2475" s="41"/>
      <c r="AA2475" s="1217">
        <f t="shared" si="380"/>
        <v>1500</v>
      </c>
      <c r="AB2475" s="1210"/>
      <c r="AC2475" s="1199"/>
      <c r="AD2475" s="1211"/>
    </row>
    <row r="2476" spans="1:30" x14ac:dyDescent="0.2">
      <c r="A2476" s="1422"/>
      <c r="B2476" s="2522"/>
      <c r="C2476" s="3191"/>
      <c r="D2476" s="2421"/>
      <c r="E2476" s="2421"/>
      <c r="F2476" s="2420"/>
      <c r="G2476" s="2420"/>
      <c r="H2476" s="2420"/>
      <c r="I2476" s="2420"/>
      <c r="J2476" s="2515"/>
      <c r="K2476" s="115">
        <v>2000</v>
      </c>
      <c r="L2476" s="115"/>
      <c r="M2476" s="3287" t="s">
        <v>304</v>
      </c>
      <c r="N2476" s="3288"/>
      <c r="O2476" s="41"/>
      <c r="P2476" s="41"/>
      <c r="Q2476" s="41">
        <v>2000</v>
      </c>
      <c r="R2476" s="41"/>
      <c r="S2476" s="41"/>
      <c r="T2476" s="41"/>
      <c r="U2476" s="41"/>
      <c r="V2476" s="41"/>
      <c r="W2476" s="41"/>
      <c r="X2476" s="41"/>
      <c r="Y2476" s="41"/>
      <c r="Z2476" s="41"/>
      <c r="AA2476" s="1217">
        <f t="shared" si="380"/>
        <v>2000</v>
      </c>
      <c r="AB2476" s="1210"/>
      <c r="AC2476" s="1199"/>
      <c r="AD2476" s="1211"/>
    </row>
    <row r="2477" spans="1:30" x14ac:dyDescent="0.2">
      <c r="A2477" s="1422"/>
      <c r="B2477" s="2522"/>
      <c r="C2477" s="3191"/>
      <c r="D2477" s="2421"/>
      <c r="E2477" s="2421"/>
      <c r="F2477" s="2420"/>
      <c r="G2477" s="2420"/>
      <c r="H2477" s="2420"/>
      <c r="I2477" s="2420"/>
      <c r="J2477" s="2515"/>
      <c r="K2477" s="115">
        <v>800</v>
      </c>
      <c r="L2477" s="115"/>
      <c r="M2477" s="3287" t="s">
        <v>305</v>
      </c>
      <c r="N2477" s="3288"/>
      <c r="O2477" s="41"/>
      <c r="P2477" s="41">
        <v>400</v>
      </c>
      <c r="Q2477" s="41"/>
      <c r="R2477" s="41"/>
      <c r="S2477" s="41"/>
      <c r="T2477" s="41"/>
      <c r="U2477" s="41"/>
      <c r="V2477" s="41">
        <v>400</v>
      </c>
      <c r="W2477" s="41"/>
      <c r="X2477" s="41"/>
      <c r="Y2477" s="41"/>
      <c r="Z2477" s="41"/>
      <c r="AA2477" s="1217">
        <f t="shared" si="380"/>
        <v>800</v>
      </c>
      <c r="AB2477" s="1210"/>
      <c r="AC2477" s="1199"/>
      <c r="AD2477" s="1211"/>
    </row>
    <row r="2478" spans="1:30" x14ac:dyDescent="0.2">
      <c r="A2478" s="1422"/>
      <c r="B2478" s="2522"/>
      <c r="C2478" s="3191"/>
      <c r="D2478" s="2421"/>
      <c r="E2478" s="2421"/>
      <c r="F2478" s="2420"/>
      <c r="G2478" s="2420"/>
      <c r="H2478" s="2420"/>
      <c r="I2478" s="2420"/>
      <c r="J2478" s="2515"/>
      <c r="K2478" s="115">
        <v>2000</v>
      </c>
      <c r="L2478" s="115"/>
      <c r="M2478" s="3287" t="s">
        <v>306</v>
      </c>
      <c r="N2478" s="3288"/>
      <c r="O2478" s="41"/>
      <c r="P2478" s="41">
        <v>181.81818181818181</v>
      </c>
      <c r="Q2478" s="41">
        <v>181.81818181818181</v>
      </c>
      <c r="R2478" s="41">
        <v>181.81818181818181</v>
      </c>
      <c r="S2478" s="41">
        <v>181.81818181818181</v>
      </c>
      <c r="T2478" s="41">
        <v>181.81818181818181</v>
      </c>
      <c r="U2478" s="41">
        <v>181.81818181818181</v>
      </c>
      <c r="V2478" s="41">
        <v>181.81818181818181</v>
      </c>
      <c r="W2478" s="41">
        <v>181.81818181818181</v>
      </c>
      <c r="X2478" s="41">
        <v>181.81818181818181</v>
      </c>
      <c r="Y2478" s="41">
        <v>181.81818181818181</v>
      </c>
      <c r="Z2478" s="41">
        <v>181.81818181818181</v>
      </c>
      <c r="AA2478" s="1217">
        <f t="shared" si="380"/>
        <v>1999.9999999999995</v>
      </c>
      <c r="AB2478" s="1210"/>
      <c r="AC2478" s="1199"/>
      <c r="AD2478" s="1211"/>
    </row>
    <row r="2479" spans="1:30" x14ac:dyDescent="0.2">
      <c r="A2479" s="1422"/>
      <c r="B2479" s="2522"/>
      <c r="C2479" s="3191"/>
      <c r="D2479" s="2421"/>
      <c r="E2479" s="2421"/>
      <c r="F2479" s="2420"/>
      <c r="G2479" s="2420"/>
      <c r="H2479" s="2420"/>
      <c r="I2479" s="2420"/>
      <c r="J2479" s="2515"/>
      <c r="K2479" s="115">
        <v>5900</v>
      </c>
      <c r="L2479" s="115"/>
      <c r="M2479" s="3287" t="s">
        <v>307</v>
      </c>
      <c r="N2479" s="3288"/>
      <c r="O2479" s="41"/>
      <c r="P2479" s="41">
        <v>536.36363636363637</v>
      </c>
      <c r="Q2479" s="41">
        <v>536.36363636363637</v>
      </c>
      <c r="R2479" s="41">
        <v>536.36363636363637</v>
      </c>
      <c r="S2479" s="41">
        <v>536.36363636363637</v>
      </c>
      <c r="T2479" s="41">
        <v>536.36363636363637</v>
      </c>
      <c r="U2479" s="41">
        <v>536.36363636363637</v>
      </c>
      <c r="V2479" s="41">
        <v>536.36363636363637</v>
      </c>
      <c r="W2479" s="41">
        <v>536.36363636363637</v>
      </c>
      <c r="X2479" s="41">
        <v>536.36363636363637</v>
      </c>
      <c r="Y2479" s="41">
        <v>536.36363636363637</v>
      </c>
      <c r="Z2479" s="41">
        <v>536.36363636363637</v>
      </c>
      <c r="AA2479" s="1217">
        <f t="shared" si="380"/>
        <v>5899.9999999999991</v>
      </c>
      <c r="AB2479" s="1210"/>
      <c r="AC2479" s="1199"/>
      <c r="AD2479" s="1211"/>
    </row>
    <row r="2480" spans="1:30" x14ac:dyDescent="0.2">
      <c r="A2480" s="1422"/>
      <c r="B2480" s="2522"/>
      <c r="C2480" s="3191"/>
      <c r="D2480" s="2421"/>
      <c r="E2480" s="2421"/>
      <c r="F2480" s="2420"/>
      <c r="G2480" s="2420"/>
      <c r="H2480" s="2420"/>
      <c r="I2480" s="2420"/>
      <c r="J2480" s="2515"/>
      <c r="K2480" s="115">
        <v>500</v>
      </c>
      <c r="L2480" s="115"/>
      <c r="M2480" s="3287" t="s">
        <v>355</v>
      </c>
      <c r="N2480" s="3288"/>
      <c r="O2480" s="41"/>
      <c r="P2480" s="41"/>
      <c r="Q2480" s="41">
        <v>500</v>
      </c>
      <c r="R2480" s="41"/>
      <c r="S2480" s="41"/>
      <c r="T2480" s="41"/>
      <c r="U2480" s="41"/>
      <c r="V2480" s="41"/>
      <c r="W2480" s="41"/>
      <c r="X2480" s="41"/>
      <c r="Y2480" s="41"/>
      <c r="Z2480" s="41"/>
      <c r="AA2480" s="1217">
        <f t="shared" si="380"/>
        <v>500</v>
      </c>
      <c r="AB2480" s="1210"/>
      <c r="AC2480" s="1199"/>
      <c r="AD2480" s="1211"/>
    </row>
    <row r="2481" spans="1:30" x14ac:dyDescent="0.2">
      <c r="A2481" s="1422"/>
      <c r="B2481" s="2522"/>
      <c r="C2481" s="3191"/>
      <c r="D2481" s="2421"/>
      <c r="E2481" s="2421"/>
      <c r="F2481" s="2420"/>
      <c r="G2481" s="2420"/>
      <c r="H2481" s="2420"/>
      <c r="I2481" s="2420"/>
      <c r="J2481" s="2515"/>
      <c r="K2481" s="115">
        <v>500</v>
      </c>
      <c r="L2481" s="115"/>
      <c r="M2481" s="3287" t="s">
        <v>308</v>
      </c>
      <c r="N2481" s="3288"/>
      <c r="O2481" s="41"/>
      <c r="P2481" s="41"/>
      <c r="Q2481" s="41">
        <v>500</v>
      </c>
      <c r="R2481" s="41"/>
      <c r="S2481" s="41"/>
      <c r="T2481" s="41"/>
      <c r="U2481" s="41"/>
      <c r="V2481" s="41"/>
      <c r="W2481" s="41"/>
      <c r="X2481" s="41"/>
      <c r="Y2481" s="41"/>
      <c r="Z2481" s="41"/>
      <c r="AA2481" s="1217">
        <f t="shared" si="380"/>
        <v>500</v>
      </c>
      <c r="AB2481" s="1210"/>
      <c r="AC2481" s="1199"/>
      <c r="AD2481" s="1211"/>
    </row>
    <row r="2482" spans="1:30" x14ac:dyDescent="0.2">
      <c r="A2482" s="1422"/>
      <c r="B2482" s="2522"/>
      <c r="C2482" s="2439"/>
      <c r="D2482" s="2421"/>
      <c r="E2482" s="2421"/>
      <c r="F2482" s="2420"/>
      <c r="G2482" s="2420"/>
      <c r="H2482" s="2420"/>
      <c r="I2482" s="2420"/>
      <c r="J2482" s="2516"/>
      <c r="K2482" s="115">
        <v>4500</v>
      </c>
      <c r="L2482" s="115"/>
      <c r="M2482" s="3287" t="s">
        <v>309</v>
      </c>
      <c r="N2482" s="3288"/>
      <c r="O2482" s="41"/>
      <c r="P2482" s="41"/>
      <c r="Q2482" s="41">
        <v>900</v>
      </c>
      <c r="R2482" s="41"/>
      <c r="S2482" s="41">
        <v>900</v>
      </c>
      <c r="T2482" s="41"/>
      <c r="U2482" s="41">
        <v>900</v>
      </c>
      <c r="V2482" s="41"/>
      <c r="W2482" s="41">
        <v>900</v>
      </c>
      <c r="X2482" s="41"/>
      <c r="Y2482" s="41">
        <v>900</v>
      </c>
      <c r="Z2482" s="41"/>
      <c r="AA2482" s="1217">
        <f t="shared" si="380"/>
        <v>4500</v>
      </c>
      <c r="AB2482" s="1210"/>
      <c r="AC2482" s="1199"/>
      <c r="AD2482" s="1211"/>
    </row>
    <row r="2483" spans="1:30" x14ac:dyDescent="0.2">
      <c r="A2483" s="1422"/>
      <c r="B2483" s="1427" t="s">
        <v>312</v>
      </c>
      <c r="C2483" s="1273"/>
      <c r="D2483" s="38"/>
      <c r="E2483" s="38"/>
      <c r="F2483" s="38"/>
      <c r="G2483" s="38"/>
      <c r="H2483" s="38"/>
      <c r="I2483" s="38"/>
      <c r="J2483" s="38"/>
      <c r="K2483" s="38">
        <f>SUM(K2468:K2482)</f>
        <v>88194</v>
      </c>
      <c r="L2483" s="38"/>
      <c r="M2483" s="38"/>
      <c r="N2483" s="38"/>
      <c r="O2483" s="38"/>
      <c r="P2483" s="38"/>
      <c r="Q2483" s="38"/>
      <c r="R2483" s="38"/>
      <c r="S2483" s="38"/>
      <c r="T2483" s="38"/>
      <c r="U2483" s="38"/>
      <c r="V2483" s="38"/>
      <c r="W2483" s="38"/>
      <c r="X2483" s="38"/>
      <c r="Y2483" s="38"/>
      <c r="Z2483" s="38"/>
      <c r="AA2483" s="1234"/>
      <c r="AB2483" s="1210"/>
      <c r="AC2483" s="1199"/>
      <c r="AD2483" s="1211"/>
    </row>
    <row r="2484" spans="1:30" ht="22.5" x14ac:dyDescent="0.2">
      <c r="A2484" s="1422"/>
      <c r="B2484" s="1433" t="s">
        <v>276</v>
      </c>
      <c r="C2484" s="1121"/>
      <c r="D2484" s="1119">
        <v>3000004</v>
      </c>
      <c r="E2484" s="192" t="s">
        <v>760</v>
      </c>
      <c r="F2484" s="35"/>
      <c r="G2484" s="35"/>
      <c r="H2484" s="35"/>
      <c r="I2484" s="35"/>
      <c r="J2484" s="35"/>
      <c r="K2484" s="60"/>
      <c r="L2484" s="60"/>
      <c r="M2484" s="60"/>
      <c r="N2484" s="60"/>
      <c r="O2484" s="60"/>
      <c r="P2484" s="60"/>
      <c r="Q2484" s="60"/>
      <c r="R2484" s="3333" t="s">
        <v>15</v>
      </c>
      <c r="S2484" s="3333"/>
      <c r="T2484" s="3333"/>
      <c r="U2484" s="3333"/>
      <c r="V2484" s="3333"/>
      <c r="W2484" s="3333"/>
      <c r="X2484" s="3333"/>
      <c r="Y2484" s="3333"/>
      <c r="Z2484" s="3333"/>
      <c r="AA2484" s="1215" t="s">
        <v>16</v>
      </c>
      <c r="AB2484" s="1210"/>
      <c r="AC2484" s="1199"/>
      <c r="AD2484" s="1211"/>
    </row>
    <row r="2485" spans="1:30" ht="22.5" x14ac:dyDescent="0.2">
      <c r="A2485" s="1422"/>
      <c r="B2485" s="1433"/>
      <c r="C2485" s="1121"/>
      <c r="D2485" s="1119"/>
      <c r="E2485" s="192"/>
      <c r="F2485" s="35"/>
      <c r="G2485" s="35"/>
      <c r="H2485" s="35"/>
      <c r="I2485" s="35"/>
      <c r="J2485" s="35"/>
      <c r="K2485" s="60"/>
      <c r="L2485" s="60"/>
      <c r="M2485" s="60"/>
      <c r="N2485" s="60"/>
      <c r="O2485" s="60"/>
      <c r="P2485" s="60"/>
      <c r="Q2485" s="60"/>
      <c r="R2485" s="3333" t="s">
        <v>761</v>
      </c>
      <c r="S2485" s="3333"/>
      <c r="T2485" s="3333"/>
      <c r="U2485" s="3333"/>
      <c r="V2485" s="3333"/>
      <c r="W2485" s="3333"/>
      <c r="X2485" s="3333"/>
      <c r="Y2485" s="3333"/>
      <c r="Z2485" s="3333"/>
      <c r="AA2485" s="1214" t="s">
        <v>609</v>
      </c>
      <c r="AB2485" s="1210"/>
      <c r="AC2485" s="1199"/>
      <c r="AD2485" s="1211"/>
    </row>
    <row r="2486" spans="1:30" x14ac:dyDescent="0.2">
      <c r="A2486" s="1422"/>
      <c r="B2486" s="2999" t="s">
        <v>278</v>
      </c>
      <c r="C2486" s="3015" t="s">
        <v>21</v>
      </c>
      <c r="D2486" s="2847" t="s">
        <v>22</v>
      </c>
      <c r="E2486" s="2847" t="s">
        <v>23</v>
      </c>
      <c r="F2486" s="2847" t="s">
        <v>24</v>
      </c>
      <c r="G2486" s="2847" t="s">
        <v>25</v>
      </c>
      <c r="H2486" s="2847" t="s">
        <v>26</v>
      </c>
      <c r="I2486" s="2847" t="s">
        <v>27</v>
      </c>
      <c r="J2486" s="3206" t="s">
        <v>28</v>
      </c>
      <c r="K2486" s="3301"/>
      <c r="L2486" s="2988" t="s">
        <v>279</v>
      </c>
      <c r="M2486" s="3273" t="s">
        <v>280</v>
      </c>
      <c r="N2486" s="3274"/>
      <c r="O2486" s="2847" t="s">
        <v>281</v>
      </c>
      <c r="P2486" s="2847"/>
      <c r="Q2486" s="2847"/>
      <c r="R2486" s="2847"/>
      <c r="S2486" s="2847"/>
      <c r="T2486" s="2847"/>
      <c r="U2486" s="2847"/>
      <c r="V2486" s="2847"/>
      <c r="W2486" s="2847"/>
      <c r="X2486" s="2847"/>
      <c r="Y2486" s="2847"/>
      <c r="Z2486" s="2847"/>
      <c r="AA2486" s="3358" t="s">
        <v>32</v>
      </c>
      <c r="AB2486" s="1210"/>
      <c r="AC2486" s="1199"/>
      <c r="AD2486" s="1211"/>
    </row>
    <row r="2487" spans="1:30" x14ac:dyDescent="0.2">
      <c r="A2487" s="1422"/>
      <c r="B2487" s="2999"/>
      <c r="C2487" s="3359"/>
      <c r="D2487" s="2847"/>
      <c r="E2487" s="2847"/>
      <c r="F2487" s="2847"/>
      <c r="G2487" s="2847"/>
      <c r="H2487" s="2847"/>
      <c r="I2487" s="2847"/>
      <c r="J2487" s="2988" t="s">
        <v>33</v>
      </c>
      <c r="K2487" s="2988" t="s">
        <v>282</v>
      </c>
      <c r="L2487" s="3186"/>
      <c r="M2487" s="3275"/>
      <c r="N2487" s="3276"/>
      <c r="O2487" s="1009" t="s">
        <v>283</v>
      </c>
      <c r="P2487" s="1009" t="s">
        <v>284</v>
      </c>
      <c r="Q2487" s="1009" t="s">
        <v>285</v>
      </c>
      <c r="R2487" s="1009" t="s">
        <v>88</v>
      </c>
      <c r="S2487" s="1009" t="s">
        <v>89</v>
      </c>
      <c r="T2487" s="1009" t="s">
        <v>90</v>
      </c>
      <c r="U2487" s="1009" t="s">
        <v>91</v>
      </c>
      <c r="V2487" s="1009" t="s">
        <v>92</v>
      </c>
      <c r="W2487" s="1009" t="s">
        <v>286</v>
      </c>
      <c r="X2487" s="1009" t="s">
        <v>93</v>
      </c>
      <c r="Y2487" s="1009" t="s">
        <v>94</v>
      </c>
      <c r="Z2487" s="1009" t="s">
        <v>95</v>
      </c>
      <c r="AA2487" s="3358"/>
      <c r="AB2487" s="1210"/>
      <c r="AC2487" s="1199"/>
      <c r="AD2487" s="1211"/>
    </row>
    <row r="2488" spans="1:30" x14ac:dyDescent="0.2">
      <c r="A2488" s="1422"/>
      <c r="B2488" s="2999"/>
      <c r="C2488" s="3359"/>
      <c r="D2488" s="2847"/>
      <c r="E2488" s="2847"/>
      <c r="F2488" s="2847"/>
      <c r="G2488" s="2847"/>
      <c r="H2488" s="2847"/>
      <c r="I2488" s="2847"/>
      <c r="J2488" s="3186"/>
      <c r="K2488" s="3186"/>
      <c r="L2488" s="3186"/>
      <c r="M2488" s="3271" t="s">
        <v>287</v>
      </c>
      <c r="N2488" s="3272"/>
      <c r="O2488" s="1095">
        <v>5130</v>
      </c>
      <c r="P2488" s="1095">
        <v>5140</v>
      </c>
      <c r="Q2488" s="1095">
        <v>5140</v>
      </c>
      <c r="R2488" s="1095">
        <v>5140</v>
      </c>
      <c r="S2488" s="1095">
        <v>5140</v>
      </c>
      <c r="T2488" s="1095">
        <v>5140</v>
      </c>
      <c r="U2488" s="1095">
        <v>5140</v>
      </c>
      <c r="V2488" s="1095">
        <v>5040</v>
      </c>
      <c r="W2488" s="1095">
        <v>5140</v>
      </c>
      <c r="X2488" s="1095">
        <v>5140</v>
      </c>
      <c r="Y2488" s="1095">
        <v>5057</v>
      </c>
      <c r="Z2488" s="1095">
        <v>5130</v>
      </c>
      <c r="AA2488" s="1216">
        <f t="shared" ref="AA2488:AA2516" si="382">SUM(O2488:Z2488)</f>
        <v>61477</v>
      </c>
      <c r="AB2488" s="1210"/>
      <c r="AC2488" s="1199"/>
      <c r="AD2488" s="1211"/>
    </row>
    <row r="2489" spans="1:30" x14ac:dyDescent="0.2">
      <c r="A2489" s="1422"/>
      <c r="B2489" s="2999"/>
      <c r="C2489" s="3016"/>
      <c r="D2489" s="2847"/>
      <c r="E2489" s="2847"/>
      <c r="F2489" s="2847"/>
      <c r="G2489" s="2847"/>
      <c r="H2489" s="2847"/>
      <c r="I2489" s="2847"/>
      <c r="J2489" s="2989"/>
      <c r="K2489" s="2989"/>
      <c r="L2489" s="2989"/>
      <c r="M2489" s="3271" t="s">
        <v>34</v>
      </c>
      <c r="N2489" s="3272"/>
      <c r="O2489" s="120">
        <f>SUM(O2490:O2516)</f>
        <v>112280.33333333333</v>
      </c>
      <c r="P2489" s="120">
        <f t="shared" ref="P2489:Z2489" si="383">SUM(P2490:P2516)</f>
        <v>105093.87878787878</v>
      </c>
      <c r="Q2489" s="120">
        <f t="shared" si="383"/>
        <v>117942.44128787878</v>
      </c>
      <c r="R2489" s="120">
        <f t="shared" si="383"/>
        <v>126179.12878787878</v>
      </c>
      <c r="S2489" s="120">
        <f t="shared" si="383"/>
        <v>111148.44128787878</v>
      </c>
      <c r="T2489" s="120">
        <f t="shared" si="383"/>
        <v>110648.44128787878</v>
      </c>
      <c r="U2489" s="120">
        <f t="shared" si="383"/>
        <v>140855.94128787878</v>
      </c>
      <c r="V2489" s="120">
        <f t="shared" si="383"/>
        <v>128123.12878787878</v>
      </c>
      <c r="W2489" s="120">
        <f t="shared" si="383"/>
        <v>110898.44128787878</v>
      </c>
      <c r="X2489" s="120">
        <f t="shared" si="383"/>
        <v>108898.44128787878</v>
      </c>
      <c r="Y2489" s="120">
        <f t="shared" si="383"/>
        <v>111148.44128787878</v>
      </c>
      <c r="Z2489" s="120">
        <f t="shared" si="383"/>
        <v>134766.94128787878</v>
      </c>
      <c r="AA2489" s="1216">
        <f t="shared" si="382"/>
        <v>1417984</v>
      </c>
      <c r="AB2489" s="1210"/>
      <c r="AC2489" s="1199"/>
      <c r="AD2489" s="1211"/>
    </row>
    <row r="2490" spans="1:30" x14ac:dyDescent="0.2">
      <c r="A2490" s="1422"/>
      <c r="B2490" s="2522">
        <v>5000132</v>
      </c>
      <c r="C2490" s="3190" t="s">
        <v>762</v>
      </c>
      <c r="D2490" s="2421">
        <v>82</v>
      </c>
      <c r="E2490" s="2421" t="s">
        <v>288</v>
      </c>
      <c r="F2490" s="2420" t="s">
        <v>386</v>
      </c>
      <c r="G2490" s="2420" t="s">
        <v>387</v>
      </c>
      <c r="H2490" s="2420"/>
      <c r="I2490" s="2420" t="s">
        <v>695</v>
      </c>
      <c r="J2490" s="2514">
        <v>61477</v>
      </c>
      <c r="K2490" s="118">
        <v>298566</v>
      </c>
      <c r="L2490" s="118"/>
      <c r="M2490" s="3287" t="s">
        <v>293</v>
      </c>
      <c r="N2490" s="3288"/>
      <c r="O2490" s="41">
        <v>24880.5</v>
      </c>
      <c r="P2490" s="41">
        <v>24880.5</v>
      </c>
      <c r="Q2490" s="41">
        <v>24880.5</v>
      </c>
      <c r="R2490" s="41">
        <v>24880.5</v>
      </c>
      <c r="S2490" s="41">
        <v>24880.5</v>
      </c>
      <c r="T2490" s="41">
        <v>24880.5</v>
      </c>
      <c r="U2490" s="41">
        <v>24880.5</v>
      </c>
      <c r="V2490" s="41">
        <v>24880.5</v>
      </c>
      <c r="W2490" s="41">
        <v>24880.5</v>
      </c>
      <c r="X2490" s="41">
        <v>24880.5</v>
      </c>
      <c r="Y2490" s="41">
        <v>24880.5</v>
      </c>
      <c r="Z2490" s="41">
        <v>24880.5</v>
      </c>
      <c r="AA2490" s="1217">
        <f t="shared" si="382"/>
        <v>298566</v>
      </c>
      <c r="AB2490" s="1210"/>
      <c r="AC2490" s="1199"/>
      <c r="AD2490" s="1211"/>
    </row>
    <row r="2491" spans="1:30" x14ac:dyDescent="0.2">
      <c r="A2491" s="1422"/>
      <c r="B2491" s="2522"/>
      <c r="C2491" s="3191"/>
      <c r="D2491" s="2421"/>
      <c r="E2491" s="2421"/>
      <c r="F2491" s="2420"/>
      <c r="G2491" s="2420"/>
      <c r="H2491" s="2420"/>
      <c r="I2491" s="2420"/>
      <c r="J2491" s="2515"/>
      <c r="K2491" s="118">
        <v>26868</v>
      </c>
      <c r="L2491" s="118"/>
      <c r="M2491" s="3287" t="s">
        <v>294</v>
      </c>
      <c r="N2491" s="3288"/>
      <c r="O2491" s="41">
        <v>2239</v>
      </c>
      <c r="P2491" s="41">
        <v>2239</v>
      </c>
      <c r="Q2491" s="41">
        <v>2239</v>
      </c>
      <c r="R2491" s="41">
        <v>2239</v>
      </c>
      <c r="S2491" s="41">
        <v>2239</v>
      </c>
      <c r="T2491" s="41">
        <v>2239</v>
      </c>
      <c r="U2491" s="41">
        <v>2239</v>
      </c>
      <c r="V2491" s="41">
        <v>2239</v>
      </c>
      <c r="W2491" s="41">
        <v>2239</v>
      </c>
      <c r="X2491" s="41">
        <v>2239</v>
      </c>
      <c r="Y2491" s="41">
        <v>2239</v>
      </c>
      <c r="Z2491" s="41">
        <v>2239</v>
      </c>
      <c r="AA2491" s="1217">
        <f t="shared" si="382"/>
        <v>26868</v>
      </c>
      <c r="AB2491" s="1210"/>
      <c r="AC2491" s="1199"/>
      <c r="AD2491" s="1211"/>
    </row>
    <row r="2492" spans="1:30" x14ac:dyDescent="0.2">
      <c r="A2492" s="1422"/>
      <c r="B2492" s="2522"/>
      <c r="C2492" s="3191"/>
      <c r="D2492" s="2421"/>
      <c r="E2492" s="2421"/>
      <c r="F2492" s="2420"/>
      <c r="G2492" s="2420"/>
      <c r="H2492" s="2420"/>
      <c r="I2492" s="2420"/>
      <c r="J2492" s="2515"/>
      <c r="K2492" s="118">
        <v>166500</v>
      </c>
      <c r="L2492" s="118"/>
      <c r="M2492" s="3287" t="s">
        <v>295</v>
      </c>
      <c r="N2492" s="3288"/>
      <c r="O2492" s="41">
        <v>13875</v>
      </c>
      <c r="P2492" s="41">
        <v>13875</v>
      </c>
      <c r="Q2492" s="41">
        <v>13875</v>
      </c>
      <c r="R2492" s="41">
        <v>13875</v>
      </c>
      <c r="S2492" s="41">
        <v>13875</v>
      </c>
      <c r="T2492" s="41">
        <v>13875</v>
      </c>
      <c r="U2492" s="41">
        <v>13875</v>
      </c>
      <c r="V2492" s="41">
        <v>13875</v>
      </c>
      <c r="W2492" s="41">
        <v>13875</v>
      </c>
      <c r="X2492" s="41">
        <v>13875</v>
      </c>
      <c r="Y2492" s="41">
        <v>13875</v>
      </c>
      <c r="Z2492" s="41">
        <v>13875</v>
      </c>
      <c r="AA2492" s="1217">
        <f t="shared" si="382"/>
        <v>166500</v>
      </c>
      <c r="AB2492" s="1210"/>
      <c r="AC2492" s="1199"/>
      <c r="AD2492" s="1211"/>
    </row>
    <row r="2493" spans="1:30" x14ac:dyDescent="0.2">
      <c r="A2493" s="1422"/>
      <c r="B2493" s="2522"/>
      <c r="C2493" s="3191"/>
      <c r="D2493" s="2421"/>
      <c r="E2493" s="2421"/>
      <c r="F2493" s="2420"/>
      <c r="G2493" s="2420"/>
      <c r="H2493" s="2420"/>
      <c r="I2493" s="2420"/>
      <c r="J2493" s="2515"/>
      <c r="K2493" s="118">
        <v>130168</v>
      </c>
      <c r="L2493" s="118"/>
      <c r="M2493" s="3287" t="s">
        <v>296</v>
      </c>
      <c r="N2493" s="3288"/>
      <c r="O2493" s="41">
        <v>10847.333333333334</v>
      </c>
      <c r="P2493" s="41">
        <v>10847.333333333334</v>
      </c>
      <c r="Q2493" s="41">
        <v>10847.333333333334</v>
      </c>
      <c r="R2493" s="41">
        <v>10847.333333333334</v>
      </c>
      <c r="S2493" s="41">
        <v>10847.333333333334</v>
      </c>
      <c r="T2493" s="41">
        <v>10847.333333333334</v>
      </c>
      <c r="U2493" s="41">
        <v>10847.333333333334</v>
      </c>
      <c r="V2493" s="41">
        <v>10847.333333333334</v>
      </c>
      <c r="W2493" s="41">
        <v>10847.333333333334</v>
      </c>
      <c r="X2493" s="41">
        <v>10847.333333333334</v>
      </c>
      <c r="Y2493" s="41">
        <v>10847.333333333334</v>
      </c>
      <c r="Z2493" s="41">
        <v>10847.333333333334</v>
      </c>
      <c r="AA2493" s="1217">
        <f t="shared" si="382"/>
        <v>130167.99999999999</v>
      </c>
      <c r="AB2493" s="1210"/>
      <c r="AC2493" s="1199"/>
      <c r="AD2493" s="1211"/>
    </row>
    <row r="2494" spans="1:30" x14ac:dyDescent="0.2">
      <c r="A2494" s="1422"/>
      <c r="B2494" s="2522"/>
      <c r="C2494" s="3191"/>
      <c r="D2494" s="2421"/>
      <c r="E2494" s="2421"/>
      <c r="F2494" s="2420"/>
      <c r="G2494" s="2420"/>
      <c r="H2494" s="2420"/>
      <c r="I2494" s="2420"/>
      <c r="J2494" s="2515"/>
      <c r="K2494" s="118">
        <v>38880</v>
      </c>
      <c r="L2494" s="118"/>
      <c r="M2494" s="3287" t="s">
        <v>297</v>
      </c>
      <c r="N2494" s="3288"/>
      <c r="O2494" s="41">
        <v>3240</v>
      </c>
      <c r="P2494" s="41">
        <v>3240</v>
      </c>
      <c r="Q2494" s="41">
        <v>3240</v>
      </c>
      <c r="R2494" s="41">
        <v>3240</v>
      </c>
      <c r="S2494" s="41">
        <v>3240</v>
      </c>
      <c r="T2494" s="41">
        <v>3240</v>
      </c>
      <c r="U2494" s="41">
        <v>3240</v>
      </c>
      <c r="V2494" s="41">
        <v>3240</v>
      </c>
      <c r="W2494" s="41">
        <v>3240</v>
      </c>
      <c r="X2494" s="41">
        <v>3240</v>
      </c>
      <c r="Y2494" s="41">
        <v>3240</v>
      </c>
      <c r="Z2494" s="41">
        <v>3240</v>
      </c>
      <c r="AA2494" s="1217">
        <f t="shared" si="382"/>
        <v>38880</v>
      </c>
      <c r="AB2494" s="1210"/>
      <c r="AC2494" s="1199"/>
      <c r="AD2494" s="1211"/>
    </row>
    <row r="2495" spans="1:30" x14ac:dyDescent="0.2">
      <c r="A2495" s="1422"/>
      <c r="B2495" s="2522"/>
      <c r="C2495" s="3191"/>
      <c r="D2495" s="2421"/>
      <c r="E2495" s="2421"/>
      <c r="F2495" s="2420"/>
      <c r="G2495" s="2420"/>
      <c r="H2495" s="2420"/>
      <c r="I2495" s="2420"/>
      <c r="J2495" s="2515"/>
      <c r="K2495" s="118">
        <v>51737</v>
      </c>
      <c r="L2495" s="118"/>
      <c r="M2495" s="3287" t="s">
        <v>298</v>
      </c>
      <c r="N2495" s="3288"/>
      <c r="O2495" s="41"/>
      <c r="P2495" s="41"/>
      <c r="Q2495" s="41"/>
      <c r="R2495" s="41"/>
      <c r="S2495" s="41"/>
      <c r="T2495" s="41"/>
      <c r="U2495" s="41">
        <v>25868.5</v>
      </c>
      <c r="V2495" s="41"/>
      <c r="W2495" s="41"/>
      <c r="X2495" s="41"/>
      <c r="Y2495" s="41"/>
      <c r="Z2495" s="41">
        <v>25868.5</v>
      </c>
      <c r="AA2495" s="1217">
        <f t="shared" si="382"/>
        <v>51737</v>
      </c>
      <c r="AB2495" s="1210"/>
      <c r="AC2495" s="1199"/>
      <c r="AD2495" s="1211"/>
    </row>
    <row r="2496" spans="1:30" x14ac:dyDescent="0.2">
      <c r="A2496" s="1422"/>
      <c r="B2496" s="2522"/>
      <c r="C2496" s="3191"/>
      <c r="D2496" s="2421"/>
      <c r="E2496" s="2421"/>
      <c r="F2496" s="2420"/>
      <c r="G2496" s="2420"/>
      <c r="H2496" s="2420"/>
      <c r="I2496" s="2420"/>
      <c r="J2496" s="2515"/>
      <c r="K2496" s="118">
        <v>7520</v>
      </c>
      <c r="L2496" s="118"/>
      <c r="M2496" s="3287" t="s">
        <v>299</v>
      </c>
      <c r="N2496" s="3288"/>
      <c r="O2496" s="41">
        <v>7520</v>
      </c>
      <c r="P2496" s="41"/>
      <c r="Q2496" s="41"/>
      <c r="R2496" s="41"/>
      <c r="S2496" s="41"/>
      <c r="T2496" s="41"/>
      <c r="U2496" s="41"/>
      <c r="V2496" s="41"/>
      <c r="W2496" s="41"/>
      <c r="X2496" s="41"/>
      <c r="Y2496" s="41"/>
      <c r="Z2496" s="41"/>
      <c r="AA2496" s="1217">
        <f t="shared" si="382"/>
        <v>7520</v>
      </c>
      <c r="AB2496" s="1210"/>
      <c r="AC2496" s="1199"/>
      <c r="AD2496" s="1211"/>
    </row>
    <row r="2497" spans="1:30" x14ac:dyDescent="0.2">
      <c r="A2497" s="1422"/>
      <c r="B2497" s="2522"/>
      <c r="C2497" s="3191"/>
      <c r="D2497" s="2421"/>
      <c r="E2497" s="2421"/>
      <c r="F2497" s="2420"/>
      <c r="G2497" s="2420"/>
      <c r="H2497" s="2420"/>
      <c r="I2497" s="2420"/>
      <c r="J2497" s="2515"/>
      <c r="K2497" s="118">
        <v>40026</v>
      </c>
      <c r="L2497" s="118"/>
      <c r="M2497" s="3287" t="s">
        <v>300</v>
      </c>
      <c r="N2497" s="3288"/>
      <c r="O2497" s="41">
        <v>3335.5</v>
      </c>
      <c r="P2497" s="41">
        <v>3335.5</v>
      </c>
      <c r="Q2497" s="41">
        <v>3335.5</v>
      </c>
      <c r="R2497" s="41">
        <v>3335.5</v>
      </c>
      <c r="S2497" s="41">
        <v>3335.5</v>
      </c>
      <c r="T2497" s="41">
        <v>3335.5</v>
      </c>
      <c r="U2497" s="41">
        <v>3335.5</v>
      </c>
      <c r="V2497" s="41">
        <v>3335.5</v>
      </c>
      <c r="W2497" s="41">
        <v>3335.5</v>
      </c>
      <c r="X2497" s="41">
        <v>3335.5</v>
      </c>
      <c r="Y2497" s="41">
        <v>3335.5</v>
      </c>
      <c r="Z2497" s="41">
        <v>3335.5</v>
      </c>
      <c r="AA2497" s="1217">
        <f t="shared" si="382"/>
        <v>40026</v>
      </c>
      <c r="AB2497" s="1210"/>
      <c r="AC2497" s="1199"/>
      <c r="AD2497" s="1211"/>
    </row>
    <row r="2498" spans="1:30" x14ac:dyDescent="0.2">
      <c r="A2498" s="1422"/>
      <c r="B2498" s="2522"/>
      <c r="C2498" s="3191"/>
      <c r="D2498" s="2421"/>
      <c r="E2498" s="2421"/>
      <c r="F2498" s="2420"/>
      <c r="G2498" s="2420"/>
      <c r="H2498" s="2420"/>
      <c r="I2498" s="2420"/>
      <c r="J2498" s="2515"/>
      <c r="K2498" s="118">
        <v>520</v>
      </c>
      <c r="L2498" s="118"/>
      <c r="M2498" s="3287" t="s">
        <v>301</v>
      </c>
      <c r="N2498" s="3288"/>
      <c r="O2498" s="41">
        <v>43.333333333333336</v>
      </c>
      <c r="P2498" s="41">
        <v>43.333333333333336</v>
      </c>
      <c r="Q2498" s="41">
        <v>43.333333333333336</v>
      </c>
      <c r="R2498" s="41">
        <v>43.333333333333336</v>
      </c>
      <c r="S2498" s="41">
        <v>43.333333333333336</v>
      </c>
      <c r="T2498" s="41">
        <v>43.333333333333336</v>
      </c>
      <c r="U2498" s="41">
        <v>43.333333333333336</v>
      </c>
      <c r="V2498" s="41">
        <v>43.333333333333336</v>
      </c>
      <c r="W2498" s="41">
        <v>43.333333333333336</v>
      </c>
      <c r="X2498" s="41">
        <v>43.333333333333336</v>
      </c>
      <c r="Y2498" s="41">
        <v>43.333333333333336</v>
      </c>
      <c r="Z2498" s="41">
        <v>43.333333333333336</v>
      </c>
      <c r="AA2498" s="1217">
        <f t="shared" si="382"/>
        <v>519.99999999999989</v>
      </c>
      <c r="AB2498" s="1210"/>
      <c r="AC2498" s="1199"/>
      <c r="AD2498" s="1211"/>
    </row>
    <row r="2499" spans="1:30" x14ac:dyDescent="0.2">
      <c r="A2499" s="1422"/>
      <c r="B2499" s="2522"/>
      <c r="C2499" s="3191"/>
      <c r="D2499" s="2421"/>
      <c r="E2499" s="2421"/>
      <c r="F2499" s="2420"/>
      <c r="G2499" s="2420"/>
      <c r="H2499" s="2420"/>
      <c r="I2499" s="2420"/>
      <c r="J2499" s="2515"/>
      <c r="K2499" s="118">
        <v>3500</v>
      </c>
      <c r="L2499" s="118"/>
      <c r="M2499" s="3287" t="s">
        <v>380</v>
      </c>
      <c r="N2499" s="3288"/>
      <c r="O2499" s="41">
        <v>1750</v>
      </c>
      <c r="P2499" s="41"/>
      <c r="Q2499" s="41"/>
      <c r="R2499" s="41"/>
      <c r="S2499" s="41"/>
      <c r="T2499" s="41">
        <v>1750</v>
      </c>
      <c r="U2499" s="41"/>
      <c r="V2499" s="41"/>
      <c r="W2499" s="41"/>
      <c r="X2499" s="41"/>
      <c r="Y2499" s="41"/>
      <c r="Z2499" s="41"/>
      <c r="AA2499" s="1217">
        <f t="shared" si="382"/>
        <v>3500</v>
      </c>
      <c r="AB2499" s="1210"/>
      <c r="AC2499" s="1199"/>
      <c r="AD2499" s="1211"/>
    </row>
    <row r="2500" spans="1:30" x14ac:dyDescent="0.2">
      <c r="A2500" s="1422"/>
      <c r="B2500" s="2522"/>
      <c r="C2500" s="3191"/>
      <c r="D2500" s="2421"/>
      <c r="E2500" s="2421"/>
      <c r="F2500" s="2420"/>
      <c r="G2500" s="2420"/>
      <c r="H2500" s="2420"/>
      <c r="I2500" s="2420"/>
      <c r="J2500" s="2515"/>
      <c r="K2500" s="118">
        <v>2388</v>
      </c>
      <c r="L2500" s="118"/>
      <c r="M2500" s="3287" t="s">
        <v>303</v>
      </c>
      <c r="N2500" s="3288"/>
      <c r="O2500" s="41"/>
      <c r="P2500" s="41"/>
      <c r="Q2500" s="41">
        <v>1194</v>
      </c>
      <c r="R2500" s="41"/>
      <c r="S2500" s="41"/>
      <c r="T2500" s="41"/>
      <c r="U2500" s="41"/>
      <c r="V2500" s="41">
        <v>1194</v>
      </c>
      <c r="W2500" s="41"/>
      <c r="X2500" s="41"/>
      <c r="Y2500" s="41"/>
      <c r="Z2500" s="41"/>
      <c r="AA2500" s="1217">
        <f t="shared" si="382"/>
        <v>2388</v>
      </c>
      <c r="AB2500" s="1210"/>
      <c r="AC2500" s="1199"/>
      <c r="AD2500" s="1211"/>
    </row>
    <row r="2501" spans="1:30" x14ac:dyDescent="0.2">
      <c r="A2501" s="1422"/>
      <c r="B2501" s="2522"/>
      <c r="C2501" s="3191"/>
      <c r="D2501" s="2421"/>
      <c r="E2501" s="2421"/>
      <c r="F2501" s="2420"/>
      <c r="G2501" s="2420"/>
      <c r="H2501" s="2420"/>
      <c r="I2501" s="2420"/>
      <c r="J2501" s="2515"/>
      <c r="K2501" s="118">
        <v>2078</v>
      </c>
      <c r="L2501" s="118"/>
      <c r="M2501" s="3287" t="s">
        <v>324</v>
      </c>
      <c r="N2501" s="3288"/>
      <c r="O2501" s="41"/>
      <c r="P2501" s="41">
        <v>1039</v>
      </c>
      <c r="Q2501" s="41"/>
      <c r="R2501" s="41"/>
      <c r="S2501" s="41"/>
      <c r="T2501" s="41"/>
      <c r="U2501" s="41">
        <v>1039</v>
      </c>
      <c r="V2501" s="41"/>
      <c r="W2501" s="41"/>
      <c r="X2501" s="41"/>
      <c r="Y2501" s="41"/>
      <c r="Z2501" s="41"/>
      <c r="AA2501" s="1217">
        <f t="shared" si="382"/>
        <v>2078</v>
      </c>
      <c r="AB2501" s="1210"/>
      <c r="AC2501" s="1199"/>
      <c r="AD2501" s="1211"/>
    </row>
    <row r="2502" spans="1:30" x14ac:dyDescent="0.2">
      <c r="A2502" s="1422"/>
      <c r="B2502" s="2522"/>
      <c r="C2502" s="3191"/>
      <c r="D2502" s="2421"/>
      <c r="E2502" s="2421"/>
      <c r="F2502" s="2420"/>
      <c r="G2502" s="2420"/>
      <c r="H2502" s="2420"/>
      <c r="I2502" s="2420"/>
      <c r="J2502" s="2515"/>
      <c r="K2502" s="118">
        <v>1500</v>
      </c>
      <c r="L2502" s="118"/>
      <c r="M2502" s="3287" t="s">
        <v>393</v>
      </c>
      <c r="N2502" s="3288"/>
      <c r="O2502" s="41"/>
      <c r="P2502" s="41"/>
      <c r="Q2502" s="41"/>
      <c r="R2502" s="41">
        <v>1500</v>
      </c>
      <c r="S2502" s="41"/>
      <c r="T2502" s="41"/>
      <c r="U2502" s="41"/>
      <c r="V2502" s="41"/>
      <c r="W2502" s="41"/>
      <c r="X2502" s="41"/>
      <c r="Y2502" s="41"/>
      <c r="Z2502" s="41"/>
      <c r="AA2502" s="1217">
        <f t="shared" si="382"/>
        <v>1500</v>
      </c>
      <c r="AB2502" s="1210"/>
      <c r="AC2502" s="1199"/>
      <c r="AD2502" s="1211"/>
    </row>
    <row r="2503" spans="1:30" x14ac:dyDescent="0.2">
      <c r="A2503" s="1422"/>
      <c r="B2503" s="2522"/>
      <c r="C2503" s="3191"/>
      <c r="D2503" s="2421"/>
      <c r="E2503" s="2421"/>
      <c r="F2503" s="2420"/>
      <c r="G2503" s="2420"/>
      <c r="H2503" s="2420"/>
      <c r="I2503" s="2420"/>
      <c r="J2503" s="2515"/>
      <c r="K2503" s="118">
        <v>500</v>
      </c>
      <c r="L2503" s="118"/>
      <c r="M2503" s="3287" t="s">
        <v>611</v>
      </c>
      <c r="N2503" s="3288"/>
      <c r="O2503" s="41"/>
      <c r="P2503" s="41"/>
      <c r="Q2503" s="41"/>
      <c r="R2503" s="41">
        <v>500</v>
      </c>
      <c r="S2503" s="41"/>
      <c r="T2503" s="41"/>
      <c r="U2503" s="41"/>
      <c r="V2503" s="41"/>
      <c r="W2503" s="41"/>
      <c r="X2503" s="41"/>
      <c r="Y2503" s="41"/>
      <c r="Z2503" s="41"/>
      <c r="AA2503" s="1217">
        <f t="shared" si="382"/>
        <v>500</v>
      </c>
      <c r="AB2503" s="1210"/>
      <c r="AC2503" s="1199"/>
      <c r="AD2503" s="1211"/>
    </row>
    <row r="2504" spans="1:30" x14ac:dyDescent="0.2">
      <c r="A2504" s="1422"/>
      <c r="B2504" s="2522"/>
      <c r="C2504" s="3191"/>
      <c r="D2504" s="2421"/>
      <c r="E2504" s="2421"/>
      <c r="F2504" s="2420"/>
      <c r="G2504" s="2420"/>
      <c r="H2504" s="2420"/>
      <c r="I2504" s="2420"/>
      <c r="J2504" s="2515"/>
      <c r="K2504" s="118">
        <v>81497</v>
      </c>
      <c r="L2504" s="118"/>
      <c r="M2504" s="3287" t="s">
        <v>343</v>
      </c>
      <c r="N2504" s="3288"/>
      <c r="O2504" s="41"/>
      <c r="P2504" s="41"/>
      <c r="Q2504" s="41">
        <v>5093.5625</v>
      </c>
      <c r="R2504" s="41">
        <v>20374.25</v>
      </c>
      <c r="S2504" s="41">
        <v>5093.5625</v>
      </c>
      <c r="T2504" s="41">
        <v>5093.5625</v>
      </c>
      <c r="U2504" s="41">
        <v>5093.5625</v>
      </c>
      <c r="V2504" s="41">
        <v>20374.25</v>
      </c>
      <c r="W2504" s="41">
        <v>5093.5625</v>
      </c>
      <c r="X2504" s="41">
        <v>5093.5625</v>
      </c>
      <c r="Y2504" s="41">
        <v>5093.5625</v>
      </c>
      <c r="Z2504" s="41">
        <v>5093.5625</v>
      </c>
      <c r="AA2504" s="1217">
        <f t="shared" si="382"/>
        <v>81497</v>
      </c>
      <c r="AB2504" s="1210"/>
      <c r="AC2504" s="1199"/>
      <c r="AD2504" s="1211"/>
    </row>
    <row r="2505" spans="1:30" x14ac:dyDescent="0.2">
      <c r="A2505" s="1422"/>
      <c r="B2505" s="2522"/>
      <c r="C2505" s="3191"/>
      <c r="D2505" s="2421"/>
      <c r="E2505" s="2421"/>
      <c r="F2505" s="2420"/>
      <c r="G2505" s="2420"/>
      <c r="H2505" s="2420"/>
      <c r="I2505" s="2420"/>
      <c r="J2505" s="2515"/>
      <c r="K2505" s="118">
        <v>5000</v>
      </c>
      <c r="L2505" s="118"/>
      <c r="M2505" s="3287" t="s">
        <v>763</v>
      </c>
      <c r="N2505" s="3288"/>
      <c r="O2505" s="41"/>
      <c r="P2505" s="41"/>
      <c r="Q2505" s="41">
        <v>2500</v>
      </c>
      <c r="R2505" s="41"/>
      <c r="S2505" s="41"/>
      <c r="T2505" s="41"/>
      <c r="U2505" s="41"/>
      <c r="V2505" s="41">
        <v>2500</v>
      </c>
      <c r="W2505" s="41"/>
      <c r="X2505" s="41"/>
      <c r="Y2505" s="41"/>
      <c r="Z2505" s="41"/>
      <c r="AA2505" s="1217">
        <f t="shared" si="382"/>
        <v>5000</v>
      </c>
      <c r="AB2505" s="1210"/>
      <c r="AC2505" s="1199"/>
      <c r="AD2505" s="1211"/>
    </row>
    <row r="2506" spans="1:30" x14ac:dyDescent="0.2">
      <c r="A2506" s="1422"/>
      <c r="B2506" s="2522"/>
      <c r="C2506" s="3191"/>
      <c r="D2506" s="2421"/>
      <c r="E2506" s="2421"/>
      <c r="F2506" s="2420"/>
      <c r="G2506" s="2420"/>
      <c r="H2506" s="2420"/>
      <c r="I2506" s="2420"/>
      <c r="J2506" s="2515"/>
      <c r="K2506" s="118">
        <v>1000</v>
      </c>
      <c r="L2506" s="118"/>
      <c r="M2506" s="3287" t="s">
        <v>305</v>
      </c>
      <c r="N2506" s="3288"/>
      <c r="O2506" s="41"/>
      <c r="P2506" s="41">
        <v>250</v>
      </c>
      <c r="Q2506" s="41"/>
      <c r="R2506" s="41"/>
      <c r="S2506" s="41">
        <v>250</v>
      </c>
      <c r="T2506" s="41"/>
      <c r="U2506" s="41"/>
      <c r="V2506" s="41">
        <v>250</v>
      </c>
      <c r="W2506" s="41"/>
      <c r="X2506" s="41"/>
      <c r="Y2506" s="41">
        <v>250</v>
      </c>
      <c r="Z2506" s="41"/>
      <c r="AA2506" s="1217">
        <f t="shared" si="382"/>
        <v>1000</v>
      </c>
      <c r="AB2506" s="1210"/>
      <c r="AC2506" s="1199"/>
      <c r="AD2506" s="1211"/>
    </row>
    <row r="2507" spans="1:30" x14ac:dyDescent="0.2">
      <c r="A2507" s="1422"/>
      <c r="B2507" s="2522"/>
      <c r="C2507" s="3191"/>
      <c r="D2507" s="2421"/>
      <c r="E2507" s="2421"/>
      <c r="F2507" s="2420"/>
      <c r="G2507" s="2420"/>
      <c r="H2507" s="2420"/>
      <c r="I2507" s="2420"/>
      <c r="J2507" s="2515"/>
      <c r="K2507" s="118">
        <v>8240</v>
      </c>
      <c r="L2507" s="118"/>
      <c r="M2507" s="3287" t="s">
        <v>306</v>
      </c>
      <c r="N2507" s="3288"/>
      <c r="O2507" s="41"/>
      <c r="P2507" s="41">
        <v>749.09090909090912</v>
      </c>
      <c r="Q2507" s="41">
        <v>749.09090909090912</v>
      </c>
      <c r="R2507" s="41">
        <v>749.09090909090912</v>
      </c>
      <c r="S2507" s="41">
        <v>749.09090909090912</v>
      </c>
      <c r="T2507" s="41">
        <v>749.09090909090912</v>
      </c>
      <c r="U2507" s="41">
        <v>749.09090909090912</v>
      </c>
      <c r="V2507" s="41">
        <v>749.09090909090912</v>
      </c>
      <c r="W2507" s="41">
        <v>749.09090909090912</v>
      </c>
      <c r="X2507" s="41">
        <v>749.09090909090912</v>
      </c>
      <c r="Y2507" s="41">
        <v>749.09090909090912</v>
      </c>
      <c r="Z2507" s="41">
        <v>749.09090909090912</v>
      </c>
      <c r="AA2507" s="1217">
        <f t="shared" si="382"/>
        <v>8240</v>
      </c>
      <c r="AB2507" s="1210"/>
      <c r="AC2507" s="1199"/>
      <c r="AD2507" s="1211"/>
    </row>
    <row r="2508" spans="1:30" x14ac:dyDescent="0.2">
      <c r="A2508" s="1422"/>
      <c r="B2508" s="2522"/>
      <c r="C2508" s="3191"/>
      <c r="D2508" s="2421"/>
      <c r="E2508" s="2421"/>
      <c r="F2508" s="2420"/>
      <c r="G2508" s="2420"/>
      <c r="H2508" s="2420"/>
      <c r="I2508" s="2420"/>
      <c r="J2508" s="2515"/>
      <c r="K2508" s="118">
        <v>500</v>
      </c>
      <c r="L2508" s="118"/>
      <c r="M2508" s="3287" t="s">
        <v>307</v>
      </c>
      <c r="N2508" s="3288"/>
      <c r="O2508" s="41"/>
      <c r="P2508" s="41">
        <v>45.454545454545453</v>
      </c>
      <c r="Q2508" s="41">
        <v>45.454545454545453</v>
      </c>
      <c r="R2508" s="41">
        <v>45.454545454545453</v>
      </c>
      <c r="S2508" s="41">
        <v>45.454545454545453</v>
      </c>
      <c r="T2508" s="41">
        <v>45.454545454545453</v>
      </c>
      <c r="U2508" s="41">
        <v>45.454545454545453</v>
      </c>
      <c r="V2508" s="41">
        <v>45.454545454545453</v>
      </c>
      <c r="W2508" s="41">
        <v>45.454545454545453</v>
      </c>
      <c r="X2508" s="41">
        <v>45.454545454545453</v>
      </c>
      <c r="Y2508" s="41">
        <v>45.454545454545453</v>
      </c>
      <c r="Z2508" s="41">
        <v>45.454545454545453</v>
      </c>
      <c r="AA2508" s="1217">
        <f t="shared" si="382"/>
        <v>499.99999999999989</v>
      </c>
      <c r="AB2508" s="1210"/>
      <c r="AC2508" s="1199"/>
      <c r="AD2508" s="1211"/>
    </row>
    <row r="2509" spans="1:30" x14ac:dyDescent="0.2">
      <c r="A2509" s="1422"/>
      <c r="B2509" s="2522"/>
      <c r="C2509" s="3191"/>
      <c r="D2509" s="2421"/>
      <c r="E2509" s="2421"/>
      <c r="F2509" s="2420"/>
      <c r="G2509" s="2420"/>
      <c r="H2509" s="2420"/>
      <c r="I2509" s="2420"/>
      <c r="J2509" s="2515"/>
      <c r="K2509" s="118">
        <v>300</v>
      </c>
      <c r="L2509" s="118"/>
      <c r="M2509" s="3287" t="s">
        <v>355</v>
      </c>
      <c r="N2509" s="3288"/>
      <c r="O2509" s="41"/>
      <c r="P2509" s="41"/>
      <c r="Q2509" s="41">
        <v>300</v>
      </c>
      <c r="R2509" s="41"/>
      <c r="S2509" s="41"/>
      <c r="T2509" s="41"/>
      <c r="U2509" s="41"/>
      <c r="V2509" s="41"/>
      <c r="W2509" s="41"/>
      <c r="X2509" s="41"/>
      <c r="Y2509" s="41"/>
      <c r="Z2509" s="41"/>
      <c r="AA2509" s="1217">
        <f t="shared" si="382"/>
        <v>300</v>
      </c>
      <c r="AB2509" s="1210"/>
      <c r="AC2509" s="1199"/>
      <c r="AD2509" s="1211"/>
    </row>
    <row r="2510" spans="1:30" x14ac:dyDescent="0.2">
      <c r="A2510" s="1422"/>
      <c r="B2510" s="2522"/>
      <c r="C2510" s="3191"/>
      <c r="D2510" s="2421"/>
      <c r="E2510" s="2421"/>
      <c r="F2510" s="2420"/>
      <c r="G2510" s="2420"/>
      <c r="H2510" s="2420"/>
      <c r="I2510" s="2420"/>
      <c r="J2510" s="2515"/>
      <c r="K2510" s="118">
        <v>10000</v>
      </c>
      <c r="L2510" s="118"/>
      <c r="M2510" s="3287" t="s">
        <v>309</v>
      </c>
      <c r="N2510" s="3288"/>
      <c r="O2510" s="41"/>
      <c r="P2510" s="41"/>
      <c r="Q2510" s="41">
        <v>2000</v>
      </c>
      <c r="R2510" s="41"/>
      <c r="S2510" s="41">
        <v>2000</v>
      </c>
      <c r="T2510" s="41"/>
      <c r="U2510" s="41">
        <v>2000</v>
      </c>
      <c r="V2510" s="41"/>
      <c r="W2510" s="41">
        <v>2000</v>
      </c>
      <c r="X2510" s="41"/>
      <c r="Y2510" s="41">
        <v>2000</v>
      </c>
      <c r="Z2510" s="41"/>
      <c r="AA2510" s="1217">
        <f t="shared" si="382"/>
        <v>10000</v>
      </c>
      <c r="AB2510" s="1210"/>
      <c r="AC2510" s="1199"/>
      <c r="AD2510" s="1211"/>
    </row>
    <row r="2511" spans="1:30" x14ac:dyDescent="0.2">
      <c r="A2511" s="1422"/>
      <c r="B2511" s="2522"/>
      <c r="C2511" s="3191"/>
      <c r="D2511" s="2421"/>
      <c r="E2511" s="2421"/>
      <c r="F2511" s="2420"/>
      <c r="G2511" s="2420"/>
      <c r="H2511" s="2420"/>
      <c r="I2511" s="2420"/>
      <c r="J2511" s="2515"/>
      <c r="K2511" s="118">
        <v>22959</v>
      </c>
      <c r="L2511" s="118"/>
      <c r="M2511" s="3287" t="s">
        <v>358</v>
      </c>
      <c r="N2511" s="3288"/>
      <c r="O2511" s="41">
        <v>1913.25</v>
      </c>
      <c r="P2511" s="41">
        <v>1913.25</v>
      </c>
      <c r="Q2511" s="41">
        <v>1913.25</v>
      </c>
      <c r="R2511" s="41">
        <v>1913.25</v>
      </c>
      <c r="S2511" s="41">
        <v>1913.25</v>
      </c>
      <c r="T2511" s="41">
        <v>1913.25</v>
      </c>
      <c r="U2511" s="41">
        <v>1913.25</v>
      </c>
      <c r="V2511" s="41">
        <v>1913.25</v>
      </c>
      <c r="W2511" s="41">
        <v>1913.25</v>
      </c>
      <c r="X2511" s="41">
        <v>1913.25</v>
      </c>
      <c r="Y2511" s="41">
        <v>1913.25</v>
      </c>
      <c r="Z2511" s="41">
        <v>1913.25</v>
      </c>
      <c r="AA2511" s="1217">
        <f t="shared" si="382"/>
        <v>22959</v>
      </c>
      <c r="AB2511" s="1210"/>
      <c r="AC2511" s="1199"/>
      <c r="AD2511" s="1211"/>
    </row>
    <row r="2512" spans="1:30" x14ac:dyDescent="0.2">
      <c r="A2512" s="1422"/>
      <c r="B2512" s="2522"/>
      <c r="C2512" s="3191"/>
      <c r="D2512" s="2421"/>
      <c r="E2512" s="2421"/>
      <c r="F2512" s="2420"/>
      <c r="G2512" s="2420"/>
      <c r="H2512" s="2420"/>
      <c r="I2512" s="2420"/>
      <c r="J2512" s="2515"/>
      <c r="K2512" s="118">
        <v>6100</v>
      </c>
      <c r="L2512" s="118"/>
      <c r="M2512" s="3287" t="s">
        <v>764</v>
      </c>
      <c r="N2512" s="3288"/>
      <c r="O2512" s="41"/>
      <c r="P2512" s="41"/>
      <c r="Q2512" s="41">
        <v>3050</v>
      </c>
      <c r="R2512" s="41"/>
      <c r="S2512" s="41"/>
      <c r="T2512" s="41"/>
      <c r="U2512" s="41">
        <v>3050</v>
      </c>
      <c r="V2512" s="41"/>
      <c r="W2512" s="41"/>
      <c r="X2512" s="41"/>
      <c r="Y2512" s="41"/>
      <c r="Z2512" s="41"/>
      <c r="AA2512" s="1217">
        <f t="shared" si="382"/>
        <v>6100</v>
      </c>
      <c r="AB2512" s="1210"/>
      <c r="AC2512" s="1199"/>
      <c r="AD2512" s="1211"/>
    </row>
    <row r="2513" spans="1:30" x14ac:dyDescent="0.2">
      <c r="A2513" s="1422"/>
      <c r="B2513" s="2522"/>
      <c r="C2513" s="3191"/>
      <c r="D2513" s="2421"/>
      <c r="E2513" s="2421"/>
      <c r="F2513" s="2420"/>
      <c r="G2513" s="2420"/>
      <c r="H2513" s="2420"/>
      <c r="I2513" s="2420"/>
      <c r="J2513" s="2515"/>
      <c r="K2513" s="118">
        <v>35499</v>
      </c>
      <c r="L2513" s="118"/>
      <c r="M2513" s="3287" t="s">
        <v>625</v>
      </c>
      <c r="N2513" s="3288"/>
      <c r="O2513" s="41">
        <v>2958.25</v>
      </c>
      <c r="P2513" s="41">
        <v>2958.25</v>
      </c>
      <c r="Q2513" s="41">
        <v>2958.25</v>
      </c>
      <c r="R2513" s="41">
        <v>2958.25</v>
      </c>
      <c r="S2513" s="41">
        <v>2958.25</v>
      </c>
      <c r="T2513" s="41">
        <v>2958.25</v>
      </c>
      <c r="U2513" s="41">
        <v>2958.25</v>
      </c>
      <c r="V2513" s="41">
        <v>2958.25</v>
      </c>
      <c r="W2513" s="41">
        <v>2958.25</v>
      </c>
      <c r="X2513" s="41">
        <v>2958.25</v>
      </c>
      <c r="Y2513" s="41">
        <v>2958.25</v>
      </c>
      <c r="Z2513" s="41">
        <v>2958.25</v>
      </c>
      <c r="AA2513" s="1217">
        <f t="shared" si="382"/>
        <v>35499</v>
      </c>
      <c r="AB2513" s="1210"/>
      <c r="AC2513" s="1199"/>
      <c r="AD2513" s="1211"/>
    </row>
    <row r="2514" spans="1:30" x14ac:dyDescent="0.2">
      <c r="A2514" s="1422"/>
      <c r="B2514" s="2522"/>
      <c r="C2514" s="3191"/>
      <c r="D2514" s="2421"/>
      <c r="E2514" s="2421"/>
      <c r="F2514" s="2420"/>
      <c r="G2514" s="2420"/>
      <c r="H2514" s="2420"/>
      <c r="I2514" s="2420"/>
      <c r="J2514" s="2515"/>
      <c r="K2514" s="118">
        <v>190000</v>
      </c>
      <c r="L2514" s="118"/>
      <c r="M2514" s="3287" t="s">
        <v>310</v>
      </c>
      <c r="N2514" s="3288"/>
      <c r="O2514" s="41">
        <v>15833.333333333334</v>
      </c>
      <c r="P2514" s="41">
        <v>15833.333333333334</v>
      </c>
      <c r="Q2514" s="41">
        <v>15833.333333333334</v>
      </c>
      <c r="R2514" s="41">
        <v>15833.333333333334</v>
      </c>
      <c r="S2514" s="41">
        <v>15833.333333333334</v>
      </c>
      <c r="T2514" s="41">
        <v>15833.333333333334</v>
      </c>
      <c r="U2514" s="41">
        <v>15833.333333333334</v>
      </c>
      <c r="V2514" s="41">
        <v>15833.333333333334</v>
      </c>
      <c r="W2514" s="41">
        <v>15833.333333333334</v>
      </c>
      <c r="X2514" s="41">
        <v>15833.333333333334</v>
      </c>
      <c r="Y2514" s="41">
        <v>15833.333333333334</v>
      </c>
      <c r="Z2514" s="41">
        <v>15833.333333333334</v>
      </c>
      <c r="AA2514" s="1217">
        <f t="shared" si="382"/>
        <v>190000.00000000003</v>
      </c>
      <c r="AB2514" s="1210"/>
      <c r="AC2514" s="1199"/>
      <c r="AD2514" s="1211"/>
    </row>
    <row r="2515" spans="1:30" x14ac:dyDescent="0.2">
      <c r="A2515" s="1422"/>
      <c r="B2515" s="2522"/>
      <c r="C2515" s="3191"/>
      <c r="D2515" s="2421"/>
      <c r="E2515" s="2421"/>
      <c r="F2515" s="2420"/>
      <c r="G2515" s="2420"/>
      <c r="H2515" s="2420"/>
      <c r="I2515" s="2420"/>
      <c r="J2515" s="2515"/>
      <c r="K2515" s="118">
        <v>13243</v>
      </c>
      <c r="L2515" s="118"/>
      <c r="M2515" s="3287" t="s">
        <v>311</v>
      </c>
      <c r="N2515" s="3288"/>
      <c r="O2515" s="41">
        <v>1103.5833333333333</v>
      </c>
      <c r="P2515" s="41">
        <v>1103.5833333333333</v>
      </c>
      <c r="Q2515" s="41">
        <v>1103.5833333333333</v>
      </c>
      <c r="R2515" s="41">
        <v>1103.5833333333333</v>
      </c>
      <c r="S2515" s="41">
        <v>1103.5833333333333</v>
      </c>
      <c r="T2515" s="41">
        <v>1103.5833333333333</v>
      </c>
      <c r="U2515" s="41">
        <v>1103.5833333333333</v>
      </c>
      <c r="V2515" s="41">
        <v>1103.5833333333333</v>
      </c>
      <c r="W2515" s="41">
        <v>1103.5833333333333</v>
      </c>
      <c r="X2515" s="41">
        <v>1103.5833333333333</v>
      </c>
      <c r="Y2515" s="41">
        <v>1103.5833333333333</v>
      </c>
      <c r="Z2515" s="41">
        <v>1103.5833333333333</v>
      </c>
      <c r="AA2515" s="1217">
        <f t="shared" si="382"/>
        <v>13243.000000000002</v>
      </c>
      <c r="AB2515" s="1210"/>
      <c r="AC2515" s="1199"/>
      <c r="AD2515" s="1211"/>
    </row>
    <row r="2516" spans="1:30" x14ac:dyDescent="0.2">
      <c r="A2516" s="1422"/>
      <c r="B2516" s="2522"/>
      <c r="C2516" s="2439"/>
      <c r="D2516" s="2421"/>
      <c r="E2516" s="2421"/>
      <c r="F2516" s="2420"/>
      <c r="G2516" s="2420"/>
      <c r="H2516" s="2420"/>
      <c r="I2516" s="2420"/>
      <c r="J2516" s="2516"/>
      <c r="K2516" s="118">
        <v>272895</v>
      </c>
      <c r="L2516" s="118"/>
      <c r="M2516" s="3287" t="s">
        <v>397</v>
      </c>
      <c r="N2516" s="3288"/>
      <c r="O2516" s="41">
        <v>22741.25</v>
      </c>
      <c r="P2516" s="41">
        <v>22741.25</v>
      </c>
      <c r="Q2516" s="41">
        <v>22741.25</v>
      </c>
      <c r="R2516" s="41">
        <v>22741.25</v>
      </c>
      <c r="S2516" s="41">
        <v>22741.25</v>
      </c>
      <c r="T2516" s="41">
        <v>22741.25</v>
      </c>
      <c r="U2516" s="41">
        <v>22741.25</v>
      </c>
      <c r="V2516" s="41">
        <v>22741.25</v>
      </c>
      <c r="W2516" s="41">
        <v>22741.25</v>
      </c>
      <c r="X2516" s="41">
        <v>22741.25</v>
      </c>
      <c r="Y2516" s="41">
        <v>22741.25</v>
      </c>
      <c r="Z2516" s="41">
        <v>22741.25</v>
      </c>
      <c r="AA2516" s="1217">
        <f t="shared" si="382"/>
        <v>272895</v>
      </c>
      <c r="AB2516" s="1210"/>
      <c r="AC2516" s="1199"/>
      <c r="AD2516" s="1211"/>
    </row>
    <row r="2517" spans="1:30" x14ac:dyDescent="0.2">
      <c r="A2517" s="1422"/>
      <c r="B2517" s="1427" t="s">
        <v>312</v>
      </c>
      <c r="C2517" s="1273"/>
      <c r="D2517" s="38"/>
      <c r="E2517" s="38"/>
      <c r="F2517" s="38"/>
      <c r="G2517" s="38"/>
      <c r="H2517" s="38"/>
      <c r="I2517" s="38"/>
      <c r="J2517" s="38"/>
      <c r="K2517" s="38">
        <f>SUM(K2490:K2516)</f>
        <v>1417984</v>
      </c>
      <c r="L2517" s="38"/>
      <c r="M2517" s="38"/>
      <c r="N2517" s="38"/>
      <c r="O2517" s="38"/>
      <c r="P2517" s="38"/>
      <c r="Q2517" s="38"/>
      <c r="R2517" s="38"/>
      <c r="S2517" s="38"/>
      <c r="T2517" s="38"/>
      <c r="U2517" s="38"/>
      <c r="V2517" s="38"/>
      <c r="W2517" s="38"/>
      <c r="X2517" s="38"/>
      <c r="Y2517" s="38"/>
      <c r="Z2517" s="38"/>
      <c r="AA2517" s="1234"/>
      <c r="AB2517" s="1210"/>
      <c r="AC2517" s="1199"/>
      <c r="AD2517" s="1211"/>
    </row>
    <row r="2518" spans="1:30" ht="22.5" x14ac:dyDescent="0.2">
      <c r="A2518" s="1422"/>
      <c r="B2518" s="1433" t="s">
        <v>276</v>
      </c>
      <c r="C2518" s="1121"/>
      <c r="D2518" s="1119">
        <v>3000360</v>
      </c>
      <c r="E2518" s="192" t="s">
        <v>765</v>
      </c>
      <c r="F2518" s="35"/>
      <c r="G2518" s="35"/>
      <c r="H2518" s="35"/>
      <c r="I2518" s="35"/>
      <c r="J2518" s="35"/>
      <c r="K2518" s="60"/>
      <c r="L2518" s="60"/>
      <c r="M2518" s="60"/>
      <c r="N2518" s="60"/>
      <c r="O2518" s="60"/>
      <c r="P2518" s="60"/>
      <c r="Q2518" s="60"/>
      <c r="R2518" s="35"/>
      <c r="S2518" s="1151"/>
      <c r="T2518" s="35"/>
      <c r="U2518" s="1151"/>
      <c r="V2518" s="3377" t="s">
        <v>15</v>
      </c>
      <c r="W2518" s="3378"/>
      <c r="X2518" s="3378"/>
      <c r="Y2518" s="3378"/>
      <c r="Z2518" s="3379"/>
      <c r="AA2518" s="1215" t="s">
        <v>16</v>
      </c>
      <c r="AB2518" s="1210"/>
      <c r="AC2518" s="1199"/>
      <c r="AD2518" s="1211"/>
    </row>
    <row r="2519" spans="1:30" ht="22.5" x14ac:dyDescent="0.2">
      <c r="A2519" s="1422"/>
      <c r="B2519" s="1433"/>
      <c r="C2519" s="1121"/>
      <c r="D2519" s="1119"/>
      <c r="E2519" s="192"/>
      <c r="F2519" s="35"/>
      <c r="G2519" s="35"/>
      <c r="H2519" s="35"/>
      <c r="I2519" s="35"/>
      <c r="J2519" s="35"/>
      <c r="K2519" s="60"/>
      <c r="L2519" s="60"/>
      <c r="M2519" s="60"/>
      <c r="N2519" s="60"/>
      <c r="O2519" s="60"/>
      <c r="P2519" s="60"/>
      <c r="Q2519" s="60"/>
      <c r="R2519" s="35"/>
      <c r="S2519" s="121"/>
      <c r="T2519" s="35"/>
      <c r="U2519" s="121"/>
      <c r="V2519" s="3333" t="s">
        <v>766</v>
      </c>
      <c r="W2519" s="3333"/>
      <c r="X2519" s="3333"/>
      <c r="Y2519" s="3333"/>
      <c r="Z2519" s="3333"/>
      <c r="AA2519" s="1214" t="s">
        <v>767</v>
      </c>
      <c r="AB2519" s="1210"/>
      <c r="AC2519" s="1199"/>
      <c r="AD2519" s="1211"/>
    </row>
    <row r="2520" spans="1:30" x14ac:dyDescent="0.2">
      <c r="A2520" s="1422"/>
      <c r="B2520" s="2999" t="s">
        <v>278</v>
      </c>
      <c r="C2520" s="3015" t="s">
        <v>21</v>
      </c>
      <c r="D2520" s="2847" t="s">
        <v>22</v>
      </c>
      <c r="E2520" s="2847" t="s">
        <v>23</v>
      </c>
      <c r="F2520" s="2847" t="s">
        <v>24</v>
      </c>
      <c r="G2520" s="2847" t="s">
        <v>25</v>
      </c>
      <c r="H2520" s="2847" t="s">
        <v>26</v>
      </c>
      <c r="I2520" s="2847" t="s">
        <v>27</v>
      </c>
      <c r="J2520" s="3206" t="s">
        <v>28</v>
      </c>
      <c r="K2520" s="3301"/>
      <c r="L2520" s="2988" t="s">
        <v>279</v>
      </c>
      <c r="M2520" s="3273" t="s">
        <v>280</v>
      </c>
      <c r="N2520" s="3274"/>
      <c r="O2520" s="2847" t="s">
        <v>281</v>
      </c>
      <c r="P2520" s="2847"/>
      <c r="Q2520" s="2847"/>
      <c r="R2520" s="2847"/>
      <c r="S2520" s="2847"/>
      <c r="T2520" s="2847"/>
      <c r="U2520" s="2847"/>
      <c r="V2520" s="2847"/>
      <c r="W2520" s="2847"/>
      <c r="X2520" s="2847"/>
      <c r="Y2520" s="2847"/>
      <c r="Z2520" s="2847"/>
      <c r="AA2520" s="3358" t="s">
        <v>32</v>
      </c>
      <c r="AB2520" s="1210"/>
      <c r="AC2520" s="1199"/>
      <c r="AD2520" s="1211"/>
    </row>
    <row r="2521" spans="1:30" x14ac:dyDescent="0.2">
      <c r="A2521" s="1422"/>
      <c r="B2521" s="2999"/>
      <c r="C2521" s="3359"/>
      <c r="D2521" s="2847"/>
      <c r="E2521" s="2847"/>
      <c r="F2521" s="2847"/>
      <c r="G2521" s="2847"/>
      <c r="H2521" s="2847"/>
      <c r="I2521" s="2847"/>
      <c r="J2521" s="2988" t="s">
        <v>33</v>
      </c>
      <c r="K2521" s="2988" t="s">
        <v>282</v>
      </c>
      <c r="L2521" s="3186"/>
      <c r="M2521" s="3275"/>
      <c r="N2521" s="3276"/>
      <c r="O2521" s="1009" t="s">
        <v>283</v>
      </c>
      <c r="P2521" s="1009" t="s">
        <v>284</v>
      </c>
      <c r="Q2521" s="1009" t="s">
        <v>285</v>
      </c>
      <c r="R2521" s="1009" t="s">
        <v>88</v>
      </c>
      <c r="S2521" s="1009" t="s">
        <v>89</v>
      </c>
      <c r="T2521" s="1009" t="s">
        <v>90</v>
      </c>
      <c r="U2521" s="1009" t="s">
        <v>91</v>
      </c>
      <c r="V2521" s="1009" t="s">
        <v>92</v>
      </c>
      <c r="W2521" s="1009" t="s">
        <v>286</v>
      </c>
      <c r="X2521" s="1009" t="s">
        <v>93</v>
      </c>
      <c r="Y2521" s="1009" t="s">
        <v>94</v>
      </c>
      <c r="Z2521" s="1009" t="s">
        <v>95</v>
      </c>
      <c r="AA2521" s="3358"/>
      <c r="AB2521" s="1210"/>
      <c r="AC2521" s="1199"/>
      <c r="AD2521" s="1211"/>
    </row>
    <row r="2522" spans="1:30" x14ac:dyDescent="0.2">
      <c r="A2522" s="1422"/>
      <c r="B2522" s="2999"/>
      <c r="C2522" s="3359"/>
      <c r="D2522" s="2847"/>
      <c r="E2522" s="2847"/>
      <c r="F2522" s="2847"/>
      <c r="G2522" s="2847"/>
      <c r="H2522" s="2847"/>
      <c r="I2522" s="2847"/>
      <c r="J2522" s="3186"/>
      <c r="K2522" s="3186"/>
      <c r="L2522" s="3186"/>
      <c r="M2522" s="3271" t="s">
        <v>287</v>
      </c>
      <c r="N2522" s="3272"/>
      <c r="O2522" s="1114"/>
      <c r="P2522" s="1114"/>
      <c r="Q2522" s="1114">
        <v>14</v>
      </c>
      <c r="R2522" s="1114">
        <v>15</v>
      </c>
      <c r="S2522" s="1114">
        <v>15</v>
      </c>
      <c r="T2522" s="1114">
        <v>14</v>
      </c>
      <c r="U2522" s="1114">
        <v>15</v>
      </c>
      <c r="V2522" s="1114">
        <v>17</v>
      </c>
      <c r="W2522" s="1114">
        <v>15</v>
      </c>
      <c r="X2522" s="1114">
        <v>16</v>
      </c>
      <c r="Y2522" s="1114">
        <v>15</v>
      </c>
      <c r="Z2522" s="1114">
        <v>15</v>
      </c>
      <c r="AA2522" s="1216">
        <f t="shared" ref="AA2522:AA2532" si="384">SUM(O2522:Z2522)</f>
        <v>151</v>
      </c>
      <c r="AB2522" s="1210"/>
      <c r="AC2522" s="1199"/>
      <c r="AD2522" s="1211"/>
    </row>
    <row r="2523" spans="1:30" x14ac:dyDescent="0.2">
      <c r="A2523" s="1422"/>
      <c r="B2523" s="2999"/>
      <c r="C2523" s="3016"/>
      <c r="D2523" s="2847"/>
      <c r="E2523" s="2847"/>
      <c r="F2523" s="2847"/>
      <c r="G2523" s="2847"/>
      <c r="H2523" s="2847"/>
      <c r="I2523" s="2847"/>
      <c r="J2523" s="2989"/>
      <c r="K2523" s="2989"/>
      <c r="L2523" s="2989"/>
      <c r="M2523" s="3271" t="s">
        <v>34</v>
      </c>
      <c r="N2523" s="3272"/>
      <c r="O2523" s="120">
        <f>SUM(O2524:O2532)</f>
        <v>15416.666666666668</v>
      </c>
      <c r="P2523" s="120">
        <f t="shared" ref="P2523:Z2523" si="385">SUM(P2524:P2532)</f>
        <v>16507.57575757576</v>
      </c>
      <c r="Q2523" s="120">
        <f t="shared" si="385"/>
        <v>17107.57575757576</v>
      </c>
      <c r="R2523" s="120">
        <f t="shared" si="385"/>
        <v>17507.57575757576</v>
      </c>
      <c r="S2523" s="120">
        <f t="shared" si="385"/>
        <v>15507.575757575758</v>
      </c>
      <c r="T2523" s="120">
        <f t="shared" si="385"/>
        <v>17507.57575757576</v>
      </c>
      <c r="U2523" s="120">
        <f t="shared" si="385"/>
        <v>27007.57575757576</v>
      </c>
      <c r="V2523" s="120">
        <f t="shared" si="385"/>
        <v>17507.57575757576</v>
      </c>
      <c r="W2523" s="120">
        <f t="shared" si="385"/>
        <v>15507.575757575758</v>
      </c>
      <c r="X2523" s="120">
        <f t="shared" si="385"/>
        <v>17507.57575757576</v>
      </c>
      <c r="Y2523" s="120">
        <f t="shared" si="385"/>
        <v>15507.575757575758</v>
      </c>
      <c r="Z2523" s="120">
        <f t="shared" si="385"/>
        <v>29007.57575757576</v>
      </c>
      <c r="AA2523" s="1216">
        <f t="shared" si="384"/>
        <v>221600</v>
      </c>
      <c r="AB2523" s="1210"/>
      <c r="AC2523" s="1199"/>
      <c r="AD2523" s="1211"/>
    </row>
    <row r="2524" spans="1:30" x14ac:dyDescent="0.2">
      <c r="A2524" s="1422"/>
      <c r="B2524" s="2522">
        <v>5003060</v>
      </c>
      <c r="C2524" s="3190" t="s">
        <v>768</v>
      </c>
      <c r="D2524" s="2421"/>
      <c r="E2524" s="2421" t="s">
        <v>288</v>
      </c>
      <c r="F2524" s="2420" t="s">
        <v>313</v>
      </c>
      <c r="G2524" s="2420" t="s">
        <v>329</v>
      </c>
      <c r="H2524" s="2420"/>
      <c r="I2524" s="2420" t="s">
        <v>373</v>
      </c>
      <c r="J2524" s="2514">
        <v>151</v>
      </c>
      <c r="K2524" s="115">
        <v>115000</v>
      </c>
      <c r="L2524" s="115"/>
      <c r="M2524" s="3287" t="s">
        <v>293</v>
      </c>
      <c r="N2524" s="3288"/>
      <c r="O2524" s="41">
        <v>9583.3333333333339</v>
      </c>
      <c r="P2524" s="41">
        <v>9583.3333333333339</v>
      </c>
      <c r="Q2524" s="41">
        <v>9583.3333333333339</v>
      </c>
      <c r="R2524" s="41">
        <v>9583.3333333333339</v>
      </c>
      <c r="S2524" s="41">
        <v>9583.3333333333339</v>
      </c>
      <c r="T2524" s="41">
        <v>9583.3333333333339</v>
      </c>
      <c r="U2524" s="41">
        <v>9583.3333333333339</v>
      </c>
      <c r="V2524" s="41">
        <v>9583.3333333333339</v>
      </c>
      <c r="W2524" s="41">
        <v>9583.3333333333339</v>
      </c>
      <c r="X2524" s="41">
        <v>9583.3333333333339</v>
      </c>
      <c r="Y2524" s="41">
        <v>9583.3333333333339</v>
      </c>
      <c r="Z2524" s="41">
        <v>9583.3333333333339</v>
      </c>
      <c r="AA2524" s="1217">
        <f t="shared" si="384"/>
        <v>114999.99999999999</v>
      </c>
      <c r="AB2524" s="1210"/>
      <c r="AC2524" s="1199"/>
      <c r="AD2524" s="1211"/>
    </row>
    <row r="2525" spans="1:30" x14ac:dyDescent="0.2">
      <c r="A2525" s="1422"/>
      <c r="B2525" s="2522"/>
      <c r="C2525" s="3191"/>
      <c r="D2525" s="2421"/>
      <c r="E2525" s="2421"/>
      <c r="F2525" s="2420"/>
      <c r="G2525" s="2420"/>
      <c r="H2525" s="2420"/>
      <c r="I2525" s="2420"/>
      <c r="J2525" s="2515"/>
      <c r="K2525" s="115">
        <v>70000</v>
      </c>
      <c r="L2525" s="115"/>
      <c r="M2525" s="3287" t="s">
        <v>295</v>
      </c>
      <c r="N2525" s="3288"/>
      <c r="O2525" s="41">
        <v>5833.333333333333</v>
      </c>
      <c r="P2525" s="41">
        <v>5833.333333333333</v>
      </c>
      <c r="Q2525" s="41">
        <v>5833.333333333333</v>
      </c>
      <c r="R2525" s="41">
        <v>5833.333333333333</v>
      </c>
      <c r="S2525" s="41">
        <v>5833.333333333333</v>
      </c>
      <c r="T2525" s="41">
        <v>5833.333333333333</v>
      </c>
      <c r="U2525" s="41">
        <v>5833.333333333333</v>
      </c>
      <c r="V2525" s="41">
        <v>5833.333333333333</v>
      </c>
      <c r="W2525" s="41">
        <v>5833.333333333333</v>
      </c>
      <c r="X2525" s="41">
        <v>5833.333333333333</v>
      </c>
      <c r="Y2525" s="41">
        <v>5833.333333333333</v>
      </c>
      <c r="Z2525" s="41">
        <v>5833.333333333333</v>
      </c>
      <c r="AA2525" s="1217">
        <f t="shared" si="384"/>
        <v>70000.000000000015</v>
      </c>
      <c r="AB2525" s="1210"/>
      <c r="AC2525" s="1199"/>
      <c r="AD2525" s="1211"/>
    </row>
    <row r="2526" spans="1:30" x14ac:dyDescent="0.2">
      <c r="A2526" s="1422"/>
      <c r="B2526" s="2522"/>
      <c r="C2526" s="3191"/>
      <c r="D2526" s="2421"/>
      <c r="E2526" s="2421"/>
      <c r="F2526" s="2420"/>
      <c r="G2526" s="2420"/>
      <c r="H2526" s="2420"/>
      <c r="I2526" s="2420"/>
      <c r="J2526" s="2515"/>
      <c r="K2526" s="115">
        <v>23000</v>
      </c>
      <c r="L2526" s="115"/>
      <c r="M2526" s="3287" t="s">
        <v>298</v>
      </c>
      <c r="N2526" s="3288"/>
      <c r="O2526" s="41"/>
      <c r="P2526" s="41"/>
      <c r="Q2526" s="41"/>
      <c r="R2526" s="41"/>
      <c r="S2526" s="41"/>
      <c r="T2526" s="41"/>
      <c r="U2526" s="41">
        <v>11500</v>
      </c>
      <c r="V2526" s="41"/>
      <c r="W2526" s="41"/>
      <c r="X2526" s="41"/>
      <c r="Y2526" s="41"/>
      <c r="Z2526" s="41">
        <v>11500</v>
      </c>
      <c r="AA2526" s="1217">
        <f t="shared" si="384"/>
        <v>23000</v>
      </c>
      <c r="AB2526" s="1210"/>
      <c r="AC2526" s="1199"/>
      <c r="AD2526" s="1211"/>
    </row>
    <row r="2527" spans="1:30" x14ac:dyDescent="0.2">
      <c r="A2527" s="1422"/>
      <c r="B2527" s="2522"/>
      <c r="C2527" s="3191"/>
      <c r="D2527" s="2421"/>
      <c r="E2527" s="2421"/>
      <c r="F2527" s="2420"/>
      <c r="G2527" s="2420"/>
      <c r="H2527" s="2420"/>
      <c r="I2527" s="2420"/>
      <c r="J2527" s="2515"/>
      <c r="K2527" s="115">
        <v>500</v>
      </c>
      <c r="L2527" s="115"/>
      <c r="M2527" s="3287" t="s">
        <v>303</v>
      </c>
      <c r="N2527" s="3288"/>
      <c r="O2527" s="41"/>
      <c r="P2527" s="41"/>
      <c r="Q2527" s="41">
        <v>500</v>
      </c>
      <c r="R2527" s="41"/>
      <c r="S2527" s="41"/>
      <c r="T2527" s="41"/>
      <c r="U2527" s="41"/>
      <c r="V2527" s="41"/>
      <c r="W2527" s="41"/>
      <c r="X2527" s="41"/>
      <c r="Y2527" s="41"/>
      <c r="Z2527" s="41"/>
      <c r="AA2527" s="1217">
        <f t="shared" si="384"/>
        <v>500</v>
      </c>
      <c r="AB2527" s="1210"/>
      <c r="AC2527" s="1199"/>
      <c r="AD2527" s="1211"/>
    </row>
    <row r="2528" spans="1:30" x14ac:dyDescent="0.2">
      <c r="A2528" s="1422"/>
      <c r="B2528" s="2522"/>
      <c r="C2528" s="3191"/>
      <c r="D2528" s="2421"/>
      <c r="E2528" s="2421"/>
      <c r="F2528" s="2420"/>
      <c r="G2528" s="2420"/>
      <c r="H2528" s="2420"/>
      <c r="I2528" s="2420"/>
      <c r="J2528" s="2515"/>
      <c r="K2528" s="115">
        <v>1000</v>
      </c>
      <c r="L2528" s="115"/>
      <c r="M2528" s="3287" t="s">
        <v>306</v>
      </c>
      <c r="N2528" s="3288"/>
      <c r="O2528" s="41"/>
      <c r="P2528" s="41">
        <v>1000</v>
      </c>
      <c r="Q2528" s="41"/>
      <c r="R2528" s="41"/>
      <c r="S2528" s="41"/>
      <c r="T2528" s="41"/>
      <c r="U2528" s="41"/>
      <c r="V2528" s="41"/>
      <c r="W2528" s="41"/>
      <c r="X2528" s="41"/>
      <c r="Y2528" s="41"/>
      <c r="Z2528" s="41"/>
      <c r="AA2528" s="1217">
        <f t="shared" si="384"/>
        <v>1000</v>
      </c>
      <c r="AB2528" s="1210"/>
      <c r="AC2528" s="1199"/>
      <c r="AD2528" s="1211"/>
    </row>
    <row r="2529" spans="1:30" x14ac:dyDescent="0.2">
      <c r="A2529" s="1422"/>
      <c r="B2529" s="2522"/>
      <c r="C2529" s="3191"/>
      <c r="D2529" s="2421"/>
      <c r="E2529" s="2421"/>
      <c r="F2529" s="2420"/>
      <c r="G2529" s="2420"/>
      <c r="H2529" s="2420"/>
      <c r="I2529" s="2420"/>
      <c r="J2529" s="2515"/>
      <c r="K2529" s="115">
        <v>1000</v>
      </c>
      <c r="L2529" s="115"/>
      <c r="M2529" s="3287" t="s">
        <v>307</v>
      </c>
      <c r="N2529" s="3288"/>
      <c r="O2529" s="41"/>
      <c r="P2529" s="41">
        <v>90.909090909090907</v>
      </c>
      <c r="Q2529" s="41">
        <v>90.909090909090907</v>
      </c>
      <c r="R2529" s="41">
        <v>90.909090909090907</v>
      </c>
      <c r="S2529" s="41">
        <v>90.909090909090907</v>
      </c>
      <c r="T2529" s="41">
        <v>90.909090909090907</v>
      </c>
      <c r="U2529" s="41">
        <v>90.909090909090907</v>
      </c>
      <c r="V2529" s="41">
        <v>90.909090909090907</v>
      </c>
      <c r="W2529" s="41">
        <v>90.909090909090907</v>
      </c>
      <c r="X2529" s="41">
        <v>90.909090909090907</v>
      </c>
      <c r="Y2529" s="41">
        <v>90.909090909090907</v>
      </c>
      <c r="Z2529" s="41">
        <v>90.909090909090907</v>
      </c>
      <c r="AA2529" s="1217">
        <f t="shared" si="384"/>
        <v>999.99999999999977</v>
      </c>
      <c r="AB2529" s="1210"/>
      <c r="AC2529" s="1199"/>
      <c r="AD2529" s="1211"/>
    </row>
    <row r="2530" spans="1:30" x14ac:dyDescent="0.2">
      <c r="A2530" s="1422"/>
      <c r="B2530" s="2522"/>
      <c r="C2530" s="3191"/>
      <c r="D2530" s="2421"/>
      <c r="E2530" s="2421"/>
      <c r="F2530" s="2420"/>
      <c r="G2530" s="2420"/>
      <c r="H2530" s="2420"/>
      <c r="I2530" s="2420"/>
      <c r="J2530" s="2515"/>
      <c r="K2530" s="115">
        <v>500</v>
      </c>
      <c r="L2530" s="115"/>
      <c r="M2530" s="3287" t="s">
        <v>355</v>
      </c>
      <c r="N2530" s="3288"/>
      <c r="O2530" s="41"/>
      <c r="P2530" s="41"/>
      <c r="Q2530" s="41">
        <v>500</v>
      </c>
      <c r="R2530" s="41"/>
      <c r="S2530" s="41"/>
      <c r="T2530" s="41"/>
      <c r="U2530" s="41"/>
      <c r="V2530" s="41"/>
      <c r="W2530" s="41"/>
      <c r="X2530" s="41"/>
      <c r="Y2530" s="41"/>
      <c r="Z2530" s="41"/>
      <c r="AA2530" s="1217">
        <f t="shared" si="384"/>
        <v>500</v>
      </c>
      <c r="AB2530" s="1210"/>
      <c r="AC2530" s="1199"/>
      <c r="AD2530" s="1211"/>
    </row>
    <row r="2531" spans="1:30" x14ac:dyDescent="0.2">
      <c r="A2531" s="1422"/>
      <c r="B2531" s="2522"/>
      <c r="C2531" s="3191"/>
      <c r="D2531" s="2421"/>
      <c r="E2531" s="2421"/>
      <c r="F2531" s="2420"/>
      <c r="G2531" s="2420"/>
      <c r="H2531" s="2420"/>
      <c r="I2531" s="2420"/>
      <c r="J2531" s="2515"/>
      <c r="K2531" s="115">
        <v>600</v>
      </c>
      <c r="L2531" s="115"/>
      <c r="M2531" s="3287" t="s">
        <v>308</v>
      </c>
      <c r="N2531" s="3288"/>
      <c r="O2531" s="41"/>
      <c r="P2531" s="41"/>
      <c r="Q2531" s="41">
        <v>600</v>
      </c>
      <c r="R2531" s="41"/>
      <c r="S2531" s="41"/>
      <c r="T2531" s="41"/>
      <c r="U2531" s="41"/>
      <c r="V2531" s="41"/>
      <c r="W2531" s="41"/>
      <c r="X2531" s="41"/>
      <c r="Y2531" s="41"/>
      <c r="Z2531" s="41"/>
      <c r="AA2531" s="1217">
        <f t="shared" si="384"/>
        <v>600</v>
      </c>
      <c r="AB2531" s="1210"/>
      <c r="AC2531" s="1199"/>
      <c r="AD2531" s="1211"/>
    </row>
    <row r="2532" spans="1:30" x14ac:dyDescent="0.2">
      <c r="A2532" s="1422"/>
      <c r="B2532" s="2522"/>
      <c r="C2532" s="2439"/>
      <c r="D2532" s="2421"/>
      <c r="E2532" s="2421"/>
      <c r="F2532" s="2420"/>
      <c r="G2532" s="2420"/>
      <c r="H2532" s="2420"/>
      <c r="I2532" s="2420"/>
      <c r="J2532" s="2516"/>
      <c r="K2532" s="115">
        <v>10000</v>
      </c>
      <c r="L2532" s="115"/>
      <c r="M2532" s="3287" t="s">
        <v>309</v>
      </c>
      <c r="N2532" s="3288"/>
      <c r="O2532" s="41"/>
      <c r="P2532" s="41"/>
      <c r="Q2532" s="41"/>
      <c r="R2532" s="41">
        <v>2000</v>
      </c>
      <c r="S2532" s="41"/>
      <c r="T2532" s="41">
        <v>2000</v>
      </c>
      <c r="U2532" s="41"/>
      <c r="V2532" s="41">
        <v>2000</v>
      </c>
      <c r="W2532" s="41"/>
      <c r="X2532" s="41">
        <v>2000</v>
      </c>
      <c r="Y2532" s="41"/>
      <c r="Z2532" s="41">
        <v>2000</v>
      </c>
      <c r="AA2532" s="1217">
        <f t="shared" si="384"/>
        <v>10000</v>
      </c>
      <c r="AB2532" s="1210"/>
      <c r="AC2532" s="1199"/>
      <c r="AD2532" s="1211"/>
    </row>
    <row r="2533" spans="1:30" x14ac:dyDescent="0.2">
      <c r="A2533" s="1422"/>
      <c r="B2533" s="1427" t="s">
        <v>312</v>
      </c>
      <c r="C2533" s="1273"/>
      <c r="D2533" s="38"/>
      <c r="E2533" s="38"/>
      <c r="F2533" s="38"/>
      <c r="G2533" s="38"/>
      <c r="H2533" s="38"/>
      <c r="I2533" s="38"/>
      <c r="J2533" s="38"/>
      <c r="K2533" s="38">
        <f>SUM(K2524:K2532)</f>
        <v>221600</v>
      </c>
      <c r="L2533" s="38"/>
      <c r="M2533" s="38"/>
      <c r="N2533" s="38"/>
      <c r="O2533" s="38"/>
      <c r="P2533" s="38"/>
      <c r="Q2533" s="38"/>
      <c r="R2533" s="38"/>
      <c r="S2533" s="38"/>
      <c r="T2533" s="38"/>
      <c r="U2533" s="38"/>
      <c r="V2533" s="38"/>
      <c r="W2533" s="38"/>
      <c r="X2533" s="38"/>
      <c r="Y2533" s="38"/>
      <c r="Z2533" s="38"/>
      <c r="AA2533" s="1234"/>
      <c r="AB2533" s="1210"/>
      <c r="AC2533" s="1199"/>
      <c r="AD2533" s="1211"/>
    </row>
    <row r="2534" spans="1:30" ht="22.5" x14ac:dyDescent="0.2">
      <c r="A2534" s="1422"/>
      <c r="B2534" s="1433" t="s">
        <v>276</v>
      </c>
      <c r="C2534" s="1121"/>
      <c r="D2534" s="1119">
        <v>3000361</v>
      </c>
      <c r="E2534" s="192" t="s">
        <v>769</v>
      </c>
      <c r="F2534" s="35"/>
      <c r="G2534" s="35"/>
      <c r="H2534" s="35"/>
      <c r="I2534" s="35"/>
      <c r="J2534" s="35"/>
      <c r="K2534" s="60"/>
      <c r="L2534" s="60"/>
      <c r="M2534" s="60"/>
      <c r="N2534" s="60"/>
      <c r="O2534" s="60"/>
      <c r="P2534" s="60"/>
      <c r="Q2534" s="60"/>
      <c r="R2534" s="3333" t="s">
        <v>15</v>
      </c>
      <c r="S2534" s="3333"/>
      <c r="T2534" s="3333"/>
      <c r="U2534" s="3333"/>
      <c r="V2534" s="3333"/>
      <c r="W2534" s="3333"/>
      <c r="X2534" s="3333"/>
      <c r="Y2534" s="3333"/>
      <c r="Z2534" s="3333"/>
      <c r="AA2534" s="1215" t="s">
        <v>16</v>
      </c>
      <c r="AB2534" s="1210"/>
      <c r="AC2534" s="1199"/>
      <c r="AD2534" s="1211"/>
    </row>
    <row r="2535" spans="1:30" x14ac:dyDescent="0.2">
      <c r="A2535" s="1422"/>
      <c r="B2535" s="1433"/>
      <c r="C2535" s="1121"/>
      <c r="D2535" s="1119"/>
      <c r="E2535" s="192"/>
      <c r="F2535" s="35"/>
      <c r="G2535" s="35"/>
      <c r="H2535" s="35"/>
      <c r="I2535" s="35"/>
      <c r="J2535" s="35"/>
      <c r="K2535" s="60"/>
      <c r="L2535" s="60"/>
      <c r="M2535" s="60"/>
      <c r="N2535" s="60"/>
      <c r="O2535" s="60"/>
      <c r="P2535" s="60"/>
      <c r="Q2535" s="60"/>
      <c r="R2535" s="3383" t="s">
        <v>770</v>
      </c>
      <c r="S2535" s="3383"/>
      <c r="T2535" s="3383"/>
      <c r="U2535" s="3383"/>
      <c r="V2535" s="3383"/>
      <c r="W2535" s="3383"/>
      <c r="X2535" s="3383"/>
      <c r="Y2535" s="3383"/>
      <c r="Z2535" s="3383"/>
      <c r="AA2535" s="1214" t="s">
        <v>376</v>
      </c>
      <c r="AB2535" s="1210"/>
      <c r="AC2535" s="1199"/>
      <c r="AD2535" s="1211"/>
    </row>
    <row r="2536" spans="1:30" x14ac:dyDescent="0.2">
      <c r="A2536" s="1422"/>
      <c r="B2536" s="2999" t="s">
        <v>278</v>
      </c>
      <c r="C2536" s="3015" t="s">
        <v>21</v>
      </c>
      <c r="D2536" s="2847" t="s">
        <v>22</v>
      </c>
      <c r="E2536" s="2847" t="s">
        <v>23</v>
      </c>
      <c r="F2536" s="2847" t="s">
        <v>24</v>
      </c>
      <c r="G2536" s="2847" t="s">
        <v>25</v>
      </c>
      <c r="H2536" s="2847" t="s">
        <v>26</v>
      </c>
      <c r="I2536" s="2847" t="s">
        <v>27</v>
      </c>
      <c r="J2536" s="1017" t="s">
        <v>28</v>
      </c>
      <c r="K2536" s="1017"/>
      <c r="L2536" s="2988" t="s">
        <v>279</v>
      </c>
      <c r="M2536" s="3273" t="s">
        <v>280</v>
      </c>
      <c r="N2536" s="3274"/>
      <c r="O2536" s="2847" t="s">
        <v>281</v>
      </c>
      <c r="P2536" s="2847"/>
      <c r="Q2536" s="2847"/>
      <c r="R2536" s="2847"/>
      <c r="S2536" s="2847"/>
      <c r="T2536" s="2847"/>
      <c r="U2536" s="2847"/>
      <c r="V2536" s="2847"/>
      <c r="W2536" s="2847"/>
      <c r="X2536" s="2847"/>
      <c r="Y2536" s="2847"/>
      <c r="Z2536" s="2847"/>
      <c r="AA2536" s="3358" t="s">
        <v>32</v>
      </c>
      <c r="AB2536" s="1210"/>
      <c r="AC2536" s="1199"/>
      <c r="AD2536" s="1211"/>
    </row>
    <row r="2537" spans="1:30" x14ac:dyDescent="0.2">
      <c r="A2537" s="1422"/>
      <c r="B2537" s="2999"/>
      <c r="C2537" s="3359"/>
      <c r="D2537" s="2847"/>
      <c r="E2537" s="2847"/>
      <c r="F2537" s="2847"/>
      <c r="G2537" s="2847"/>
      <c r="H2537" s="2847"/>
      <c r="I2537" s="2847"/>
      <c r="J2537" s="2988" t="s">
        <v>33</v>
      </c>
      <c r="K2537" s="2988" t="s">
        <v>282</v>
      </c>
      <c r="L2537" s="3186"/>
      <c r="M2537" s="3275"/>
      <c r="N2537" s="3276"/>
      <c r="O2537" s="1009" t="s">
        <v>283</v>
      </c>
      <c r="P2537" s="1009" t="s">
        <v>284</v>
      </c>
      <c r="Q2537" s="1009" t="s">
        <v>285</v>
      </c>
      <c r="R2537" s="1009" t="s">
        <v>88</v>
      </c>
      <c r="S2537" s="1009" t="s">
        <v>89</v>
      </c>
      <c r="T2537" s="1009" t="s">
        <v>90</v>
      </c>
      <c r="U2537" s="1009" t="s">
        <v>91</v>
      </c>
      <c r="V2537" s="1009" t="s">
        <v>92</v>
      </c>
      <c r="W2537" s="1009" t="s">
        <v>286</v>
      </c>
      <c r="X2537" s="1009" t="s">
        <v>93</v>
      </c>
      <c r="Y2537" s="1009" t="s">
        <v>94</v>
      </c>
      <c r="Z2537" s="1009" t="s">
        <v>95</v>
      </c>
      <c r="AA2537" s="3358"/>
      <c r="AB2537" s="1210"/>
      <c r="AC2537" s="1199"/>
      <c r="AD2537" s="1211"/>
    </row>
    <row r="2538" spans="1:30" x14ac:dyDescent="0.2">
      <c r="A2538" s="1422"/>
      <c r="B2538" s="2999"/>
      <c r="C2538" s="3359"/>
      <c r="D2538" s="2847"/>
      <c r="E2538" s="2847"/>
      <c r="F2538" s="2847"/>
      <c r="G2538" s="2847"/>
      <c r="H2538" s="2847"/>
      <c r="I2538" s="2847"/>
      <c r="J2538" s="3186"/>
      <c r="K2538" s="3186"/>
      <c r="L2538" s="3186"/>
      <c r="M2538" s="3271" t="s">
        <v>287</v>
      </c>
      <c r="N2538" s="3272"/>
      <c r="O2538" s="1114">
        <v>470</v>
      </c>
      <c r="P2538" s="1114">
        <v>450</v>
      </c>
      <c r="Q2538" s="1114">
        <v>470</v>
      </c>
      <c r="R2538" s="1114">
        <v>470</v>
      </c>
      <c r="S2538" s="1114">
        <v>470</v>
      </c>
      <c r="T2538" s="1114">
        <v>450</v>
      </c>
      <c r="U2538" s="1114">
        <v>470</v>
      </c>
      <c r="V2538" s="1114">
        <v>470</v>
      </c>
      <c r="W2538" s="1114">
        <v>470</v>
      </c>
      <c r="X2538" s="1114">
        <v>470</v>
      </c>
      <c r="Y2538" s="1114">
        <v>470</v>
      </c>
      <c r="Z2538" s="1114">
        <v>469</v>
      </c>
      <c r="AA2538" s="1216">
        <f t="shared" ref="AA2538:AA2548" si="386">SUM(O2538:Z2538)</f>
        <v>5599</v>
      </c>
      <c r="AB2538" s="1210"/>
      <c r="AC2538" s="1199"/>
      <c r="AD2538" s="1211"/>
    </row>
    <row r="2539" spans="1:30" x14ac:dyDescent="0.2">
      <c r="A2539" s="1422"/>
      <c r="B2539" s="2999"/>
      <c r="C2539" s="3016"/>
      <c r="D2539" s="2847"/>
      <c r="E2539" s="2847"/>
      <c r="F2539" s="2847"/>
      <c r="G2539" s="2847"/>
      <c r="H2539" s="2847"/>
      <c r="I2539" s="2847"/>
      <c r="J2539" s="2989"/>
      <c r="K2539" s="2989"/>
      <c r="L2539" s="2989"/>
      <c r="M2539" s="3271" t="s">
        <v>34</v>
      </c>
      <c r="N2539" s="3272"/>
      <c r="O2539" s="120">
        <f>SUM(O2540:O2548)</f>
        <v>6654.833333333333</v>
      </c>
      <c r="P2539" s="120">
        <f t="shared" ref="P2539:Z2539" si="387">SUM(P2540:P2548)</f>
        <v>8391.19696969697</v>
      </c>
      <c r="Q2539" s="120">
        <f t="shared" si="387"/>
        <v>14181.396969696969</v>
      </c>
      <c r="R2539" s="120">
        <f t="shared" si="387"/>
        <v>9891.1969696969682</v>
      </c>
      <c r="S2539" s="120">
        <f t="shared" si="387"/>
        <v>10691.396969696969</v>
      </c>
      <c r="T2539" s="120">
        <f t="shared" si="387"/>
        <v>8391.19696969697</v>
      </c>
      <c r="U2539" s="120">
        <f t="shared" si="387"/>
        <v>11991.396969696969</v>
      </c>
      <c r="V2539" s="120">
        <f t="shared" si="387"/>
        <v>9581.1969696969682</v>
      </c>
      <c r="W2539" s="120">
        <f t="shared" si="387"/>
        <v>10691.396969696969</v>
      </c>
      <c r="X2539" s="120">
        <f t="shared" si="387"/>
        <v>8391.19696969697</v>
      </c>
      <c r="Y2539" s="120">
        <f t="shared" si="387"/>
        <v>10691.396969696969</v>
      </c>
      <c r="Z2539" s="120">
        <f t="shared" si="387"/>
        <v>8391.19696969697</v>
      </c>
      <c r="AA2539" s="1216">
        <f t="shared" si="386"/>
        <v>117939</v>
      </c>
      <c r="AB2539" s="1210"/>
      <c r="AC2539" s="1199"/>
      <c r="AD2539" s="1211"/>
    </row>
    <row r="2540" spans="1:30" x14ac:dyDescent="0.2">
      <c r="A2540" s="1422"/>
      <c r="B2540" s="2522">
        <v>5003061</v>
      </c>
      <c r="C2540" s="3190" t="s">
        <v>771</v>
      </c>
      <c r="D2540" s="2421">
        <v>83</v>
      </c>
      <c r="E2540" s="2421" t="s">
        <v>288</v>
      </c>
      <c r="F2540" s="2420" t="s">
        <v>313</v>
      </c>
      <c r="G2540" s="2420" t="s">
        <v>329</v>
      </c>
      <c r="H2540" s="2420" t="s">
        <v>772</v>
      </c>
      <c r="I2540" s="2420" t="s">
        <v>379</v>
      </c>
      <c r="J2540" s="2514">
        <v>5599</v>
      </c>
      <c r="K2540" s="115">
        <v>2380</v>
      </c>
      <c r="L2540" s="115"/>
      <c r="M2540" s="3287" t="s">
        <v>340</v>
      </c>
      <c r="N2540" s="3288"/>
      <c r="O2540" s="41"/>
      <c r="P2540" s="41"/>
      <c r="Q2540" s="41">
        <v>1190</v>
      </c>
      <c r="R2540" s="41"/>
      <c r="S2540" s="41"/>
      <c r="T2540" s="41"/>
      <c r="U2540" s="41"/>
      <c r="V2540" s="41">
        <v>1190</v>
      </c>
      <c r="W2540" s="41"/>
      <c r="X2540" s="41"/>
      <c r="Y2540" s="41"/>
      <c r="Z2540" s="41"/>
      <c r="AA2540" s="1217">
        <f t="shared" si="386"/>
        <v>2380</v>
      </c>
      <c r="AB2540" s="1210"/>
      <c r="AC2540" s="1199"/>
      <c r="AD2540" s="1211"/>
    </row>
    <row r="2541" spans="1:30" x14ac:dyDescent="0.2">
      <c r="A2541" s="1422"/>
      <c r="B2541" s="2522"/>
      <c r="C2541" s="3191"/>
      <c r="D2541" s="2421"/>
      <c r="E2541" s="2421"/>
      <c r="F2541" s="2420"/>
      <c r="G2541" s="2420"/>
      <c r="H2541" s="2420"/>
      <c r="I2541" s="2420"/>
      <c r="J2541" s="2515"/>
      <c r="K2541" s="115">
        <v>1500</v>
      </c>
      <c r="L2541" s="115"/>
      <c r="M2541" s="3287" t="s">
        <v>303</v>
      </c>
      <c r="N2541" s="3288"/>
      <c r="O2541" s="41"/>
      <c r="P2541" s="41"/>
      <c r="Q2541" s="41"/>
      <c r="R2541" s="41">
        <v>1500</v>
      </c>
      <c r="S2541" s="41"/>
      <c r="T2541" s="41"/>
      <c r="U2541" s="41"/>
      <c r="V2541" s="41"/>
      <c r="W2541" s="41"/>
      <c r="X2541" s="41"/>
      <c r="Y2541" s="41"/>
      <c r="Z2541" s="41"/>
      <c r="AA2541" s="1217">
        <f t="shared" si="386"/>
        <v>1500</v>
      </c>
      <c r="AB2541" s="1210"/>
      <c r="AC2541" s="1199"/>
      <c r="AD2541" s="1211"/>
    </row>
    <row r="2542" spans="1:30" x14ac:dyDescent="0.2">
      <c r="A2542" s="1422"/>
      <c r="B2542" s="2522"/>
      <c r="C2542" s="3191"/>
      <c r="D2542" s="2421"/>
      <c r="E2542" s="2421"/>
      <c r="F2542" s="2420"/>
      <c r="G2542" s="2420"/>
      <c r="H2542" s="2420"/>
      <c r="I2542" s="2420"/>
      <c r="J2542" s="2515"/>
      <c r="K2542" s="115">
        <v>2600</v>
      </c>
      <c r="L2542" s="115"/>
      <c r="M2542" s="3287" t="s">
        <v>304</v>
      </c>
      <c r="N2542" s="3288"/>
      <c r="O2542" s="41"/>
      <c r="P2542" s="41"/>
      <c r="Q2542" s="41">
        <v>1300</v>
      </c>
      <c r="R2542" s="41"/>
      <c r="S2542" s="41"/>
      <c r="T2542" s="41"/>
      <c r="U2542" s="41">
        <v>1300</v>
      </c>
      <c r="V2542" s="41"/>
      <c r="W2542" s="41"/>
      <c r="X2542" s="41"/>
      <c r="Y2542" s="41"/>
      <c r="Z2542" s="41"/>
      <c r="AA2542" s="1217">
        <f t="shared" si="386"/>
        <v>2600</v>
      </c>
      <c r="AB2542" s="1210"/>
      <c r="AC2542" s="1199"/>
      <c r="AD2542" s="1211"/>
    </row>
    <row r="2543" spans="1:30" x14ac:dyDescent="0.2">
      <c r="A2543" s="1422"/>
      <c r="B2543" s="2522"/>
      <c r="C2543" s="3191"/>
      <c r="D2543" s="2421"/>
      <c r="E2543" s="2421"/>
      <c r="F2543" s="2420"/>
      <c r="G2543" s="2420"/>
      <c r="H2543" s="2420"/>
      <c r="I2543" s="2420"/>
      <c r="J2543" s="2515"/>
      <c r="K2543" s="115">
        <v>2500</v>
      </c>
      <c r="L2543" s="115"/>
      <c r="M2543" s="3287" t="s">
        <v>306</v>
      </c>
      <c r="N2543" s="3288"/>
      <c r="O2543" s="41"/>
      <c r="P2543" s="41">
        <v>227.27272727272728</v>
      </c>
      <c r="Q2543" s="41">
        <v>227.27272727272728</v>
      </c>
      <c r="R2543" s="41">
        <v>227.27272727272728</v>
      </c>
      <c r="S2543" s="41">
        <v>227.27272727272728</v>
      </c>
      <c r="T2543" s="41">
        <v>227.27272727272728</v>
      </c>
      <c r="U2543" s="41">
        <v>227.27272727272728</v>
      </c>
      <c r="V2543" s="41">
        <v>227.27272727272728</v>
      </c>
      <c r="W2543" s="41">
        <v>227.27272727272728</v>
      </c>
      <c r="X2543" s="41">
        <v>227.27272727272728</v>
      </c>
      <c r="Y2543" s="41">
        <v>227.27272727272728</v>
      </c>
      <c r="Z2543" s="41">
        <v>227.27272727272728</v>
      </c>
      <c r="AA2543" s="1217">
        <f t="shared" si="386"/>
        <v>2500.0000000000005</v>
      </c>
      <c r="AB2543" s="1210"/>
      <c r="AC2543" s="1199"/>
      <c r="AD2543" s="1211"/>
    </row>
    <row r="2544" spans="1:30" x14ac:dyDescent="0.2">
      <c r="A2544" s="1422"/>
      <c r="B2544" s="2522"/>
      <c r="C2544" s="3191"/>
      <c r="D2544" s="2421"/>
      <c r="E2544" s="2421"/>
      <c r="F2544" s="2420"/>
      <c r="G2544" s="2420"/>
      <c r="H2544" s="2420"/>
      <c r="I2544" s="2420"/>
      <c r="J2544" s="2515"/>
      <c r="K2544" s="115">
        <v>16600</v>
      </c>
      <c r="L2544" s="115"/>
      <c r="M2544" s="3287" t="s">
        <v>307</v>
      </c>
      <c r="N2544" s="3288"/>
      <c r="O2544" s="41"/>
      <c r="P2544" s="41">
        <v>1509.090909090909</v>
      </c>
      <c r="Q2544" s="41">
        <v>1509.090909090909</v>
      </c>
      <c r="R2544" s="41">
        <v>1509.090909090909</v>
      </c>
      <c r="S2544" s="41">
        <v>1509.090909090909</v>
      </c>
      <c r="T2544" s="41">
        <v>1509.090909090909</v>
      </c>
      <c r="U2544" s="41">
        <v>1509.090909090909</v>
      </c>
      <c r="V2544" s="41">
        <v>1509.090909090909</v>
      </c>
      <c r="W2544" s="41">
        <v>1509.090909090909</v>
      </c>
      <c r="X2544" s="41">
        <v>1509.090909090909</v>
      </c>
      <c r="Y2544" s="41">
        <v>1509.090909090909</v>
      </c>
      <c r="Z2544" s="41">
        <v>1509.090909090909</v>
      </c>
      <c r="AA2544" s="1217">
        <f t="shared" si="386"/>
        <v>16599.999999999996</v>
      </c>
      <c r="AB2544" s="1210"/>
      <c r="AC2544" s="1199"/>
      <c r="AD2544" s="1211"/>
    </row>
    <row r="2545" spans="1:30" x14ac:dyDescent="0.2">
      <c r="A2545" s="1422"/>
      <c r="B2545" s="2522"/>
      <c r="C2545" s="3191"/>
      <c r="D2545" s="2421"/>
      <c r="E2545" s="2421"/>
      <c r="F2545" s="2420"/>
      <c r="G2545" s="2420"/>
      <c r="H2545" s="2420"/>
      <c r="I2545" s="2420"/>
      <c r="J2545" s="2515"/>
      <c r="K2545" s="115">
        <v>500</v>
      </c>
      <c r="L2545" s="115"/>
      <c r="M2545" s="3287" t="s">
        <v>355</v>
      </c>
      <c r="N2545" s="3288"/>
      <c r="O2545" s="41"/>
      <c r="P2545" s="41"/>
      <c r="Q2545" s="41">
        <v>500</v>
      </c>
      <c r="R2545" s="41"/>
      <c r="S2545" s="41"/>
      <c r="T2545" s="41"/>
      <c r="U2545" s="41"/>
      <c r="V2545" s="41"/>
      <c r="W2545" s="41"/>
      <c r="X2545" s="41"/>
      <c r="Y2545" s="41"/>
      <c r="Z2545" s="41"/>
      <c r="AA2545" s="1217">
        <f t="shared" si="386"/>
        <v>500</v>
      </c>
      <c r="AB2545" s="1210"/>
      <c r="AC2545" s="1199"/>
      <c r="AD2545" s="1211"/>
    </row>
    <row r="2546" spans="1:30" x14ac:dyDescent="0.2">
      <c r="A2546" s="1422"/>
      <c r="B2546" s="2522"/>
      <c r="C2546" s="3191"/>
      <c r="D2546" s="2421"/>
      <c r="E2546" s="2421"/>
      <c r="F2546" s="2420"/>
      <c r="G2546" s="2420"/>
      <c r="H2546" s="2420"/>
      <c r="I2546" s="2420"/>
      <c r="J2546" s="2515"/>
      <c r="K2546" s="115">
        <v>500</v>
      </c>
      <c r="L2546" s="115"/>
      <c r="M2546" s="3287" t="s">
        <v>308</v>
      </c>
      <c r="N2546" s="3288"/>
      <c r="O2546" s="41"/>
      <c r="P2546" s="41"/>
      <c r="Q2546" s="41">
        <v>500</v>
      </c>
      <c r="R2546" s="41"/>
      <c r="S2546" s="41"/>
      <c r="T2546" s="41"/>
      <c r="U2546" s="41"/>
      <c r="V2546" s="41"/>
      <c r="W2546" s="41"/>
      <c r="X2546" s="41"/>
      <c r="Y2546" s="41"/>
      <c r="Z2546" s="41"/>
      <c r="AA2546" s="1217">
        <f t="shared" si="386"/>
        <v>500</v>
      </c>
      <c r="AB2546" s="1210"/>
      <c r="AC2546" s="1199"/>
      <c r="AD2546" s="1211"/>
    </row>
    <row r="2547" spans="1:30" x14ac:dyDescent="0.2">
      <c r="A2547" s="1422"/>
      <c r="B2547" s="2522"/>
      <c r="C2547" s="3191"/>
      <c r="D2547" s="2421"/>
      <c r="E2547" s="2421"/>
      <c r="F2547" s="2420"/>
      <c r="G2547" s="2420"/>
      <c r="H2547" s="2420"/>
      <c r="I2547" s="2420"/>
      <c r="J2547" s="2515"/>
      <c r="K2547" s="115">
        <v>11501</v>
      </c>
      <c r="L2547" s="115"/>
      <c r="M2547" s="3287" t="s">
        <v>309</v>
      </c>
      <c r="N2547" s="3288"/>
      <c r="O2547" s="41"/>
      <c r="P2547" s="41"/>
      <c r="Q2547" s="41">
        <v>2300.1999999999998</v>
      </c>
      <c r="R2547" s="41"/>
      <c r="S2547" s="41">
        <v>2300.1999999999998</v>
      </c>
      <c r="T2547" s="41"/>
      <c r="U2547" s="41">
        <v>2300.1999999999998</v>
      </c>
      <c r="V2547" s="41"/>
      <c r="W2547" s="41">
        <v>2300.1999999999998</v>
      </c>
      <c r="X2547" s="41"/>
      <c r="Y2547" s="41">
        <v>2300.1999999999998</v>
      </c>
      <c r="Z2547" s="41"/>
      <c r="AA2547" s="1217">
        <f t="shared" si="386"/>
        <v>11501</v>
      </c>
      <c r="AB2547" s="1210"/>
      <c r="AC2547" s="1199"/>
      <c r="AD2547" s="1211"/>
    </row>
    <row r="2548" spans="1:30" x14ac:dyDescent="0.2">
      <c r="A2548" s="1422"/>
      <c r="B2548" s="2522"/>
      <c r="C2548" s="2439"/>
      <c r="D2548" s="2421"/>
      <c r="E2548" s="2421"/>
      <c r="F2548" s="2420"/>
      <c r="G2548" s="2420"/>
      <c r="H2548" s="2420"/>
      <c r="I2548" s="2420"/>
      <c r="J2548" s="2516"/>
      <c r="K2548" s="115">
        <v>79858</v>
      </c>
      <c r="L2548" s="115"/>
      <c r="M2548" s="3287" t="s">
        <v>397</v>
      </c>
      <c r="N2548" s="3288"/>
      <c r="O2548" s="41">
        <v>6654.833333333333</v>
      </c>
      <c r="P2548" s="41">
        <v>6654.833333333333</v>
      </c>
      <c r="Q2548" s="41">
        <v>6654.833333333333</v>
      </c>
      <c r="R2548" s="41">
        <v>6654.833333333333</v>
      </c>
      <c r="S2548" s="41">
        <v>6654.833333333333</v>
      </c>
      <c r="T2548" s="41">
        <v>6654.833333333333</v>
      </c>
      <c r="U2548" s="41">
        <v>6654.833333333333</v>
      </c>
      <c r="V2548" s="41">
        <v>6654.833333333333</v>
      </c>
      <c r="W2548" s="41">
        <v>6654.833333333333</v>
      </c>
      <c r="X2548" s="41">
        <v>6654.833333333333</v>
      </c>
      <c r="Y2548" s="41">
        <v>6654.833333333333</v>
      </c>
      <c r="Z2548" s="41">
        <v>6654.833333333333</v>
      </c>
      <c r="AA2548" s="1217">
        <f t="shared" si="386"/>
        <v>79858</v>
      </c>
      <c r="AB2548" s="1210"/>
      <c r="AC2548" s="1199"/>
      <c r="AD2548" s="1211"/>
    </row>
    <row r="2549" spans="1:30" x14ac:dyDescent="0.2">
      <c r="A2549" s="1422"/>
      <c r="B2549" s="1427" t="s">
        <v>312</v>
      </c>
      <c r="C2549" s="1273"/>
      <c r="D2549" s="38"/>
      <c r="E2549" s="38"/>
      <c r="F2549" s="38"/>
      <c r="G2549" s="38"/>
      <c r="H2549" s="38"/>
      <c r="I2549" s="38"/>
      <c r="J2549" s="38"/>
      <c r="K2549" s="38">
        <f>SUM(K2540:K2548)</f>
        <v>117939</v>
      </c>
      <c r="L2549" s="38"/>
      <c r="M2549" s="38"/>
      <c r="N2549" s="38"/>
      <c r="O2549" s="38"/>
      <c r="P2549" s="38"/>
      <c r="Q2549" s="38"/>
      <c r="R2549" s="38"/>
      <c r="S2549" s="38"/>
      <c r="T2549" s="38"/>
      <c r="U2549" s="38"/>
      <c r="V2549" s="38"/>
      <c r="W2549" s="38"/>
      <c r="X2549" s="38"/>
      <c r="Y2549" s="38"/>
      <c r="Z2549" s="38"/>
      <c r="AA2549" s="1234"/>
      <c r="AB2549" s="1210"/>
      <c r="AC2549" s="1199"/>
      <c r="AD2549" s="1211"/>
    </row>
    <row r="2550" spans="1:30" ht="22.5" x14ac:dyDescent="0.2">
      <c r="A2550" s="1422"/>
      <c r="B2550" s="1433" t="s">
        <v>276</v>
      </c>
      <c r="C2550" s="1121"/>
      <c r="D2550" s="1119">
        <v>3000362</v>
      </c>
      <c r="E2550" s="192" t="s">
        <v>773</v>
      </c>
      <c r="F2550" s="35"/>
      <c r="G2550" s="35"/>
      <c r="H2550" s="35"/>
      <c r="I2550" s="35"/>
      <c r="J2550" s="35"/>
      <c r="K2550" s="60"/>
      <c r="L2550" s="60"/>
      <c r="M2550" s="60"/>
      <c r="N2550" s="60"/>
      <c r="O2550" s="60"/>
      <c r="P2550" s="60"/>
      <c r="Q2550" s="60"/>
      <c r="R2550" s="3333" t="s">
        <v>15</v>
      </c>
      <c r="S2550" s="3333"/>
      <c r="T2550" s="3333"/>
      <c r="U2550" s="3333"/>
      <c r="V2550" s="3333"/>
      <c r="W2550" s="3333"/>
      <c r="X2550" s="3333"/>
      <c r="Y2550" s="3333"/>
      <c r="Z2550" s="3333"/>
      <c r="AA2550" s="1215" t="s">
        <v>16</v>
      </c>
      <c r="AB2550" s="1210"/>
      <c r="AC2550" s="1199"/>
      <c r="AD2550" s="1211"/>
    </row>
    <row r="2551" spans="1:30" x14ac:dyDescent="0.2">
      <c r="A2551" s="1422"/>
      <c r="B2551" s="1433"/>
      <c r="C2551" s="1121"/>
      <c r="D2551" s="1119"/>
      <c r="E2551" s="192"/>
      <c r="F2551" s="35"/>
      <c r="G2551" s="35"/>
      <c r="H2551" s="35"/>
      <c r="I2551" s="35"/>
      <c r="J2551" s="35"/>
      <c r="K2551" s="60"/>
      <c r="L2551" s="60"/>
      <c r="M2551" s="60"/>
      <c r="N2551" s="60"/>
      <c r="O2551" s="60"/>
      <c r="P2551" s="60"/>
      <c r="Q2551" s="60"/>
      <c r="R2551" s="3383" t="s">
        <v>774</v>
      </c>
      <c r="S2551" s="3383"/>
      <c r="T2551" s="3383"/>
      <c r="U2551" s="3383"/>
      <c r="V2551" s="3383"/>
      <c r="W2551" s="3383"/>
      <c r="X2551" s="3383"/>
      <c r="Y2551" s="3383"/>
      <c r="Z2551" s="3383"/>
      <c r="AA2551" s="1214" t="s">
        <v>361</v>
      </c>
      <c r="AB2551" s="1210"/>
      <c r="AC2551" s="1199"/>
      <c r="AD2551" s="1211"/>
    </row>
    <row r="2552" spans="1:30" x14ac:dyDescent="0.2">
      <c r="A2552" s="1422"/>
      <c r="B2552" s="2999" t="s">
        <v>278</v>
      </c>
      <c r="C2552" s="3015" t="s">
        <v>21</v>
      </c>
      <c r="D2552" s="2847" t="s">
        <v>22</v>
      </c>
      <c r="E2552" s="2847" t="s">
        <v>23</v>
      </c>
      <c r="F2552" s="2847" t="s">
        <v>24</v>
      </c>
      <c r="G2552" s="2847" t="s">
        <v>25</v>
      </c>
      <c r="H2552" s="2847" t="s">
        <v>26</v>
      </c>
      <c r="I2552" s="2847" t="s">
        <v>27</v>
      </c>
      <c r="J2552" s="3206" t="s">
        <v>28</v>
      </c>
      <c r="K2552" s="3301"/>
      <c r="L2552" s="2988" t="s">
        <v>279</v>
      </c>
      <c r="M2552" s="3273" t="s">
        <v>280</v>
      </c>
      <c r="N2552" s="3274"/>
      <c r="O2552" s="2847" t="s">
        <v>281</v>
      </c>
      <c r="P2552" s="2847"/>
      <c r="Q2552" s="2847"/>
      <c r="R2552" s="2847"/>
      <c r="S2552" s="2847"/>
      <c r="T2552" s="2847"/>
      <c r="U2552" s="2847"/>
      <c r="V2552" s="2847"/>
      <c r="W2552" s="2847"/>
      <c r="X2552" s="2847"/>
      <c r="Y2552" s="2847"/>
      <c r="Z2552" s="2847"/>
      <c r="AA2552" s="3358" t="s">
        <v>32</v>
      </c>
      <c r="AB2552" s="1210"/>
      <c r="AC2552" s="1199"/>
      <c r="AD2552" s="1211"/>
    </row>
    <row r="2553" spans="1:30" x14ac:dyDescent="0.2">
      <c r="A2553" s="1422"/>
      <c r="B2553" s="2999"/>
      <c r="C2553" s="3359"/>
      <c r="D2553" s="2847"/>
      <c r="E2553" s="2847"/>
      <c r="F2553" s="2847"/>
      <c r="G2553" s="2847"/>
      <c r="H2553" s="2847"/>
      <c r="I2553" s="2847"/>
      <c r="J2553" s="2988" t="s">
        <v>33</v>
      </c>
      <c r="K2553" s="2988" t="s">
        <v>282</v>
      </c>
      <c r="L2553" s="3186"/>
      <c r="M2553" s="3275"/>
      <c r="N2553" s="3276"/>
      <c r="O2553" s="1009" t="s">
        <v>283</v>
      </c>
      <c r="P2553" s="1009" t="s">
        <v>284</v>
      </c>
      <c r="Q2553" s="1009" t="s">
        <v>285</v>
      </c>
      <c r="R2553" s="1009" t="s">
        <v>88</v>
      </c>
      <c r="S2553" s="1009" t="s">
        <v>89</v>
      </c>
      <c r="T2553" s="1009" t="s">
        <v>90</v>
      </c>
      <c r="U2553" s="1009" t="s">
        <v>91</v>
      </c>
      <c r="V2553" s="1009" t="s">
        <v>92</v>
      </c>
      <c r="W2553" s="1009" t="s">
        <v>286</v>
      </c>
      <c r="X2553" s="1009" t="s">
        <v>93</v>
      </c>
      <c r="Y2553" s="1009" t="s">
        <v>94</v>
      </c>
      <c r="Z2553" s="1009" t="s">
        <v>95</v>
      </c>
      <c r="AA2553" s="3358"/>
      <c r="AB2553" s="1210"/>
      <c r="AC2553" s="1199"/>
      <c r="AD2553" s="1211"/>
    </row>
    <row r="2554" spans="1:30" x14ac:dyDescent="0.2">
      <c r="A2554" s="1422"/>
      <c r="B2554" s="2999"/>
      <c r="C2554" s="3359"/>
      <c r="D2554" s="2847"/>
      <c r="E2554" s="2847"/>
      <c r="F2554" s="2847"/>
      <c r="G2554" s="2847"/>
      <c r="H2554" s="2847"/>
      <c r="I2554" s="2847"/>
      <c r="J2554" s="3186"/>
      <c r="K2554" s="3186"/>
      <c r="L2554" s="3186"/>
      <c r="M2554" s="3271" t="s">
        <v>287</v>
      </c>
      <c r="N2554" s="3272"/>
      <c r="O2554" s="1095">
        <v>2</v>
      </c>
      <c r="P2554" s="1095">
        <v>2</v>
      </c>
      <c r="Q2554" s="1095">
        <v>3</v>
      </c>
      <c r="R2554" s="1095">
        <v>3</v>
      </c>
      <c r="S2554" s="1095">
        <v>3</v>
      </c>
      <c r="T2554" s="1095">
        <v>2</v>
      </c>
      <c r="U2554" s="1095">
        <v>2</v>
      </c>
      <c r="V2554" s="1095">
        <v>3</v>
      </c>
      <c r="W2554" s="1095">
        <v>3</v>
      </c>
      <c r="X2554" s="1095">
        <v>2</v>
      </c>
      <c r="Y2554" s="1095">
        <v>2</v>
      </c>
      <c r="Z2554" s="1095">
        <v>3</v>
      </c>
      <c r="AA2554" s="1216">
        <f t="shared" ref="AA2554:AA2566" si="388">SUM(O2554:Z2554)</f>
        <v>30</v>
      </c>
      <c r="AB2554" s="1210"/>
      <c r="AC2554" s="1199"/>
      <c r="AD2554" s="1211"/>
    </row>
    <row r="2555" spans="1:30" x14ac:dyDescent="0.2">
      <c r="A2555" s="1422"/>
      <c r="B2555" s="2999"/>
      <c r="C2555" s="3016"/>
      <c r="D2555" s="2847"/>
      <c r="E2555" s="2847"/>
      <c r="F2555" s="2847"/>
      <c r="G2555" s="2847"/>
      <c r="H2555" s="2847"/>
      <c r="I2555" s="2847"/>
      <c r="J2555" s="2989"/>
      <c r="K2555" s="2989"/>
      <c r="L2555" s="2989"/>
      <c r="M2555" s="3271" t="s">
        <v>34</v>
      </c>
      <c r="N2555" s="3272"/>
      <c r="O2555" s="120">
        <f>SUM(O2556:O2566)</f>
        <v>11666.666666666668</v>
      </c>
      <c r="P2555" s="120">
        <f t="shared" ref="P2555:Z2555" si="389">SUM(P2556:P2566)</f>
        <v>12694.848484848486</v>
      </c>
      <c r="Q2555" s="120">
        <f t="shared" si="389"/>
        <v>14044.848484848486</v>
      </c>
      <c r="R2555" s="120">
        <f t="shared" si="389"/>
        <v>15844.848484848486</v>
      </c>
      <c r="S2555" s="120">
        <f t="shared" si="389"/>
        <v>12344.848484848486</v>
      </c>
      <c r="T2555" s="120">
        <f t="shared" si="389"/>
        <v>14244.848484848486</v>
      </c>
      <c r="U2555" s="120">
        <f t="shared" si="389"/>
        <v>12344.848484848486</v>
      </c>
      <c r="V2555" s="120">
        <f t="shared" si="389"/>
        <v>14594.848484848486</v>
      </c>
      <c r="W2555" s="120">
        <f t="shared" si="389"/>
        <v>12344.848484848486</v>
      </c>
      <c r="X2555" s="120">
        <f t="shared" si="389"/>
        <v>14244.848484848486</v>
      </c>
      <c r="Y2555" s="120">
        <f t="shared" si="389"/>
        <v>12344.848484848486</v>
      </c>
      <c r="Z2555" s="120">
        <f t="shared" si="389"/>
        <v>14244.848484848486</v>
      </c>
      <c r="AA2555" s="1216">
        <f t="shared" si="388"/>
        <v>160959.99999999997</v>
      </c>
      <c r="AB2555" s="1210"/>
      <c r="AC2555" s="1199"/>
      <c r="AD2555" s="1211"/>
    </row>
    <row r="2556" spans="1:30" x14ac:dyDescent="0.2">
      <c r="A2556" s="1422"/>
      <c r="B2556" s="2522">
        <v>5003062</v>
      </c>
      <c r="C2556" s="3190" t="s">
        <v>775</v>
      </c>
      <c r="D2556" s="2421">
        <v>84</v>
      </c>
      <c r="E2556" s="2421" t="s">
        <v>288</v>
      </c>
      <c r="F2556" s="2420" t="s">
        <v>313</v>
      </c>
      <c r="G2556" s="2420" t="s">
        <v>329</v>
      </c>
      <c r="H2556" s="2420" t="s">
        <v>776</v>
      </c>
      <c r="I2556" s="2420" t="s">
        <v>363</v>
      </c>
      <c r="J2556" s="2514">
        <v>30</v>
      </c>
      <c r="K2556" s="115">
        <v>48000</v>
      </c>
      <c r="L2556" s="115"/>
      <c r="M2556" s="3287" t="s">
        <v>293</v>
      </c>
      <c r="N2556" s="3288"/>
      <c r="O2556" s="41">
        <v>4000</v>
      </c>
      <c r="P2556" s="41">
        <v>4000</v>
      </c>
      <c r="Q2556" s="41">
        <v>4000</v>
      </c>
      <c r="R2556" s="41">
        <v>4000</v>
      </c>
      <c r="S2556" s="41">
        <v>4000</v>
      </c>
      <c r="T2556" s="41">
        <v>4000</v>
      </c>
      <c r="U2556" s="41">
        <v>4000</v>
      </c>
      <c r="V2556" s="41">
        <v>4000</v>
      </c>
      <c r="W2556" s="41">
        <v>4000</v>
      </c>
      <c r="X2556" s="41">
        <v>4000</v>
      </c>
      <c r="Y2556" s="41">
        <v>4000</v>
      </c>
      <c r="Z2556" s="41">
        <v>4000</v>
      </c>
      <c r="AA2556" s="1217">
        <f t="shared" si="388"/>
        <v>48000</v>
      </c>
      <c r="AB2556" s="1210"/>
      <c r="AC2556" s="1199"/>
      <c r="AD2556" s="1211"/>
    </row>
    <row r="2557" spans="1:30" x14ac:dyDescent="0.2">
      <c r="A2557" s="1422"/>
      <c r="B2557" s="2522"/>
      <c r="C2557" s="3191"/>
      <c r="D2557" s="2421"/>
      <c r="E2557" s="2421"/>
      <c r="F2557" s="2420"/>
      <c r="G2557" s="2420"/>
      <c r="H2557" s="2420"/>
      <c r="I2557" s="2420"/>
      <c r="J2557" s="2515"/>
      <c r="K2557" s="115">
        <v>92000</v>
      </c>
      <c r="L2557" s="115"/>
      <c r="M2557" s="3287" t="s">
        <v>295</v>
      </c>
      <c r="N2557" s="3288"/>
      <c r="O2557" s="41">
        <v>7666.666666666667</v>
      </c>
      <c r="P2557" s="41">
        <v>7666.666666666667</v>
      </c>
      <c r="Q2557" s="41">
        <v>7666.666666666667</v>
      </c>
      <c r="R2557" s="41">
        <v>7666.666666666667</v>
      </c>
      <c r="S2557" s="41">
        <v>7666.666666666667</v>
      </c>
      <c r="T2557" s="41">
        <v>7666.666666666667</v>
      </c>
      <c r="U2557" s="41">
        <v>7666.666666666667</v>
      </c>
      <c r="V2557" s="41">
        <v>7666.666666666667</v>
      </c>
      <c r="W2557" s="41">
        <v>7666.666666666667</v>
      </c>
      <c r="X2557" s="41">
        <v>7666.666666666667</v>
      </c>
      <c r="Y2557" s="41">
        <v>7666.666666666667</v>
      </c>
      <c r="Z2557" s="41">
        <v>7666.666666666667</v>
      </c>
      <c r="AA2557" s="1217">
        <f t="shared" si="388"/>
        <v>92000.000000000015</v>
      </c>
      <c r="AB2557" s="1210"/>
      <c r="AC2557" s="1199"/>
      <c r="AD2557" s="1211"/>
    </row>
    <row r="2558" spans="1:30" x14ac:dyDescent="0.2">
      <c r="A2558" s="1422"/>
      <c r="B2558" s="2522"/>
      <c r="C2558" s="3191"/>
      <c r="D2558" s="2421"/>
      <c r="E2558" s="2421"/>
      <c r="F2558" s="2420"/>
      <c r="G2558" s="2420"/>
      <c r="H2558" s="2420"/>
      <c r="I2558" s="2420"/>
      <c r="J2558" s="2515"/>
      <c r="K2558" s="115">
        <v>500</v>
      </c>
      <c r="L2558" s="115"/>
      <c r="M2558" s="3287" t="s">
        <v>303</v>
      </c>
      <c r="N2558" s="3288"/>
      <c r="O2558" s="41"/>
      <c r="P2558" s="41"/>
      <c r="Q2558" s="41">
        <v>500</v>
      </c>
      <c r="R2558" s="41"/>
      <c r="S2558" s="41"/>
      <c r="T2558" s="41"/>
      <c r="U2558" s="41"/>
      <c r="V2558" s="41"/>
      <c r="W2558" s="41"/>
      <c r="X2558" s="41"/>
      <c r="Y2558" s="41"/>
      <c r="Z2558" s="41"/>
      <c r="AA2558" s="1217">
        <f t="shared" si="388"/>
        <v>500</v>
      </c>
      <c r="AB2558" s="1210"/>
      <c r="AC2558" s="1199"/>
      <c r="AD2558" s="1211"/>
    </row>
    <row r="2559" spans="1:30" x14ac:dyDescent="0.2">
      <c r="A2559" s="1422"/>
      <c r="B2559" s="2522"/>
      <c r="C2559" s="3191"/>
      <c r="D2559" s="2421"/>
      <c r="E2559" s="2421"/>
      <c r="F2559" s="2420"/>
      <c r="G2559" s="2420"/>
      <c r="H2559" s="2420"/>
      <c r="I2559" s="2420"/>
      <c r="J2559" s="2515"/>
      <c r="K2559" s="115">
        <v>800</v>
      </c>
      <c r="L2559" s="115"/>
      <c r="M2559" s="3287" t="s">
        <v>593</v>
      </c>
      <c r="N2559" s="3288"/>
      <c r="O2559" s="41"/>
      <c r="P2559" s="41"/>
      <c r="Q2559" s="41"/>
      <c r="R2559" s="41">
        <v>800</v>
      </c>
      <c r="S2559" s="41"/>
      <c r="T2559" s="41"/>
      <c r="U2559" s="41"/>
      <c r="V2559" s="41"/>
      <c r="W2559" s="41"/>
      <c r="X2559" s="41"/>
      <c r="Y2559" s="41"/>
      <c r="Z2559" s="41"/>
      <c r="AA2559" s="1217">
        <f t="shared" si="388"/>
        <v>800</v>
      </c>
      <c r="AB2559" s="1210"/>
      <c r="AC2559" s="1199"/>
      <c r="AD2559" s="1211"/>
    </row>
    <row r="2560" spans="1:30" x14ac:dyDescent="0.2">
      <c r="A2560" s="1422"/>
      <c r="B2560" s="2522"/>
      <c r="C2560" s="3191"/>
      <c r="D2560" s="2421"/>
      <c r="E2560" s="2421"/>
      <c r="F2560" s="2420"/>
      <c r="G2560" s="2420"/>
      <c r="H2560" s="2420"/>
      <c r="I2560" s="2420"/>
      <c r="J2560" s="2515"/>
      <c r="K2560" s="115">
        <v>360</v>
      </c>
      <c r="L2560" s="115"/>
      <c r="M2560" s="3287" t="s">
        <v>304</v>
      </c>
      <c r="N2560" s="3288"/>
      <c r="O2560" s="41"/>
      <c r="P2560" s="41"/>
      <c r="Q2560" s="41">
        <v>360</v>
      </c>
      <c r="R2560" s="41"/>
      <c r="S2560" s="41"/>
      <c r="T2560" s="41"/>
      <c r="U2560" s="41"/>
      <c r="V2560" s="41"/>
      <c r="W2560" s="41"/>
      <c r="X2560" s="41"/>
      <c r="Y2560" s="41"/>
      <c r="Z2560" s="41"/>
      <c r="AA2560" s="1217">
        <f t="shared" si="388"/>
        <v>360</v>
      </c>
      <c r="AB2560" s="1210"/>
      <c r="AC2560" s="1199"/>
      <c r="AD2560" s="1211"/>
    </row>
    <row r="2561" spans="1:30" x14ac:dyDescent="0.2">
      <c r="A2561" s="1422"/>
      <c r="B2561" s="2522"/>
      <c r="C2561" s="3191"/>
      <c r="D2561" s="2421"/>
      <c r="E2561" s="2421"/>
      <c r="F2561" s="2420"/>
      <c r="G2561" s="2420"/>
      <c r="H2561" s="2420"/>
      <c r="I2561" s="2420"/>
      <c r="J2561" s="2515"/>
      <c r="K2561" s="115">
        <v>700</v>
      </c>
      <c r="L2561" s="115"/>
      <c r="M2561" s="3287" t="s">
        <v>305</v>
      </c>
      <c r="N2561" s="3288"/>
      <c r="O2561" s="41"/>
      <c r="P2561" s="41">
        <v>350</v>
      </c>
      <c r="Q2561" s="41"/>
      <c r="R2561" s="41"/>
      <c r="S2561" s="41"/>
      <c r="T2561" s="41"/>
      <c r="U2561" s="41"/>
      <c r="V2561" s="41">
        <v>350</v>
      </c>
      <c r="W2561" s="41"/>
      <c r="X2561" s="41"/>
      <c r="Y2561" s="41"/>
      <c r="Z2561" s="41"/>
      <c r="AA2561" s="1217">
        <f t="shared" si="388"/>
        <v>700</v>
      </c>
      <c r="AB2561" s="1210"/>
      <c r="AC2561" s="1199"/>
      <c r="AD2561" s="1211"/>
    </row>
    <row r="2562" spans="1:30" x14ac:dyDescent="0.2">
      <c r="A2562" s="1422"/>
      <c r="B2562" s="2522"/>
      <c r="C2562" s="3191"/>
      <c r="D2562" s="2421"/>
      <c r="E2562" s="2421"/>
      <c r="F2562" s="2420"/>
      <c r="G2562" s="2420"/>
      <c r="H2562" s="2420"/>
      <c r="I2562" s="2420"/>
      <c r="J2562" s="2515"/>
      <c r="K2562" s="115">
        <v>6960</v>
      </c>
      <c r="L2562" s="115"/>
      <c r="M2562" s="3287" t="s">
        <v>306</v>
      </c>
      <c r="N2562" s="3288"/>
      <c r="O2562" s="41"/>
      <c r="P2562" s="41">
        <v>632.72727272727275</v>
      </c>
      <c r="Q2562" s="41">
        <v>632.72727272727275</v>
      </c>
      <c r="R2562" s="41">
        <v>632.72727272727275</v>
      </c>
      <c r="S2562" s="41">
        <v>632.72727272727275</v>
      </c>
      <c r="T2562" s="41">
        <v>632.72727272727275</v>
      </c>
      <c r="U2562" s="41">
        <v>632.72727272727275</v>
      </c>
      <c r="V2562" s="41">
        <v>632.72727272727275</v>
      </c>
      <c r="W2562" s="41">
        <v>632.72727272727275</v>
      </c>
      <c r="X2562" s="41">
        <v>632.72727272727275</v>
      </c>
      <c r="Y2562" s="41">
        <v>632.72727272727275</v>
      </c>
      <c r="Z2562" s="41">
        <v>632.72727272727275</v>
      </c>
      <c r="AA2562" s="1217">
        <f t="shared" si="388"/>
        <v>6960.0000000000018</v>
      </c>
      <c r="AB2562" s="1210"/>
      <c r="AC2562" s="1199"/>
      <c r="AD2562" s="1211"/>
    </row>
    <row r="2563" spans="1:30" x14ac:dyDescent="0.2">
      <c r="A2563" s="1422"/>
      <c r="B2563" s="2522"/>
      <c r="C2563" s="3191"/>
      <c r="D2563" s="2421"/>
      <c r="E2563" s="2421"/>
      <c r="F2563" s="2420"/>
      <c r="G2563" s="2420"/>
      <c r="H2563" s="2420"/>
      <c r="I2563" s="2420"/>
      <c r="J2563" s="2515"/>
      <c r="K2563" s="115">
        <v>500</v>
      </c>
      <c r="L2563" s="115"/>
      <c r="M2563" s="3287" t="s">
        <v>307</v>
      </c>
      <c r="N2563" s="3288"/>
      <c r="O2563" s="41"/>
      <c r="P2563" s="41">
        <v>45.454545454545453</v>
      </c>
      <c r="Q2563" s="41">
        <v>45.454545454545453</v>
      </c>
      <c r="R2563" s="41">
        <v>45.454545454545453</v>
      </c>
      <c r="S2563" s="41">
        <v>45.454545454545453</v>
      </c>
      <c r="T2563" s="41">
        <v>45.454545454545453</v>
      </c>
      <c r="U2563" s="41">
        <v>45.454545454545453</v>
      </c>
      <c r="V2563" s="41">
        <v>45.454545454545453</v>
      </c>
      <c r="W2563" s="41">
        <v>45.454545454545453</v>
      </c>
      <c r="X2563" s="41">
        <v>45.454545454545453</v>
      </c>
      <c r="Y2563" s="41">
        <v>45.454545454545453</v>
      </c>
      <c r="Z2563" s="41">
        <v>45.454545454545453</v>
      </c>
      <c r="AA2563" s="1217">
        <f t="shared" si="388"/>
        <v>499.99999999999989</v>
      </c>
      <c r="AB2563" s="1210"/>
      <c r="AC2563" s="1199"/>
      <c r="AD2563" s="1211"/>
    </row>
    <row r="2564" spans="1:30" x14ac:dyDescent="0.2">
      <c r="A2564" s="1422"/>
      <c r="B2564" s="2522"/>
      <c r="C2564" s="3191"/>
      <c r="D2564" s="2421"/>
      <c r="E2564" s="2421"/>
      <c r="F2564" s="2420"/>
      <c r="G2564" s="2420"/>
      <c r="H2564" s="2420"/>
      <c r="I2564" s="2420"/>
      <c r="J2564" s="2515"/>
      <c r="K2564" s="115">
        <v>800</v>
      </c>
      <c r="L2564" s="115"/>
      <c r="M2564" s="3287" t="s">
        <v>355</v>
      </c>
      <c r="N2564" s="3288"/>
      <c r="O2564" s="41"/>
      <c r="P2564" s="41"/>
      <c r="Q2564" s="41"/>
      <c r="R2564" s="41">
        <v>800</v>
      </c>
      <c r="S2564" s="41"/>
      <c r="T2564" s="41"/>
      <c r="U2564" s="41"/>
      <c r="V2564" s="41"/>
      <c r="W2564" s="41"/>
      <c r="X2564" s="41"/>
      <c r="Y2564" s="41"/>
      <c r="Z2564" s="41"/>
      <c r="AA2564" s="1217">
        <f t="shared" si="388"/>
        <v>800</v>
      </c>
      <c r="AB2564" s="1210"/>
      <c r="AC2564" s="1199"/>
      <c r="AD2564" s="1211"/>
    </row>
    <row r="2565" spans="1:30" x14ac:dyDescent="0.2">
      <c r="A2565" s="1422"/>
      <c r="B2565" s="2522"/>
      <c r="C2565" s="3191"/>
      <c r="D2565" s="2421"/>
      <c r="E2565" s="2421"/>
      <c r="F2565" s="2420"/>
      <c r="G2565" s="2420"/>
      <c r="H2565" s="2420"/>
      <c r="I2565" s="2420"/>
      <c r="J2565" s="2515"/>
      <c r="K2565" s="115">
        <v>840</v>
      </c>
      <c r="L2565" s="115"/>
      <c r="M2565" s="3287" t="s">
        <v>308</v>
      </c>
      <c r="N2565" s="3288"/>
      <c r="O2565" s="41"/>
      <c r="P2565" s="41"/>
      <c r="Q2565" s="41">
        <v>840</v>
      </c>
      <c r="R2565" s="41"/>
      <c r="S2565" s="41"/>
      <c r="T2565" s="41"/>
      <c r="U2565" s="41"/>
      <c r="V2565" s="41"/>
      <c r="W2565" s="41"/>
      <c r="X2565" s="41"/>
      <c r="Y2565" s="41"/>
      <c r="Z2565" s="41"/>
      <c r="AA2565" s="1217">
        <f t="shared" si="388"/>
        <v>840</v>
      </c>
      <c r="AB2565" s="1210"/>
      <c r="AC2565" s="1199"/>
      <c r="AD2565" s="1211"/>
    </row>
    <row r="2566" spans="1:30" x14ac:dyDescent="0.2">
      <c r="A2566" s="1422"/>
      <c r="B2566" s="2522"/>
      <c r="C2566" s="2439"/>
      <c r="D2566" s="2421"/>
      <c r="E2566" s="2421"/>
      <c r="F2566" s="2420"/>
      <c r="G2566" s="2420"/>
      <c r="H2566" s="2420"/>
      <c r="I2566" s="2420"/>
      <c r="J2566" s="2516"/>
      <c r="K2566" s="115">
        <v>9500</v>
      </c>
      <c r="L2566" s="115"/>
      <c r="M2566" s="3287" t="s">
        <v>309</v>
      </c>
      <c r="N2566" s="3288"/>
      <c r="O2566" s="41"/>
      <c r="P2566" s="41"/>
      <c r="Q2566" s="41"/>
      <c r="R2566" s="41">
        <v>1900</v>
      </c>
      <c r="S2566" s="41"/>
      <c r="T2566" s="41">
        <v>1900</v>
      </c>
      <c r="U2566" s="41"/>
      <c r="V2566" s="41">
        <v>1900</v>
      </c>
      <c r="W2566" s="41"/>
      <c r="X2566" s="41">
        <v>1900</v>
      </c>
      <c r="Y2566" s="41"/>
      <c r="Z2566" s="41">
        <v>1900</v>
      </c>
      <c r="AA2566" s="1217">
        <f t="shared" si="388"/>
        <v>9500</v>
      </c>
      <c r="AB2566" s="1210"/>
      <c r="AC2566" s="1199"/>
      <c r="AD2566" s="1211"/>
    </row>
    <row r="2567" spans="1:30" x14ac:dyDescent="0.2">
      <c r="A2567" s="1422"/>
      <c r="B2567" s="1427" t="s">
        <v>312</v>
      </c>
      <c r="C2567" s="1273"/>
      <c r="D2567" s="38"/>
      <c r="E2567" s="38"/>
      <c r="F2567" s="38"/>
      <c r="G2567" s="38"/>
      <c r="H2567" s="38"/>
      <c r="I2567" s="38"/>
      <c r="J2567" s="38"/>
      <c r="K2567" s="38">
        <f>SUM(K2556:K2566)</f>
        <v>160960</v>
      </c>
      <c r="L2567" s="38"/>
      <c r="M2567" s="38"/>
      <c r="N2567" s="38"/>
      <c r="O2567" s="38"/>
      <c r="P2567" s="38"/>
      <c r="Q2567" s="38"/>
      <c r="R2567" s="38"/>
      <c r="S2567" s="38"/>
      <c r="T2567" s="38"/>
      <c r="U2567" s="38"/>
      <c r="V2567" s="38"/>
      <c r="W2567" s="38"/>
      <c r="X2567" s="38"/>
      <c r="Y2567" s="38"/>
      <c r="Z2567" s="38"/>
      <c r="AA2567" s="1234"/>
      <c r="AB2567" s="1210"/>
      <c r="AC2567" s="1199"/>
      <c r="AD2567" s="1211"/>
    </row>
    <row r="2568" spans="1:30" ht="22.5" x14ac:dyDescent="0.2">
      <c r="A2568" s="1422"/>
      <c r="B2568" s="1422"/>
      <c r="C2568" s="62"/>
      <c r="D2568" s="35"/>
      <c r="E2568" s="35"/>
      <c r="F2568" s="35"/>
      <c r="G2568" s="35"/>
      <c r="H2568" s="35"/>
      <c r="I2568" s="35"/>
      <c r="J2568" s="35"/>
      <c r="K2568" s="35"/>
      <c r="L2568" s="35"/>
      <c r="M2568" s="35"/>
      <c r="N2568" s="35"/>
      <c r="O2568" s="35"/>
      <c r="P2568" s="35"/>
      <c r="Q2568" s="35"/>
      <c r="R2568" s="35"/>
      <c r="S2568" s="122"/>
      <c r="T2568" s="3333" t="s">
        <v>15</v>
      </c>
      <c r="U2568" s="3333"/>
      <c r="V2568" s="3333"/>
      <c r="W2568" s="3333"/>
      <c r="X2568" s="3333"/>
      <c r="Y2568" s="3333"/>
      <c r="Z2568" s="3333"/>
      <c r="AA2568" s="1966" t="s">
        <v>16</v>
      </c>
      <c r="AB2568" s="1210"/>
      <c r="AC2568" s="1199"/>
      <c r="AD2568" s="1211"/>
    </row>
    <row r="2569" spans="1:30" x14ac:dyDescent="0.2">
      <c r="A2569" s="1422"/>
      <c r="B2569" s="1433" t="s">
        <v>276</v>
      </c>
      <c r="C2569" s="1121"/>
      <c r="D2569" s="1119">
        <v>3000363</v>
      </c>
      <c r="E2569" s="192" t="s">
        <v>777</v>
      </c>
      <c r="F2569" s="35"/>
      <c r="G2569" s="35"/>
      <c r="H2569" s="35"/>
      <c r="I2569" s="35"/>
      <c r="J2569" s="35"/>
      <c r="K2569" s="60"/>
      <c r="L2569" s="60"/>
      <c r="M2569" s="60"/>
      <c r="N2569" s="60"/>
      <c r="O2569" s="60"/>
      <c r="P2569" s="60"/>
      <c r="Q2569" s="60"/>
      <c r="R2569" s="35"/>
      <c r="S2569" s="121"/>
      <c r="T2569" s="3383" t="s">
        <v>778</v>
      </c>
      <c r="U2569" s="3383"/>
      <c r="V2569" s="3383"/>
      <c r="W2569" s="3383"/>
      <c r="X2569" s="3383"/>
      <c r="Y2569" s="3383"/>
      <c r="Z2569" s="3383"/>
      <c r="AA2569" s="1214" t="s">
        <v>661</v>
      </c>
      <c r="AB2569" s="1210"/>
      <c r="AC2569" s="1199"/>
      <c r="AD2569" s="1211"/>
    </row>
    <row r="2570" spans="1:30" x14ac:dyDescent="0.2">
      <c r="A2570" s="1422"/>
      <c r="B2570" s="2999" t="s">
        <v>278</v>
      </c>
      <c r="C2570" s="3015" t="s">
        <v>21</v>
      </c>
      <c r="D2570" s="2847" t="s">
        <v>22</v>
      </c>
      <c r="E2570" s="2847" t="s">
        <v>23</v>
      </c>
      <c r="F2570" s="2847" t="s">
        <v>24</v>
      </c>
      <c r="G2570" s="2847" t="s">
        <v>25</v>
      </c>
      <c r="H2570" s="2847" t="s">
        <v>26</v>
      </c>
      <c r="I2570" s="2847" t="s">
        <v>27</v>
      </c>
      <c r="J2570" s="3206" t="s">
        <v>28</v>
      </c>
      <c r="K2570" s="3301"/>
      <c r="L2570" s="2988" t="s">
        <v>279</v>
      </c>
      <c r="M2570" s="3273" t="s">
        <v>280</v>
      </c>
      <c r="N2570" s="3274"/>
      <c r="O2570" s="2847" t="s">
        <v>281</v>
      </c>
      <c r="P2570" s="2847"/>
      <c r="Q2570" s="2847"/>
      <c r="R2570" s="2847"/>
      <c r="S2570" s="2847"/>
      <c r="T2570" s="2847"/>
      <c r="U2570" s="2847"/>
      <c r="V2570" s="2847"/>
      <c r="W2570" s="2847"/>
      <c r="X2570" s="2847"/>
      <c r="Y2570" s="2847"/>
      <c r="Z2570" s="2847"/>
      <c r="AA2570" s="3358" t="s">
        <v>32</v>
      </c>
      <c r="AB2570" s="1210"/>
      <c r="AC2570" s="1199"/>
      <c r="AD2570" s="1211"/>
    </row>
    <row r="2571" spans="1:30" x14ac:dyDescent="0.2">
      <c r="A2571" s="1422"/>
      <c r="B2571" s="2999"/>
      <c r="C2571" s="3359"/>
      <c r="D2571" s="2847"/>
      <c r="E2571" s="2847"/>
      <c r="F2571" s="2847"/>
      <c r="G2571" s="2847"/>
      <c r="H2571" s="2847"/>
      <c r="I2571" s="2847"/>
      <c r="J2571" s="2988" t="s">
        <v>33</v>
      </c>
      <c r="K2571" s="2988" t="s">
        <v>282</v>
      </c>
      <c r="L2571" s="3186"/>
      <c r="M2571" s="3275"/>
      <c r="N2571" s="3276"/>
      <c r="O2571" s="1009" t="s">
        <v>283</v>
      </c>
      <c r="P2571" s="1009" t="s">
        <v>284</v>
      </c>
      <c r="Q2571" s="1009" t="s">
        <v>285</v>
      </c>
      <c r="R2571" s="1009" t="s">
        <v>88</v>
      </c>
      <c r="S2571" s="1009" t="s">
        <v>89</v>
      </c>
      <c r="T2571" s="1009" t="s">
        <v>90</v>
      </c>
      <c r="U2571" s="1009" t="s">
        <v>91</v>
      </c>
      <c r="V2571" s="1009" t="s">
        <v>92</v>
      </c>
      <c r="W2571" s="1009" t="s">
        <v>286</v>
      </c>
      <c r="X2571" s="1009" t="s">
        <v>93</v>
      </c>
      <c r="Y2571" s="1009" t="s">
        <v>94</v>
      </c>
      <c r="Z2571" s="1009" t="s">
        <v>95</v>
      </c>
      <c r="AA2571" s="3358"/>
      <c r="AB2571" s="1210"/>
      <c r="AC2571" s="1199"/>
      <c r="AD2571" s="1211"/>
    </row>
    <row r="2572" spans="1:30" x14ac:dyDescent="0.2">
      <c r="A2572" s="1422"/>
      <c r="B2572" s="2999"/>
      <c r="C2572" s="3359"/>
      <c r="D2572" s="2847"/>
      <c r="E2572" s="2847"/>
      <c r="F2572" s="2847"/>
      <c r="G2572" s="2847"/>
      <c r="H2572" s="2847"/>
      <c r="I2572" s="2847"/>
      <c r="J2572" s="3186"/>
      <c r="K2572" s="3186"/>
      <c r="L2572" s="3186"/>
      <c r="M2572" s="3271" t="s">
        <v>287</v>
      </c>
      <c r="N2572" s="3272"/>
      <c r="O2572" s="1095">
        <v>400</v>
      </c>
      <c r="P2572" s="1095">
        <v>4000</v>
      </c>
      <c r="Q2572" s="1095">
        <v>4000</v>
      </c>
      <c r="R2572" s="1095">
        <v>4000</v>
      </c>
      <c r="S2572" s="1095">
        <v>4000</v>
      </c>
      <c r="T2572" s="1095">
        <v>4000</v>
      </c>
      <c r="U2572" s="1095">
        <v>4000</v>
      </c>
      <c r="V2572" s="1095">
        <v>4000</v>
      </c>
      <c r="W2572" s="1095">
        <v>4000</v>
      </c>
      <c r="X2572" s="1095">
        <v>4000</v>
      </c>
      <c r="Y2572" s="1095">
        <v>4000</v>
      </c>
      <c r="Z2572" s="1095">
        <v>4000</v>
      </c>
      <c r="AA2572" s="1216">
        <f t="shared" ref="AA2572:AA2585" si="390">SUM(O2572:Z2572)</f>
        <v>44400</v>
      </c>
      <c r="AB2572" s="1210"/>
      <c r="AC2572" s="1199"/>
      <c r="AD2572" s="1211"/>
    </row>
    <row r="2573" spans="1:30" x14ac:dyDescent="0.2">
      <c r="A2573" s="1422"/>
      <c r="B2573" s="2999"/>
      <c r="C2573" s="3016"/>
      <c r="D2573" s="2847"/>
      <c r="E2573" s="2847"/>
      <c r="F2573" s="2847"/>
      <c r="G2573" s="2847"/>
      <c r="H2573" s="2847"/>
      <c r="I2573" s="2847"/>
      <c r="J2573" s="2989"/>
      <c r="K2573" s="2989"/>
      <c r="L2573" s="2989"/>
      <c r="M2573" s="3271" t="s">
        <v>34</v>
      </c>
      <c r="N2573" s="3272"/>
      <c r="O2573" s="120">
        <f>SUM(O2574:O2585)</f>
        <v>3031.4166666666665</v>
      </c>
      <c r="P2573" s="120">
        <f t="shared" ref="P2573:Z2573" si="391">SUM(P2574:P2585)</f>
        <v>3631.4166666666665</v>
      </c>
      <c r="Q2573" s="120">
        <f t="shared" si="391"/>
        <v>6561.4166666666661</v>
      </c>
      <c r="R2573" s="120">
        <f t="shared" si="391"/>
        <v>3231.4166666666665</v>
      </c>
      <c r="S2573" s="120">
        <f t="shared" si="391"/>
        <v>2631.4166666666665</v>
      </c>
      <c r="T2573" s="120">
        <f t="shared" si="391"/>
        <v>3031.4166666666665</v>
      </c>
      <c r="U2573" s="120">
        <f t="shared" si="391"/>
        <v>2931.4166666666665</v>
      </c>
      <c r="V2573" s="120">
        <f t="shared" si="391"/>
        <v>3031.4166666666665</v>
      </c>
      <c r="W2573" s="120">
        <f t="shared" si="391"/>
        <v>2631.4166666666665</v>
      </c>
      <c r="X2573" s="120">
        <f t="shared" si="391"/>
        <v>3031.4166666666665</v>
      </c>
      <c r="Y2573" s="120">
        <f t="shared" si="391"/>
        <v>2631.4166666666665</v>
      </c>
      <c r="Z2573" s="120">
        <f t="shared" si="391"/>
        <v>3331.4166666666665</v>
      </c>
      <c r="AA2573" s="1216">
        <f t="shared" si="390"/>
        <v>39707</v>
      </c>
      <c r="AB2573" s="1210"/>
      <c r="AC2573" s="1199"/>
      <c r="AD2573" s="1211"/>
    </row>
    <row r="2574" spans="1:30" x14ac:dyDescent="0.2">
      <c r="A2574" s="1422"/>
      <c r="B2574" s="2522">
        <v>5003063</v>
      </c>
      <c r="C2574" s="3190" t="s">
        <v>779</v>
      </c>
      <c r="D2574" s="2421">
        <v>85</v>
      </c>
      <c r="E2574" s="2421" t="s">
        <v>288</v>
      </c>
      <c r="F2574" s="2420" t="s">
        <v>386</v>
      </c>
      <c r="G2574" s="2420" t="s">
        <v>387</v>
      </c>
      <c r="H2574" s="2420"/>
      <c r="I2574" s="2420" t="s">
        <v>780</v>
      </c>
      <c r="J2574" s="2514">
        <v>48000</v>
      </c>
      <c r="K2574" s="115">
        <v>22824</v>
      </c>
      <c r="L2574" s="115"/>
      <c r="M2574" s="3287" t="s">
        <v>332</v>
      </c>
      <c r="N2574" s="3288"/>
      <c r="O2574" s="42">
        <v>1902</v>
      </c>
      <c r="P2574" s="42">
        <v>1902</v>
      </c>
      <c r="Q2574" s="42">
        <v>1902</v>
      </c>
      <c r="R2574" s="42">
        <v>1902</v>
      </c>
      <c r="S2574" s="42">
        <v>1902</v>
      </c>
      <c r="T2574" s="42">
        <v>1902</v>
      </c>
      <c r="U2574" s="42">
        <v>1902</v>
      </c>
      <c r="V2574" s="42">
        <v>1902</v>
      </c>
      <c r="W2574" s="42">
        <v>1902</v>
      </c>
      <c r="X2574" s="42">
        <v>1902</v>
      </c>
      <c r="Y2574" s="42">
        <v>1902</v>
      </c>
      <c r="Z2574" s="42">
        <v>1902</v>
      </c>
      <c r="AA2574" s="1217">
        <f t="shared" si="390"/>
        <v>22824</v>
      </c>
      <c r="AB2574" s="1210"/>
      <c r="AC2574" s="1199"/>
      <c r="AD2574" s="1211"/>
    </row>
    <row r="2575" spans="1:30" x14ac:dyDescent="0.2">
      <c r="A2575" s="1422"/>
      <c r="B2575" s="2522"/>
      <c r="C2575" s="3191"/>
      <c r="D2575" s="2421"/>
      <c r="E2575" s="2421"/>
      <c r="F2575" s="2420"/>
      <c r="G2575" s="2420"/>
      <c r="H2575" s="2420"/>
      <c r="I2575" s="2420"/>
      <c r="J2575" s="2515"/>
      <c r="K2575" s="115">
        <v>5552</v>
      </c>
      <c r="L2575" s="115"/>
      <c r="M2575" s="3287" t="s">
        <v>296</v>
      </c>
      <c r="N2575" s="3288"/>
      <c r="O2575" s="42">
        <v>462.66666666666669</v>
      </c>
      <c r="P2575" s="42">
        <v>462.66666666666669</v>
      </c>
      <c r="Q2575" s="42">
        <v>462.66666666666669</v>
      </c>
      <c r="R2575" s="42">
        <v>462.66666666666669</v>
      </c>
      <c r="S2575" s="42">
        <v>462.66666666666669</v>
      </c>
      <c r="T2575" s="42">
        <v>462.66666666666669</v>
      </c>
      <c r="U2575" s="42">
        <v>462.66666666666669</v>
      </c>
      <c r="V2575" s="42">
        <v>462.66666666666669</v>
      </c>
      <c r="W2575" s="42">
        <v>462.66666666666669</v>
      </c>
      <c r="X2575" s="42">
        <v>462.66666666666669</v>
      </c>
      <c r="Y2575" s="42">
        <v>462.66666666666669</v>
      </c>
      <c r="Z2575" s="42">
        <v>462.66666666666669</v>
      </c>
      <c r="AA2575" s="1217">
        <f t="shared" si="390"/>
        <v>5552.0000000000009</v>
      </c>
      <c r="AB2575" s="1210"/>
      <c r="AC2575" s="1199"/>
      <c r="AD2575" s="1211"/>
    </row>
    <row r="2576" spans="1:30" x14ac:dyDescent="0.2">
      <c r="A2576" s="1422"/>
      <c r="B2576" s="2522"/>
      <c r="C2576" s="3191"/>
      <c r="D2576" s="2421"/>
      <c r="E2576" s="2421"/>
      <c r="F2576" s="2420"/>
      <c r="G2576" s="2420"/>
      <c r="H2576" s="2420"/>
      <c r="I2576" s="2420"/>
      <c r="J2576" s="2515"/>
      <c r="K2576" s="115">
        <v>1896</v>
      </c>
      <c r="L2576" s="115"/>
      <c r="M2576" s="3287" t="s">
        <v>297</v>
      </c>
      <c r="N2576" s="3288"/>
      <c r="O2576" s="42">
        <v>158</v>
      </c>
      <c r="P2576" s="42">
        <v>158</v>
      </c>
      <c r="Q2576" s="42">
        <v>158</v>
      </c>
      <c r="R2576" s="42">
        <v>158</v>
      </c>
      <c r="S2576" s="42">
        <v>158</v>
      </c>
      <c r="T2576" s="42">
        <v>158</v>
      </c>
      <c r="U2576" s="42">
        <v>158</v>
      </c>
      <c r="V2576" s="42">
        <v>158</v>
      </c>
      <c r="W2576" s="42">
        <v>158</v>
      </c>
      <c r="X2576" s="42">
        <v>158</v>
      </c>
      <c r="Y2576" s="42">
        <v>158</v>
      </c>
      <c r="Z2576" s="42">
        <v>158</v>
      </c>
      <c r="AA2576" s="1217">
        <f t="shared" si="390"/>
        <v>1896</v>
      </c>
      <c r="AB2576" s="1210"/>
      <c r="AC2576" s="1199"/>
      <c r="AD2576" s="1211"/>
    </row>
    <row r="2577" spans="1:30" x14ac:dyDescent="0.2">
      <c r="A2577" s="1422"/>
      <c r="B2577" s="2522"/>
      <c r="C2577" s="3191"/>
      <c r="D2577" s="2421"/>
      <c r="E2577" s="2421"/>
      <c r="F2577" s="2420"/>
      <c r="G2577" s="2420"/>
      <c r="H2577" s="2420"/>
      <c r="I2577" s="2420"/>
      <c r="J2577" s="2515"/>
      <c r="K2577" s="115">
        <v>600</v>
      </c>
      <c r="L2577" s="115"/>
      <c r="M2577" s="3287" t="s">
        <v>298</v>
      </c>
      <c r="N2577" s="3288"/>
      <c r="O2577" s="42"/>
      <c r="P2577" s="42"/>
      <c r="Q2577" s="42"/>
      <c r="R2577" s="42"/>
      <c r="S2577" s="42"/>
      <c r="T2577" s="42"/>
      <c r="U2577" s="42">
        <v>300</v>
      </c>
      <c r="V2577" s="42"/>
      <c r="W2577" s="42"/>
      <c r="X2577" s="42"/>
      <c r="Y2577" s="42"/>
      <c r="Z2577" s="42">
        <v>300</v>
      </c>
      <c r="AA2577" s="1217">
        <f t="shared" si="390"/>
        <v>600</v>
      </c>
      <c r="AB2577" s="1210"/>
      <c r="AC2577" s="1199"/>
      <c r="AD2577" s="1211"/>
    </row>
    <row r="2578" spans="1:30" x14ac:dyDescent="0.2">
      <c r="A2578" s="1422"/>
      <c r="B2578" s="2522"/>
      <c r="C2578" s="3191"/>
      <c r="D2578" s="2421"/>
      <c r="E2578" s="2421"/>
      <c r="F2578" s="2420"/>
      <c r="G2578" s="2420"/>
      <c r="H2578" s="2420"/>
      <c r="I2578" s="2420"/>
      <c r="J2578" s="2515"/>
      <c r="K2578" s="115">
        <v>400</v>
      </c>
      <c r="L2578" s="115"/>
      <c r="M2578" s="3287" t="s">
        <v>299</v>
      </c>
      <c r="N2578" s="3288"/>
      <c r="O2578" s="42">
        <v>400</v>
      </c>
      <c r="P2578" s="42"/>
      <c r="Q2578" s="42"/>
      <c r="R2578" s="42"/>
      <c r="S2578" s="42"/>
      <c r="T2578" s="42"/>
      <c r="U2578" s="42"/>
      <c r="V2578" s="42"/>
      <c r="W2578" s="42"/>
      <c r="X2578" s="42"/>
      <c r="Y2578" s="42"/>
      <c r="Z2578" s="42"/>
      <c r="AA2578" s="1217">
        <f t="shared" si="390"/>
        <v>400</v>
      </c>
      <c r="AB2578" s="1210"/>
      <c r="AC2578" s="1199"/>
      <c r="AD2578" s="1211"/>
    </row>
    <row r="2579" spans="1:30" x14ac:dyDescent="0.2">
      <c r="A2579" s="1422"/>
      <c r="B2579" s="2522"/>
      <c r="C2579" s="3191"/>
      <c r="D2579" s="2421"/>
      <c r="E2579" s="2421"/>
      <c r="F2579" s="2420"/>
      <c r="G2579" s="2420"/>
      <c r="H2579" s="2420"/>
      <c r="I2579" s="2420"/>
      <c r="J2579" s="2515"/>
      <c r="K2579" s="115">
        <v>1225</v>
      </c>
      <c r="L2579" s="115"/>
      <c r="M2579" s="3287" t="s">
        <v>300</v>
      </c>
      <c r="N2579" s="3288"/>
      <c r="O2579" s="42">
        <v>102.08333333333333</v>
      </c>
      <c r="P2579" s="42">
        <v>102.08333333333333</v>
      </c>
      <c r="Q2579" s="42">
        <v>102.08333333333333</v>
      </c>
      <c r="R2579" s="42">
        <v>102.08333333333333</v>
      </c>
      <c r="S2579" s="42">
        <v>102.08333333333333</v>
      </c>
      <c r="T2579" s="42">
        <v>102.08333333333333</v>
      </c>
      <c r="U2579" s="42">
        <v>102.08333333333333</v>
      </c>
      <c r="V2579" s="42">
        <v>102.08333333333333</v>
      </c>
      <c r="W2579" s="42">
        <v>102.08333333333333</v>
      </c>
      <c r="X2579" s="42">
        <v>102.08333333333333</v>
      </c>
      <c r="Y2579" s="42">
        <v>102.08333333333333</v>
      </c>
      <c r="Z2579" s="42">
        <v>102.08333333333333</v>
      </c>
      <c r="AA2579" s="1217">
        <f t="shared" si="390"/>
        <v>1225</v>
      </c>
      <c r="AB2579" s="1210"/>
      <c r="AC2579" s="1199"/>
      <c r="AD2579" s="1211"/>
    </row>
    <row r="2580" spans="1:30" x14ac:dyDescent="0.2">
      <c r="A2580" s="1422"/>
      <c r="B2580" s="2522"/>
      <c r="C2580" s="3191"/>
      <c r="D2580" s="2421"/>
      <c r="E2580" s="2421"/>
      <c r="F2580" s="2420"/>
      <c r="G2580" s="2420"/>
      <c r="H2580" s="2420"/>
      <c r="I2580" s="2420"/>
      <c r="J2580" s="2515"/>
      <c r="K2580" s="115">
        <v>80</v>
      </c>
      <c r="L2580" s="115"/>
      <c r="M2580" s="3287" t="s">
        <v>301</v>
      </c>
      <c r="N2580" s="3288"/>
      <c r="O2580" s="42">
        <v>6.666666666666667</v>
      </c>
      <c r="P2580" s="42">
        <v>6.666666666666667</v>
      </c>
      <c r="Q2580" s="42">
        <v>6.666666666666667</v>
      </c>
      <c r="R2580" s="42">
        <v>6.666666666666667</v>
      </c>
      <c r="S2580" s="42">
        <v>6.666666666666667</v>
      </c>
      <c r="T2580" s="42">
        <v>6.666666666666667</v>
      </c>
      <c r="U2580" s="42">
        <v>6.666666666666667</v>
      </c>
      <c r="V2580" s="42">
        <v>6.666666666666667</v>
      </c>
      <c r="W2580" s="42">
        <v>6.666666666666667</v>
      </c>
      <c r="X2580" s="42">
        <v>6.666666666666667</v>
      </c>
      <c r="Y2580" s="42">
        <v>6.666666666666667</v>
      </c>
      <c r="Z2580" s="42">
        <v>6.666666666666667</v>
      </c>
      <c r="AA2580" s="1217">
        <f t="shared" si="390"/>
        <v>80</v>
      </c>
      <c r="AB2580" s="1210"/>
      <c r="AC2580" s="1199"/>
      <c r="AD2580" s="1211"/>
    </row>
    <row r="2581" spans="1:30" x14ac:dyDescent="0.2">
      <c r="A2581" s="1422"/>
      <c r="B2581" s="2522"/>
      <c r="C2581" s="3191"/>
      <c r="D2581" s="2421"/>
      <c r="E2581" s="2421"/>
      <c r="F2581" s="2420"/>
      <c r="G2581" s="2420"/>
      <c r="H2581" s="2420"/>
      <c r="I2581" s="2420"/>
      <c r="J2581" s="2515"/>
      <c r="K2581" s="115">
        <v>430</v>
      </c>
      <c r="L2581" s="115"/>
      <c r="M2581" s="3287" t="s">
        <v>303</v>
      </c>
      <c r="N2581" s="3288"/>
      <c r="O2581" s="42"/>
      <c r="P2581" s="42"/>
      <c r="Q2581" s="42">
        <v>430</v>
      </c>
      <c r="R2581" s="42"/>
      <c r="S2581" s="42"/>
      <c r="T2581" s="42"/>
      <c r="U2581" s="42"/>
      <c r="V2581" s="42"/>
      <c r="W2581" s="42"/>
      <c r="X2581" s="42"/>
      <c r="Y2581" s="42"/>
      <c r="Z2581" s="42"/>
      <c r="AA2581" s="1217">
        <f t="shared" si="390"/>
        <v>430</v>
      </c>
      <c r="AB2581" s="1210"/>
      <c r="AC2581" s="1199"/>
      <c r="AD2581" s="1211"/>
    </row>
    <row r="2582" spans="1:30" x14ac:dyDescent="0.2">
      <c r="A2582" s="1422"/>
      <c r="B2582" s="2522"/>
      <c r="C2582" s="3191"/>
      <c r="D2582" s="2421"/>
      <c r="E2582" s="2421"/>
      <c r="F2582" s="2420"/>
      <c r="G2582" s="2420"/>
      <c r="H2582" s="2420"/>
      <c r="I2582" s="2420"/>
      <c r="J2582" s="2515"/>
      <c r="K2582" s="115">
        <v>3500</v>
      </c>
      <c r="L2582" s="115"/>
      <c r="M2582" s="3287" t="s">
        <v>304</v>
      </c>
      <c r="N2582" s="3288"/>
      <c r="O2582" s="42"/>
      <c r="P2582" s="42"/>
      <c r="Q2582" s="42">
        <v>3500</v>
      </c>
      <c r="R2582" s="42"/>
      <c r="S2582" s="42"/>
      <c r="T2582" s="42"/>
      <c r="U2582" s="42"/>
      <c r="V2582" s="42"/>
      <c r="W2582" s="42"/>
      <c r="X2582" s="42"/>
      <c r="Y2582" s="42"/>
      <c r="Z2582" s="42"/>
      <c r="AA2582" s="1217">
        <f t="shared" si="390"/>
        <v>3500</v>
      </c>
      <c r="AB2582" s="1210"/>
      <c r="AC2582" s="1199"/>
      <c r="AD2582" s="1211"/>
    </row>
    <row r="2583" spans="1:30" x14ac:dyDescent="0.2">
      <c r="A2583" s="1422"/>
      <c r="B2583" s="2522"/>
      <c r="C2583" s="3191"/>
      <c r="D2583" s="2421"/>
      <c r="E2583" s="2421"/>
      <c r="F2583" s="2420"/>
      <c r="G2583" s="2420"/>
      <c r="H2583" s="2420"/>
      <c r="I2583" s="2420"/>
      <c r="J2583" s="2515"/>
      <c r="K2583" s="115">
        <v>1000</v>
      </c>
      <c r="L2583" s="115"/>
      <c r="M2583" s="3287" t="s">
        <v>306</v>
      </c>
      <c r="N2583" s="3288"/>
      <c r="O2583" s="42"/>
      <c r="P2583" s="42">
        <v>1000</v>
      </c>
      <c r="Q2583" s="42"/>
      <c r="R2583" s="42"/>
      <c r="S2583" s="42"/>
      <c r="T2583" s="42"/>
      <c r="U2583" s="42"/>
      <c r="V2583" s="42"/>
      <c r="W2583" s="42"/>
      <c r="X2583" s="42"/>
      <c r="Y2583" s="42"/>
      <c r="Z2583" s="42"/>
      <c r="AA2583" s="1217">
        <f t="shared" si="390"/>
        <v>1000</v>
      </c>
      <c r="AB2583" s="1210"/>
      <c r="AC2583" s="1199"/>
      <c r="AD2583" s="1211"/>
    </row>
    <row r="2584" spans="1:30" x14ac:dyDescent="0.2">
      <c r="A2584" s="1422"/>
      <c r="B2584" s="2522"/>
      <c r="C2584" s="3191"/>
      <c r="D2584" s="2421"/>
      <c r="E2584" s="2421"/>
      <c r="F2584" s="2420"/>
      <c r="G2584" s="2420"/>
      <c r="H2584" s="2420"/>
      <c r="I2584" s="2420"/>
      <c r="J2584" s="2515"/>
      <c r="K2584" s="115">
        <v>200</v>
      </c>
      <c r="L2584" s="115"/>
      <c r="M2584" s="3287" t="s">
        <v>355</v>
      </c>
      <c r="N2584" s="3288"/>
      <c r="O2584" s="42"/>
      <c r="P2584" s="42"/>
      <c r="Q2584" s="42"/>
      <c r="R2584" s="42">
        <v>200</v>
      </c>
      <c r="S2584" s="42"/>
      <c r="T2584" s="42"/>
      <c r="U2584" s="42"/>
      <c r="V2584" s="42"/>
      <c r="W2584" s="42"/>
      <c r="X2584" s="42"/>
      <c r="Y2584" s="42"/>
      <c r="Z2584" s="42"/>
      <c r="AA2584" s="1217">
        <f t="shared" si="390"/>
        <v>200</v>
      </c>
      <c r="AB2584" s="1210"/>
      <c r="AC2584" s="1199"/>
      <c r="AD2584" s="1211"/>
    </row>
    <row r="2585" spans="1:30" x14ac:dyDescent="0.2">
      <c r="A2585" s="1422"/>
      <c r="B2585" s="2522"/>
      <c r="C2585" s="2439"/>
      <c r="D2585" s="2421"/>
      <c r="E2585" s="2421"/>
      <c r="F2585" s="2420"/>
      <c r="G2585" s="2420"/>
      <c r="H2585" s="2420"/>
      <c r="I2585" s="2420"/>
      <c r="J2585" s="2516"/>
      <c r="K2585" s="115">
        <v>2000</v>
      </c>
      <c r="L2585" s="115"/>
      <c r="M2585" s="3287" t="s">
        <v>309</v>
      </c>
      <c r="N2585" s="3288"/>
      <c r="O2585" s="42"/>
      <c r="P2585" s="42"/>
      <c r="Q2585" s="42"/>
      <c r="R2585" s="42">
        <v>400</v>
      </c>
      <c r="S2585" s="42"/>
      <c r="T2585" s="42">
        <v>400</v>
      </c>
      <c r="U2585" s="42"/>
      <c r="V2585" s="42">
        <v>400</v>
      </c>
      <c r="W2585" s="42"/>
      <c r="X2585" s="42">
        <v>400</v>
      </c>
      <c r="Y2585" s="42"/>
      <c r="Z2585" s="42">
        <v>400</v>
      </c>
      <c r="AA2585" s="1217">
        <f t="shared" si="390"/>
        <v>2000</v>
      </c>
      <c r="AB2585" s="1210"/>
      <c r="AC2585" s="1199"/>
      <c r="AD2585" s="1211"/>
    </row>
    <row r="2586" spans="1:30" x14ac:dyDescent="0.2">
      <c r="A2586" s="1422"/>
      <c r="B2586" s="1427" t="s">
        <v>312</v>
      </c>
      <c r="C2586" s="1273"/>
      <c r="D2586" s="38"/>
      <c r="E2586" s="38"/>
      <c r="F2586" s="38"/>
      <c r="G2586" s="38"/>
      <c r="H2586" s="38"/>
      <c r="I2586" s="38"/>
      <c r="J2586" s="38"/>
      <c r="K2586" s="38">
        <f>SUM(K2574:K2585)</f>
        <v>39707</v>
      </c>
      <c r="L2586" s="38"/>
      <c r="M2586" s="38"/>
      <c r="N2586" s="38"/>
      <c r="O2586" s="38"/>
      <c r="P2586" s="38"/>
      <c r="Q2586" s="38"/>
      <c r="R2586" s="38"/>
      <c r="S2586" s="38"/>
      <c r="T2586" s="38"/>
      <c r="U2586" s="38"/>
      <c r="V2586" s="38"/>
      <c r="W2586" s="38"/>
      <c r="X2586" s="38"/>
      <c r="Y2586" s="38"/>
      <c r="Z2586" s="38"/>
      <c r="AA2586" s="1234"/>
      <c r="AB2586" s="1210"/>
      <c r="AC2586" s="1199"/>
      <c r="AD2586" s="1211"/>
    </row>
    <row r="2587" spans="1:30" ht="22.5" x14ac:dyDescent="0.2">
      <c r="A2587" s="1422"/>
      <c r="B2587" s="1433" t="s">
        <v>276</v>
      </c>
      <c r="C2587" s="1121"/>
      <c r="D2587" s="1119">
        <v>3000364</v>
      </c>
      <c r="E2587" s="192" t="s">
        <v>781</v>
      </c>
      <c r="F2587" s="35"/>
      <c r="G2587" s="35"/>
      <c r="H2587" s="35"/>
      <c r="I2587" s="35"/>
      <c r="J2587" s="35"/>
      <c r="K2587" s="60"/>
      <c r="L2587" s="60"/>
      <c r="M2587" s="60"/>
      <c r="N2587" s="60"/>
      <c r="O2587" s="60"/>
      <c r="P2587" s="60"/>
      <c r="Q2587" s="60"/>
      <c r="R2587" s="3333" t="s">
        <v>15</v>
      </c>
      <c r="S2587" s="3333"/>
      <c r="T2587" s="3333"/>
      <c r="U2587" s="3333"/>
      <c r="V2587" s="3333"/>
      <c r="W2587" s="3333"/>
      <c r="X2587" s="3333"/>
      <c r="Y2587" s="3333"/>
      <c r="Z2587" s="3333"/>
      <c r="AA2587" s="2143" t="s">
        <v>16</v>
      </c>
      <c r="AB2587" s="1210"/>
      <c r="AC2587" s="1199"/>
      <c r="AD2587" s="1211"/>
    </row>
    <row r="2588" spans="1:30" x14ac:dyDescent="0.2">
      <c r="A2588" s="1422"/>
      <c r="B2588" s="1433"/>
      <c r="C2588" s="1121"/>
      <c r="D2588" s="1119"/>
      <c r="E2588" s="192"/>
      <c r="F2588" s="35"/>
      <c r="G2588" s="35"/>
      <c r="H2588" s="35"/>
      <c r="I2588" s="35"/>
      <c r="J2588" s="35"/>
      <c r="K2588" s="60"/>
      <c r="L2588" s="60"/>
      <c r="M2588" s="60"/>
      <c r="N2588" s="60"/>
      <c r="O2588" s="60"/>
      <c r="P2588" s="60"/>
      <c r="Q2588" s="60"/>
      <c r="R2588" s="3383" t="s">
        <v>782</v>
      </c>
      <c r="S2588" s="3383"/>
      <c r="T2588" s="3383"/>
      <c r="U2588" s="3383"/>
      <c r="V2588" s="3383"/>
      <c r="W2588" s="3383"/>
      <c r="X2588" s="3383"/>
      <c r="Y2588" s="3383"/>
      <c r="Z2588" s="3383"/>
      <c r="AA2588" s="1214" t="s">
        <v>661</v>
      </c>
      <c r="AB2588" s="1210"/>
      <c r="AC2588" s="1199"/>
      <c r="AD2588" s="1211"/>
    </row>
    <row r="2589" spans="1:30" x14ac:dyDescent="0.2">
      <c r="A2589" s="1422"/>
      <c r="B2589" s="2999" t="s">
        <v>278</v>
      </c>
      <c r="C2589" s="3015" t="s">
        <v>21</v>
      </c>
      <c r="D2589" s="2847" t="s">
        <v>22</v>
      </c>
      <c r="E2589" s="2847" t="s">
        <v>23</v>
      </c>
      <c r="F2589" s="2847" t="s">
        <v>24</v>
      </c>
      <c r="G2589" s="2847" t="s">
        <v>25</v>
      </c>
      <c r="H2589" s="2847" t="s">
        <v>26</v>
      </c>
      <c r="I2589" s="2847" t="s">
        <v>27</v>
      </c>
      <c r="J2589" s="3206" t="s">
        <v>28</v>
      </c>
      <c r="K2589" s="3301"/>
      <c r="L2589" s="2988" t="s">
        <v>279</v>
      </c>
      <c r="M2589" s="3273" t="s">
        <v>280</v>
      </c>
      <c r="N2589" s="3274"/>
      <c r="O2589" s="2847" t="s">
        <v>281</v>
      </c>
      <c r="P2589" s="2847"/>
      <c r="Q2589" s="2847"/>
      <c r="R2589" s="2847"/>
      <c r="S2589" s="2847"/>
      <c r="T2589" s="2847"/>
      <c r="U2589" s="2847"/>
      <c r="V2589" s="2847"/>
      <c r="W2589" s="2847"/>
      <c r="X2589" s="2847"/>
      <c r="Y2589" s="2847"/>
      <c r="Z2589" s="2847"/>
      <c r="AA2589" s="3358" t="s">
        <v>32</v>
      </c>
      <c r="AB2589" s="1210"/>
      <c r="AC2589" s="1199"/>
      <c r="AD2589" s="1211"/>
    </row>
    <row r="2590" spans="1:30" x14ac:dyDescent="0.2">
      <c r="A2590" s="1422"/>
      <c r="B2590" s="2999"/>
      <c r="C2590" s="3359"/>
      <c r="D2590" s="2847"/>
      <c r="E2590" s="2847"/>
      <c r="F2590" s="2847"/>
      <c r="G2590" s="2847"/>
      <c r="H2590" s="2847"/>
      <c r="I2590" s="2847"/>
      <c r="J2590" s="2988" t="s">
        <v>33</v>
      </c>
      <c r="K2590" s="2988" t="s">
        <v>282</v>
      </c>
      <c r="L2590" s="3186"/>
      <c r="M2590" s="3275"/>
      <c r="N2590" s="3276"/>
      <c r="O2590" s="1009" t="s">
        <v>283</v>
      </c>
      <c r="P2590" s="1009" t="s">
        <v>284</v>
      </c>
      <c r="Q2590" s="1009" t="s">
        <v>285</v>
      </c>
      <c r="R2590" s="1009" t="s">
        <v>88</v>
      </c>
      <c r="S2590" s="1009" t="s">
        <v>89</v>
      </c>
      <c r="T2590" s="1009" t="s">
        <v>90</v>
      </c>
      <c r="U2590" s="1009" t="s">
        <v>91</v>
      </c>
      <c r="V2590" s="1009" t="s">
        <v>92</v>
      </c>
      <c r="W2590" s="1009" t="s">
        <v>286</v>
      </c>
      <c r="X2590" s="1009" t="s">
        <v>93</v>
      </c>
      <c r="Y2590" s="1009" t="s">
        <v>94</v>
      </c>
      <c r="Z2590" s="1009" t="s">
        <v>95</v>
      </c>
      <c r="AA2590" s="3358"/>
      <c r="AB2590" s="1210"/>
      <c r="AC2590" s="1199"/>
      <c r="AD2590" s="1211"/>
    </row>
    <row r="2591" spans="1:30" x14ac:dyDescent="0.2">
      <c r="A2591" s="1422"/>
      <c r="B2591" s="2999"/>
      <c r="C2591" s="3359"/>
      <c r="D2591" s="2847"/>
      <c r="E2591" s="2847"/>
      <c r="F2591" s="2847"/>
      <c r="G2591" s="2847"/>
      <c r="H2591" s="2847"/>
      <c r="I2591" s="2847"/>
      <c r="J2591" s="3186"/>
      <c r="K2591" s="3186"/>
      <c r="L2591" s="3186"/>
      <c r="M2591" s="3271" t="s">
        <v>287</v>
      </c>
      <c r="N2591" s="3272"/>
      <c r="O2591" s="1095">
        <v>37</v>
      </c>
      <c r="P2591" s="1095">
        <v>36</v>
      </c>
      <c r="Q2591" s="1095">
        <v>36</v>
      </c>
      <c r="R2591" s="1095">
        <v>36</v>
      </c>
      <c r="S2591" s="1095">
        <v>36</v>
      </c>
      <c r="T2591" s="1095">
        <v>36</v>
      </c>
      <c r="U2591" s="1095">
        <v>37</v>
      </c>
      <c r="V2591" s="1095">
        <v>36</v>
      </c>
      <c r="W2591" s="1095">
        <v>36</v>
      </c>
      <c r="X2591" s="1095">
        <v>36</v>
      </c>
      <c r="Y2591" s="1095">
        <v>36</v>
      </c>
      <c r="Z2591" s="1095">
        <v>37</v>
      </c>
      <c r="AA2591" s="1216">
        <f t="shared" ref="AA2591:AA2594" si="392">SUM(O2591:Z2591)</f>
        <v>435</v>
      </c>
      <c r="AB2591" s="1210"/>
      <c r="AC2591" s="1199"/>
      <c r="AD2591" s="1211"/>
    </row>
    <row r="2592" spans="1:30" x14ac:dyDescent="0.2">
      <c r="A2592" s="1422"/>
      <c r="B2592" s="2999"/>
      <c r="C2592" s="3016"/>
      <c r="D2592" s="2847"/>
      <c r="E2592" s="2847"/>
      <c r="F2592" s="2847"/>
      <c r="G2592" s="2847"/>
      <c r="H2592" s="2847"/>
      <c r="I2592" s="2847"/>
      <c r="J2592" s="2989"/>
      <c r="K2592" s="2989"/>
      <c r="L2592" s="2989"/>
      <c r="M2592" s="3271" t="s">
        <v>34</v>
      </c>
      <c r="N2592" s="3272"/>
      <c r="O2592" s="1095">
        <f>SUM(O2593:O2594)</f>
        <v>0</v>
      </c>
      <c r="P2592" s="1095">
        <f t="shared" ref="P2592:Z2592" si="393">SUM(P2593:P2594)</f>
        <v>0</v>
      </c>
      <c r="Q2592" s="1095">
        <f t="shared" si="393"/>
        <v>0</v>
      </c>
      <c r="R2592" s="1095">
        <f t="shared" si="393"/>
        <v>4780</v>
      </c>
      <c r="S2592" s="1095">
        <f t="shared" si="393"/>
        <v>0</v>
      </c>
      <c r="T2592" s="1095">
        <f t="shared" si="393"/>
        <v>0</v>
      </c>
      <c r="U2592" s="1095">
        <f t="shared" si="393"/>
        <v>0</v>
      </c>
      <c r="V2592" s="1095">
        <f t="shared" si="393"/>
        <v>2280</v>
      </c>
      <c r="W2592" s="1095">
        <f t="shared" si="393"/>
        <v>0</v>
      </c>
      <c r="X2592" s="1095">
        <f t="shared" si="393"/>
        <v>0</v>
      </c>
      <c r="Y2592" s="1095">
        <f t="shared" si="393"/>
        <v>0</v>
      </c>
      <c r="Z2592" s="1095">
        <f t="shared" si="393"/>
        <v>0</v>
      </c>
      <c r="AA2592" s="1216">
        <f t="shared" si="392"/>
        <v>7060</v>
      </c>
      <c r="AB2592" s="1210"/>
      <c r="AC2592" s="1199"/>
      <c r="AD2592" s="1211"/>
    </row>
    <row r="2593" spans="1:30" x14ac:dyDescent="0.2">
      <c r="A2593" s="1422"/>
      <c r="B2593" s="2522">
        <v>5003064</v>
      </c>
      <c r="C2593" s="3190" t="s">
        <v>783</v>
      </c>
      <c r="D2593" s="2421"/>
      <c r="E2593" s="2421" t="s">
        <v>288</v>
      </c>
      <c r="F2593" s="2420" t="s">
        <v>386</v>
      </c>
      <c r="G2593" s="2420" t="s">
        <v>423</v>
      </c>
      <c r="H2593" s="2420"/>
      <c r="I2593" s="2420" t="s">
        <v>780</v>
      </c>
      <c r="J2593" s="2514">
        <v>435</v>
      </c>
      <c r="K2593" s="123">
        <v>4560</v>
      </c>
      <c r="L2593" s="123"/>
      <c r="M2593" s="3287" t="s">
        <v>393</v>
      </c>
      <c r="N2593" s="3288"/>
      <c r="O2593" s="38"/>
      <c r="P2593" s="38"/>
      <c r="Q2593" s="38"/>
      <c r="R2593" s="38">
        <v>2280</v>
      </c>
      <c r="S2593" s="38"/>
      <c r="T2593" s="38"/>
      <c r="U2593" s="38"/>
      <c r="V2593" s="38">
        <v>2280</v>
      </c>
      <c r="W2593" s="38"/>
      <c r="X2593" s="38"/>
      <c r="Y2593" s="38"/>
      <c r="Z2593" s="38"/>
      <c r="AA2593" s="1217">
        <f t="shared" si="392"/>
        <v>4560</v>
      </c>
      <c r="AB2593" s="1210"/>
      <c r="AC2593" s="1199"/>
      <c r="AD2593" s="1211"/>
    </row>
    <row r="2594" spans="1:30" x14ac:dyDescent="0.2">
      <c r="A2594" s="1422"/>
      <c r="B2594" s="2522"/>
      <c r="C2594" s="2439"/>
      <c r="D2594" s="2421"/>
      <c r="E2594" s="2421"/>
      <c r="F2594" s="2420"/>
      <c r="G2594" s="2420"/>
      <c r="H2594" s="2420"/>
      <c r="I2594" s="2420"/>
      <c r="J2594" s="2516"/>
      <c r="K2594" s="123">
        <v>2500</v>
      </c>
      <c r="L2594" s="123"/>
      <c r="M2594" s="3287" t="s">
        <v>343</v>
      </c>
      <c r="N2594" s="3288"/>
      <c r="O2594" s="38"/>
      <c r="P2594" s="38"/>
      <c r="Q2594" s="38"/>
      <c r="R2594" s="38">
        <v>2500</v>
      </c>
      <c r="S2594" s="38"/>
      <c r="T2594" s="38"/>
      <c r="U2594" s="38"/>
      <c r="V2594" s="38"/>
      <c r="W2594" s="38"/>
      <c r="X2594" s="38"/>
      <c r="Y2594" s="38"/>
      <c r="Z2594" s="38"/>
      <c r="AA2594" s="1217">
        <f t="shared" si="392"/>
        <v>2500</v>
      </c>
      <c r="AB2594" s="1210"/>
      <c r="AC2594" s="1199"/>
      <c r="AD2594" s="1211"/>
    </row>
    <row r="2595" spans="1:30" x14ac:dyDescent="0.2">
      <c r="A2595" s="1422"/>
      <c r="B2595" s="1427" t="s">
        <v>312</v>
      </c>
      <c r="C2595" s="1273"/>
      <c r="D2595" s="38"/>
      <c r="E2595" s="38"/>
      <c r="F2595" s="38"/>
      <c r="G2595" s="38"/>
      <c r="H2595" s="38"/>
      <c r="I2595" s="38"/>
      <c r="J2595" s="38"/>
      <c r="K2595" s="38">
        <f>SUM(K2593:K2594)</f>
        <v>7060</v>
      </c>
      <c r="L2595" s="38"/>
      <c r="M2595" s="38"/>
      <c r="N2595" s="38"/>
      <c r="O2595" s="38"/>
      <c r="P2595" s="38"/>
      <c r="Q2595" s="38"/>
      <c r="R2595" s="38"/>
      <c r="S2595" s="38"/>
      <c r="T2595" s="38"/>
      <c r="U2595" s="38"/>
      <c r="V2595" s="38"/>
      <c r="W2595" s="38"/>
      <c r="X2595" s="38"/>
      <c r="Y2595" s="38"/>
      <c r="Z2595" s="38"/>
      <c r="AA2595" s="1234"/>
      <c r="AB2595" s="1210"/>
      <c r="AC2595" s="1199"/>
      <c r="AD2595" s="1211"/>
    </row>
    <row r="2596" spans="1:30" ht="22.5" x14ac:dyDescent="0.2">
      <c r="A2596" s="1422"/>
      <c r="B2596" s="1433" t="s">
        <v>276</v>
      </c>
      <c r="C2596" s="1121"/>
      <c r="D2596" s="1119">
        <v>3000365</v>
      </c>
      <c r="E2596" s="192" t="s">
        <v>784</v>
      </c>
      <c r="F2596" s="35"/>
      <c r="G2596" s="35"/>
      <c r="H2596" s="35"/>
      <c r="I2596" s="35"/>
      <c r="J2596" s="35"/>
      <c r="K2596" s="60"/>
      <c r="L2596" s="60"/>
      <c r="M2596" s="60"/>
      <c r="N2596" s="60"/>
      <c r="O2596" s="60"/>
      <c r="P2596" s="60"/>
      <c r="Q2596" s="60"/>
      <c r="R2596" s="60"/>
      <c r="S2596" s="60"/>
      <c r="T2596" s="3333" t="s">
        <v>15</v>
      </c>
      <c r="U2596" s="3333"/>
      <c r="V2596" s="3333"/>
      <c r="W2596" s="3333"/>
      <c r="X2596" s="3333"/>
      <c r="Y2596" s="3333"/>
      <c r="Z2596" s="3333"/>
      <c r="AA2596" s="1966" t="s">
        <v>16</v>
      </c>
      <c r="AB2596" s="1210"/>
      <c r="AC2596" s="1199"/>
      <c r="AD2596" s="1211"/>
    </row>
    <row r="2597" spans="1:30" x14ac:dyDescent="0.2">
      <c r="A2597" s="1422"/>
      <c r="B2597" s="1433"/>
      <c r="C2597" s="1121"/>
      <c r="D2597" s="1119"/>
      <c r="E2597" s="192"/>
      <c r="F2597" s="35"/>
      <c r="G2597" s="35"/>
      <c r="H2597" s="35"/>
      <c r="I2597" s="35"/>
      <c r="J2597" s="35"/>
      <c r="K2597" s="60"/>
      <c r="L2597" s="60"/>
      <c r="M2597" s="60"/>
      <c r="N2597" s="60"/>
      <c r="O2597" s="60"/>
      <c r="P2597" s="60"/>
      <c r="Q2597" s="60"/>
      <c r="R2597" s="60"/>
      <c r="S2597" s="60"/>
      <c r="T2597" s="3383" t="s">
        <v>785</v>
      </c>
      <c r="U2597" s="3383"/>
      <c r="V2597" s="3383"/>
      <c r="W2597" s="3383"/>
      <c r="X2597" s="3383"/>
      <c r="Y2597" s="3383"/>
      <c r="Z2597" s="3383"/>
      <c r="AA2597" s="1214"/>
      <c r="AB2597" s="1210"/>
      <c r="AC2597" s="1199"/>
      <c r="AD2597" s="1211"/>
    </row>
    <row r="2598" spans="1:30" x14ac:dyDescent="0.2">
      <c r="A2598" s="1422"/>
      <c r="B2598" s="2999" t="s">
        <v>278</v>
      </c>
      <c r="C2598" s="3015" t="s">
        <v>21</v>
      </c>
      <c r="D2598" s="2847" t="s">
        <v>22</v>
      </c>
      <c r="E2598" s="2847" t="s">
        <v>23</v>
      </c>
      <c r="F2598" s="2847" t="s">
        <v>24</v>
      </c>
      <c r="G2598" s="2847" t="s">
        <v>25</v>
      </c>
      <c r="H2598" s="2847" t="s">
        <v>26</v>
      </c>
      <c r="I2598" s="2847" t="s">
        <v>27</v>
      </c>
      <c r="J2598" s="3206" t="s">
        <v>28</v>
      </c>
      <c r="K2598" s="3301"/>
      <c r="L2598" s="2988" t="s">
        <v>279</v>
      </c>
      <c r="M2598" s="3273" t="s">
        <v>280</v>
      </c>
      <c r="N2598" s="3274"/>
      <c r="O2598" s="2847" t="s">
        <v>281</v>
      </c>
      <c r="P2598" s="2847"/>
      <c r="Q2598" s="2847"/>
      <c r="R2598" s="2847"/>
      <c r="S2598" s="2847"/>
      <c r="T2598" s="2847"/>
      <c r="U2598" s="2847"/>
      <c r="V2598" s="2847"/>
      <c r="W2598" s="2847"/>
      <c r="X2598" s="2847"/>
      <c r="Y2598" s="2847"/>
      <c r="Z2598" s="2847"/>
      <c r="AA2598" s="3358" t="s">
        <v>32</v>
      </c>
      <c r="AB2598" s="1210"/>
      <c r="AC2598" s="1199"/>
      <c r="AD2598" s="1211"/>
    </row>
    <row r="2599" spans="1:30" x14ac:dyDescent="0.2">
      <c r="A2599" s="1422"/>
      <c r="B2599" s="2999"/>
      <c r="C2599" s="3359"/>
      <c r="D2599" s="2847"/>
      <c r="E2599" s="2847"/>
      <c r="F2599" s="2847"/>
      <c r="G2599" s="2847"/>
      <c r="H2599" s="2847"/>
      <c r="I2599" s="2847"/>
      <c r="J2599" s="2988" t="s">
        <v>33</v>
      </c>
      <c r="K2599" s="2988" t="s">
        <v>282</v>
      </c>
      <c r="L2599" s="3186"/>
      <c r="M2599" s="3275"/>
      <c r="N2599" s="3276"/>
      <c r="O2599" s="1009" t="s">
        <v>283</v>
      </c>
      <c r="P2599" s="1009" t="s">
        <v>284</v>
      </c>
      <c r="Q2599" s="1009" t="s">
        <v>285</v>
      </c>
      <c r="R2599" s="1009" t="s">
        <v>88</v>
      </c>
      <c r="S2599" s="1009" t="s">
        <v>89</v>
      </c>
      <c r="T2599" s="1009" t="s">
        <v>90</v>
      </c>
      <c r="U2599" s="1009" t="s">
        <v>91</v>
      </c>
      <c r="V2599" s="1009" t="s">
        <v>92</v>
      </c>
      <c r="W2599" s="1009" t="s">
        <v>286</v>
      </c>
      <c r="X2599" s="1009" t="s">
        <v>93</v>
      </c>
      <c r="Y2599" s="1009" t="s">
        <v>94</v>
      </c>
      <c r="Z2599" s="1009" t="s">
        <v>95</v>
      </c>
      <c r="AA2599" s="3358"/>
      <c r="AB2599" s="1210"/>
      <c r="AC2599" s="1199"/>
      <c r="AD2599" s="1211"/>
    </row>
    <row r="2600" spans="1:30" x14ac:dyDescent="0.2">
      <c r="A2600" s="1422"/>
      <c r="B2600" s="2999"/>
      <c r="C2600" s="3359"/>
      <c r="D2600" s="2847"/>
      <c r="E2600" s="2847"/>
      <c r="F2600" s="2847"/>
      <c r="G2600" s="2847"/>
      <c r="H2600" s="2847"/>
      <c r="I2600" s="2847"/>
      <c r="J2600" s="3186"/>
      <c r="K2600" s="3186"/>
      <c r="L2600" s="3186"/>
      <c r="M2600" s="3271" t="s">
        <v>287</v>
      </c>
      <c r="N2600" s="3272"/>
      <c r="O2600" s="1095">
        <v>4</v>
      </c>
      <c r="P2600" s="1095">
        <v>4</v>
      </c>
      <c r="Q2600" s="1095">
        <v>4</v>
      </c>
      <c r="R2600" s="1095">
        <v>4</v>
      </c>
      <c r="S2600" s="1095">
        <v>4</v>
      </c>
      <c r="T2600" s="1095">
        <v>5</v>
      </c>
      <c r="U2600" s="1095">
        <v>5</v>
      </c>
      <c r="V2600" s="1095">
        <v>5</v>
      </c>
      <c r="W2600" s="1095">
        <v>5</v>
      </c>
      <c r="X2600" s="1095">
        <v>5</v>
      </c>
      <c r="Y2600" s="1095">
        <v>5</v>
      </c>
      <c r="Z2600" s="1095">
        <v>5</v>
      </c>
      <c r="AA2600" s="1216">
        <f t="shared" ref="AA2600:AA2612" si="394">SUM(O2600:Z2600)</f>
        <v>55</v>
      </c>
      <c r="AB2600" s="1210"/>
      <c r="AC2600" s="1199"/>
      <c r="AD2600" s="1211"/>
    </row>
    <row r="2601" spans="1:30" x14ac:dyDescent="0.2">
      <c r="A2601" s="1422"/>
      <c r="B2601" s="2999"/>
      <c r="C2601" s="3016"/>
      <c r="D2601" s="2847"/>
      <c r="E2601" s="2847"/>
      <c r="F2601" s="2847"/>
      <c r="G2601" s="2847"/>
      <c r="H2601" s="2847"/>
      <c r="I2601" s="2847"/>
      <c r="J2601" s="2989"/>
      <c r="K2601" s="2989"/>
      <c r="L2601" s="2989"/>
      <c r="M2601" s="3271" t="s">
        <v>34</v>
      </c>
      <c r="N2601" s="3272"/>
      <c r="O2601" s="120">
        <f>SUM(O2602:O2612)</f>
        <v>20263.833333333332</v>
      </c>
      <c r="P2601" s="120">
        <f t="shared" ref="P2601:Z2601" si="395">SUM(P2602:P2612)</f>
        <v>18263.833333333332</v>
      </c>
      <c r="Q2601" s="120">
        <f t="shared" si="395"/>
        <v>20317.833333333332</v>
      </c>
      <c r="R2601" s="120">
        <f t="shared" si="395"/>
        <v>24713.833333333332</v>
      </c>
      <c r="S2601" s="120">
        <f t="shared" si="395"/>
        <v>18263.833333333332</v>
      </c>
      <c r="T2601" s="120">
        <f t="shared" si="395"/>
        <v>18263.833333333332</v>
      </c>
      <c r="U2601" s="120">
        <f t="shared" si="395"/>
        <v>21898.833333333332</v>
      </c>
      <c r="V2601" s="120">
        <f t="shared" si="395"/>
        <v>18263.833333333332</v>
      </c>
      <c r="W2601" s="120">
        <f t="shared" si="395"/>
        <v>18263.833333333332</v>
      </c>
      <c r="X2601" s="120">
        <f t="shared" si="395"/>
        <v>18263.833333333332</v>
      </c>
      <c r="Y2601" s="120">
        <f t="shared" si="395"/>
        <v>18263.833333333332</v>
      </c>
      <c r="Z2601" s="120">
        <f t="shared" si="395"/>
        <v>19844.833333333332</v>
      </c>
      <c r="AA2601" s="1216">
        <f t="shared" si="394"/>
        <v>234886.00000000003</v>
      </c>
      <c r="AB2601" s="1210"/>
      <c r="AC2601" s="1199"/>
      <c r="AD2601" s="1211"/>
    </row>
    <row r="2602" spans="1:30" x14ac:dyDescent="0.2">
      <c r="A2602" s="1422"/>
      <c r="B2602" s="2522">
        <v>5003065</v>
      </c>
      <c r="C2602" s="3190" t="s">
        <v>786</v>
      </c>
      <c r="D2602" s="2421"/>
      <c r="E2602" s="2421" t="s">
        <v>288</v>
      </c>
      <c r="F2602" s="2420" t="s">
        <v>386</v>
      </c>
      <c r="G2602" s="2420" t="s">
        <v>423</v>
      </c>
      <c r="H2602" s="2420"/>
      <c r="I2602" s="2420" t="s">
        <v>780</v>
      </c>
      <c r="J2602" s="2514">
        <v>55</v>
      </c>
      <c r="K2602" s="115">
        <v>59112</v>
      </c>
      <c r="L2602" s="115"/>
      <c r="M2602" s="3287" t="s">
        <v>293</v>
      </c>
      <c r="N2602" s="3288"/>
      <c r="O2602" s="41">
        <v>4926</v>
      </c>
      <c r="P2602" s="41">
        <v>4926</v>
      </c>
      <c r="Q2602" s="41">
        <v>4926</v>
      </c>
      <c r="R2602" s="41">
        <v>4926</v>
      </c>
      <c r="S2602" s="41">
        <v>4926</v>
      </c>
      <c r="T2602" s="41">
        <v>4926</v>
      </c>
      <c r="U2602" s="41">
        <v>4926</v>
      </c>
      <c r="V2602" s="41">
        <v>4926</v>
      </c>
      <c r="W2602" s="41">
        <v>4926</v>
      </c>
      <c r="X2602" s="41">
        <v>4926</v>
      </c>
      <c r="Y2602" s="41">
        <v>4926</v>
      </c>
      <c r="Z2602" s="41">
        <v>4926</v>
      </c>
      <c r="AA2602" s="1217">
        <f t="shared" si="394"/>
        <v>59112</v>
      </c>
      <c r="AB2602" s="1210"/>
      <c r="AC2602" s="1199"/>
      <c r="AD2602" s="1211"/>
    </row>
    <row r="2603" spans="1:30" x14ac:dyDescent="0.2">
      <c r="A2603" s="1422"/>
      <c r="B2603" s="2522"/>
      <c r="C2603" s="3191"/>
      <c r="D2603" s="2421"/>
      <c r="E2603" s="2421"/>
      <c r="F2603" s="2420"/>
      <c r="G2603" s="2420"/>
      <c r="H2603" s="2420"/>
      <c r="I2603" s="2420"/>
      <c r="J2603" s="2515"/>
      <c r="K2603" s="115">
        <v>96320</v>
      </c>
      <c r="L2603" s="115"/>
      <c r="M2603" s="3287" t="s">
        <v>295</v>
      </c>
      <c r="N2603" s="3288"/>
      <c r="O2603" s="41">
        <v>8026.666666666667</v>
      </c>
      <c r="P2603" s="41">
        <v>8026.666666666667</v>
      </c>
      <c r="Q2603" s="41">
        <v>8026.666666666667</v>
      </c>
      <c r="R2603" s="41">
        <v>8026.666666666667</v>
      </c>
      <c r="S2603" s="41">
        <v>8026.666666666667</v>
      </c>
      <c r="T2603" s="41">
        <v>8026.666666666667</v>
      </c>
      <c r="U2603" s="41">
        <v>8026.666666666667</v>
      </c>
      <c r="V2603" s="41">
        <v>8026.666666666667</v>
      </c>
      <c r="W2603" s="41">
        <v>8026.666666666667</v>
      </c>
      <c r="X2603" s="41">
        <v>8026.666666666667</v>
      </c>
      <c r="Y2603" s="41">
        <v>8026.666666666667</v>
      </c>
      <c r="Z2603" s="41">
        <v>8026.666666666667</v>
      </c>
      <c r="AA2603" s="1217">
        <f t="shared" si="394"/>
        <v>96320.000000000015</v>
      </c>
      <c r="AB2603" s="1210"/>
      <c r="AC2603" s="1199"/>
      <c r="AD2603" s="1211"/>
    </row>
    <row r="2604" spans="1:30" x14ac:dyDescent="0.2">
      <c r="A2604" s="1422"/>
      <c r="B2604" s="2522"/>
      <c r="C2604" s="3191"/>
      <c r="D2604" s="2421"/>
      <c r="E2604" s="2421"/>
      <c r="F2604" s="2420"/>
      <c r="G2604" s="2420"/>
      <c r="H2604" s="2420"/>
      <c r="I2604" s="2420"/>
      <c r="J2604" s="2515"/>
      <c r="K2604" s="115">
        <v>44377</v>
      </c>
      <c r="L2604" s="115"/>
      <c r="M2604" s="3287" t="s">
        <v>296</v>
      </c>
      <c r="N2604" s="3288"/>
      <c r="O2604" s="41">
        <v>3698.0833333333335</v>
      </c>
      <c r="P2604" s="41">
        <v>3698.0833333333335</v>
      </c>
      <c r="Q2604" s="41">
        <v>3698.0833333333335</v>
      </c>
      <c r="R2604" s="41">
        <v>3698.0833333333335</v>
      </c>
      <c r="S2604" s="41">
        <v>3698.0833333333335</v>
      </c>
      <c r="T2604" s="41">
        <v>3698.0833333333335</v>
      </c>
      <c r="U2604" s="41">
        <v>3698.0833333333335</v>
      </c>
      <c r="V2604" s="41">
        <v>3698.0833333333335</v>
      </c>
      <c r="W2604" s="41">
        <v>3698.0833333333335</v>
      </c>
      <c r="X2604" s="41">
        <v>3698.0833333333335</v>
      </c>
      <c r="Y2604" s="41">
        <v>3698.0833333333335</v>
      </c>
      <c r="Z2604" s="41">
        <v>3698.0833333333335</v>
      </c>
      <c r="AA2604" s="1217">
        <f t="shared" si="394"/>
        <v>44377.000000000007</v>
      </c>
      <c r="AB2604" s="1210"/>
      <c r="AC2604" s="1199"/>
      <c r="AD2604" s="1211"/>
    </row>
    <row r="2605" spans="1:30" x14ac:dyDescent="0.2">
      <c r="A2605" s="1422"/>
      <c r="B2605" s="2522"/>
      <c r="C2605" s="3191"/>
      <c r="D2605" s="2421"/>
      <c r="E2605" s="2421"/>
      <c r="F2605" s="2420"/>
      <c r="G2605" s="2420"/>
      <c r="H2605" s="2420"/>
      <c r="I2605" s="2420"/>
      <c r="J2605" s="2515"/>
      <c r="K2605" s="115">
        <v>11088</v>
      </c>
      <c r="L2605" s="115"/>
      <c r="M2605" s="3287" t="s">
        <v>297</v>
      </c>
      <c r="N2605" s="3288"/>
      <c r="O2605" s="41">
        <v>924</v>
      </c>
      <c r="P2605" s="41">
        <v>924</v>
      </c>
      <c r="Q2605" s="41">
        <v>924</v>
      </c>
      <c r="R2605" s="41">
        <v>924</v>
      </c>
      <c r="S2605" s="41">
        <v>924</v>
      </c>
      <c r="T2605" s="41">
        <v>924</v>
      </c>
      <c r="U2605" s="41">
        <v>924</v>
      </c>
      <c r="V2605" s="41">
        <v>924</v>
      </c>
      <c r="W2605" s="41">
        <v>924</v>
      </c>
      <c r="X2605" s="41">
        <v>924</v>
      </c>
      <c r="Y2605" s="41">
        <v>924</v>
      </c>
      <c r="Z2605" s="41">
        <v>924</v>
      </c>
      <c r="AA2605" s="1217">
        <f t="shared" si="394"/>
        <v>11088</v>
      </c>
      <c r="AB2605" s="1210"/>
      <c r="AC2605" s="1199"/>
      <c r="AD2605" s="1211"/>
    </row>
    <row r="2606" spans="1:30" x14ac:dyDescent="0.2">
      <c r="A2606" s="1422"/>
      <c r="B2606" s="2522"/>
      <c r="C2606" s="3191"/>
      <c r="D2606" s="2421"/>
      <c r="E2606" s="2421"/>
      <c r="F2606" s="2420"/>
      <c r="G2606" s="2420"/>
      <c r="H2606" s="2420"/>
      <c r="I2606" s="2420"/>
      <c r="J2606" s="2515"/>
      <c r="K2606" s="115">
        <v>3162</v>
      </c>
      <c r="L2606" s="115"/>
      <c r="M2606" s="3287" t="s">
        <v>298</v>
      </c>
      <c r="N2606" s="3288"/>
      <c r="O2606" s="41"/>
      <c r="P2606" s="41"/>
      <c r="Q2606" s="41"/>
      <c r="R2606" s="41"/>
      <c r="S2606" s="41"/>
      <c r="T2606" s="41"/>
      <c r="U2606" s="41">
        <v>1581</v>
      </c>
      <c r="V2606" s="41"/>
      <c r="W2606" s="41"/>
      <c r="X2606" s="41"/>
      <c r="Y2606" s="41"/>
      <c r="Z2606" s="41">
        <v>1581</v>
      </c>
      <c r="AA2606" s="1217">
        <f t="shared" si="394"/>
        <v>3162</v>
      </c>
      <c r="AB2606" s="1210"/>
      <c r="AC2606" s="1199"/>
      <c r="AD2606" s="1211"/>
    </row>
    <row r="2607" spans="1:30" x14ac:dyDescent="0.2">
      <c r="A2607" s="1422"/>
      <c r="B2607" s="2522"/>
      <c r="C2607" s="3191"/>
      <c r="D2607" s="2421"/>
      <c r="E2607" s="2421"/>
      <c r="F2607" s="2420"/>
      <c r="G2607" s="2420"/>
      <c r="H2607" s="2420"/>
      <c r="I2607" s="2420"/>
      <c r="J2607" s="2515"/>
      <c r="K2607" s="115">
        <v>2000</v>
      </c>
      <c r="L2607" s="115"/>
      <c r="M2607" s="3287" t="s">
        <v>299</v>
      </c>
      <c r="N2607" s="3288"/>
      <c r="O2607" s="41">
        <v>2000</v>
      </c>
      <c r="P2607" s="41"/>
      <c r="Q2607" s="41"/>
      <c r="R2607" s="41"/>
      <c r="S2607" s="41"/>
      <c r="T2607" s="41"/>
      <c r="U2607" s="41"/>
      <c r="V2607" s="41"/>
      <c r="W2607" s="41"/>
      <c r="X2607" s="41"/>
      <c r="Y2607" s="41"/>
      <c r="Z2607" s="41"/>
      <c r="AA2607" s="1217">
        <f t="shared" si="394"/>
        <v>2000</v>
      </c>
      <c r="AB2607" s="1210"/>
      <c r="AC2607" s="1199"/>
      <c r="AD2607" s="1211"/>
    </row>
    <row r="2608" spans="1:30" x14ac:dyDescent="0.2">
      <c r="A2608" s="1422"/>
      <c r="B2608" s="2522"/>
      <c r="C2608" s="3191"/>
      <c r="D2608" s="2421"/>
      <c r="E2608" s="2421"/>
      <c r="F2608" s="2420"/>
      <c r="G2608" s="2420"/>
      <c r="H2608" s="2420"/>
      <c r="I2608" s="2420"/>
      <c r="J2608" s="2515"/>
      <c r="K2608" s="115">
        <v>8166</v>
      </c>
      <c r="L2608" s="115"/>
      <c r="M2608" s="3287" t="s">
        <v>300</v>
      </c>
      <c r="N2608" s="3288"/>
      <c r="O2608" s="41">
        <v>680.5</v>
      </c>
      <c r="P2608" s="41">
        <v>680.5</v>
      </c>
      <c r="Q2608" s="41">
        <v>680.5</v>
      </c>
      <c r="R2608" s="41">
        <v>680.5</v>
      </c>
      <c r="S2608" s="41">
        <v>680.5</v>
      </c>
      <c r="T2608" s="41">
        <v>680.5</v>
      </c>
      <c r="U2608" s="41">
        <v>680.5</v>
      </c>
      <c r="V2608" s="41">
        <v>680.5</v>
      </c>
      <c r="W2608" s="41">
        <v>680.5</v>
      </c>
      <c r="X2608" s="41">
        <v>680.5</v>
      </c>
      <c r="Y2608" s="41">
        <v>680.5</v>
      </c>
      <c r="Z2608" s="41">
        <v>680.5</v>
      </c>
      <c r="AA2608" s="1217">
        <f t="shared" si="394"/>
        <v>8166</v>
      </c>
      <c r="AB2608" s="1210"/>
      <c r="AC2608" s="1199"/>
      <c r="AD2608" s="1211"/>
    </row>
    <row r="2609" spans="1:30" x14ac:dyDescent="0.2">
      <c r="A2609" s="1422"/>
      <c r="B2609" s="2522"/>
      <c r="C2609" s="3191"/>
      <c r="D2609" s="2421"/>
      <c r="E2609" s="2421"/>
      <c r="F2609" s="2420"/>
      <c r="G2609" s="2420"/>
      <c r="H2609" s="2420"/>
      <c r="I2609" s="2420"/>
      <c r="J2609" s="2515"/>
      <c r="K2609" s="115">
        <v>103</v>
      </c>
      <c r="L2609" s="115"/>
      <c r="M2609" s="3287" t="s">
        <v>301</v>
      </c>
      <c r="N2609" s="3288"/>
      <c r="O2609" s="41">
        <v>8.5833333333333339</v>
      </c>
      <c r="P2609" s="41">
        <v>8.5833333333333339</v>
      </c>
      <c r="Q2609" s="41">
        <v>8.5833333333333339</v>
      </c>
      <c r="R2609" s="41">
        <v>8.5833333333333339</v>
      </c>
      <c r="S2609" s="41">
        <v>8.5833333333333339</v>
      </c>
      <c r="T2609" s="41">
        <v>8.5833333333333339</v>
      </c>
      <c r="U2609" s="41">
        <v>8.5833333333333339</v>
      </c>
      <c r="V2609" s="41">
        <v>8.5833333333333339</v>
      </c>
      <c r="W2609" s="41">
        <v>8.5833333333333339</v>
      </c>
      <c r="X2609" s="41">
        <v>8.5833333333333339</v>
      </c>
      <c r="Y2609" s="41">
        <v>8.5833333333333339</v>
      </c>
      <c r="Z2609" s="41">
        <v>8.5833333333333339</v>
      </c>
      <c r="AA2609" s="1217">
        <f t="shared" si="394"/>
        <v>102.99999999999999</v>
      </c>
      <c r="AB2609" s="1210"/>
      <c r="AC2609" s="1199"/>
      <c r="AD2609" s="1211"/>
    </row>
    <row r="2610" spans="1:30" x14ac:dyDescent="0.2">
      <c r="A2610" s="1422"/>
      <c r="B2610" s="2522"/>
      <c r="C2610" s="3191"/>
      <c r="D2610" s="2421"/>
      <c r="E2610" s="2421"/>
      <c r="F2610" s="2420"/>
      <c r="G2610" s="2420"/>
      <c r="H2610" s="2420"/>
      <c r="I2610" s="2420"/>
      <c r="J2610" s="2515"/>
      <c r="K2610" s="115">
        <v>2240</v>
      </c>
      <c r="L2610" s="115"/>
      <c r="M2610" s="3287" t="s">
        <v>393</v>
      </c>
      <c r="N2610" s="3288"/>
      <c r="O2610" s="41"/>
      <c r="P2610" s="41"/>
      <c r="Q2610" s="41"/>
      <c r="R2610" s="41">
        <v>2240</v>
      </c>
      <c r="S2610" s="41"/>
      <c r="T2610" s="41"/>
      <c r="U2610" s="41"/>
      <c r="V2610" s="41"/>
      <c r="W2610" s="41"/>
      <c r="X2610" s="41"/>
      <c r="Y2610" s="41"/>
      <c r="Z2610" s="41"/>
      <c r="AA2610" s="1217">
        <f t="shared" si="394"/>
        <v>2240</v>
      </c>
      <c r="AB2610" s="1210"/>
      <c r="AC2610" s="1199"/>
      <c r="AD2610" s="1211"/>
    </row>
    <row r="2611" spans="1:30" x14ac:dyDescent="0.2">
      <c r="A2611" s="1422"/>
      <c r="B2611" s="2522"/>
      <c r="C2611" s="3191"/>
      <c r="D2611" s="2421"/>
      <c r="E2611" s="2421"/>
      <c r="F2611" s="2420"/>
      <c r="G2611" s="2420"/>
      <c r="H2611" s="2420"/>
      <c r="I2611" s="2420"/>
      <c r="J2611" s="2515"/>
      <c r="K2611" s="115">
        <v>4210</v>
      </c>
      <c r="L2611" s="115"/>
      <c r="M2611" s="3287" t="s">
        <v>343</v>
      </c>
      <c r="N2611" s="3288"/>
      <c r="O2611" s="41"/>
      <c r="P2611" s="41"/>
      <c r="Q2611" s="41"/>
      <c r="R2611" s="41">
        <v>4210</v>
      </c>
      <c r="S2611" s="41"/>
      <c r="T2611" s="41"/>
      <c r="U2611" s="41"/>
      <c r="V2611" s="41"/>
      <c r="W2611" s="41"/>
      <c r="X2611" s="41"/>
      <c r="Y2611" s="41"/>
      <c r="Z2611" s="41"/>
      <c r="AA2611" s="1217">
        <f t="shared" si="394"/>
        <v>4210</v>
      </c>
      <c r="AB2611" s="1210"/>
      <c r="AC2611" s="1199"/>
      <c r="AD2611" s="1211"/>
    </row>
    <row r="2612" spans="1:30" x14ac:dyDescent="0.2">
      <c r="A2612" s="1422"/>
      <c r="B2612" s="2522"/>
      <c r="C2612" s="2439"/>
      <c r="D2612" s="2421"/>
      <c r="E2612" s="2421"/>
      <c r="F2612" s="2420"/>
      <c r="G2612" s="2420"/>
      <c r="H2612" s="2420"/>
      <c r="I2612" s="2420"/>
      <c r="J2612" s="2516"/>
      <c r="K2612" s="115">
        <v>4108</v>
      </c>
      <c r="L2612" s="115"/>
      <c r="M2612" s="3287" t="s">
        <v>764</v>
      </c>
      <c r="N2612" s="3288"/>
      <c r="O2612" s="41"/>
      <c r="P2612" s="41"/>
      <c r="Q2612" s="41">
        <v>2054</v>
      </c>
      <c r="R2612" s="41"/>
      <c r="S2612" s="41"/>
      <c r="T2612" s="41"/>
      <c r="U2612" s="41">
        <v>2054</v>
      </c>
      <c r="V2612" s="41"/>
      <c r="W2612" s="41"/>
      <c r="X2612" s="41"/>
      <c r="Y2612" s="41"/>
      <c r="Z2612" s="41"/>
      <c r="AA2612" s="1217">
        <f t="shared" si="394"/>
        <v>4108</v>
      </c>
      <c r="AB2612" s="1210"/>
      <c r="AC2612" s="1199"/>
      <c r="AD2612" s="1211"/>
    </row>
    <row r="2613" spans="1:30" x14ac:dyDescent="0.2">
      <c r="A2613" s="1422"/>
      <c r="B2613" s="1427" t="s">
        <v>312</v>
      </c>
      <c r="C2613" s="1273"/>
      <c r="D2613" s="38"/>
      <c r="E2613" s="38"/>
      <c r="F2613" s="38"/>
      <c r="G2613" s="38"/>
      <c r="H2613" s="38"/>
      <c r="I2613" s="38"/>
      <c r="J2613" s="38"/>
      <c r="K2613" s="38">
        <f>SUM(K2602:K2612)</f>
        <v>234886</v>
      </c>
      <c r="L2613" s="38"/>
      <c r="M2613" s="38"/>
      <c r="N2613" s="38"/>
      <c r="O2613" s="38"/>
      <c r="P2613" s="38"/>
      <c r="Q2613" s="38"/>
      <c r="R2613" s="38"/>
      <c r="S2613" s="38"/>
      <c r="T2613" s="38"/>
      <c r="U2613" s="38"/>
      <c r="V2613" s="38"/>
      <c r="W2613" s="38"/>
      <c r="X2613" s="38"/>
      <c r="Y2613" s="38"/>
      <c r="Z2613" s="38"/>
      <c r="AA2613" s="1234"/>
      <c r="AB2613" s="1210"/>
      <c r="AC2613" s="1199"/>
      <c r="AD2613" s="1211"/>
    </row>
    <row r="2614" spans="1:30" ht="22.5" x14ac:dyDescent="0.2">
      <c r="A2614" s="1422"/>
      <c r="B2614" s="1433" t="s">
        <v>276</v>
      </c>
      <c r="C2614" s="1121"/>
      <c r="D2614" s="1119">
        <v>3000366</v>
      </c>
      <c r="E2614" s="192" t="s">
        <v>787</v>
      </c>
      <c r="F2614" s="35"/>
      <c r="G2614" s="35"/>
      <c r="H2614" s="35"/>
      <c r="I2614" s="35"/>
      <c r="J2614" s="35"/>
      <c r="K2614" s="60"/>
      <c r="L2614" s="60"/>
      <c r="M2614" s="60"/>
      <c r="N2614" s="60"/>
      <c r="O2614" s="60"/>
      <c r="P2614" s="60"/>
      <c r="Q2614" s="60"/>
      <c r="R2614" s="60"/>
      <c r="S2614" s="3333" t="s">
        <v>15</v>
      </c>
      <c r="T2614" s="3333"/>
      <c r="U2614" s="3333"/>
      <c r="V2614" s="3333"/>
      <c r="W2614" s="3333"/>
      <c r="X2614" s="3333"/>
      <c r="Y2614" s="3333"/>
      <c r="Z2614" s="3333"/>
      <c r="AA2614" s="1966" t="s">
        <v>16</v>
      </c>
      <c r="AB2614" s="1210"/>
      <c r="AC2614" s="1199"/>
      <c r="AD2614" s="1211"/>
    </row>
    <row r="2615" spans="1:30" x14ac:dyDescent="0.2">
      <c r="A2615" s="1422"/>
      <c r="B2615" s="1433"/>
      <c r="C2615" s="1121"/>
      <c r="D2615" s="1119"/>
      <c r="E2615" s="192"/>
      <c r="F2615" s="35"/>
      <c r="G2615" s="35"/>
      <c r="H2615" s="35"/>
      <c r="I2615" s="35"/>
      <c r="J2615" s="35"/>
      <c r="K2615" s="60"/>
      <c r="L2615" s="60"/>
      <c r="M2615" s="60"/>
      <c r="N2615" s="60"/>
      <c r="O2615" s="60"/>
      <c r="P2615" s="60"/>
      <c r="Q2615" s="60"/>
      <c r="R2615" s="60"/>
      <c r="S2615" s="3383" t="s">
        <v>788</v>
      </c>
      <c r="T2615" s="3383"/>
      <c r="U2615" s="3383"/>
      <c r="V2615" s="3383"/>
      <c r="W2615" s="3383"/>
      <c r="X2615" s="3383"/>
      <c r="Y2615" s="3383"/>
      <c r="Z2615" s="3383"/>
      <c r="AA2615" s="1214" t="s">
        <v>661</v>
      </c>
      <c r="AB2615" s="1210"/>
      <c r="AC2615" s="1199"/>
      <c r="AD2615" s="1211"/>
    </row>
    <row r="2616" spans="1:30" x14ac:dyDescent="0.2">
      <c r="A2616" s="1422"/>
      <c r="B2616" s="2999" t="s">
        <v>278</v>
      </c>
      <c r="C2616" s="3015" t="s">
        <v>21</v>
      </c>
      <c r="D2616" s="2847" t="s">
        <v>22</v>
      </c>
      <c r="E2616" s="2847" t="s">
        <v>23</v>
      </c>
      <c r="F2616" s="2847" t="s">
        <v>24</v>
      </c>
      <c r="G2616" s="2847" t="s">
        <v>25</v>
      </c>
      <c r="H2616" s="2847" t="s">
        <v>26</v>
      </c>
      <c r="I2616" s="2847" t="s">
        <v>27</v>
      </c>
      <c r="J2616" s="3206" t="s">
        <v>28</v>
      </c>
      <c r="K2616" s="3301"/>
      <c r="L2616" s="2988" t="s">
        <v>279</v>
      </c>
      <c r="M2616" s="3273" t="s">
        <v>280</v>
      </c>
      <c r="N2616" s="3274"/>
      <c r="O2616" s="2847" t="s">
        <v>281</v>
      </c>
      <c r="P2616" s="2847"/>
      <c r="Q2616" s="2847"/>
      <c r="R2616" s="2847"/>
      <c r="S2616" s="2847"/>
      <c r="T2616" s="2847"/>
      <c r="U2616" s="2847"/>
      <c r="V2616" s="2847"/>
      <c r="W2616" s="2847"/>
      <c r="X2616" s="2847"/>
      <c r="Y2616" s="2847"/>
      <c r="Z2616" s="2847"/>
      <c r="AA2616" s="3358" t="s">
        <v>32</v>
      </c>
      <c r="AB2616" s="1210"/>
      <c r="AC2616" s="1199"/>
      <c r="AD2616" s="1211"/>
    </row>
    <row r="2617" spans="1:30" x14ac:dyDescent="0.2">
      <c r="A2617" s="1422"/>
      <c r="B2617" s="2999"/>
      <c r="C2617" s="3359"/>
      <c r="D2617" s="2847"/>
      <c r="E2617" s="2847"/>
      <c r="F2617" s="2847"/>
      <c r="G2617" s="2847"/>
      <c r="H2617" s="2847"/>
      <c r="I2617" s="2847"/>
      <c r="J2617" s="2988" t="s">
        <v>33</v>
      </c>
      <c r="K2617" s="2988" t="s">
        <v>282</v>
      </c>
      <c r="L2617" s="3186"/>
      <c r="M2617" s="3275"/>
      <c r="N2617" s="3276"/>
      <c r="O2617" s="1009" t="s">
        <v>283</v>
      </c>
      <c r="P2617" s="1009" t="s">
        <v>284</v>
      </c>
      <c r="Q2617" s="1009" t="s">
        <v>285</v>
      </c>
      <c r="R2617" s="1009" t="s">
        <v>88</v>
      </c>
      <c r="S2617" s="1009" t="s">
        <v>89</v>
      </c>
      <c r="T2617" s="1009" t="s">
        <v>90</v>
      </c>
      <c r="U2617" s="1009" t="s">
        <v>91</v>
      </c>
      <c r="V2617" s="1009" t="s">
        <v>92</v>
      </c>
      <c r="W2617" s="1009" t="s">
        <v>286</v>
      </c>
      <c r="X2617" s="1009" t="s">
        <v>93</v>
      </c>
      <c r="Y2617" s="1009" t="s">
        <v>94</v>
      </c>
      <c r="Z2617" s="1009" t="s">
        <v>95</v>
      </c>
      <c r="AA2617" s="3358"/>
      <c r="AB2617" s="1210"/>
      <c r="AC2617" s="1199"/>
      <c r="AD2617" s="1211"/>
    </row>
    <row r="2618" spans="1:30" x14ac:dyDescent="0.2">
      <c r="A2618" s="1422"/>
      <c r="B2618" s="2999"/>
      <c r="C2618" s="3359"/>
      <c r="D2618" s="2847"/>
      <c r="E2618" s="2847"/>
      <c r="F2618" s="2847"/>
      <c r="G2618" s="2847"/>
      <c r="H2618" s="2847"/>
      <c r="I2618" s="2847"/>
      <c r="J2618" s="3186"/>
      <c r="K2618" s="3186"/>
      <c r="L2618" s="3186"/>
      <c r="M2618" s="3271" t="s">
        <v>287</v>
      </c>
      <c r="N2618" s="3272"/>
      <c r="O2618" s="1095">
        <v>2</v>
      </c>
      <c r="P2618" s="1095">
        <v>2</v>
      </c>
      <c r="Q2618" s="1095">
        <v>2</v>
      </c>
      <c r="R2618" s="1095">
        <v>2</v>
      </c>
      <c r="S2618" s="1095">
        <v>2</v>
      </c>
      <c r="T2618" s="1095">
        <v>2</v>
      </c>
      <c r="U2618" s="1095">
        <v>2</v>
      </c>
      <c r="V2618" s="1095">
        <v>2</v>
      </c>
      <c r="W2618" s="1095">
        <v>2</v>
      </c>
      <c r="X2618" s="1095">
        <v>2</v>
      </c>
      <c r="Y2618" s="1095">
        <v>2</v>
      </c>
      <c r="Z2618" s="1095">
        <v>2</v>
      </c>
      <c r="AA2618" s="1216">
        <f t="shared" ref="AA2618:AA2628" si="396">SUM(O2618:Z2618)</f>
        <v>24</v>
      </c>
      <c r="AB2618" s="1210"/>
      <c r="AC2618" s="1199"/>
      <c r="AD2618" s="1211"/>
    </row>
    <row r="2619" spans="1:30" x14ac:dyDescent="0.2">
      <c r="A2619" s="1422"/>
      <c r="B2619" s="2999"/>
      <c r="C2619" s="3016"/>
      <c r="D2619" s="2847"/>
      <c r="E2619" s="2847"/>
      <c r="F2619" s="2847"/>
      <c r="G2619" s="2847"/>
      <c r="H2619" s="2847"/>
      <c r="I2619" s="2847"/>
      <c r="J2619" s="2989"/>
      <c r="K2619" s="2989"/>
      <c r="L2619" s="2989"/>
      <c r="M2619" s="3271" t="s">
        <v>34</v>
      </c>
      <c r="N2619" s="3272"/>
      <c r="O2619" s="120">
        <f>SUM(O2620:O2628)</f>
        <v>18248.833333333332</v>
      </c>
      <c r="P2619" s="120">
        <f t="shared" ref="P2619:Z2619" si="397">SUM(P2620:P2628)</f>
        <v>17448.833333333332</v>
      </c>
      <c r="Q2619" s="120">
        <f t="shared" si="397"/>
        <v>17448.833333333332</v>
      </c>
      <c r="R2619" s="120">
        <f t="shared" si="397"/>
        <v>18968.833333333332</v>
      </c>
      <c r="S2619" s="120">
        <f t="shared" si="397"/>
        <v>17448.833333333332</v>
      </c>
      <c r="T2619" s="120">
        <f t="shared" si="397"/>
        <v>17448.833333333332</v>
      </c>
      <c r="U2619" s="120">
        <f t="shared" si="397"/>
        <v>18102.833333333332</v>
      </c>
      <c r="V2619" s="120">
        <f t="shared" si="397"/>
        <v>17448.833333333332</v>
      </c>
      <c r="W2619" s="120">
        <f t="shared" si="397"/>
        <v>17448.833333333332</v>
      </c>
      <c r="X2619" s="120">
        <f t="shared" si="397"/>
        <v>17448.833333333332</v>
      </c>
      <c r="Y2619" s="120">
        <f t="shared" si="397"/>
        <v>17448.833333333332</v>
      </c>
      <c r="Z2619" s="120">
        <f t="shared" si="397"/>
        <v>18102.833333333332</v>
      </c>
      <c r="AA2619" s="1216">
        <f t="shared" si="396"/>
        <v>213014.00000000003</v>
      </c>
      <c r="AB2619" s="1210"/>
      <c r="AC2619" s="1199"/>
      <c r="AD2619" s="1211"/>
    </row>
    <row r="2620" spans="1:30" x14ac:dyDescent="0.2">
      <c r="A2620" s="1422"/>
      <c r="B2620" s="2522">
        <v>5003066</v>
      </c>
      <c r="C2620" s="3190" t="s">
        <v>789</v>
      </c>
      <c r="D2620" s="2421"/>
      <c r="E2620" s="2421" t="s">
        <v>288</v>
      </c>
      <c r="F2620" s="2420" t="s">
        <v>386</v>
      </c>
      <c r="G2620" s="2420" t="s">
        <v>423</v>
      </c>
      <c r="H2620" s="2420"/>
      <c r="I2620" s="2420" t="s">
        <v>780</v>
      </c>
      <c r="J2620" s="2514">
        <v>24</v>
      </c>
      <c r="K2620" s="115">
        <v>41808</v>
      </c>
      <c r="L2620" s="115"/>
      <c r="M2620" s="3287" t="s">
        <v>295</v>
      </c>
      <c r="N2620" s="3288"/>
      <c r="O2620" s="41">
        <v>3484</v>
      </c>
      <c r="P2620" s="41">
        <v>3484</v>
      </c>
      <c r="Q2620" s="41">
        <v>3484</v>
      </c>
      <c r="R2620" s="41">
        <v>3484</v>
      </c>
      <c r="S2620" s="41">
        <v>3484</v>
      </c>
      <c r="T2620" s="41">
        <v>3484</v>
      </c>
      <c r="U2620" s="41">
        <v>3484</v>
      </c>
      <c r="V2620" s="41">
        <v>3484</v>
      </c>
      <c r="W2620" s="41">
        <v>3484</v>
      </c>
      <c r="X2620" s="41">
        <v>3484</v>
      </c>
      <c r="Y2620" s="41">
        <v>3484</v>
      </c>
      <c r="Z2620" s="41">
        <v>3484</v>
      </c>
      <c r="AA2620" s="1217">
        <f t="shared" si="396"/>
        <v>41808</v>
      </c>
      <c r="AB2620" s="1210"/>
      <c r="AC2620" s="1199"/>
      <c r="AD2620" s="1211"/>
    </row>
    <row r="2621" spans="1:30" x14ac:dyDescent="0.2">
      <c r="A2621" s="1422"/>
      <c r="B2621" s="2522"/>
      <c r="C2621" s="3191"/>
      <c r="D2621" s="2421"/>
      <c r="E2621" s="2421"/>
      <c r="F2621" s="2420"/>
      <c r="G2621" s="2420"/>
      <c r="H2621" s="2420"/>
      <c r="I2621" s="2420"/>
      <c r="J2621" s="2515"/>
      <c r="K2621" s="115">
        <v>12724</v>
      </c>
      <c r="L2621" s="115"/>
      <c r="M2621" s="3287" t="s">
        <v>296</v>
      </c>
      <c r="N2621" s="3288"/>
      <c r="O2621" s="41">
        <v>1060.3333333333333</v>
      </c>
      <c r="P2621" s="41">
        <v>1060.3333333333333</v>
      </c>
      <c r="Q2621" s="41">
        <v>1060.3333333333333</v>
      </c>
      <c r="R2621" s="41">
        <v>1060.3333333333333</v>
      </c>
      <c r="S2621" s="41">
        <v>1060.3333333333333</v>
      </c>
      <c r="T2621" s="41">
        <v>1060.3333333333333</v>
      </c>
      <c r="U2621" s="41">
        <v>1060.3333333333333</v>
      </c>
      <c r="V2621" s="41">
        <v>1060.3333333333333</v>
      </c>
      <c r="W2621" s="41">
        <v>1060.3333333333333</v>
      </c>
      <c r="X2621" s="41">
        <v>1060.3333333333333</v>
      </c>
      <c r="Y2621" s="41">
        <v>1060.3333333333333</v>
      </c>
      <c r="Z2621" s="41">
        <v>1060.3333333333333</v>
      </c>
      <c r="AA2621" s="1217">
        <f t="shared" si="396"/>
        <v>12724.000000000002</v>
      </c>
      <c r="AB2621" s="1210"/>
      <c r="AC2621" s="1199"/>
      <c r="AD2621" s="1211"/>
    </row>
    <row r="2622" spans="1:30" x14ac:dyDescent="0.2">
      <c r="A2622" s="1422"/>
      <c r="B2622" s="2522"/>
      <c r="C2622" s="3191"/>
      <c r="D2622" s="2421"/>
      <c r="E2622" s="2421"/>
      <c r="F2622" s="2420"/>
      <c r="G2622" s="2420"/>
      <c r="H2622" s="2420"/>
      <c r="I2622" s="2420"/>
      <c r="J2622" s="2515"/>
      <c r="K2622" s="115">
        <v>3792</v>
      </c>
      <c r="L2622" s="115"/>
      <c r="M2622" s="3287" t="s">
        <v>297</v>
      </c>
      <c r="N2622" s="3288"/>
      <c r="O2622" s="41">
        <v>316</v>
      </c>
      <c r="P2622" s="41">
        <v>316</v>
      </c>
      <c r="Q2622" s="41">
        <v>316</v>
      </c>
      <c r="R2622" s="41">
        <v>316</v>
      </c>
      <c r="S2622" s="41">
        <v>316</v>
      </c>
      <c r="T2622" s="41">
        <v>316</v>
      </c>
      <c r="U2622" s="41">
        <v>316</v>
      </c>
      <c r="V2622" s="41">
        <v>316</v>
      </c>
      <c r="W2622" s="41">
        <v>316</v>
      </c>
      <c r="X2622" s="41">
        <v>316</v>
      </c>
      <c r="Y2622" s="41">
        <v>316</v>
      </c>
      <c r="Z2622" s="41">
        <v>316</v>
      </c>
      <c r="AA2622" s="1217">
        <f t="shared" si="396"/>
        <v>3792</v>
      </c>
      <c r="AB2622" s="1210"/>
      <c r="AC2622" s="1199"/>
      <c r="AD2622" s="1211"/>
    </row>
    <row r="2623" spans="1:30" x14ac:dyDescent="0.2">
      <c r="A2623" s="1422"/>
      <c r="B2623" s="2522"/>
      <c r="C2623" s="3191"/>
      <c r="D2623" s="2421"/>
      <c r="E2623" s="2421"/>
      <c r="F2623" s="2420"/>
      <c r="G2623" s="2420"/>
      <c r="H2623" s="2420"/>
      <c r="I2623" s="2420"/>
      <c r="J2623" s="2515"/>
      <c r="K2623" s="115">
        <v>1308</v>
      </c>
      <c r="L2623" s="115"/>
      <c r="M2623" s="3287" t="s">
        <v>298</v>
      </c>
      <c r="N2623" s="3288"/>
      <c r="O2623" s="41"/>
      <c r="P2623" s="41"/>
      <c r="Q2623" s="41"/>
      <c r="R2623" s="41"/>
      <c r="S2623" s="41"/>
      <c r="T2623" s="41"/>
      <c r="U2623" s="41">
        <v>654</v>
      </c>
      <c r="V2623" s="41"/>
      <c r="W2623" s="41"/>
      <c r="X2623" s="41"/>
      <c r="Y2623" s="41"/>
      <c r="Z2623" s="41">
        <v>654</v>
      </c>
      <c r="AA2623" s="1217">
        <f t="shared" si="396"/>
        <v>1308</v>
      </c>
      <c r="AB2623" s="1210"/>
      <c r="AC2623" s="1199"/>
      <c r="AD2623" s="1211"/>
    </row>
    <row r="2624" spans="1:30" x14ac:dyDescent="0.2">
      <c r="A2624" s="1422"/>
      <c r="B2624" s="2522"/>
      <c r="C2624" s="3191"/>
      <c r="D2624" s="2421"/>
      <c r="E2624" s="2421"/>
      <c r="F2624" s="2420"/>
      <c r="G2624" s="2420"/>
      <c r="H2624" s="2420"/>
      <c r="I2624" s="2420"/>
      <c r="J2624" s="2515"/>
      <c r="K2624" s="115">
        <v>800</v>
      </c>
      <c r="L2624" s="115"/>
      <c r="M2624" s="3287" t="s">
        <v>299</v>
      </c>
      <c r="N2624" s="3288"/>
      <c r="O2624" s="41">
        <v>800</v>
      </c>
      <c r="P2624" s="41"/>
      <c r="Q2624" s="41"/>
      <c r="R2624" s="41"/>
      <c r="S2624" s="41"/>
      <c r="T2624" s="41"/>
      <c r="U2624" s="41"/>
      <c r="V2624" s="41"/>
      <c r="W2624" s="41"/>
      <c r="X2624" s="41"/>
      <c r="Y2624" s="41"/>
      <c r="Z2624" s="41"/>
      <c r="AA2624" s="1217">
        <f t="shared" si="396"/>
        <v>800</v>
      </c>
      <c r="AB2624" s="1210"/>
      <c r="AC2624" s="1199"/>
      <c r="AD2624" s="1211"/>
    </row>
    <row r="2625" spans="1:30" x14ac:dyDescent="0.2">
      <c r="A2625" s="1422"/>
      <c r="B2625" s="2522"/>
      <c r="C2625" s="3191"/>
      <c r="D2625" s="2421"/>
      <c r="E2625" s="2421"/>
      <c r="F2625" s="2420"/>
      <c r="G2625" s="2420"/>
      <c r="H2625" s="2420"/>
      <c r="I2625" s="2420"/>
      <c r="J2625" s="2515"/>
      <c r="K2625" s="115">
        <v>2658</v>
      </c>
      <c r="L2625" s="115"/>
      <c r="M2625" s="3287" t="s">
        <v>300</v>
      </c>
      <c r="N2625" s="3288"/>
      <c r="O2625" s="41">
        <v>221.5</v>
      </c>
      <c r="P2625" s="41">
        <v>221.5</v>
      </c>
      <c r="Q2625" s="41">
        <v>221.5</v>
      </c>
      <c r="R2625" s="41">
        <v>221.5</v>
      </c>
      <c r="S2625" s="41">
        <v>221.5</v>
      </c>
      <c r="T2625" s="41">
        <v>221.5</v>
      </c>
      <c r="U2625" s="41">
        <v>221.5</v>
      </c>
      <c r="V2625" s="41">
        <v>221.5</v>
      </c>
      <c r="W2625" s="41">
        <v>221.5</v>
      </c>
      <c r="X2625" s="41">
        <v>221.5</v>
      </c>
      <c r="Y2625" s="41">
        <v>221.5</v>
      </c>
      <c r="Z2625" s="41">
        <v>221.5</v>
      </c>
      <c r="AA2625" s="1217">
        <f t="shared" si="396"/>
        <v>2658</v>
      </c>
      <c r="AB2625" s="1210"/>
      <c r="AC2625" s="1199"/>
      <c r="AD2625" s="1211"/>
    </row>
    <row r="2626" spans="1:30" x14ac:dyDescent="0.2">
      <c r="A2626" s="1422"/>
      <c r="B2626" s="2522"/>
      <c r="C2626" s="3191"/>
      <c r="D2626" s="2421"/>
      <c r="E2626" s="2421"/>
      <c r="F2626" s="2420"/>
      <c r="G2626" s="2420"/>
      <c r="H2626" s="2420"/>
      <c r="I2626" s="2420"/>
      <c r="J2626" s="2515"/>
      <c r="K2626" s="115">
        <v>1520</v>
      </c>
      <c r="L2626" s="115"/>
      <c r="M2626" s="3287" t="s">
        <v>393</v>
      </c>
      <c r="N2626" s="3288"/>
      <c r="O2626" s="41"/>
      <c r="P2626" s="41"/>
      <c r="Q2626" s="41"/>
      <c r="R2626" s="41">
        <v>1520</v>
      </c>
      <c r="S2626" s="41"/>
      <c r="T2626" s="41"/>
      <c r="U2626" s="41"/>
      <c r="V2626" s="41"/>
      <c r="W2626" s="41"/>
      <c r="X2626" s="41"/>
      <c r="Y2626" s="41"/>
      <c r="Z2626" s="41"/>
      <c r="AA2626" s="1217">
        <f t="shared" si="396"/>
        <v>1520</v>
      </c>
      <c r="AB2626" s="1210"/>
      <c r="AC2626" s="1199"/>
      <c r="AD2626" s="1211"/>
    </row>
    <row r="2627" spans="1:30" x14ac:dyDescent="0.2">
      <c r="A2627" s="1422"/>
      <c r="B2627" s="2522"/>
      <c r="C2627" s="3191"/>
      <c r="D2627" s="2421"/>
      <c r="E2627" s="2421"/>
      <c r="F2627" s="2420"/>
      <c r="G2627" s="2420"/>
      <c r="H2627" s="2420"/>
      <c r="I2627" s="2420"/>
      <c r="J2627" s="2515"/>
      <c r="K2627" s="115">
        <v>137849</v>
      </c>
      <c r="L2627" s="115"/>
      <c r="M2627" s="3287" t="s">
        <v>310</v>
      </c>
      <c r="N2627" s="3288"/>
      <c r="O2627" s="41">
        <v>11487.416666666666</v>
      </c>
      <c r="P2627" s="41">
        <v>11487.416666666666</v>
      </c>
      <c r="Q2627" s="41">
        <v>11487.416666666666</v>
      </c>
      <c r="R2627" s="41">
        <v>11487.416666666666</v>
      </c>
      <c r="S2627" s="41">
        <v>11487.416666666666</v>
      </c>
      <c r="T2627" s="41">
        <v>11487.416666666666</v>
      </c>
      <c r="U2627" s="41">
        <v>11487.416666666666</v>
      </c>
      <c r="V2627" s="41">
        <v>11487.416666666666</v>
      </c>
      <c r="W2627" s="41">
        <v>11487.416666666666</v>
      </c>
      <c r="X2627" s="41">
        <v>11487.416666666666</v>
      </c>
      <c r="Y2627" s="41">
        <v>11487.416666666666</v>
      </c>
      <c r="Z2627" s="41">
        <v>11487.416666666666</v>
      </c>
      <c r="AA2627" s="1217">
        <f t="shared" si="396"/>
        <v>137849.00000000003</v>
      </c>
      <c r="AB2627" s="1210"/>
      <c r="AC2627" s="1199"/>
      <c r="AD2627" s="1211"/>
    </row>
    <row r="2628" spans="1:30" x14ac:dyDescent="0.2">
      <c r="A2628" s="1422"/>
      <c r="B2628" s="2522"/>
      <c r="C2628" s="2439"/>
      <c r="D2628" s="2421"/>
      <c r="E2628" s="2421"/>
      <c r="F2628" s="2420"/>
      <c r="G2628" s="2420"/>
      <c r="H2628" s="2420"/>
      <c r="I2628" s="2420"/>
      <c r="J2628" s="2516"/>
      <c r="K2628" s="115">
        <v>10555</v>
      </c>
      <c r="L2628" s="115"/>
      <c r="M2628" s="3287" t="s">
        <v>311</v>
      </c>
      <c r="N2628" s="3288"/>
      <c r="O2628" s="41">
        <v>879.58333333333337</v>
      </c>
      <c r="P2628" s="41">
        <v>879.58333333333337</v>
      </c>
      <c r="Q2628" s="41">
        <v>879.58333333333337</v>
      </c>
      <c r="R2628" s="41">
        <v>879.58333333333337</v>
      </c>
      <c r="S2628" s="41">
        <v>879.58333333333337</v>
      </c>
      <c r="T2628" s="41">
        <v>879.58333333333337</v>
      </c>
      <c r="U2628" s="41">
        <v>879.58333333333337</v>
      </c>
      <c r="V2628" s="41">
        <v>879.58333333333337</v>
      </c>
      <c r="W2628" s="41">
        <v>879.58333333333337</v>
      </c>
      <c r="X2628" s="41">
        <v>879.58333333333337</v>
      </c>
      <c r="Y2628" s="41">
        <v>879.58333333333337</v>
      </c>
      <c r="Z2628" s="41">
        <v>879.58333333333337</v>
      </c>
      <c r="AA2628" s="1217">
        <f t="shared" si="396"/>
        <v>10555</v>
      </c>
      <c r="AB2628" s="1210"/>
      <c r="AC2628" s="1199"/>
      <c r="AD2628" s="1211"/>
    </row>
    <row r="2629" spans="1:30" x14ac:dyDescent="0.2">
      <c r="A2629" s="1422"/>
      <c r="B2629" s="1427" t="s">
        <v>312</v>
      </c>
      <c r="C2629" s="1273"/>
      <c r="D2629" s="38"/>
      <c r="E2629" s="38"/>
      <c r="F2629" s="38"/>
      <c r="G2629" s="38"/>
      <c r="H2629" s="38"/>
      <c r="I2629" s="38"/>
      <c r="J2629" s="38"/>
      <c r="K2629" s="38">
        <f>SUM(K2620:K2628)</f>
        <v>213014</v>
      </c>
      <c r="L2629" s="38"/>
      <c r="M2629" s="38"/>
      <c r="N2629" s="38"/>
      <c r="O2629" s="38"/>
      <c r="P2629" s="38"/>
      <c r="Q2629" s="38"/>
      <c r="R2629" s="38"/>
      <c r="S2629" s="38"/>
      <c r="T2629" s="38"/>
      <c r="U2629" s="38"/>
      <c r="V2629" s="38"/>
      <c r="W2629" s="38"/>
      <c r="X2629" s="38"/>
      <c r="Y2629" s="38"/>
      <c r="Z2629" s="38"/>
      <c r="AA2629" s="1234"/>
      <c r="AB2629" s="1210"/>
      <c r="AC2629" s="1199"/>
      <c r="AD2629" s="1211"/>
    </row>
    <row r="2630" spans="1:30" ht="22.5" x14ac:dyDescent="0.2">
      <c r="A2630" s="1422"/>
      <c r="B2630" s="1433" t="s">
        <v>276</v>
      </c>
      <c r="C2630" s="1121"/>
      <c r="D2630" s="1119">
        <v>3000367</v>
      </c>
      <c r="E2630" s="192" t="s">
        <v>790</v>
      </c>
      <c r="F2630" s="35"/>
      <c r="G2630" s="35"/>
      <c r="H2630" s="35"/>
      <c r="I2630" s="35"/>
      <c r="J2630" s="35"/>
      <c r="K2630" s="60"/>
      <c r="L2630" s="60"/>
      <c r="M2630" s="60"/>
      <c r="N2630" s="60"/>
      <c r="O2630" s="60"/>
      <c r="P2630" s="60"/>
      <c r="Q2630" s="60"/>
      <c r="R2630" s="60"/>
      <c r="S2630" s="3333" t="s">
        <v>15</v>
      </c>
      <c r="T2630" s="3333"/>
      <c r="U2630" s="3333"/>
      <c r="V2630" s="3333"/>
      <c r="W2630" s="3333"/>
      <c r="X2630" s="3333"/>
      <c r="Y2630" s="3333"/>
      <c r="Z2630" s="3333"/>
      <c r="AA2630" s="1966" t="s">
        <v>16</v>
      </c>
      <c r="AB2630" s="1210"/>
      <c r="AC2630" s="1199"/>
      <c r="AD2630" s="1211"/>
    </row>
    <row r="2631" spans="1:30" x14ac:dyDescent="0.2">
      <c r="A2631" s="1422"/>
      <c r="B2631" s="1433"/>
      <c r="C2631" s="1121"/>
      <c r="D2631" s="1119"/>
      <c r="E2631" s="192"/>
      <c r="F2631" s="35"/>
      <c r="G2631" s="35"/>
      <c r="H2631" s="35"/>
      <c r="I2631" s="35"/>
      <c r="J2631" s="35"/>
      <c r="K2631" s="60"/>
      <c r="L2631" s="60"/>
      <c r="M2631" s="60"/>
      <c r="N2631" s="60"/>
      <c r="O2631" s="60"/>
      <c r="P2631" s="60"/>
      <c r="Q2631" s="60"/>
      <c r="R2631" s="60"/>
      <c r="S2631" s="3383" t="s">
        <v>791</v>
      </c>
      <c r="T2631" s="3383"/>
      <c r="U2631" s="3383"/>
      <c r="V2631" s="3383"/>
      <c r="W2631" s="3383"/>
      <c r="X2631" s="3383"/>
      <c r="Y2631" s="3383"/>
      <c r="Z2631" s="3383"/>
      <c r="AA2631" s="1214" t="s">
        <v>661</v>
      </c>
      <c r="AB2631" s="1210"/>
      <c r="AC2631" s="1199"/>
      <c r="AD2631" s="1211"/>
    </row>
    <row r="2632" spans="1:30" x14ac:dyDescent="0.2">
      <c r="A2632" s="1422"/>
      <c r="B2632" s="2999" t="s">
        <v>278</v>
      </c>
      <c r="C2632" s="3015" t="s">
        <v>21</v>
      </c>
      <c r="D2632" s="2847" t="s">
        <v>22</v>
      </c>
      <c r="E2632" s="2847" t="s">
        <v>23</v>
      </c>
      <c r="F2632" s="2847" t="s">
        <v>24</v>
      </c>
      <c r="G2632" s="2847" t="s">
        <v>25</v>
      </c>
      <c r="H2632" s="2847" t="s">
        <v>26</v>
      </c>
      <c r="I2632" s="2847" t="s">
        <v>27</v>
      </c>
      <c r="J2632" s="3206" t="s">
        <v>28</v>
      </c>
      <c r="K2632" s="3301"/>
      <c r="L2632" s="2988" t="s">
        <v>279</v>
      </c>
      <c r="M2632" s="3273" t="s">
        <v>280</v>
      </c>
      <c r="N2632" s="3274"/>
      <c r="O2632" s="2847" t="s">
        <v>281</v>
      </c>
      <c r="P2632" s="2847"/>
      <c r="Q2632" s="2847"/>
      <c r="R2632" s="2847"/>
      <c r="S2632" s="2847"/>
      <c r="T2632" s="2847"/>
      <c r="U2632" s="2847"/>
      <c r="V2632" s="2847"/>
      <c r="W2632" s="2847"/>
      <c r="X2632" s="2847"/>
      <c r="Y2632" s="2847"/>
      <c r="Z2632" s="2847"/>
      <c r="AA2632" s="3358" t="s">
        <v>32</v>
      </c>
      <c r="AB2632" s="1210"/>
      <c r="AC2632" s="1199"/>
      <c r="AD2632" s="1211"/>
    </row>
    <row r="2633" spans="1:30" x14ac:dyDescent="0.2">
      <c r="A2633" s="1422"/>
      <c r="B2633" s="2999"/>
      <c r="C2633" s="3359"/>
      <c r="D2633" s="2847"/>
      <c r="E2633" s="2847"/>
      <c r="F2633" s="2847"/>
      <c r="G2633" s="2847"/>
      <c r="H2633" s="2847"/>
      <c r="I2633" s="2847"/>
      <c r="J2633" s="2988" t="s">
        <v>33</v>
      </c>
      <c r="K2633" s="2988" t="s">
        <v>282</v>
      </c>
      <c r="L2633" s="3186"/>
      <c r="M2633" s="3275"/>
      <c r="N2633" s="3276"/>
      <c r="O2633" s="1009" t="s">
        <v>283</v>
      </c>
      <c r="P2633" s="1009" t="s">
        <v>284</v>
      </c>
      <c r="Q2633" s="1009" t="s">
        <v>285</v>
      </c>
      <c r="R2633" s="1009" t="s">
        <v>88</v>
      </c>
      <c r="S2633" s="1009" t="s">
        <v>89</v>
      </c>
      <c r="T2633" s="1009" t="s">
        <v>90</v>
      </c>
      <c r="U2633" s="1009" t="s">
        <v>91</v>
      </c>
      <c r="V2633" s="1009" t="s">
        <v>92</v>
      </c>
      <c r="W2633" s="1009" t="s">
        <v>286</v>
      </c>
      <c r="X2633" s="1009" t="s">
        <v>93</v>
      </c>
      <c r="Y2633" s="1009" t="s">
        <v>94</v>
      </c>
      <c r="Z2633" s="1009" t="s">
        <v>95</v>
      </c>
      <c r="AA2633" s="3358"/>
      <c r="AB2633" s="1210"/>
      <c r="AC2633" s="1199"/>
      <c r="AD2633" s="1211"/>
    </row>
    <row r="2634" spans="1:30" x14ac:dyDescent="0.2">
      <c r="A2634" s="1422"/>
      <c r="B2634" s="2999"/>
      <c r="C2634" s="3359"/>
      <c r="D2634" s="2847"/>
      <c r="E2634" s="2847"/>
      <c r="F2634" s="2847"/>
      <c r="G2634" s="2847"/>
      <c r="H2634" s="2847"/>
      <c r="I2634" s="2847"/>
      <c r="J2634" s="3186"/>
      <c r="K2634" s="3186"/>
      <c r="L2634" s="3186"/>
      <c r="M2634" s="3271" t="s">
        <v>287</v>
      </c>
      <c r="N2634" s="3272"/>
      <c r="O2634" s="1095">
        <v>6</v>
      </c>
      <c r="P2634" s="1095">
        <v>6</v>
      </c>
      <c r="Q2634" s="1095">
        <v>6</v>
      </c>
      <c r="R2634" s="1095">
        <v>6</v>
      </c>
      <c r="S2634" s="1095">
        <v>6</v>
      </c>
      <c r="T2634" s="1095">
        <v>6</v>
      </c>
      <c r="U2634" s="1095">
        <v>6</v>
      </c>
      <c r="V2634" s="1095">
        <v>6</v>
      </c>
      <c r="W2634" s="1095">
        <v>5</v>
      </c>
      <c r="X2634" s="1095">
        <v>5</v>
      </c>
      <c r="Y2634" s="1095">
        <v>6</v>
      </c>
      <c r="Z2634" s="1095">
        <v>6</v>
      </c>
      <c r="AA2634" s="1216">
        <f t="shared" ref="AA2634:AA2647" si="398">SUM(O2634:Z2634)</f>
        <v>70</v>
      </c>
      <c r="AB2634" s="1210"/>
      <c r="AC2634" s="1199"/>
      <c r="AD2634" s="1211"/>
    </row>
    <row r="2635" spans="1:30" x14ac:dyDescent="0.2">
      <c r="A2635" s="1422"/>
      <c r="B2635" s="2999"/>
      <c r="C2635" s="3016"/>
      <c r="D2635" s="2847"/>
      <c r="E2635" s="2847"/>
      <c r="F2635" s="2847"/>
      <c r="G2635" s="2847"/>
      <c r="H2635" s="2847"/>
      <c r="I2635" s="2847"/>
      <c r="J2635" s="2989"/>
      <c r="K2635" s="2989"/>
      <c r="L2635" s="2989"/>
      <c r="M2635" s="3271" t="s">
        <v>34</v>
      </c>
      <c r="N2635" s="3272"/>
      <c r="O2635" s="120">
        <f>SUM(O2636:O2647)</f>
        <v>9599</v>
      </c>
      <c r="P2635" s="120">
        <f t="shared" ref="P2635:Z2635" si="399">SUM(P2636:P2647)</f>
        <v>8799</v>
      </c>
      <c r="Q2635" s="120">
        <f t="shared" si="399"/>
        <v>10029</v>
      </c>
      <c r="R2635" s="120">
        <f t="shared" si="399"/>
        <v>14619</v>
      </c>
      <c r="S2635" s="120">
        <f t="shared" si="399"/>
        <v>8799</v>
      </c>
      <c r="T2635" s="120">
        <f t="shared" si="399"/>
        <v>8799</v>
      </c>
      <c r="U2635" s="120">
        <f t="shared" si="399"/>
        <v>9453</v>
      </c>
      <c r="V2635" s="120">
        <f t="shared" si="399"/>
        <v>8799</v>
      </c>
      <c r="W2635" s="120">
        <f t="shared" si="399"/>
        <v>8799</v>
      </c>
      <c r="X2635" s="120">
        <f t="shared" si="399"/>
        <v>8799</v>
      </c>
      <c r="Y2635" s="120">
        <f t="shared" si="399"/>
        <v>8799</v>
      </c>
      <c r="Z2635" s="120">
        <f t="shared" si="399"/>
        <v>9453</v>
      </c>
      <c r="AA2635" s="1216">
        <f t="shared" si="398"/>
        <v>114746</v>
      </c>
      <c r="AB2635" s="1210"/>
      <c r="AC2635" s="1199"/>
      <c r="AD2635" s="1211"/>
    </row>
    <row r="2636" spans="1:30" x14ac:dyDescent="0.2">
      <c r="A2636" s="1422"/>
      <c r="B2636" s="2522">
        <v>5003067</v>
      </c>
      <c r="C2636" s="3190" t="s">
        <v>792</v>
      </c>
      <c r="D2636" s="2421"/>
      <c r="E2636" s="2421" t="s">
        <v>288</v>
      </c>
      <c r="F2636" s="2420" t="s">
        <v>386</v>
      </c>
      <c r="G2636" s="2420" t="s">
        <v>423</v>
      </c>
      <c r="H2636" s="2420"/>
      <c r="I2636" s="2420" t="s">
        <v>780</v>
      </c>
      <c r="J2636" s="2514">
        <v>70</v>
      </c>
      <c r="K2636" s="115">
        <v>21504</v>
      </c>
      <c r="L2636" s="115"/>
      <c r="M2636" s="3287" t="s">
        <v>295</v>
      </c>
      <c r="N2636" s="3288"/>
      <c r="O2636" s="41">
        <v>1792</v>
      </c>
      <c r="P2636" s="41">
        <v>1792</v>
      </c>
      <c r="Q2636" s="41">
        <v>1792</v>
      </c>
      <c r="R2636" s="41">
        <v>1792</v>
      </c>
      <c r="S2636" s="41">
        <v>1792</v>
      </c>
      <c r="T2636" s="41">
        <v>1792</v>
      </c>
      <c r="U2636" s="41">
        <v>1792</v>
      </c>
      <c r="V2636" s="41">
        <v>1792</v>
      </c>
      <c r="W2636" s="41">
        <v>1792</v>
      </c>
      <c r="X2636" s="41">
        <v>1792</v>
      </c>
      <c r="Y2636" s="41">
        <v>1792</v>
      </c>
      <c r="Z2636" s="41">
        <v>1792</v>
      </c>
      <c r="AA2636" s="1217">
        <f t="shared" si="398"/>
        <v>21504</v>
      </c>
      <c r="AB2636" s="1210"/>
      <c r="AC2636" s="1199"/>
      <c r="AD2636" s="1211"/>
    </row>
    <row r="2637" spans="1:30" x14ac:dyDescent="0.2">
      <c r="A2637" s="1422"/>
      <c r="B2637" s="2522"/>
      <c r="C2637" s="3191"/>
      <c r="D2637" s="2421"/>
      <c r="E2637" s="2421"/>
      <c r="F2637" s="2420"/>
      <c r="G2637" s="2420"/>
      <c r="H2637" s="2420"/>
      <c r="I2637" s="2420"/>
      <c r="J2637" s="2515"/>
      <c r="K2637" s="115">
        <v>20688</v>
      </c>
      <c r="L2637" s="115"/>
      <c r="M2637" s="3287" t="s">
        <v>332</v>
      </c>
      <c r="N2637" s="3288"/>
      <c r="O2637" s="41">
        <v>1724</v>
      </c>
      <c r="P2637" s="41">
        <v>1724</v>
      </c>
      <c r="Q2637" s="41">
        <v>1724</v>
      </c>
      <c r="R2637" s="41">
        <v>1724</v>
      </c>
      <c r="S2637" s="41">
        <v>1724</v>
      </c>
      <c r="T2637" s="41">
        <v>1724</v>
      </c>
      <c r="U2637" s="41">
        <v>1724</v>
      </c>
      <c r="V2637" s="41">
        <v>1724</v>
      </c>
      <c r="W2637" s="41">
        <v>1724</v>
      </c>
      <c r="X2637" s="41">
        <v>1724</v>
      </c>
      <c r="Y2637" s="41">
        <v>1724</v>
      </c>
      <c r="Z2637" s="41">
        <v>1724</v>
      </c>
      <c r="AA2637" s="1217">
        <f t="shared" si="398"/>
        <v>20688</v>
      </c>
      <c r="AB2637" s="1210"/>
      <c r="AC2637" s="1199"/>
      <c r="AD2637" s="1211"/>
    </row>
    <row r="2638" spans="1:30" x14ac:dyDescent="0.2">
      <c r="A2638" s="1422"/>
      <c r="B2638" s="2522"/>
      <c r="C2638" s="3191"/>
      <c r="D2638" s="2421"/>
      <c r="E2638" s="2421"/>
      <c r="F2638" s="2420"/>
      <c r="G2638" s="2420"/>
      <c r="H2638" s="2420"/>
      <c r="I2638" s="2420"/>
      <c r="J2638" s="2515"/>
      <c r="K2638" s="115">
        <v>14340</v>
      </c>
      <c r="L2638" s="115"/>
      <c r="M2638" s="3287" t="s">
        <v>296</v>
      </c>
      <c r="N2638" s="3288"/>
      <c r="O2638" s="41">
        <v>1195</v>
      </c>
      <c r="P2638" s="41">
        <v>1195</v>
      </c>
      <c r="Q2638" s="41">
        <v>1195</v>
      </c>
      <c r="R2638" s="41">
        <v>1195</v>
      </c>
      <c r="S2638" s="41">
        <v>1195</v>
      </c>
      <c r="T2638" s="41">
        <v>1195</v>
      </c>
      <c r="U2638" s="41">
        <v>1195</v>
      </c>
      <c r="V2638" s="41">
        <v>1195</v>
      </c>
      <c r="W2638" s="41">
        <v>1195</v>
      </c>
      <c r="X2638" s="41">
        <v>1195</v>
      </c>
      <c r="Y2638" s="41">
        <v>1195</v>
      </c>
      <c r="Z2638" s="41">
        <v>1195</v>
      </c>
      <c r="AA2638" s="1217">
        <f t="shared" si="398"/>
        <v>14340</v>
      </c>
      <c r="AB2638" s="1210"/>
      <c r="AC2638" s="1199"/>
      <c r="AD2638" s="1211"/>
    </row>
    <row r="2639" spans="1:30" x14ac:dyDescent="0.2">
      <c r="A2639" s="1422"/>
      <c r="B2639" s="2522"/>
      <c r="C2639" s="3191"/>
      <c r="D2639" s="2421"/>
      <c r="E2639" s="2421"/>
      <c r="F2639" s="2420"/>
      <c r="G2639" s="2420"/>
      <c r="H2639" s="2420"/>
      <c r="I2639" s="2420"/>
      <c r="J2639" s="2515"/>
      <c r="K2639" s="115">
        <v>3792</v>
      </c>
      <c r="L2639" s="115"/>
      <c r="M2639" s="3287" t="s">
        <v>297</v>
      </c>
      <c r="N2639" s="3288"/>
      <c r="O2639" s="41">
        <v>316</v>
      </c>
      <c r="P2639" s="41">
        <v>316</v>
      </c>
      <c r="Q2639" s="41">
        <v>316</v>
      </c>
      <c r="R2639" s="41">
        <v>316</v>
      </c>
      <c r="S2639" s="41">
        <v>316</v>
      </c>
      <c r="T2639" s="41">
        <v>316</v>
      </c>
      <c r="U2639" s="41">
        <v>316</v>
      </c>
      <c r="V2639" s="41">
        <v>316</v>
      </c>
      <c r="W2639" s="41">
        <v>316</v>
      </c>
      <c r="X2639" s="41">
        <v>316</v>
      </c>
      <c r="Y2639" s="41">
        <v>316</v>
      </c>
      <c r="Z2639" s="41">
        <v>316</v>
      </c>
      <c r="AA2639" s="1217">
        <f t="shared" si="398"/>
        <v>3792</v>
      </c>
      <c r="AB2639" s="1210"/>
      <c r="AC2639" s="1199"/>
      <c r="AD2639" s="1211"/>
    </row>
    <row r="2640" spans="1:30" x14ac:dyDescent="0.2">
      <c r="A2640" s="1422"/>
      <c r="B2640" s="2522"/>
      <c r="C2640" s="3191"/>
      <c r="D2640" s="2421"/>
      <c r="E2640" s="2421"/>
      <c r="F2640" s="2420"/>
      <c r="G2640" s="2420"/>
      <c r="H2640" s="2420"/>
      <c r="I2640" s="2420"/>
      <c r="J2640" s="2515"/>
      <c r="K2640" s="115">
        <v>1308</v>
      </c>
      <c r="L2640" s="115"/>
      <c r="M2640" s="3287" t="s">
        <v>298</v>
      </c>
      <c r="N2640" s="3288"/>
      <c r="O2640" s="41"/>
      <c r="P2640" s="41"/>
      <c r="Q2640" s="41"/>
      <c r="R2640" s="41"/>
      <c r="S2640" s="41"/>
      <c r="T2640" s="41"/>
      <c r="U2640" s="41">
        <v>654</v>
      </c>
      <c r="V2640" s="41"/>
      <c r="W2640" s="41"/>
      <c r="X2640" s="41"/>
      <c r="Y2640" s="41"/>
      <c r="Z2640" s="41">
        <v>654</v>
      </c>
      <c r="AA2640" s="1217">
        <f t="shared" si="398"/>
        <v>1308</v>
      </c>
      <c r="AB2640" s="1210"/>
      <c r="AC2640" s="1199"/>
      <c r="AD2640" s="1211"/>
    </row>
    <row r="2641" spans="1:30" x14ac:dyDescent="0.2">
      <c r="A2641" s="1422"/>
      <c r="B2641" s="2522"/>
      <c r="C2641" s="3191"/>
      <c r="D2641" s="2421"/>
      <c r="E2641" s="2421"/>
      <c r="F2641" s="2420"/>
      <c r="G2641" s="2420"/>
      <c r="H2641" s="2420"/>
      <c r="I2641" s="2420"/>
      <c r="J2641" s="2515"/>
      <c r="K2641" s="115">
        <v>800</v>
      </c>
      <c r="L2641" s="115"/>
      <c r="M2641" s="3287" t="s">
        <v>299</v>
      </c>
      <c r="N2641" s="3288"/>
      <c r="O2641" s="41">
        <v>800</v>
      </c>
      <c r="P2641" s="41"/>
      <c r="Q2641" s="41"/>
      <c r="R2641" s="41"/>
      <c r="S2641" s="41"/>
      <c r="T2641" s="41"/>
      <c r="U2641" s="41"/>
      <c r="V2641" s="41"/>
      <c r="W2641" s="41"/>
      <c r="X2641" s="41"/>
      <c r="Y2641" s="41"/>
      <c r="Z2641" s="41"/>
      <c r="AA2641" s="1217">
        <f t="shared" si="398"/>
        <v>800</v>
      </c>
      <c r="AB2641" s="1210"/>
      <c r="AC2641" s="1199"/>
      <c r="AD2641" s="1211"/>
    </row>
    <row r="2642" spans="1:30" x14ac:dyDescent="0.2">
      <c r="A2642" s="1422"/>
      <c r="B2642" s="2522"/>
      <c r="C2642" s="3191"/>
      <c r="D2642" s="2421"/>
      <c r="E2642" s="2421"/>
      <c r="F2642" s="2420"/>
      <c r="G2642" s="2420"/>
      <c r="H2642" s="2420"/>
      <c r="I2642" s="2420"/>
      <c r="J2642" s="2515"/>
      <c r="K2642" s="115">
        <v>2682</v>
      </c>
      <c r="L2642" s="115"/>
      <c r="M2642" s="3287" t="s">
        <v>300</v>
      </c>
      <c r="N2642" s="3288"/>
      <c r="O2642" s="41">
        <v>223.5</v>
      </c>
      <c r="P2642" s="41">
        <v>223.5</v>
      </c>
      <c r="Q2642" s="41">
        <v>223.5</v>
      </c>
      <c r="R2642" s="41">
        <v>223.5</v>
      </c>
      <c r="S2642" s="41">
        <v>223.5</v>
      </c>
      <c r="T2642" s="41">
        <v>223.5</v>
      </c>
      <c r="U2642" s="41">
        <v>223.5</v>
      </c>
      <c r="V2642" s="41">
        <v>223.5</v>
      </c>
      <c r="W2642" s="41">
        <v>223.5</v>
      </c>
      <c r="X2642" s="41">
        <v>223.5</v>
      </c>
      <c r="Y2642" s="41">
        <v>223.5</v>
      </c>
      <c r="Z2642" s="41">
        <v>223.5</v>
      </c>
      <c r="AA2642" s="1217">
        <f t="shared" si="398"/>
        <v>2682</v>
      </c>
      <c r="AB2642" s="1210"/>
      <c r="AC2642" s="1199"/>
      <c r="AD2642" s="1211"/>
    </row>
    <row r="2643" spans="1:30" x14ac:dyDescent="0.2">
      <c r="A2643" s="1422"/>
      <c r="B2643" s="2522"/>
      <c r="C2643" s="3191"/>
      <c r="D2643" s="2421"/>
      <c r="E2643" s="2421"/>
      <c r="F2643" s="2420"/>
      <c r="G2643" s="2420"/>
      <c r="H2643" s="2420"/>
      <c r="I2643" s="2420"/>
      <c r="J2643" s="2515"/>
      <c r="K2643" s="115">
        <v>3260</v>
      </c>
      <c r="L2643" s="115"/>
      <c r="M2643" s="3287" t="s">
        <v>393</v>
      </c>
      <c r="N2643" s="3288"/>
      <c r="O2643" s="41"/>
      <c r="P2643" s="41"/>
      <c r="Q2643" s="41"/>
      <c r="R2643" s="41">
        <v>3260</v>
      </c>
      <c r="S2643" s="41"/>
      <c r="T2643" s="41"/>
      <c r="U2643" s="41"/>
      <c r="V2643" s="41"/>
      <c r="W2643" s="41"/>
      <c r="X2643" s="41"/>
      <c r="Y2643" s="41"/>
      <c r="Z2643" s="41"/>
      <c r="AA2643" s="1217">
        <f t="shared" si="398"/>
        <v>3260</v>
      </c>
      <c r="AB2643" s="1210"/>
      <c r="AC2643" s="1199"/>
      <c r="AD2643" s="1211"/>
    </row>
    <row r="2644" spans="1:30" x14ac:dyDescent="0.2">
      <c r="A2644" s="1422"/>
      <c r="B2644" s="2522"/>
      <c r="C2644" s="3191"/>
      <c r="D2644" s="2421"/>
      <c r="E2644" s="2421"/>
      <c r="F2644" s="2420"/>
      <c r="G2644" s="2420"/>
      <c r="H2644" s="2420"/>
      <c r="I2644" s="2420"/>
      <c r="J2644" s="2515"/>
      <c r="K2644" s="115">
        <v>1230</v>
      </c>
      <c r="L2644" s="115"/>
      <c r="M2644" s="3287" t="s">
        <v>611</v>
      </c>
      <c r="N2644" s="3288"/>
      <c r="O2644" s="41"/>
      <c r="P2644" s="41"/>
      <c r="Q2644" s="41">
        <v>1230</v>
      </c>
      <c r="R2644" s="41"/>
      <c r="S2644" s="41"/>
      <c r="T2644" s="41"/>
      <c r="U2644" s="41"/>
      <c r="V2644" s="41"/>
      <c r="W2644" s="41"/>
      <c r="X2644" s="41"/>
      <c r="Y2644" s="41"/>
      <c r="Z2644" s="41"/>
      <c r="AA2644" s="1217">
        <f t="shared" si="398"/>
        <v>1230</v>
      </c>
      <c r="AB2644" s="1210"/>
      <c r="AC2644" s="1199"/>
      <c r="AD2644" s="1211"/>
    </row>
    <row r="2645" spans="1:30" x14ac:dyDescent="0.2">
      <c r="A2645" s="1422"/>
      <c r="B2645" s="2522"/>
      <c r="C2645" s="3191"/>
      <c r="D2645" s="2421"/>
      <c r="E2645" s="2421"/>
      <c r="F2645" s="2420"/>
      <c r="G2645" s="2420"/>
      <c r="H2645" s="2420"/>
      <c r="I2645" s="2420"/>
      <c r="J2645" s="2515"/>
      <c r="K2645" s="115">
        <v>2560</v>
      </c>
      <c r="L2645" s="115"/>
      <c r="M2645" s="3287" t="s">
        <v>343</v>
      </c>
      <c r="N2645" s="3288"/>
      <c r="O2645" s="41"/>
      <c r="P2645" s="41"/>
      <c r="Q2645" s="41"/>
      <c r="R2645" s="41">
        <v>2560</v>
      </c>
      <c r="S2645" s="41"/>
      <c r="T2645" s="41"/>
      <c r="U2645" s="41"/>
      <c r="V2645" s="41"/>
      <c r="W2645" s="41"/>
      <c r="X2645" s="41"/>
      <c r="Y2645" s="41"/>
      <c r="Z2645" s="41"/>
      <c r="AA2645" s="1217">
        <f t="shared" si="398"/>
        <v>2560</v>
      </c>
      <c r="AB2645" s="1210"/>
      <c r="AC2645" s="1199"/>
      <c r="AD2645" s="1211"/>
    </row>
    <row r="2646" spans="1:30" x14ac:dyDescent="0.2">
      <c r="A2646" s="1422"/>
      <c r="B2646" s="2522"/>
      <c r="C2646" s="3191"/>
      <c r="D2646" s="2421"/>
      <c r="E2646" s="2421"/>
      <c r="F2646" s="2420"/>
      <c r="G2646" s="2420"/>
      <c r="H2646" s="2420"/>
      <c r="I2646" s="2420"/>
      <c r="J2646" s="2515"/>
      <c r="K2646" s="115">
        <v>40800</v>
      </c>
      <c r="L2646" s="115"/>
      <c r="M2646" s="3287" t="s">
        <v>310</v>
      </c>
      <c r="N2646" s="3288"/>
      <c r="O2646" s="41">
        <v>3400</v>
      </c>
      <c r="P2646" s="41">
        <v>3400</v>
      </c>
      <c r="Q2646" s="41">
        <v>3400</v>
      </c>
      <c r="R2646" s="41">
        <v>3400</v>
      </c>
      <c r="S2646" s="41">
        <v>3400</v>
      </c>
      <c r="T2646" s="41">
        <v>3400</v>
      </c>
      <c r="U2646" s="41">
        <v>3400</v>
      </c>
      <c r="V2646" s="41">
        <v>3400</v>
      </c>
      <c r="W2646" s="41">
        <v>3400</v>
      </c>
      <c r="X2646" s="41">
        <v>3400</v>
      </c>
      <c r="Y2646" s="41">
        <v>3400</v>
      </c>
      <c r="Z2646" s="41">
        <v>3400</v>
      </c>
      <c r="AA2646" s="1217">
        <f t="shared" si="398"/>
        <v>40800</v>
      </c>
      <c r="AB2646" s="1210"/>
      <c r="AC2646" s="1199"/>
      <c r="AD2646" s="1211"/>
    </row>
    <row r="2647" spans="1:30" x14ac:dyDescent="0.2">
      <c r="A2647" s="1422"/>
      <c r="B2647" s="2522"/>
      <c r="C2647" s="2439"/>
      <c r="D2647" s="2421"/>
      <c r="E2647" s="2421"/>
      <c r="F2647" s="2420"/>
      <c r="G2647" s="2420"/>
      <c r="H2647" s="2420"/>
      <c r="I2647" s="2420"/>
      <c r="J2647" s="2516"/>
      <c r="K2647" s="115">
        <v>1782</v>
      </c>
      <c r="L2647" s="115"/>
      <c r="M2647" s="3287" t="s">
        <v>311</v>
      </c>
      <c r="N2647" s="3288"/>
      <c r="O2647" s="41">
        <v>148.5</v>
      </c>
      <c r="P2647" s="41">
        <v>148.5</v>
      </c>
      <c r="Q2647" s="41">
        <v>148.5</v>
      </c>
      <c r="R2647" s="41">
        <v>148.5</v>
      </c>
      <c r="S2647" s="41">
        <v>148.5</v>
      </c>
      <c r="T2647" s="41">
        <v>148.5</v>
      </c>
      <c r="U2647" s="41">
        <v>148.5</v>
      </c>
      <c r="V2647" s="41">
        <v>148.5</v>
      </c>
      <c r="W2647" s="41">
        <v>148.5</v>
      </c>
      <c r="X2647" s="41">
        <v>148.5</v>
      </c>
      <c r="Y2647" s="41">
        <v>148.5</v>
      </c>
      <c r="Z2647" s="41">
        <v>148.5</v>
      </c>
      <c r="AA2647" s="1217">
        <f t="shared" si="398"/>
        <v>1782</v>
      </c>
      <c r="AB2647" s="1210"/>
      <c r="AC2647" s="1199"/>
      <c r="AD2647" s="1211"/>
    </row>
    <row r="2648" spans="1:30" x14ac:dyDescent="0.2">
      <c r="A2648" s="1422"/>
      <c r="B2648" s="1427" t="s">
        <v>312</v>
      </c>
      <c r="C2648" s="1273"/>
      <c r="D2648" s="38"/>
      <c r="E2648" s="38"/>
      <c r="F2648" s="38"/>
      <c r="G2648" s="38"/>
      <c r="H2648" s="38"/>
      <c r="I2648" s="38"/>
      <c r="J2648" s="38"/>
      <c r="K2648" s="38">
        <f>SUM(K2636:K2647)</f>
        <v>114746</v>
      </c>
      <c r="L2648" s="38"/>
      <c r="M2648" s="38"/>
      <c r="N2648" s="38"/>
      <c r="O2648" s="38"/>
      <c r="P2648" s="38"/>
      <c r="Q2648" s="38"/>
      <c r="R2648" s="38"/>
      <c r="S2648" s="38"/>
      <c r="T2648" s="38"/>
      <c r="U2648" s="38"/>
      <c r="V2648" s="38"/>
      <c r="W2648" s="38"/>
      <c r="X2648" s="38"/>
      <c r="Y2648" s="38"/>
      <c r="Z2648" s="38"/>
      <c r="AA2648" s="1234"/>
      <c r="AB2648" s="1210"/>
      <c r="AC2648" s="1199"/>
      <c r="AD2648" s="1211"/>
    </row>
    <row r="2649" spans="1:30" ht="22.5" x14ac:dyDescent="0.2">
      <c r="A2649" s="1422"/>
      <c r="B2649" s="1433" t="s">
        <v>276</v>
      </c>
      <c r="C2649" s="1121"/>
      <c r="D2649" s="1119">
        <v>3000368</v>
      </c>
      <c r="E2649" s="192" t="s">
        <v>793</v>
      </c>
      <c r="F2649" s="35"/>
      <c r="G2649" s="35"/>
      <c r="H2649" s="35"/>
      <c r="I2649" s="35"/>
      <c r="J2649" s="35"/>
      <c r="K2649" s="60"/>
      <c r="L2649" s="60"/>
      <c r="M2649" s="60"/>
      <c r="N2649" s="60"/>
      <c r="O2649" s="60"/>
      <c r="P2649" s="60"/>
      <c r="Q2649" s="60"/>
      <c r="R2649" s="60"/>
      <c r="S2649" s="3333" t="s">
        <v>15</v>
      </c>
      <c r="T2649" s="3333"/>
      <c r="U2649" s="3333"/>
      <c r="V2649" s="3333"/>
      <c r="W2649" s="3333"/>
      <c r="X2649" s="3333"/>
      <c r="Y2649" s="3333"/>
      <c r="Z2649" s="3333"/>
      <c r="AA2649" s="1966" t="s">
        <v>16</v>
      </c>
      <c r="AB2649" s="1210"/>
      <c r="AC2649" s="1199"/>
      <c r="AD2649" s="1211"/>
    </row>
    <row r="2650" spans="1:30" x14ac:dyDescent="0.2">
      <c r="A2650" s="1422"/>
      <c r="B2650" s="1433"/>
      <c r="C2650" s="1121"/>
      <c r="D2650" s="1119"/>
      <c r="E2650" s="192"/>
      <c r="F2650" s="35"/>
      <c r="G2650" s="35"/>
      <c r="H2650" s="35"/>
      <c r="I2650" s="35"/>
      <c r="J2650" s="35"/>
      <c r="K2650" s="60"/>
      <c r="L2650" s="60"/>
      <c r="M2650" s="60"/>
      <c r="N2650" s="60"/>
      <c r="O2650" s="60"/>
      <c r="P2650" s="60"/>
      <c r="Q2650" s="60"/>
      <c r="R2650" s="60"/>
      <c r="S2650" s="3383" t="s">
        <v>794</v>
      </c>
      <c r="T2650" s="3383"/>
      <c r="U2650" s="3383"/>
      <c r="V2650" s="3383"/>
      <c r="W2650" s="3383"/>
      <c r="X2650" s="3383"/>
      <c r="Y2650" s="3383"/>
      <c r="Z2650" s="3383"/>
      <c r="AA2650" s="1214" t="s">
        <v>661</v>
      </c>
      <c r="AB2650" s="1210"/>
      <c r="AC2650" s="1199"/>
      <c r="AD2650" s="1211"/>
    </row>
    <row r="2651" spans="1:30" x14ac:dyDescent="0.2">
      <c r="A2651" s="1422"/>
      <c r="B2651" s="2999" t="s">
        <v>278</v>
      </c>
      <c r="C2651" s="3015" t="s">
        <v>21</v>
      </c>
      <c r="D2651" s="2847" t="s">
        <v>22</v>
      </c>
      <c r="E2651" s="2847" t="s">
        <v>23</v>
      </c>
      <c r="F2651" s="2847" t="s">
        <v>24</v>
      </c>
      <c r="G2651" s="2847" t="s">
        <v>25</v>
      </c>
      <c r="H2651" s="2847" t="s">
        <v>26</v>
      </c>
      <c r="I2651" s="2847" t="s">
        <v>27</v>
      </c>
      <c r="J2651" s="3206" t="s">
        <v>28</v>
      </c>
      <c r="K2651" s="3301"/>
      <c r="L2651" s="2988" t="s">
        <v>279</v>
      </c>
      <c r="M2651" s="3273" t="s">
        <v>280</v>
      </c>
      <c r="N2651" s="3274"/>
      <c r="O2651" s="2847" t="s">
        <v>281</v>
      </c>
      <c r="P2651" s="2847"/>
      <c r="Q2651" s="2847"/>
      <c r="R2651" s="2847"/>
      <c r="S2651" s="2847"/>
      <c r="T2651" s="2847"/>
      <c r="U2651" s="2847"/>
      <c r="V2651" s="2847"/>
      <c r="W2651" s="2847"/>
      <c r="X2651" s="2847"/>
      <c r="Y2651" s="2847"/>
      <c r="Z2651" s="2847"/>
      <c r="AA2651" s="3358" t="s">
        <v>32</v>
      </c>
      <c r="AB2651" s="1210"/>
      <c r="AC2651" s="1199"/>
      <c r="AD2651" s="1211"/>
    </row>
    <row r="2652" spans="1:30" x14ac:dyDescent="0.2">
      <c r="A2652" s="1422"/>
      <c r="B2652" s="2999"/>
      <c r="C2652" s="3359"/>
      <c r="D2652" s="2847"/>
      <c r="E2652" s="2847"/>
      <c r="F2652" s="2847"/>
      <c r="G2652" s="2847"/>
      <c r="H2652" s="2847"/>
      <c r="I2652" s="2847"/>
      <c r="J2652" s="2988" t="s">
        <v>33</v>
      </c>
      <c r="K2652" s="2988" t="s">
        <v>282</v>
      </c>
      <c r="L2652" s="3186"/>
      <c r="M2652" s="3275"/>
      <c r="N2652" s="3276"/>
      <c r="O2652" s="1009" t="s">
        <v>283</v>
      </c>
      <c r="P2652" s="1009" t="s">
        <v>284</v>
      </c>
      <c r="Q2652" s="1009" t="s">
        <v>285</v>
      </c>
      <c r="R2652" s="1009" t="s">
        <v>88</v>
      </c>
      <c r="S2652" s="1009" t="s">
        <v>89</v>
      </c>
      <c r="T2652" s="1009" t="s">
        <v>90</v>
      </c>
      <c r="U2652" s="1009" t="s">
        <v>91</v>
      </c>
      <c r="V2652" s="1009" t="s">
        <v>92</v>
      </c>
      <c r="W2652" s="1009" t="s">
        <v>286</v>
      </c>
      <c r="X2652" s="1009" t="s">
        <v>93</v>
      </c>
      <c r="Y2652" s="1009" t="s">
        <v>94</v>
      </c>
      <c r="Z2652" s="1009" t="s">
        <v>95</v>
      </c>
      <c r="AA2652" s="3358"/>
      <c r="AB2652" s="1210"/>
      <c r="AC2652" s="1199"/>
      <c r="AD2652" s="1211"/>
    </row>
    <row r="2653" spans="1:30" x14ac:dyDescent="0.2">
      <c r="A2653" s="1422"/>
      <c r="B2653" s="2999"/>
      <c r="C2653" s="3359"/>
      <c r="D2653" s="2847"/>
      <c r="E2653" s="2847"/>
      <c r="F2653" s="2847"/>
      <c r="G2653" s="2847"/>
      <c r="H2653" s="2847"/>
      <c r="I2653" s="2847"/>
      <c r="J2653" s="3186"/>
      <c r="K2653" s="3186"/>
      <c r="L2653" s="3186"/>
      <c r="M2653" s="3271" t="s">
        <v>287</v>
      </c>
      <c r="N2653" s="3272"/>
      <c r="O2653" s="1095"/>
      <c r="P2653" s="1095"/>
      <c r="Q2653" s="1095">
        <v>1</v>
      </c>
      <c r="R2653" s="1095"/>
      <c r="S2653" s="1095"/>
      <c r="T2653" s="1095"/>
      <c r="U2653" s="1095"/>
      <c r="V2653" s="1095"/>
      <c r="W2653" s="1095"/>
      <c r="X2653" s="1095"/>
      <c r="Y2653" s="1095"/>
      <c r="Z2653" s="1095"/>
      <c r="AA2653" s="1216">
        <f t="shared" ref="AA2653:AA2664" si="400">SUM(O2653:Z2653)</f>
        <v>1</v>
      </c>
      <c r="AB2653" s="1210"/>
      <c r="AC2653" s="1199"/>
      <c r="AD2653" s="1211"/>
    </row>
    <row r="2654" spans="1:30" x14ac:dyDescent="0.2">
      <c r="A2654" s="1422"/>
      <c r="B2654" s="2999"/>
      <c r="C2654" s="3016"/>
      <c r="D2654" s="2847"/>
      <c r="E2654" s="2847"/>
      <c r="F2654" s="2847"/>
      <c r="G2654" s="2847"/>
      <c r="H2654" s="2847"/>
      <c r="I2654" s="2847"/>
      <c r="J2654" s="2989"/>
      <c r="K2654" s="2989"/>
      <c r="L2654" s="2989"/>
      <c r="M2654" s="3271" t="s">
        <v>34</v>
      </c>
      <c r="N2654" s="3272"/>
      <c r="O2654" s="120">
        <f>SUM(O2655:O2664)</f>
        <v>10310.25</v>
      </c>
      <c r="P2654" s="120">
        <f t="shared" ref="P2654:Z2654" si="401">SUM(P2655:P2664)</f>
        <v>9910.25</v>
      </c>
      <c r="Q2654" s="120">
        <f t="shared" si="401"/>
        <v>11114.25</v>
      </c>
      <c r="R2654" s="120">
        <f t="shared" si="401"/>
        <v>15861.25</v>
      </c>
      <c r="S2654" s="120">
        <f t="shared" si="401"/>
        <v>9910.25</v>
      </c>
      <c r="T2654" s="120">
        <f t="shared" si="401"/>
        <v>9910.25</v>
      </c>
      <c r="U2654" s="120">
        <f t="shared" si="401"/>
        <v>10237.25</v>
      </c>
      <c r="V2654" s="120">
        <f t="shared" si="401"/>
        <v>9910.25</v>
      </c>
      <c r="W2654" s="120">
        <f t="shared" si="401"/>
        <v>9910.25</v>
      </c>
      <c r="X2654" s="120">
        <f t="shared" si="401"/>
        <v>9910.25</v>
      </c>
      <c r="Y2654" s="120">
        <f t="shared" si="401"/>
        <v>9910.25</v>
      </c>
      <c r="Z2654" s="120">
        <f t="shared" si="401"/>
        <v>10237.25</v>
      </c>
      <c r="AA2654" s="1216">
        <f t="shared" si="400"/>
        <v>127132</v>
      </c>
      <c r="AB2654" s="1210"/>
      <c r="AC2654" s="1199"/>
      <c r="AD2654" s="1211"/>
    </row>
    <row r="2655" spans="1:30" x14ac:dyDescent="0.2">
      <c r="A2655" s="1422"/>
      <c r="B2655" s="2522">
        <v>5003068</v>
      </c>
      <c r="C2655" s="3190" t="s">
        <v>795</v>
      </c>
      <c r="D2655" s="2421"/>
      <c r="E2655" s="2421" t="s">
        <v>288</v>
      </c>
      <c r="F2655" s="2420" t="s">
        <v>386</v>
      </c>
      <c r="G2655" s="2420" t="s">
        <v>423</v>
      </c>
      <c r="H2655" s="2420"/>
      <c r="I2655" s="2420" t="s">
        <v>780</v>
      </c>
      <c r="J2655" s="2514">
        <v>1</v>
      </c>
      <c r="K2655" s="115">
        <v>63960</v>
      </c>
      <c r="L2655" s="115"/>
      <c r="M2655" s="3287" t="s">
        <v>293</v>
      </c>
      <c r="N2655" s="3288"/>
      <c r="O2655" s="41">
        <v>5330</v>
      </c>
      <c r="P2655" s="41">
        <v>5330</v>
      </c>
      <c r="Q2655" s="41">
        <v>5330</v>
      </c>
      <c r="R2655" s="41">
        <v>5330</v>
      </c>
      <c r="S2655" s="41">
        <v>5330</v>
      </c>
      <c r="T2655" s="41">
        <v>5330</v>
      </c>
      <c r="U2655" s="41">
        <v>5330</v>
      </c>
      <c r="V2655" s="41">
        <v>5330</v>
      </c>
      <c r="W2655" s="41">
        <v>5330</v>
      </c>
      <c r="X2655" s="41">
        <v>5330</v>
      </c>
      <c r="Y2655" s="41">
        <v>5330</v>
      </c>
      <c r="Z2655" s="41">
        <v>5330</v>
      </c>
      <c r="AA2655" s="1217">
        <f t="shared" si="400"/>
        <v>63960</v>
      </c>
      <c r="AB2655" s="1210"/>
      <c r="AC2655" s="1199"/>
      <c r="AD2655" s="1211"/>
    </row>
    <row r="2656" spans="1:30" x14ac:dyDescent="0.2">
      <c r="A2656" s="1422"/>
      <c r="B2656" s="2522"/>
      <c r="C2656" s="3191"/>
      <c r="D2656" s="2421"/>
      <c r="E2656" s="2421"/>
      <c r="F2656" s="2420"/>
      <c r="G2656" s="2420"/>
      <c r="H2656" s="2420"/>
      <c r="I2656" s="2420"/>
      <c r="J2656" s="2515"/>
      <c r="K2656" s="115">
        <v>19763</v>
      </c>
      <c r="L2656" s="115"/>
      <c r="M2656" s="3287" t="s">
        <v>296</v>
      </c>
      <c r="N2656" s="3288"/>
      <c r="O2656" s="41">
        <v>1646.9166666666667</v>
      </c>
      <c r="P2656" s="41">
        <v>1646.9166666666667</v>
      </c>
      <c r="Q2656" s="41">
        <v>1646.9166666666667</v>
      </c>
      <c r="R2656" s="41">
        <v>1646.9166666666667</v>
      </c>
      <c r="S2656" s="41">
        <v>1646.9166666666667</v>
      </c>
      <c r="T2656" s="41">
        <v>1646.9166666666667</v>
      </c>
      <c r="U2656" s="41">
        <v>1646.9166666666667</v>
      </c>
      <c r="V2656" s="41">
        <v>1646.9166666666667</v>
      </c>
      <c r="W2656" s="41">
        <v>1646.9166666666667</v>
      </c>
      <c r="X2656" s="41">
        <v>1646.9166666666667</v>
      </c>
      <c r="Y2656" s="41">
        <v>1646.9166666666667</v>
      </c>
      <c r="Z2656" s="41">
        <v>1646.9166666666667</v>
      </c>
      <c r="AA2656" s="1217">
        <f t="shared" si="400"/>
        <v>19763</v>
      </c>
      <c r="AB2656" s="1210"/>
      <c r="AC2656" s="1199"/>
      <c r="AD2656" s="1211"/>
    </row>
    <row r="2657" spans="1:30" x14ac:dyDescent="0.2">
      <c r="A2657" s="1422"/>
      <c r="B2657" s="2522"/>
      <c r="C2657" s="3191"/>
      <c r="D2657" s="2421"/>
      <c r="E2657" s="2421"/>
      <c r="F2657" s="2420"/>
      <c r="G2657" s="2420"/>
      <c r="H2657" s="2420"/>
      <c r="I2657" s="2420"/>
      <c r="J2657" s="2515"/>
      <c r="K2657" s="115">
        <v>654</v>
      </c>
      <c r="L2657" s="115"/>
      <c r="M2657" s="3287" t="s">
        <v>298</v>
      </c>
      <c r="N2657" s="3288"/>
      <c r="O2657" s="41"/>
      <c r="P2657" s="41"/>
      <c r="Q2657" s="41"/>
      <c r="R2657" s="41"/>
      <c r="S2657" s="41"/>
      <c r="T2657" s="41"/>
      <c r="U2657" s="41">
        <v>327</v>
      </c>
      <c r="V2657" s="41"/>
      <c r="W2657" s="41"/>
      <c r="X2657" s="41"/>
      <c r="Y2657" s="41"/>
      <c r="Z2657" s="41">
        <v>327</v>
      </c>
      <c r="AA2657" s="1217">
        <f t="shared" si="400"/>
        <v>654</v>
      </c>
      <c r="AB2657" s="1210"/>
      <c r="AC2657" s="1199"/>
      <c r="AD2657" s="1211"/>
    </row>
    <row r="2658" spans="1:30" x14ac:dyDescent="0.2">
      <c r="A2658" s="1422"/>
      <c r="B2658" s="2522"/>
      <c r="C2658" s="3191"/>
      <c r="D2658" s="2421"/>
      <c r="E2658" s="2421"/>
      <c r="F2658" s="2420"/>
      <c r="G2658" s="2420"/>
      <c r="H2658" s="2420"/>
      <c r="I2658" s="2420"/>
      <c r="J2658" s="2515"/>
      <c r="K2658" s="115">
        <v>400</v>
      </c>
      <c r="L2658" s="115"/>
      <c r="M2658" s="3287" t="s">
        <v>299</v>
      </c>
      <c r="N2658" s="3288"/>
      <c r="O2658" s="41">
        <v>400</v>
      </c>
      <c r="P2658" s="41"/>
      <c r="Q2658" s="41"/>
      <c r="R2658" s="41"/>
      <c r="S2658" s="41"/>
      <c r="T2658" s="41"/>
      <c r="U2658" s="41"/>
      <c r="V2658" s="41"/>
      <c r="W2658" s="41"/>
      <c r="X2658" s="41"/>
      <c r="Y2658" s="41"/>
      <c r="Z2658" s="41"/>
      <c r="AA2658" s="1217">
        <f t="shared" si="400"/>
        <v>400</v>
      </c>
      <c r="AB2658" s="1210"/>
      <c r="AC2658" s="1199"/>
      <c r="AD2658" s="1211"/>
    </row>
    <row r="2659" spans="1:30" x14ac:dyDescent="0.2">
      <c r="A2659" s="1422"/>
      <c r="B2659" s="2522"/>
      <c r="C2659" s="3191"/>
      <c r="D2659" s="2421"/>
      <c r="E2659" s="2421"/>
      <c r="F2659" s="2420"/>
      <c r="G2659" s="2420"/>
      <c r="H2659" s="2420"/>
      <c r="I2659" s="2420"/>
      <c r="J2659" s="2515"/>
      <c r="K2659" s="115">
        <v>4066</v>
      </c>
      <c r="L2659" s="115"/>
      <c r="M2659" s="3287" t="s">
        <v>300</v>
      </c>
      <c r="N2659" s="3288"/>
      <c r="O2659" s="41">
        <v>338.83333333333331</v>
      </c>
      <c r="P2659" s="41">
        <v>338.83333333333331</v>
      </c>
      <c r="Q2659" s="41">
        <v>338.83333333333331</v>
      </c>
      <c r="R2659" s="41">
        <v>338.83333333333331</v>
      </c>
      <c r="S2659" s="41">
        <v>338.83333333333331</v>
      </c>
      <c r="T2659" s="41">
        <v>338.83333333333331</v>
      </c>
      <c r="U2659" s="41">
        <v>338.83333333333331</v>
      </c>
      <c r="V2659" s="41">
        <v>338.83333333333331</v>
      </c>
      <c r="W2659" s="41">
        <v>338.83333333333331</v>
      </c>
      <c r="X2659" s="41">
        <v>338.83333333333331</v>
      </c>
      <c r="Y2659" s="41">
        <v>338.83333333333331</v>
      </c>
      <c r="Z2659" s="41">
        <v>338.83333333333331</v>
      </c>
      <c r="AA2659" s="1217">
        <f t="shared" si="400"/>
        <v>4066.0000000000005</v>
      </c>
      <c r="AB2659" s="1210"/>
      <c r="AC2659" s="1199"/>
      <c r="AD2659" s="1211"/>
    </row>
    <row r="2660" spans="1:30" x14ac:dyDescent="0.2">
      <c r="A2660" s="1422"/>
      <c r="B2660" s="2522"/>
      <c r="C2660" s="3191"/>
      <c r="D2660" s="2421"/>
      <c r="E2660" s="2421"/>
      <c r="F2660" s="2420"/>
      <c r="G2660" s="2420"/>
      <c r="H2660" s="2420"/>
      <c r="I2660" s="2420"/>
      <c r="J2660" s="2515"/>
      <c r="K2660" s="115">
        <v>2301</v>
      </c>
      <c r="L2660" s="115"/>
      <c r="M2660" s="3287" t="s">
        <v>393</v>
      </c>
      <c r="N2660" s="3288"/>
      <c r="O2660" s="41"/>
      <c r="P2660" s="41"/>
      <c r="Q2660" s="41"/>
      <c r="R2660" s="41">
        <v>2301</v>
      </c>
      <c r="S2660" s="41"/>
      <c r="T2660" s="41"/>
      <c r="U2660" s="41"/>
      <c r="V2660" s="41"/>
      <c r="W2660" s="41"/>
      <c r="X2660" s="41"/>
      <c r="Y2660" s="41"/>
      <c r="Z2660" s="41"/>
      <c r="AA2660" s="1217">
        <f t="shared" si="400"/>
        <v>2301</v>
      </c>
      <c r="AB2660" s="1210"/>
      <c r="AC2660" s="1199"/>
      <c r="AD2660" s="1211"/>
    </row>
    <row r="2661" spans="1:30" x14ac:dyDescent="0.2">
      <c r="A2661" s="1422"/>
      <c r="B2661" s="2522"/>
      <c r="C2661" s="3191"/>
      <c r="D2661" s="2421"/>
      <c r="E2661" s="2421"/>
      <c r="F2661" s="2420"/>
      <c r="G2661" s="2420"/>
      <c r="H2661" s="2420"/>
      <c r="I2661" s="2420"/>
      <c r="J2661" s="2515"/>
      <c r="K2661" s="115">
        <v>1204</v>
      </c>
      <c r="L2661" s="115"/>
      <c r="M2661" s="3287" t="s">
        <v>611</v>
      </c>
      <c r="N2661" s="3288"/>
      <c r="O2661" s="41"/>
      <c r="P2661" s="41"/>
      <c r="Q2661" s="41">
        <v>1204</v>
      </c>
      <c r="R2661" s="41"/>
      <c r="S2661" s="41"/>
      <c r="T2661" s="41"/>
      <c r="U2661" s="41"/>
      <c r="V2661" s="41"/>
      <c r="W2661" s="41"/>
      <c r="X2661" s="41"/>
      <c r="Y2661" s="41"/>
      <c r="Z2661" s="41"/>
      <c r="AA2661" s="1217">
        <f t="shared" si="400"/>
        <v>1204</v>
      </c>
      <c r="AB2661" s="1210"/>
      <c r="AC2661" s="1199"/>
      <c r="AD2661" s="1211"/>
    </row>
    <row r="2662" spans="1:30" x14ac:dyDescent="0.2">
      <c r="A2662" s="1422"/>
      <c r="B2662" s="2522"/>
      <c r="C2662" s="3191"/>
      <c r="D2662" s="2421"/>
      <c r="E2662" s="2421"/>
      <c r="F2662" s="2420"/>
      <c r="G2662" s="2420"/>
      <c r="H2662" s="2420"/>
      <c r="I2662" s="2420"/>
      <c r="J2662" s="2515"/>
      <c r="K2662" s="115">
        <v>3650</v>
      </c>
      <c r="L2662" s="115"/>
      <c r="M2662" s="3287" t="s">
        <v>343</v>
      </c>
      <c r="N2662" s="3288"/>
      <c r="O2662" s="41"/>
      <c r="P2662" s="41"/>
      <c r="Q2662" s="41"/>
      <c r="R2662" s="41">
        <v>3650</v>
      </c>
      <c r="S2662" s="41"/>
      <c r="T2662" s="41"/>
      <c r="U2662" s="41"/>
      <c r="V2662" s="41"/>
      <c r="W2662" s="41"/>
      <c r="X2662" s="41"/>
      <c r="Y2662" s="41"/>
      <c r="Z2662" s="41"/>
      <c r="AA2662" s="1217">
        <f t="shared" si="400"/>
        <v>3650</v>
      </c>
      <c r="AB2662" s="1210"/>
      <c r="AC2662" s="1199"/>
      <c r="AD2662" s="1211"/>
    </row>
    <row r="2663" spans="1:30" x14ac:dyDescent="0.2">
      <c r="A2663" s="1422"/>
      <c r="B2663" s="2522"/>
      <c r="C2663" s="3191"/>
      <c r="D2663" s="2421"/>
      <c r="E2663" s="2421"/>
      <c r="F2663" s="2420"/>
      <c r="G2663" s="2420"/>
      <c r="H2663" s="2420"/>
      <c r="I2663" s="2420"/>
      <c r="J2663" s="2515"/>
      <c r="K2663" s="115">
        <v>29097</v>
      </c>
      <c r="L2663" s="115"/>
      <c r="M2663" s="3287" t="s">
        <v>310</v>
      </c>
      <c r="N2663" s="3288"/>
      <c r="O2663" s="41">
        <v>2424.75</v>
      </c>
      <c r="P2663" s="41">
        <v>2424.75</v>
      </c>
      <c r="Q2663" s="41">
        <v>2424.75</v>
      </c>
      <c r="R2663" s="41">
        <v>2424.75</v>
      </c>
      <c r="S2663" s="41">
        <v>2424.75</v>
      </c>
      <c r="T2663" s="41">
        <v>2424.75</v>
      </c>
      <c r="U2663" s="41">
        <v>2424.75</v>
      </c>
      <c r="V2663" s="41">
        <v>2424.75</v>
      </c>
      <c r="W2663" s="41">
        <v>2424.75</v>
      </c>
      <c r="X2663" s="41">
        <v>2424.75</v>
      </c>
      <c r="Y2663" s="41">
        <v>2424.75</v>
      </c>
      <c r="Z2663" s="41">
        <v>2424.75</v>
      </c>
      <c r="AA2663" s="1217">
        <f t="shared" si="400"/>
        <v>29097</v>
      </c>
      <c r="AB2663" s="1210"/>
      <c r="AC2663" s="1199"/>
      <c r="AD2663" s="1211"/>
    </row>
    <row r="2664" spans="1:30" x14ac:dyDescent="0.2">
      <c r="A2664" s="1422"/>
      <c r="B2664" s="2522"/>
      <c r="C2664" s="2439"/>
      <c r="D2664" s="2421"/>
      <c r="E2664" s="2421"/>
      <c r="F2664" s="2420"/>
      <c r="G2664" s="2420"/>
      <c r="H2664" s="2420"/>
      <c r="I2664" s="2420"/>
      <c r="J2664" s="2516"/>
      <c r="K2664" s="115">
        <v>2037</v>
      </c>
      <c r="L2664" s="115"/>
      <c r="M2664" s="3287" t="s">
        <v>311</v>
      </c>
      <c r="N2664" s="3288"/>
      <c r="O2664" s="41">
        <v>169.75</v>
      </c>
      <c r="P2664" s="41">
        <v>169.75</v>
      </c>
      <c r="Q2664" s="41">
        <v>169.75</v>
      </c>
      <c r="R2664" s="41">
        <v>169.75</v>
      </c>
      <c r="S2664" s="41">
        <v>169.75</v>
      </c>
      <c r="T2664" s="41">
        <v>169.75</v>
      </c>
      <c r="U2664" s="41">
        <v>169.75</v>
      </c>
      <c r="V2664" s="41">
        <v>169.75</v>
      </c>
      <c r="W2664" s="41">
        <v>169.75</v>
      </c>
      <c r="X2664" s="41">
        <v>169.75</v>
      </c>
      <c r="Y2664" s="41">
        <v>169.75</v>
      </c>
      <c r="Z2664" s="41">
        <v>169.75</v>
      </c>
      <c r="AA2664" s="1217">
        <f t="shared" si="400"/>
        <v>2037</v>
      </c>
      <c r="AB2664" s="1210"/>
      <c r="AC2664" s="1199"/>
      <c r="AD2664" s="1211"/>
    </row>
    <row r="2665" spans="1:30" x14ac:dyDescent="0.2">
      <c r="A2665" s="1422"/>
      <c r="B2665" s="1427" t="s">
        <v>312</v>
      </c>
      <c r="C2665" s="1273"/>
      <c r="D2665" s="38"/>
      <c r="E2665" s="38"/>
      <c r="F2665" s="38"/>
      <c r="G2665" s="38"/>
      <c r="H2665" s="38"/>
      <c r="I2665" s="38"/>
      <c r="J2665" s="38"/>
      <c r="K2665" s="38">
        <f>SUM(K2655:K2664)</f>
        <v>127132</v>
      </c>
      <c r="L2665" s="38"/>
      <c r="M2665" s="38"/>
      <c r="N2665" s="38"/>
      <c r="O2665" s="38"/>
      <c r="P2665" s="38"/>
      <c r="Q2665" s="38"/>
      <c r="R2665" s="38"/>
      <c r="S2665" s="38"/>
      <c r="T2665" s="38"/>
      <c r="U2665" s="38"/>
      <c r="V2665" s="38"/>
      <c r="W2665" s="38"/>
      <c r="X2665" s="38"/>
      <c r="Y2665" s="38"/>
      <c r="Z2665" s="38"/>
      <c r="AA2665" s="1234"/>
      <c r="AB2665" s="1210"/>
      <c r="AC2665" s="1199"/>
      <c r="AD2665" s="1211"/>
    </row>
    <row r="2666" spans="1:30" ht="22.5" x14ac:dyDescent="0.2">
      <c r="A2666" s="1422"/>
      <c r="B2666" s="1433" t="s">
        <v>276</v>
      </c>
      <c r="C2666" s="1121"/>
      <c r="D2666" s="1119">
        <v>3000369</v>
      </c>
      <c r="E2666" s="192" t="s">
        <v>796</v>
      </c>
      <c r="F2666" s="35"/>
      <c r="G2666" s="35"/>
      <c r="H2666" s="35"/>
      <c r="I2666" s="35"/>
      <c r="J2666" s="35"/>
      <c r="K2666" s="60"/>
      <c r="L2666" s="60"/>
      <c r="M2666" s="60"/>
      <c r="N2666" s="60"/>
      <c r="O2666" s="60"/>
      <c r="P2666" s="60"/>
      <c r="Q2666" s="60"/>
      <c r="R2666" s="60"/>
      <c r="S2666" s="3333" t="s">
        <v>15</v>
      </c>
      <c r="T2666" s="3333"/>
      <c r="U2666" s="3333"/>
      <c r="V2666" s="3333"/>
      <c r="W2666" s="3333"/>
      <c r="X2666" s="3333"/>
      <c r="Y2666" s="3333"/>
      <c r="Z2666" s="3333"/>
      <c r="AA2666" s="1966" t="s">
        <v>16</v>
      </c>
      <c r="AB2666" s="1210"/>
      <c r="AC2666" s="1199"/>
      <c r="AD2666" s="1211"/>
    </row>
    <row r="2667" spans="1:30" x14ac:dyDescent="0.2">
      <c r="A2667" s="1422"/>
      <c r="B2667" s="1433"/>
      <c r="C2667" s="1121"/>
      <c r="D2667" s="1119"/>
      <c r="E2667" s="192"/>
      <c r="F2667" s="35"/>
      <c r="G2667" s="35"/>
      <c r="H2667" s="35"/>
      <c r="I2667" s="35"/>
      <c r="J2667" s="35"/>
      <c r="K2667" s="60"/>
      <c r="L2667" s="60"/>
      <c r="M2667" s="60"/>
      <c r="N2667" s="60"/>
      <c r="O2667" s="60"/>
      <c r="P2667" s="60"/>
      <c r="Q2667" s="60"/>
      <c r="R2667" s="60"/>
      <c r="S2667" s="3383" t="s">
        <v>797</v>
      </c>
      <c r="T2667" s="3383"/>
      <c r="U2667" s="3383"/>
      <c r="V2667" s="3383"/>
      <c r="W2667" s="3383"/>
      <c r="X2667" s="3383"/>
      <c r="Y2667" s="3383"/>
      <c r="Z2667" s="3383"/>
      <c r="AA2667" s="1214" t="s">
        <v>661</v>
      </c>
      <c r="AB2667" s="1210"/>
      <c r="AC2667" s="1199"/>
      <c r="AD2667" s="1211"/>
    </row>
    <row r="2668" spans="1:30" x14ac:dyDescent="0.2">
      <c r="A2668" s="1422"/>
      <c r="B2668" s="2999" t="s">
        <v>278</v>
      </c>
      <c r="C2668" s="3015" t="s">
        <v>21</v>
      </c>
      <c r="D2668" s="2847" t="s">
        <v>22</v>
      </c>
      <c r="E2668" s="2847" t="s">
        <v>23</v>
      </c>
      <c r="F2668" s="2847" t="s">
        <v>24</v>
      </c>
      <c r="G2668" s="2847" t="s">
        <v>25</v>
      </c>
      <c r="H2668" s="2847" t="s">
        <v>26</v>
      </c>
      <c r="I2668" s="2847" t="s">
        <v>27</v>
      </c>
      <c r="J2668" s="3206" t="s">
        <v>28</v>
      </c>
      <c r="K2668" s="3301"/>
      <c r="L2668" s="2988" t="s">
        <v>279</v>
      </c>
      <c r="M2668" s="3273" t="s">
        <v>280</v>
      </c>
      <c r="N2668" s="3274"/>
      <c r="O2668" s="2847" t="s">
        <v>281</v>
      </c>
      <c r="P2668" s="2847"/>
      <c r="Q2668" s="2847"/>
      <c r="R2668" s="2847"/>
      <c r="S2668" s="2847"/>
      <c r="T2668" s="2847"/>
      <c r="U2668" s="2847"/>
      <c r="V2668" s="2847"/>
      <c r="W2668" s="2847"/>
      <c r="X2668" s="2847"/>
      <c r="Y2668" s="2847"/>
      <c r="Z2668" s="2847"/>
      <c r="AA2668" s="3358" t="s">
        <v>32</v>
      </c>
      <c r="AB2668" s="1210"/>
      <c r="AC2668" s="1199"/>
      <c r="AD2668" s="1211"/>
    </row>
    <row r="2669" spans="1:30" x14ac:dyDescent="0.2">
      <c r="A2669" s="1422"/>
      <c r="B2669" s="2999"/>
      <c r="C2669" s="3359"/>
      <c r="D2669" s="2847"/>
      <c r="E2669" s="2847"/>
      <c r="F2669" s="2847"/>
      <c r="G2669" s="2847"/>
      <c r="H2669" s="2847"/>
      <c r="I2669" s="2847"/>
      <c r="J2669" s="2988" t="s">
        <v>33</v>
      </c>
      <c r="K2669" s="2988" t="s">
        <v>282</v>
      </c>
      <c r="L2669" s="3186"/>
      <c r="M2669" s="3275"/>
      <c r="N2669" s="3276"/>
      <c r="O2669" s="1009" t="s">
        <v>283</v>
      </c>
      <c r="P2669" s="1009" t="s">
        <v>284</v>
      </c>
      <c r="Q2669" s="1009" t="s">
        <v>285</v>
      </c>
      <c r="R2669" s="1009" t="s">
        <v>88</v>
      </c>
      <c r="S2669" s="1009" t="s">
        <v>89</v>
      </c>
      <c r="T2669" s="1009" t="s">
        <v>90</v>
      </c>
      <c r="U2669" s="1009" t="s">
        <v>91</v>
      </c>
      <c r="V2669" s="1009" t="s">
        <v>92</v>
      </c>
      <c r="W2669" s="1009" t="s">
        <v>286</v>
      </c>
      <c r="X2669" s="1009" t="s">
        <v>93</v>
      </c>
      <c r="Y2669" s="1009" t="s">
        <v>94</v>
      </c>
      <c r="Z2669" s="1009" t="s">
        <v>95</v>
      </c>
      <c r="AA2669" s="3358"/>
      <c r="AB2669" s="1210"/>
      <c r="AC2669" s="1199"/>
      <c r="AD2669" s="1211"/>
    </row>
    <row r="2670" spans="1:30" x14ac:dyDescent="0.2">
      <c r="A2670" s="1422"/>
      <c r="B2670" s="2999"/>
      <c r="C2670" s="3359"/>
      <c r="D2670" s="2847"/>
      <c r="E2670" s="2847"/>
      <c r="F2670" s="2847"/>
      <c r="G2670" s="2847"/>
      <c r="H2670" s="2847"/>
      <c r="I2670" s="2847"/>
      <c r="J2670" s="3186"/>
      <c r="K2670" s="3186"/>
      <c r="L2670" s="3186"/>
      <c r="M2670" s="3271" t="s">
        <v>287</v>
      </c>
      <c r="N2670" s="3272"/>
      <c r="O2670" s="1095">
        <v>6</v>
      </c>
      <c r="P2670" s="1095">
        <v>6</v>
      </c>
      <c r="Q2670" s="1095">
        <v>6</v>
      </c>
      <c r="R2670" s="1095">
        <v>6</v>
      </c>
      <c r="S2670" s="1095">
        <v>6</v>
      </c>
      <c r="T2670" s="1095">
        <v>6</v>
      </c>
      <c r="U2670" s="1095">
        <v>6</v>
      </c>
      <c r="V2670" s="1095">
        <v>5</v>
      </c>
      <c r="W2670" s="1095">
        <v>6</v>
      </c>
      <c r="X2670" s="1095">
        <v>6</v>
      </c>
      <c r="Y2670" s="1095">
        <v>6</v>
      </c>
      <c r="Z2670" s="1095">
        <v>6</v>
      </c>
      <c r="AA2670" s="1216">
        <f t="shared" ref="AA2670:AA2677" si="402">SUM(O2670:Z2670)</f>
        <v>71</v>
      </c>
      <c r="AB2670" s="1210"/>
      <c r="AC2670" s="1199"/>
      <c r="AD2670" s="1211"/>
    </row>
    <row r="2671" spans="1:30" x14ac:dyDescent="0.2">
      <c r="A2671" s="1422"/>
      <c r="B2671" s="2999"/>
      <c r="C2671" s="3016"/>
      <c r="D2671" s="2847"/>
      <c r="E2671" s="2847"/>
      <c r="F2671" s="2847"/>
      <c r="G2671" s="2847"/>
      <c r="H2671" s="2847"/>
      <c r="I2671" s="2847"/>
      <c r="J2671" s="2989"/>
      <c r="K2671" s="2989"/>
      <c r="L2671" s="2989"/>
      <c r="M2671" s="3271" t="s">
        <v>34</v>
      </c>
      <c r="N2671" s="3272"/>
      <c r="O2671" s="120">
        <f>SUM(O2672:O2677)</f>
        <v>14328.333333333332</v>
      </c>
      <c r="P2671" s="120">
        <f t="shared" ref="P2671:Z2671" si="403">SUM(P2672:P2677)</f>
        <v>13528.333333333332</v>
      </c>
      <c r="Q2671" s="120">
        <f t="shared" si="403"/>
        <v>13528.333333333332</v>
      </c>
      <c r="R2671" s="120">
        <f t="shared" si="403"/>
        <v>17358.333333333332</v>
      </c>
      <c r="S2671" s="120">
        <f t="shared" si="403"/>
        <v>13528.333333333332</v>
      </c>
      <c r="T2671" s="120">
        <f t="shared" si="403"/>
        <v>13528.333333333332</v>
      </c>
      <c r="U2671" s="120">
        <f t="shared" si="403"/>
        <v>14182.333333333332</v>
      </c>
      <c r="V2671" s="120">
        <f t="shared" si="403"/>
        <v>13528.333333333332</v>
      </c>
      <c r="W2671" s="120">
        <f t="shared" si="403"/>
        <v>13528.333333333332</v>
      </c>
      <c r="X2671" s="120">
        <f t="shared" si="403"/>
        <v>13528.333333333332</v>
      </c>
      <c r="Y2671" s="120">
        <f t="shared" si="403"/>
        <v>13528.333333333332</v>
      </c>
      <c r="Z2671" s="120">
        <f t="shared" si="403"/>
        <v>14182.333333333332</v>
      </c>
      <c r="AA2671" s="1216">
        <f t="shared" si="402"/>
        <v>168278</v>
      </c>
      <c r="AB2671" s="1210"/>
      <c r="AC2671" s="1199"/>
      <c r="AD2671" s="1211"/>
    </row>
    <row r="2672" spans="1:30" x14ac:dyDescent="0.2">
      <c r="A2672" s="1422"/>
      <c r="B2672" s="2522">
        <v>5003069</v>
      </c>
      <c r="C2672" s="3190" t="s">
        <v>798</v>
      </c>
      <c r="D2672" s="2421"/>
      <c r="E2672" s="2421" t="s">
        <v>288</v>
      </c>
      <c r="F2672" s="2420" t="s">
        <v>386</v>
      </c>
      <c r="G2672" s="2420" t="s">
        <v>423</v>
      </c>
      <c r="H2672" s="2420"/>
      <c r="I2672" s="2420" t="s">
        <v>780</v>
      </c>
      <c r="J2672" s="2514">
        <v>71</v>
      </c>
      <c r="K2672" s="115">
        <v>122868</v>
      </c>
      <c r="L2672" s="115"/>
      <c r="M2672" s="3287" t="s">
        <v>293</v>
      </c>
      <c r="N2672" s="3288"/>
      <c r="O2672" s="41">
        <v>10239</v>
      </c>
      <c r="P2672" s="41">
        <v>10239</v>
      </c>
      <c r="Q2672" s="41">
        <v>10239</v>
      </c>
      <c r="R2672" s="41">
        <v>10239</v>
      </c>
      <c r="S2672" s="41">
        <v>10239</v>
      </c>
      <c r="T2672" s="41">
        <v>10239</v>
      </c>
      <c r="U2672" s="41">
        <v>10239</v>
      </c>
      <c r="V2672" s="41">
        <v>10239</v>
      </c>
      <c r="W2672" s="41">
        <v>10239</v>
      </c>
      <c r="X2672" s="41">
        <v>10239</v>
      </c>
      <c r="Y2672" s="41">
        <v>10239</v>
      </c>
      <c r="Z2672" s="41">
        <v>10239</v>
      </c>
      <c r="AA2672" s="1217">
        <f t="shared" si="402"/>
        <v>122868</v>
      </c>
      <c r="AB2672" s="1210"/>
      <c r="AC2672" s="1199"/>
      <c r="AD2672" s="1211"/>
    </row>
    <row r="2673" spans="1:30" x14ac:dyDescent="0.2">
      <c r="A2673" s="1422"/>
      <c r="B2673" s="2522"/>
      <c r="C2673" s="3191"/>
      <c r="D2673" s="2421"/>
      <c r="E2673" s="2421"/>
      <c r="F2673" s="2420"/>
      <c r="G2673" s="2420"/>
      <c r="H2673" s="2420"/>
      <c r="I2673" s="2420"/>
      <c r="J2673" s="2515"/>
      <c r="K2673" s="115">
        <v>31661</v>
      </c>
      <c r="L2673" s="115"/>
      <c r="M2673" s="3287" t="s">
        <v>296</v>
      </c>
      <c r="N2673" s="3288"/>
      <c r="O2673" s="41">
        <v>2638.4166666666665</v>
      </c>
      <c r="P2673" s="41">
        <v>2638.4166666666665</v>
      </c>
      <c r="Q2673" s="41">
        <v>2638.4166666666665</v>
      </c>
      <c r="R2673" s="41">
        <v>2638.4166666666665</v>
      </c>
      <c r="S2673" s="41">
        <v>2638.4166666666665</v>
      </c>
      <c r="T2673" s="41">
        <v>2638.4166666666665</v>
      </c>
      <c r="U2673" s="41">
        <v>2638.4166666666665</v>
      </c>
      <c r="V2673" s="41">
        <v>2638.4166666666665</v>
      </c>
      <c r="W2673" s="41">
        <v>2638.4166666666665</v>
      </c>
      <c r="X2673" s="41">
        <v>2638.4166666666665</v>
      </c>
      <c r="Y2673" s="41">
        <v>2638.4166666666665</v>
      </c>
      <c r="Z2673" s="41">
        <v>2638.4166666666665</v>
      </c>
      <c r="AA2673" s="1217">
        <f t="shared" si="402"/>
        <v>31661.000000000004</v>
      </c>
      <c r="AB2673" s="1210"/>
      <c r="AC2673" s="1199"/>
      <c r="AD2673" s="1211"/>
    </row>
    <row r="2674" spans="1:30" x14ac:dyDescent="0.2">
      <c r="A2674" s="1422"/>
      <c r="B2674" s="2522"/>
      <c r="C2674" s="3191"/>
      <c r="D2674" s="2421"/>
      <c r="E2674" s="2421"/>
      <c r="F2674" s="2420"/>
      <c r="G2674" s="2420"/>
      <c r="H2674" s="2420"/>
      <c r="I2674" s="2420"/>
      <c r="J2674" s="2515"/>
      <c r="K2674" s="115">
        <v>1308</v>
      </c>
      <c r="L2674" s="115"/>
      <c r="M2674" s="3287" t="s">
        <v>298</v>
      </c>
      <c r="N2674" s="3288"/>
      <c r="O2674" s="41"/>
      <c r="P2674" s="41"/>
      <c r="Q2674" s="41"/>
      <c r="R2674" s="41"/>
      <c r="S2674" s="41"/>
      <c r="T2674" s="41"/>
      <c r="U2674" s="41">
        <v>654</v>
      </c>
      <c r="V2674" s="41"/>
      <c r="W2674" s="41"/>
      <c r="X2674" s="41"/>
      <c r="Y2674" s="41"/>
      <c r="Z2674" s="41">
        <v>654</v>
      </c>
      <c r="AA2674" s="1217">
        <f t="shared" si="402"/>
        <v>1308</v>
      </c>
      <c r="AB2674" s="1210"/>
      <c r="AC2674" s="1199"/>
      <c r="AD2674" s="1211"/>
    </row>
    <row r="2675" spans="1:30" x14ac:dyDescent="0.2">
      <c r="A2675" s="1422"/>
      <c r="B2675" s="2522"/>
      <c r="C2675" s="3191"/>
      <c r="D2675" s="2421"/>
      <c r="E2675" s="2421"/>
      <c r="F2675" s="2420"/>
      <c r="G2675" s="2420"/>
      <c r="H2675" s="2420"/>
      <c r="I2675" s="2420"/>
      <c r="J2675" s="2515"/>
      <c r="K2675" s="115">
        <v>800</v>
      </c>
      <c r="L2675" s="115"/>
      <c r="M2675" s="3287" t="s">
        <v>299</v>
      </c>
      <c r="N2675" s="3288"/>
      <c r="O2675" s="41">
        <v>800</v>
      </c>
      <c r="P2675" s="41"/>
      <c r="Q2675" s="41"/>
      <c r="R2675" s="41"/>
      <c r="S2675" s="41"/>
      <c r="T2675" s="41"/>
      <c r="U2675" s="41"/>
      <c r="V2675" s="41"/>
      <c r="W2675" s="41"/>
      <c r="X2675" s="41"/>
      <c r="Y2675" s="41"/>
      <c r="Z2675" s="41"/>
      <c r="AA2675" s="1217">
        <f t="shared" si="402"/>
        <v>800</v>
      </c>
      <c r="AB2675" s="1210"/>
      <c r="AC2675" s="1199"/>
      <c r="AD2675" s="1211"/>
    </row>
    <row r="2676" spans="1:30" x14ac:dyDescent="0.2">
      <c r="A2676" s="1422"/>
      <c r="B2676" s="2522"/>
      <c r="C2676" s="3191"/>
      <c r="D2676" s="2421"/>
      <c r="E2676" s="2421"/>
      <c r="F2676" s="2420"/>
      <c r="G2676" s="2420"/>
      <c r="H2676" s="2420"/>
      <c r="I2676" s="2420"/>
      <c r="J2676" s="2515"/>
      <c r="K2676" s="115">
        <v>7811</v>
      </c>
      <c r="L2676" s="115"/>
      <c r="M2676" s="3287" t="s">
        <v>300</v>
      </c>
      <c r="N2676" s="3288"/>
      <c r="O2676" s="41">
        <v>650.91666666666663</v>
      </c>
      <c r="P2676" s="41">
        <v>650.91666666666663</v>
      </c>
      <c r="Q2676" s="41">
        <v>650.91666666666663</v>
      </c>
      <c r="R2676" s="41">
        <v>650.91666666666663</v>
      </c>
      <c r="S2676" s="41">
        <v>650.91666666666663</v>
      </c>
      <c r="T2676" s="41">
        <v>650.91666666666663</v>
      </c>
      <c r="U2676" s="41">
        <v>650.91666666666663</v>
      </c>
      <c r="V2676" s="41">
        <v>650.91666666666663</v>
      </c>
      <c r="W2676" s="41">
        <v>650.91666666666663</v>
      </c>
      <c r="X2676" s="41">
        <v>650.91666666666663</v>
      </c>
      <c r="Y2676" s="41">
        <v>650.91666666666663</v>
      </c>
      <c r="Z2676" s="41">
        <v>650.91666666666663</v>
      </c>
      <c r="AA2676" s="1217">
        <f t="shared" si="402"/>
        <v>7811.0000000000009</v>
      </c>
      <c r="AB2676" s="1210"/>
      <c r="AC2676" s="1199"/>
      <c r="AD2676" s="1211"/>
    </row>
    <row r="2677" spans="1:30" x14ac:dyDescent="0.2">
      <c r="A2677" s="1422"/>
      <c r="B2677" s="2522"/>
      <c r="C2677" s="2439"/>
      <c r="D2677" s="2421"/>
      <c r="E2677" s="2421"/>
      <c r="F2677" s="2420"/>
      <c r="G2677" s="2420"/>
      <c r="H2677" s="2420"/>
      <c r="I2677" s="2420"/>
      <c r="J2677" s="2516"/>
      <c r="K2677" s="115">
        <v>3830</v>
      </c>
      <c r="L2677" s="115"/>
      <c r="M2677" s="3287" t="s">
        <v>343</v>
      </c>
      <c r="N2677" s="3288"/>
      <c r="O2677" s="41"/>
      <c r="P2677" s="41"/>
      <c r="Q2677" s="41"/>
      <c r="R2677" s="41">
        <v>3830</v>
      </c>
      <c r="S2677" s="41"/>
      <c r="T2677" s="41"/>
      <c r="U2677" s="41"/>
      <c r="V2677" s="41"/>
      <c r="W2677" s="41"/>
      <c r="X2677" s="41"/>
      <c r="Y2677" s="41"/>
      <c r="Z2677" s="41"/>
      <c r="AA2677" s="1217">
        <f t="shared" si="402"/>
        <v>3830</v>
      </c>
      <c r="AB2677" s="1210"/>
      <c r="AC2677" s="1199"/>
      <c r="AD2677" s="1211"/>
    </row>
    <row r="2678" spans="1:30" x14ac:dyDescent="0.2">
      <c r="A2678" s="1422"/>
      <c r="B2678" s="1427" t="s">
        <v>312</v>
      </c>
      <c r="C2678" s="1273"/>
      <c r="D2678" s="38"/>
      <c r="E2678" s="38"/>
      <c r="F2678" s="38"/>
      <c r="G2678" s="38"/>
      <c r="H2678" s="38"/>
      <c r="I2678" s="38"/>
      <c r="J2678" s="38"/>
      <c r="K2678" s="38">
        <f>SUM(K2672:K2677)</f>
        <v>168278</v>
      </c>
      <c r="L2678" s="38"/>
      <c r="M2678" s="38"/>
      <c r="N2678" s="38"/>
      <c r="O2678" s="38"/>
      <c r="P2678" s="38"/>
      <c r="Q2678" s="38"/>
      <c r="R2678" s="38"/>
      <c r="S2678" s="38"/>
      <c r="T2678" s="38"/>
      <c r="U2678" s="38"/>
      <c r="V2678" s="38"/>
      <c r="W2678" s="38"/>
      <c r="X2678" s="38"/>
      <c r="Y2678" s="38"/>
      <c r="Z2678" s="38"/>
      <c r="AA2678" s="1234"/>
      <c r="AB2678" s="1210"/>
      <c r="AC2678" s="1199"/>
      <c r="AD2678" s="1211"/>
    </row>
    <row r="2679" spans="1:30" ht="22.5" x14ac:dyDescent="0.2">
      <c r="A2679" s="1422"/>
      <c r="B2679" s="1433" t="s">
        <v>276</v>
      </c>
      <c r="C2679" s="1121"/>
      <c r="D2679" s="1119">
        <v>3000370</v>
      </c>
      <c r="E2679" s="192" t="s">
        <v>799</v>
      </c>
      <c r="F2679" s="35"/>
      <c r="G2679" s="35"/>
      <c r="H2679" s="35"/>
      <c r="I2679" s="35"/>
      <c r="J2679" s="35"/>
      <c r="K2679" s="60"/>
      <c r="L2679" s="60"/>
      <c r="M2679" s="60"/>
      <c r="N2679" s="60"/>
      <c r="O2679" s="60"/>
      <c r="P2679" s="60"/>
      <c r="Q2679" s="60"/>
      <c r="R2679" s="60"/>
      <c r="S2679" s="3333" t="s">
        <v>15</v>
      </c>
      <c r="T2679" s="3333"/>
      <c r="U2679" s="3333"/>
      <c r="V2679" s="3333"/>
      <c r="W2679" s="3333"/>
      <c r="X2679" s="3333"/>
      <c r="Y2679" s="3333"/>
      <c r="Z2679" s="3333"/>
      <c r="AA2679" s="1966" t="s">
        <v>16</v>
      </c>
      <c r="AB2679" s="1210"/>
      <c r="AC2679" s="1199"/>
      <c r="AD2679" s="1211"/>
    </row>
    <row r="2680" spans="1:30" x14ac:dyDescent="0.2">
      <c r="A2680" s="1422"/>
      <c r="B2680" s="1433"/>
      <c r="C2680" s="1121"/>
      <c r="D2680" s="1119"/>
      <c r="E2680" s="192"/>
      <c r="F2680" s="35"/>
      <c r="G2680" s="35"/>
      <c r="H2680" s="35"/>
      <c r="I2680" s="35"/>
      <c r="J2680" s="35"/>
      <c r="K2680" s="60"/>
      <c r="L2680" s="60"/>
      <c r="M2680" s="60"/>
      <c r="N2680" s="60"/>
      <c r="O2680" s="60"/>
      <c r="P2680" s="60"/>
      <c r="Q2680" s="60"/>
      <c r="R2680" s="60"/>
      <c r="S2680" s="3383" t="s">
        <v>800</v>
      </c>
      <c r="T2680" s="3383"/>
      <c r="U2680" s="3383"/>
      <c r="V2680" s="3383"/>
      <c r="W2680" s="3383"/>
      <c r="X2680" s="3383"/>
      <c r="Y2680" s="3383"/>
      <c r="Z2680" s="3383"/>
      <c r="AA2680" s="1214" t="s">
        <v>661</v>
      </c>
      <c r="AB2680" s="1210"/>
      <c r="AC2680" s="1199"/>
      <c r="AD2680" s="1211"/>
    </row>
    <row r="2681" spans="1:30" x14ac:dyDescent="0.2">
      <c r="A2681" s="1422"/>
      <c r="B2681" s="2999" t="s">
        <v>278</v>
      </c>
      <c r="C2681" s="3015" t="s">
        <v>21</v>
      </c>
      <c r="D2681" s="2847" t="s">
        <v>22</v>
      </c>
      <c r="E2681" s="2847" t="s">
        <v>23</v>
      </c>
      <c r="F2681" s="2847" t="s">
        <v>24</v>
      </c>
      <c r="G2681" s="2847" t="s">
        <v>25</v>
      </c>
      <c r="H2681" s="2847" t="s">
        <v>26</v>
      </c>
      <c r="I2681" s="2847" t="s">
        <v>27</v>
      </c>
      <c r="J2681" s="3206" t="s">
        <v>28</v>
      </c>
      <c r="K2681" s="3301"/>
      <c r="L2681" s="2988" t="s">
        <v>279</v>
      </c>
      <c r="M2681" s="3273" t="s">
        <v>280</v>
      </c>
      <c r="N2681" s="3274"/>
      <c r="O2681" s="2847" t="s">
        <v>281</v>
      </c>
      <c r="P2681" s="2847"/>
      <c r="Q2681" s="2847"/>
      <c r="R2681" s="2847"/>
      <c r="S2681" s="2847"/>
      <c r="T2681" s="2847"/>
      <c r="U2681" s="2847"/>
      <c r="V2681" s="2847"/>
      <c r="W2681" s="2847"/>
      <c r="X2681" s="2847"/>
      <c r="Y2681" s="2847"/>
      <c r="Z2681" s="2847"/>
      <c r="AA2681" s="3358" t="s">
        <v>32</v>
      </c>
      <c r="AB2681" s="1210"/>
      <c r="AC2681" s="1199"/>
      <c r="AD2681" s="1211"/>
    </row>
    <row r="2682" spans="1:30" x14ac:dyDescent="0.2">
      <c r="A2682" s="1422"/>
      <c r="B2682" s="2999"/>
      <c r="C2682" s="3359"/>
      <c r="D2682" s="2847"/>
      <c r="E2682" s="2847"/>
      <c r="F2682" s="2847"/>
      <c r="G2682" s="2847"/>
      <c r="H2682" s="2847"/>
      <c r="I2682" s="2847"/>
      <c r="J2682" s="2988" t="s">
        <v>33</v>
      </c>
      <c r="K2682" s="2988" t="s">
        <v>282</v>
      </c>
      <c r="L2682" s="3186"/>
      <c r="M2682" s="3275"/>
      <c r="N2682" s="3276"/>
      <c r="O2682" s="1009" t="s">
        <v>283</v>
      </c>
      <c r="P2682" s="1009" t="s">
        <v>284</v>
      </c>
      <c r="Q2682" s="1009" t="s">
        <v>285</v>
      </c>
      <c r="R2682" s="1009" t="s">
        <v>88</v>
      </c>
      <c r="S2682" s="1009" t="s">
        <v>89</v>
      </c>
      <c r="T2682" s="1009" t="s">
        <v>90</v>
      </c>
      <c r="U2682" s="1009" t="s">
        <v>91</v>
      </c>
      <c r="V2682" s="1009" t="s">
        <v>92</v>
      </c>
      <c r="W2682" s="1009" t="s">
        <v>286</v>
      </c>
      <c r="X2682" s="1009" t="s">
        <v>93</v>
      </c>
      <c r="Y2682" s="1009" t="s">
        <v>94</v>
      </c>
      <c r="Z2682" s="1009" t="s">
        <v>95</v>
      </c>
      <c r="AA2682" s="3358"/>
      <c r="AB2682" s="1210"/>
      <c r="AC2682" s="1199"/>
      <c r="AD2682" s="1211"/>
    </row>
    <row r="2683" spans="1:30" x14ac:dyDescent="0.2">
      <c r="A2683" s="1422"/>
      <c r="B2683" s="2999"/>
      <c r="C2683" s="3359"/>
      <c r="D2683" s="2847"/>
      <c r="E2683" s="2847"/>
      <c r="F2683" s="2847"/>
      <c r="G2683" s="2847"/>
      <c r="H2683" s="2847"/>
      <c r="I2683" s="2847"/>
      <c r="J2683" s="3186"/>
      <c r="K2683" s="3186"/>
      <c r="L2683" s="3186"/>
      <c r="M2683" s="3271" t="s">
        <v>287</v>
      </c>
      <c r="N2683" s="3272"/>
      <c r="O2683" s="1095">
        <v>1</v>
      </c>
      <c r="P2683" s="1095">
        <v>1</v>
      </c>
      <c r="Q2683" s="1095">
        <v>1</v>
      </c>
      <c r="R2683" s="1095">
        <v>1</v>
      </c>
      <c r="S2683" s="1095">
        <v>1</v>
      </c>
      <c r="T2683" s="1095">
        <v>1</v>
      </c>
      <c r="U2683" s="1095">
        <v>1</v>
      </c>
      <c r="V2683" s="1095">
        <v>1</v>
      </c>
      <c r="W2683" s="1095">
        <v>1</v>
      </c>
      <c r="X2683" s="1095">
        <v>1</v>
      </c>
      <c r="Y2683" s="1095">
        <v>1</v>
      </c>
      <c r="Z2683" s="1095">
        <v>1</v>
      </c>
      <c r="AA2683" s="1216">
        <f t="shared" ref="AA2683:AA2693" si="404">SUM(O2683:Z2683)</f>
        <v>12</v>
      </c>
      <c r="AB2683" s="1210"/>
      <c r="AC2683" s="1199"/>
      <c r="AD2683" s="1211"/>
    </row>
    <row r="2684" spans="1:30" x14ac:dyDescent="0.2">
      <c r="A2684" s="1422"/>
      <c r="B2684" s="2999"/>
      <c r="C2684" s="3016"/>
      <c r="D2684" s="2847"/>
      <c r="E2684" s="2847"/>
      <c r="F2684" s="2847"/>
      <c r="G2684" s="2847"/>
      <c r="H2684" s="2847"/>
      <c r="I2684" s="2847"/>
      <c r="J2684" s="2989"/>
      <c r="K2684" s="2989"/>
      <c r="L2684" s="2989"/>
      <c r="M2684" s="3271" t="s">
        <v>34</v>
      </c>
      <c r="N2684" s="3272"/>
      <c r="O2684" s="120">
        <f>SUM(O2685:O2693)</f>
        <v>7969.75</v>
      </c>
      <c r="P2684" s="120">
        <f t="shared" ref="P2684:Z2684" si="405">SUM(P2685:P2693)</f>
        <v>7169.75</v>
      </c>
      <c r="Q2684" s="120">
        <f t="shared" si="405"/>
        <v>9303.25</v>
      </c>
      <c r="R2684" s="120">
        <f t="shared" si="405"/>
        <v>9169.75</v>
      </c>
      <c r="S2684" s="120">
        <f t="shared" si="405"/>
        <v>7169.75</v>
      </c>
      <c r="T2684" s="120">
        <f t="shared" si="405"/>
        <v>7169.75</v>
      </c>
      <c r="U2684" s="120">
        <f t="shared" si="405"/>
        <v>9957.25</v>
      </c>
      <c r="V2684" s="120">
        <f t="shared" si="405"/>
        <v>7169.75</v>
      </c>
      <c r="W2684" s="120">
        <f t="shared" si="405"/>
        <v>7169.75</v>
      </c>
      <c r="X2684" s="120">
        <f t="shared" si="405"/>
        <v>7169.75</v>
      </c>
      <c r="Y2684" s="120">
        <f t="shared" si="405"/>
        <v>7169.75</v>
      </c>
      <c r="Z2684" s="120">
        <f t="shared" si="405"/>
        <v>7823.75</v>
      </c>
      <c r="AA2684" s="1216">
        <f t="shared" si="404"/>
        <v>94412</v>
      </c>
      <c r="AB2684" s="1210"/>
      <c r="AC2684" s="1199"/>
      <c r="AD2684" s="1211"/>
    </row>
    <row r="2685" spans="1:30" x14ac:dyDescent="0.2">
      <c r="A2685" s="1422"/>
      <c r="B2685" s="2522">
        <v>5003070</v>
      </c>
      <c r="C2685" s="3190" t="s">
        <v>801</v>
      </c>
      <c r="D2685" s="2421"/>
      <c r="E2685" s="2421" t="s">
        <v>288</v>
      </c>
      <c r="F2685" s="2420" t="s">
        <v>386</v>
      </c>
      <c r="G2685" s="2420" t="s">
        <v>423</v>
      </c>
      <c r="H2685" s="2420"/>
      <c r="I2685" s="2420" t="s">
        <v>780</v>
      </c>
      <c r="J2685" s="2514">
        <v>12</v>
      </c>
      <c r="K2685" s="115">
        <v>42432</v>
      </c>
      <c r="L2685" s="115"/>
      <c r="M2685" s="3287" t="s">
        <v>295</v>
      </c>
      <c r="N2685" s="3288"/>
      <c r="O2685" s="41">
        <v>3536</v>
      </c>
      <c r="P2685" s="41">
        <v>3536</v>
      </c>
      <c r="Q2685" s="41">
        <v>3536</v>
      </c>
      <c r="R2685" s="41">
        <v>3536</v>
      </c>
      <c r="S2685" s="41">
        <v>3536</v>
      </c>
      <c r="T2685" s="41">
        <v>3536</v>
      </c>
      <c r="U2685" s="41">
        <v>3536</v>
      </c>
      <c r="V2685" s="41">
        <v>3536</v>
      </c>
      <c r="W2685" s="41">
        <v>3536</v>
      </c>
      <c r="X2685" s="41">
        <v>3536</v>
      </c>
      <c r="Y2685" s="41">
        <v>3536</v>
      </c>
      <c r="Z2685" s="41">
        <v>3536</v>
      </c>
      <c r="AA2685" s="1217">
        <f t="shared" si="404"/>
        <v>42432</v>
      </c>
      <c r="AB2685" s="1210"/>
      <c r="AC2685" s="1199"/>
      <c r="AD2685" s="1211"/>
    </row>
    <row r="2686" spans="1:30" x14ac:dyDescent="0.2">
      <c r="A2686" s="1422"/>
      <c r="B2686" s="2522"/>
      <c r="C2686" s="3191"/>
      <c r="D2686" s="2421"/>
      <c r="E2686" s="2421"/>
      <c r="F2686" s="2420"/>
      <c r="G2686" s="2420"/>
      <c r="H2686" s="2420"/>
      <c r="I2686" s="2420"/>
      <c r="J2686" s="2515"/>
      <c r="K2686" s="115">
        <v>3792</v>
      </c>
      <c r="L2686" s="115"/>
      <c r="M2686" s="3287" t="s">
        <v>297</v>
      </c>
      <c r="N2686" s="3288"/>
      <c r="O2686" s="41">
        <v>316</v>
      </c>
      <c r="P2686" s="41">
        <v>316</v>
      </c>
      <c r="Q2686" s="41">
        <v>316</v>
      </c>
      <c r="R2686" s="41">
        <v>316</v>
      </c>
      <c r="S2686" s="41">
        <v>316</v>
      </c>
      <c r="T2686" s="41">
        <v>316</v>
      </c>
      <c r="U2686" s="41">
        <v>316</v>
      </c>
      <c r="V2686" s="41">
        <v>316</v>
      </c>
      <c r="W2686" s="41">
        <v>316</v>
      </c>
      <c r="X2686" s="41">
        <v>316</v>
      </c>
      <c r="Y2686" s="41">
        <v>316</v>
      </c>
      <c r="Z2686" s="41">
        <v>316</v>
      </c>
      <c r="AA2686" s="1217">
        <f t="shared" si="404"/>
        <v>3792</v>
      </c>
      <c r="AB2686" s="1210"/>
      <c r="AC2686" s="1199"/>
      <c r="AD2686" s="1211"/>
    </row>
    <row r="2687" spans="1:30" x14ac:dyDescent="0.2">
      <c r="A2687" s="1422"/>
      <c r="B2687" s="2522"/>
      <c r="C2687" s="3191"/>
      <c r="D2687" s="2421"/>
      <c r="E2687" s="2421"/>
      <c r="F2687" s="2420"/>
      <c r="G2687" s="2420"/>
      <c r="H2687" s="2420"/>
      <c r="I2687" s="2420"/>
      <c r="J2687" s="2515"/>
      <c r="K2687" s="115">
        <v>1308</v>
      </c>
      <c r="L2687" s="115"/>
      <c r="M2687" s="3287" t="s">
        <v>298</v>
      </c>
      <c r="N2687" s="3288"/>
      <c r="O2687" s="41"/>
      <c r="P2687" s="41"/>
      <c r="Q2687" s="41"/>
      <c r="R2687" s="41"/>
      <c r="S2687" s="41"/>
      <c r="T2687" s="41"/>
      <c r="U2687" s="41">
        <v>654</v>
      </c>
      <c r="V2687" s="41"/>
      <c r="W2687" s="41"/>
      <c r="X2687" s="41"/>
      <c r="Y2687" s="41"/>
      <c r="Z2687" s="41">
        <v>654</v>
      </c>
      <c r="AA2687" s="1217">
        <f t="shared" si="404"/>
        <v>1308</v>
      </c>
      <c r="AB2687" s="1210"/>
      <c r="AC2687" s="1199"/>
      <c r="AD2687" s="1211"/>
    </row>
    <row r="2688" spans="1:30" x14ac:dyDescent="0.2">
      <c r="A2688" s="1422"/>
      <c r="B2688" s="2522"/>
      <c r="C2688" s="3191"/>
      <c r="D2688" s="2421"/>
      <c r="E2688" s="2421"/>
      <c r="F2688" s="2420"/>
      <c r="G2688" s="2420"/>
      <c r="H2688" s="2420"/>
      <c r="I2688" s="2420"/>
      <c r="J2688" s="2515"/>
      <c r="K2688" s="115">
        <v>800</v>
      </c>
      <c r="L2688" s="115"/>
      <c r="M2688" s="3287" t="s">
        <v>299</v>
      </c>
      <c r="N2688" s="3288"/>
      <c r="O2688" s="41">
        <v>800</v>
      </c>
      <c r="P2688" s="41"/>
      <c r="Q2688" s="41"/>
      <c r="R2688" s="41"/>
      <c r="S2688" s="41"/>
      <c r="T2688" s="41"/>
      <c r="U2688" s="41"/>
      <c r="V2688" s="41"/>
      <c r="W2688" s="41"/>
      <c r="X2688" s="41"/>
      <c r="Y2688" s="41"/>
      <c r="Z2688" s="41"/>
      <c r="AA2688" s="1217">
        <f t="shared" si="404"/>
        <v>800</v>
      </c>
      <c r="AB2688" s="1210"/>
      <c r="AC2688" s="1199"/>
      <c r="AD2688" s="1211"/>
    </row>
    <row r="2689" spans="1:30" x14ac:dyDescent="0.2">
      <c r="A2689" s="1422"/>
      <c r="B2689" s="2522"/>
      <c r="C2689" s="3191"/>
      <c r="D2689" s="2421"/>
      <c r="E2689" s="2421"/>
      <c r="F2689" s="2420"/>
      <c r="G2689" s="2420"/>
      <c r="H2689" s="2420"/>
      <c r="I2689" s="2420"/>
      <c r="J2689" s="2515"/>
      <c r="K2689" s="115">
        <v>2697</v>
      </c>
      <c r="L2689" s="115"/>
      <c r="M2689" s="3287" t="s">
        <v>300</v>
      </c>
      <c r="N2689" s="3288"/>
      <c r="O2689" s="41">
        <v>224.75</v>
      </c>
      <c r="P2689" s="41">
        <v>224.75</v>
      </c>
      <c r="Q2689" s="41">
        <v>224.75</v>
      </c>
      <c r="R2689" s="41">
        <v>224.75</v>
      </c>
      <c r="S2689" s="41">
        <v>224.75</v>
      </c>
      <c r="T2689" s="41">
        <v>224.75</v>
      </c>
      <c r="U2689" s="41">
        <v>224.75</v>
      </c>
      <c r="V2689" s="41">
        <v>224.75</v>
      </c>
      <c r="W2689" s="41">
        <v>224.75</v>
      </c>
      <c r="X2689" s="41">
        <v>224.75</v>
      </c>
      <c r="Y2689" s="41">
        <v>224.75</v>
      </c>
      <c r="Z2689" s="41">
        <v>224.75</v>
      </c>
      <c r="AA2689" s="1217">
        <f t="shared" si="404"/>
        <v>2697</v>
      </c>
      <c r="AB2689" s="1210"/>
      <c r="AC2689" s="1199"/>
      <c r="AD2689" s="1211"/>
    </row>
    <row r="2690" spans="1:30" x14ac:dyDescent="0.2">
      <c r="A2690" s="1422"/>
      <c r="B2690" s="2522"/>
      <c r="C2690" s="3191"/>
      <c r="D2690" s="2421"/>
      <c r="E2690" s="2421"/>
      <c r="F2690" s="2420"/>
      <c r="G2690" s="2420"/>
      <c r="H2690" s="2420"/>
      <c r="I2690" s="2420"/>
      <c r="J2690" s="2515"/>
      <c r="K2690" s="115">
        <v>2000</v>
      </c>
      <c r="L2690" s="115"/>
      <c r="M2690" s="3287" t="s">
        <v>393</v>
      </c>
      <c r="N2690" s="3288"/>
      <c r="O2690" s="41"/>
      <c r="P2690" s="41"/>
      <c r="Q2690" s="41"/>
      <c r="R2690" s="41">
        <v>2000</v>
      </c>
      <c r="S2690" s="41"/>
      <c r="T2690" s="41"/>
      <c r="U2690" s="41"/>
      <c r="V2690" s="41"/>
      <c r="W2690" s="41"/>
      <c r="X2690" s="41"/>
      <c r="Y2690" s="41"/>
      <c r="Z2690" s="41"/>
      <c r="AA2690" s="1217">
        <f t="shared" si="404"/>
        <v>2000</v>
      </c>
      <c r="AB2690" s="1210"/>
      <c r="AC2690" s="1199"/>
      <c r="AD2690" s="1211"/>
    </row>
    <row r="2691" spans="1:30" x14ac:dyDescent="0.2">
      <c r="A2691" s="1422"/>
      <c r="B2691" s="2522"/>
      <c r="C2691" s="3191"/>
      <c r="D2691" s="2421"/>
      <c r="E2691" s="2421"/>
      <c r="F2691" s="2420"/>
      <c r="G2691" s="2420"/>
      <c r="H2691" s="2420"/>
      <c r="I2691" s="2420"/>
      <c r="J2691" s="2515"/>
      <c r="K2691" s="115">
        <v>4267</v>
      </c>
      <c r="L2691" s="115"/>
      <c r="M2691" s="3287" t="s">
        <v>611</v>
      </c>
      <c r="N2691" s="3288"/>
      <c r="O2691" s="41"/>
      <c r="P2691" s="41"/>
      <c r="Q2691" s="41">
        <v>2133.5</v>
      </c>
      <c r="R2691" s="41"/>
      <c r="S2691" s="41"/>
      <c r="T2691" s="41"/>
      <c r="U2691" s="41">
        <v>2133.5</v>
      </c>
      <c r="V2691" s="41"/>
      <c r="W2691" s="41"/>
      <c r="X2691" s="41"/>
      <c r="Y2691" s="41"/>
      <c r="Z2691" s="41"/>
      <c r="AA2691" s="1217">
        <f t="shared" si="404"/>
        <v>4267</v>
      </c>
      <c r="AB2691" s="1210"/>
      <c r="AC2691" s="1199"/>
      <c r="AD2691" s="1211"/>
    </row>
    <row r="2692" spans="1:30" x14ac:dyDescent="0.2">
      <c r="A2692" s="1422"/>
      <c r="B2692" s="2522"/>
      <c r="C2692" s="3191"/>
      <c r="D2692" s="2421"/>
      <c r="E2692" s="2421"/>
      <c r="F2692" s="2420"/>
      <c r="G2692" s="2420"/>
      <c r="H2692" s="2420"/>
      <c r="I2692" s="2420"/>
      <c r="J2692" s="2515"/>
      <c r="K2692" s="115">
        <v>34200</v>
      </c>
      <c r="L2692" s="115"/>
      <c r="M2692" s="3287" t="s">
        <v>310</v>
      </c>
      <c r="N2692" s="3288"/>
      <c r="O2692" s="41">
        <v>2850</v>
      </c>
      <c r="P2692" s="41">
        <v>2850</v>
      </c>
      <c r="Q2692" s="41">
        <v>2850</v>
      </c>
      <c r="R2692" s="41">
        <v>2850</v>
      </c>
      <c r="S2692" s="41">
        <v>2850</v>
      </c>
      <c r="T2692" s="41">
        <v>2850</v>
      </c>
      <c r="U2692" s="41">
        <v>2850</v>
      </c>
      <c r="V2692" s="41">
        <v>2850</v>
      </c>
      <c r="W2692" s="41">
        <v>2850</v>
      </c>
      <c r="X2692" s="41">
        <v>2850</v>
      </c>
      <c r="Y2692" s="41">
        <v>2850</v>
      </c>
      <c r="Z2692" s="41">
        <v>2850</v>
      </c>
      <c r="AA2692" s="1217">
        <f t="shared" si="404"/>
        <v>34200</v>
      </c>
      <c r="AB2692" s="1210"/>
      <c r="AC2692" s="1199"/>
      <c r="AD2692" s="1211"/>
    </row>
    <row r="2693" spans="1:30" x14ac:dyDescent="0.2">
      <c r="A2693" s="1422"/>
      <c r="B2693" s="2522"/>
      <c r="C2693" s="2439"/>
      <c r="D2693" s="2421"/>
      <c r="E2693" s="2421"/>
      <c r="F2693" s="2420"/>
      <c r="G2693" s="2420"/>
      <c r="H2693" s="2420"/>
      <c r="I2693" s="2420"/>
      <c r="J2693" s="2516"/>
      <c r="K2693" s="115">
        <v>2916</v>
      </c>
      <c r="L2693" s="115"/>
      <c r="M2693" s="3287" t="s">
        <v>311</v>
      </c>
      <c r="N2693" s="3288"/>
      <c r="O2693" s="41">
        <v>243</v>
      </c>
      <c r="P2693" s="41">
        <v>243</v>
      </c>
      <c r="Q2693" s="41">
        <v>243</v>
      </c>
      <c r="R2693" s="41">
        <v>243</v>
      </c>
      <c r="S2693" s="41">
        <v>243</v>
      </c>
      <c r="T2693" s="41">
        <v>243</v>
      </c>
      <c r="U2693" s="41">
        <v>243</v>
      </c>
      <c r="V2693" s="41">
        <v>243</v>
      </c>
      <c r="W2693" s="41">
        <v>243</v>
      </c>
      <c r="X2693" s="41">
        <v>243</v>
      </c>
      <c r="Y2693" s="41">
        <v>243</v>
      </c>
      <c r="Z2693" s="41">
        <v>243</v>
      </c>
      <c r="AA2693" s="1217">
        <f t="shared" si="404"/>
        <v>2916</v>
      </c>
      <c r="AB2693" s="1210"/>
      <c r="AC2693" s="1199"/>
      <c r="AD2693" s="1211"/>
    </row>
    <row r="2694" spans="1:30" x14ac:dyDescent="0.2">
      <c r="A2694" s="1422"/>
      <c r="B2694" s="1427" t="s">
        <v>312</v>
      </c>
      <c r="C2694" s="1273"/>
      <c r="D2694" s="38"/>
      <c r="E2694" s="38"/>
      <c r="F2694" s="38"/>
      <c r="G2694" s="38"/>
      <c r="H2694" s="38"/>
      <c r="I2694" s="38"/>
      <c r="J2694" s="38"/>
      <c r="K2694" s="38">
        <f>SUM(K2685:K2693)</f>
        <v>94412</v>
      </c>
      <c r="L2694" s="38"/>
      <c r="M2694" s="38"/>
      <c r="N2694" s="38"/>
      <c r="O2694" s="38"/>
      <c r="P2694" s="38"/>
      <c r="Q2694" s="38"/>
      <c r="R2694" s="38"/>
      <c r="S2694" s="38"/>
      <c r="T2694" s="38"/>
      <c r="U2694" s="38"/>
      <c r="V2694" s="38"/>
      <c r="W2694" s="38"/>
      <c r="X2694" s="38"/>
      <c r="Y2694" s="38"/>
      <c r="Z2694" s="38"/>
      <c r="AA2694" s="1234"/>
      <c r="AB2694" s="1210"/>
      <c r="AC2694" s="1199"/>
      <c r="AD2694" s="1211"/>
    </row>
    <row r="2695" spans="1:30" ht="22.5" x14ac:dyDescent="0.2">
      <c r="A2695" s="1422"/>
      <c r="B2695" s="1433" t="s">
        <v>276</v>
      </c>
      <c r="C2695" s="1121"/>
      <c r="D2695" s="1119">
        <v>3000371</v>
      </c>
      <c r="E2695" s="192" t="s">
        <v>802</v>
      </c>
      <c r="F2695" s="35"/>
      <c r="G2695" s="35"/>
      <c r="H2695" s="35"/>
      <c r="I2695" s="35"/>
      <c r="J2695" s="35"/>
      <c r="K2695" s="60"/>
      <c r="L2695" s="60"/>
      <c r="M2695" s="60"/>
      <c r="N2695" s="60"/>
      <c r="O2695" s="60"/>
      <c r="P2695" s="60"/>
      <c r="Q2695" s="60"/>
      <c r="R2695" s="60"/>
      <c r="S2695" s="3333" t="s">
        <v>15</v>
      </c>
      <c r="T2695" s="3333"/>
      <c r="U2695" s="3333"/>
      <c r="V2695" s="3333"/>
      <c r="W2695" s="3333"/>
      <c r="X2695" s="3333"/>
      <c r="Y2695" s="3333"/>
      <c r="Z2695" s="3333"/>
      <c r="AA2695" s="2143" t="s">
        <v>16</v>
      </c>
      <c r="AB2695" s="1210"/>
      <c r="AC2695" s="1199"/>
      <c r="AD2695" s="1211"/>
    </row>
    <row r="2696" spans="1:30" x14ac:dyDescent="0.2">
      <c r="A2696" s="1422"/>
      <c r="B2696" s="1433"/>
      <c r="C2696" s="1121"/>
      <c r="D2696" s="1119"/>
      <c r="E2696" s="192"/>
      <c r="F2696" s="35"/>
      <c r="G2696" s="35"/>
      <c r="H2696" s="35"/>
      <c r="I2696" s="35"/>
      <c r="J2696" s="35"/>
      <c r="K2696" s="60"/>
      <c r="L2696" s="60"/>
      <c r="M2696" s="60"/>
      <c r="N2696" s="60"/>
      <c r="O2696" s="60"/>
      <c r="P2696" s="60"/>
      <c r="Q2696" s="60"/>
      <c r="R2696" s="60"/>
      <c r="S2696" s="3383" t="s">
        <v>803</v>
      </c>
      <c r="T2696" s="3383"/>
      <c r="U2696" s="3383"/>
      <c r="V2696" s="3383"/>
      <c r="W2696" s="3383"/>
      <c r="X2696" s="3383"/>
      <c r="Y2696" s="3383"/>
      <c r="Z2696" s="3383"/>
      <c r="AA2696" s="1214" t="s">
        <v>661</v>
      </c>
      <c r="AB2696" s="1210"/>
      <c r="AC2696" s="1199"/>
      <c r="AD2696" s="1211"/>
    </row>
    <row r="2697" spans="1:30" x14ac:dyDescent="0.2">
      <c r="A2697" s="1422"/>
      <c r="B2697" s="2999" t="s">
        <v>278</v>
      </c>
      <c r="C2697" s="3015" t="s">
        <v>21</v>
      </c>
      <c r="D2697" s="2847" t="s">
        <v>22</v>
      </c>
      <c r="E2697" s="2847" t="s">
        <v>23</v>
      </c>
      <c r="F2697" s="2847" t="s">
        <v>24</v>
      </c>
      <c r="G2697" s="2847" t="s">
        <v>25</v>
      </c>
      <c r="H2697" s="2847" t="s">
        <v>26</v>
      </c>
      <c r="I2697" s="2847" t="s">
        <v>27</v>
      </c>
      <c r="J2697" s="3206" t="s">
        <v>28</v>
      </c>
      <c r="K2697" s="3301"/>
      <c r="L2697" s="2987" t="s">
        <v>279</v>
      </c>
      <c r="M2697" s="3273" t="s">
        <v>280</v>
      </c>
      <c r="N2697" s="3274"/>
      <c r="O2697" s="2847" t="s">
        <v>281</v>
      </c>
      <c r="P2697" s="2847"/>
      <c r="Q2697" s="2847"/>
      <c r="R2697" s="2847"/>
      <c r="S2697" s="2847"/>
      <c r="T2697" s="2847"/>
      <c r="U2697" s="2847"/>
      <c r="V2697" s="2847"/>
      <c r="W2697" s="2847"/>
      <c r="X2697" s="2847"/>
      <c r="Y2697" s="2847"/>
      <c r="Z2697" s="2847"/>
      <c r="AA2697" s="3358" t="s">
        <v>32</v>
      </c>
      <c r="AB2697" s="1210"/>
      <c r="AC2697" s="1199"/>
      <c r="AD2697" s="1211"/>
    </row>
    <row r="2698" spans="1:30" x14ac:dyDescent="0.2">
      <c r="A2698" s="1422"/>
      <c r="B2698" s="2999"/>
      <c r="C2698" s="3359"/>
      <c r="D2698" s="2847"/>
      <c r="E2698" s="2847"/>
      <c r="F2698" s="2847"/>
      <c r="G2698" s="2847"/>
      <c r="H2698" s="2847"/>
      <c r="I2698" s="2847"/>
      <c r="J2698" s="2988" t="s">
        <v>33</v>
      </c>
      <c r="K2698" s="2988" t="s">
        <v>282</v>
      </c>
      <c r="L2698" s="3341"/>
      <c r="M2698" s="3275"/>
      <c r="N2698" s="3276"/>
      <c r="O2698" s="1009" t="s">
        <v>283</v>
      </c>
      <c r="P2698" s="1009" t="s">
        <v>284</v>
      </c>
      <c r="Q2698" s="1009" t="s">
        <v>285</v>
      </c>
      <c r="R2698" s="1009" t="s">
        <v>88</v>
      </c>
      <c r="S2698" s="1009" t="s">
        <v>89</v>
      </c>
      <c r="T2698" s="1009" t="s">
        <v>90</v>
      </c>
      <c r="U2698" s="1009" t="s">
        <v>91</v>
      </c>
      <c r="V2698" s="1009" t="s">
        <v>92</v>
      </c>
      <c r="W2698" s="1009" t="s">
        <v>286</v>
      </c>
      <c r="X2698" s="1009" t="s">
        <v>93</v>
      </c>
      <c r="Y2698" s="1009" t="s">
        <v>94</v>
      </c>
      <c r="Z2698" s="1009" t="s">
        <v>95</v>
      </c>
      <c r="AA2698" s="3358"/>
      <c r="AB2698" s="1210"/>
      <c r="AC2698" s="1199"/>
      <c r="AD2698" s="1211"/>
    </row>
    <row r="2699" spans="1:30" x14ac:dyDescent="0.2">
      <c r="A2699" s="1422"/>
      <c r="B2699" s="2999"/>
      <c r="C2699" s="3359"/>
      <c r="D2699" s="2847"/>
      <c r="E2699" s="2847"/>
      <c r="F2699" s="2847"/>
      <c r="G2699" s="2847"/>
      <c r="H2699" s="2847"/>
      <c r="I2699" s="2847"/>
      <c r="J2699" s="3186"/>
      <c r="K2699" s="3186"/>
      <c r="L2699" s="3341"/>
      <c r="M2699" s="3271" t="s">
        <v>287</v>
      </c>
      <c r="N2699" s="3272"/>
      <c r="O2699" s="1095"/>
      <c r="P2699" s="1095"/>
      <c r="Q2699" s="1095">
        <v>1</v>
      </c>
      <c r="R2699" s="1095"/>
      <c r="S2699" s="1095">
        <v>1</v>
      </c>
      <c r="T2699" s="1095"/>
      <c r="U2699" s="1095">
        <v>1</v>
      </c>
      <c r="V2699" s="1095"/>
      <c r="W2699" s="1095">
        <v>1</v>
      </c>
      <c r="X2699" s="1095"/>
      <c r="Y2699" s="1095">
        <v>1</v>
      </c>
      <c r="Z2699" s="1095"/>
      <c r="AA2699" s="1216">
        <f t="shared" ref="AA2699:AA2702" si="406">SUM(O2699:Z2699)</f>
        <v>5</v>
      </c>
      <c r="AB2699" s="1210"/>
      <c r="AC2699" s="1199"/>
      <c r="AD2699" s="1211"/>
    </row>
    <row r="2700" spans="1:30" x14ac:dyDescent="0.2">
      <c r="A2700" s="1422"/>
      <c r="B2700" s="2999"/>
      <c r="C2700" s="3016"/>
      <c r="D2700" s="2847"/>
      <c r="E2700" s="2847"/>
      <c r="F2700" s="2847"/>
      <c r="G2700" s="2847"/>
      <c r="H2700" s="2847"/>
      <c r="I2700" s="2847"/>
      <c r="J2700" s="2989"/>
      <c r="K2700" s="2989"/>
      <c r="L2700" s="3341"/>
      <c r="M2700" s="3271" t="s">
        <v>34</v>
      </c>
      <c r="N2700" s="3272"/>
      <c r="O2700" s="1095">
        <f>SUM(O2701:O2702)</f>
        <v>0</v>
      </c>
      <c r="P2700" s="1095">
        <f t="shared" ref="P2700:Z2700" si="407">SUM(P2701:P2702)</f>
        <v>0</v>
      </c>
      <c r="Q2700" s="1095">
        <f t="shared" si="407"/>
        <v>0</v>
      </c>
      <c r="R2700" s="1095">
        <f t="shared" si="407"/>
        <v>5165</v>
      </c>
      <c r="S2700" s="1095">
        <f t="shared" si="407"/>
        <v>0</v>
      </c>
      <c r="T2700" s="1095">
        <f t="shared" si="407"/>
        <v>0</v>
      </c>
      <c r="U2700" s="1095">
        <f t="shared" si="407"/>
        <v>0</v>
      </c>
      <c r="V2700" s="1095">
        <f t="shared" si="407"/>
        <v>1270</v>
      </c>
      <c r="W2700" s="1095">
        <f t="shared" si="407"/>
        <v>0</v>
      </c>
      <c r="X2700" s="1095">
        <f t="shared" si="407"/>
        <v>0</v>
      </c>
      <c r="Y2700" s="1095">
        <f t="shared" si="407"/>
        <v>0</v>
      </c>
      <c r="Z2700" s="1095">
        <f t="shared" si="407"/>
        <v>0</v>
      </c>
      <c r="AA2700" s="1216">
        <f t="shared" si="406"/>
        <v>6435</v>
      </c>
      <c r="AB2700" s="1210"/>
      <c r="AC2700" s="1199"/>
      <c r="AD2700" s="1211"/>
    </row>
    <row r="2701" spans="1:30" x14ac:dyDescent="0.2">
      <c r="A2701" s="1422"/>
      <c r="B2701" s="2522">
        <v>5003071</v>
      </c>
      <c r="C2701" s="3190" t="s">
        <v>804</v>
      </c>
      <c r="D2701" s="2421"/>
      <c r="E2701" s="2421" t="s">
        <v>288</v>
      </c>
      <c r="F2701" s="2420" t="s">
        <v>386</v>
      </c>
      <c r="G2701" s="2420" t="s">
        <v>423</v>
      </c>
      <c r="H2701" s="2420"/>
      <c r="I2701" s="2420" t="s">
        <v>780</v>
      </c>
      <c r="J2701" s="2514">
        <v>5</v>
      </c>
      <c r="K2701" s="115">
        <v>2540</v>
      </c>
      <c r="L2701" s="778"/>
      <c r="M2701" s="3287" t="s">
        <v>393</v>
      </c>
      <c r="N2701" s="3288"/>
      <c r="O2701" s="38"/>
      <c r="P2701" s="38"/>
      <c r="Q2701" s="38"/>
      <c r="R2701" s="38">
        <v>1270</v>
      </c>
      <c r="S2701" s="38"/>
      <c r="T2701" s="38"/>
      <c r="U2701" s="38"/>
      <c r="V2701" s="38">
        <v>1270</v>
      </c>
      <c r="W2701" s="38"/>
      <c r="X2701" s="38"/>
      <c r="Y2701" s="38"/>
      <c r="Z2701" s="38"/>
      <c r="AA2701" s="1217">
        <f t="shared" si="406"/>
        <v>2540</v>
      </c>
      <c r="AB2701" s="1210"/>
      <c r="AC2701" s="1199"/>
      <c r="AD2701" s="1211"/>
    </row>
    <row r="2702" spans="1:30" x14ac:dyDescent="0.2">
      <c r="A2702" s="1422"/>
      <c r="B2702" s="2522"/>
      <c r="C2702" s="2439"/>
      <c r="D2702" s="2421"/>
      <c r="E2702" s="2421"/>
      <c r="F2702" s="2420"/>
      <c r="G2702" s="2420"/>
      <c r="H2702" s="2420"/>
      <c r="I2702" s="2420"/>
      <c r="J2702" s="2516"/>
      <c r="K2702" s="115">
        <v>3895</v>
      </c>
      <c r="L2702" s="115"/>
      <c r="M2702" s="3335" t="s">
        <v>343</v>
      </c>
      <c r="N2702" s="3336"/>
      <c r="O2702" s="38"/>
      <c r="P2702" s="38"/>
      <c r="Q2702" s="38"/>
      <c r="R2702" s="38">
        <v>3895</v>
      </c>
      <c r="S2702" s="38"/>
      <c r="T2702" s="38"/>
      <c r="U2702" s="38"/>
      <c r="V2702" s="38"/>
      <c r="W2702" s="38"/>
      <c r="X2702" s="38"/>
      <c r="Y2702" s="38"/>
      <c r="Z2702" s="38"/>
      <c r="AA2702" s="1217">
        <f t="shared" si="406"/>
        <v>3895</v>
      </c>
      <c r="AB2702" s="1210"/>
      <c r="AC2702" s="1199"/>
      <c r="AD2702" s="1211"/>
    </row>
    <row r="2703" spans="1:30" x14ac:dyDescent="0.2">
      <c r="A2703" s="1422"/>
      <c r="B2703" s="1427" t="s">
        <v>312</v>
      </c>
      <c r="C2703" s="1273"/>
      <c r="D2703" s="38"/>
      <c r="E2703" s="38"/>
      <c r="F2703" s="38"/>
      <c r="G2703" s="38"/>
      <c r="H2703" s="38"/>
      <c r="I2703" s="38"/>
      <c r="J2703" s="38"/>
      <c r="K2703" s="38">
        <f>SUM(K2701:K2702)</f>
        <v>6435</v>
      </c>
      <c r="L2703" s="38"/>
      <c r="M2703" s="38"/>
      <c r="N2703" s="38"/>
      <c r="O2703" s="38"/>
      <c r="P2703" s="38"/>
      <c r="Q2703" s="38"/>
      <c r="R2703" s="38"/>
      <c r="S2703" s="38"/>
      <c r="T2703" s="38"/>
      <c r="U2703" s="38"/>
      <c r="V2703" s="38"/>
      <c r="W2703" s="38"/>
      <c r="X2703" s="38"/>
      <c r="Y2703" s="38"/>
      <c r="Z2703" s="38"/>
      <c r="AA2703" s="1234"/>
      <c r="AB2703" s="1210"/>
      <c r="AC2703" s="1199"/>
      <c r="AD2703" s="1211"/>
    </row>
    <row r="2704" spans="1:30" ht="22.5" x14ac:dyDescent="0.2">
      <c r="A2704" s="1422"/>
      <c r="B2704" s="1433" t="s">
        <v>276</v>
      </c>
      <c r="C2704" s="1121"/>
      <c r="D2704" s="1119">
        <v>3000372</v>
      </c>
      <c r="E2704" s="192" t="s">
        <v>805</v>
      </c>
      <c r="F2704" s="35"/>
      <c r="G2704" s="35"/>
      <c r="H2704" s="35"/>
      <c r="I2704" s="35"/>
      <c r="J2704" s="35"/>
      <c r="K2704" s="60"/>
      <c r="L2704" s="60"/>
      <c r="M2704" s="60"/>
      <c r="N2704" s="60"/>
      <c r="O2704" s="60"/>
      <c r="P2704" s="60"/>
      <c r="Q2704" s="60"/>
      <c r="R2704" s="60"/>
      <c r="S2704" s="3377" t="s">
        <v>15</v>
      </c>
      <c r="T2704" s="3378"/>
      <c r="U2704" s="3378"/>
      <c r="V2704" s="3378"/>
      <c r="W2704" s="3378"/>
      <c r="X2704" s="3378"/>
      <c r="Y2704" s="3378"/>
      <c r="Z2704" s="3379"/>
      <c r="AA2704" s="1966" t="s">
        <v>16</v>
      </c>
      <c r="AB2704" s="1210"/>
      <c r="AC2704" s="1199"/>
      <c r="AD2704" s="1211"/>
    </row>
    <row r="2705" spans="1:30" x14ac:dyDescent="0.2">
      <c r="A2705" s="1422"/>
      <c r="B2705" s="1433"/>
      <c r="C2705" s="1121"/>
      <c r="D2705" s="1119"/>
      <c r="E2705" s="192"/>
      <c r="F2705" s="35"/>
      <c r="G2705" s="35"/>
      <c r="H2705" s="35"/>
      <c r="I2705" s="35"/>
      <c r="J2705" s="35"/>
      <c r="K2705" s="60"/>
      <c r="L2705" s="60"/>
      <c r="M2705" s="60"/>
      <c r="N2705" s="60"/>
      <c r="O2705" s="60"/>
      <c r="P2705" s="60"/>
      <c r="Q2705" s="60"/>
      <c r="R2705" s="60"/>
      <c r="S2705" s="3383" t="s">
        <v>806</v>
      </c>
      <c r="T2705" s="3383"/>
      <c r="U2705" s="3383"/>
      <c r="V2705" s="3383"/>
      <c r="W2705" s="3383"/>
      <c r="X2705" s="3383"/>
      <c r="Y2705" s="3383"/>
      <c r="Z2705" s="3383"/>
      <c r="AA2705" s="1214" t="s">
        <v>661</v>
      </c>
      <c r="AB2705" s="1210"/>
      <c r="AC2705" s="1199"/>
      <c r="AD2705" s="1211"/>
    </row>
    <row r="2706" spans="1:30" x14ac:dyDescent="0.2">
      <c r="A2706" s="1422"/>
      <c r="B2706" s="2999" t="s">
        <v>278</v>
      </c>
      <c r="C2706" s="3015" t="s">
        <v>21</v>
      </c>
      <c r="D2706" s="2847" t="s">
        <v>22</v>
      </c>
      <c r="E2706" s="2847" t="s">
        <v>23</v>
      </c>
      <c r="F2706" s="2847" t="s">
        <v>24</v>
      </c>
      <c r="G2706" s="2847" t="s">
        <v>25</v>
      </c>
      <c r="H2706" s="2847" t="s">
        <v>26</v>
      </c>
      <c r="I2706" s="2847" t="s">
        <v>27</v>
      </c>
      <c r="J2706" s="3206" t="s">
        <v>28</v>
      </c>
      <c r="K2706" s="3301"/>
      <c r="L2706" s="2988" t="s">
        <v>279</v>
      </c>
      <c r="M2706" s="3273" t="s">
        <v>280</v>
      </c>
      <c r="N2706" s="3274"/>
      <c r="O2706" s="2847" t="s">
        <v>281</v>
      </c>
      <c r="P2706" s="2847"/>
      <c r="Q2706" s="2847"/>
      <c r="R2706" s="2847"/>
      <c r="S2706" s="2847"/>
      <c r="T2706" s="2847"/>
      <c r="U2706" s="2847"/>
      <c r="V2706" s="2847"/>
      <c r="W2706" s="2847"/>
      <c r="X2706" s="2847"/>
      <c r="Y2706" s="2847"/>
      <c r="Z2706" s="2847"/>
      <c r="AA2706" s="3358" t="s">
        <v>32</v>
      </c>
      <c r="AB2706" s="1210"/>
      <c r="AC2706" s="1199"/>
      <c r="AD2706" s="1211"/>
    </row>
    <row r="2707" spans="1:30" x14ac:dyDescent="0.2">
      <c r="A2707" s="1422"/>
      <c r="B2707" s="2999"/>
      <c r="C2707" s="3359"/>
      <c r="D2707" s="2847"/>
      <c r="E2707" s="2847"/>
      <c r="F2707" s="2847"/>
      <c r="G2707" s="2847"/>
      <c r="H2707" s="2847"/>
      <c r="I2707" s="2847"/>
      <c r="J2707" s="2988" t="s">
        <v>33</v>
      </c>
      <c r="K2707" s="2988" t="s">
        <v>282</v>
      </c>
      <c r="L2707" s="3186"/>
      <c r="M2707" s="3275"/>
      <c r="N2707" s="3276"/>
      <c r="O2707" s="1009" t="s">
        <v>283</v>
      </c>
      <c r="P2707" s="1009" t="s">
        <v>284</v>
      </c>
      <c r="Q2707" s="1009" t="s">
        <v>285</v>
      </c>
      <c r="R2707" s="1009" t="s">
        <v>88</v>
      </c>
      <c r="S2707" s="1009" t="s">
        <v>89</v>
      </c>
      <c r="T2707" s="1009" t="s">
        <v>90</v>
      </c>
      <c r="U2707" s="1009" t="s">
        <v>91</v>
      </c>
      <c r="V2707" s="1009" t="s">
        <v>92</v>
      </c>
      <c r="W2707" s="1009" t="s">
        <v>286</v>
      </c>
      <c r="X2707" s="1009" t="s">
        <v>93</v>
      </c>
      <c r="Y2707" s="1009" t="s">
        <v>94</v>
      </c>
      <c r="Z2707" s="1009" t="s">
        <v>95</v>
      </c>
      <c r="AA2707" s="3358"/>
      <c r="AB2707" s="1210"/>
      <c r="AC2707" s="1199"/>
      <c r="AD2707" s="1211"/>
    </row>
    <row r="2708" spans="1:30" x14ac:dyDescent="0.2">
      <c r="A2708" s="1422"/>
      <c r="B2708" s="2999"/>
      <c r="C2708" s="3359"/>
      <c r="D2708" s="2847"/>
      <c r="E2708" s="2847"/>
      <c r="F2708" s="2847"/>
      <c r="G2708" s="2847"/>
      <c r="H2708" s="2847"/>
      <c r="I2708" s="2847"/>
      <c r="J2708" s="3186"/>
      <c r="K2708" s="3186"/>
      <c r="L2708" s="3186"/>
      <c r="M2708" s="3271" t="s">
        <v>287</v>
      </c>
      <c r="N2708" s="3272"/>
      <c r="O2708" s="1095">
        <v>1</v>
      </c>
      <c r="P2708" s="1095">
        <v>1</v>
      </c>
      <c r="Q2708" s="1095">
        <v>1</v>
      </c>
      <c r="R2708" s="1095">
        <v>2</v>
      </c>
      <c r="S2708" s="1095">
        <v>1</v>
      </c>
      <c r="T2708" s="1095">
        <v>1</v>
      </c>
      <c r="U2708" s="1095">
        <v>2</v>
      </c>
      <c r="V2708" s="1095">
        <v>2</v>
      </c>
      <c r="W2708" s="1095">
        <v>2</v>
      </c>
      <c r="X2708" s="1095">
        <v>1</v>
      </c>
      <c r="Y2708" s="1095">
        <v>2</v>
      </c>
      <c r="Z2708" s="1095">
        <v>1</v>
      </c>
      <c r="AA2708" s="1216">
        <f t="shared" ref="AA2708:AA2718" si="408">SUM(O2708:Z2708)</f>
        <v>17</v>
      </c>
      <c r="AB2708" s="1210"/>
      <c r="AC2708" s="1199"/>
      <c r="AD2708" s="1211"/>
    </row>
    <row r="2709" spans="1:30" x14ac:dyDescent="0.2">
      <c r="A2709" s="1422"/>
      <c r="B2709" s="2999"/>
      <c r="C2709" s="3016"/>
      <c r="D2709" s="2847"/>
      <c r="E2709" s="2847"/>
      <c r="F2709" s="2847"/>
      <c r="G2709" s="2847"/>
      <c r="H2709" s="2847"/>
      <c r="I2709" s="2847"/>
      <c r="J2709" s="2989"/>
      <c r="K2709" s="2989"/>
      <c r="L2709" s="2989"/>
      <c r="M2709" s="3271" t="s">
        <v>34</v>
      </c>
      <c r="N2709" s="3272"/>
      <c r="O2709" s="124">
        <f>SUM(O2710:O2718)</f>
        <v>12785.333333333332</v>
      </c>
      <c r="P2709" s="124">
        <f t="shared" ref="P2709:Z2709" si="409">SUM(P2710:P2718)</f>
        <v>11985.333333333332</v>
      </c>
      <c r="Q2709" s="124">
        <f t="shared" si="409"/>
        <v>11985.333333333332</v>
      </c>
      <c r="R2709" s="124">
        <f t="shared" si="409"/>
        <v>16421.333333333332</v>
      </c>
      <c r="S2709" s="124">
        <f t="shared" si="409"/>
        <v>11985.333333333332</v>
      </c>
      <c r="T2709" s="124">
        <f t="shared" si="409"/>
        <v>11985.333333333332</v>
      </c>
      <c r="U2709" s="124">
        <f t="shared" si="409"/>
        <v>12639.333333333332</v>
      </c>
      <c r="V2709" s="124">
        <f t="shared" si="409"/>
        <v>11985.333333333332</v>
      </c>
      <c r="W2709" s="124">
        <f t="shared" si="409"/>
        <v>11985.333333333332</v>
      </c>
      <c r="X2709" s="124">
        <f t="shared" si="409"/>
        <v>11985.333333333332</v>
      </c>
      <c r="Y2709" s="124">
        <f t="shared" si="409"/>
        <v>11985.333333333332</v>
      </c>
      <c r="Z2709" s="124">
        <f t="shared" si="409"/>
        <v>12639.333333333332</v>
      </c>
      <c r="AA2709" s="1216">
        <f t="shared" si="408"/>
        <v>150367.99999999997</v>
      </c>
      <c r="AB2709" s="1210"/>
      <c r="AC2709" s="1199"/>
      <c r="AD2709" s="1211"/>
    </row>
    <row r="2710" spans="1:30" x14ac:dyDescent="0.2">
      <c r="A2710" s="1422"/>
      <c r="B2710" s="2522">
        <v>5003072</v>
      </c>
      <c r="C2710" s="3190" t="s">
        <v>807</v>
      </c>
      <c r="D2710" s="2421"/>
      <c r="E2710" s="2421" t="s">
        <v>288</v>
      </c>
      <c r="F2710" s="2420" t="s">
        <v>386</v>
      </c>
      <c r="G2710" s="2420" t="s">
        <v>423</v>
      </c>
      <c r="H2710" s="2420"/>
      <c r="I2710" s="2420" t="s">
        <v>780</v>
      </c>
      <c r="J2710" s="2514">
        <v>17</v>
      </c>
      <c r="K2710" s="115">
        <v>78810</v>
      </c>
      <c r="L2710" s="115"/>
      <c r="M2710" s="3287" t="s">
        <v>293</v>
      </c>
      <c r="N2710" s="3288"/>
      <c r="O2710" s="42">
        <v>6567.5</v>
      </c>
      <c r="P2710" s="42">
        <v>6567.5</v>
      </c>
      <c r="Q2710" s="42">
        <v>6567.5</v>
      </c>
      <c r="R2710" s="42">
        <v>6567.5</v>
      </c>
      <c r="S2710" s="42">
        <v>6567.5</v>
      </c>
      <c r="T2710" s="42">
        <v>6567.5</v>
      </c>
      <c r="U2710" s="42">
        <v>6567.5</v>
      </c>
      <c r="V2710" s="42">
        <v>6567.5</v>
      </c>
      <c r="W2710" s="42">
        <v>6567.5</v>
      </c>
      <c r="X2710" s="42">
        <v>6567.5</v>
      </c>
      <c r="Y2710" s="42">
        <v>6567.5</v>
      </c>
      <c r="Z2710" s="42">
        <v>6567.5</v>
      </c>
      <c r="AA2710" s="1217">
        <f t="shared" si="408"/>
        <v>78810</v>
      </c>
      <c r="AB2710" s="1210"/>
      <c r="AC2710" s="1199"/>
      <c r="AD2710" s="1211"/>
    </row>
    <row r="2711" spans="1:30" x14ac:dyDescent="0.2">
      <c r="A2711" s="1422"/>
      <c r="B2711" s="2522"/>
      <c r="C2711" s="3191"/>
      <c r="D2711" s="2421"/>
      <c r="E2711" s="2421"/>
      <c r="F2711" s="2420"/>
      <c r="G2711" s="2420"/>
      <c r="H2711" s="2420"/>
      <c r="I2711" s="2420"/>
      <c r="J2711" s="2515"/>
      <c r="K2711" s="115">
        <v>17596</v>
      </c>
      <c r="L2711" s="115"/>
      <c r="M2711" s="3287" t="s">
        <v>296</v>
      </c>
      <c r="N2711" s="3288"/>
      <c r="O2711" s="42">
        <v>1466.3333333333333</v>
      </c>
      <c r="P2711" s="42">
        <v>1466.3333333333333</v>
      </c>
      <c r="Q2711" s="42">
        <v>1466.3333333333333</v>
      </c>
      <c r="R2711" s="42">
        <v>1466.3333333333333</v>
      </c>
      <c r="S2711" s="42">
        <v>1466.3333333333333</v>
      </c>
      <c r="T2711" s="42">
        <v>1466.3333333333333</v>
      </c>
      <c r="U2711" s="42">
        <v>1466.3333333333333</v>
      </c>
      <c r="V2711" s="42">
        <v>1466.3333333333333</v>
      </c>
      <c r="W2711" s="42">
        <v>1466.3333333333333</v>
      </c>
      <c r="X2711" s="42">
        <v>1466.3333333333333</v>
      </c>
      <c r="Y2711" s="42">
        <v>1466.3333333333333</v>
      </c>
      <c r="Z2711" s="42">
        <v>1466.3333333333333</v>
      </c>
      <c r="AA2711" s="1217">
        <f t="shared" si="408"/>
        <v>17596.000000000004</v>
      </c>
      <c r="AB2711" s="1210"/>
      <c r="AC2711" s="1199"/>
      <c r="AD2711" s="1211"/>
    </row>
    <row r="2712" spans="1:30" x14ac:dyDescent="0.2">
      <c r="A2712" s="1422"/>
      <c r="B2712" s="2522"/>
      <c r="C2712" s="3191"/>
      <c r="D2712" s="2421"/>
      <c r="E2712" s="2421"/>
      <c r="F2712" s="2420"/>
      <c r="G2712" s="2420"/>
      <c r="H2712" s="2420"/>
      <c r="I2712" s="2420"/>
      <c r="J2712" s="2515"/>
      <c r="K2712" s="115">
        <v>7200</v>
      </c>
      <c r="L2712" s="115"/>
      <c r="M2712" s="3287" t="s">
        <v>297</v>
      </c>
      <c r="N2712" s="3288"/>
      <c r="O2712" s="42">
        <v>600</v>
      </c>
      <c r="P2712" s="42">
        <v>600</v>
      </c>
      <c r="Q2712" s="42">
        <v>600</v>
      </c>
      <c r="R2712" s="42">
        <v>600</v>
      </c>
      <c r="S2712" s="42">
        <v>600</v>
      </c>
      <c r="T2712" s="42">
        <v>600</v>
      </c>
      <c r="U2712" s="42">
        <v>600</v>
      </c>
      <c r="V2712" s="42">
        <v>600</v>
      </c>
      <c r="W2712" s="42">
        <v>600</v>
      </c>
      <c r="X2712" s="42">
        <v>600</v>
      </c>
      <c r="Y2712" s="42">
        <v>600</v>
      </c>
      <c r="Z2712" s="42">
        <v>600</v>
      </c>
      <c r="AA2712" s="1217">
        <f t="shared" si="408"/>
        <v>7200</v>
      </c>
      <c r="AB2712" s="1210"/>
      <c r="AC2712" s="1199"/>
      <c r="AD2712" s="1211"/>
    </row>
    <row r="2713" spans="1:30" x14ac:dyDescent="0.2">
      <c r="A2713" s="1422"/>
      <c r="B2713" s="2522"/>
      <c r="C2713" s="3191"/>
      <c r="D2713" s="2421"/>
      <c r="E2713" s="2421"/>
      <c r="F2713" s="2420"/>
      <c r="G2713" s="2420"/>
      <c r="H2713" s="2420"/>
      <c r="I2713" s="2420"/>
      <c r="J2713" s="2515"/>
      <c r="K2713" s="115">
        <v>1308</v>
      </c>
      <c r="L2713" s="115"/>
      <c r="M2713" s="3287" t="s">
        <v>298</v>
      </c>
      <c r="N2713" s="3288"/>
      <c r="O2713" s="42"/>
      <c r="P2713" s="42"/>
      <c r="Q2713" s="42"/>
      <c r="R2713" s="42"/>
      <c r="S2713" s="42"/>
      <c r="T2713" s="42"/>
      <c r="U2713" s="42">
        <v>654</v>
      </c>
      <c r="V2713" s="42"/>
      <c r="W2713" s="42"/>
      <c r="X2713" s="42"/>
      <c r="Y2713" s="42"/>
      <c r="Z2713" s="42">
        <v>654</v>
      </c>
      <c r="AA2713" s="1217">
        <f t="shared" si="408"/>
        <v>1308</v>
      </c>
      <c r="AB2713" s="1210"/>
      <c r="AC2713" s="1199"/>
      <c r="AD2713" s="1211"/>
    </row>
    <row r="2714" spans="1:30" x14ac:dyDescent="0.2">
      <c r="A2714" s="1422"/>
      <c r="B2714" s="2522"/>
      <c r="C2714" s="3191"/>
      <c r="D2714" s="2421"/>
      <c r="E2714" s="2421"/>
      <c r="F2714" s="2420"/>
      <c r="G2714" s="2420"/>
      <c r="H2714" s="2420"/>
      <c r="I2714" s="2420"/>
      <c r="J2714" s="2515"/>
      <c r="K2714" s="115">
        <v>800</v>
      </c>
      <c r="L2714" s="115"/>
      <c r="M2714" s="3287" t="s">
        <v>299</v>
      </c>
      <c r="N2714" s="3288"/>
      <c r="O2714" s="42">
        <v>800</v>
      </c>
      <c r="P2714" s="42"/>
      <c r="Q2714" s="42"/>
      <c r="R2714" s="42"/>
      <c r="S2714" s="42"/>
      <c r="T2714" s="42"/>
      <c r="U2714" s="42"/>
      <c r="V2714" s="42"/>
      <c r="W2714" s="42"/>
      <c r="X2714" s="42"/>
      <c r="Y2714" s="42"/>
      <c r="Z2714" s="42"/>
      <c r="AA2714" s="1217">
        <f t="shared" si="408"/>
        <v>800</v>
      </c>
      <c r="AB2714" s="1210"/>
      <c r="AC2714" s="1199"/>
      <c r="AD2714" s="1211"/>
    </row>
    <row r="2715" spans="1:30" x14ac:dyDescent="0.2">
      <c r="A2715" s="1422"/>
      <c r="B2715" s="2522"/>
      <c r="C2715" s="3191"/>
      <c r="D2715" s="2421"/>
      <c r="E2715" s="2421"/>
      <c r="F2715" s="2420"/>
      <c r="G2715" s="2420"/>
      <c r="H2715" s="2420"/>
      <c r="I2715" s="2420"/>
      <c r="J2715" s="2515"/>
      <c r="K2715" s="115">
        <v>5010</v>
      </c>
      <c r="L2715" s="115"/>
      <c r="M2715" s="3287" t="s">
        <v>300</v>
      </c>
      <c r="N2715" s="3288"/>
      <c r="O2715" s="42">
        <v>417.5</v>
      </c>
      <c r="P2715" s="42">
        <v>417.5</v>
      </c>
      <c r="Q2715" s="42">
        <v>417.5</v>
      </c>
      <c r="R2715" s="42">
        <v>417.5</v>
      </c>
      <c r="S2715" s="42">
        <v>417.5</v>
      </c>
      <c r="T2715" s="42">
        <v>417.5</v>
      </c>
      <c r="U2715" s="42">
        <v>417.5</v>
      </c>
      <c r="V2715" s="42">
        <v>417.5</v>
      </c>
      <c r="W2715" s="42">
        <v>417.5</v>
      </c>
      <c r="X2715" s="42">
        <v>417.5</v>
      </c>
      <c r="Y2715" s="42">
        <v>417.5</v>
      </c>
      <c r="Z2715" s="42">
        <v>417.5</v>
      </c>
      <c r="AA2715" s="1217">
        <f t="shared" si="408"/>
        <v>5010</v>
      </c>
      <c r="AB2715" s="1210"/>
      <c r="AC2715" s="1199"/>
      <c r="AD2715" s="1211"/>
    </row>
    <row r="2716" spans="1:30" x14ac:dyDescent="0.2">
      <c r="A2716" s="1422"/>
      <c r="B2716" s="2522"/>
      <c r="C2716" s="3191"/>
      <c r="D2716" s="2421"/>
      <c r="E2716" s="2421"/>
      <c r="F2716" s="2420"/>
      <c r="G2716" s="2420"/>
      <c r="H2716" s="2420"/>
      <c r="I2716" s="2420"/>
      <c r="J2716" s="2515"/>
      <c r="K2716" s="115">
        <v>4436</v>
      </c>
      <c r="L2716" s="115"/>
      <c r="M2716" s="3287" t="s">
        <v>343</v>
      </c>
      <c r="N2716" s="3288"/>
      <c r="O2716" s="42"/>
      <c r="P2716" s="42"/>
      <c r="Q2716" s="42"/>
      <c r="R2716" s="42">
        <v>4436</v>
      </c>
      <c r="S2716" s="42"/>
      <c r="T2716" s="42"/>
      <c r="U2716" s="42"/>
      <c r="V2716" s="42"/>
      <c r="W2716" s="42"/>
      <c r="X2716" s="42"/>
      <c r="Y2716" s="42"/>
      <c r="Z2716" s="42"/>
      <c r="AA2716" s="1217">
        <f t="shared" si="408"/>
        <v>4436</v>
      </c>
      <c r="AB2716" s="1210"/>
      <c r="AC2716" s="1199"/>
      <c r="AD2716" s="1211"/>
    </row>
    <row r="2717" spans="1:30" x14ac:dyDescent="0.2">
      <c r="A2717" s="1422"/>
      <c r="B2717" s="2522"/>
      <c r="C2717" s="3191"/>
      <c r="D2717" s="2421"/>
      <c r="E2717" s="2421"/>
      <c r="F2717" s="2420"/>
      <c r="G2717" s="2420"/>
      <c r="H2717" s="2420"/>
      <c r="I2717" s="2420"/>
      <c r="J2717" s="2515"/>
      <c r="K2717" s="115">
        <v>32400</v>
      </c>
      <c r="L2717" s="115"/>
      <c r="M2717" s="3287" t="s">
        <v>310</v>
      </c>
      <c r="N2717" s="3288"/>
      <c r="O2717" s="42">
        <v>2700</v>
      </c>
      <c r="P2717" s="42">
        <v>2700</v>
      </c>
      <c r="Q2717" s="42">
        <v>2700</v>
      </c>
      <c r="R2717" s="42">
        <v>2700</v>
      </c>
      <c r="S2717" s="42">
        <v>2700</v>
      </c>
      <c r="T2717" s="42">
        <v>2700</v>
      </c>
      <c r="U2717" s="42">
        <v>2700</v>
      </c>
      <c r="V2717" s="42">
        <v>2700</v>
      </c>
      <c r="W2717" s="42">
        <v>2700</v>
      </c>
      <c r="X2717" s="42">
        <v>2700</v>
      </c>
      <c r="Y2717" s="42">
        <v>2700</v>
      </c>
      <c r="Z2717" s="42">
        <v>2700</v>
      </c>
      <c r="AA2717" s="1217">
        <f t="shared" si="408"/>
        <v>32400</v>
      </c>
      <c r="AB2717" s="1210"/>
      <c r="AC2717" s="1199"/>
      <c r="AD2717" s="1211"/>
    </row>
    <row r="2718" spans="1:30" x14ac:dyDescent="0.2">
      <c r="A2718" s="1422"/>
      <c r="B2718" s="2522"/>
      <c r="C2718" s="2439"/>
      <c r="D2718" s="2421"/>
      <c r="E2718" s="2421"/>
      <c r="F2718" s="2420"/>
      <c r="G2718" s="2420"/>
      <c r="H2718" s="2420"/>
      <c r="I2718" s="2420"/>
      <c r="J2718" s="2516"/>
      <c r="K2718" s="115">
        <v>2808</v>
      </c>
      <c r="L2718" s="115"/>
      <c r="M2718" s="3287" t="s">
        <v>311</v>
      </c>
      <c r="N2718" s="3288"/>
      <c r="O2718" s="42">
        <v>234</v>
      </c>
      <c r="P2718" s="42">
        <v>234</v>
      </c>
      <c r="Q2718" s="42">
        <v>234</v>
      </c>
      <c r="R2718" s="42">
        <v>234</v>
      </c>
      <c r="S2718" s="42">
        <v>234</v>
      </c>
      <c r="T2718" s="42">
        <v>234</v>
      </c>
      <c r="U2718" s="42">
        <v>234</v>
      </c>
      <c r="V2718" s="42">
        <v>234</v>
      </c>
      <c r="W2718" s="42">
        <v>234</v>
      </c>
      <c r="X2718" s="42">
        <v>234</v>
      </c>
      <c r="Y2718" s="42">
        <v>234</v>
      </c>
      <c r="Z2718" s="42">
        <v>234</v>
      </c>
      <c r="AA2718" s="1217">
        <f t="shared" si="408"/>
        <v>2808</v>
      </c>
      <c r="AB2718" s="1210"/>
      <c r="AC2718" s="1199"/>
      <c r="AD2718" s="1211"/>
    </row>
    <row r="2719" spans="1:30" x14ac:dyDescent="0.2">
      <c r="A2719" s="1422"/>
      <c r="B2719" s="1427" t="s">
        <v>312</v>
      </c>
      <c r="C2719" s="1273"/>
      <c r="D2719" s="38"/>
      <c r="E2719" s="38"/>
      <c r="F2719" s="38"/>
      <c r="G2719" s="38"/>
      <c r="H2719" s="38"/>
      <c r="I2719" s="38"/>
      <c r="J2719" s="38"/>
      <c r="K2719" s="38">
        <f>SUM(K2710:K2718)</f>
        <v>150368</v>
      </c>
      <c r="L2719" s="38"/>
      <c r="M2719" s="38"/>
      <c r="N2719" s="38"/>
      <c r="O2719" s="38"/>
      <c r="P2719" s="38"/>
      <c r="Q2719" s="38"/>
      <c r="R2719" s="38"/>
      <c r="S2719" s="38"/>
      <c r="T2719" s="38"/>
      <c r="U2719" s="38"/>
      <c r="V2719" s="38"/>
      <c r="W2719" s="38"/>
      <c r="X2719" s="38"/>
      <c r="Y2719" s="38"/>
      <c r="Z2719" s="38"/>
      <c r="AA2719" s="1234"/>
      <c r="AB2719" s="1210"/>
      <c r="AC2719" s="1199"/>
      <c r="AD2719" s="1211"/>
    </row>
    <row r="2720" spans="1:30" ht="22.5" x14ac:dyDescent="0.2">
      <c r="A2720" s="1422"/>
      <c r="B2720" s="1433" t="s">
        <v>276</v>
      </c>
      <c r="C2720" s="1121"/>
      <c r="D2720" s="1119">
        <v>3000373</v>
      </c>
      <c r="E2720" s="192" t="s">
        <v>808</v>
      </c>
      <c r="F2720" s="35"/>
      <c r="G2720" s="35"/>
      <c r="H2720" s="35"/>
      <c r="I2720" s="35"/>
      <c r="J2720" s="35"/>
      <c r="K2720" s="60"/>
      <c r="L2720" s="60"/>
      <c r="M2720" s="60"/>
      <c r="N2720" s="60"/>
      <c r="O2720" s="60"/>
      <c r="P2720" s="60"/>
      <c r="Q2720" s="60"/>
      <c r="R2720" s="60"/>
      <c r="S2720" s="3333" t="s">
        <v>15</v>
      </c>
      <c r="T2720" s="3333"/>
      <c r="U2720" s="3333"/>
      <c r="V2720" s="3333"/>
      <c r="W2720" s="3333"/>
      <c r="X2720" s="3333"/>
      <c r="Y2720" s="3333"/>
      <c r="Z2720" s="3333"/>
      <c r="AA2720" s="1966" t="s">
        <v>16</v>
      </c>
      <c r="AB2720" s="1210"/>
      <c r="AC2720" s="1199"/>
      <c r="AD2720" s="1211"/>
    </row>
    <row r="2721" spans="1:30" x14ac:dyDescent="0.2">
      <c r="A2721" s="1422"/>
      <c r="B2721" s="1433"/>
      <c r="C2721" s="1121"/>
      <c r="D2721" s="1119"/>
      <c r="E2721" s="192"/>
      <c r="F2721" s="35"/>
      <c r="G2721" s="35"/>
      <c r="H2721" s="35"/>
      <c r="I2721" s="35"/>
      <c r="J2721" s="35"/>
      <c r="K2721" s="60"/>
      <c r="L2721" s="60"/>
      <c r="M2721" s="60"/>
      <c r="N2721" s="60"/>
      <c r="O2721" s="60"/>
      <c r="P2721" s="60"/>
      <c r="Q2721" s="60"/>
      <c r="R2721" s="60"/>
      <c r="S2721" s="3333" t="s">
        <v>809</v>
      </c>
      <c r="T2721" s="3333"/>
      <c r="U2721" s="3333"/>
      <c r="V2721" s="3333"/>
      <c r="W2721" s="3333"/>
      <c r="X2721" s="3333"/>
      <c r="Y2721" s="3333"/>
      <c r="Z2721" s="3333"/>
      <c r="AA2721" s="1214" t="s">
        <v>661</v>
      </c>
      <c r="AB2721" s="1210"/>
      <c r="AC2721" s="1199"/>
      <c r="AD2721" s="1211"/>
    </row>
    <row r="2722" spans="1:30" x14ac:dyDescent="0.2">
      <c r="A2722" s="1422"/>
      <c r="B2722" s="2999" t="s">
        <v>278</v>
      </c>
      <c r="C2722" s="3015" t="s">
        <v>21</v>
      </c>
      <c r="D2722" s="2847" t="s">
        <v>22</v>
      </c>
      <c r="E2722" s="2847" t="s">
        <v>23</v>
      </c>
      <c r="F2722" s="2847" t="s">
        <v>24</v>
      </c>
      <c r="G2722" s="2847" t="s">
        <v>25</v>
      </c>
      <c r="H2722" s="2847" t="s">
        <v>26</v>
      </c>
      <c r="I2722" s="2847" t="s">
        <v>27</v>
      </c>
      <c r="J2722" s="3206" t="s">
        <v>28</v>
      </c>
      <c r="K2722" s="3301"/>
      <c r="L2722" s="2987" t="s">
        <v>279</v>
      </c>
      <c r="M2722" s="3273" t="s">
        <v>280</v>
      </c>
      <c r="N2722" s="3274"/>
      <c r="O2722" s="2847" t="s">
        <v>281</v>
      </c>
      <c r="P2722" s="2847"/>
      <c r="Q2722" s="2847"/>
      <c r="R2722" s="2847"/>
      <c r="S2722" s="2847"/>
      <c r="T2722" s="2847"/>
      <c r="U2722" s="2847"/>
      <c r="V2722" s="2847"/>
      <c r="W2722" s="2847"/>
      <c r="X2722" s="2847"/>
      <c r="Y2722" s="2847"/>
      <c r="Z2722" s="2847"/>
      <c r="AA2722" s="3358" t="s">
        <v>32</v>
      </c>
      <c r="AB2722" s="1210"/>
      <c r="AC2722" s="1199"/>
      <c r="AD2722" s="1211"/>
    </row>
    <row r="2723" spans="1:30" x14ac:dyDescent="0.2">
      <c r="A2723" s="1422"/>
      <c r="B2723" s="2999"/>
      <c r="C2723" s="3359"/>
      <c r="D2723" s="2847"/>
      <c r="E2723" s="2847"/>
      <c r="F2723" s="2847"/>
      <c r="G2723" s="2847"/>
      <c r="H2723" s="2847"/>
      <c r="I2723" s="2847"/>
      <c r="J2723" s="2988" t="s">
        <v>33</v>
      </c>
      <c r="K2723" s="2988" t="s">
        <v>282</v>
      </c>
      <c r="L2723" s="3341"/>
      <c r="M2723" s="3275"/>
      <c r="N2723" s="3276"/>
      <c r="O2723" s="1009" t="s">
        <v>283</v>
      </c>
      <c r="P2723" s="1009" t="s">
        <v>284</v>
      </c>
      <c r="Q2723" s="1009" t="s">
        <v>285</v>
      </c>
      <c r="R2723" s="1009" t="s">
        <v>88</v>
      </c>
      <c r="S2723" s="1009" t="s">
        <v>89</v>
      </c>
      <c r="T2723" s="1009" t="s">
        <v>90</v>
      </c>
      <c r="U2723" s="1009" t="s">
        <v>91</v>
      </c>
      <c r="V2723" s="1009" t="s">
        <v>92</v>
      </c>
      <c r="W2723" s="1009" t="s">
        <v>286</v>
      </c>
      <c r="X2723" s="1009" t="s">
        <v>93</v>
      </c>
      <c r="Y2723" s="1009" t="s">
        <v>94</v>
      </c>
      <c r="Z2723" s="1009" t="s">
        <v>95</v>
      </c>
      <c r="AA2723" s="3358"/>
      <c r="AB2723" s="1210"/>
      <c r="AC2723" s="1199"/>
      <c r="AD2723" s="1211"/>
    </row>
    <row r="2724" spans="1:30" x14ac:dyDescent="0.2">
      <c r="A2724" s="1422"/>
      <c r="B2724" s="2999"/>
      <c r="C2724" s="3359"/>
      <c r="D2724" s="2847"/>
      <c r="E2724" s="2847"/>
      <c r="F2724" s="2847"/>
      <c r="G2724" s="2847"/>
      <c r="H2724" s="2847"/>
      <c r="I2724" s="2847"/>
      <c r="J2724" s="3186"/>
      <c r="K2724" s="3186"/>
      <c r="L2724" s="3341"/>
      <c r="M2724" s="3271" t="s">
        <v>287</v>
      </c>
      <c r="N2724" s="3272"/>
      <c r="O2724" s="1095">
        <v>2</v>
      </c>
      <c r="P2724" s="1095">
        <v>2</v>
      </c>
      <c r="Q2724" s="1095">
        <v>2</v>
      </c>
      <c r="R2724" s="1095">
        <v>2</v>
      </c>
      <c r="S2724" s="1095">
        <v>2</v>
      </c>
      <c r="T2724" s="1095">
        <v>2</v>
      </c>
      <c r="U2724" s="1095">
        <v>3</v>
      </c>
      <c r="V2724" s="1095">
        <v>2</v>
      </c>
      <c r="W2724" s="1095">
        <v>2</v>
      </c>
      <c r="X2724" s="1095">
        <v>2</v>
      </c>
      <c r="Y2724" s="1095">
        <v>2</v>
      </c>
      <c r="Z2724" s="1095">
        <v>2</v>
      </c>
      <c r="AA2724" s="1216">
        <f t="shared" ref="AA2724:AA2726" si="410">SUM(O2724:Z2724)</f>
        <v>25</v>
      </c>
      <c r="AB2724" s="1210"/>
      <c r="AC2724" s="1199"/>
      <c r="AD2724" s="1211"/>
    </row>
    <row r="2725" spans="1:30" x14ac:dyDescent="0.2">
      <c r="A2725" s="1422"/>
      <c r="B2725" s="2999"/>
      <c r="C2725" s="3016"/>
      <c r="D2725" s="2847"/>
      <c r="E2725" s="2847"/>
      <c r="F2725" s="2847"/>
      <c r="G2725" s="2847"/>
      <c r="H2725" s="2847"/>
      <c r="I2725" s="2847"/>
      <c r="J2725" s="2989"/>
      <c r="K2725" s="2989"/>
      <c r="L2725" s="3341"/>
      <c r="M2725" s="3271" t="s">
        <v>34</v>
      </c>
      <c r="N2725" s="3272"/>
      <c r="O2725" s="1095">
        <f>SUM(O2726)</f>
        <v>0</v>
      </c>
      <c r="P2725" s="1095">
        <f t="shared" ref="P2725:Z2725" si="411">SUM(P2726)</f>
        <v>0</v>
      </c>
      <c r="Q2725" s="1095">
        <f t="shared" si="411"/>
        <v>0</v>
      </c>
      <c r="R2725" s="1095">
        <f t="shared" si="411"/>
        <v>3159</v>
      </c>
      <c r="S2725" s="1095">
        <f t="shared" si="411"/>
        <v>0</v>
      </c>
      <c r="T2725" s="1095">
        <f t="shared" si="411"/>
        <v>0</v>
      </c>
      <c r="U2725" s="1095">
        <f t="shared" si="411"/>
        <v>0</v>
      </c>
      <c r="V2725" s="1095">
        <f t="shared" si="411"/>
        <v>3159</v>
      </c>
      <c r="W2725" s="1095">
        <f t="shared" si="411"/>
        <v>0</v>
      </c>
      <c r="X2725" s="1095">
        <f t="shared" si="411"/>
        <v>0</v>
      </c>
      <c r="Y2725" s="1095">
        <f t="shared" si="411"/>
        <v>0</v>
      </c>
      <c r="Z2725" s="1095">
        <f t="shared" si="411"/>
        <v>0</v>
      </c>
      <c r="AA2725" s="1216">
        <f t="shared" si="410"/>
        <v>6318</v>
      </c>
      <c r="AB2725" s="1210"/>
      <c r="AC2725" s="1199"/>
      <c r="AD2725" s="1211"/>
    </row>
    <row r="2726" spans="1:30" ht="33.75" x14ac:dyDescent="0.2">
      <c r="A2726" s="1422"/>
      <c r="B2726" s="1018">
        <v>5003073</v>
      </c>
      <c r="C2726" s="1096" t="s">
        <v>810</v>
      </c>
      <c r="D2726" s="1073"/>
      <c r="E2726" s="1073" t="s">
        <v>288</v>
      </c>
      <c r="F2726" s="1088" t="s">
        <v>386</v>
      </c>
      <c r="G2726" s="1088" t="s">
        <v>423</v>
      </c>
      <c r="H2726" s="1088"/>
      <c r="I2726" s="1088" t="s">
        <v>780</v>
      </c>
      <c r="J2726" s="1088">
        <v>25</v>
      </c>
      <c r="K2726" s="123">
        <v>6318</v>
      </c>
      <c r="L2726" s="123"/>
      <c r="M2726" s="3335" t="s">
        <v>343</v>
      </c>
      <c r="N2726" s="3336"/>
      <c r="O2726" s="913"/>
      <c r="P2726" s="913"/>
      <c r="Q2726" s="913"/>
      <c r="R2726" s="913">
        <v>3159</v>
      </c>
      <c r="S2726" s="913"/>
      <c r="T2726" s="913"/>
      <c r="U2726" s="913"/>
      <c r="V2726" s="913">
        <v>3159</v>
      </c>
      <c r="W2726" s="913"/>
      <c r="X2726" s="913"/>
      <c r="Y2726" s="913"/>
      <c r="Z2726" s="913"/>
      <c r="AA2726" s="1217">
        <f t="shared" si="410"/>
        <v>6318</v>
      </c>
      <c r="AB2726" s="1210"/>
      <c r="AC2726" s="1199"/>
      <c r="AD2726" s="1211"/>
    </row>
    <row r="2727" spans="1:30" x14ac:dyDescent="0.2">
      <c r="A2727" s="1422"/>
      <c r="B2727" s="1427" t="s">
        <v>312</v>
      </c>
      <c r="C2727" s="1273"/>
      <c r="D2727" s="38"/>
      <c r="E2727" s="38"/>
      <c r="F2727" s="38"/>
      <c r="G2727" s="38"/>
      <c r="H2727" s="38"/>
      <c r="I2727" s="38"/>
      <c r="J2727" s="38"/>
      <c r="K2727" s="38">
        <f>SUM(K2726:K2726)</f>
        <v>6318</v>
      </c>
      <c r="L2727" s="38"/>
      <c r="M2727" s="38"/>
      <c r="N2727" s="38"/>
      <c r="O2727" s="38"/>
      <c r="P2727" s="38"/>
      <c r="Q2727" s="38"/>
      <c r="R2727" s="38"/>
      <c r="S2727" s="38"/>
      <c r="T2727" s="38"/>
      <c r="U2727" s="38"/>
      <c r="V2727" s="38"/>
      <c r="W2727" s="38"/>
      <c r="X2727" s="38"/>
      <c r="Y2727" s="38"/>
      <c r="Z2727" s="38"/>
      <c r="AA2727" s="1217"/>
      <c r="AB2727" s="1210"/>
      <c r="AC2727" s="1199"/>
      <c r="AD2727" s="1211"/>
    </row>
    <row r="2728" spans="1:30" ht="22.5" x14ac:dyDescent="0.2">
      <c r="A2728" s="1422"/>
      <c r="B2728" s="1433" t="s">
        <v>276</v>
      </c>
      <c r="C2728" s="1121"/>
      <c r="D2728" s="1119">
        <v>3000374</v>
      </c>
      <c r="E2728" s="192" t="s">
        <v>811</v>
      </c>
      <c r="F2728" s="35"/>
      <c r="G2728" s="35"/>
      <c r="H2728" s="35"/>
      <c r="I2728" s="35"/>
      <c r="J2728" s="35"/>
      <c r="K2728" s="60"/>
      <c r="L2728" s="60"/>
      <c r="M2728" s="60"/>
      <c r="N2728" s="60"/>
      <c r="O2728" s="60"/>
      <c r="P2728" s="60"/>
      <c r="Q2728" s="60"/>
      <c r="R2728" s="60"/>
      <c r="S2728" s="3333" t="s">
        <v>15</v>
      </c>
      <c r="T2728" s="3333"/>
      <c r="U2728" s="3333"/>
      <c r="V2728" s="3333"/>
      <c r="W2728" s="3333"/>
      <c r="X2728" s="3333"/>
      <c r="Y2728" s="3333"/>
      <c r="Z2728" s="3333"/>
      <c r="AA2728" s="1966" t="s">
        <v>16</v>
      </c>
      <c r="AB2728" s="1210"/>
      <c r="AC2728" s="1199"/>
      <c r="AD2728" s="1211"/>
    </row>
    <row r="2729" spans="1:30" x14ac:dyDescent="0.2">
      <c r="A2729" s="1422"/>
      <c r="B2729" s="1433"/>
      <c r="C2729" s="1121"/>
      <c r="D2729" s="1119"/>
      <c r="E2729" s="192"/>
      <c r="F2729" s="35"/>
      <c r="G2729" s="35"/>
      <c r="H2729" s="35"/>
      <c r="I2729" s="35"/>
      <c r="J2729" s="35"/>
      <c r="K2729" s="60"/>
      <c r="L2729" s="60"/>
      <c r="M2729" s="60"/>
      <c r="N2729" s="60"/>
      <c r="O2729" s="60"/>
      <c r="P2729" s="60"/>
      <c r="Q2729" s="60"/>
      <c r="R2729" s="60"/>
      <c r="S2729" s="3333" t="s">
        <v>812</v>
      </c>
      <c r="T2729" s="3333"/>
      <c r="U2729" s="3333"/>
      <c r="V2729" s="3333"/>
      <c r="W2729" s="3333"/>
      <c r="X2729" s="3333"/>
      <c r="Y2729" s="3333"/>
      <c r="Z2729" s="3333"/>
      <c r="AA2729" s="1214" t="s">
        <v>813</v>
      </c>
      <c r="AB2729" s="1210"/>
      <c r="AC2729" s="1199"/>
      <c r="AD2729" s="1211"/>
    </row>
    <row r="2730" spans="1:30" x14ac:dyDescent="0.2">
      <c r="A2730" s="1422"/>
      <c r="B2730" s="2999" t="s">
        <v>278</v>
      </c>
      <c r="C2730" s="3015" t="s">
        <v>21</v>
      </c>
      <c r="D2730" s="2847" t="s">
        <v>22</v>
      </c>
      <c r="E2730" s="2847" t="s">
        <v>23</v>
      </c>
      <c r="F2730" s="2847" t="s">
        <v>24</v>
      </c>
      <c r="G2730" s="2847" t="s">
        <v>25</v>
      </c>
      <c r="H2730" s="2847" t="s">
        <v>26</v>
      </c>
      <c r="I2730" s="2847" t="s">
        <v>27</v>
      </c>
      <c r="J2730" s="3206" t="s">
        <v>28</v>
      </c>
      <c r="K2730" s="3301"/>
      <c r="L2730" s="2987" t="s">
        <v>279</v>
      </c>
      <c r="M2730" s="3273" t="s">
        <v>280</v>
      </c>
      <c r="N2730" s="3274"/>
      <c r="O2730" s="2847" t="s">
        <v>281</v>
      </c>
      <c r="P2730" s="2847"/>
      <c r="Q2730" s="2847"/>
      <c r="R2730" s="2847"/>
      <c r="S2730" s="2847"/>
      <c r="T2730" s="2847"/>
      <c r="U2730" s="2847"/>
      <c r="V2730" s="2847"/>
      <c r="W2730" s="2847"/>
      <c r="X2730" s="2847"/>
      <c r="Y2730" s="2847"/>
      <c r="Z2730" s="2847"/>
      <c r="AA2730" s="3358" t="s">
        <v>32</v>
      </c>
      <c r="AB2730" s="1210"/>
      <c r="AC2730" s="1199"/>
      <c r="AD2730" s="1211"/>
    </row>
    <row r="2731" spans="1:30" x14ac:dyDescent="0.2">
      <c r="A2731" s="1422"/>
      <c r="B2731" s="2999"/>
      <c r="C2731" s="3359"/>
      <c r="D2731" s="2847"/>
      <c r="E2731" s="2847"/>
      <c r="F2731" s="2847"/>
      <c r="G2731" s="2847"/>
      <c r="H2731" s="2847"/>
      <c r="I2731" s="2847"/>
      <c r="J2731" s="2988" t="s">
        <v>33</v>
      </c>
      <c r="K2731" s="2988" t="s">
        <v>282</v>
      </c>
      <c r="L2731" s="3341"/>
      <c r="M2731" s="3275"/>
      <c r="N2731" s="3276"/>
      <c r="O2731" s="1009" t="s">
        <v>283</v>
      </c>
      <c r="P2731" s="1009" t="s">
        <v>284</v>
      </c>
      <c r="Q2731" s="1009" t="s">
        <v>285</v>
      </c>
      <c r="R2731" s="1009" t="s">
        <v>88</v>
      </c>
      <c r="S2731" s="1009" t="s">
        <v>89</v>
      </c>
      <c r="T2731" s="1009" t="s">
        <v>90</v>
      </c>
      <c r="U2731" s="1009" t="s">
        <v>91</v>
      </c>
      <c r="V2731" s="1009" t="s">
        <v>92</v>
      </c>
      <c r="W2731" s="1009" t="s">
        <v>286</v>
      </c>
      <c r="X2731" s="1009" t="s">
        <v>93</v>
      </c>
      <c r="Y2731" s="1009" t="s">
        <v>94</v>
      </c>
      <c r="Z2731" s="1009" t="s">
        <v>95</v>
      </c>
      <c r="AA2731" s="3358"/>
      <c r="AB2731" s="1210"/>
      <c r="AC2731" s="1199"/>
      <c r="AD2731" s="1211"/>
    </row>
    <row r="2732" spans="1:30" x14ac:dyDescent="0.2">
      <c r="A2732" s="1422"/>
      <c r="B2732" s="2999"/>
      <c r="C2732" s="3359"/>
      <c r="D2732" s="2847"/>
      <c r="E2732" s="2847"/>
      <c r="F2732" s="2847"/>
      <c r="G2732" s="2847"/>
      <c r="H2732" s="2847"/>
      <c r="I2732" s="2847"/>
      <c r="J2732" s="3186"/>
      <c r="K2732" s="3186"/>
      <c r="L2732" s="3341"/>
      <c r="M2732" s="3271" t="s">
        <v>287</v>
      </c>
      <c r="N2732" s="3272"/>
      <c r="O2732" s="1095"/>
      <c r="P2732" s="1095">
        <v>1</v>
      </c>
      <c r="Q2732" s="1095">
        <v>1</v>
      </c>
      <c r="R2732" s="1095">
        <v>1</v>
      </c>
      <c r="S2732" s="1095">
        <v>1</v>
      </c>
      <c r="T2732" s="1095">
        <v>1</v>
      </c>
      <c r="U2732" s="1095">
        <v>1</v>
      </c>
      <c r="V2732" s="1095">
        <v>1</v>
      </c>
      <c r="W2732" s="1095">
        <v>1</v>
      </c>
      <c r="X2732" s="1095">
        <v>1</v>
      </c>
      <c r="Y2732" s="1095">
        <v>1</v>
      </c>
      <c r="Z2732" s="1095"/>
      <c r="AA2732" s="1216">
        <f t="shared" ref="AA2732:AA2741" si="412">SUM(O2732:Z2732)</f>
        <v>10</v>
      </c>
      <c r="AB2732" s="1210"/>
      <c r="AC2732" s="1199"/>
      <c r="AD2732" s="1211"/>
    </row>
    <row r="2733" spans="1:30" x14ac:dyDescent="0.2">
      <c r="A2733" s="1422"/>
      <c r="B2733" s="2999"/>
      <c r="C2733" s="3016"/>
      <c r="D2733" s="2847"/>
      <c r="E2733" s="2847"/>
      <c r="F2733" s="2847"/>
      <c r="G2733" s="2847"/>
      <c r="H2733" s="2847"/>
      <c r="I2733" s="2847"/>
      <c r="J2733" s="2989"/>
      <c r="K2733" s="2989"/>
      <c r="L2733" s="3341"/>
      <c r="M2733" s="3271" t="s">
        <v>34</v>
      </c>
      <c r="N2733" s="3272"/>
      <c r="O2733" s="120">
        <f>SUM(O2734:O2741)</f>
        <v>8715.7500000000018</v>
      </c>
      <c r="P2733" s="120">
        <f t="shared" ref="P2733:Z2733" si="413">SUM(P2734:P2741)</f>
        <v>8315.75</v>
      </c>
      <c r="Q2733" s="120">
        <f t="shared" si="413"/>
        <v>8315.75</v>
      </c>
      <c r="R2733" s="120">
        <f t="shared" si="413"/>
        <v>12749.75</v>
      </c>
      <c r="S2733" s="120">
        <f t="shared" si="413"/>
        <v>8315.75</v>
      </c>
      <c r="T2733" s="120">
        <f t="shared" si="413"/>
        <v>8315.75</v>
      </c>
      <c r="U2733" s="120">
        <f t="shared" si="413"/>
        <v>8642.7500000000018</v>
      </c>
      <c r="V2733" s="120">
        <f t="shared" si="413"/>
        <v>8315.75</v>
      </c>
      <c r="W2733" s="120">
        <f t="shared" si="413"/>
        <v>8315.75</v>
      </c>
      <c r="X2733" s="120">
        <f t="shared" si="413"/>
        <v>8315.75</v>
      </c>
      <c r="Y2733" s="120">
        <f t="shared" si="413"/>
        <v>8315.75</v>
      </c>
      <c r="Z2733" s="120">
        <f t="shared" si="413"/>
        <v>8642.7500000000018</v>
      </c>
      <c r="AA2733" s="1216">
        <f t="shared" si="412"/>
        <v>105277</v>
      </c>
      <c r="AB2733" s="1210"/>
      <c r="AC2733" s="1199"/>
      <c r="AD2733" s="1211"/>
    </row>
    <row r="2734" spans="1:30" x14ac:dyDescent="0.2">
      <c r="A2734" s="1422"/>
      <c r="B2734" s="2522">
        <v>5003074</v>
      </c>
      <c r="C2734" s="3190" t="s">
        <v>814</v>
      </c>
      <c r="D2734" s="2421"/>
      <c r="E2734" s="2421" t="s">
        <v>288</v>
      </c>
      <c r="F2734" s="2420" t="s">
        <v>386</v>
      </c>
      <c r="G2734" s="2420" t="s">
        <v>423</v>
      </c>
      <c r="H2734" s="2420"/>
      <c r="I2734" s="2420" t="s">
        <v>780</v>
      </c>
      <c r="J2734" s="2514">
        <v>10</v>
      </c>
      <c r="K2734" s="115">
        <v>63960</v>
      </c>
      <c r="L2734" s="115"/>
      <c r="M2734" s="3287" t="s">
        <v>293</v>
      </c>
      <c r="N2734" s="3288"/>
      <c r="O2734" s="41">
        <v>5330</v>
      </c>
      <c r="P2734" s="41">
        <v>5330</v>
      </c>
      <c r="Q2734" s="41">
        <v>5330</v>
      </c>
      <c r="R2734" s="41">
        <v>5330</v>
      </c>
      <c r="S2734" s="41">
        <v>5330</v>
      </c>
      <c r="T2734" s="41">
        <v>5330</v>
      </c>
      <c r="U2734" s="41">
        <v>5330</v>
      </c>
      <c r="V2734" s="41">
        <v>5330</v>
      </c>
      <c r="W2734" s="41">
        <v>5330</v>
      </c>
      <c r="X2734" s="41">
        <v>5330</v>
      </c>
      <c r="Y2734" s="41">
        <v>5330</v>
      </c>
      <c r="Z2734" s="41">
        <v>5330</v>
      </c>
      <c r="AA2734" s="1217">
        <f t="shared" si="412"/>
        <v>63960</v>
      </c>
      <c r="AB2734" s="1210"/>
      <c r="AC2734" s="1199"/>
      <c r="AD2734" s="1211"/>
    </row>
    <row r="2735" spans="1:30" x14ac:dyDescent="0.2">
      <c r="A2735" s="1422"/>
      <c r="B2735" s="2522"/>
      <c r="C2735" s="3191"/>
      <c r="D2735" s="2421"/>
      <c r="E2735" s="2421"/>
      <c r="F2735" s="2420"/>
      <c r="G2735" s="2420"/>
      <c r="H2735" s="2420"/>
      <c r="I2735" s="2420"/>
      <c r="J2735" s="2515"/>
      <c r="K2735" s="115">
        <v>19763</v>
      </c>
      <c r="L2735" s="115"/>
      <c r="M2735" s="3287" t="s">
        <v>296</v>
      </c>
      <c r="N2735" s="3288"/>
      <c r="O2735" s="41">
        <v>1646.9166666666667</v>
      </c>
      <c r="P2735" s="41">
        <v>1646.9166666666667</v>
      </c>
      <c r="Q2735" s="41">
        <v>1646.9166666666667</v>
      </c>
      <c r="R2735" s="41">
        <v>1646.9166666666667</v>
      </c>
      <c r="S2735" s="41">
        <v>1646.9166666666667</v>
      </c>
      <c r="T2735" s="41">
        <v>1646.9166666666667</v>
      </c>
      <c r="U2735" s="41">
        <v>1646.9166666666667</v>
      </c>
      <c r="V2735" s="41">
        <v>1646.9166666666667</v>
      </c>
      <c r="W2735" s="41">
        <v>1646.9166666666667</v>
      </c>
      <c r="X2735" s="41">
        <v>1646.9166666666667</v>
      </c>
      <c r="Y2735" s="41">
        <v>1646.9166666666667</v>
      </c>
      <c r="Z2735" s="41">
        <v>1646.9166666666667</v>
      </c>
      <c r="AA2735" s="1217">
        <f t="shared" si="412"/>
        <v>19763</v>
      </c>
      <c r="AB2735" s="1210"/>
      <c r="AC2735" s="1199"/>
      <c r="AD2735" s="1211"/>
    </row>
    <row r="2736" spans="1:30" x14ac:dyDescent="0.2">
      <c r="A2736" s="1422"/>
      <c r="B2736" s="2522"/>
      <c r="C2736" s="3191"/>
      <c r="D2736" s="2421"/>
      <c r="E2736" s="2421"/>
      <c r="F2736" s="2420"/>
      <c r="G2736" s="2420"/>
      <c r="H2736" s="2420"/>
      <c r="I2736" s="2420"/>
      <c r="J2736" s="2515"/>
      <c r="K2736" s="115">
        <v>12000</v>
      </c>
      <c r="L2736" s="115"/>
      <c r="M2736" s="3287" t="s">
        <v>297</v>
      </c>
      <c r="N2736" s="3288"/>
      <c r="O2736" s="41">
        <v>1000</v>
      </c>
      <c r="P2736" s="41">
        <v>1000</v>
      </c>
      <c r="Q2736" s="41">
        <v>1000</v>
      </c>
      <c r="R2736" s="41">
        <v>1000</v>
      </c>
      <c r="S2736" s="41">
        <v>1000</v>
      </c>
      <c r="T2736" s="41">
        <v>1000</v>
      </c>
      <c r="U2736" s="41">
        <v>1000</v>
      </c>
      <c r="V2736" s="41">
        <v>1000</v>
      </c>
      <c r="W2736" s="41">
        <v>1000</v>
      </c>
      <c r="X2736" s="41">
        <v>1000</v>
      </c>
      <c r="Y2736" s="41">
        <v>1000</v>
      </c>
      <c r="Z2736" s="41">
        <v>1000</v>
      </c>
      <c r="AA2736" s="1217">
        <f t="shared" si="412"/>
        <v>12000</v>
      </c>
      <c r="AB2736" s="1210"/>
      <c r="AC2736" s="1199"/>
      <c r="AD2736" s="1211"/>
    </row>
    <row r="2737" spans="1:30" x14ac:dyDescent="0.2">
      <c r="A2737" s="1422"/>
      <c r="B2737" s="2522"/>
      <c r="C2737" s="3191"/>
      <c r="D2737" s="2421"/>
      <c r="E2737" s="2421"/>
      <c r="F2737" s="2420"/>
      <c r="G2737" s="2420"/>
      <c r="H2737" s="2420"/>
      <c r="I2737" s="2420"/>
      <c r="J2737" s="2515"/>
      <c r="K2737" s="115">
        <v>654</v>
      </c>
      <c r="L2737" s="115"/>
      <c r="M2737" s="3287" t="s">
        <v>298</v>
      </c>
      <c r="N2737" s="3288"/>
      <c r="O2737" s="41"/>
      <c r="P2737" s="41"/>
      <c r="Q2737" s="41"/>
      <c r="R2737" s="41"/>
      <c r="S2737" s="41"/>
      <c r="T2737" s="41"/>
      <c r="U2737" s="41">
        <v>327</v>
      </c>
      <c r="V2737" s="41"/>
      <c r="W2737" s="41"/>
      <c r="X2737" s="41"/>
      <c r="Y2737" s="41"/>
      <c r="Z2737" s="41">
        <v>327</v>
      </c>
      <c r="AA2737" s="1217">
        <f t="shared" si="412"/>
        <v>654</v>
      </c>
      <c r="AB2737" s="1210"/>
      <c r="AC2737" s="1199"/>
      <c r="AD2737" s="1211"/>
    </row>
    <row r="2738" spans="1:30" x14ac:dyDescent="0.2">
      <c r="A2738" s="1422"/>
      <c r="B2738" s="2522"/>
      <c r="C2738" s="3191"/>
      <c r="D2738" s="2421"/>
      <c r="E2738" s="2421"/>
      <c r="F2738" s="2420"/>
      <c r="G2738" s="2420"/>
      <c r="H2738" s="2420"/>
      <c r="I2738" s="2420"/>
      <c r="J2738" s="2515"/>
      <c r="K2738" s="115">
        <v>400</v>
      </c>
      <c r="L2738" s="115"/>
      <c r="M2738" s="3287" t="s">
        <v>299</v>
      </c>
      <c r="N2738" s="3288"/>
      <c r="O2738" s="41">
        <v>400</v>
      </c>
      <c r="P2738" s="41"/>
      <c r="Q2738" s="41"/>
      <c r="R2738" s="41"/>
      <c r="S2738" s="41"/>
      <c r="T2738" s="41"/>
      <c r="U2738" s="41"/>
      <c r="V2738" s="41"/>
      <c r="W2738" s="41"/>
      <c r="X2738" s="41"/>
      <c r="Y2738" s="41"/>
      <c r="Z2738" s="41"/>
      <c r="AA2738" s="1217">
        <f t="shared" si="412"/>
        <v>400</v>
      </c>
      <c r="AB2738" s="1210"/>
      <c r="AC2738" s="1199"/>
      <c r="AD2738" s="1211"/>
    </row>
    <row r="2739" spans="1:30" x14ac:dyDescent="0.2">
      <c r="A2739" s="1422"/>
      <c r="B2739" s="2522"/>
      <c r="C2739" s="3191"/>
      <c r="D2739" s="2421"/>
      <c r="E2739" s="2421"/>
      <c r="F2739" s="2420"/>
      <c r="G2739" s="2420"/>
      <c r="H2739" s="2420"/>
      <c r="I2739" s="2420"/>
      <c r="J2739" s="2515"/>
      <c r="K2739" s="115">
        <v>4066</v>
      </c>
      <c r="L2739" s="115"/>
      <c r="M2739" s="3287" t="s">
        <v>300</v>
      </c>
      <c r="N2739" s="3288"/>
      <c r="O2739" s="41">
        <v>338.83333333333331</v>
      </c>
      <c r="P2739" s="41">
        <v>338.83333333333331</v>
      </c>
      <c r="Q2739" s="41">
        <v>338.83333333333331</v>
      </c>
      <c r="R2739" s="41">
        <v>338.83333333333331</v>
      </c>
      <c r="S2739" s="41">
        <v>338.83333333333331</v>
      </c>
      <c r="T2739" s="41">
        <v>338.83333333333331</v>
      </c>
      <c r="U2739" s="41">
        <v>338.83333333333331</v>
      </c>
      <c r="V2739" s="41">
        <v>338.83333333333331</v>
      </c>
      <c r="W2739" s="41">
        <v>338.83333333333331</v>
      </c>
      <c r="X2739" s="41">
        <v>338.83333333333331</v>
      </c>
      <c r="Y2739" s="41">
        <v>338.83333333333331</v>
      </c>
      <c r="Z2739" s="41">
        <v>338.83333333333331</v>
      </c>
      <c r="AA2739" s="1217">
        <f t="shared" si="412"/>
        <v>4066.0000000000005</v>
      </c>
      <c r="AB2739" s="1210"/>
      <c r="AC2739" s="1199"/>
      <c r="AD2739" s="1211"/>
    </row>
    <row r="2740" spans="1:30" x14ac:dyDescent="0.2">
      <c r="A2740" s="1422"/>
      <c r="B2740" s="2522"/>
      <c r="C2740" s="3191"/>
      <c r="D2740" s="2421"/>
      <c r="E2740" s="2421"/>
      <c r="F2740" s="2420"/>
      <c r="G2740" s="2420"/>
      <c r="H2740" s="2420"/>
      <c r="I2740" s="2420"/>
      <c r="J2740" s="2515"/>
      <c r="K2740" s="115">
        <v>2000</v>
      </c>
      <c r="L2740" s="115"/>
      <c r="M2740" s="3287" t="s">
        <v>393</v>
      </c>
      <c r="N2740" s="3288"/>
      <c r="O2740" s="41"/>
      <c r="P2740" s="41"/>
      <c r="Q2740" s="41"/>
      <c r="R2740" s="41">
        <v>2000</v>
      </c>
      <c r="S2740" s="41"/>
      <c r="T2740" s="41"/>
      <c r="U2740" s="41"/>
      <c r="V2740" s="41"/>
      <c r="W2740" s="41"/>
      <c r="X2740" s="41"/>
      <c r="Y2740" s="41"/>
      <c r="Z2740" s="41"/>
      <c r="AA2740" s="1217">
        <f t="shared" si="412"/>
        <v>2000</v>
      </c>
      <c r="AB2740" s="1210"/>
      <c r="AC2740" s="1199"/>
      <c r="AD2740" s="1211"/>
    </row>
    <row r="2741" spans="1:30" x14ac:dyDescent="0.2">
      <c r="A2741" s="1422"/>
      <c r="B2741" s="2522"/>
      <c r="C2741" s="2439"/>
      <c r="D2741" s="2421"/>
      <c r="E2741" s="2421"/>
      <c r="F2741" s="2420"/>
      <c r="G2741" s="2420"/>
      <c r="H2741" s="2420"/>
      <c r="I2741" s="2420"/>
      <c r="J2741" s="2516"/>
      <c r="K2741" s="115">
        <v>2434</v>
      </c>
      <c r="L2741" s="115"/>
      <c r="M2741" s="3287" t="s">
        <v>343</v>
      </c>
      <c r="N2741" s="3288"/>
      <c r="O2741" s="41"/>
      <c r="P2741" s="41"/>
      <c r="Q2741" s="41"/>
      <c r="R2741" s="41">
        <v>2434</v>
      </c>
      <c r="S2741" s="41"/>
      <c r="T2741" s="41"/>
      <c r="U2741" s="41"/>
      <c r="V2741" s="41"/>
      <c r="W2741" s="41"/>
      <c r="X2741" s="41"/>
      <c r="Y2741" s="41"/>
      <c r="Z2741" s="41"/>
      <c r="AA2741" s="1217">
        <f t="shared" si="412"/>
        <v>2434</v>
      </c>
      <c r="AB2741" s="1210"/>
      <c r="AC2741" s="1199"/>
      <c r="AD2741" s="1211"/>
    </row>
    <row r="2742" spans="1:30" x14ac:dyDescent="0.2">
      <c r="A2742" s="1422"/>
      <c r="B2742" s="1427" t="s">
        <v>312</v>
      </c>
      <c r="C2742" s="1273"/>
      <c r="D2742" s="38"/>
      <c r="E2742" s="38"/>
      <c r="F2742" s="38"/>
      <c r="G2742" s="38"/>
      <c r="H2742" s="38"/>
      <c r="I2742" s="38"/>
      <c r="J2742" s="38"/>
      <c r="K2742" s="38">
        <f>SUM(K2734:K2741)</f>
        <v>105277</v>
      </c>
      <c r="L2742" s="38"/>
      <c r="M2742" s="125"/>
      <c r="N2742" s="125"/>
      <c r="O2742" s="38"/>
      <c r="P2742" s="38"/>
      <c r="Q2742" s="38"/>
      <c r="R2742" s="38"/>
      <c r="S2742" s="38"/>
      <c r="T2742" s="38"/>
      <c r="U2742" s="38"/>
      <c r="V2742" s="38"/>
      <c r="W2742" s="38"/>
      <c r="X2742" s="38"/>
      <c r="Y2742" s="38"/>
      <c r="Z2742" s="38"/>
      <c r="AA2742" s="1234"/>
      <c r="AB2742" s="1210"/>
      <c r="AC2742" s="1199"/>
      <c r="AD2742" s="1211"/>
    </row>
    <row r="2743" spans="1:30" ht="22.5" x14ac:dyDescent="0.2">
      <c r="A2743" s="1422"/>
      <c r="B2743" s="1433" t="s">
        <v>276</v>
      </c>
      <c r="C2743" s="1121"/>
      <c r="D2743" s="1119">
        <v>3000424</v>
      </c>
      <c r="E2743" s="192" t="s">
        <v>815</v>
      </c>
      <c r="F2743" s="35"/>
      <c r="G2743" s="35"/>
      <c r="H2743" s="35"/>
      <c r="I2743" s="35"/>
      <c r="J2743" s="35"/>
      <c r="K2743" s="60"/>
      <c r="L2743" s="60"/>
      <c r="M2743" s="200"/>
      <c r="N2743" s="200"/>
      <c r="O2743" s="60"/>
      <c r="P2743" s="60"/>
      <c r="Q2743" s="60"/>
      <c r="R2743" s="60"/>
      <c r="S2743" s="3333" t="s">
        <v>15</v>
      </c>
      <c r="T2743" s="3333"/>
      <c r="U2743" s="3333"/>
      <c r="V2743" s="3333"/>
      <c r="W2743" s="3333"/>
      <c r="X2743" s="3333"/>
      <c r="Y2743" s="3333"/>
      <c r="Z2743" s="3333"/>
      <c r="AA2743" s="1966" t="s">
        <v>16</v>
      </c>
      <c r="AB2743" s="1210"/>
      <c r="AC2743" s="1199"/>
      <c r="AD2743" s="1211"/>
    </row>
    <row r="2744" spans="1:30" x14ac:dyDescent="0.2">
      <c r="A2744" s="1422"/>
      <c r="B2744" s="1433"/>
      <c r="C2744" s="1121"/>
      <c r="D2744" s="1119"/>
      <c r="E2744" s="192"/>
      <c r="F2744" s="35"/>
      <c r="G2744" s="35"/>
      <c r="H2744" s="35"/>
      <c r="I2744" s="35"/>
      <c r="J2744" s="35"/>
      <c r="K2744" s="60"/>
      <c r="L2744" s="60"/>
      <c r="M2744" s="200"/>
      <c r="N2744" s="200"/>
      <c r="O2744" s="60"/>
      <c r="P2744" s="60"/>
      <c r="Q2744" s="60"/>
      <c r="R2744" s="60"/>
      <c r="S2744" s="3383" t="s">
        <v>816</v>
      </c>
      <c r="T2744" s="3383"/>
      <c r="U2744" s="3383"/>
      <c r="V2744" s="3383"/>
      <c r="W2744" s="3383"/>
      <c r="X2744" s="3383"/>
      <c r="Y2744" s="3383"/>
      <c r="Z2744" s="3383"/>
      <c r="AA2744" s="1214" t="s">
        <v>661</v>
      </c>
      <c r="AB2744" s="1210"/>
      <c r="AC2744" s="1199"/>
      <c r="AD2744" s="1211"/>
    </row>
    <row r="2745" spans="1:30" x14ac:dyDescent="0.2">
      <c r="A2745" s="1422"/>
      <c r="B2745" s="2999" t="s">
        <v>278</v>
      </c>
      <c r="C2745" s="3015" t="s">
        <v>21</v>
      </c>
      <c r="D2745" s="2847" t="s">
        <v>22</v>
      </c>
      <c r="E2745" s="2847" t="s">
        <v>23</v>
      </c>
      <c r="F2745" s="2847" t="s">
        <v>24</v>
      </c>
      <c r="G2745" s="2847" t="s">
        <v>25</v>
      </c>
      <c r="H2745" s="2847" t="s">
        <v>26</v>
      </c>
      <c r="I2745" s="2847" t="s">
        <v>27</v>
      </c>
      <c r="J2745" s="3206" t="s">
        <v>28</v>
      </c>
      <c r="K2745" s="3301"/>
      <c r="L2745" s="2987" t="s">
        <v>279</v>
      </c>
      <c r="M2745" s="3273" t="s">
        <v>280</v>
      </c>
      <c r="N2745" s="3274"/>
      <c r="O2745" s="2847" t="s">
        <v>281</v>
      </c>
      <c r="P2745" s="2847"/>
      <c r="Q2745" s="2847"/>
      <c r="R2745" s="2847"/>
      <c r="S2745" s="2847"/>
      <c r="T2745" s="2847"/>
      <c r="U2745" s="2847"/>
      <c r="V2745" s="2847"/>
      <c r="W2745" s="2847"/>
      <c r="X2745" s="2847"/>
      <c r="Y2745" s="2847"/>
      <c r="Z2745" s="2847"/>
      <c r="AA2745" s="3358" t="s">
        <v>32</v>
      </c>
      <c r="AB2745" s="1210"/>
      <c r="AC2745" s="1199"/>
      <c r="AD2745" s="1211"/>
    </row>
    <row r="2746" spans="1:30" x14ac:dyDescent="0.2">
      <c r="A2746" s="1422"/>
      <c r="B2746" s="2999"/>
      <c r="C2746" s="3359"/>
      <c r="D2746" s="2847"/>
      <c r="E2746" s="2847"/>
      <c r="F2746" s="2847"/>
      <c r="G2746" s="2847"/>
      <c r="H2746" s="2847"/>
      <c r="I2746" s="2847"/>
      <c r="J2746" s="2988" t="s">
        <v>33</v>
      </c>
      <c r="K2746" s="2988" t="s">
        <v>282</v>
      </c>
      <c r="L2746" s="3341"/>
      <c r="M2746" s="3275"/>
      <c r="N2746" s="3276"/>
      <c r="O2746" s="1009" t="s">
        <v>283</v>
      </c>
      <c r="P2746" s="1009" t="s">
        <v>284</v>
      </c>
      <c r="Q2746" s="1009" t="s">
        <v>285</v>
      </c>
      <c r="R2746" s="1009" t="s">
        <v>88</v>
      </c>
      <c r="S2746" s="1009" t="s">
        <v>89</v>
      </c>
      <c r="T2746" s="1009" t="s">
        <v>90</v>
      </c>
      <c r="U2746" s="1009" t="s">
        <v>91</v>
      </c>
      <c r="V2746" s="1009" t="s">
        <v>92</v>
      </c>
      <c r="W2746" s="1009" t="s">
        <v>286</v>
      </c>
      <c r="X2746" s="1009" t="s">
        <v>93</v>
      </c>
      <c r="Y2746" s="1009" t="s">
        <v>94</v>
      </c>
      <c r="Z2746" s="1009" t="s">
        <v>95</v>
      </c>
      <c r="AA2746" s="3358"/>
      <c r="AB2746" s="1210"/>
      <c r="AC2746" s="1199"/>
      <c r="AD2746" s="1211"/>
    </row>
    <row r="2747" spans="1:30" x14ac:dyDescent="0.2">
      <c r="A2747" s="1422"/>
      <c r="B2747" s="2999"/>
      <c r="C2747" s="3359"/>
      <c r="D2747" s="2847"/>
      <c r="E2747" s="2847"/>
      <c r="F2747" s="2847"/>
      <c r="G2747" s="2847"/>
      <c r="H2747" s="2847"/>
      <c r="I2747" s="2847"/>
      <c r="J2747" s="3186"/>
      <c r="K2747" s="3186"/>
      <c r="L2747" s="3341"/>
      <c r="M2747" s="3271" t="s">
        <v>287</v>
      </c>
      <c r="N2747" s="3272"/>
      <c r="O2747" s="1095">
        <v>22</v>
      </c>
      <c r="P2747" s="1095">
        <v>23</v>
      </c>
      <c r="Q2747" s="1095">
        <v>22</v>
      </c>
      <c r="R2747" s="1095">
        <v>22</v>
      </c>
      <c r="S2747" s="1095">
        <v>22</v>
      </c>
      <c r="T2747" s="1095">
        <v>22</v>
      </c>
      <c r="U2747" s="1095">
        <v>22</v>
      </c>
      <c r="V2747" s="1095">
        <v>22</v>
      </c>
      <c r="W2747" s="1095">
        <v>22</v>
      </c>
      <c r="X2747" s="1095">
        <v>23</v>
      </c>
      <c r="Y2747" s="1095">
        <v>22</v>
      </c>
      <c r="Z2747" s="1095">
        <v>23</v>
      </c>
      <c r="AA2747" s="1216">
        <f t="shared" ref="AA2747:AA2755" si="414">SUM(O2747:Z2747)</f>
        <v>267</v>
      </c>
      <c r="AB2747" s="1210"/>
      <c r="AC2747" s="1199"/>
      <c r="AD2747" s="1211"/>
    </row>
    <row r="2748" spans="1:30" x14ac:dyDescent="0.2">
      <c r="A2748" s="1422"/>
      <c r="B2748" s="2999"/>
      <c r="C2748" s="3016"/>
      <c r="D2748" s="2847"/>
      <c r="E2748" s="2847"/>
      <c r="F2748" s="2847"/>
      <c r="G2748" s="2847"/>
      <c r="H2748" s="2847"/>
      <c r="I2748" s="2847"/>
      <c r="J2748" s="2989"/>
      <c r="K2748" s="2989"/>
      <c r="L2748" s="3341"/>
      <c r="M2748" s="3271" t="s">
        <v>34</v>
      </c>
      <c r="N2748" s="3272"/>
      <c r="O2748" s="120">
        <f>SUM(O2749:O2755)</f>
        <v>5669.5000000000009</v>
      </c>
      <c r="P2748" s="120">
        <f t="shared" ref="P2748:Z2748" si="415">SUM(P2749:P2755)</f>
        <v>4914.954545454546</v>
      </c>
      <c r="Q2748" s="120">
        <f t="shared" si="415"/>
        <v>4914.954545454546</v>
      </c>
      <c r="R2748" s="120">
        <f t="shared" si="415"/>
        <v>7629.454545454546</v>
      </c>
      <c r="S2748" s="120">
        <f t="shared" si="415"/>
        <v>4914.954545454546</v>
      </c>
      <c r="T2748" s="120">
        <f t="shared" si="415"/>
        <v>4914.954545454546</v>
      </c>
      <c r="U2748" s="120">
        <f t="shared" si="415"/>
        <v>5514.954545454546</v>
      </c>
      <c r="V2748" s="120">
        <f t="shared" si="415"/>
        <v>7629.454545454546</v>
      </c>
      <c r="W2748" s="120">
        <f t="shared" si="415"/>
        <v>4914.954545454546</v>
      </c>
      <c r="X2748" s="120">
        <f t="shared" si="415"/>
        <v>4914.954545454546</v>
      </c>
      <c r="Y2748" s="120">
        <f t="shared" si="415"/>
        <v>4914.954545454546</v>
      </c>
      <c r="Z2748" s="120">
        <f t="shared" si="415"/>
        <v>5514.954545454546</v>
      </c>
      <c r="AA2748" s="1216">
        <f t="shared" si="414"/>
        <v>66363</v>
      </c>
      <c r="AB2748" s="1210"/>
      <c r="AC2748" s="1199"/>
      <c r="AD2748" s="1211"/>
    </row>
    <row r="2749" spans="1:30" x14ac:dyDescent="0.2">
      <c r="A2749" s="1422"/>
      <c r="B2749" s="2522">
        <v>5003262</v>
      </c>
      <c r="C2749" s="3190" t="s">
        <v>817</v>
      </c>
      <c r="D2749" s="2421"/>
      <c r="E2749" s="2421" t="s">
        <v>288</v>
      </c>
      <c r="F2749" s="2420" t="s">
        <v>386</v>
      </c>
      <c r="G2749" s="2420" t="s">
        <v>423</v>
      </c>
      <c r="H2749" s="2420"/>
      <c r="I2749" s="2420" t="s">
        <v>780</v>
      </c>
      <c r="J2749" s="2514">
        <v>267</v>
      </c>
      <c r="K2749" s="115">
        <v>35260</v>
      </c>
      <c r="L2749" s="115"/>
      <c r="M2749" s="3287" t="s">
        <v>295</v>
      </c>
      <c r="N2749" s="3288"/>
      <c r="O2749" s="41">
        <v>2938.3333333333335</v>
      </c>
      <c r="P2749" s="41">
        <v>2938.3333333333335</v>
      </c>
      <c r="Q2749" s="41">
        <v>2938.3333333333335</v>
      </c>
      <c r="R2749" s="41">
        <v>2938.3333333333335</v>
      </c>
      <c r="S2749" s="41">
        <v>2938.3333333333335</v>
      </c>
      <c r="T2749" s="41">
        <v>2938.3333333333335</v>
      </c>
      <c r="U2749" s="41">
        <v>2938.3333333333335</v>
      </c>
      <c r="V2749" s="41">
        <v>2938.3333333333335</v>
      </c>
      <c r="W2749" s="41">
        <v>2938.3333333333335</v>
      </c>
      <c r="X2749" s="41">
        <v>2938.3333333333335</v>
      </c>
      <c r="Y2749" s="41">
        <v>2938.3333333333335</v>
      </c>
      <c r="Z2749" s="41">
        <v>2938.3333333333335</v>
      </c>
      <c r="AA2749" s="1217">
        <f t="shared" si="414"/>
        <v>35259.999999999993</v>
      </c>
      <c r="AB2749" s="1210"/>
      <c r="AC2749" s="1199"/>
      <c r="AD2749" s="1211"/>
    </row>
    <row r="2750" spans="1:30" x14ac:dyDescent="0.2">
      <c r="A2750" s="1422"/>
      <c r="B2750" s="2522"/>
      <c r="C2750" s="3191"/>
      <c r="D2750" s="2421"/>
      <c r="E2750" s="2421"/>
      <c r="F2750" s="2420"/>
      <c r="G2750" s="2420"/>
      <c r="H2750" s="2420"/>
      <c r="I2750" s="2420"/>
      <c r="J2750" s="2515"/>
      <c r="K2750" s="115">
        <v>18156</v>
      </c>
      <c r="L2750" s="115"/>
      <c r="M2750" s="3287" t="s">
        <v>296</v>
      </c>
      <c r="N2750" s="3288"/>
      <c r="O2750" s="41">
        <v>1513</v>
      </c>
      <c r="P2750" s="41">
        <v>1513</v>
      </c>
      <c r="Q2750" s="41">
        <v>1513</v>
      </c>
      <c r="R2750" s="41">
        <v>1513</v>
      </c>
      <c r="S2750" s="41">
        <v>1513</v>
      </c>
      <c r="T2750" s="41">
        <v>1513</v>
      </c>
      <c r="U2750" s="41">
        <v>1513</v>
      </c>
      <c r="V2750" s="41">
        <v>1513</v>
      </c>
      <c r="W2750" s="41">
        <v>1513</v>
      </c>
      <c r="X2750" s="41">
        <v>1513</v>
      </c>
      <c r="Y2750" s="41">
        <v>1513</v>
      </c>
      <c r="Z2750" s="41">
        <v>1513</v>
      </c>
      <c r="AA2750" s="1217">
        <f t="shared" si="414"/>
        <v>18156</v>
      </c>
      <c r="AB2750" s="1210"/>
      <c r="AC2750" s="1199"/>
      <c r="AD2750" s="1211"/>
    </row>
    <row r="2751" spans="1:30" x14ac:dyDescent="0.2">
      <c r="A2751" s="1422"/>
      <c r="B2751" s="2522"/>
      <c r="C2751" s="3191"/>
      <c r="D2751" s="2421"/>
      <c r="E2751" s="2421"/>
      <c r="F2751" s="2420"/>
      <c r="G2751" s="2420"/>
      <c r="H2751" s="2420"/>
      <c r="I2751" s="2420"/>
      <c r="J2751" s="2515"/>
      <c r="K2751" s="115">
        <v>1200</v>
      </c>
      <c r="L2751" s="115"/>
      <c r="M2751" s="3287" t="s">
        <v>298</v>
      </c>
      <c r="N2751" s="3288"/>
      <c r="O2751" s="41"/>
      <c r="P2751" s="41"/>
      <c r="Q2751" s="41"/>
      <c r="R2751" s="41"/>
      <c r="S2751" s="41"/>
      <c r="T2751" s="41"/>
      <c r="U2751" s="41">
        <v>600</v>
      </c>
      <c r="V2751" s="41"/>
      <c r="W2751" s="41"/>
      <c r="X2751" s="41"/>
      <c r="Y2751" s="41"/>
      <c r="Z2751" s="41">
        <v>600</v>
      </c>
      <c r="AA2751" s="1217">
        <f t="shared" si="414"/>
        <v>1200</v>
      </c>
      <c r="AB2751" s="1210"/>
      <c r="AC2751" s="1199"/>
      <c r="AD2751" s="1211"/>
    </row>
    <row r="2752" spans="1:30" x14ac:dyDescent="0.2">
      <c r="A2752" s="1422"/>
      <c r="B2752" s="2522"/>
      <c r="C2752" s="3191"/>
      <c r="D2752" s="2421"/>
      <c r="E2752" s="2421"/>
      <c r="F2752" s="2420"/>
      <c r="G2752" s="2420"/>
      <c r="H2752" s="2420"/>
      <c r="I2752" s="2420"/>
      <c r="J2752" s="2515"/>
      <c r="K2752" s="115">
        <v>800</v>
      </c>
      <c r="L2752" s="115"/>
      <c r="M2752" s="3287" t="s">
        <v>299</v>
      </c>
      <c r="N2752" s="3288"/>
      <c r="O2752" s="41">
        <v>800</v>
      </c>
      <c r="P2752" s="41"/>
      <c r="Q2752" s="41"/>
      <c r="R2752" s="41"/>
      <c r="S2752" s="41"/>
      <c r="T2752" s="41"/>
      <c r="U2752" s="41"/>
      <c r="V2752" s="41"/>
      <c r="W2752" s="41"/>
      <c r="X2752" s="41"/>
      <c r="Y2752" s="41"/>
      <c r="Z2752" s="41"/>
      <c r="AA2752" s="1217">
        <f t="shared" si="414"/>
        <v>800</v>
      </c>
      <c r="AB2752" s="1210"/>
      <c r="AC2752" s="1199"/>
      <c r="AD2752" s="1211"/>
    </row>
    <row r="2753" spans="1:30" x14ac:dyDescent="0.2">
      <c r="A2753" s="1422"/>
      <c r="B2753" s="2522"/>
      <c r="C2753" s="3191"/>
      <c r="D2753" s="2421"/>
      <c r="E2753" s="2421"/>
      <c r="F2753" s="2420"/>
      <c r="G2753" s="2420"/>
      <c r="H2753" s="2420"/>
      <c r="I2753" s="2420"/>
      <c r="J2753" s="2515"/>
      <c r="K2753" s="115">
        <v>5018</v>
      </c>
      <c r="L2753" s="115"/>
      <c r="M2753" s="3287" t="s">
        <v>300</v>
      </c>
      <c r="N2753" s="3288"/>
      <c r="O2753" s="41">
        <v>418.16666666666669</v>
      </c>
      <c r="P2753" s="41">
        <v>418.16666666666669</v>
      </c>
      <c r="Q2753" s="41">
        <v>418.16666666666669</v>
      </c>
      <c r="R2753" s="41">
        <v>418.16666666666669</v>
      </c>
      <c r="S2753" s="41">
        <v>418.16666666666669</v>
      </c>
      <c r="T2753" s="41">
        <v>418.16666666666669</v>
      </c>
      <c r="U2753" s="41">
        <v>418.16666666666669</v>
      </c>
      <c r="V2753" s="41">
        <v>418.16666666666669</v>
      </c>
      <c r="W2753" s="41">
        <v>418.16666666666669</v>
      </c>
      <c r="X2753" s="41">
        <v>418.16666666666669</v>
      </c>
      <c r="Y2753" s="41">
        <v>418.16666666666669</v>
      </c>
      <c r="Z2753" s="41">
        <v>418.16666666666669</v>
      </c>
      <c r="AA2753" s="1217">
        <f t="shared" si="414"/>
        <v>5018</v>
      </c>
      <c r="AB2753" s="1210"/>
      <c r="AC2753" s="1199"/>
      <c r="AD2753" s="1211"/>
    </row>
    <row r="2754" spans="1:30" x14ac:dyDescent="0.2">
      <c r="A2754" s="1422"/>
      <c r="B2754" s="2522"/>
      <c r="C2754" s="3191"/>
      <c r="D2754" s="2421"/>
      <c r="E2754" s="2421"/>
      <c r="F2754" s="2420"/>
      <c r="G2754" s="2420"/>
      <c r="H2754" s="2420"/>
      <c r="I2754" s="2420"/>
      <c r="J2754" s="2515"/>
      <c r="K2754" s="115">
        <v>5429</v>
      </c>
      <c r="L2754" s="115"/>
      <c r="M2754" s="3287" t="s">
        <v>343</v>
      </c>
      <c r="N2754" s="3288"/>
      <c r="O2754" s="41"/>
      <c r="P2754" s="41"/>
      <c r="Q2754" s="41"/>
      <c r="R2754" s="41">
        <v>2714.5</v>
      </c>
      <c r="S2754" s="41"/>
      <c r="T2754" s="41"/>
      <c r="U2754" s="41"/>
      <c r="V2754" s="41">
        <v>2714.5</v>
      </c>
      <c r="W2754" s="41"/>
      <c r="X2754" s="41"/>
      <c r="Y2754" s="41"/>
      <c r="Z2754" s="41"/>
      <c r="AA2754" s="1217">
        <f t="shared" si="414"/>
        <v>5429</v>
      </c>
      <c r="AB2754" s="1210"/>
      <c r="AC2754" s="1199"/>
      <c r="AD2754" s="1211"/>
    </row>
    <row r="2755" spans="1:30" x14ac:dyDescent="0.2">
      <c r="A2755" s="1422"/>
      <c r="B2755" s="2522"/>
      <c r="C2755" s="2439"/>
      <c r="D2755" s="2421"/>
      <c r="E2755" s="2421"/>
      <c r="F2755" s="2420"/>
      <c r="G2755" s="2420"/>
      <c r="H2755" s="2420"/>
      <c r="I2755" s="2420"/>
      <c r="J2755" s="2516"/>
      <c r="K2755" s="115">
        <v>500</v>
      </c>
      <c r="L2755" s="115"/>
      <c r="M2755" s="3287" t="s">
        <v>307</v>
      </c>
      <c r="N2755" s="3288"/>
      <c r="O2755" s="41"/>
      <c r="P2755" s="41">
        <v>45.454545454545453</v>
      </c>
      <c r="Q2755" s="41">
        <v>45.454545454545453</v>
      </c>
      <c r="R2755" s="41">
        <v>45.454545454545453</v>
      </c>
      <c r="S2755" s="41">
        <v>45.454545454545453</v>
      </c>
      <c r="T2755" s="41">
        <v>45.454545454545453</v>
      </c>
      <c r="U2755" s="41">
        <v>45.454545454545453</v>
      </c>
      <c r="V2755" s="41">
        <v>45.454545454545453</v>
      </c>
      <c r="W2755" s="41">
        <v>45.454545454545453</v>
      </c>
      <c r="X2755" s="41">
        <v>45.454545454545453</v>
      </c>
      <c r="Y2755" s="41">
        <v>45.454545454545453</v>
      </c>
      <c r="Z2755" s="41">
        <v>45.454545454545453</v>
      </c>
      <c r="AA2755" s="1217">
        <f t="shared" si="414"/>
        <v>499.99999999999989</v>
      </c>
      <c r="AB2755" s="1210"/>
      <c r="AC2755" s="1199"/>
      <c r="AD2755" s="1211"/>
    </row>
    <row r="2756" spans="1:30" x14ac:dyDescent="0.2">
      <c r="A2756" s="1422"/>
      <c r="B2756" s="1429" t="s">
        <v>312</v>
      </c>
      <c r="C2756" s="1053"/>
      <c r="D2756" s="96"/>
      <c r="E2756" s="96"/>
      <c r="F2756" s="96"/>
      <c r="G2756" s="96"/>
      <c r="H2756" s="96"/>
      <c r="I2756" s="96"/>
      <c r="J2756" s="96"/>
      <c r="K2756" s="96">
        <f>SUM(K2749:K2755)</f>
        <v>66363</v>
      </c>
      <c r="L2756" s="96"/>
      <c r="M2756" s="126"/>
      <c r="N2756" s="116"/>
      <c r="O2756" s="35"/>
      <c r="P2756" s="35"/>
      <c r="Q2756" s="35"/>
      <c r="R2756" s="35"/>
      <c r="S2756" s="35"/>
      <c r="T2756" s="35"/>
      <c r="U2756" s="35"/>
      <c r="V2756" s="35"/>
      <c r="W2756" s="35"/>
      <c r="X2756" s="35"/>
      <c r="Y2756" s="35"/>
      <c r="Z2756" s="35"/>
      <c r="AA2756" s="1199"/>
      <c r="AB2756" s="1210"/>
      <c r="AC2756" s="1199"/>
      <c r="AD2756" s="1211"/>
    </row>
    <row r="2757" spans="1:30" ht="22.5" x14ac:dyDescent="0.2">
      <c r="A2757" s="1422"/>
      <c r="B2757" s="1433" t="s">
        <v>276</v>
      </c>
      <c r="C2757" s="1121"/>
      <c r="D2757" s="1119">
        <v>3000425</v>
      </c>
      <c r="E2757" s="192" t="s">
        <v>818</v>
      </c>
      <c r="F2757" s="35"/>
      <c r="G2757" s="35"/>
      <c r="H2757" s="35"/>
      <c r="I2757" s="35"/>
      <c r="J2757" s="35"/>
      <c r="K2757" s="60"/>
      <c r="L2757" s="60"/>
      <c r="M2757" s="200"/>
      <c r="N2757" s="200"/>
      <c r="O2757" s="60"/>
      <c r="P2757" s="60"/>
      <c r="Q2757" s="60"/>
      <c r="R2757" s="60"/>
      <c r="S2757" s="3333" t="s">
        <v>15</v>
      </c>
      <c r="T2757" s="3333"/>
      <c r="U2757" s="3333"/>
      <c r="V2757" s="3333"/>
      <c r="W2757" s="3333"/>
      <c r="X2757" s="3333"/>
      <c r="Y2757" s="3333"/>
      <c r="Z2757" s="3333"/>
      <c r="AA2757" s="1949" t="s">
        <v>16</v>
      </c>
      <c r="AB2757" s="1210"/>
      <c r="AC2757" s="1199"/>
      <c r="AD2757" s="1211"/>
    </row>
    <row r="2758" spans="1:30" x14ac:dyDescent="0.2">
      <c r="A2758" s="1422"/>
      <c r="B2758" s="1433"/>
      <c r="C2758" s="1121"/>
      <c r="D2758" s="1119"/>
      <c r="E2758" s="192"/>
      <c r="F2758" s="35"/>
      <c r="G2758" s="35"/>
      <c r="H2758" s="35"/>
      <c r="I2758" s="35"/>
      <c r="J2758" s="35"/>
      <c r="K2758" s="60"/>
      <c r="L2758" s="60"/>
      <c r="M2758" s="200"/>
      <c r="N2758" s="200"/>
      <c r="O2758" s="60"/>
      <c r="P2758" s="60"/>
      <c r="Q2758" s="60"/>
      <c r="R2758" s="60"/>
      <c r="S2758" s="3383" t="s">
        <v>819</v>
      </c>
      <c r="T2758" s="3383"/>
      <c r="U2758" s="3383"/>
      <c r="V2758" s="3383"/>
      <c r="W2758" s="3383"/>
      <c r="X2758" s="3383"/>
      <c r="Y2758" s="3383"/>
      <c r="Z2758" s="3383"/>
      <c r="AA2758" s="1214" t="s">
        <v>661</v>
      </c>
      <c r="AB2758" s="1210"/>
      <c r="AC2758" s="1199"/>
      <c r="AD2758" s="1211"/>
    </row>
    <row r="2759" spans="1:30" x14ac:dyDescent="0.2">
      <c r="A2759" s="1422"/>
      <c r="B2759" s="2999" t="s">
        <v>278</v>
      </c>
      <c r="C2759" s="3015" t="s">
        <v>21</v>
      </c>
      <c r="D2759" s="2847" t="s">
        <v>22</v>
      </c>
      <c r="E2759" s="2847" t="s">
        <v>23</v>
      </c>
      <c r="F2759" s="2847" t="s">
        <v>24</v>
      </c>
      <c r="G2759" s="2847" t="s">
        <v>25</v>
      </c>
      <c r="H2759" s="2847" t="s">
        <v>26</v>
      </c>
      <c r="I2759" s="2847" t="s">
        <v>27</v>
      </c>
      <c r="J2759" s="3206" t="s">
        <v>28</v>
      </c>
      <c r="K2759" s="3301"/>
      <c r="L2759" s="2987" t="s">
        <v>279</v>
      </c>
      <c r="M2759" s="3273" t="s">
        <v>280</v>
      </c>
      <c r="N2759" s="3274"/>
      <c r="O2759" s="2847" t="s">
        <v>281</v>
      </c>
      <c r="P2759" s="2847"/>
      <c r="Q2759" s="2847"/>
      <c r="R2759" s="2847"/>
      <c r="S2759" s="2847"/>
      <c r="T2759" s="2847"/>
      <c r="U2759" s="2847"/>
      <c r="V2759" s="2847"/>
      <c r="W2759" s="2847"/>
      <c r="X2759" s="2847"/>
      <c r="Y2759" s="2847"/>
      <c r="Z2759" s="2847"/>
      <c r="AA2759" s="3358" t="s">
        <v>32</v>
      </c>
      <c r="AB2759" s="1210"/>
      <c r="AC2759" s="1199"/>
      <c r="AD2759" s="1211"/>
    </row>
    <row r="2760" spans="1:30" x14ac:dyDescent="0.2">
      <c r="A2760" s="1422"/>
      <c r="B2760" s="2999"/>
      <c r="C2760" s="3359"/>
      <c r="D2760" s="2847"/>
      <c r="E2760" s="2847"/>
      <c r="F2760" s="2847"/>
      <c r="G2760" s="2847"/>
      <c r="H2760" s="2847"/>
      <c r="I2760" s="2847"/>
      <c r="J2760" s="2988" t="s">
        <v>33</v>
      </c>
      <c r="K2760" s="2988" t="s">
        <v>282</v>
      </c>
      <c r="L2760" s="3341"/>
      <c r="M2760" s="3275"/>
      <c r="N2760" s="3276"/>
      <c r="O2760" s="1009" t="s">
        <v>283</v>
      </c>
      <c r="P2760" s="1009" t="s">
        <v>284</v>
      </c>
      <c r="Q2760" s="1009" t="s">
        <v>285</v>
      </c>
      <c r="R2760" s="1009" t="s">
        <v>88</v>
      </c>
      <c r="S2760" s="1009" t="s">
        <v>89</v>
      </c>
      <c r="T2760" s="1009" t="s">
        <v>90</v>
      </c>
      <c r="U2760" s="1009" t="s">
        <v>91</v>
      </c>
      <c r="V2760" s="1009" t="s">
        <v>92</v>
      </c>
      <c r="W2760" s="1009" t="s">
        <v>286</v>
      </c>
      <c r="X2760" s="1009" t="s">
        <v>93</v>
      </c>
      <c r="Y2760" s="1009" t="s">
        <v>94</v>
      </c>
      <c r="Z2760" s="1009" t="s">
        <v>95</v>
      </c>
      <c r="AA2760" s="3358"/>
      <c r="AB2760" s="1210"/>
      <c r="AC2760" s="1199"/>
      <c r="AD2760" s="1211"/>
    </row>
    <row r="2761" spans="1:30" x14ac:dyDescent="0.2">
      <c r="A2761" s="1422"/>
      <c r="B2761" s="2999"/>
      <c r="C2761" s="3359"/>
      <c r="D2761" s="2847"/>
      <c r="E2761" s="2847"/>
      <c r="F2761" s="2847"/>
      <c r="G2761" s="2847"/>
      <c r="H2761" s="2847"/>
      <c r="I2761" s="2847"/>
      <c r="J2761" s="3186"/>
      <c r="K2761" s="3186"/>
      <c r="L2761" s="3341"/>
      <c r="M2761" s="3271" t="s">
        <v>287</v>
      </c>
      <c r="N2761" s="3272"/>
      <c r="O2761" s="102">
        <v>19</v>
      </c>
      <c r="P2761" s="102">
        <v>19</v>
      </c>
      <c r="Q2761" s="102">
        <v>20</v>
      </c>
      <c r="R2761" s="102">
        <v>19</v>
      </c>
      <c r="S2761" s="102">
        <v>19</v>
      </c>
      <c r="T2761" s="102">
        <v>20</v>
      </c>
      <c r="U2761" s="102">
        <v>19</v>
      </c>
      <c r="V2761" s="102">
        <v>19</v>
      </c>
      <c r="W2761" s="102">
        <v>19</v>
      </c>
      <c r="X2761" s="102">
        <v>20</v>
      </c>
      <c r="Y2761" s="102">
        <v>19</v>
      </c>
      <c r="Z2761" s="102">
        <v>20</v>
      </c>
      <c r="AA2761" s="1216">
        <f t="shared" ref="AA2761:AA2765" si="416">SUM(O2761:Z2761)</f>
        <v>232</v>
      </c>
      <c r="AB2761" s="1210"/>
      <c r="AC2761" s="1199"/>
      <c r="AD2761" s="1211"/>
    </row>
    <row r="2762" spans="1:30" x14ac:dyDescent="0.2">
      <c r="A2762" s="1422"/>
      <c r="B2762" s="2999"/>
      <c r="C2762" s="3016"/>
      <c r="D2762" s="2847"/>
      <c r="E2762" s="2847"/>
      <c r="F2762" s="2847"/>
      <c r="G2762" s="2847"/>
      <c r="H2762" s="2847"/>
      <c r="I2762" s="2847"/>
      <c r="J2762" s="2989"/>
      <c r="K2762" s="2989"/>
      <c r="L2762" s="3341"/>
      <c r="M2762" s="3271" t="s">
        <v>34</v>
      </c>
      <c r="N2762" s="3272"/>
      <c r="O2762" s="120">
        <f>SUM(O2763:O2765)</f>
        <v>8035.583333333333</v>
      </c>
      <c r="P2762" s="120">
        <f t="shared" ref="P2762:Z2762" si="417">SUM(P2763:P2765)</f>
        <v>8035.583333333333</v>
      </c>
      <c r="Q2762" s="120">
        <f t="shared" si="417"/>
        <v>8035.583333333333</v>
      </c>
      <c r="R2762" s="120">
        <f t="shared" si="417"/>
        <v>8986.5833333333321</v>
      </c>
      <c r="S2762" s="120">
        <f t="shared" si="417"/>
        <v>8035.583333333333</v>
      </c>
      <c r="T2762" s="120">
        <f t="shared" si="417"/>
        <v>8035.583333333333</v>
      </c>
      <c r="U2762" s="120">
        <f t="shared" si="417"/>
        <v>8035.583333333333</v>
      </c>
      <c r="V2762" s="120">
        <f t="shared" si="417"/>
        <v>8035.583333333333</v>
      </c>
      <c r="W2762" s="120">
        <f t="shared" si="417"/>
        <v>8035.583333333333</v>
      </c>
      <c r="X2762" s="120">
        <f t="shared" si="417"/>
        <v>8035.583333333333</v>
      </c>
      <c r="Y2762" s="120">
        <f t="shared" si="417"/>
        <v>8035.583333333333</v>
      </c>
      <c r="Z2762" s="120">
        <f t="shared" si="417"/>
        <v>8035.583333333333</v>
      </c>
      <c r="AA2762" s="1216">
        <f t="shared" si="416"/>
        <v>97377.999999999985</v>
      </c>
      <c r="AB2762" s="1210"/>
      <c r="AC2762" s="1199"/>
      <c r="AD2762" s="1211"/>
    </row>
    <row r="2763" spans="1:30" x14ac:dyDescent="0.2">
      <c r="A2763" s="1422"/>
      <c r="B2763" s="2522">
        <v>5003263</v>
      </c>
      <c r="C2763" s="3190" t="s">
        <v>820</v>
      </c>
      <c r="D2763" s="2421"/>
      <c r="E2763" s="2421" t="s">
        <v>288</v>
      </c>
      <c r="F2763" s="2420" t="s">
        <v>386</v>
      </c>
      <c r="G2763" s="2420" t="s">
        <v>423</v>
      </c>
      <c r="H2763" s="2420"/>
      <c r="I2763" s="2420" t="s">
        <v>780</v>
      </c>
      <c r="J2763" s="2514">
        <v>232</v>
      </c>
      <c r="K2763" s="115">
        <v>96427</v>
      </c>
      <c r="L2763" s="115"/>
      <c r="M2763" s="3287" t="s">
        <v>293</v>
      </c>
      <c r="N2763" s="3288"/>
      <c r="O2763" s="41">
        <v>8035.583333333333</v>
      </c>
      <c r="P2763" s="41">
        <v>8035.583333333333</v>
      </c>
      <c r="Q2763" s="41">
        <v>8035.583333333333</v>
      </c>
      <c r="R2763" s="41">
        <v>8035.583333333333</v>
      </c>
      <c r="S2763" s="41">
        <v>8035.583333333333</v>
      </c>
      <c r="T2763" s="41">
        <v>8035.583333333333</v>
      </c>
      <c r="U2763" s="41">
        <v>8035.583333333333</v>
      </c>
      <c r="V2763" s="41">
        <v>8035.583333333333</v>
      </c>
      <c r="W2763" s="41">
        <v>8035.583333333333</v>
      </c>
      <c r="X2763" s="41">
        <v>8035.583333333333</v>
      </c>
      <c r="Y2763" s="41">
        <v>8035.583333333333</v>
      </c>
      <c r="Z2763" s="41">
        <v>8035.583333333333</v>
      </c>
      <c r="AA2763" s="1217">
        <f t="shared" si="416"/>
        <v>96426.999999999985</v>
      </c>
      <c r="AB2763" s="1210"/>
      <c r="AC2763" s="1199"/>
      <c r="AD2763" s="1211"/>
    </row>
    <row r="2764" spans="1:30" x14ac:dyDescent="0.2">
      <c r="A2764" s="1422"/>
      <c r="B2764" s="2522"/>
      <c r="C2764" s="3191"/>
      <c r="D2764" s="2421"/>
      <c r="E2764" s="2421"/>
      <c r="F2764" s="2420"/>
      <c r="G2764" s="2420"/>
      <c r="H2764" s="2420"/>
      <c r="I2764" s="2420"/>
      <c r="J2764" s="2515"/>
      <c r="K2764" s="115">
        <v>540</v>
      </c>
      <c r="L2764" s="115"/>
      <c r="M2764" s="3287" t="s">
        <v>393</v>
      </c>
      <c r="N2764" s="3288"/>
      <c r="O2764" s="41"/>
      <c r="P2764" s="41"/>
      <c r="Q2764" s="41"/>
      <c r="R2764" s="41">
        <v>540</v>
      </c>
      <c r="S2764" s="41"/>
      <c r="T2764" s="41"/>
      <c r="U2764" s="41"/>
      <c r="V2764" s="41"/>
      <c r="W2764" s="41"/>
      <c r="X2764" s="41"/>
      <c r="Y2764" s="41"/>
      <c r="Z2764" s="41"/>
      <c r="AA2764" s="1217">
        <f t="shared" si="416"/>
        <v>540</v>
      </c>
      <c r="AB2764" s="1210"/>
      <c r="AC2764" s="1199"/>
      <c r="AD2764" s="1211"/>
    </row>
    <row r="2765" spans="1:30" x14ac:dyDescent="0.2">
      <c r="A2765" s="1422"/>
      <c r="B2765" s="2522"/>
      <c r="C2765" s="2439"/>
      <c r="D2765" s="2421"/>
      <c r="E2765" s="2421"/>
      <c r="F2765" s="2420"/>
      <c r="G2765" s="2420"/>
      <c r="H2765" s="2420"/>
      <c r="I2765" s="2420"/>
      <c r="J2765" s="2516"/>
      <c r="K2765" s="115">
        <v>411</v>
      </c>
      <c r="L2765" s="115"/>
      <c r="M2765" s="3287" t="s">
        <v>343</v>
      </c>
      <c r="N2765" s="3288"/>
      <c r="O2765" s="41"/>
      <c r="P2765" s="41"/>
      <c r="Q2765" s="41"/>
      <c r="R2765" s="41">
        <v>411</v>
      </c>
      <c r="S2765" s="41"/>
      <c r="T2765" s="41"/>
      <c r="U2765" s="41"/>
      <c r="V2765" s="41"/>
      <c r="W2765" s="41"/>
      <c r="X2765" s="41"/>
      <c r="Y2765" s="41"/>
      <c r="Z2765" s="41"/>
      <c r="AA2765" s="1217">
        <f t="shared" si="416"/>
        <v>411</v>
      </c>
      <c r="AB2765" s="1210"/>
      <c r="AC2765" s="1199"/>
      <c r="AD2765" s="1211"/>
    </row>
    <row r="2766" spans="1:30" x14ac:dyDescent="0.2">
      <c r="A2766" s="1422"/>
      <c r="B2766" s="1427" t="s">
        <v>312</v>
      </c>
      <c r="C2766" s="1273"/>
      <c r="D2766" s="38"/>
      <c r="E2766" s="38"/>
      <c r="F2766" s="38"/>
      <c r="G2766" s="38"/>
      <c r="H2766" s="38"/>
      <c r="I2766" s="38"/>
      <c r="J2766" s="38"/>
      <c r="K2766" s="38">
        <f>SUM(K2763:K2765)</f>
        <v>97378</v>
      </c>
      <c r="L2766" s="38"/>
      <c r="M2766" s="125"/>
      <c r="N2766" s="125"/>
      <c r="O2766" s="38"/>
      <c r="P2766" s="38"/>
      <c r="Q2766" s="38"/>
      <c r="R2766" s="38"/>
      <c r="S2766" s="38"/>
      <c r="T2766" s="38"/>
      <c r="U2766" s="38"/>
      <c r="V2766" s="38"/>
      <c r="W2766" s="38"/>
      <c r="X2766" s="38"/>
      <c r="Y2766" s="38"/>
      <c r="Z2766" s="38"/>
      <c r="AA2766" s="1234"/>
      <c r="AB2766" s="1210"/>
      <c r="AC2766" s="1199"/>
      <c r="AD2766" s="1211"/>
    </row>
    <row r="2767" spans="1:30" ht="22.5" x14ac:dyDescent="0.2">
      <c r="A2767" s="1422"/>
      <c r="B2767" s="1433" t="s">
        <v>276</v>
      </c>
      <c r="C2767" s="1121"/>
      <c r="D2767" s="1119">
        <v>3044194</v>
      </c>
      <c r="E2767" s="192" t="s">
        <v>821</v>
      </c>
      <c r="F2767" s="35"/>
      <c r="G2767" s="35"/>
      <c r="H2767" s="35"/>
      <c r="I2767" s="35"/>
      <c r="J2767" s="35"/>
      <c r="K2767" s="60"/>
      <c r="L2767" s="60"/>
      <c r="M2767" s="200"/>
      <c r="N2767" s="200"/>
      <c r="O2767" s="60"/>
      <c r="P2767" s="60"/>
      <c r="Q2767" s="60"/>
      <c r="R2767" s="60"/>
      <c r="S2767" s="60"/>
      <c r="T2767" s="35"/>
      <c r="U2767" s="35"/>
      <c r="V2767" s="35"/>
      <c r="W2767" s="3391" t="s">
        <v>15</v>
      </c>
      <c r="X2767" s="3391"/>
      <c r="Y2767" s="3391"/>
      <c r="Z2767" s="3391"/>
      <c r="AA2767" s="1966" t="s">
        <v>16</v>
      </c>
      <c r="AB2767" s="1210"/>
      <c r="AC2767" s="1199"/>
      <c r="AD2767" s="1211"/>
    </row>
    <row r="2768" spans="1:30" ht="25.5" customHeight="1" x14ac:dyDescent="0.2">
      <c r="A2768" s="1422"/>
      <c r="B2768" s="1433"/>
      <c r="C2768" s="1121"/>
      <c r="D2768" s="1119"/>
      <c r="E2768" s="192"/>
      <c r="F2768" s="35"/>
      <c r="G2768" s="35"/>
      <c r="H2768" s="35"/>
      <c r="I2768" s="35"/>
      <c r="J2768" s="35"/>
      <c r="K2768" s="60"/>
      <c r="L2768" s="60"/>
      <c r="M2768" s="200"/>
      <c r="N2768" s="200"/>
      <c r="O2768" s="60"/>
      <c r="P2768" s="60"/>
      <c r="Q2768" s="60"/>
      <c r="R2768" s="60"/>
      <c r="S2768" s="60"/>
      <c r="T2768" s="35"/>
      <c r="U2768" s="3377" t="s">
        <v>822</v>
      </c>
      <c r="V2768" s="3378"/>
      <c r="W2768" s="3378"/>
      <c r="X2768" s="3378"/>
      <c r="Y2768" s="3378"/>
      <c r="Z2768" s="3379"/>
      <c r="AA2768" s="1214" t="s">
        <v>661</v>
      </c>
      <c r="AB2768" s="1210"/>
      <c r="AC2768" s="1199"/>
      <c r="AD2768" s="1211"/>
    </row>
    <row r="2769" spans="1:30" x14ac:dyDescent="0.2">
      <c r="A2769" s="1422"/>
      <c r="B2769" s="2999" t="s">
        <v>278</v>
      </c>
      <c r="C2769" s="3015" t="s">
        <v>21</v>
      </c>
      <c r="D2769" s="2847" t="s">
        <v>22</v>
      </c>
      <c r="E2769" s="2847" t="s">
        <v>23</v>
      </c>
      <c r="F2769" s="2847" t="s">
        <v>24</v>
      </c>
      <c r="G2769" s="2847" t="s">
        <v>25</v>
      </c>
      <c r="H2769" s="2847" t="s">
        <v>26</v>
      </c>
      <c r="I2769" s="2847" t="s">
        <v>27</v>
      </c>
      <c r="J2769" s="3206" t="s">
        <v>28</v>
      </c>
      <c r="K2769" s="3301"/>
      <c r="L2769" s="2987" t="s">
        <v>279</v>
      </c>
      <c r="M2769" s="3273" t="s">
        <v>280</v>
      </c>
      <c r="N2769" s="3274"/>
      <c r="O2769" s="2847" t="s">
        <v>281</v>
      </c>
      <c r="P2769" s="2847"/>
      <c r="Q2769" s="2847"/>
      <c r="R2769" s="2847"/>
      <c r="S2769" s="2847"/>
      <c r="T2769" s="2847"/>
      <c r="U2769" s="2847"/>
      <c r="V2769" s="2847"/>
      <c r="W2769" s="2847"/>
      <c r="X2769" s="2847"/>
      <c r="Y2769" s="2847"/>
      <c r="Z2769" s="2847"/>
      <c r="AA2769" s="3358" t="s">
        <v>32</v>
      </c>
      <c r="AB2769" s="1210"/>
      <c r="AC2769" s="1199"/>
      <c r="AD2769" s="1211"/>
    </row>
    <row r="2770" spans="1:30" x14ac:dyDescent="0.2">
      <c r="A2770" s="1422"/>
      <c r="B2770" s="2999"/>
      <c r="C2770" s="3359"/>
      <c r="D2770" s="2847"/>
      <c r="E2770" s="2847"/>
      <c r="F2770" s="2847"/>
      <c r="G2770" s="2847"/>
      <c r="H2770" s="2847"/>
      <c r="I2770" s="2847"/>
      <c r="J2770" s="2988" t="s">
        <v>33</v>
      </c>
      <c r="K2770" s="2988" t="s">
        <v>282</v>
      </c>
      <c r="L2770" s="3341"/>
      <c r="M2770" s="3275"/>
      <c r="N2770" s="3276"/>
      <c r="O2770" s="1009" t="s">
        <v>283</v>
      </c>
      <c r="P2770" s="1009" t="s">
        <v>284</v>
      </c>
      <c r="Q2770" s="1009" t="s">
        <v>285</v>
      </c>
      <c r="R2770" s="1009" t="s">
        <v>88</v>
      </c>
      <c r="S2770" s="1009" t="s">
        <v>89</v>
      </c>
      <c r="T2770" s="1009" t="s">
        <v>90</v>
      </c>
      <c r="U2770" s="1009" t="s">
        <v>91</v>
      </c>
      <c r="V2770" s="1009" t="s">
        <v>92</v>
      </c>
      <c r="W2770" s="1009" t="s">
        <v>286</v>
      </c>
      <c r="X2770" s="1009" t="s">
        <v>93</v>
      </c>
      <c r="Y2770" s="1009" t="s">
        <v>94</v>
      </c>
      <c r="Z2770" s="1009" t="s">
        <v>95</v>
      </c>
      <c r="AA2770" s="3358"/>
      <c r="AB2770" s="1210"/>
      <c r="AC2770" s="1199"/>
      <c r="AD2770" s="1211"/>
    </row>
    <row r="2771" spans="1:30" x14ac:dyDescent="0.2">
      <c r="A2771" s="1422"/>
      <c r="B2771" s="2999"/>
      <c r="C2771" s="3359"/>
      <c r="D2771" s="2847"/>
      <c r="E2771" s="2847"/>
      <c r="F2771" s="2847"/>
      <c r="G2771" s="2847"/>
      <c r="H2771" s="2847"/>
      <c r="I2771" s="2847"/>
      <c r="J2771" s="3186"/>
      <c r="K2771" s="3186"/>
      <c r="L2771" s="3341"/>
      <c r="M2771" s="3271" t="s">
        <v>287</v>
      </c>
      <c r="N2771" s="3272"/>
      <c r="O2771" s="1095">
        <v>22900</v>
      </c>
      <c r="P2771" s="1095">
        <v>22900</v>
      </c>
      <c r="Q2771" s="1095">
        <v>22900</v>
      </c>
      <c r="R2771" s="1095">
        <v>22900</v>
      </c>
      <c r="S2771" s="1095">
        <v>22900</v>
      </c>
      <c r="T2771" s="1095">
        <v>22900</v>
      </c>
      <c r="U2771" s="1095">
        <v>22900</v>
      </c>
      <c r="V2771" s="1095">
        <v>22900</v>
      </c>
      <c r="W2771" s="1095">
        <v>22900</v>
      </c>
      <c r="X2771" s="1095">
        <v>22900</v>
      </c>
      <c r="Y2771" s="1095">
        <v>22800</v>
      </c>
      <c r="Z2771" s="1095">
        <v>22898</v>
      </c>
      <c r="AA2771" s="1216">
        <f t="shared" ref="AA2771:AA2791" si="418">SUM(O2771:Z2771)</f>
        <v>274698</v>
      </c>
      <c r="AB2771" s="1210"/>
      <c r="AC2771" s="1199"/>
      <c r="AD2771" s="1211"/>
    </row>
    <row r="2772" spans="1:30" x14ac:dyDescent="0.2">
      <c r="A2772" s="1422"/>
      <c r="B2772" s="2999"/>
      <c r="C2772" s="3016"/>
      <c r="D2772" s="2847"/>
      <c r="E2772" s="2847"/>
      <c r="F2772" s="2847"/>
      <c r="G2772" s="2847"/>
      <c r="H2772" s="2847"/>
      <c r="I2772" s="2847"/>
      <c r="J2772" s="2989"/>
      <c r="K2772" s="2989"/>
      <c r="L2772" s="3341"/>
      <c r="M2772" s="3271" t="s">
        <v>34</v>
      </c>
      <c r="N2772" s="3272"/>
      <c r="O2772" s="120">
        <f>SUM(O2773:O2791)</f>
        <v>127655.25</v>
      </c>
      <c r="P2772" s="120">
        <f t="shared" ref="P2772:Z2772" si="419">SUM(P2773:P2791)</f>
        <v>96126.159090909088</v>
      </c>
      <c r="Q2772" s="120">
        <f t="shared" si="419"/>
        <v>104154.15909090909</v>
      </c>
      <c r="R2772" s="120">
        <f t="shared" si="419"/>
        <v>99026.159090909088</v>
      </c>
      <c r="S2772" s="120">
        <f t="shared" si="419"/>
        <v>95626.159090909088</v>
      </c>
      <c r="T2772" s="120">
        <f t="shared" si="419"/>
        <v>96226.159090909088</v>
      </c>
      <c r="U2772" s="120">
        <f t="shared" si="419"/>
        <v>106880.65909090909</v>
      </c>
      <c r="V2772" s="120">
        <f t="shared" si="419"/>
        <v>96726.159090909088</v>
      </c>
      <c r="W2772" s="120">
        <f t="shared" si="419"/>
        <v>95626.159090909088</v>
      </c>
      <c r="X2772" s="120">
        <f t="shared" si="419"/>
        <v>96226.159090909088</v>
      </c>
      <c r="Y2772" s="120">
        <f t="shared" si="419"/>
        <v>95626.159090909088</v>
      </c>
      <c r="Z2772" s="120">
        <f t="shared" si="419"/>
        <v>107480.65909090909</v>
      </c>
      <c r="AA2772" s="1216">
        <f t="shared" si="418"/>
        <v>1217380</v>
      </c>
      <c r="AB2772" s="1210"/>
      <c r="AC2772" s="1199"/>
      <c r="AD2772" s="1211"/>
    </row>
    <row r="2773" spans="1:30" x14ac:dyDescent="0.2">
      <c r="A2773" s="1422"/>
      <c r="B2773" s="2522">
        <v>5000118</v>
      </c>
      <c r="C2773" s="3190" t="s">
        <v>823</v>
      </c>
      <c r="D2773" s="2421">
        <v>86</v>
      </c>
      <c r="E2773" s="2421" t="s">
        <v>288</v>
      </c>
      <c r="F2773" s="2420" t="s">
        <v>313</v>
      </c>
      <c r="G2773" s="2420" t="s">
        <v>329</v>
      </c>
      <c r="H2773" s="2420"/>
      <c r="I2773" s="2420" t="s">
        <v>354</v>
      </c>
      <c r="J2773" s="2514">
        <v>274698</v>
      </c>
      <c r="K2773" s="115">
        <v>472249</v>
      </c>
      <c r="L2773" s="115"/>
      <c r="M2773" s="3287" t="s">
        <v>293</v>
      </c>
      <c r="N2773" s="3288"/>
      <c r="O2773" s="41">
        <v>39354.083333333336</v>
      </c>
      <c r="P2773" s="41">
        <v>39354.083333333336</v>
      </c>
      <c r="Q2773" s="41">
        <v>39354.083333333336</v>
      </c>
      <c r="R2773" s="41">
        <v>39354.083333333336</v>
      </c>
      <c r="S2773" s="41">
        <v>39354.083333333336</v>
      </c>
      <c r="T2773" s="41">
        <v>39354.083333333336</v>
      </c>
      <c r="U2773" s="41">
        <v>39354.083333333336</v>
      </c>
      <c r="V2773" s="41">
        <v>39354.083333333336</v>
      </c>
      <c r="W2773" s="41">
        <v>39354.083333333336</v>
      </c>
      <c r="X2773" s="41">
        <v>39354.083333333336</v>
      </c>
      <c r="Y2773" s="41">
        <v>39354.083333333336</v>
      </c>
      <c r="Z2773" s="41">
        <v>39354.083333333336</v>
      </c>
      <c r="AA2773" s="1217">
        <f t="shared" si="418"/>
        <v>472248.99999999994</v>
      </c>
      <c r="AB2773" s="1210"/>
      <c r="AC2773" s="1199"/>
      <c r="AD2773" s="1211"/>
    </row>
    <row r="2774" spans="1:30" x14ac:dyDescent="0.2">
      <c r="A2774" s="1422"/>
      <c r="B2774" s="2522"/>
      <c r="C2774" s="3191"/>
      <c r="D2774" s="2421"/>
      <c r="E2774" s="2421"/>
      <c r="F2774" s="2420"/>
      <c r="G2774" s="2420"/>
      <c r="H2774" s="2420"/>
      <c r="I2774" s="2420"/>
      <c r="J2774" s="2515"/>
      <c r="K2774" s="115">
        <v>253246</v>
      </c>
      <c r="L2774" s="115"/>
      <c r="M2774" s="3287" t="s">
        <v>295</v>
      </c>
      <c r="N2774" s="3288"/>
      <c r="O2774" s="41">
        <v>21103.833333333332</v>
      </c>
      <c r="P2774" s="41">
        <v>21103.833333333332</v>
      </c>
      <c r="Q2774" s="41">
        <v>21103.833333333332</v>
      </c>
      <c r="R2774" s="41">
        <v>21103.833333333332</v>
      </c>
      <c r="S2774" s="41">
        <v>21103.833333333332</v>
      </c>
      <c r="T2774" s="41">
        <v>21103.833333333332</v>
      </c>
      <c r="U2774" s="41">
        <v>21103.833333333332</v>
      </c>
      <c r="V2774" s="41">
        <v>21103.833333333332</v>
      </c>
      <c r="W2774" s="41">
        <v>21103.833333333332</v>
      </c>
      <c r="X2774" s="41">
        <v>21103.833333333332</v>
      </c>
      <c r="Y2774" s="41">
        <v>21103.833333333332</v>
      </c>
      <c r="Z2774" s="41">
        <v>21103.833333333332</v>
      </c>
      <c r="AA2774" s="1217">
        <f t="shared" si="418"/>
        <v>253246.00000000003</v>
      </c>
      <c r="AB2774" s="1210"/>
      <c r="AC2774" s="1199"/>
      <c r="AD2774" s="1211"/>
    </row>
    <row r="2775" spans="1:30" x14ac:dyDescent="0.2">
      <c r="A2775" s="1422"/>
      <c r="B2775" s="2522"/>
      <c r="C2775" s="3191"/>
      <c r="D2775" s="2421"/>
      <c r="E2775" s="2421"/>
      <c r="F2775" s="2420"/>
      <c r="G2775" s="2420"/>
      <c r="H2775" s="2420"/>
      <c r="I2775" s="2420"/>
      <c r="J2775" s="2515"/>
      <c r="K2775" s="115">
        <v>23208</v>
      </c>
      <c r="L2775" s="115"/>
      <c r="M2775" s="3287" t="s">
        <v>332</v>
      </c>
      <c r="N2775" s="3288"/>
      <c r="O2775" s="41">
        <v>1934</v>
      </c>
      <c r="P2775" s="41">
        <v>1934</v>
      </c>
      <c r="Q2775" s="41">
        <v>1934</v>
      </c>
      <c r="R2775" s="41">
        <v>1934</v>
      </c>
      <c r="S2775" s="41">
        <v>1934</v>
      </c>
      <c r="T2775" s="41">
        <v>1934</v>
      </c>
      <c r="U2775" s="41">
        <v>1934</v>
      </c>
      <c r="V2775" s="41">
        <v>1934</v>
      </c>
      <c r="W2775" s="41">
        <v>1934</v>
      </c>
      <c r="X2775" s="41">
        <v>1934</v>
      </c>
      <c r="Y2775" s="41">
        <v>1934</v>
      </c>
      <c r="Z2775" s="41">
        <v>1934</v>
      </c>
      <c r="AA2775" s="1217">
        <f t="shared" si="418"/>
        <v>23208</v>
      </c>
      <c r="AB2775" s="1210"/>
      <c r="AC2775" s="1199"/>
      <c r="AD2775" s="1211"/>
    </row>
    <row r="2776" spans="1:30" x14ac:dyDescent="0.2">
      <c r="A2776" s="1422"/>
      <c r="B2776" s="2522"/>
      <c r="C2776" s="3191"/>
      <c r="D2776" s="2421"/>
      <c r="E2776" s="2421"/>
      <c r="F2776" s="2420"/>
      <c r="G2776" s="2420"/>
      <c r="H2776" s="2420"/>
      <c r="I2776" s="2420"/>
      <c r="J2776" s="2515"/>
      <c r="K2776" s="115">
        <v>170158</v>
      </c>
      <c r="L2776" s="115"/>
      <c r="M2776" s="3287" t="s">
        <v>296</v>
      </c>
      <c r="N2776" s="3288"/>
      <c r="O2776" s="41">
        <v>14179.833333333334</v>
      </c>
      <c r="P2776" s="41">
        <v>14179.833333333334</v>
      </c>
      <c r="Q2776" s="41">
        <v>14179.833333333334</v>
      </c>
      <c r="R2776" s="41">
        <v>14179.833333333334</v>
      </c>
      <c r="S2776" s="41">
        <v>14179.833333333334</v>
      </c>
      <c r="T2776" s="41">
        <v>14179.833333333334</v>
      </c>
      <c r="U2776" s="41">
        <v>14179.833333333334</v>
      </c>
      <c r="V2776" s="41">
        <v>14179.833333333334</v>
      </c>
      <c r="W2776" s="41">
        <v>14179.833333333334</v>
      </c>
      <c r="X2776" s="41">
        <v>14179.833333333334</v>
      </c>
      <c r="Y2776" s="41">
        <v>14179.833333333334</v>
      </c>
      <c r="Z2776" s="41">
        <v>14179.833333333334</v>
      </c>
      <c r="AA2776" s="1217">
        <f t="shared" si="418"/>
        <v>170158</v>
      </c>
      <c r="AB2776" s="1210"/>
      <c r="AC2776" s="1199"/>
      <c r="AD2776" s="1211"/>
    </row>
    <row r="2777" spans="1:30" x14ac:dyDescent="0.2">
      <c r="A2777" s="1422"/>
      <c r="B2777" s="2522"/>
      <c r="C2777" s="3191"/>
      <c r="D2777" s="2421"/>
      <c r="E2777" s="2421"/>
      <c r="F2777" s="2420"/>
      <c r="G2777" s="2420"/>
      <c r="H2777" s="2420"/>
      <c r="I2777" s="2420"/>
      <c r="J2777" s="2515"/>
      <c r="K2777" s="115">
        <v>131308</v>
      </c>
      <c r="L2777" s="115"/>
      <c r="M2777" s="3287" t="s">
        <v>297</v>
      </c>
      <c r="N2777" s="3288"/>
      <c r="O2777" s="41">
        <v>10942.333333333334</v>
      </c>
      <c r="P2777" s="41">
        <v>10942.333333333334</v>
      </c>
      <c r="Q2777" s="41">
        <v>10942.333333333334</v>
      </c>
      <c r="R2777" s="41">
        <v>10942.333333333334</v>
      </c>
      <c r="S2777" s="41">
        <v>10942.333333333334</v>
      </c>
      <c r="T2777" s="41">
        <v>10942.333333333334</v>
      </c>
      <c r="U2777" s="41">
        <v>10942.333333333334</v>
      </c>
      <c r="V2777" s="41">
        <v>10942.333333333334</v>
      </c>
      <c r="W2777" s="41">
        <v>10942.333333333334</v>
      </c>
      <c r="X2777" s="41">
        <v>10942.333333333334</v>
      </c>
      <c r="Y2777" s="41">
        <v>10942.333333333334</v>
      </c>
      <c r="Z2777" s="41">
        <v>10942.333333333334</v>
      </c>
      <c r="AA2777" s="1217">
        <f t="shared" si="418"/>
        <v>131307.99999999997</v>
      </c>
      <c r="AB2777" s="1210"/>
      <c r="AC2777" s="1199"/>
      <c r="AD2777" s="1211"/>
    </row>
    <row r="2778" spans="1:30" x14ac:dyDescent="0.2">
      <c r="A2778" s="1422"/>
      <c r="B2778" s="2522"/>
      <c r="C2778" s="3191"/>
      <c r="D2778" s="2421"/>
      <c r="E2778" s="2421"/>
      <c r="F2778" s="2420"/>
      <c r="G2778" s="2420"/>
      <c r="H2778" s="2420"/>
      <c r="I2778" s="2420"/>
      <c r="J2778" s="2515"/>
      <c r="K2778" s="115">
        <v>22509</v>
      </c>
      <c r="L2778" s="115"/>
      <c r="M2778" s="3287" t="s">
        <v>298</v>
      </c>
      <c r="N2778" s="3288"/>
      <c r="O2778" s="41"/>
      <c r="P2778" s="41"/>
      <c r="Q2778" s="41"/>
      <c r="R2778" s="41"/>
      <c r="S2778" s="41"/>
      <c r="T2778" s="41"/>
      <c r="U2778" s="41">
        <v>11254.5</v>
      </c>
      <c r="V2778" s="41"/>
      <c r="W2778" s="41"/>
      <c r="X2778" s="41"/>
      <c r="Y2778" s="41"/>
      <c r="Z2778" s="41">
        <v>11254.5</v>
      </c>
      <c r="AA2778" s="1217">
        <f t="shared" si="418"/>
        <v>22509</v>
      </c>
      <c r="AB2778" s="1210"/>
      <c r="AC2778" s="1199"/>
      <c r="AD2778" s="1211"/>
    </row>
    <row r="2779" spans="1:30" x14ac:dyDescent="0.2">
      <c r="A2779" s="1422"/>
      <c r="B2779" s="2522"/>
      <c r="C2779" s="3191"/>
      <c r="D2779" s="2421"/>
      <c r="E2779" s="2421"/>
      <c r="F2779" s="2420"/>
      <c r="G2779" s="2420"/>
      <c r="H2779" s="2420"/>
      <c r="I2779" s="2420"/>
      <c r="J2779" s="2515"/>
      <c r="K2779" s="115">
        <v>32320</v>
      </c>
      <c r="L2779" s="115"/>
      <c r="M2779" s="3287" t="s">
        <v>299</v>
      </c>
      <c r="N2779" s="3288"/>
      <c r="O2779" s="41">
        <v>32320</v>
      </c>
      <c r="P2779" s="41"/>
      <c r="Q2779" s="41"/>
      <c r="R2779" s="41"/>
      <c r="S2779" s="41"/>
      <c r="T2779" s="41"/>
      <c r="U2779" s="41"/>
      <c r="V2779" s="41"/>
      <c r="W2779" s="41"/>
      <c r="X2779" s="41"/>
      <c r="Y2779" s="41"/>
      <c r="Z2779" s="41"/>
      <c r="AA2779" s="1217">
        <f t="shared" si="418"/>
        <v>32320</v>
      </c>
      <c r="AB2779" s="1210"/>
      <c r="AC2779" s="1199"/>
      <c r="AD2779" s="1211"/>
    </row>
    <row r="2780" spans="1:30" x14ac:dyDescent="0.2">
      <c r="A2780" s="1422"/>
      <c r="B2780" s="2522"/>
      <c r="C2780" s="3191"/>
      <c r="D2780" s="2421"/>
      <c r="E2780" s="2421"/>
      <c r="F2780" s="2420"/>
      <c r="G2780" s="2420"/>
      <c r="H2780" s="2420"/>
      <c r="I2780" s="2420"/>
      <c r="J2780" s="2515"/>
      <c r="K2780" s="115">
        <v>65612</v>
      </c>
      <c r="L2780" s="115"/>
      <c r="M2780" s="3287" t="s">
        <v>300</v>
      </c>
      <c r="N2780" s="3288"/>
      <c r="O2780" s="41">
        <v>5467.666666666667</v>
      </c>
      <c r="P2780" s="41">
        <v>5467.666666666667</v>
      </c>
      <c r="Q2780" s="41">
        <v>5467.666666666667</v>
      </c>
      <c r="R2780" s="41">
        <v>5467.666666666667</v>
      </c>
      <c r="S2780" s="41">
        <v>5467.666666666667</v>
      </c>
      <c r="T2780" s="41">
        <v>5467.666666666667</v>
      </c>
      <c r="U2780" s="41">
        <v>5467.666666666667</v>
      </c>
      <c r="V2780" s="41">
        <v>5467.666666666667</v>
      </c>
      <c r="W2780" s="41">
        <v>5467.666666666667</v>
      </c>
      <c r="X2780" s="41">
        <v>5467.666666666667</v>
      </c>
      <c r="Y2780" s="41">
        <v>5467.666666666667</v>
      </c>
      <c r="Z2780" s="41">
        <v>5467.666666666667</v>
      </c>
      <c r="AA2780" s="1217">
        <f t="shared" si="418"/>
        <v>65611.999999999985</v>
      </c>
      <c r="AB2780" s="1210"/>
      <c r="AC2780" s="1199"/>
      <c r="AD2780" s="1211"/>
    </row>
    <row r="2781" spans="1:30" x14ac:dyDescent="0.2">
      <c r="A2781" s="1422"/>
      <c r="B2781" s="2522"/>
      <c r="C2781" s="3191"/>
      <c r="D2781" s="2421"/>
      <c r="E2781" s="2421"/>
      <c r="F2781" s="2420"/>
      <c r="G2781" s="2420"/>
      <c r="H2781" s="2420"/>
      <c r="I2781" s="2420"/>
      <c r="J2781" s="2515"/>
      <c r="K2781" s="115">
        <v>1909</v>
      </c>
      <c r="L2781" s="115"/>
      <c r="M2781" s="3287" t="s">
        <v>301</v>
      </c>
      <c r="N2781" s="3288"/>
      <c r="O2781" s="41">
        <v>159.08333333333334</v>
      </c>
      <c r="P2781" s="41">
        <v>159.08333333333334</v>
      </c>
      <c r="Q2781" s="41">
        <v>159.08333333333334</v>
      </c>
      <c r="R2781" s="41">
        <v>159.08333333333334</v>
      </c>
      <c r="S2781" s="41">
        <v>159.08333333333334</v>
      </c>
      <c r="T2781" s="41">
        <v>159.08333333333334</v>
      </c>
      <c r="U2781" s="41">
        <v>159.08333333333334</v>
      </c>
      <c r="V2781" s="41">
        <v>159.08333333333334</v>
      </c>
      <c r="W2781" s="41">
        <v>159.08333333333334</v>
      </c>
      <c r="X2781" s="41">
        <v>159.08333333333334</v>
      </c>
      <c r="Y2781" s="41">
        <v>159.08333333333334</v>
      </c>
      <c r="Z2781" s="41">
        <v>159.08333333333334</v>
      </c>
      <c r="AA2781" s="1217">
        <f t="shared" si="418"/>
        <v>1908.9999999999998</v>
      </c>
      <c r="AB2781" s="1210"/>
      <c r="AC2781" s="1199"/>
      <c r="AD2781" s="1211"/>
    </row>
    <row r="2782" spans="1:30" x14ac:dyDescent="0.2">
      <c r="A2782" s="1422"/>
      <c r="B2782" s="2522"/>
      <c r="C2782" s="3191"/>
      <c r="D2782" s="2421"/>
      <c r="E2782" s="2421"/>
      <c r="F2782" s="2420"/>
      <c r="G2782" s="2420"/>
      <c r="H2782" s="2420"/>
      <c r="I2782" s="2420"/>
      <c r="J2782" s="2515"/>
      <c r="K2782" s="115">
        <v>1800</v>
      </c>
      <c r="L2782" s="115"/>
      <c r="M2782" s="3287" t="s">
        <v>303</v>
      </c>
      <c r="N2782" s="3288"/>
      <c r="O2782" s="41"/>
      <c r="P2782" s="41"/>
      <c r="Q2782" s="41"/>
      <c r="R2782" s="41">
        <v>1800</v>
      </c>
      <c r="S2782" s="41"/>
      <c r="T2782" s="41"/>
      <c r="U2782" s="41"/>
      <c r="V2782" s="41"/>
      <c r="W2782" s="41"/>
      <c r="X2782" s="41"/>
      <c r="Y2782" s="41"/>
      <c r="Z2782" s="41"/>
      <c r="AA2782" s="1217">
        <f t="shared" si="418"/>
        <v>1800</v>
      </c>
      <c r="AB2782" s="1210"/>
      <c r="AC2782" s="1199"/>
      <c r="AD2782" s="1211"/>
    </row>
    <row r="2783" spans="1:30" x14ac:dyDescent="0.2">
      <c r="A2783" s="1422"/>
      <c r="B2783" s="2522"/>
      <c r="C2783" s="3191"/>
      <c r="D2783" s="2421"/>
      <c r="E2783" s="2421"/>
      <c r="F2783" s="2420"/>
      <c r="G2783" s="2420"/>
      <c r="H2783" s="2420"/>
      <c r="I2783" s="2420"/>
      <c r="J2783" s="2515"/>
      <c r="K2783" s="115">
        <v>700</v>
      </c>
      <c r="L2783" s="115"/>
      <c r="M2783" s="3287" t="s">
        <v>304</v>
      </c>
      <c r="N2783" s="3288"/>
      <c r="O2783" s="41"/>
      <c r="P2783" s="41"/>
      <c r="Q2783" s="41">
        <v>700</v>
      </c>
      <c r="R2783" s="41"/>
      <c r="S2783" s="41"/>
      <c r="T2783" s="41"/>
      <c r="U2783" s="41"/>
      <c r="V2783" s="41"/>
      <c r="W2783" s="41"/>
      <c r="X2783" s="41"/>
      <c r="Y2783" s="41"/>
      <c r="Z2783" s="41"/>
      <c r="AA2783" s="1217">
        <f t="shared" si="418"/>
        <v>700</v>
      </c>
      <c r="AB2783" s="1210"/>
      <c r="AC2783" s="1199"/>
      <c r="AD2783" s="1211"/>
    </row>
    <row r="2784" spans="1:30" x14ac:dyDescent="0.2">
      <c r="A2784" s="1422"/>
      <c r="B2784" s="2522"/>
      <c r="C2784" s="3191"/>
      <c r="D2784" s="2421"/>
      <c r="E2784" s="2421"/>
      <c r="F2784" s="2420"/>
      <c r="G2784" s="2420"/>
      <c r="H2784" s="2420"/>
      <c r="I2784" s="2420"/>
      <c r="J2784" s="2515"/>
      <c r="K2784" s="115">
        <v>1000</v>
      </c>
      <c r="L2784" s="115"/>
      <c r="M2784" s="3287" t="s">
        <v>305</v>
      </c>
      <c r="N2784" s="3288"/>
      <c r="O2784" s="41"/>
      <c r="P2784" s="41">
        <v>500</v>
      </c>
      <c r="Q2784" s="41"/>
      <c r="R2784" s="41"/>
      <c r="S2784" s="41"/>
      <c r="T2784" s="41"/>
      <c r="U2784" s="41"/>
      <c r="V2784" s="41">
        <v>500</v>
      </c>
      <c r="W2784" s="41"/>
      <c r="X2784" s="41"/>
      <c r="Y2784" s="41"/>
      <c r="Z2784" s="41"/>
      <c r="AA2784" s="1217">
        <f t="shared" si="418"/>
        <v>1000</v>
      </c>
      <c r="AB2784" s="1210"/>
      <c r="AC2784" s="1199"/>
      <c r="AD2784" s="1211"/>
    </row>
    <row r="2785" spans="1:30" x14ac:dyDescent="0.2">
      <c r="A2785" s="1422"/>
      <c r="B2785" s="2522"/>
      <c r="C2785" s="3191"/>
      <c r="D2785" s="2421"/>
      <c r="E2785" s="2421"/>
      <c r="F2785" s="2420"/>
      <c r="G2785" s="2420"/>
      <c r="H2785" s="2420"/>
      <c r="I2785" s="2420"/>
      <c r="J2785" s="2515"/>
      <c r="K2785" s="115">
        <v>3200</v>
      </c>
      <c r="L2785" s="115"/>
      <c r="M2785" s="3287" t="s">
        <v>306</v>
      </c>
      <c r="N2785" s="3288"/>
      <c r="O2785" s="41"/>
      <c r="P2785" s="41">
        <v>290.90909090909093</v>
      </c>
      <c r="Q2785" s="41">
        <v>290.90909090909093</v>
      </c>
      <c r="R2785" s="41">
        <v>290.90909090909093</v>
      </c>
      <c r="S2785" s="41">
        <v>290.90909090909093</v>
      </c>
      <c r="T2785" s="41">
        <v>290.90909090909093</v>
      </c>
      <c r="U2785" s="41">
        <v>290.90909090909093</v>
      </c>
      <c r="V2785" s="41">
        <v>290.90909090909093</v>
      </c>
      <c r="W2785" s="41">
        <v>290.90909090909093</v>
      </c>
      <c r="X2785" s="41">
        <v>290.90909090909093</v>
      </c>
      <c r="Y2785" s="41">
        <v>290.90909090909093</v>
      </c>
      <c r="Z2785" s="41">
        <v>290.90909090909093</v>
      </c>
      <c r="AA2785" s="1217">
        <f t="shared" si="418"/>
        <v>3200.0000000000005</v>
      </c>
      <c r="AB2785" s="1210"/>
      <c r="AC2785" s="1199"/>
      <c r="AD2785" s="1211"/>
    </row>
    <row r="2786" spans="1:30" x14ac:dyDescent="0.2">
      <c r="A2786" s="1422"/>
      <c r="B2786" s="2522"/>
      <c r="C2786" s="3191"/>
      <c r="D2786" s="2421"/>
      <c r="E2786" s="2421"/>
      <c r="F2786" s="2420"/>
      <c r="G2786" s="2420"/>
      <c r="H2786" s="2420"/>
      <c r="I2786" s="2420"/>
      <c r="J2786" s="2515"/>
      <c r="K2786" s="115">
        <v>6528</v>
      </c>
      <c r="L2786" s="115"/>
      <c r="M2786" s="3287" t="s">
        <v>355</v>
      </c>
      <c r="N2786" s="3288"/>
      <c r="O2786" s="41"/>
      <c r="P2786" s="41"/>
      <c r="Q2786" s="41">
        <v>6528</v>
      </c>
      <c r="R2786" s="41"/>
      <c r="S2786" s="41"/>
      <c r="T2786" s="41"/>
      <c r="U2786" s="41"/>
      <c r="V2786" s="41"/>
      <c r="W2786" s="41"/>
      <c r="X2786" s="41"/>
      <c r="Y2786" s="41"/>
      <c r="Z2786" s="41"/>
      <c r="AA2786" s="1217">
        <f t="shared" si="418"/>
        <v>6528</v>
      </c>
      <c r="AB2786" s="1210"/>
      <c r="AC2786" s="1199"/>
      <c r="AD2786" s="1211"/>
    </row>
    <row r="2787" spans="1:30" x14ac:dyDescent="0.2">
      <c r="A2787" s="1422"/>
      <c r="B2787" s="2522"/>
      <c r="C2787" s="3191"/>
      <c r="D2787" s="2421"/>
      <c r="E2787" s="2421"/>
      <c r="F2787" s="2420"/>
      <c r="G2787" s="2420"/>
      <c r="H2787" s="2420"/>
      <c r="I2787" s="2420"/>
      <c r="J2787" s="2515"/>
      <c r="K2787" s="115">
        <v>1000</v>
      </c>
      <c r="L2787" s="115"/>
      <c r="M2787" s="3287" t="s">
        <v>308</v>
      </c>
      <c r="N2787" s="3288"/>
      <c r="O2787" s="41"/>
      <c r="P2787" s="41"/>
      <c r="Q2787" s="41"/>
      <c r="R2787" s="41">
        <v>1000</v>
      </c>
      <c r="S2787" s="41"/>
      <c r="T2787" s="41"/>
      <c r="U2787" s="41"/>
      <c r="V2787" s="41"/>
      <c r="W2787" s="41"/>
      <c r="X2787" s="41"/>
      <c r="Y2787" s="41"/>
      <c r="Z2787" s="41"/>
      <c r="AA2787" s="1217">
        <f t="shared" si="418"/>
        <v>1000</v>
      </c>
      <c r="AB2787" s="1210"/>
      <c r="AC2787" s="1199"/>
      <c r="AD2787" s="1211"/>
    </row>
    <row r="2788" spans="1:30" x14ac:dyDescent="0.2">
      <c r="A2788" s="1422"/>
      <c r="B2788" s="2522"/>
      <c r="C2788" s="3191"/>
      <c r="D2788" s="2421"/>
      <c r="E2788" s="2421"/>
      <c r="F2788" s="2420"/>
      <c r="G2788" s="2420"/>
      <c r="H2788" s="2420"/>
      <c r="I2788" s="2420"/>
      <c r="J2788" s="2515"/>
      <c r="K2788" s="115">
        <v>3000</v>
      </c>
      <c r="L2788" s="115"/>
      <c r="M2788" s="3287" t="s">
        <v>309</v>
      </c>
      <c r="N2788" s="3288"/>
      <c r="O2788" s="41"/>
      <c r="P2788" s="41"/>
      <c r="Q2788" s="41"/>
      <c r="R2788" s="41">
        <v>600</v>
      </c>
      <c r="S2788" s="41"/>
      <c r="T2788" s="41">
        <v>600</v>
      </c>
      <c r="U2788" s="41"/>
      <c r="V2788" s="41">
        <v>600</v>
      </c>
      <c r="W2788" s="41"/>
      <c r="X2788" s="41">
        <v>600</v>
      </c>
      <c r="Y2788" s="41"/>
      <c r="Z2788" s="41">
        <v>600</v>
      </c>
      <c r="AA2788" s="1217">
        <f t="shared" si="418"/>
        <v>3000</v>
      </c>
      <c r="AB2788" s="1210"/>
      <c r="AC2788" s="1199"/>
      <c r="AD2788" s="1211"/>
    </row>
    <row r="2789" spans="1:30" x14ac:dyDescent="0.2">
      <c r="A2789" s="1422"/>
      <c r="B2789" s="2522"/>
      <c r="C2789" s="3191"/>
      <c r="D2789" s="2421"/>
      <c r="E2789" s="2421"/>
      <c r="F2789" s="2420"/>
      <c r="G2789" s="2420"/>
      <c r="H2789" s="2420"/>
      <c r="I2789" s="2420"/>
      <c r="J2789" s="2515"/>
      <c r="K2789" s="115">
        <v>1300</v>
      </c>
      <c r="L2789" s="115"/>
      <c r="M2789" s="3287" t="s">
        <v>358</v>
      </c>
      <c r="N2789" s="3288"/>
      <c r="O2789" s="41"/>
      <c r="P2789" s="41"/>
      <c r="Q2789" s="41">
        <v>1300</v>
      </c>
      <c r="R2789" s="41"/>
      <c r="S2789" s="41"/>
      <c r="T2789" s="41"/>
      <c r="U2789" s="41"/>
      <c r="V2789" s="41"/>
      <c r="W2789" s="41"/>
      <c r="X2789" s="41"/>
      <c r="Y2789" s="41"/>
      <c r="Z2789" s="41"/>
      <c r="AA2789" s="1217">
        <f t="shared" si="418"/>
        <v>1300</v>
      </c>
      <c r="AB2789" s="1210"/>
      <c r="AC2789" s="1199"/>
      <c r="AD2789" s="1211"/>
    </row>
    <row r="2790" spans="1:30" x14ac:dyDescent="0.2">
      <c r="A2790" s="1422"/>
      <c r="B2790" s="2522"/>
      <c r="C2790" s="3191"/>
      <c r="D2790" s="2421"/>
      <c r="E2790" s="2421"/>
      <c r="F2790" s="2420"/>
      <c r="G2790" s="2420"/>
      <c r="H2790" s="2420"/>
      <c r="I2790" s="2420"/>
      <c r="J2790" s="2515"/>
      <c r="K2790" s="115">
        <v>24258</v>
      </c>
      <c r="L2790" s="115"/>
      <c r="M2790" s="3287" t="s">
        <v>310</v>
      </c>
      <c r="N2790" s="3288"/>
      <c r="O2790" s="41">
        <v>2021.5</v>
      </c>
      <c r="P2790" s="41">
        <v>2021.5</v>
      </c>
      <c r="Q2790" s="41">
        <v>2021.5</v>
      </c>
      <c r="R2790" s="41">
        <v>2021.5</v>
      </c>
      <c r="S2790" s="41">
        <v>2021.5</v>
      </c>
      <c r="T2790" s="41">
        <v>2021.5</v>
      </c>
      <c r="U2790" s="41">
        <v>2021.5</v>
      </c>
      <c r="V2790" s="41">
        <v>2021.5</v>
      </c>
      <c r="W2790" s="41">
        <v>2021.5</v>
      </c>
      <c r="X2790" s="41">
        <v>2021.5</v>
      </c>
      <c r="Y2790" s="41">
        <v>2021.5</v>
      </c>
      <c r="Z2790" s="41">
        <v>2021.5</v>
      </c>
      <c r="AA2790" s="1217">
        <f t="shared" si="418"/>
        <v>24258</v>
      </c>
      <c r="AB2790" s="1210"/>
      <c r="AC2790" s="1199"/>
      <c r="AD2790" s="1211"/>
    </row>
    <row r="2791" spans="1:30" x14ac:dyDescent="0.2">
      <c r="A2791" s="1422"/>
      <c r="B2791" s="2522"/>
      <c r="C2791" s="2439"/>
      <c r="D2791" s="2421"/>
      <c r="E2791" s="2421"/>
      <c r="F2791" s="2420"/>
      <c r="G2791" s="2420"/>
      <c r="H2791" s="2420"/>
      <c r="I2791" s="2420"/>
      <c r="J2791" s="2516"/>
      <c r="K2791" s="115">
        <v>2075</v>
      </c>
      <c r="L2791" s="115"/>
      <c r="M2791" s="3287" t="s">
        <v>311</v>
      </c>
      <c r="N2791" s="3288"/>
      <c r="O2791" s="41">
        <v>172.91666666666666</v>
      </c>
      <c r="P2791" s="41">
        <v>172.91666666666666</v>
      </c>
      <c r="Q2791" s="41">
        <v>172.91666666666666</v>
      </c>
      <c r="R2791" s="41">
        <v>172.91666666666666</v>
      </c>
      <c r="S2791" s="41">
        <v>172.91666666666666</v>
      </c>
      <c r="T2791" s="41">
        <v>172.91666666666666</v>
      </c>
      <c r="U2791" s="41">
        <v>172.91666666666666</v>
      </c>
      <c r="V2791" s="41">
        <v>172.91666666666666</v>
      </c>
      <c r="W2791" s="41">
        <v>172.91666666666666</v>
      </c>
      <c r="X2791" s="41">
        <v>172.91666666666666</v>
      </c>
      <c r="Y2791" s="41">
        <v>172.91666666666666</v>
      </c>
      <c r="Z2791" s="41">
        <v>172.91666666666666</v>
      </c>
      <c r="AA2791" s="1217">
        <f t="shared" si="418"/>
        <v>2075.0000000000005</v>
      </c>
      <c r="AB2791" s="1210"/>
      <c r="AC2791" s="1199"/>
      <c r="AD2791" s="1211"/>
    </row>
    <row r="2792" spans="1:30" x14ac:dyDescent="0.2">
      <c r="A2792" s="1422"/>
      <c r="B2792" s="1427" t="s">
        <v>312</v>
      </c>
      <c r="C2792" s="1273"/>
      <c r="D2792" s="38"/>
      <c r="E2792" s="38"/>
      <c r="F2792" s="38"/>
      <c r="G2792" s="38"/>
      <c r="H2792" s="38"/>
      <c r="I2792" s="38"/>
      <c r="J2792" s="38"/>
      <c r="K2792" s="38">
        <f>SUM(K2773:K2791)</f>
        <v>1217380</v>
      </c>
      <c r="L2792" s="38"/>
      <c r="M2792" s="125"/>
      <c r="N2792" s="125"/>
      <c r="O2792" s="38"/>
      <c r="P2792" s="38"/>
      <c r="Q2792" s="38"/>
      <c r="R2792" s="38"/>
      <c r="S2792" s="38"/>
      <c r="T2792" s="38"/>
      <c r="U2792" s="38"/>
      <c r="V2792" s="38"/>
      <c r="W2792" s="38"/>
      <c r="X2792" s="38"/>
      <c r="Y2792" s="38"/>
      <c r="Z2792" s="38"/>
      <c r="AA2792" s="1234"/>
      <c r="AB2792" s="1210"/>
      <c r="AC2792" s="1199"/>
      <c r="AD2792" s="1211"/>
    </row>
    <row r="2793" spans="1:30" ht="22.5" x14ac:dyDescent="0.2">
      <c r="A2793" s="1422"/>
      <c r="B2793" s="1433" t="s">
        <v>276</v>
      </c>
      <c r="C2793" s="1121"/>
      <c r="D2793" s="1119">
        <v>3044195</v>
      </c>
      <c r="E2793" s="192" t="s">
        <v>824</v>
      </c>
      <c r="F2793" s="35"/>
      <c r="G2793" s="35"/>
      <c r="H2793" s="35"/>
      <c r="I2793" s="35"/>
      <c r="J2793" s="35"/>
      <c r="K2793" s="60"/>
      <c r="L2793" s="60"/>
      <c r="M2793" s="200"/>
      <c r="N2793" s="200"/>
      <c r="O2793" s="60"/>
      <c r="P2793" s="60"/>
      <c r="Q2793" s="60"/>
      <c r="R2793" s="60"/>
      <c r="S2793" s="60"/>
      <c r="T2793" s="3333" t="s">
        <v>15</v>
      </c>
      <c r="U2793" s="3333"/>
      <c r="V2793" s="3333"/>
      <c r="W2793" s="3333"/>
      <c r="X2793" s="3333"/>
      <c r="Y2793" s="3333"/>
      <c r="Z2793" s="3333"/>
      <c r="AA2793" s="1966" t="s">
        <v>16</v>
      </c>
      <c r="AB2793" s="1210"/>
      <c r="AC2793" s="1199"/>
      <c r="AD2793" s="1211"/>
    </row>
    <row r="2794" spans="1:30" x14ac:dyDescent="0.2">
      <c r="A2794" s="1422"/>
      <c r="B2794" s="1433"/>
      <c r="C2794" s="1121"/>
      <c r="D2794" s="1119"/>
      <c r="E2794" s="192"/>
      <c r="F2794" s="35"/>
      <c r="G2794" s="35"/>
      <c r="H2794" s="35"/>
      <c r="I2794" s="35"/>
      <c r="J2794" s="35"/>
      <c r="K2794" s="60"/>
      <c r="L2794" s="60"/>
      <c r="M2794" s="200"/>
      <c r="N2794" s="200"/>
      <c r="O2794" s="60"/>
      <c r="P2794" s="60"/>
      <c r="Q2794" s="60"/>
      <c r="R2794" s="60"/>
      <c r="S2794" s="60"/>
      <c r="T2794" s="3333" t="s">
        <v>825</v>
      </c>
      <c r="U2794" s="3333"/>
      <c r="V2794" s="3333"/>
      <c r="W2794" s="3333"/>
      <c r="X2794" s="3333"/>
      <c r="Y2794" s="3333"/>
      <c r="Z2794" s="3333"/>
      <c r="AA2794" s="1957" t="s">
        <v>661</v>
      </c>
      <c r="AB2794" s="1210"/>
      <c r="AC2794" s="1199"/>
      <c r="AD2794" s="1211"/>
    </row>
    <row r="2795" spans="1:30" x14ac:dyDescent="0.2">
      <c r="A2795" s="1422"/>
      <c r="B2795" s="2999" t="s">
        <v>278</v>
      </c>
      <c r="C2795" s="3015" t="s">
        <v>21</v>
      </c>
      <c r="D2795" s="2847" t="s">
        <v>22</v>
      </c>
      <c r="E2795" s="2847" t="s">
        <v>23</v>
      </c>
      <c r="F2795" s="2847" t="s">
        <v>24</v>
      </c>
      <c r="G2795" s="2847" t="s">
        <v>25</v>
      </c>
      <c r="H2795" s="2847" t="s">
        <v>26</v>
      </c>
      <c r="I2795" s="2847" t="s">
        <v>27</v>
      </c>
      <c r="J2795" s="3206" t="s">
        <v>28</v>
      </c>
      <c r="K2795" s="3301"/>
      <c r="L2795" s="2987" t="s">
        <v>279</v>
      </c>
      <c r="M2795" s="3273" t="s">
        <v>280</v>
      </c>
      <c r="N2795" s="3274"/>
      <c r="O2795" s="2847" t="s">
        <v>281</v>
      </c>
      <c r="P2795" s="2847"/>
      <c r="Q2795" s="2847"/>
      <c r="R2795" s="2847"/>
      <c r="S2795" s="2847"/>
      <c r="T2795" s="2847"/>
      <c r="U2795" s="2847"/>
      <c r="V2795" s="2847"/>
      <c r="W2795" s="2847"/>
      <c r="X2795" s="2847"/>
      <c r="Y2795" s="2847"/>
      <c r="Z2795" s="2847"/>
      <c r="AA2795" s="3358" t="s">
        <v>32</v>
      </c>
      <c r="AB2795" s="1210"/>
      <c r="AC2795" s="1199"/>
      <c r="AD2795" s="1211"/>
    </row>
    <row r="2796" spans="1:30" x14ac:dyDescent="0.2">
      <c r="A2796" s="1422"/>
      <c r="B2796" s="2999"/>
      <c r="C2796" s="3359"/>
      <c r="D2796" s="2847"/>
      <c r="E2796" s="2847"/>
      <c r="F2796" s="2847"/>
      <c r="G2796" s="2847"/>
      <c r="H2796" s="2847"/>
      <c r="I2796" s="2847"/>
      <c r="J2796" s="2988" t="s">
        <v>33</v>
      </c>
      <c r="K2796" s="2988" t="s">
        <v>282</v>
      </c>
      <c r="L2796" s="3341"/>
      <c r="M2796" s="3275"/>
      <c r="N2796" s="3276"/>
      <c r="O2796" s="1009" t="s">
        <v>283</v>
      </c>
      <c r="P2796" s="1009" t="s">
        <v>284</v>
      </c>
      <c r="Q2796" s="1009" t="s">
        <v>285</v>
      </c>
      <c r="R2796" s="1009" t="s">
        <v>88</v>
      </c>
      <c r="S2796" s="1009" t="s">
        <v>89</v>
      </c>
      <c r="T2796" s="1009" t="s">
        <v>90</v>
      </c>
      <c r="U2796" s="1009" t="s">
        <v>91</v>
      </c>
      <c r="V2796" s="1009" t="s">
        <v>92</v>
      </c>
      <c r="W2796" s="1009" t="s">
        <v>286</v>
      </c>
      <c r="X2796" s="1009" t="s">
        <v>93</v>
      </c>
      <c r="Y2796" s="1009" t="s">
        <v>94</v>
      </c>
      <c r="Z2796" s="1009" t="s">
        <v>95</v>
      </c>
      <c r="AA2796" s="3358"/>
      <c r="AB2796" s="1210"/>
      <c r="AC2796" s="1199"/>
      <c r="AD2796" s="1211"/>
    </row>
    <row r="2797" spans="1:30" x14ac:dyDescent="0.2">
      <c r="A2797" s="1422"/>
      <c r="B2797" s="2999"/>
      <c r="C2797" s="3359"/>
      <c r="D2797" s="2847"/>
      <c r="E2797" s="2847"/>
      <c r="F2797" s="2847"/>
      <c r="G2797" s="2847"/>
      <c r="H2797" s="2847"/>
      <c r="I2797" s="2847"/>
      <c r="J2797" s="3186"/>
      <c r="K2797" s="3186"/>
      <c r="L2797" s="3341"/>
      <c r="M2797" s="3271" t="s">
        <v>287</v>
      </c>
      <c r="N2797" s="3272"/>
      <c r="O2797" s="1095">
        <v>5190</v>
      </c>
      <c r="P2797" s="1095">
        <v>5190</v>
      </c>
      <c r="Q2797" s="1095">
        <v>5190</v>
      </c>
      <c r="R2797" s="1095">
        <v>5180</v>
      </c>
      <c r="S2797" s="1095">
        <v>5190</v>
      </c>
      <c r="T2797" s="1095">
        <v>5218</v>
      </c>
      <c r="U2797" s="1095">
        <v>5090</v>
      </c>
      <c r="V2797" s="1095">
        <v>5190</v>
      </c>
      <c r="W2797" s="1095">
        <v>5190</v>
      </c>
      <c r="X2797" s="1095">
        <v>5180</v>
      </c>
      <c r="Y2797" s="1095">
        <v>5190</v>
      </c>
      <c r="Z2797" s="1095">
        <v>5180</v>
      </c>
      <c r="AA2797" s="1216">
        <f t="shared" ref="AA2797:AA2814" si="420">SUM(O2797:Z2797)</f>
        <v>62178</v>
      </c>
      <c r="AB2797" s="1210"/>
      <c r="AC2797" s="1199"/>
      <c r="AD2797" s="1211"/>
    </row>
    <row r="2798" spans="1:30" x14ac:dyDescent="0.2">
      <c r="A2798" s="1422"/>
      <c r="B2798" s="2999"/>
      <c r="C2798" s="3016"/>
      <c r="D2798" s="2847"/>
      <c r="E2798" s="2847"/>
      <c r="F2798" s="2847"/>
      <c r="G2798" s="2847"/>
      <c r="H2798" s="2847"/>
      <c r="I2798" s="2847"/>
      <c r="J2798" s="2989"/>
      <c r="K2798" s="2989"/>
      <c r="L2798" s="3341"/>
      <c r="M2798" s="3271" t="s">
        <v>34</v>
      </c>
      <c r="N2798" s="3272"/>
      <c r="O2798" s="120">
        <f>SUM(O2799:O2814)</f>
        <v>43821.916666666672</v>
      </c>
      <c r="P2798" s="120">
        <f t="shared" ref="P2798:Z2798" si="421">SUM(P2799:P2814)</f>
        <v>38198.280303030304</v>
      </c>
      <c r="Q2798" s="120">
        <f t="shared" si="421"/>
        <v>41711.280303030304</v>
      </c>
      <c r="R2798" s="120">
        <f t="shared" si="421"/>
        <v>40798.280303030304</v>
      </c>
      <c r="S2798" s="120">
        <f t="shared" si="421"/>
        <v>37998.280303030304</v>
      </c>
      <c r="T2798" s="120">
        <f t="shared" si="421"/>
        <v>37998.280303030304</v>
      </c>
      <c r="U2798" s="120">
        <f t="shared" si="421"/>
        <v>42725.280303030311</v>
      </c>
      <c r="V2798" s="120">
        <f t="shared" si="421"/>
        <v>39711.280303030304</v>
      </c>
      <c r="W2798" s="120">
        <f t="shared" si="421"/>
        <v>37998.280303030304</v>
      </c>
      <c r="X2798" s="120">
        <f t="shared" si="421"/>
        <v>37998.280303030304</v>
      </c>
      <c r="Y2798" s="120">
        <f t="shared" si="421"/>
        <v>37998.280303030304</v>
      </c>
      <c r="Z2798" s="120">
        <f t="shared" si="421"/>
        <v>42725.280303030311</v>
      </c>
      <c r="AA2798" s="1216">
        <f t="shared" si="420"/>
        <v>479682.99999999994</v>
      </c>
      <c r="AB2798" s="1210"/>
      <c r="AC2798" s="1199"/>
      <c r="AD2798" s="1211"/>
    </row>
    <row r="2799" spans="1:30" x14ac:dyDescent="0.2">
      <c r="A2799" s="1422"/>
      <c r="B2799" s="2522">
        <v>5000119</v>
      </c>
      <c r="C2799" s="3190" t="s">
        <v>826</v>
      </c>
      <c r="D2799" s="2421">
        <v>87</v>
      </c>
      <c r="E2799" s="2421" t="s">
        <v>288</v>
      </c>
      <c r="F2799" s="2420" t="s">
        <v>386</v>
      </c>
      <c r="G2799" s="2420" t="s">
        <v>387</v>
      </c>
      <c r="H2799" s="2420"/>
      <c r="I2799" s="2420" t="s">
        <v>780</v>
      </c>
      <c r="J2799" s="2514">
        <v>62178</v>
      </c>
      <c r="K2799" s="115">
        <v>143582</v>
      </c>
      <c r="L2799" s="115"/>
      <c r="M2799" s="3287" t="s">
        <v>293</v>
      </c>
      <c r="N2799" s="3288"/>
      <c r="O2799" s="41">
        <f t="shared" ref="O2799:Z2806" si="422">$K2799/12</f>
        <v>11965.166666666666</v>
      </c>
      <c r="P2799" s="41">
        <f t="shared" si="422"/>
        <v>11965.166666666666</v>
      </c>
      <c r="Q2799" s="41">
        <f t="shared" si="422"/>
        <v>11965.166666666666</v>
      </c>
      <c r="R2799" s="41">
        <f t="shared" si="422"/>
        <v>11965.166666666666</v>
      </c>
      <c r="S2799" s="41">
        <f t="shared" si="422"/>
        <v>11965.166666666666</v>
      </c>
      <c r="T2799" s="41">
        <f t="shared" si="422"/>
        <v>11965.166666666666</v>
      </c>
      <c r="U2799" s="41">
        <f t="shared" si="422"/>
        <v>11965.166666666666</v>
      </c>
      <c r="V2799" s="41">
        <f t="shared" si="422"/>
        <v>11965.166666666666</v>
      </c>
      <c r="W2799" s="41">
        <f t="shared" si="422"/>
        <v>11965.166666666666</v>
      </c>
      <c r="X2799" s="41">
        <f t="shared" si="422"/>
        <v>11965.166666666666</v>
      </c>
      <c r="Y2799" s="41">
        <f t="shared" si="422"/>
        <v>11965.166666666666</v>
      </c>
      <c r="Z2799" s="41">
        <f t="shared" si="422"/>
        <v>11965.166666666666</v>
      </c>
      <c r="AA2799" s="1217">
        <f t="shared" si="420"/>
        <v>143582</v>
      </c>
      <c r="AB2799" s="1210"/>
      <c r="AC2799" s="1199"/>
      <c r="AD2799" s="1211"/>
    </row>
    <row r="2800" spans="1:30" x14ac:dyDescent="0.2">
      <c r="A2800" s="1422"/>
      <c r="B2800" s="2522"/>
      <c r="C2800" s="3191"/>
      <c r="D2800" s="2421"/>
      <c r="E2800" s="2421"/>
      <c r="F2800" s="2420"/>
      <c r="G2800" s="2420"/>
      <c r="H2800" s="2420"/>
      <c r="I2800" s="2420"/>
      <c r="J2800" s="2515"/>
      <c r="K2800" s="115">
        <v>106135</v>
      </c>
      <c r="L2800" s="115"/>
      <c r="M2800" s="3287" t="s">
        <v>295</v>
      </c>
      <c r="N2800" s="3288"/>
      <c r="O2800" s="41">
        <f t="shared" si="422"/>
        <v>8844.5833333333339</v>
      </c>
      <c r="P2800" s="41">
        <f t="shared" si="422"/>
        <v>8844.5833333333339</v>
      </c>
      <c r="Q2800" s="41">
        <f t="shared" si="422"/>
        <v>8844.5833333333339</v>
      </c>
      <c r="R2800" s="41">
        <f t="shared" si="422"/>
        <v>8844.5833333333339</v>
      </c>
      <c r="S2800" s="41">
        <f t="shared" si="422"/>
        <v>8844.5833333333339</v>
      </c>
      <c r="T2800" s="41">
        <f t="shared" si="422"/>
        <v>8844.5833333333339</v>
      </c>
      <c r="U2800" s="41">
        <f t="shared" si="422"/>
        <v>8844.5833333333339</v>
      </c>
      <c r="V2800" s="41">
        <f t="shared" si="422"/>
        <v>8844.5833333333339</v>
      </c>
      <c r="W2800" s="41">
        <f t="shared" si="422"/>
        <v>8844.5833333333339</v>
      </c>
      <c r="X2800" s="41">
        <f t="shared" si="422"/>
        <v>8844.5833333333339</v>
      </c>
      <c r="Y2800" s="41">
        <f t="shared" si="422"/>
        <v>8844.5833333333339</v>
      </c>
      <c r="Z2800" s="41">
        <f t="shared" si="422"/>
        <v>8844.5833333333339</v>
      </c>
      <c r="AA2800" s="1217">
        <f t="shared" si="420"/>
        <v>106134.99999999999</v>
      </c>
      <c r="AB2800" s="1210"/>
      <c r="AC2800" s="1199"/>
      <c r="AD2800" s="1211"/>
    </row>
    <row r="2801" spans="1:30" x14ac:dyDescent="0.2">
      <c r="A2801" s="1422"/>
      <c r="B2801" s="2522"/>
      <c r="C2801" s="3191"/>
      <c r="D2801" s="2421"/>
      <c r="E2801" s="2421"/>
      <c r="F2801" s="2420"/>
      <c r="G2801" s="2420"/>
      <c r="H2801" s="2420"/>
      <c r="I2801" s="2420"/>
      <c r="J2801" s="2515"/>
      <c r="K2801" s="115">
        <v>88865</v>
      </c>
      <c r="L2801" s="115"/>
      <c r="M2801" s="3287" t="s">
        <v>296</v>
      </c>
      <c r="N2801" s="3288"/>
      <c r="O2801" s="41">
        <f t="shared" si="422"/>
        <v>7405.416666666667</v>
      </c>
      <c r="P2801" s="41">
        <f t="shared" si="422"/>
        <v>7405.416666666667</v>
      </c>
      <c r="Q2801" s="41">
        <f t="shared" si="422"/>
        <v>7405.416666666667</v>
      </c>
      <c r="R2801" s="41">
        <f t="shared" si="422"/>
        <v>7405.416666666667</v>
      </c>
      <c r="S2801" s="41">
        <f t="shared" si="422"/>
        <v>7405.416666666667</v>
      </c>
      <c r="T2801" s="41">
        <f t="shared" si="422"/>
        <v>7405.416666666667</v>
      </c>
      <c r="U2801" s="41">
        <f t="shared" si="422"/>
        <v>7405.416666666667</v>
      </c>
      <c r="V2801" s="41">
        <f t="shared" si="422"/>
        <v>7405.416666666667</v>
      </c>
      <c r="W2801" s="41">
        <f t="shared" si="422"/>
        <v>7405.416666666667</v>
      </c>
      <c r="X2801" s="41">
        <f t="shared" si="422"/>
        <v>7405.416666666667</v>
      </c>
      <c r="Y2801" s="41">
        <f t="shared" si="422"/>
        <v>7405.416666666667</v>
      </c>
      <c r="Z2801" s="41">
        <f t="shared" si="422"/>
        <v>7405.416666666667</v>
      </c>
      <c r="AA2801" s="1217">
        <f t="shared" si="420"/>
        <v>88865.000000000015</v>
      </c>
      <c r="AB2801" s="1210"/>
      <c r="AC2801" s="1199"/>
      <c r="AD2801" s="1211"/>
    </row>
    <row r="2802" spans="1:30" x14ac:dyDescent="0.2">
      <c r="A2802" s="1422"/>
      <c r="B2802" s="2522"/>
      <c r="C2802" s="3191"/>
      <c r="D2802" s="2421"/>
      <c r="E2802" s="2421"/>
      <c r="F2802" s="2420"/>
      <c r="G2802" s="2420"/>
      <c r="H2802" s="2420"/>
      <c r="I2802" s="2420"/>
      <c r="J2802" s="2515"/>
      <c r="K2802" s="115">
        <v>12192</v>
      </c>
      <c r="L2802" s="115"/>
      <c r="M2802" s="3287" t="s">
        <v>297</v>
      </c>
      <c r="N2802" s="3288"/>
      <c r="O2802" s="41">
        <f t="shared" si="422"/>
        <v>1016</v>
      </c>
      <c r="P2802" s="41">
        <f t="shared" si="422"/>
        <v>1016</v>
      </c>
      <c r="Q2802" s="41">
        <f t="shared" si="422"/>
        <v>1016</v>
      </c>
      <c r="R2802" s="41">
        <f t="shared" si="422"/>
        <v>1016</v>
      </c>
      <c r="S2802" s="41">
        <f t="shared" si="422"/>
        <v>1016</v>
      </c>
      <c r="T2802" s="41">
        <f t="shared" si="422"/>
        <v>1016</v>
      </c>
      <c r="U2802" s="41">
        <f t="shared" si="422"/>
        <v>1016</v>
      </c>
      <c r="V2802" s="41">
        <f t="shared" si="422"/>
        <v>1016</v>
      </c>
      <c r="W2802" s="41">
        <f t="shared" si="422"/>
        <v>1016</v>
      </c>
      <c r="X2802" s="41">
        <f t="shared" si="422"/>
        <v>1016</v>
      </c>
      <c r="Y2802" s="41">
        <f t="shared" si="422"/>
        <v>1016</v>
      </c>
      <c r="Z2802" s="41">
        <f t="shared" si="422"/>
        <v>1016</v>
      </c>
      <c r="AA2802" s="1217">
        <f t="shared" si="420"/>
        <v>12192</v>
      </c>
      <c r="AB2802" s="1210"/>
      <c r="AC2802" s="1199"/>
      <c r="AD2802" s="1211"/>
    </row>
    <row r="2803" spans="1:30" x14ac:dyDescent="0.2">
      <c r="A2803" s="1422"/>
      <c r="B2803" s="2522"/>
      <c r="C2803" s="3191"/>
      <c r="D2803" s="2421"/>
      <c r="E2803" s="2421"/>
      <c r="F2803" s="2420"/>
      <c r="G2803" s="2420"/>
      <c r="H2803" s="2420"/>
      <c r="I2803" s="2420"/>
      <c r="J2803" s="2515"/>
      <c r="K2803" s="115">
        <v>9454</v>
      </c>
      <c r="L2803" s="115"/>
      <c r="M2803" s="3287" t="s">
        <v>298</v>
      </c>
      <c r="N2803" s="3288"/>
      <c r="O2803" s="41"/>
      <c r="P2803" s="41"/>
      <c r="Q2803" s="41"/>
      <c r="R2803" s="41"/>
      <c r="S2803" s="41"/>
      <c r="T2803" s="41"/>
      <c r="U2803" s="41">
        <f>$K2803/2</f>
        <v>4727</v>
      </c>
      <c r="V2803" s="41"/>
      <c r="W2803" s="41"/>
      <c r="X2803" s="41"/>
      <c r="Y2803" s="41"/>
      <c r="Z2803" s="41">
        <f>$K2803/2</f>
        <v>4727</v>
      </c>
      <c r="AA2803" s="1217">
        <f t="shared" si="420"/>
        <v>9454</v>
      </c>
      <c r="AB2803" s="1210"/>
      <c r="AC2803" s="1199"/>
      <c r="AD2803" s="1211"/>
    </row>
    <row r="2804" spans="1:30" x14ac:dyDescent="0.2">
      <c r="A2804" s="1422"/>
      <c r="B2804" s="2522"/>
      <c r="C2804" s="3191"/>
      <c r="D2804" s="2421"/>
      <c r="E2804" s="2421"/>
      <c r="F2804" s="2420"/>
      <c r="G2804" s="2420"/>
      <c r="H2804" s="2420"/>
      <c r="I2804" s="2420"/>
      <c r="J2804" s="2515"/>
      <c r="K2804" s="115">
        <v>5960</v>
      </c>
      <c r="L2804" s="115"/>
      <c r="M2804" s="3287" t="s">
        <v>299</v>
      </c>
      <c r="N2804" s="3288"/>
      <c r="O2804" s="41">
        <f>$K2804</f>
        <v>5960</v>
      </c>
      <c r="P2804" s="41"/>
      <c r="Q2804" s="41"/>
      <c r="R2804" s="41"/>
      <c r="S2804" s="41"/>
      <c r="T2804" s="41"/>
      <c r="U2804" s="41"/>
      <c r="V2804" s="41"/>
      <c r="W2804" s="41"/>
      <c r="X2804" s="41"/>
      <c r="Y2804" s="41"/>
      <c r="Z2804" s="41"/>
      <c r="AA2804" s="1217">
        <f t="shared" si="420"/>
        <v>5960</v>
      </c>
      <c r="AB2804" s="1210"/>
      <c r="AC2804" s="1199"/>
      <c r="AD2804" s="1211"/>
    </row>
    <row r="2805" spans="1:30" x14ac:dyDescent="0.2">
      <c r="A2805" s="1422"/>
      <c r="B2805" s="2522"/>
      <c r="C2805" s="3191"/>
      <c r="D2805" s="2421"/>
      <c r="E2805" s="2421"/>
      <c r="F2805" s="2420"/>
      <c r="G2805" s="2420"/>
      <c r="H2805" s="2420"/>
      <c r="I2805" s="2420"/>
      <c r="J2805" s="2515"/>
      <c r="K2805" s="115">
        <v>40963</v>
      </c>
      <c r="L2805" s="115"/>
      <c r="M2805" s="3287" t="s">
        <v>300</v>
      </c>
      <c r="N2805" s="3288"/>
      <c r="O2805" s="41">
        <f t="shared" si="422"/>
        <v>3413.5833333333335</v>
      </c>
      <c r="P2805" s="41">
        <f t="shared" si="422"/>
        <v>3413.5833333333335</v>
      </c>
      <c r="Q2805" s="41">
        <f t="shared" si="422"/>
        <v>3413.5833333333335</v>
      </c>
      <c r="R2805" s="41">
        <f t="shared" si="422"/>
        <v>3413.5833333333335</v>
      </c>
      <c r="S2805" s="41">
        <f t="shared" si="422"/>
        <v>3413.5833333333335</v>
      </c>
      <c r="T2805" s="41">
        <f t="shared" si="422"/>
        <v>3413.5833333333335</v>
      </c>
      <c r="U2805" s="41">
        <f t="shared" si="422"/>
        <v>3413.5833333333335</v>
      </c>
      <c r="V2805" s="41">
        <f t="shared" si="422"/>
        <v>3413.5833333333335</v>
      </c>
      <c r="W2805" s="41">
        <f t="shared" si="422"/>
        <v>3413.5833333333335</v>
      </c>
      <c r="X2805" s="41">
        <f t="shared" si="422"/>
        <v>3413.5833333333335</v>
      </c>
      <c r="Y2805" s="41">
        <f t="shared" si="422"/>
        <v>3413.5833333333335</v>
      </c>
      <c r="Z2805" s="41">
        <f t="shared" si="422"/>
        <v>3413.5833333333335</v>
      </c>
      <c r="AA2805" s="1217">
        <f t="shared" si="420"/>
        <v>40963</v>
      </c>
      <c r="AB2805" s="1210"/>
      <c r="AC2805" s="1199"/>
      <c r="AD2805" s="1211"/>
    </row>
    <row r="2806" spans="1:30" x14ac:dyDescent="0.2">
      <c r="A2806" s="1422"/>
      <c r="B2806" s="2522"/>
      <c r="C2806" s="3191"/>
      <c r="D2806" s="2421"/>
      <c r="E2806" s="2421"/>
      <c r="F2806" s="2420"/>
      <c r="G2806" s="2420"/>
      <c r="H2806" s="2420"/>
      <c r="I2806" s="2420"/>
      <c r="J2806" s="2515"/>
      <c r="K2806" s="115">
        <v>81</v>
      </c>
      <c r="L2806" s="115"/>
      <c r="M2806" s="3287" t="s">
        <v>301</v>
      </c>
      <c r="N2806" s="3288"/>
      <c r="O2806" s="41">
        <f t="shared" si="422"/>
        <v>6.75</v>
      </c>
      <c r="P2806" s="41">
        <f t="shared" si="422"/>
        <v>6.75</v>
      </c>
      <c r="Q2806" s="41">
        <f t="shared" si="422"/>
        <v>6.75</v>
      </c>
      <c r="R2806" s="41">
        <f t="shared" si="422"/>
        <v>6.75</v>
      </c>
      <c r="S2806" s="41">
        <f t="shared" si="422"/>
        <v>6.75</v>
      </c>
      <c r="T2806" s="41">
        <f t="shared" si="422"/>
        <v>6.75</v>
      </c>
      <c r="U2806" s="41">
        <f t="shared" si="422"/>
        <v>6.75</v>
      </c>
      <c r="V2806" s="41">
        <f t="shared" si="422"/>
        <v>6.75</v>
      </c>
      <c r="W2806" s="41">
        <f t="shared" si="422"/>
        <v>6.75</v>
      </c>
      <c r="X2806" s="41">
        <f t="shared" si="422"/>
        <v>6.75</v>
      </c>
      <c r="Y2806" s="41">
        <f t="shared" si="422"/>
        <v>6.75</v>
      </c>
      <c r="Z2806" s="41">
        <f t="shared" si="422"/>
        <v>6.75</v>
      </c>
      <c r="AA2806" s="1217">
        <f t="shared" si="420"/>
        <v>81</v>
      </c>
      <c r="AB2806" s="1210"/>
      <c r="AC2806" s="1199"/>
      <c r="AD2806" s="1211"/>
    </row>
    <row r="2807" spans="1:30" x14ac:dyDescent="0.2">
      <c r="A2807" s="1422"/>
      <c r="B2807" s="2522"/>
      <c r="C2807" s="3191"/>
      <c r="D2807" s="2421"/>
      <c r="E2807" s="2421"/>
      <c r="F2807" s="2420"/>
      <c r="G2807" s="2420"/>
      <c r="H2807" s="2420"/>
      <c r="I2807" s="2420"/>
      <c r="J2807" s="2515"/>
      <c r="K2807" s="115">
        <v>1500</v>
      </c>
      <c r="L2807" s="115"/>
      <c r="M2807" s="3287" t="s">
        <v>340</v>
      </c>
      <c r="N2807" s="3288"/>
      <c r="O2807" s="41"/>
      <c r="P2807" s="41"/>
      <c r="Q2807" s="41"/>
      <c r="R2807" s="41">
        <f>$K2807</f>
        <v>1500</v>
      </c>
      <c r="S2807" s="41"/>
      <c r="T2807" s="41"/>
      <c r="U2807" s="41"/>
      <c r="V2807" s="41"/>
      <c r="W2807" s="41"/>
      <c r="X2807" s="41"/>
      <c r="Y2807" s="41"/>
      <c r="Z2807" s="41"/>
      <c r="AA2807" s="1217">
        <f t="shared" si="420"/>
        <v>1500</v>
      </c>
      <c r="AB2807" s="1210"/>
      <c r="AC2807" s="1199"/>
      <c r="AD2807" s="1211"/>
    </row>
    <row r="2808" spans="1:30" x14ac:dyDescent="0.2">
      <c r="A2808" s="1422"/>
      <c r="B2808" s="2522"/>
      <c r="C2808" s="3191"/>
      <c r="D2808" s="2421"/>
      <c r="E2808" s="2421"/>
      <c r="F2808" s="2420"/>
      <c r="G2808" s="2420"/>
      <c r="H2808" s="2420"/>
      <c r="I2808" s="2420"/>
      <c r="J2808" s="2515"/>
      <c r="K2808" s="115">
        <v>3426</v>
      </c>
      <c r="L2808" s="115"/>
      <c r="M2808" s="3287" t="s">
        <v>303</v>
      </c>
      <c r="N2808" s="3288"/>
      <c r="O2808" s="41"/>
      <c r="P2808" s="41"/>
      <c r="Q2808" s="95">
        <f>$K2808/2</f>
        <v>1713</v>
      </c>
      <c r="R2808" s="41"/>
      <c r="S2808" s="41"/>
      <c r="T2808" s="95"/>
      <c r="U2808" s="41"/>
      <c r="V2808" s="95">
        <f>$K2808/2</f>
        <v>1713</v>
      </c>
      <c r="W2808" s="41"/>
      <c r="X2808" s="41"/>
      <c r="Y2808" s="41"/>
      <c r="Z2808" s="41"/>
      <c r="AA2808" s="1217">
        <f t="shared" si="420"/>
        <v>3426</v>
      </c>
      <c r="AB2808" s="1210"/>
      <c r="AC2808" s="1199"/>
      <c r="AD2808" s="1211"/>
    </row>
    <row r="2809" spans="1:30" x14ac:dyDescent="0.2">
      <c r="A2809" s="1422"/>
      <c r="B2809" s="2522"/>
      <c r="C2809" s="3191"/>
      <c r="D2809" s="2421"/>
      <c r="E2809" s="2421"/>
      <c r="F2809" s="2420"/>
      <c r="G2809" s="2420"/>
      <c r="H2809" s="2420"/>
      <c r="I2809" s="2420"/>
      <c r="J2809" s="2515"/>
      <c r="K2809" s="115">
        <v>200</v>
      </c>
      <c r="L2809" s="115"/>
      <c r="M2809" s="3287" t="s">
        <v>324</v>
      </c>
      <c r="N2809" s="3288"/>
      <c r="O2809" s="41"/>
      <c r="P2809" s="41">
        <f>$K2809</f>
        <v>200</v>
      </c>
      <c r="Q2809" s="41"/>
      <c r="R2809" s="41"/>
      <c r="S2809" s="41"/>
      <c r="T2809" s="41"/>
      <c r="U2809" s="41"/>
      <c r="V2809" s="41"/>
      <c r="W2809" s="41"/>
      <c r="X2809" s="41"/>
      <c r="Y2809" s="41"/>
      <c r="Z2809" s="41"/>
      <c r="AA2809" s="1217">
        <f t="shared" si="420"/>
        <v>200</v>
      </c>
      <c r="AB2809" s="1210"/>
      <c r="AC2809" s="1199"/>
      <c r="AD2809" s="1211"/>
    </row>
    <row r="2810" spans="1:30" x14ac:dyDescent="0.2">
      <c r="A2810" s="1422"/>
      <c r="B2810" s="2522"/>
      <c r="C2810" s="3191"/>
      <c r="D2810" s="2421"/>
      <c r="E2810" s="2421"/>
      <c r="F2810" s="2420"/>
      <c r="G2810" s="2420"/>
      <c r="H2810" s="2420"/>
      <c r="I2810" s="2420"/>
      <c r="J2810" s="2515"/>
      <c r="K2810" s="115">
        <v>2000</v>
      </c>
      <c r="L2810" s="115"/>
      <c r="M2810" s="3287" t="s">
        <v>304</v>
      </c>
      <c r="N2810" s="3288"/>
      <c r="O2810" s="41"/>
      <c r="P2810" s="41"/>
      <c r="Q2810" s="95">
        <f>$K2810</f>
        <v>2000</v>
      </c>
      <c r="R2810" s="41"/>
      <c r="S2810" s="41"/>
      <c r="T2810" s="41"/>
      <c r="U2810" s="41"/>
      <c r="V2810" s="41"/>
      <c r="W2810" s="41"/>
      <c r="X2810" s="41"/>
      <c r="Y2810" s="41"/>
      <c r="Z2810" s="41"/>
      <c r="AA2810" s="1217">
        <f t="shared" si="420"/>
        <v>2000</v>
      </c>
      <c r="AB2810" s="1210"/>
      <c r="AC2810" s="1199"/>
      <c r="AD2810" s="1211"/>
    </row>
    <row r="2811" spans="1:30" x14ac:dyDescent="0.2">
      <c r="A2811" s="1422"/>
      <c r="B2811" s="2522"/>
      <c r="C2811" s="3191"/>
      <c r="D2811" s="2421"/>
      <c r="E2811" s="2421"/>
      <c r="F2811" s="2420"/>
      <c r="G2811" s="2420"/>
      <c r="H2811" s="2420"/>
      <c r="I2811" s="2420"/>
      <c r="J2811" s="2515"/>
      <c r="K2811" s="115">
        <v>1500</v>
      </c>
      <c r="L2811" s="115"/>
      <c r="M2811" s="3287" t="s">
        <v>307</v>
      </c>
      <c r="N2811" s="3288"/>
      <c r="O2811" s="41"/>
      <c r="P2811" s="41">
        <f>$K2811/11</f>
        <v>136.36363636363637</v>
      </c>
      <c r="Q2811" s="41">
        <f t="shared" ref="Q2811:Z2811" si="423">$K2811/11</f>
        <v>136.36363636363637</v>
      </c>
      <c r="R2811" s="41">
        <f t="shared" si="423"/>
        <v>136.36363636363637</v>
      </c>
      <c r="S2811" s="41">
        <f t="shared" si="423"/>
        <v>136.36363636363637</v>
      </c>
      <c r="T2811" s="41">
        <f t="shared" si="423"/>
        <v>136.36363636363637</v>
      </c>
      <c r="U2811" s="41">
        <f t="shared" si="423"/>
        <v>136.36363636363637</v>
      </c>
      <c r="V2811" s="41">
        <f t="shared" si="423"/>
        <v>136.36363636363637</v>
      </c>
      <c r="W2811" s="41">
        <f t="shared" si="423"/>
        <v>136.36363636363637</v>
      </c>
      <c r="X2811" s="41">
        <f t="shared" si="423"/>
        <v>136.36363636363637</v>
      </c>
      <c r="Y2811" s="41">
        <f t="shared" si="423"/>
        <v>136.36363636363637</v>
      </c>
      <c r="Z2811" s="41">
        <f t="shared" si="423"/>
        <v>136.36363636363637</v>
      </c>
      <c r="AA2811" s="1217">
        <f t="shared" si="420"/>
        <v>1500.0000000000005</v>
      </c>
      <c r="AB2811" s="1210"/>
      <c r="AC2811" s="1199"/>
      <c r="AD2811" s="1211"/>
    </row>
    <row r="2812" spans="1:30" x14ac:dyDescent="0.2">
      <c r="A2812" s="1422"/>
      <c r="B2812" s="2522"/>
      <c r="C2812" s="3191"/>
      <c r="D2812" s="2421"/>
      <c r="E2812" s="2421"/>
      <c r="F2812" s="2420"/>
      <c r="G2812" s="2420"/>
      <c r="H2812" s="2420"/>
      <c r="I2812" s="2420"/>
      <c r="J2812" s="2515"/>
      <c r="K2812" s="115">
        <v>1300</v>
      </c>
      <c r="L2812" s="115"/>
      <c r="M2812" s="3287" t="s">
        <v>308</v>
      </c>
      <c r="N2812" s="3288"/>
      <c r="O2812" s="41"/>
      <c r="P2812" s="41"/>
      <c r="Q2812" s="95"/>
      <c r="R2812" s="95">
        <f>$K2812</f>
        <v>1300</v>
      </c>
      <c r="S2812" s="41"/>
      <c r="T2812" s="41"/>
      <c r="U2812" s="41"/>
      <c r="V2812" s="41"/>
      <c r="W2812" s="41"/>
      <c r="X2812" s="41"/>
      <c r="Y2812" s="41"/>
      <c r="Z2812" s="41"/>
      <c r="AA2812" s="1217">
        <f t="shared" si="420"/>
        <v>1300</v>
      </c>
      <c r="AB2812" s="1210"/>
      <c r="AC2812" s="1199"/>
      <c r="AD2812" s="1211"/>
    </row>
    <row r="2813" spans="1:30" x14ac:dyDescent="0.2">
      <c r="A2813" s="1422"/>
      <c r="B2813" s="2522"/>
      <c r="C2813" s="3191"/>
      <c r="D2813" s="2421"/>
      <c r="E2813" s="2421"/>
      <c r="F2813" s="2420"/>
      <c r="G2813" s="2420"/>
      <c r="H2813" s="2420"/>
      <c r="I2813" s="2420"/>
      <c r="J2813" s="2515"/>
      <c r="K2813" s="115">
        <v>58019</v>
      </c>
      <c r="L2813" s="115"/>
      <c r="M2813" s="3287" t="s">
        <v>310</v>
      </c>
      <c r="N2813" s="3288"/>
      <c r="O2813" s="41">
        <f t="shared" ref="O2813:Z2814" si="424">$K2813/12</f>
        <v>4834.916666666667</v>
      </c>
      <c r="P2813" s="41">
        <f t="shared" si="424"/>
        <v>4834.916666666667</v>
      </c>
      <c r="Q2813" s="41">
        <f t="shared" si="424"/>
        <v>4834.916666666667</v>
      </c>
      <c r="R2813" s="41">
        <f t="shared" si="424"/>
        <v>4834.916666666667</v>
      </c>
      <c r="S2813" s="41">
        <f t="shared" si="424"/>
        <v>4834.916666666667</v>
      </c>
      <c r="T2813" s="41">
        <f t="shared" si="424"/>
        <v>4834.916666666667</v>
      </c>
      <c r="U2813" s="41">
        <f t="shared" si="424"/>
        <v>4834.916666666667</v>
      </c>
      <c r="V2813" s="41">
        <f t="shared" si="424"/>
        <v>4834.916666666667</v>
      </c>
      <c r="W2813" s="41">
        <f t="shared" si="424"/>
        <v>4834.916666666667</v>
      </c>
      <c r="X2813" s="41">
        <f t="shared" si="424"/>
        <v>4834.916666666667</v>
      </c>
      <c r="Y2813" s="41">
        <f t="shared" si="424"/>
        <v>4834.916666666667</v>
      </c>
      <c r="Z2813" s="41">
        <f t="shared" si="424"/>
        <v>4834.916666666667</v>
      </c>
      <c r="AA2813" s="1217">
        <f t="shared" si="420"/>
        <v>58018.999999999993</v>
      </c>
      <c r="AB2813" s="1210"/>
      <c r="AC2813" s="1199"/>
      <c r="AD2813" s="1211"/>
    </row>
    <row r="2814" spans="1:30" x14ac:dyDescent="0.2">
      <c r="A2814" s="1422"/>
      <c r="B2814" s="2522"/>
      <c r="C2814" s="2439"/>
      <c r="D2814" s="2421"/>
      <c r="E2814" s="2421"/>
      <c r="F2814" s="2420"/>
      <c r="G2814" s="2420"/>
      <c r="H2814" s="2420"/>
      <c r="I2814" s="2420"/>
      <c r="J2814" s="2516"/>
      <c r="K2814" s="115">
        <v>4506</v>
      </c>
      <c r="L2814" s="115"/>
      <c r="M2814" s="3287" t="s">
        <v>311</v>
      </c>
      <c r="N2814" s="3288"/>
      <c r="O2814" s="41">
        <f t="shared" si="424"/>
        <v>375.5</v>
      </c>
      <c r="P2814" s="41">
        <f t="shared" si="424"/>
        <v>375.5</v>
      </c>
      <c r="Q2814" s="41">
        <f t="shared" si="424"/>
        <v>375.5</v>
      </c>
      <c r="R2814" s="41">
        <f t="shared" si="424"/>
        <v>375.5</v>
      </c>
      <c r="S2814" s="41">
        <f t="shared" si="424"/>
        <v>375.5</v>
      </c>
      <c r="T2814" s="41">
        <f t="shared" si="424"/>
        <v>375.5</v>
      </c>
      <c r="U2814" s="41">
        <f t="shared" si="424"/>
        <v>375.5</v>
      </c>
      <c r="V2814" s="41">
        <f t="shared" si="424"/>
        <v>375.5</v>
      </c>
      <c r="W2814" s="41">
        <f t="shared" si="424"/>
        <v>375.5</v>
      </c>
      <c r="X2814" s="41">
        <f t="shared" si="424"/>
        <v>375.5</v>
      </c>
      <c r="Y2814" s="41">
        <f t="shared" si="424"/>
        <v>375.5</v>
      </c>
      <c r="Z2814" s="41">
        <f t="shared" si="424"/>
        <v>375.5</v>
      </c>
      <c r="AA2814" s="1217">
        <f t="shared" si="420"/>
        <v>4506</v>
      </c>
      <c r="AB2814" s="1210"/>
      <c r="AC2814" s="1199"/>
      <c r="AD2814" s="1211"/>
    </row>
    <row r="2815" spans="1:30" x14ac:dyDescent="0.2">
      <c r="A2815" s="1422"/>
      <c r="B2815" s="1427" t="s">
        <v>312</v>
      </c>
      <c r="C2815" s="1273"/>
      <c r="D2815" s="38"/>
      <c r="E2815" s="38"/>
      <c r="F2815" s="38"/>
      <c r="G2815" s="38"/>
      <c r="H2815" s="38"/>
      <c r="I2815" s="38"/>
      <c r="J2815" s="38"/>
      <c r="K2815" s="38">
        <f>SUM(K2799:K2814)</f>
        <v>479683</v>
      </c>
      <c r="L2815" s="38"/>
      <c r="M2815" s="125"/>
      <c r="N2815" s="125"/>
      <c r="O2815" s="38"/>
      <c r="P2815" s="38"/>
      <c r="Q2815" s="38"/>
      <c r="R2815" s="38"/>
      <c r="S2815" s="38"/>
      <c r="T2815" s="38"/>
      <c r="U2815" s="38"/>
      <c r="V2815" s="38"/>
      <c r="W2815" s="38"/>
      <c r="X2815" s="38"/>
      <c r="Y2815" s="38"/>
      <c r="Z2815" s="38"/>
      <c r="AA2815" s="1234"/>
      <c r="AB2815" s="1210"/>
      <c r="AC2815" s="1199"/>
      <c r="AD2815" s="1211"/>
    </row>
    <row r="2816" spans="1:30" ht="22.5" x14ac:dyDescent="0.2">
      <c r="A2816" s="1422"/>
      <c r="B2816" s="1433" t="s">
        <v>276</v>
      </c>
      <c r="C2816" s="1121"/>
      <c r="D2816" s="1119">
        <v>3044197</v>
      </c>
      <c r="E2816" s="192" t="s">
        <v>827</v>
      </c>
      <c r="F2816" s="35"/>
      <c r="G2816" s="35"/>
      <c r="H2816" s="35"/>
      <c r="I2816" s="35"/>
      <c r="J2816" s="35"/>
      <c r="K2816" s="60"/>
      <c r="L2816" s="60"/>
      <c r="M2816" s="200"/>
      <c r="N2816" s="200"/>
      <c r="O2816" s="60"/>
      <c r="P2816" s="60"/>
      <c r="Q2816" s="60"/>
      <c r="R2816" s="60"/>
      <c r="S2816" s="3333" t="s">
        <v>15</v>
      </c>
      <c r="T2816" s="3333"/>
      <c r="U2816" s="3333"/>
      <c r="V2816" s="3333"/>
      <c r="W2816" s="3333"/>
      <c r="X2816" s="3333"/>
      <c r="Y2816" s="3333"/>
      <c r="Z2816" s="3333"/>
      <c r="AA2816" s="1966" t="s">
        <v>16</v>
      </c>
      <c r="AB2816" s="1210"/>
      <c r="AC2816" s="1199"/>
      <c r="AD2816" s="1211"/>
    </row>
    <row r="2817" spans="1:30" x14ac:dyDescent="0.2">
      <c r="A2817" s="1422"/>
      <c r="B2817" s="1433"/>
      <c r="C2817" s="1121"/>
      <c r="D2817" s="1119"/>
      <c r="E2817" s="192"/>
      <c r="F2817" s="35"/>
      <c r="G2817" s="35"/>
      <c r="H2817" s="35"/>
      <c r="I2817" s="35"/>
      <c r="J2817" s="35"/>
      <c r="K2817" s="60"/>
      <c r="L2817" s="60"/>
      <c r="M2817" s="200"/>
      <c r="N2817" s="200"/>
      <c r="O2817" s="60"/>
      <c r="P2817" s="60"/>
      <c r="Q2817" s="60"/>
      <c r="R2817" s="60"/>
      <c r="S2817" s="3383" t="s">
        <v>828</v>
      </c>
      <c r="T2817" s="3383"/>
      <c r="U2817" s="3383"/>
      <c r="V2817" s="3383"/>
      <c r="W2817" s="3383"/>
      <c r="X2817" s="3383"/>
      <c r="Y2817" s="3383"/>
      <c r="Z2817" s="3383"/>
      <c r="AA2817" s="1957" t="s">
        <v>661</v>
      </c>
      <c r="AB2817" s="1210"/>
      <c r="AC2817" s="1199"/>
      <c r="AD2817" s="1211"/>
    </row>
    <row r="2818" spans="1:30" x14ac:dyDescent="0.2">
      <c r="A2818" s="1422"/>
      <c r="B2818" s="2999" t="s">
        <v>278</v>
      </c>
      <c r="C2818" s="3015" t="s">
        <v>21</v>
      </c>
      <c r="D2818" s="2847" t="s">
        <v>22</v>
      </c>
      <c r="E2818" s="2847" t="s">
        <v>23</v>
      </c>
      <c r="F2818" s="2847" t="s">
        <v>24</v>
      </c>
      <c r="G2818" s="2847" t="s">
        <v>25</v>
      </c>
      <c r="H2818" s="2847" t="s">
        <v>26</v>
      </c>
      <c r="I2818" s="2847" t="s">
        <v>27</v>
      </c>
      <c r="J2818" s="3206" t="s">
        <v>28</v>
      </c>
      <c r="K2818" s="3301"/>
      <c r="L2818" s="2987" t="s">
        <v>279</v>
      </c>
      <c r="M2818" s="3273" t="s">
        <v>280</v>
      </c>
      <c r="N2818" s="3274"/>
      <c r="O2818" s="2847" t="s">
        <v>281</v>
      </c>
      <c r="P2818" s="2847"/>
      <c r="Q2818" s="2847"/>
      <c r="R2818" s="2847"/>
      <c r="S2818" s="2847"/>
      <c r="T2818" s="2847"/>
      <c r="U2818" s="2847"/>
      <c r="V2818" s="2847"/>
      <c r="W2818" s="2847"/>
      <c r="X2818" s="2847"/>
      <c r="Y2818" s="2847"/>
      <c r="Z2818" s="2847"/>
      <c r="AA2818" s="3358" t="s">
        <v>32</v>
      </c>
      <c r="AB2818" s="1210"/>
      <c r="AC2818" s="1199"/>
      <c r="AD2818" s="1211"/>
    </row>
    <row r="2819" spans="1:30" x14ac:dyDescent="0.2">
      <c r="A2819" s="1422"/>
      <c r="B2819" s="2999"/>
      <c r="C2819" s="3359"/>
      <c r="D2819" s="2847"/>
      <c r="E2819" s="2847"/>
      <c r="F2819" s="2847"/>
      <c r="G2819" s="2847"/>
      <c r="H2819" s="2847"/>
      <c r="I2819" s="2847"/>
      <c r="J2819" s="2988" t="s">
        <v>33</v>
      </c>
      <c r="K2819" s="2988" t="s">
        <v>282</v>
      </c>
      <c r="L2819" s="3341"/>
      <c r="M2819" s="3275"/>
      <c r="N2819" s="3276"/>
      <c r="O2819" s="1009" t="s">
        <v>283</v>
      </c>
      <c r="P2819" s="1009" t="s">
        <v>284</v>
      </c>
      <c r="Q2819" s="1009" t="s">
        <v>285</v>
      </c>
      <c r="R2819" s="1009" t="s">
        <v>88</v>
      </c>
      <c r="S2819" s="1009" t="s">
        <v>89</v>
      </c>
      <c r="T2819" s="1009" t="s">
        <v>90</v>
      </c>
      <c r="U2819" s="1009" t="s">
        <v>91</v>
      </c>
      <c r="V2819" s="1009" t="s">
        <v>92</v>
      </c>
      <c r="W2819" s="1009" t="s">
        <v>286</v>
      </c>
      <c r="X2819" s="1009" t="s">
        <v>93</v>
      </c>
      <c r="Y2819" s="1009" t="s">
        <v>94</v>
      </c>
      <c r="Z2819" s="1009" t="s">
        <v>95</v>
      </c>
      <c r="AA2819" s="3358"/>
      <c r="AB2819" s="1210"/>
      <c r="AC2819" s="1199"/>
      <c r="AD2819" s="1211"/>
    </row>
    <row r="2820" spans="1:30" x14ac:dyDescent="0.2">
      <c r="A2820" s="1422"/>
      <c r="B2820" s="2999"/>
      <c r="C2820" s="3359"/>
      <c r="D2820" s="2847"/>
      <c r="E2820" s="2847"/>
      <c r="F2820" s="2847"/>
      <c r="G2820" s="2847"/>
      <c r="H2820" s="2847"/>
      <c r="I2820" s="2847"/>
      <c r="J2820" s="3186"/>
      <c r="K2820" s="3186"/>
      <c r="L2820" s="3341"/>
      <c r="M2820" s="3271" t="s">
        <v>287</v>
      </c>
      <c r="N2820" s="3272"/>
      <c r="O2820" s="1095">
        <v>5180</v>
      </c>
      <c r="P2820" s="1095">
        <v>5190</v>
      </c>
      <c r="Q2820" s="1095">
        <v>5190</v>
      </c>
      <c r="R2820" s="1095">
        <v>5172</v>
      </c>
      <c r="S2820" s="1095">
        <v>5190</v>
      </c>
      <c r="T2820" s="1095">
        <v>5218</v>
      </c>
      <c r="U2820" s="1095">
        <v>5090</v>
      </c>
      <c r="V2820" s="1095">
        <v>5190</v>
      </c>
      <c r="W2820" s="1095">
        <v>5190</v>
      </c>
      <c r="X2820" s="1095">
        <v>5180</v>
      </c>
      <c r="Y2820" s="1095">
        <v>5190</v>
      </c>
      <c r="Z2820" s="1095">
        <v>5180</v>
      </c>
      <c r="AA2820" s="1216">
        <f t="shared" ref="AA2820:AA2838" si="425">SUM(O2820:Z2820)</f>
        <v>62160</v>
      </c>
      <c r="AB2820" s="1210"/>
      <c r="AC2820" s="1199"/>
      <c r="AD2820" s="1211"/>
    </row>
    <row r="2821" spans="1:30" x14ac:dyDescent="0.2">
      <c r="A2821" s="1422"/>
      <c r="B2821" s="2999"/>
      <c r="C2821" s="3016"/>
      <c r="D2821" s="2847"/>
      <c r="E2821" s="2847"/>
      <c r="F2821" s="2847"/>
      <c r="G2821" s="2847"/>
      <c r="H2821" s="2847"/>
      <c r="I2821" s="2847"/>
      <c r="J2821" s="2989"/>
      <c r="K2821" s="2989"/>
      <c r="L2821" s="3341"/>
      <c r="M2821" s="3271" t="s">
        <v>34</v>
      </c>
      <c r="N2821" s="3272"/>
      <c r="O2821" s="120">
        <f>SUM(O2822:O2838)</f>
        <v>35618.916666666672</v>
      </c>
      <c r="P2821" s="120">
        <f t="shared" ref="P2821:Z2821" si="426">SUM(P2822:P2838)</f>
        <v>33318.916666666672</v>
      </c>
      <c r="Q2821" s="120">
        <f t="shared" si="426"/>
        <v>39171.283333333333</v>
      </c>
      <c r="R2821" s="120">
        <f t="shared" si="426"/>
        <v>33958.916666666672</v>
      </c>
      <c r="S2821" s="120">
        <f t="shared" si="426"/>
        <v>33263.116666666676</v>
      </c>
      <c r="T2821" s="120">
        <f t="shared" si="426"/>
        <v>35892.583333333336</v>
      </c>
      <c r="U2821" s="120">
        <f t="shared" si="426"/>
        <v>35363.116666666676</v>
      </c>
      <c r="V2821" s="120">
        <f t="shared" si="426"/>
        <v>33939.416666666672</v>
      </c>
      <c r="W2821" s="120">
        <f t="shared" si="426"/>
        <v>36336.78333333334</v>
      </c>
      <c r="X2821" s="120">
        <f t="shared" si="426"/>
        <v>32818.916666666672</v>
      </c>
      <c r="Y2821" s="120">
        <f t="shared" si="426"/>
        <v>33263.116666666676</v>
      </c>
      <c r="Z2821" s="120">
        <f t="shared" si="426"/>
        <v>34918.916666666672</v>
      </c>
      <c r="AA2821" s="1216">
        <f t="shared" si="425"/>
        <v>417864.00000000006</v>
      </c>
      <c r="AB2821" s="1210"/>
      <c r="AC2821" s="1199"/>
      <c r="AD2821" s="1211"/>
    </row>
    <row r="2822" spans="1:30" x14ac:dyDescent="0.2">
      <c r="A2822" s="1422"/>
      <c r="B2822" s="2522">
        <v>5000120</v>
      </c>
      <c r="C2822" s="3190" t="s">
        <v>829</v>
      </c>
      <c r="D2822" s="2421">
        <v>88</v>
      </c>
      <c r="E2822" s="2421" t="s">
        <v>288</v>
      </c>
      <c r="F2822" s="2420" t="s">
        <v>386</v>
      </c>
      <c r="G2822" s="2420" t="s">
        <v>387</v>
      </c>
      <c r="H2822" s="2420"/>
      <c r="I2822" s="2420" t="s">
        <v>780</v>
      </c>
      <c r="J2822" s="2514">
        <v>62160</v>
      </c>
      <c r="K2822" s="115">
        <v>56424</v>
      </c>
      <c r="L2822" s="115"/>
      <c r="M2822" s="3287" t="s">
        <v>293</v>
      </c>
      <c r="N2822" s="3288"/>
      <c r="O2822" s="41">
        <v>4702</v>
      </c>
      <c r="P2822" s="41">
        <v>4702</v>
      </c>
      <c r="Q2822" s="41">
        <v>4702</v>
      </c>
      <c r="R2822" s="41">
        <v>4702</v>
      </c>
      <c r="S2822" s="41">
        <v>4702</v>
      </c>
      <c r="T2822" s="41">
        <v>4702</v>
      </c>
      <c r="U2822" s="41">
        <v>4702</v>
      </c>
      <c r="V2822" s="41">
        <v>4702</v>
      </c>
      <c r="W2822" s="41">
        <v>4702</v>
      </c>
      <c r="X2822" s="41">
        <v>4702</v>
      </c>
      <c r="Y2822" s="41">
        <v>4702</v>
      </c>
      <c r="Z2822" s="41">
        <v>4702</v>
      </c>
      <c r="AA2822" s="1217">
        <f t="shared" si="425"/>
        <v>56424</v>
      </c>
      <c r="AB2822" s="1210"/>
      <c r="AC2822" s="1199"/>
      <c r="AD2822" s="1211"/>
    </row>
    <row r="2823" spans="1:30" x14ac:dyDescent="0.2">
      <c r="A2823" s="1422"/>
      <c r="B2823" s="2522"/>
      <c r="C2823" s="3191"/>
      <c r="D2823" s="2421"/>
      <c r="E2823" s="2421"/>
      <c r="F2823" s="2420"/>
      <c r="G2823" s="2420"/>
      <c r="H2823" s="2420"/>
      <c r="I2823" s="2420"/>
      <c r="J2823" s="2515"/>
      <c r="K2823" s="115">
        <v>135360</v>
      </c>
      <c r="L2823" s="115"/>
      <c r="M2823" s="3287" t="s">
        <v>295</v>
      </c>
      <c r="N2823" s="3288"/>
      <c r="O2823" s="41">
        <v>11280</v>
      </c>
      <c r="P2823" s="41">
        <v>11280</v>
      </c>
      <c r="Q2823" s="41">
        <v>11280</v>
      </c>
      <c r="R2823" s="41">
        <v>11280</v>
      </c>
      <c r="S2823" s="41">
        <v>11280</v>
      </c>
      <c r="T2823" s="41">
        <v>11280</v>
      </c>
      <c r="U2823" s="41">
        <v>11280</v>
      </c>
      <c r="V2823" s="41">
        <v>11280</v>
      </c>
      <c r="W2823" s="41">
        <v>11280</v>
      </c>
      <c r="X2823" s="41">
        <v>11280</v>
      </c>
      <c r="Y2823" s="41">
        <v>11280</v>
      </c>
      <c r="Z2823" s="41">
        <v>11280</v>
      </c>
      <c r="AA2823" s="1217">
        <f t="shared" si="425"/>
        <v>135360</v>
      </c>
      <c r="AB2823" s="1210"/>
      <c r="AC2823" s="1199"/>
      <c r="AD2823" s="1211"/>
    </row>
    <row r="2824" spans="1:30" x14ac:dyDescent="0.2">
      <c r="A2824" s="1422"/>
      <c r="B2824" s="2522"/>
      <c r="C2824" s="3191"/>
      <c r="D2824" s="2421"/>
      <c r="E2824" s="2421"/>
      <c r="F2824" s="2420"/>
      <c r="G2824" s="2420"/>
      <c r="H2824" s="2420"/>
      <c r="I2824" s="2420"/>
      <c r="J2824" s="2515"/>
      <c r="K2824" s="115">
        <v>80984</v>
      </c>
      <c r="L2824" s="115"/>
      <c r="M2824" s="3287" t="s">
        <v>296</v>
      </c>
      <c r="N2824" s="3288"/>
      <c r="O2824" s="41">
        <v>6748.666666666667</v>
      </c>
      <c r="P2824" s="41">
        <v>6748.666666666667</v>
      </c>
      <c r="Q2824" s="41">
        <v>6748.666666666667</v>
      </c>
      <c r="R2824" s="41">
        <v>6748.666666666667</v>
      </c>
      <c r="S2824" s="41">
        <v>6748.666666666667</v>
      </c>
      <c r="T2824" s="41">
        <v>6748.666666666667</v>
      </c>
      <c r="U2824" s="41">
        <v>6748.666666666667</v>
      </c>
      <c r="V2824" s="41">
        <v>6748.666666666667</v>
      </c>
      <c r="W2824" s="41">
        <v>6748.666666666667</v>
      </c>
      <c r="X2824" s="41">
        <v>6748.666666666667</v>
      </c>
      <c r="Y2824" s="41">
        <v>6748.666666666667</v>
      </c>
      <c r="Z2824" s="41">
        <v>6748.666666666667</v>
      </c>
      <c r="AA2824" s="1217">
        <f t="shared" si="425"/>
        <v>80984</v>
      </c>
      <c r="AB2824" s="1210"/>
      <c r="AC2824" s="1199"/>
      <c r="AD2824" s="1211"/>
    </row>
    <row r="2825" spans="1:30" x14ac:dyDescent="0.2">
      <c r="A2825" s="1422"/>
      <c r="B2825" s="2522"/>
      <c r="C2825" s="3191"/>
      <c r="D2825" s="2421"/>
      <c r="E2825" s="2421"/>
      <c r="F2825" s="2420"/>
      <c r="G2825" s="2420"/>
      <c r="H2825" s="2420"/>
      <c r="I2825" s="2420"/>
      <c r="J2825" s="2515"/>
      <c r="K2825" s="115">
        <v>59556</v>
      </c>
      <c r="L2825" s="115"/>
      <c r="M2825" s="3287" t="s">
        <v>297</v>
      </c>
      <c r="N2825" s="3288"/>
      <c r="O2825" s="41">
        <v>4963</v>
      </c>
      <c r="P2825" s="41">
        <v>4963</v>
      </c>
      <c r="Q2825" s="41">
        <v>4963</v>
      </c>
      <c r="R2825" s="41">
        <v>4963</v>
      </c>
      <c r="S2825" s="41">
        <v>4963</v>
      </c>
      <c r="T2825" s="41">
        <v>4963</v>
      </c>
      <c r="U2825" s="41">
        <v>4963</v>
      </c>
      <c r="V2825" s="41">
        <v>4963</v>
      </c>
      <c r="W2825" s="41">
        <v>4963</v>
      </c>
      <c r="X2825" s="41">
        <v>4963</v>
      </c>
      <c r="Y2825" s="41">
        <v>4963</v>
      </c>
      <c r="Z2825" s="41">
        <v>4963</v>
      </c>
      <c r="AA2825" s="1217">
        <f t="shared" si="425"/>
        <v>59556</v>
      </c>
      <c r="AB2825" s="1210"/>
      <c r="AC2825" s="1199"/>
      <c r="AD2825" s="1211"/>
    </row>
    <row r="2826" spans="1:30" x14ac:dyDescent="0.2">
      <c r="A2826" s="1422"/>
      <c r="B2826" s="2522"/>
      <c r="C2826" s="3191"/>
      <c r="D2826" s="2421"/>
      <c r="E2826" s="2421"/>
      <c r="F2826" s="2420"/>
      <c r="G2826" s="2420"/>
      <c r="H2826" s="2420"/>
      <c r="I2826" s="2420"/>
      <c r="J2826" s="2515"/>
      <c r="K2826" s="115">
        <v>4200</v>
      </c>
      <c r="L2826" s="115"/>
      <c r="M2826" s="3287" t="s">
        <v>298</v>
      </c>
      <c r="N2826" s="3288"/>
      <c r="O2826" s="41"/>
      <c r="P2826" s="41"/>
      <c r="Q2826" s="41"/>
      <c r="R2826" s="41"/>
      <c r="S2826" s="41"/>
      <c r="T2826" s="41"/>
      <c r="U2826" s="41">
        <v>2100</v>
      </c>
      <c r="V2826" s="41"/>
      <c r="W2826" s="41"/>
      <c r="X2826" s="41"/>
      <c r="Y2826" s="41"/>
      <c r="Z2826" s="41">
        <v>2100</v>
      </c>
      <c r="AA2826" s="1217">
        <f t="shared" si="425"/>
        <v>4200</v>
      </c>
      <c r="AB2826" s="1210"/>
      <c r="AC2826" s="1199"/>
      <c r="AD2826" s="1211"/>
    </row>
    <row r="2827" spans="1:30" x14ac:dyDescent="0.2">
      <c r="A2827" s="1422"/>
      <c r="B2827" s="2522"/>
      <c r="C2827" s="3191"/>
      <c r="D2827" s="2421"/>
      <c r="E2827" s="2421"/>
      <c r="F2827" s="2420"/>
      <c r="G2827" s="2420"/>
      <c r="H2827" s="2420"/>
      <c r="I2827" s="2420"/>
      <c r="J2827" s="2515"/>
      <c r="K2827" s="115">
        <v>2800</v>
      </c>
      <c r="L2827" s="115"/>
      <c r="M2827" s="3287" t="s">
        <v>299</v>
      </c>
      <c r="N2827" s="3288"/>
      <c r="O2827" s="41">
        <v>2800</v>
      </c>
      <c r="P2827" s="41"/>
      <c r="Q2827" s="41"/>
      <c r="R2827" s="41"/>
      <c r="S2827" s="41"/>
      <c r="T2827" s="41"/>
      <c r="U2827" s="41"/>
      <c r="V2827" s="41"/>
      <c r="W2827" s="41"/>
      <c r="X2827" s="41"/>
      <c r="Y2827" s="41"/>
      <c r="Z2827" s="41"/>
      <c r="AA2827" s="1217">
        <f t="shared" si="425"/>
        <v>2800</v>
      </c>
      <c r="AB2827" s="1210"/>
      <c r="AC2827" s="1199"/>
      <c r="AD2827" s="1211"/>
    </row>
    <row r="2828" spans="1:30" x14ac:dyDescent="0.2">
      <c r="A2828" s="1422"/>
      <c r="B2828" s="2522"/>
      <c r="C2828" s="3191"/>
      <c r="D2828" s="2421"/>
      <c r="E2828" s="2421"/>
      <c r="F2828" s="2420"/>
      <c r="G2828" s="2420"/>
      <c r="H2828" s="2420"/>
      <c r="I2828" s="2420"/>
      <c r="J2828" s="2515"/>
      <c r="K2828" s="115">
        <v>15348</v>
      </c>
      <c r="L2828" s="115"/>
      <c r="M2828" s="3287" t="s">
        <v>300</v>
      </c>
      <c r="N2828" s="3288"/>
      <c r="O2828" s="41">
        <v>1279</v>
      </c>
      <c r="P2828" s="41">
        <v>1279</v>
      </c>
      <c r="Q2828" s="41">
        <v>1279</v>
      </c>
      <c r="R2828" s="41">
        <v>1279</v>
      </c>
      <c r="S2828" s="41">
        <v>1279</v>
      </c>
      <c r="T2828" s="41">
        <v>1279</v>
      </c>
      <c r="U2828" s="41">
        <v>1279</v>
      </c>
      <c r="V2828" s="41">
        <v>1279</v>
      </c>
      <c r="W2828" s="41">
        <v>1279</v>
      </c>
      <c r="X2828" s="41">
        <v>1279</v>
      </c>
      <c r="Y2828" s="41">
        <v>1279</v>
      </c>
      <c r="Z2828" s="41">
        <v>1279</v>
      </c>
      <c r="AA2828" s="1217">
        <f t="shared" si="425"/>
        <v>15348</v>
      </c>
      <c r="AB2828" s="1210"/>
      <c r="AC2828" s="1199"/>
      <c r="AD2828" s="1211"/>
    </row>
    <row r="2829" spans="1:30" x14ac:dyDescent="0.2">
      <c r="A2829" s="1422"/>
      <c r="B2829" s="2522"/>
      <c r="C2829" s="3191"/>
      <c r="D2829" s="2421"/>
      <c r="E2829" s="2421"/>
      <c r="F2829" s="2420"/>
      <c r="G2829" s="2420"/>
      <c r="H2829" s="2420"/>
      <c r="I2829" s="2420"/>
      <c r="J2829" s="2515"/>
      <c r="K2829" s="115">
        <v>245</v>
      </c>
      <c r="L2829" s="115"/>
      <c r="M2829" s="3287" t="s">
        <v>301</v>
      </c>
      <c r="N2829" s="3288"/>
      <c r="O2829" s="41">
        <v>20.416666666666668</v>
      </c>
      <c r="P2829" s="41">
        <v>20.416666666666668</v>
      </c>
      <c r="Q2829" s="41">
        <v>20.416666666666668</v>
      </c>
      <c r="R2829" s="41">
        <v>20.416666666666668</v>
      </c>
      <c r="S2829" s="41">
        <v>20.416666666666668</v>
      </c>
      <c r="T2829" s="41">
        <v>20.416666666666668</v>
      </c>
      <c r="U2829" s="41">
        <v>20.416666666666668</v>
      </c>
      <c r="V2829" s="41">
        <v>20.416666666666668</v>
      </c>
      <c r="W2829" s="41">
        <v>20.416666666666668</v>
      </c>
      <c r="X2829" s="41">
        <v>20.416666666666668</v>
      </c>
      <c r="Y2829" s="41">
        <v>20.416666666666668</v>
      </c>
      <c r="Z2829" s="41">
        <v>20.416666666666668</v>
      </c>
      <c r="AA2829" s="1217">
        <f t="shared" si="425"/>
        <v>244.99999999999997</v>
      </c>
      <c r="AB2829" s="1210"/>
      <c r="AC2829" s="1199"/>
      <c r="AD2829" s="1211"/>
    </row>
    <row r="2830" spans="1:30" x14ac:dyDescent="0.2">
      <c r="A2830" s="1422"/>
      <c r="B2830" s="2522"/>
      <c r="C2830" s="3191"/>
      <c r="D2830" s="2421"/>
      <c r="E2830" s="2421"/>
      <c r="F2830" s="2420"/>
      <c r="G2830" s="2420"/>
      <c r="H2830" s="2420"/>
      <c r="I2830" s="2420"/>
      <c r="J2830" s="2515"/>
      <c r="K2830" s="115">
        <v>2241</v>
      </c>
      <c r="L2830" s="115"/>
      <c r="M2830" s="3287" t="s">
        <v>303</v>
      </c>
      <c r="N2830" s="3288"/>
      <c r="O2830" s="41"/>
      <c r="P2830" s="41"/>
      <c r="Q2830" s="41">
        <v>1120.5</v>
      </c>
      <c r="R2830" s="41"/>
      <c r="S2830" s="41"/>
      <c r="T2830" s="41"/>
      <c r="U2830" s="41"/>
      <c r="V2830" s="41">
        <v>1120.5</v>
      </c>
      <c r="W2830" s="41"/>
      <c r="X2830" s="41"/>
      <c r="Y2830" s="41"/>
      <c r="Z2830" s="41"/>
      <c r="AA2830" s="1217">
        <f t="shared" si="425"/>
        <v>2241</v>
      </c>
      <c r="AB2830" s="1210"/>
      <c r="AC2830" s="1199"/>
      <c r="AD2830" s="1211"/>
    </row>
    <row r="2831" spans="1:30" x14ac:dyDescent="0.2">
      <c r="A2831" s="1422"/>
      <c r="B2831" s="2522"/>
      <c r="C2831" s="3191"/>
      <c r="D2831" s="2421"/>
      <c r="E2831" s="2421"/>
      <c r="F2831" s="2420"/>
      <c r="G2831" s="2420"/>
      <c r="H2831" s="2420"/>
      <c r="I2831" s="2420"/>
      <c r="J2831" s="2515"/>
      <c r="K2831" s="115">
        <v>500</v>
      </c>
      <c r="L2831" s="115"/>
      <c r="M2831" s="3287" t="s">
        <v>324</v>
      </c>
      <c r="N2831" s="3288"/>
      <c r="O2831" s="41"/>
      <c r="P2831" s="41">
        <v>500</v>
      </c>
      <c r="Q2831" s="41"/>
      <c r="R2831" s="41"/>
      <c r="S2831" s="41"/>
      <c r="T2831" s="41"/>
      <c r="U2831" s="41"/>
      <c r="V2831" s="41"/>
      <c r="W2831" s="41"/>
      <c r="X2831" s="41"/>
      <c r="Y2831" s="41"/>
      <c r="Z2831" s="41"/>
      <c r="AA2831" s="1217">
        <f t="shared" si="425"/>
        <v>500</v>
      </c>
      <c r="AB2831" s="1210"/>
      <c r="AC2831" s="1199"/>
      <c r="AD2831" s="1211"/>
    </row>
    <row r="2832" spans="1:30" x14ac:dyDescent="0.2">
      <c r="A2832" s="1422"/>
      <c r="B2832" s="2522"/>
      <c r="C2832" s="3191"/>
      <c r="D2832" s="2421"/>
      <c r="E2832" s="2421"/>
      <c r="F2832" s="2420"/>
      <c r="G2832" s="2420"/>
      <c r="H2832" s="2420"/>
      <c r="I2832" s="2420"/>
      <c r="J2832" s="2515"/>
      <c r="K2832" s="115">
        <v>9221</v>
      </c>
      <c r="L2832" s="115"/>
      <c r="M2832" s="3287" t="s">
        <v>304</v>
      </c>
      <c r="N2832" s="3288"/>
      <c r="O2832" s="41"/>
      <c r="P2832" s="41"/>
      <c r="Q2832" s="41">
        <v>3073.6666666666665</v>
      </c>
      <c r="R2832" s="41"/>
      <c r="S2832" s="41"/>
      <c r="T2832" s="41">
        <v>3073.6666666666665</v>
      </c>
      <c r="U2832" s="41"/>
      <c r="V2832" s="41"/>
      <c r="W2832" s="41">
        <v>3073.6666666666665</v>
      </c>
      <c r="X2832" s="41"/>
      <c r="Y2832" s="41"/>
      <c r="Z2832" s="41"/>
      <c r="AA2832" s="1217">
        <f t="shared" si="425"/>
        <v>9221</v>
      </c>
      <c r="AB2832" s="1210"/>
      <c r="AC2832" s="1199"/>
      <c r="AD2832" s="1211"/>
    </row>
    <row r="2833" spans="1:30" x14ac:dyDescent="0.2">
      <c r="A2833" s="1422"/>
      <c r="B2833" s="2522"/>
      <c r="C2833" s="3191"/>
      <c r="D2833" s="2421"/>
      <c r="E2833" s="2421"/>
      <c r="F2833" s="2420"/>
      <c r="G2833" s="2420"/>
      <c r="H2833" s="2420"/>
      <c r="I2833" s="2420"/>
      <c r="J2833" s="2515"/>
      <c r="K2833" s="115">
        <v>1414</v>
      </c>
      <c r="L2833" s="115"/>
      <c r="M2833" s="3287" t="s">
        <v>830</v>
      </c>
      <c r="N2833" s="3288"/>
      <c r="O2833" s="41"/>
      <c r="P2833" s="41"/>
      <c r="Q2833" s="41">
        <v>1414</v>
      </c>
      <c r="R2833" s="41"/>
      <c r="S2833" s="41"/>
      <c r="T2833" s="41"/>
      <c r="U2833" s="41"/>
      <c r="V2833" s="41"/>
      <c r="W2833" s="41"/>
      <c r="X2833" s="41"/>
      <c r="Y2833" s="41"/>
      <c r="Z2833" s="41"/>
      <c r="AA2833" s="1217">
        <f t="shared" si="425"/>
        <v>1414</v>
      </c>
      <c r="AB2833" s="1210"/>
      <c r="AC2833" s="1199"/>
      <c r="AD2833" s="1211"/>
    </row>
    <row r="2834" spans="1:30" x14ac:dyDescent="0.2">
      <c r="A2834" s="1422"/>
      <c r="B2834" s="2522"/>
      <c r="C2834" s="3191"/>
      <c r="D2834" s="2421"/>
      <c r="E2834" s="2421"/>
      <c r="F2834" s="2420"/>
      <c r="G2834" s="2420"/>
      <c r="H2834" s="2420"/>
      <c r="I2834" s="2420"/>
      <c r="J2834" s="2515"/>
      <c r="K2834" s="115">
        <v>300</v>
      </c>
      <c r="L2834" s="115"/>
      <c r="M2834" s="3287" t="s">
        <v>355</v>
      </c>
      <c r="N2834" s="3288"/>
      <c r="O2834" s="41"/>
      <c r="P2834" s="41"/>
      <c r="Q2834" s="41">
        <v>300</v>
      </c>
      <c r="R2834" s="41"/>
      <c r="S2834" s="41"/>
      <c r="T2834" s="41"/>
      <c r="U2834" s="41"/>
      <c r="V2834" s="41"/>
      <c r="W2834" s="41"/>
      <c r="X2834" s="41"/>
      <c r="Y2834" s="41"/>
      <c r="Z2834" s="41"/>
      <c r="AA2834" s="1217">
        <f t="shared" si="425"/>
        <v>300</v>
      </c>
      <c r="AB2834" s="1210"/>
      <c r="AC2834" s="1199"/>
      <c r="AD2834" s="1211"/>
    </row>
    <row r="2835" spans="1:30" x14ac:dyDescent="0.2">
      <c r="A2835" s="1422"/>
      <c r="B2835" s="2522"/>
      <c r="C2835" s="3191"/>
      <c r="D2835" s="2421"/>
      <c r="E2835" s="2421"/>
      <c r="F2835" s="2420"/>
      <c r="G2835" s="2420"/>
      <c r="H2835" s="2420"/>
      <c r="I2835" s="2420"/>
      <c r="J2835" s="2515"/>
      <c r="K2835" s="115">
        <v>1140</v>
      </c>
      <c r="L2835" s="115"/>
      <c r="M2835" s="3287" t="s">
        <v>308</v>
      </c>
      <c r="N2835" s="3288"/>
      <c r="O2835" s="41"/>
      <c r="P2835" s="41"/>
      <c r="Q2835" s="41"/>
      <c r="R2835" s="41">
        <v>1140</v>
      </c>
      <c r="S2835" s="41"/>
      <c r="T2835" s="41"/>
      <c r="U2835" s="41"/>
      <c r="V2835" s="41"/>
      <c r="W2835" s="41"/>
      <c r="X2835" s="41"/>
      <c r="Y2835" s="41"/>
      <c r="Z2835" s="41"/>
      <c r="AA2835" s="1217">
        <f t="shared" si="425"/>
        <v>1140</v>
      </c>
      <c r="AB2835" s="1210"/>
      <c r="AC2835" s="1199"/>
      <c r="AD2835" s="1211"/>
    </row>
    <row r="2836" spans="1:30" x14ac:dyDescent="0.2">
      <c r="A2836" s="1422"/>
      <c r="B2836" s="2522"/>
      <c r="C2836" s="3191"/>
      <c r="D2836" s="2421"/>
      <c r="E2836" s="2421"/>
      <c r="F2836" s="2420"/>
      <c r="G2836" s="2420"/>
      <c r="H2836" s="2420"/>
      <c r="I2836" s="2420"/>
      <c r="J2836" s="2515"/>
      <c r="K2836" s="115">
        <v>2221</v>
      </c>
      <c r="L2836" s="115"/>
      <c r="M2836" s="3287" t="s">
        <v>309</v>
      </c>
      <c r="N2836" s="3288"/>
      <c r="O2836" s="41"/>
      <c r="P2836" s="41"/>
      <c r="Q2836" s="41">
        <v>444.2</v>
      </c>
      <c r="R2836" s="41"/>
      <c r="S2836" s="41">
        <v>444.2</v>
      </c>
      <c r="T2836" s="41"/>
      <c r="U2836" s="41">
        <v>444.2</v>
      </c>
      <c r="V2836" s="41"/>
      <c r="W2836" s="41">
        <v>444.2</v>
      </c>
      <c r="X2836" s="41"/>
      <c r="Y2836" s="41">
        <v>444.2</v>
      </c>
      <c r="Z2836" s="41"/>
      <c r="AA2836" s="1217">
        <f t="shared" si="425"/>
        <v>2221</v>
      </c>
      <c r="AB2836" s="1210"/>
      <c r="AC2836" s="1199"/>
      <c r="AD2836" s="1211"/>
    </row>
    <row r="2837" spans="1:30" x14ac:dyDescent="0.2">
      <c r="A2837" s="1422"/>
      <c r="B2837" s="2522"/>
      <c r="C2837" s="3191"/>
      <c r="D2837" s="2421"/>
      <c r="E2837" s="2421"/>
      <c r="F2837" s="2420"/>
      <c r="G2837" s="2420"/>
      <c r="H2837" s="2420"/>
      <c r="I2837" s="2420"/>
      <c r="J2837" s="2515"/>
      <c r="K2837" s="115">
        <v>44100</v>
      </c>
      <c r="L2837" s="115"/>
      <c r="M2837" s="3287" t="s">
        <v>310</v>
      </c>
      <c r="N2837" s="3288"/>
      <c r="O2837" s="41">
        <v>3675</v>
      </c>
      <c r="P2837" s="41">
        <v>3675</v>
      </c>
      <c r="Q2837" s="41">
        <v>3675</v>
      </c>
      <c r="R2837" s="41">
        <v>3675</v>
      </c>
      <c r="S2837" s="41">
        <v>3675</v>
      </c>
      <c r="T2837" s="41">
        <v>3675</v>
      </c>
      <c r="U2837" s="41">
        <v>3675</v>
      </c>
      <c r="V2837" s="41">
        <v>3675</v>
      </c>
      <c r="W2837" s="41">
        <v>3675</v>
      </c>
      <c r="X2837" s="41">
        <v>3675</v>
      </c>
      <c r="Y2837" s="41">
        <v>3675</v>
      </c>
      <c r="Z2837" s="41">
        <v>3675</v>
      </c>
      <c r="AA2837" s="1217">
        <f t="shared" si="425"/>
        <v>44100</v>
      </c>
      <c r="AB2837" s="1210"/>
      <c r="AC2837" s="1199"/>
      <c r="AD2837" s="1211"/>
    </row>
    <row r="2838" spans="1:30" x14ac:dyDescent="0.2">
      <c r="A2838" s="1422"/>
      <c r="B2838" s="2522"/>
      <c r="C2838" s="2439"/>
      <c r="D2838" s="2421"/>
      <c r="E2838" s="2421"/>
      <c r="F2838" s="2420"/>
      <c r="G2838" s="2420"/>
      <c r="H2838" s="2420"/>
      <c r="I2838" s="2420"/>
      <c r="J2838" s="2516"/>
      <c r="K2838" s="115">
        <v>1810</v>
      </c>
      <c r="L2838" s="115"/>
      <c r="M2838" s="3287" t="s">
        <v>311</v>
      </c>
      <c r="N2838" s="3288"/>
      <c r="O2838" s="41">
        <v>150.83333333333334</v>
      </c>
      <c r="P2838" s="41">
        <v>150.83333333333334</v>
      </c>
      <c r="Q2838" s="41">
        <v>150.83333333333334</v>
      </c>
      <c r="R2838" s="41">
        <v>150.83333333333334</v>
      </c>
      <c r="S2838" s="41">
        <v>150.83333333333334</v>
      </c>
      <c r="T2838" s="41">
        <v>150.83333333333334</v>
      </c>
      <c r="U2838" s="41">
        <v>150.83333333333334</v>
      </c>
      <c r="V2838" s="41">
        <v>150.83333333333334</v>
      </c>
      <c r="W2838" s="41">
        <v>150.83333333333334</v>
      </c>
      <c r="X2838" s="41">
        <v>150.83333333333334</v>
      </c>
      <c r="Y2838" s="41">
        <v>150.83333333333334</v>
      </c>
      <c r="Z2838" s="41">
        <v>150.83333333333334</v>
      </c>
      <c r="AA2838" s="1217">
        <f t="shared" si="425"/>
        <v>1809.9999999999998</v>
      </c>
      <c r="AB2838" s="1210"/>
      <c r="AC2838" s="1199"/>
      <c r="AD2838" s="1211"/>
    </row>
    <row r="2839" spans="1:30" x14ac:dyDescent="0.2">
      <c r="A2839" s="1422"/>
      <c r="B2839" s="1427" t="s">
        <v>312</v>
      </c>
      <c r="C2839" s="1273"/>
      <c r="D2839" s="38"/>
      <c r="E2839" s="38"/>
      <c r="F2839" s="38"/>
      <c r="G2839" s="38"/>
      <c r="H2839" s="38"/>
      <c r="I2839" s="38"/>
      <c r="J2839" s="38"/>
      <c r="K2839" s="38">
        <f>SUM(K2822:K2838)</f>
        <v>417864</v>
      </c>
      <c r="L2839" s="38"/>
      <c r="M2839" s="125"/>
      <c r="N2839" s="125"/>
      <c r="O2839" s="38"/>
      <c r="P2839" s="38"/>
      <c r="Q2839" s="38"/>
      <c r="R2839" s="38"/>
      <c r="S2839" s="38"/>
      <c r="T2839" s="38"/>
      <c r="U2839" s="38"/>
      <c r="V2839" s="38"/>
      <c r="W2839" s="38"/>
      <c r="X2839" s="38"/>
      <c r="Y2839" s="38"/>
      <c r="Z2839" s="38"/>
      <c r="AA2839" s="1234"/>
      <c r="AB2839" s="1210"/>
      <c r="AC2839" s="1199"/>
      <c r="AD2839" s="1211"/>
    </row>
    <row r="2840" spans="1:30" ht="22.5" x14ac:dyDescent="0.2">
      <c r="A2840" s="1422"/>
      <c r="B2840" s="1433" t="s">
        <v>276</v>
      </c>
      <c r="C2840" s="1121"/>
      <c r="D2840" s="1119">
        <v>3044198</v>
      </c>
      <c r="E2840" s="192" t="s">
        <v>831</v>
      </c>
      <c r="F2840" s="35"/>
      <c r="G2840" s="35"/>
      <c r="H2840" s="35"/>
      <c r="I2840" s="35"/>
      <c r="J2840" s="35"/>
      <c r="K2840" s="60"/>
      <c r="L2840" s="60"/>
      <c r="M2840" s="200"/>
      <c r="N2840" s="200"/>
      <c r="O2840" s="60"/>
      <c r="P2840" s="60"/>
      <c r="Q2840" s="60"/>
      <c r="R2840" s="60"/>
      <c r="S2840" s="60"/>
      <c r="T2840" s="3333" t="s">
        <v>15</v>
      </c>
      <c r="U2840" s="3333"/>
      <c r="V2840" s="3333"/>
      <c r="W2840" s="3333"/>
      <c r="X2840" s="3333"/>
      <c r="Y2840" s="3333"/>
      <c r="Z2840" s="3333"/>
      <c r="AA2840" s="1215" t="s">
        <v>16</v>
      </c>
      <c r="AB2840" s="1210"/>
      <c r="AC2840" s="1199"/>
      <c r="AD2840" s="1211"/>
    </row>
    <row r="2841" spans="1:30" x14ac:dyDescent="0.2">
      <c r="A2841" s="1422"/>
      <c r="B2841" s="1433"/>
      <c r="C2841" s="1121"/>
      <c r="D2841" s="1119"/>
      <c r="E2841" s="192"/>
      <c r="F2841" s="35"/>
      <c r="G2841" s="35"/>
      <c r="H2841" s="35"/>
      <c r="I2841" s="35"/>
      <c r="J2841" s="35"/>
      <c r="K2841" s="60"/>
      <c r="L2841" s="60"/>
      <c r="M2841" s="200"/>
      <c r="N2841" s="200"/>
      <c r="O2841" s="60"/>
      <c r="P2841" s="60"/>
      <c r="Q2841" s="60"/>
      <c r="R2841" s="60"/>
      <c r="S2841" s="60"/>
      <c r="T2841" s="3333" t="s">
        <v>832</v>
      </c>
      <c r="U2841" s="3333"/>
      <c r="V2841" s="3333"/>
      <c r="W2841" s="3333"/>
      <c r="X2841" s="3333"/>
      <c r="Y2841" s="3333"/>
      <c r="Z2841" s="3333"/>
      <c r="AA2841" s="1214" t="s">
        <v>661</v>
      </c>
      <c r="AB2841" s="1210"/>
      <c r="AC2841" s="1199"/>
      <c r="AD2841" s="1211"/>
    </row>
    <row r="2842" spans="1:30" x14ac:dyDescent="0.2">
      <c r="A2842" s="1422"/>
      <c r="B2842" s="2999" t="s">
        <v>278</v>
      </c>
      <c r="C2842" s="3015" t="s">
        <v>21</v>
      </c>
      <c r="D2842" s="2847" t="s">
        <v>22</v>
      </c>
      <c r="E2842" s="2847" t="s">
        <v>23</v>
      </c>
      <c r="F2842" s="2847" t="s">
        <v>24</v>
      </c>
      <c r="G2842" s="2847" t="s">
        <v>25</v>
      </c>
      <c r="H2842" s="2847" t="s">
        <v>26</v>
      </c>
      <c r="I2842" s="2847" t="s">
        <v>27</v>
      </c>
      <c r="J2842" s="3206" t="s">
        <v>28</v>
      </c>
      <c r="K2842" s="3301"/>
      <c r="L2842" s="2987" t="s">
        <v>279</v>
      </c>
      <c r="M2842" s="3273" t="s">
        <v>280</v>
      </c>
      <c r="N2842" s="3274"/>
      <c r="O2842" s="2847" t="s">
        <v>281</v>
      </c>
      <c r="P2842" s="2847"/>
      <c r="Q2842" s="2847"/>
      <c r="R2842" s="2847"/>
      <c r="S2842" s="2847"/>
      <c r="T2842" s="2847"/>
      <c r="U2842" s="2847"/>
      <c r="V2842" s="2847"/>
      <c r="W2842" s="2847"/>
      <c r="X2842" s="2847"/>
      <c r="Y2842" s="2847"/>
      <c r="Z2842" s="2847"/>
      <c r="AA2842" s="3358" t="s">
        <v>32</v>
      </c>
      <c r="AB2842" s="1210"/>
      <c r="AC2842" s="1199"/>
      <c r="AD2842" s="1211"/>
    </row>
    <row r="2843" spans="1:30" x14ac:dyDescent="0.2">
      <c r="A2843" s="1422"/>
      <c r="B2843" s="2999"/>
      <c r="C2843" s="3359"/>
      <c r="D2843" s="2847"/>
      <c r="E2843" s="2847"/>
      <c r="F2843" s="2847"/>
      <c r="G2843" s="2847"/>
      <c r="H2843" s="2847"/>
      <c r="I2843" s="2847"/>
      <c r="J2843" s="2988" t="s">
        <v>33</v>
      </c>
      <c r="K2843" s="2988" t="s">
        <v>282</v>
      </c>
      <c r="L2843" s="3341"/>
      <c r="M2843" s="3275"/>
      <c r="N2843" s="3276"/>
      <c r="O2843" s="1009" t="s">
        <v>283</v>
      </c>
      <c r="P2843" s="1009" t="s">
        <v>284</v>
      </c>
      <c r="Q2843" s="1009" t="s">
        <v>285</v>
      </c>
      <c r="R2843" s="1009" t="s">
        <v>88</v>
      </c>
      <c r="S2843" s="1009" t="s">
        <v>89</v>
      </c>
      <c r="T2843" s="1009" t="s">
        <v>90</v>
      </c>
      <c r="U2843" s="1009" t="s">
        <v>91</v>
      </c>
      <c r="V2843" s="1009" t="s">
        <v>92</v>
      </c>
      <c r="W2843" s="1009" t="s">
        <v>286</v>
      </c>
      <c r="X2843" s="1009" t="s">
        <v>93</v>
      </c>
      <c r="Y2843" s="1009" t="s">
        <v>94</v>
      </c>
      <c r="Z2843" s="1009" t="s">
        <v>95</v>
      </c>
      <c r="AA2843" s="3358"/>
      <c r="AB2843" s="1210"/>
      <c r="AC2843" s="1199"/>
      <c r="AD2843" s="1211"/>
    </row>
    <row r="2844" spans="1:30" x14ac:dyDescent="0.2">
      <c r="A2844" s="1422"/>
      <c r="B2844" s="2999"/>
      <c r="C2844" s="3359"/>
      <c r="D2844" s="2847"/>
      <c r="E2844" s="2847"/>
      <c r="F2844" s="2847"/>
      <c r="G2844" s="2847"/>
      <c r="H2844" s="2847"/>
      <c r="I2844" s="2847"/>
      <c r="J2844" s="3186"/>
      <c r="K2844" s="3186"/>
      <c r="L2844" s="3341"/>
      <c r="M2844" s="3271" t="s">
        <v>287</v>
      </c>
      <c r="N2844" s="3272"/>
      <c r="O2844" s="1095">
        <v>545</v>
      </c>
      <c r="P2844" s="1095">
        <v>500</v>
      </c>
      <c r="Q2844" s="1095">
        <v>545</v>
      </c>
      <c r="R2844" s="1095">
        <v>545</v>
      </c>
      <c r="S2844" s="1095">
        <v>507</v>
      </c>
      <c r="T2844" s="1095">
        <v>545</v>
      </c>
      <c r="U2844" s="1095">
        <v>545</v>
      </c>
      <c r="V2844" s="1095">
        <v>545</v>
      </c>
      <c r="W2844" s="1095">
        <v>575</v>
      </c>
      <c r="X2844" s="1095">
        <v>545</v>
      </c>
      <c r="Y2844" s="1095">
        <v>545</v>
      </c>
      <c r="Z2844" s="1095">
        <v>545</v>
      </c>
      <c r="AA2844" s="1216">
        <f t="shared" ref="AA2844:AA2855" si="427">SUM(O2844:Z2844)</f>
        <v>6487</v>
      </c>
      <c r="AB2844" s="1210"/>
      <c r="AC2844" s="1199"/>
      <c r="AD2844" s="1211"/>
    </row>
    <row r="2845" spans="1:30" x14ac:dyDescent="0.2">
      <c r="A2845" s="1422"/>
      <c r="B2845" s="2999"/>
      <c r="C2845" s="3016"/>
      <c r="D2845" s="2847"/>
      <c r="E2845" s="2847"/>
      <c r="F2845" s="2847"/>
      <c r="G2845" s="2847"/>
      <c r="H2845" s="2847"/>
      <c r="I2845" s="2847"/>
      <c r="J2845" s="2989"/>
      <c r="K2845" s="2989"/>
      <c r="L2845" s="3341"/>
      <c r="M2845" s="3271" t="s">
        <v>34</v>
      </c>
      <c r="N2845" s="3272"/>
      <c r="O2845" s="120">
        <f>SUM(O2846:O2855)</f>
        <v>5332.3333333333339</v>
      </c>
      <c r="P2845" s="120">
        <f t="shared" ref="P2845:Z2845" si="428">SUM(P2846:P2855)</f>
        <v>4932.3333333333339</v>
      </c>
      <c r="Q2845" s="120">
        <f t="shared" si="428"/>
        <v>10232.333333333334</v>
      </c>
      <c r="R2845" s="120">
        <f t="shared" si="428"/>
        <v>14332.333333333334</v>
      </c>
      <c r="S2845" s="120">
        <f t="shared" si="428"/>
        <v>4932.3333333333339</v>
      </c>
      <c r="T2845" s="120">
        <f t="shared" si="428"/>
        <v>5732.3333333333339</v>
      </c>
      <c r="U2845" s="120">
        <f t="shared" si="428"/>
        <v>5259.3333333333339</v>
      </c>
      <c r="V2845" s="120">
        <f t="shared" si="428"/>
        <v>14332.333333333334</v>
      </c>
      <c r="W2845" s="120">
        <f t="shared" si="428"/>
        <v>4932.3333333333339</v>
      </c>
      <c r="X2845" s="120">
        <f t="shared" si="428"/>
        <v>5732.3333333333339</v>
      </c>
      <c r="Y2845" s="120">
        <f t="shared" si="428"/>
        <v>4932.3333333333339</v>
      </c>
      <c r="Z2845" s="120">
        <f t="shared" si="428"/>
        <v>6059.3333333333339</v>
      </c>
      <c r="AA2845" s="1216">
        <f t="shared" si="427"/>
        <v>86742</v>
      </c>
      <c r="AB2845" s="1210"/>
      <c r="AC2845" s="1199"/>
      <c r="AD2845" s="1211"/>
    </row>
    <row r="2846" spans="1:30" x14ac:dyDescent="0.2">
      <c r="A2846" s="1422"/>
      <c r="B2846" s="2522">
        <v>5000121</v>
      </c>
      <c r="C2846" s="3190" t="s">
        <v>833</v>
      </c>
      <c r="D2846" s="2421"/>
      <c r="E2846" s="2421" t="s">
        <v>288</v>
      </c>
      <c r="F2846" s="2420" t="s">
        <v>386</v>
      </c>
      <c r="G2846" s="2420" t="s">
        <v>387</v>
      </c>
      <c r="H2846" s="2420"/>
      <c r="I2846" s="2420" t="s">
        <v>780</v>
      </c>
      <c r="J2846" s="2514">
        <v>6487</v>
      </c>
      <c r="K2846" s="115">
        <v>9812</v>
      </c>
      <c r="L2846" s="115"/>
      <c r="M2846" s="3287" t="s">
        <v>319</v>
      </c>
      <c r="N2846" s="3288"/>
      <c r="O2846" s="41">
        <v>817.66666666666663</v>
      </c>
      <c r="P2846" s="41">
        <v>817.66666666666663</v>
      </c>
      <c r="Q2846" s="41">
        <v>817.66666666666663</v>
      </c>
      <c r="R2846" s="41">
        <v>817.66666666666663</v>
      </c>
      <c r="S2846" s="41">
        <v>817.66666666666663</v>
      </c>
      <c r="T2846" s="41">
        <v>817.66666666666663</v>
      </c>
      <c r="U2846" s="41">
        <v>817.66666666666663</v>
      </c>
      <c r="V2846" s="41">
        <v>817.66666666666663</v>
      </c>
      <c r="W2846" s="41">
        <v>817.66666666666663</v>
      </c>
      <c r="X2846" s="41">
        <v>817.66666666666663</v>
      </c>
      <c r="Y2846" s="41">
        <v>817.66666666666663</v>
      </c>
      <c r="Z2846" s="41">
        <v>817.66666666666663</v>
      </c>
      <c r="AA2846" s="1217">
        <f t="shared" si="427"/>
        <v>9812</v>
      </c>
      <c r="AB2846" s="1210"/>
      <c r="AC2846" s="1199"/>
      <c r="AD2846" s="1211"/>
    </row>
    <row r="2847" spans="1:30" x14ac:dyDescent="0.2">
      <c r="A2847" s="1422"/>
      <c r="B2847" s="2522"/>
      <c r="C2847" s="3191"/>
      <c r="D2847" s="2421"/>
      <c r="E2847" s="2421"/>
      <c r="F2847" s="2420"/>
      <c r="G2847" s="2420"/>
      <c r="H2847" s="2420"/>
      <c r="I2847" s="2420"/>
      <c r="J2847" s="2515"/>
      <c r="K2847" s="115">
        <v>20458</v>
      </c>
      <c r="L2847" s="115"/>
      <c r="M2847" s="3287" t="s">
        <v>409</v>
      </c>
      <c r="N2847" s="3288"/>
      <c r="O2847" s="41">
        <v>1704.8333333333333</v>
      </c>
      <c r="P2847" s="41">
        <v>1704.8333333333333</v>
      </c>
      <c r="Q2847" s="41">
        <v>1704.8333333333333</v>
      </c>
      <c r="R2847" s="41">
        <v>1704.8333333333333</v>
      </c>
      <c r="S2847" s="41">
        <v>1704.8333333333333</v>
      </c>
      <c r="T2847" s="41">
        <v>1704.8333333333333</v>
      </c>
      <c r="U2847" s="41">
        <v>1704.8333333333333</v>
      </c>
      <c r="V2847" s="41">
        <v>1704.8333333333333</v>
      </c>
      <c r="W2847" s="41">
        <v>1704.8333333333333</v>
      </c>
      <c r="X2847" s="41">
        <v>1704.8333333333333</v>
      </c>
      <c r="Y2847" s="41">
        <v>1704.8333333333333</v>
      </c>
      <c r="Z2847" s="41">
        <v>1704.8333333333333</v>
      </c>
      <c r="AA2847" s="1217">
        <f t="shared" si="427"/>
        <v>20458</v>
      </c>
      <c r="AB2847" s="1210"/>
      <c r="AC2847" s="1199"/>
      <c r="AD2847" s="1211"/>
    </row>
    <row r="2848" spans="1:30" x14ac:dyDescent="0.2">
      <c r="A2848" s="1422"/>
      <c r="B2848" s="2522"/>
      <c r="C2848" s="3191"/>
      <c r="D2848" s="2421"/>
      <c r="E2848" s="2421"/>
      <c r="F2848" s="2420"/>
      <c r="G2848" s="2420"/>
      <c r="H2848" s="2420"/>
      <c r="I2848" s="2420"/>
      <c r="J2848" s="2515"/>
      <c r="K2848" s="115">
        <v>28000</v>
      </c>
      <c r="L2848" s="115"/>
      <c r="M2848" s="3287" t="s">
        <v>293</v>
      </c>
      <c r="N2848" s="3288"/>
      <c r="O2848" s="41">
        <v>2333.3333333333335</v>
      </c>
      <c r="P2848" s="41">
        <v>2333.3333333333335</v>
      </c>
      <c r="Q2848" s="41">
        <v>2333.3333333333335</v>
      </c>
      <c r="R2848" s="41">
        <v>2333.3333333333335</v>
      </c>
      <c r="S2848" s="41">
        <v>2333.3333333333335</v>
      </c>
      <c r="T2848" s="41">
        <v>2333.3333333333335</v>
      </c>
      <c r="U2848" s="41">
        <v>2333.3333333333335</v>
      </c>
      <c r="V2848" s="41">
        <v>2333.3333333333335</v>
      </c>
      <c r="W2848" s="41">
        <v>2333.3333333333335</v>
      </c>
      <c r="X2848" s="41">
        <v>2333.3333333333335</v>
      </c>
      <c r="Y2848" s="41">
        <v>2333.3333333333335</v>
      </c>
      <c r="Z2848" s="41">
        <v>2333.3333333333335</v>
      </c>
      <c r="AA2848" s="1217">
        <f t="shared" si="427"/>
        <v>27999.999999999996</v>
      </c>
      <c r="AB2848" s="1210"/>
      <c r="AC2848" s="1199"/>
      <c r="AD2848" s="1211"/>
    </row>
    <row r="2849" spans="1:30" x14ac:dyDescent="0.2">
      <c r="A2849" s="1422"/>
      <c r="B2849" s="2522"/>
      <c r="C2849" s="3191"/>
      <c r="D2849" s="2421"/>
      <c r="E2849" s="2421"/>
      <c r="F2849" s="2420"/>
      <c r="G2849" s="2420"/>
      <c r="H2849" s="2420"/>
      <c r="I2849" s="2420"/>
      <c r="J2849" s="2515"/>
      <c r="K2849" s="115">
        <v>654</v>
      </c>
      <c r="L2849" s="115"/>
      <c r="M2849" s="3287" t="s">
        <v>298</v>
      </c>
      <c r="N2849" s="3288"/>
      <c r="O2849" s="41"/>
      <c r="P2849" s="41"/>
      <c r="Q2849" s="41"/>
      <c r="R2849" s="41"/>
      <c r="S2849" s="41"/>
      <c r="T2849" s="41"/>
      <c r="U2849" s="41">
        <v>327</v>
      </c>
      <c r="V2849" s="41"/>
      <c r="W2849" s="41"/>
      <c r="X2849" s="41"/>
      <c r="Y2849" s="41"/>
      <c r="Z2849" s="41">
        <v>327</v>
      </c>
      <c r="AA2849" s="1217">
        <f t="shared" si="427"/>
        <v>654</v>
      </c>
      <c r="AB2849" s="1210"/>
      <c r="AC2849" s="1199"/>
      <c r="AD2849" s="1211"/>
    </row>
    <row r="2850" spans="1:30" x14ac:dyDescent="0.2">
      <c r="A2850" s="1422"/>
      <c r="B2850" s="2522"/>
      <c r="C2850" s="3191"/>
      <c r="D2850" s="2421"/>
      <c r="E2850" s="2421"/>
      <c r="F2850" s="2420"/>
      <c r="G2850" s="2420"/>
      <c r="H2850" s="2420"/>
      <c r="I2850" s="2420"/>
      <c r="J2850" s="2515"/>
      <c r="K2850" s="115">
        <v>400</v>
      </c>
      <c r="L2850" s="115"/>
      <c r="M2850" s="3287" t="s">
        <v>299</v>
      </c>
      <c r="N2850" s="3288"/>
      <c r="O2850" s="41">
        <v>400</v>
      </c>
      <c r="P2850" s="41"/>
      <c r="Q2850" s="41"/>
      <c r="R2850" s="41"/>
      <c r="S2850" s="41"/>
      <c r="T2850" s="41"/>
      <c r="U2850" s="41"/>
      <c r="V2850" s="41"/>
      <c r="W2850" s="41"/>
      <c r="X2850" s="41"/>
      <c r="Y2850" s="41"/>
      <c r="Z2850" s="41"/>
      <c r="AA2850" s="1217">
        <f t="shared" si="427"/>
        <v>400</v>
      </c>
      <c r="AB2850" s="1210"/>
      <c r="AC2850" s="1199"/>
      <c r="AD2850" s="1211"/>
    </row>
    <row r="2851" spans="1:30" x14ac:dyDescent="0.2">
      <c r="A2851" s="1422"/>
      <c r="B2851" s="2522"/>
      <c r="C2851" s="3191"/>
      <c r="D2851" s="2421"/>
      <c r="E2851" s="2421"/>
      <c r="F2851" s="2420"/>
      <c r="G2851" s="2420"/>
      <c r="H2851" s="2420"/>
      <c r="I2851" s="2420"/>
      <c r="J2851" s="2515"/>
      <c r="K2851" s="115">
        <v>918</v>
      </c>
      <c r="L2851" s="115"/>
      <c r="M2851" s="3287" t="s">
        <v>300</v>
      </c>
      <c r="N2851" s="3288"/>
      <c r="O2851" s="41">
        <v>76.5</v>
      </c>
      <c r="P2851" s="41">
        <v>76.5</v>
      </c>
      <c r="Q2851" s="41">
        <v>76.5</v>
      </c>
      <c r="R2851" s="41">
        <v>76.5</v>
      </c>
      <c r="S2851" s="41">
        <v>76.5</v>
      </c>
      <c r="T2851" s="41">
        <v>76.5</v>
      </c>
      <c r="U2851" s="41">
        <v>76.5</v>
      </c>
      <c r="V2851" s="41">
        <v>76.5</v>
      </c>
      <c r="W2851" s="41">
        <v>76.5</v>
      </c>
      <c r="X2851" s="41">
        <v>76.5</v>
      </c>
      <c r="Y2851" s="41">
        <v>76.5</v>
      </c>
      <c r="Z2851" s="41">
        <v>76.5</v>
      </c>
      <c r="AA2851" s="1217">
        <f t="shared" si="427"/>
        <v>918</v>
      </c>
      <c r="AB2851" s="1210"/>
      <c r="AC2851" s="1199"/>
      <c r="AD2851" s="1211"/>
    </row>
    <row r="2852" spans="1:30" x14ac:dyDescent="0.2">
      <c r="A2852" s="1422"/>
      <c r="B2852" s="2522"/>
      <c r="C2852" s="3191"/>
      <c r="D2852" s="2421"/>
      <c r="E2852" s="2421"/>
      <c r="F2852" s="2420"/>
      <c r="G2852" s="2420"/>
      <c r="H2852" s="2420"/>
      <c r="I2852" s="2420"/>
      <c r="J2852" s="2515"/>
      <c r="K2852" s="115">
        <v>5500</v>
      </c>
      <c r="L2852" s="115"/>
      <c r="M2852" s="3287" t="s">
        <v>393</v>
      </c>
      <c r="N2852" s="3288"/>
      <c r="O2852" s="41"/>
      <c r="P2852" s="41"/>
      <c r="Q2852" s="41"/>
      <c r="R2852" s="41">
        <v>2750</v>
      </c>
      <c r="S2852" s="41"/>
      <c r="T2852" s="41"/>
      <c r="U2852" s="41"/>
      <c r="V2852" s="41">
        <v>2750</v>
      </c>
      <c r="W2852" s="41"/>
      <c r="X2852" s="41"/>
      <c r="Y2852" s="41"/>
      <c r="Z2852" s="41"/>
      <c r="AA2852" s="1217">
        <f t="shared" si="427"/>
        <v>5500</v>
      </c>
      <c r="AB2852" s="1210"/>
      <c r="AC2852" s="1199"/>
      <c r="AD2852" s="1211"/>
    </row>
    <row r="2853" spans="1:30" x14ac:dyDescent="0.2">
      <c r="A2853" s="1422"/>
      <c r="B2853" s="2522"/>
      <c r="C2853" s="3191"/>
      <c r="D2853" s="2421"/>
      <c r="E2853" s="2421"/>
      <c r="F2853" s="2420"/>
      <c r="G2853" s="2420"/>
      <c r="H2853" s="2420"/>
      <c r="I2853" s="2420"/>
      <c r="J2853" s="2515"/>
      <c r="K2853" s="115">
        <v>5300</v>
      </c>
      <c r="L2853" s="115"/>
      <c r="M2853" s="3287" t="s">
        <v>611</v>
      </c>
      <c r="N2853" s="3288"/>
      <c r="O2853" s="41"/>
      <c r="P2853" s="41"/>
      <c r="Q2853" s="41">
        <v>5300</v>
      </c>
      <c r="R2853" s="41"/>
      <c r="S2853" s="41"/>
      <c r="T2853" s="41"/>
      <c r="U2853" s="41"/>
      <c r="V2853" s="41"/>
      <c r="W2853" s="41"/>
      <c r="X2853" s="41"/>
      <c r="Y2853" s="41"/>
      <c r="Z2853" s="41"/>
      <c r="AA2853" s="1217">
        <f t="shared" si="427"/>
        <v>5300</v>
      </c>
      <c r="AB2853" s="1210"/>
      <c r="AC2853" s="1199"/>
      <c r="AD2853" s="1211"/>
    </row>
    <row r="2854" spans="1:30" x14ac:dyDescent="0.2">
      <c r="A2854" s="1422"/>
      <c r="B2854" s="2522"/>
      <c r="C2854" s="3191"/>
      <c r="D2854" s="2421"/>
      <c r="E2854" s="2421"/>
      <c r="F2854" s="2420"/>
      <c r="G2854" s="2420"/>
      <c r="H2854" s="2420"/>
      <c r="I2854" s="2420"/>
      <c r="J2854" s="2515"/>
      <c r="K2854" s="115">
        <v>11700</v>
      </c>
      <c r="L2854" s="115"/>
      <c r="M2854" s="3287" t="s">
        <v>343</v>
      </c>
      <c r="N2854" s="3288"/>
      <c r="O2854" s="41"/>
      <c r="P2854" s="41"/>
      <c r="Q2854" s="41"/>
      <c r="R2854" s="41">
        <v>5850</v>
      </c>
      <c r="S2854" s="41"/>
      <c r="T2854" s="41"/>
      <c r="U2854" s="41"/>
      <c r="V2854" s="41">
        <v>5850</v>
      </c>
      <c r="W2854" s="41"/>
      <c r="X2854" s="41"/>
      <c r="Y2854" s="41"/>
      <c r="Z2854" s="41"/>
      <c r="AA2854" s="1217">
        <f t="shared" si="427"/>
        <v>11700</v>
      </c>
      <c r="AB2854" s="1210"/>
      <c r="AC2854" s="1199"/>
      <c r="AD2854" s="1211"/>
    </row>
    <row r="2855" spans="1:30" x14ac:dyDescent="0.2">
      <c r="A2855" s="1422"/>
      <c r="B2855" s="2522"/>
      <c r="C2855" s="2439"/>
      <c r="D2855" s="2421"/>
      <c r="E2855" s="2421"/>
      <c r="F2855" s="2420"/>
      <c r="G2855" s="2420"/>
      <c r="H2855" s="2420"/>
      <c r="I2855" s="2420"/>
      <c r="J2855" s="2516"/>
      <c r="K2855" s="115">
        <v>4000</v>
      </c>
      <c r="L2855" s="115"/>
      <c r="M2855" s="3287" t="s">
        <v>309</v>
      </c>
      <c r="N2855" s="3288"/>
      <c r="O2855" s="41"/>
      <c r="P2855" s="41"/>
      <c r="Q2855" s="41"/>
      <c r="R2855" s="41">
        <v>800</v>
      </c>
      <c r="S2855" s="41"/>
      <c r="T2855" s="41">
        <v>800</v>
      </c>
      <c r="U2855" s="41"/>
      <c r="V2855" s="41">
        <v>800</v>
      </c>
      <c r="W2855" s="41"/>
      <c r="X2855" s="41">
        <v>800</v>
      </c>
      <c r="Y2855" s="41"/>
      <c r="Z2855" s="41">
        <v>800</v>
      </c>
      <c r="AA2855" s="1217">
        <f t="shared" si="427"/>
        <v>4000</v>
      </c>
      <c r="AB2855" s="1210"/>
      <c r="AC2855" s="1199"/>
      <c r="AD2855" s="1211"/>
    </row>
    <row r="2856" spans="1:30" x14ac:dyDescent="0.2">
      <c r="A2856" s="1422"/>
      <c r="B2856" s="1427" t="s">
        <v>312</v>
      </c>
      <c r="C2856" s="1273"/>
      <c r="D2856" s="38"/>
      <c r="E2856" s="38"/>
      <c r="F2856" s="38"/>
      <c r="G2856" s="38"/>
      <c r="H2856" s="38"/>
      <c r="I2856" s="38"/>
      <c r="J2856" s="38"/>
      <c r="K2856" s="38">
        <f>SUM(K2846:K2855)</f>
        <v>86742</v>
      </c>
      <c r="L2856" s="38"/>
      <c r="M2856" s="125"/>
      <c r="N2856" s="125"/>
      <c r="O2856" s="38"/>
      <c r="P2856" s="38"/>
      <c r="Q2856" s="38"/>
      <c r="R2856" s="38"/>
      <c r="S2856" s="38"/>
      <c r="T2856" s="38"/>
      <c r="U2856" s="38"/>
      <c r="V2856" s="38"/>
      <c r="W2856" s="38"/>
      <c r="X2856" s="38"/>
      <c r="Y2856" s="38"/>
      <c r="Z2856" s="38"/>
      <c r="AA2856" s="1234"/>
      <c r="AB2856" s="1210"/>
      <c r="AC2856" s="1199"/>
      <c r="AD2856" s="1211"/>
    </row>
    <row r="2857" spans="1:30" ht="22.5" x14ac:dyDescent="0.2">
      <c r="A2857" s="1422"/>
      <c r="B2857" s="1433" t="s">
        <v>276</v>
      </c>
      <c r="C2857" s="1121"/>
      <c r="D2857" s="1119">
        <v>3044199</v>
      </c>
      <c r="E2857" s="192" t="s">
        <v>834</v>
      </c>
      <c r="F2857" s="35"/>
      <c r="G2857" s="35"/>
      <c r="H2857" s="35"/>
      <c r="I2857" s="35"/>
      <c r="J2857" s="35"/>
      <c r="K2857" s="60"/>
      <c r="L2857" s="60"/>
      <c r="M2857" s="200"/>
      <c r="N2857" s="200"/>
      <c r="O2857" s="60"/>
      <c r="P2857" s="60"/>
      <c r="Q2857" s="60"/>
      <c r="R2857" s="60"/>
      <c r="S2857" s="3333" t="s">
        <v>15</v>
      </c>
      <c r="T2857" s="3333"/>
      <c r="U2857" s="3333"/>
      <c r="V2857" s="3333"/>
      <c r="W2857" s="3333"/>
      <c r="X2857" s="3333"/>
      <c r="Y2857" s="3333"/>
      <c r="Z2857" s="3333"/>
      <c r="AA2857" s="1215" t="s">
        <v>16</v>
      </c>
      <c r="AB2857" s="1210"/>
      <c r="AC2857" s="1199"/>
      <c r="AD2857" s="1211"/>
    </row>
    <row r="2858" spans="1:30" x14ac:dyDescent="0.2">
      <c r="A2858" s="1422"/>
      <c r="B2858" s="1433"/>
      <c r="C2858" s="1121"/>
      <c r="D2858" s="1119"/>
      <c r="E2858" s="192"/>
      <c r="F2858" s="35"/>
      <c r="G2858" s="35"/>
      <c r="H2858" s="35"/>
      <c r="I2858" s="35"/>
      <c r="J2858" s="35"/>
      <c r="K2858" s="60"/>
      <c r="L2858" s="60"/>
      <c r="M2858" s="200"/>
      <c r="N2858" s="200"/>
      <c r="O2858" s="60"/>
      <c r="P2858" s="60"/>
      <c r="Q2858" s="60"/>
      <c r="R2858" s="60"/>
      <c r="S2858" s="3333" t="s">
        <v>835</v>
      </c>
      <c r="T2858" s="3333"/>
      <c r="U2858" s="3333"/>
      <c r="V2858" s="3333"/>
      <c r="W2858" s="3333"/>
      <c r="X2858" s="3333"/>
      <c r="Y2858" s="3333"/>
      <c r="Z2858" s="3333"/>
      <c r="AA2858" s="1214" t="s">
        <v>661</v>
      </c>
      <c r="AB2858" s="1210"/>
      <c r="AC2858" s="1199"/>
      <c r="AD2858" s="1211"/>
    </row>
    <row r="2859" spans="1:30" x14ac:dyDescent="0.2">
      <c r="A2859" s="1422"/>
      <c r="B2859" s="2999" t="s">
        <v>278</v>
      </c>
      <c r="C2859" s="3015" t="s">
        <v>21</v>
      </c>
      <c r="D2859" s="2847" t="s">
        <v>22</v>
      </c>
      <c r="E2859" s="2847" t="s">
        <v>23</v>
      </c>
      <c r="F2859" s="2847" t="s">
        <v>24</v>
      </c>
      <c r="G2859" s="2847" t="s">
        <v>25</v>
      </c>
      <c r="H2859" s="2847" t="s">
        <v>26</v>
      </c>
      <c r="I2859" s="2847" t="s">
        <v>27</v>
      </c>
      <c r="J2859" s="3206" t="s">
        <v>28</v>
      </c>
      <c r="K2859" s="3301"/>
      <c r="L2859" s="2987" t="s">
        <v>279</v>
      </c>
      <c r="M2859" s="3273" t="s">
        <v>280</v>
      </c>
      <c r="N2859" s="3274"/>
      <c r="O2859" s="2847" t="s">
        <v>281</v>
      </c>
      <c r="P2859" s="2847"/>
      <c r="Q2859" s="2847"/>
      <c r="R2859" s="2847"/>
      <c r="S2859" s="2847"/>
      <c r="T2859" s="2847"/>
      <c r="U2859" s="2847"/>
      <c r="V2859" s="2847"/>
      <c r="W2859" s="2847"/>
      <c r="X2859" s="2847"/>
      <c r="Y2859" s="2847"/>
      <c r="Z2859" s="2847"/>
      <c r="AA2859" s="3358" t="s">
        <v>32</v>
      </c>
      <c r="AB2859" s="1210"/>
      <c r="AC2859" s="1199"/>
      <c r="AD2859" s="1211"/>
    </row>
    <row r="2860" spans="1:30" x14ac:dyDescent="0.2">
      <c r="A2860" s="1422"/>
      <c r="B2860" s="2999"/>
      <c r="C2860" s="3359"/>
      <c r="D2860" s="2847"/>
      <c r="E2860" s="2847"/>
      <c r="F2860" s="2847"/>
      <c r="G2860" s="2847"/>
      <c r="H2860" s="2847"/>
      <c r="I2860" s="2847"/>
      <c r="J2860" s="2988" t="s">
        <v>33</v>
      </c>
      <c r="K2860" s="2988" t="s">
        <v>282</v>
      </c>
      <c r="L2860" s="3341"/>
      <c r="M2860" s="3275"/>
      <c r="N2860" s="3276"/>
      <c r="O2860" s="1009" t="s">
        <v>283</v>
      </c>
      <c r="P2860" s="1009" t="s">
        <v>284</v>
      </c>
      <c r="Q2860" s="1009" t="s">
        <v>285</v>
      </c>
      <c r="R2860" s="1009" t="s">
        <v>88</v>
      </c>
      <c r="S2860" s="1009" t="s">
        <v>89</v>
      </c>
      <c r="T2860" s="1009" t="s">
        <v>90</v>
      </c>
      <c r="U2860" s="1009" t="s">
        <v>91</v>
      </c>
      <c r="V2860" s="1009" t="s">
        <v>92</v>
      </c>
      <c r="W2860" s="1009" t="s">
        <v>286</v>
      </c>
      <c r="X2860" s="1009" t="s">
        <v>93</v>
      </c>
      <c r="Y2860" s="1009" t="s">
        <v>94</v>
      </c>
      <c r="Z2860" s="1009" t="s">
        <v>95</v>
      </c>
      <c r="AA2860" s="3358"/>
      <c r="AB2860" s="1210"/>
      <c r="AC2860" s="1199"/>
      <c r="AD2860" s="1211"/>
    </row>
    <row r="2861" spans="1:30" x14ac:dyDescent="0.2">
      <c r="A2861" s="1422"/>
      <c r="B2861" s="2999"/>
      <c r="C2861" s="3359"/>
      <c r="D2861" s="2847"/>
      <c r="E2861" s="2847"/>
      <c r="F2861" s="2847"/>
      <c r="G2861" s="2847"/>
      <c r="H2861" s="2847"/>
      <c r="I2861" s="2847"/>
      <c r="J2861" s="3186"/>
      <c r="K2861" s="3186"/>
      <c r="L2861" s="3341"/>
      <c r="M2861" s="3271" t="s">
        <v>287</v>
      </c>
      <c r="N2861" s="3272"/>
      <c r="O2861" s="1095">
        <v>6508</v>
      </c>
      <c r="P2861" s="1095">
        <v>6508</v>
      </c>
      <c r="Q2861" s="1095">
        <v>6509</v>
      </c>
      <c r="R2861" s="1095">
        <v>6509</v>
      </c>
      <c r="S2861" s="1095">
        <v>6508</v>
      </c>
      <c r="T2861" s="1095">
        <v>6599</v>
      </c>
      <c r="U2861" s="1095">
        <v>6509</v>
      </c>
      <c r="V2861" s="1095">
        <v>6509</v>
      </c>
      <c r="W2861" s="1095">
        <v>6513</v>
      </c>
      <c r="X2861" s="1095">
        <v>6508</v>
      </c>
      <c r="Y2861" s="1095">
        <v>6409</v>
      </c>
      <c r="Z2861" s="1095">
        <v>6508</v>
      </c>
      <c r="AA2861" s="1216">
        <f t="shared" ref="AA2861:AA2879" si="429">SUM(O2861:Z2861)</f>
        <v>78097</v>
      </c>
      <c r="AB2861" s="1210"/>
      <c r="AC2861" s="1199"/>
      <c r="AD2861" s="1211"/>
    </row>
    <row r="2862" spans="1:30" x14ac:dyDescent="0.2">
      <c r="A2862" s="1422"/>
      <c r="B2862" s="2999"/>
      <c r="C2862" s="3016"/>
      <c r="D2862" s="2847"/>
      <c r="E2862" s="2847"/>
      <c r="F2862" s="2847"/>
      <c r="G2862" s="2847"/>
      <c r="H2862" s="2847"/>
      <c r="I2862" s="2847"/>
      <c r="J2862" s="2989"/>
      <c r="K2862" s="2989"/>
      <c r="L2862" s="3341"/>
      <c r="M2862" s="3271" t="s">
        <v>34</v>
      </c>
      <c r="N2862" s="3272"/>
      <c r="O2862" s="120">
        <f>SUM(O2863:O2879)</f>
        <v>63309.583333333336</v>
      </c>
      <c r="P2862" s="120">
        <f t="shared" ref="P2862:Z2862" si="430">SUM(P2863:P2879)</f>
        <v>60310.674242424247</v>
      </c>
      <c r="Q2862" s="120">
        <f t="shared" si="430"/>
        <v>63055.674242424247</v>
      </c>
      <c r="R2862" s="120">
        <f t="shared" si="430"/>
        <v>62950.674242424247</v>
      </c>
      <c r="S2862" s="120">
        <f t="shared" si="430"/>
        <v>60510.674242424247</v>
      </c>
      <c r="T2862" s="120">
        <f t="shared" si="430"/>
        <v>60110.674242424247</v>
      </c>
      <c r="U2862" s="120">
        <f t="shared" si="430"/>
        <v>65510.674242424247</v>
      </c>
      <c r="V2862" s="120">
        <f t="shared" si="430"/>
        <v>60110.674242424247</v>
      </c>
      <c r="W2862" s="120">
        <f t="shared" si="430"/>
        <v>60510.674242424247</v>
      </c>
      <c r="X2862" s="120">
        <f t="shared" si="430"/>
        <v>60110.674242424247</v>
      </c>
      <c r="Y2862" s="120">
        <f t="shared" si="430"/>
        <v>60510.674242424247</v>
      </c>
      <c r="Z2862" s="120">
        <f t="shared" si="430"/>
        <v>63110.674242424247</v>
      </c>
      <c r="AA2862" s="1216">
        <f t="shared" si="429"/>
        <v>740111.99999999988</v>
      </c>
      <c r="AB2862" s="1210"/>
      <c r="AC2862" s="1199"/>
      <c r="AD2862" s="1211"/>
    </row>
    <row r="2863" spans="1:30" x14ac:dyDescent="0.2">
      <c r="A2863" s="1422"/>
      <c r="B2863" s="2522">
        <v>5000122</v>
      </c>
      <c r="C2863" s="3190" t="s">
        <v>836</v>
      </c>
      <c r="D2863" s="2421">
        <v>89</v>
      </c>
      <c r="E2863" s="2421" t="s">
        <v>288</v>
      </c>
      <c r="F2863" s="2420" t="s">
        <v>386</v>
      </c>
      <c r="G2863" s="2420" t="s">
        <v>387</v>
      </c>
      <c r="H2863" s="2420"/>
      <c r="I2863" s="2420" t="s">
        <v>780</v>
      </c>
      <c r="J2863" s="2514">
        <v>78097</v>
      </c>
      <c r="K2863" s="115">
        <v>420468</v>
      </c>
      <c r="L2863" s="115"/>
      <c r="M2863" s="3287" t="s">
        <v>293</v>
      </c>
      <c r="N2863" s="3288"/>
      <c r="O2863" s="41">
        <v>35039</v>
      </c>
      <c r="P2863" s="41">
        <v>35039</v>
      </c>
      <c r="Q2863" s="41">
        <v>35039</v>
      </c>
      <c r="R2863" s="41">
        <v>35039</v>
      </c>
      <c r="S2863" s="41">
        <v>35039</v>
      </c>
      <c r="T2863" s="41">
        <v>35039</v>
      </c>
      <c r="U2863" s="41">
        <v>35039</v>
      </c>
      <c r="V2863" s="41">
        <v>35039</v>
      </c>
      <c r="W2863" s="41">
        <v>35039</v>
      </c>
      <c r="X2863" s="41">
        <v>35039</v>
      </c>
      <c r="Y2863" s="41">
        <v>35039</v>
      </c>
      <c r="Z2863" s="41">
        <v>35039</v>
      </c>
      <c r="AA2863" s="1217">
        <f t="shared" si="429"/>
        <v>420468</v>
      </c>
      <c r="AB2863" s="1210"/>
      <c r="AC2863" s="1199"/>
      <c r="AD2863" s="1211"/>
    </row>
    <row r="2864" spans="1:30" x14ac:dyDescent="0.2">
      <c r="A2864" s="1422"/>
      <c r="B2864" s="2522"/>
      <c r="C2864" s="3191"/>
      <c r="D2864" s="2421"/>
      <c r="E2864" s="2421"/>
      <c r="F2864" s="2420"/>
      <c r="G2864" s="2420"/>
      <c r="H2864" s="2420"/>
      <c r="I2864" s="2420"/>
      <c r="J2864" s="2515"/>
      <c r="K2864" s="115">
        <v>63960</v>
      </c>
      <c r="L2864" s="115"/>
      <c r="M2864" s="3287" t="s">
        <v>321</v>
      </c>
      <c r="N2864" s="3288"/>
      <c r="O2864" s="41">
        <v>5330</v>
      </c>
      <c r="P2864" s="41">
        <v>5330</v>
      </c>
      <c r="Q2864" s="41">
        <v>5330</v>
      </c>
      <c r="R2864" s="41">
        <v>5330</v>
      </c>
      <c r="S2864" s="41">
        <v>5330</v>
      </c>
      <c r="T2864" s="41">
        <v>5330</v>
      </c>
      <c r="U2864" s="41">
        <v>5330</v>
      </c>
      <c r="V2864" s="41">
        <v>5330</v>
      </c>
      <c r="W2864" s="41">
        <v>5330</v>
      </c>
      <c r="X2864" s="41">
        <v>5330</v>
      </c>
      <c r="Y2864" s="41">
        <v>5330</v>
      </c>
      <c r="Z2864" s="41">
        <v>5330</v>
      </c>
      <c r="AA2864" s="1217">
        <f t="shared" si="429"/>
        <v>63960</v>
      </c>
      <c r="AB2864" s="1210"/>
      <c r="AC2864" s="1199"/>
      <c r="AD2864" s="1211"/>
    </row>
    <row r="2865" spans="1:30" x14ac:dyDescent="0.2">
      <c r="A2865" s="1422"/>
      <c r="B2865" s="2522"/>
      <c r="C2865" s="3191"/>
      <c r="D2865" s="2421"/>
      <c r="E2865" s="2421"/>
      <c r="F2865" s="2420"/>
      <c r="G2865" s="2420"/>
      <c r="H2865" s="2420"/>
      <c r="I2865" s="2420"/>
      <c r="J2865" s="2515"/>
      <c r="K2865" s="115">
        <v>109354</v>
      </c>
      <c r="L2865" s="115"/>
      <c r="M2865" s="3287" t="s">
        <v>295</v>
      </c>
      <c r="N2865" s="3288"/>
      <c r="O2865" s="41">
        <v>9112.8333333333339</v>
      </c>
      <c r="P2865" s="41">
        <v>9112.8333333333339</v>
      </c>
      <c r="Q2865" s="41">
        <v>9112.8333333333339</v>
      </c>
      <c r="R2865" s="41">
        <v>9112.8333333333339</v>
      </c>
      <c r="S2865" s="41">
        <v>9112.8333333333339</v>
      </c>
      <c r="T2865" s="41">
        <v>9112.8333333333339</v>
      </c>
      <c r="U2865" s="41">
        <v>9112.8333333333339</v>
      </c>
      <c r="V2865" s="41">
        <v>9112.8333333333339</v>
      </c>
      <c r="W2865" s="41">
        <v>9112.8333333333339</v>
      </c>
      <c r="X2865" s="41">
        <v>9112.8333333333339</v>
      </c>
      <c r="Y2865" s="41">
        <v>9112.8333333333339</v>
      </c>
      <c r="Z2865" s="41">
        <v>9112.8333333333339</v>
      </c>
      <c r="AA2865" s="1217">
        <f t="shared" si="429"/>
        <v>109353.99999999999</v>
      </c>
      <c r="AB2865" s="1210"/>
      <c r="AC2865" s="1199"/>
      <c r="AD2865" s="1211"/>
    </row>
    <row r="2866" spans="1:30" x14ac:dyDescent="0.2">
      <c r="A2866" s="1422"/>
      <c r="B2866" s="2522"/>
      <c r="C2866" s="3191"/>
      <c r="D2866" s="2421"/>
      <c r="E2866" s="2421"/>
      <c r="F2866" s="2420"/>
      <c r="G2866" s="2420"/>
      <c r="H2866" s="2420"/>
      <c r="I2866" s="2420"/>
      <c r="J2866" s="2515"/>
      <c r="K2866" s="115">
        <v>72039</v>
      </c>
      <c r="L2866" s="115"/>
      <c r="M2866" s="3287" t="s">
        <v>296</v>
      </c>
      <c r="N2866" s="3288"/>
      <c r="O2866" s="41">
        <v>6003.25</v>
      </c>
      <c r="P2866" s="41">
        <v>6003.25</v>
      </c>
      <c r="Q2866" s="41">
        <v>6003.25</v>
      </c>
      <c r="R2866" s="41">
        <v>6003.25</v>
      </c>
      <c r="S2866" s="41">
        <v>6003.25</v>
      </c>
      <c r="T2866" s="41">
        <v>6003.25</v>
      </c>
      <c r="U2866" s="41">
        <v>6003.25</v>
      </c>
      <c r="V2866" s="41">
        <v>6003.25</v>
      </c>
      <c r="W2866" s="41">
        <v>6003.25</v>
      </c>
      <c r="X2866" s="41">
        <v>6003.25</v>
      </c>
      <c r="Y2866" s="41">
        <v>6003.25</v>
      </c>
      <c r="Z2866" s="41">
        <v>6003.25</v>
      </c>
      <c r="AA2866" s="1217">
        <f t="shared" si="429"/>
        <v>72039</v>
      </c>
      <c r="AB2866" s="1210"/>
      <c r="AC2866" s="1199"/>
      <c r="AD2866" s="1211"/>
    </row>
    <row r="2867" spans="1:30" x14ac:dyDescent="0.2">
      <c r="A2867" s="1422"/>
      <c r="B2867" s="2522"/>
      <c r="C2867" s="3191"/>
      <c r="D2867" s="2421"/>
      <c r="E2867" s="2421"/>
      <c r="F2867" s="2420"/>
      <c r="G2867" s="2420"/>
      <c r="H2867" s="2420"/>
      <c r="I2867" s="2420"/>
      <c r="J2867" s="2515"/>
      <c r="K2867" s="115">
        <v>15288</v>
      </c>
      <c r="L2867" s="115"/>
      <c r="M2867" s="3287" t="s">
        <v>297</v>
      </c>
      <c r="N2867" s="3288"/>
      <c r="O2867" s="41">
        <v>1274</v>
      </c>
      <c r="P2867" s="41">
        <v>1274</v>
      </c>
      <c r="Q2867" s="41">
        <v>1274</v>
      </c>
      <c r="R2867" s="41">
        <v>1274</v>
      </c>
      <c r="S2867" s="41">
        <v>1274</v>
      </c>
      <c r="T2867" s="41">
        <v>1274</v>
      </c>
      <c r="U2867" s="41">
        <v>1274</v>
      </c>
      <c r="V2867" s="41">
        <v>1274</v>
      </c>
      <c r="W2867" s="41">
        <v>1274</v>
      </c>
      <c r="X2867" s="41">
        <v>1274</v>
      </c>
      <c r="Y2867" s="41">
        <v>1274</v>
      </c>
      <c r="Z2867" s="41">
        <v>1274</v>
      </c>
      <c r="AA2867" s="1217">
        <f t="shared" si="429"/>
        <v>15288</v>
      </c>
      <c r="AB2867" s="1210"/>
      <c r="AC2867" s="1199"/>
      <c r="AD2867" s="1211"/>
    </row>
    <row r="2868" spans="1:30" x14ac:dyDescent="0.2">
      <c r="A2868" s="1422"/>
      <c r="B2868" s="2522"/>
      <c r="C2868" s="3191"/>
      <c r="D2868" s="2421"/>
      <c r="E2868" s="2421"/>
      <c r="F2868" s="2420"/>
      <c r="G2868" s="2420"/>
      <c r="H2868" s="2420"/>
      <c r="I2868" s="2420"/>
      <c r="J2868" s="2515"/>
      <c r="K2868" s="115">
        <v>6000</v>
      </c>
      <c r="L2868" s="115"/>
      <c r="M2868" s="3287" t="s">
        <v>298</v>
      </c>
      <c r="N2868" s="3288"/>
      <c r="O2868" s="41"/>
      <c r="P2868" s="41"/>
      <c r="Q2868" s="41"/>
      <c r="R2868" s="41"/>
      <c r="S2868" s="41"/>
      <c r="T2868" s="41"/>
      <c r="U2868" s="41">
        <v>3000</v>
      </c>
      <c r="V2868" s="41"/>
      <c r="W2868" s="41"/>
      <c r="X2868" s="41"/>
      <c r="Y2868" s="41"/>
      <c r="Z2868" s="41">
        <v>3000</v>
      </c>
      <c r="AA2868" s="1217">
        <f t="shared" si="429"/>
        <v>6000</v>
      </c>
      <c r="AB2868" s="1210"/>
      <c r="AC2868" s="1199"/>
      <c r="AD2868" s="1211"/>
    </row>
    <row r="2869" spans="1:30" x14ac:dyDescent="0.2">
      <c r="A2869" s="1422"/>
      <c r="B2869" s="2522"/>
      <c r="C2869" s="3191"/>
      <c r="D2869" s="2421"/>
      <c r="E2869" s="2421"/>
      <c r="F2869" s="2420"/>
      <c r="G2869" s="2420"/>
      <c r="H2869" s="2420"/>
      <c r="I2869" s="2420"/>
      <c r="J2869" s="2515"/>
      <c r="K2869" s="115">
        <v>4000</v>
      </c>
      <c r="L2869" s="115"/>
      <c r="M2869" s="3287" t="s">
        <v>299</v>
      </c>
      <c r="N2869" s="3288"/>
      <c r="O2869" s="41">
        <v>4000</v>
      </c>
      <c r="P2869" s="41"/>
      <c r="Q2869" s="41"/>
      <c r="R2869" s="41"/>
      <c r="S2869" s="41"/>
      <c r="T2869" s="41"/>
      <c r="U2869" s="41"/>
      <c r="V2869" s="41"/>
      <c r="W2869" s="41"/>
      <c r="X2869" s="41"/>
      <c r="Y2869" s="41"/>
      <c r="Z2869" s="41"/>
      <c r="AA2869" s="1217">
        <f t="shared" si="429"/>
        <v>4000</v>
      </c>
      <c r="AB2869" s="1210"/>
      <c r="AC2869" s="1199"/>
      <c r="AD2869" s="1211"/>
    </row>
    <row r="2870" spans="1:30" x14ac:dyDescent="0.2">
      <c r="A2870" s="1422"/>
      <c r="B2870" s="2522"/>
      <c r="C2870" s="3191"/>
      <c r="D2870" s="2421"/>
      <c r="E2870" s="2421"/>
      <c r="F2870" s="2420"/>
      <c r="G2870" s="2420"/>
      <c r="H2870" s="2420"/>
      <c r="I2870" s="2420"/>
      <c r="J2870" s="2515"/>
      <c r="K2870" s="115">
        <v>29442</v>
      </c>
      <c r="L2870" s="115"/>
      <c r="M2870" s="3287" t="s">
        <v>300</v>
      </c>
      <c r="N2870" s="3288"/>
      <c r="O2870" s="41">
        <v>2453.5</v>
      </c>
      <c r="P2870" s="41">
        <v>2453.5</v>
      </c>
      <c r="Q2870" s="41">
        <v>2453.5</v>
      </c>
      <c r="R2870" s="41">
        <v>2453.5</v>
      </c>
      <c r="S2870" s="41">
        <v>2453.5</v>
      </c>
      <c r="T2870" s="41">
        <v>2453.5</v>
      </c>
      <c r="U2870" s="41">
        <v>2453.5</v>
      </c>
      <c r="V2870" s="41">
        <v>2453.5</v>
      </c>
      <c r="W2870" s="41">
        <v>2453.5</v>
      </c>
      <c r="X2870" s="41">
        <v>2453.5</v>
      </c>
      <c r="Y2870" s="41">
        <v>2453.5</v>
      </c>
      <c r="Z2870" s="41">
        <v>2453.5</v>
      </c>
      <c r="AA2870" s="1217">
        <f t="shared" si="429"/>
        <v>29442</v>
      </c>
      <c r="AB2870" s="1210"/>
      <c r="AC2870" s="1199"/>
      <c r="AD2870" s="1211"/>
    </row>
    <row r="2871" spans="1:30" x14ac:dyDescent="0.2">
      <c r="A2871" s="1422"/>
      <c r="B2871" s="2522"/>
      <c r="C2871" s="3191"/>
      <c r="D2871" s="2421"/>
      <c r="E2871" s="2421"/>
      <c r="F2871" s="2420"/>
      <c r="G2871" s="2420"/>
      <c r="H2871" s="2420"/>
      <c r="I2871" s="2420"/>
      <c r="J2871" s="2515"/>
      <c r="K2871" s="115">
        <v>1164</v>
      </c>
      <c r="L2871" s="115"/>
      <c r="M2871" s="3287" t="s">
        <v>301</v>
      </c>
      <c r="N2871" s="3288"/>
      <c r="O2871" s="41">
        <v>97</v>
      </c>
      <c r="P2871" s="41">
        <v>97</v>
      </c>
      <c r="Q2871" s="41">
        <v>97</v>
      </c>
      <c r="R2871" s="41">
        <v>97</v>
      </c>
      <c r="S2871" s="41">
        <v>97</v>
      </c>
      <c r="T2871" s="41">
        <v>97</v>
      </c>
      <c r="U2871" s="41">
        <v>97</v>
      </c>
      <c r="V2871" s="41">
        <v>97</v>
      </c>
      <c r="W2871" s="41">
        <v>97</v>
      </c>
      <c r="X2871" s="41">
        <v>97</v>
      </c>
      <c r="Y2871" s="41">
        <v>97</v>
      </c>
      <c r="Z2871" s="41">
        <v>97</v>
      </c>
      <c r="AA2871" s="1217">
        <f t="shared" si="429"/>
        <v>1164</v>
      </c>
      <c r="AB2871" s="1210"/>
      <c r="AC2871" s="1199"/>
      <c r="AD2871" s="1211"/>
    </row>
    <row r="2872" spans="1:30" x14ac:dyDescent="0.2">
      <c r="A2872" s="1422"/>
      <c r="B2872" s="2522"/>
      <c r="C2872" s="3191"/>
      <c r="D2872" s="2421"/>
      <c r="E2872" s="2421"/>
      <c r="F2872" s="2420"/>
      <c r="G2872" s="2420"/>
      <c r="H2872" s="2420"/>
      <c r="I2872" s="2420"/>
      <c r="J2872" s="2515"/>
      <c r="K2872" s="115">
        <v>545</v>
      </c>
      <c r="L2872" s="115"/>
      <c r="M2872" s="3287" t="s">
        <v>303</v>
      </c>
      <c r="N2872" s="3288"/>
      <c r="O2872" s="41"/>
      <c r="P2872" s="41"/>
      <c r="Q2872" s="41">
        <v>545</v>
      </c>
      <c r="R2872" s="41"/>
      <c r="S2872" s="41"/>
      <c r="T2872" s="41"/>
      <c r="U2872" s="41"/>
      <c r="V2872" s="41"/>
      <c r="W2872" s="41"/>
      <c r="X2872" s="41"/>
      <c r="Y2872" s="41"/>
      <c r="Z2872" s="41"/>
      <c r="AA2872" s="1217">
        <f t="shared" si="429"/>
        <v>545</v>
      </c>
      <c r="AB2872" s="1210"/>
      <c r="AC2872" s="1199"/>
      <c r="AD2872" s="1211"/>
    </row>
    <row r="2873" spans="1:30" x14ac:dyDescent="0.2">
      <c r="A2873" s="1422"/>
      <c r="B2873" s="2522"/>
      <c r="C2873" s="3191"/>
      <c r="D2873" s="2421"/>
      <c r="E2873" s="2421"/>
      <c r="F2873" s="2420"/>
      <c r="G2873" s="2420"/>
      <c r="H2873" s="2420"/>
      <c r="I2873" s="2420"/>
      <c r="J2873" s="2515"/>
      <c r="K2873" s="115">
        <v>200</v>
      </c>
      <c r="L2873" s="115"/>
      <c r="M2873" s="3287" t="s">
        <v>324</v>
      </c>
      <c r="N2873" s="3288"/>
      <c r="O2873" s="41"/>
      <c r="P2873" s="41">
        <v>200</v>
      </c>
      <c r="Q2873" s="41"/>
      <c r="R2873" s="41"/>
      <c r="S2873" s="41"/>
      <c r="T2873" s="41"/>
      <c r="U2873" s="41"/>
      <c r="V2873" s="41"/>
      <c r="W2873" s="41"/>
      <c r="X2873" s="41"/>
      <c r="Y2873" s="41"/>
      <c r="Z2873" s="41"/>
      <c r="AA2873" s="1217">
        <f t="shared" si="429"/>
        <v>200</v>
      </c>
      <c r="AB2873" s="1210"/>
      <c r="AC2873" s="1199"/>
      <c r="AD2873" s="1211"/>
    </row>
    <row r="2874" spans="1:30" x14ac:dyDescent="0.2">
      <c r="A2874" s="1422"/>
      <c r="B2874" s="2522"/>
      <c r="C2874" s="3191"/>
      <c r="D2874" s="2421"/>
      <c r="E2874" s="2421"/>
      <c r="F2874" s="2420"/>
      <c r="G2874" s="2420"/>
      <c r="H2874" s="2420"/>
      <c r="I2874" s="2420"/>
      <c r="J2874" s="2515"/>
      <c r="K2874" s="115">
        <v>400</v>
      </c>
      <c r="L2874" s="115"/>
      <c r="M2874" s="3287" t="s">
        <v>343</v>
      </c>
      <c r="N2874" s="3288"/>
      <c r="O2874" s="41"/>
      <c r="P2874" s="41"/>
      <c r="Q2874" s="41"/>
      <c r="R2874" s="41">
        <v>400</v>
      </c>
      <c r="S2874" s="41"/>
      <c r="T2874" s="41"/>
      <c r="U2874" s="41"/>
      <c r="V2874" s="41"/>
      <c r="W2874" s="41"/>
      <c r="X2874" s="41"/>
      <c r="Y2874" s="41"/>
      <c r="Z2874" s="41"/>
      <c r="AA2874" s="1217">
        <f t="shared" si="429"/>
        <v>400</v>
      </c>
      <c r="AB2874" s="1210"/>
      <c r="AC2874" s="1199"/>
      <c r="AD2874" s="1211"/>
    </row>
    <row r="2875" spans="1:30" x14ac:dyDescent="0.2">
      <c r="A2875" s="1422"/>
      <c r="B2875" s="2522"/>
      <c r="C2875" s="3191"/>
      <c r="D2875" s="2421"/>
      <c r="E2875" s="2421"/>
      <c r="F2875" s="2420"/>
      <c r="G2875" s="2420"/>
      <c r="H2875" s="2420"/>
      <c r="I2875" s="2420"/>
      <c r="J2875" s="2515"/>
      <c r="K2875" s="115">
        <v>4000</v>
      </c>
      <c r="L2875" s="115"/>
      <c r="M2875" s="3287" t="s">
        <v>593</v>
      </c>
      <c r="N2875" s="3288"/>
      <c r="O2875" s="41"/>
      <c r="P2875" s="41"/>
      <c r="Q2875" s="41">
        <v>2000</v>
      </c>
      <c r="R2875" s="41"/>
      <c r="S2875" s="41"/>
      <c r="T2875" s="41"/>
      <c r="U2875" s="41">
        <v>2000</v>
      </c>
      <c r="V2875" s="41"/>
      <c r="W2875" s="41"/>
      <c r="X2875" s="41"/>
      <c r="Y2875" s="41"/>
      <c r="Z2875" s="41"/>
      <c r="AA2875" s="1217">
        <f t="shared" si="429"/>
        <v>4000</v>
      </c>
      <c r="AB2875" s="1210"/>
      <c r="AC2875" s="1199"/>
      <c r="AD2875" s="1211"/>
    </row>
    <row r="2876" spans="1:30" x14ac:dyDescent="0.2">
      <c r="A2876" s="1422"/>
      <c r="B2876" s="2522"/>
      <c r="C2876" s="3191"/>
      <c r="D2876" s="2421"/>
      <c r="E2876" s="2421"/>
      <c r="F2876" s="2420"/>
      <c r="G2876" s="2420"/>
      <c r="H2876" s="2420"/>
      <c r="I2876" s="2420"/>
      <c r="J2876" s="2515"/>
      <c r="K2876" s="115">
        <v>1021</v>
      </c>
      <c r="L2876" s="115"/>
      <c r="M2876" s="3287" t="s">
        <v>304</v>
      </c>
      <c r="N2876" s="3288"/>
      <c r="O2876" s="41"/>
      <c r="P2876" s="41"/>
      <c r="Q2876" s="41"/>
      <c r="R2876" s="41">
        <v>1021</v>
      </c>
      <c r="S2876" s="41"/>
      <c r="T2876" s="41"/>
      <c r="U2876" s="41"/>
      <c r="V2876" s="41"/>
      <c r="W2876" s="41"/>
      <c r="X2876" s="41"/>
      <c r="Y2876" s="41"/>
      <c r="Z2876" s="41"/>
      <c r="AA2876" s="1217">
        <f t="shared" si="429"/>
        <v>1021</v>
      </c>
      <c r="AB2876" s="1210"/>
      <c r="AC2876" s="1199"/>
      <c r="AD2876" s="1211"/>
    </row>
    <row r="2877" spans="1:30" x14ac:dyDescent="0.2">
      <c r="A2877" s="1422"/>
      <c r="B2877" s="2522"/>
      <c r="C2877" s="3191"/>
      <c r="D2877" s="2421"/>
      <c r="E2877" s="2421"/>
      <c r="F2877" s="2420"/>
      <c r="G2877" s="2420"/>
      <c r="H2877" s="2420"/>
      <c r="I2877" s="2420"/>
      <c r="J2877" s="2515"/>
      <c r="K2877" s="115">
        <v>8812</v>
      </c>
      <c r="L2877" s="115"/>
      <c r="M2877" s="3287" t="s">
        <v>306</v>
      </c>
      <c r="N2877" s="3288"/>
      <c r="O2877" s="41"/>
      <c r="P2877" s="41">
        <v>801.09090909090912</v>
      </c>
      <c r="Q2877" s="41">
        <v>801.09090909090912</v>
      </c>
      <c r="R2877" s="41">
        <v>801.09090909090912</v>
      </c>
      <c r="S2877" s="41">
        <v>801.09090909090912</v>
      </c>
      <c r="T2877" s="41">
        <v>801.09090909090912</v>
      </c>
      <c r="U2877" s="41">
        <v>801.09090909090912</v>
      </c>
      <c r="V2877" s="41">
        <v>801.09090909090912</v>
      </c>
      <c r="W2877" s="41">
        <v>801.09090909090912</v>
      </c>
      <c r="X2877" s="41">
        <v>801.09090909090912</v>
      </c>
      <c r="Y2877" s="41">
        <v>801.09090909090912</v>
      </c>
      <c r="Z2877" s="41">
        <v>801.09090909090912</v>
      </c>
      <c r="AA2877" s="1217">
        <f t="shared" si="429"/>
        <v>8812</v>
      </c>
      <c r="AB2877" s="1210"/>
      <c r="AC2877" s="1199"/>
      <c r="AD2877" s="1211"/>
    </row>
    <row r="2878" spans="1:30" x14ac:dyDescent="0.2">
      <c r="A2878" s="1422"/>
      <c r="B2878" s="2522"/>
      <c r="C2878" s="3191"/>
      <c r="D2878" s="2421"/>
      <c r="E2878" s="2421"/>
      <c r="F2878" s="2420"/>
      <c r="G2878" s="2420"/>
      <c r="H2878" s="2420"/>
      <c r="I2878" s="2420"/>
      <c r="J2878" s="2515"/>
      <c r="K2878" s="115">
        <v>1419</v>
      </c>
      <c r="L2878" s="115"/>
      <c r="M2878" s="3287" t="s">
        <v>355</v>
      </c>
      <c r="N2878" s="3288"/>
      <c r="O2878" s="41"/>
      <c r="P2878" s="41"/>
      <c r="Q2878" s="41"/>
      <c r="R2878" s="41">
        <v>1419</v>
      </c>
      <c r="S2878" s="41"/>
      <c r="T2878" s="41"/>
      <c r="U2878" s="41"/>
      <c r="V2878" s="41"/>
      <c r="W2878" s="41"/>
      <c r="X2878" s="41"/>
      <c r="Y2878" s="41"/>
      <c r="Z2878" s="41"/>
      <c r="AA2878" s="1217">
        <f t="shared" si="429"/>
        <v>1419</v>
      </c>
      <c r="AB2878" s="1210"/>
      <c r="AC2878" s="1199"/>
      <c r="AD2878" s="1211"/>
    </row>
    <row r="2879" spans="1:30" x14ac:dyDescent="0.2">
      <c r="A2879" s="1422"/>
      <c r="B2879" s="2522"/>
      <c r="C2879" s="2439"/>
      <c r="D2879" s="2421"/>
      <c r="E2879" s="2421"/>
      <c r="F2879" s="2420"/>
      <c r="G2879" s="2420"/>
      <c r="H2879" s="2420"/>
      <c r="I2879" s="2420"/>
      <c r="J2879" s="2516"/>
      <c r="K2879" s="115">
        <v>2000</v>
      </c>
      <c r="L2879" s="115"/>
      <c r="M2879" s="3287" t="s">
        <v>309</v>
      </c>
      <c r="N2879" s="3288"/>
      <c r="O2879" s="41"/>
      <c r="P2879" s="41"/>
      <c r="Q2879" s="41">
        <v>400</v>
      </c>
      <c r="R2879" s="41"/>
      <c r="S2879" s="41">
        <v>400</v>
      </c>
      <c r="T2879" s="41"/>
      <c r="U2879" s="41">
        <v>400</v>
      </c>
      <c r="V2879" s="41"/>
      <c r="W2879" s="41">
        <v>400</v>
      </c>
      <c r="X2879" s="41"/>
      <c r="Y2879" s="41">
        <v>400</v>
      </c>
      <c r="Z2879" s="41"/>
      <c r="AA2879" s="1217">
        <f t="shared" si="429"/>
        <v>2000</v>
      </c>
      <c r="AB2879" s="1210"/>
      <c r="AC2879" s="1199"/>
      <c r="AD2879" s="1211"/>
    </row>
    <row r="2880" spans="1:30" x14ac:dyDescent="0.2">
      <c r="A2880" s="1422"/>
      <c r="B2880" s="1427" t="s">
        <v>312</v>
      </c>
      <c r="C2880" s="1273"/>
      <c r="D2880" s="38"/>
      <c r="E2880" s="38"/>
      <c r="F2880" s="38"/>
      <c r="G2880" s="38"/>
      <c r="H2880" s="38"/>
      <c r="I2880" s="38"/>
      <c r="J2880" s="38"/>
      <c r="K2880" s="38">
        <f>SUM(K2863:K2879)</f>
        <v>740112</v>
      </c>
      <c r="L2880" s="38"/>
      <c r="M2880" s="125"/>
      <c r="N2880" s="125"/>
      <c r="O2880" s="38"/>
      <c r="P2880" s="38"/>
      <c r="Q2880" s="38"/>
      <c r="R2880" s="38"/>
      <c r="S2880" s="38"/>
      <c r="T2880" s="38"/>
      <c r="U2880" s="38"/>
      <c r="V2880" s="38"/>
      <c r="W2880" s="38"/>
      <c r="X2880" s="38"/>
      <c r="Y2880" s="38"/>
      <c r="Z2880" s="38"/>
      <c r="AA2880" s="1234"/>
      <c r="AB2880" s="1210"/>
      <c r="AC2880" s="1199"/>
      <c r="AD2880" s="1211"/>
    </row>
    <row r="2881" spans="1:30" ht="22.5" x14ac:dyDescent="0.2">
      <c r="A2881" s="1422"/>
      <c r="B2881" s="1433" t="s">
        <v>276</v>
      </c>
      <c r="C2881" s="1121"/>
      <c r="D2881" s="1119">
        <v>3044200</v>
      </c>
      <c r="E2881" s="192" t="s">
        <v>837</v>
      </c>
      <c r="F2881" s="35"/>
      <c r="G2881" s="35"/>
      <c r="H2881" s="35"/>
      <c r="I2881" s="35"/>
      <c r="J2881" s="35"/>
      <c r="K2881" s="60"/>
      <c r="L2881" s="60"/>
      <c r="M2881" s="200"/>
      <c r="N2881" s="200"/>
      <c r="O2881" s="60"/>
      <c r="P2881" s="60"/>
      <c r="Q2881" s="60"/>
      <c r="R2881" s="60"/>
      <c r="S2881" s="3333" t="s">
        <v>15</v>
      </c>
      <c r="T2881" s="3333"/>
      <c r="U2881" s="3333"/>
      <c r="V2881" s="3333"/>
      <c r="W2881" s="3333"/>
      <c r="X2881" s="3333"/>
      <c r="Y2881" s="3333"/>
      <c r="Z2881" s="3333"/>
      <c r="AA2881" s="1215" t="s">
        <v>16</v>
      </c>
      <c r="AB2881" s="1210"/>
      <c r="AC2881" s="1199"/>
      <c r="AD2881" s="1211"/>
    </row>
    <row r="2882" spans="1:30" x14ac:dyDescent="0.2">
      <c r="A2882" s="1422"/>
      <c r="B2882" s="1433"/>
      <c r="C2882" s="1121"/>
      <c r="D2882" s="1119"/>
      <c r="E2882" s="192"/>
      <c r="F2882" s="35"/>
      <c r="G2882" s="35"/>
      <c r="H2882" s="35"/>
      <c r="I2882" s="35"/>
      <c r="J2882" s="35"/>
      <c r="K2882" s="60"/>
      <c r="L2882" s="60"/>
      <c r="M2882" s="200"/>
      <c r="N2882" s="200"/>
      <c r="O2882" s="60"/>
      <c r="P2882" s="60"/>
      <c r="Q2882" s="60"/>
      <c r="R2882" s="60"/>
      <c r="S2882" s="3392" t="s">
        <v>838</v>
      </c>
      <c r="T2882" s="3393"/>
      <c r="U2882" s="3393"/>
      <c r="V2882" s="3393"/>
      <c r="W2882" s="3393"/>
      <c r="X2882" s="3393"/>
      <c r="Y2882" s="3393"/>
      <c r="Z2882" s="3394"/>
      <c r="AA2882" s="1214" t="s">
        <v>661</v>
      </c>
      <c r="AB2882" s="1210"/>
      <c r="AC2882" s="1199"/>
      <c r="AD2882" s="1211"/>
    </row>
    <row r="2883" spans="1:30" x14ac:dyDescent="0.2">
      <c r="A2883" s="1422"/>
      <c r="B2883" s="2999" t="s">
        <v>278</v>
      </c>
      <c r="C2883" s="3015" t="s">
        <v>21</v>
      </c>
      <c r="D2883" s="2847" t="s">
        <v>22</v>
      </c>
      <c r="E2883" s="2847" t="s">
        <v>23</v>
      </c>
      <c r="F2883" s="2847" t="s">
        <v>24</v>
      </c>
      <c r="G2883" s="2847" t="s">
        <v>25</v>
      </c>
      <c r="H2883" s="2847" t="s">
        <v>26</v>
      </c>
      <c r="I2883" s="2847" t="s">
        <v>27</v>
      </c>
      <c r="J2883" s="3206" t="s">
        <v>28</v>
      </c>
      <c r="K2883" s="3301"/>
      <c r="L2883" s="2987" t="s">
        <v>279</v>
      </c>
      <c r="M2883" s="3273" t="s">
        <v>280</v>
      </c>
      <c r="N2883" s="3274"/>
      <c r="O2883" s="2847" t="s">
        <v>281</v>
      </c>
      <c r="P2883" s="2847"/>
      <c r="Q2883" s="2847"/>
      <c r="R2883" s="2847"/>
      <c r="S2883" s="2847"/>
      <c r="T2883" s="2847"/>
      <c r="U2883" s="2847"/>
      <c r="V2883" s="2847"/>
      <c r="W2883" s="2847"/>
      <c r="X2883" s="2847"/>
      <c r="Y2883" s="2847"/>
      <c r="Z2883" s="2847"/>
      <c r="AA2883" s="3358" t="s">
        <v>32</v>
      </c>
      <c r="AB2883" s="1210"/>
      <c r="AC2883" s="1199"/>
      <c r="AD2883" s="1211"/>
    </row>
    <row r="2884" spans="1:30" x14ac:dyDescent="0.2">
      <c r="A2884" s="1422"/>
      <c r="B2884" s="2999"/>
      <c r="C2884" s="3359"/>
      <c r="D2884" s="2847"/>
      <c r="E2884" s="2847"/>
      <c r="F2884" s="2847"/>
      <c r="G2884" s="2847"/>
      <c r="H2884" s="2847"/>
      <c r="I2884" s="2847"/>
      <c r="J2884" s="2988" t="s">
        <v>33</v>
      </c>
      <c r="K2884" s="2988" t="s">
        <v>282</v>
      </c>
      <c r="L2884" s="3341"/>
      <c r="M2884" s="3275"/>
      <c r="N2884" s="3276"/>
      <c r="O2884" s="1009" t="s">
        <v>283</v>
      </c>
      <c r="P2884" s="1009" t="s">
        <v>284</v>
      </c>
      <c r="Q2884" s="1009" t="s">
        <v>285</v>
      </c>
      <c r="R2884" s="1009" t="s">
        <v>88</v>
      </c>
      <c r="S2884" s="1009" t="s">
        <v>89</v>
      </c>
      <c r="T2884" s="1009" t="s">
        <v>90</v>
      </c>
      <c r="U2884" s="1009" t="s">
        <v>91</v>
      </c>
      <c r="V2884" s="1009" t="s">
        <v>92</v>
      </c>
      <c r="W2884" s="1009" t="s">
        <v>286</v>
      </c>
      <c r="X2884" s="1009" t="s">
        <v>93</v>
      </c>
      <c r="Y2884" s="1009" t="s">
        <v>94</v>
      </c>
      <c r="Z2884" s="1009" t="s">
        <v>95</v>
      </c>
      <c r="AA2884" s="3358"/>
      <c r="AB2884" s="1210"/>
      <c r="AC2884" s="1199"/>
      <c r="AD2884" s="1211"/>
    </row>
    <row r="2885" spans="1:30" x14ac:dyDescent="0.2">
      <c r="A2885" s="1422"/>
      <c r="B2885" s="2999"/>
      <c r="C2885" s="3359"/>
      <c r="D2885" s="2847"/>
      <c r="E2885" s="2847"/>
      <c r="F2885" s="2847"/>
      <c r="G2885" s="2847"/>
      <c r="H2885" s="2847"/>
      <c r="I2885" s="2847"/>
      <c r="J2885" s="3186"/>
      <c r="K2885" s="3186"/>
      <c r="L2885" s="3341"/>
      <c r="M2885" s="3271" t="s">
        <v>287</v>
      </c>
      <c r="N2885" s="3272"/>
      <c r="O2885" s="1095">
        <v>3872</v>
      </c>
      <c r="P2885" s="1095">
        <v>3872</v>
      </c>
      <c r="Q2885" s="1095">
        <v>3872</v>
      </c>
      <c r="R2885" s="1095">
        <v>3872</v>
      </c>
      <c r="S2885" s="1095">
        <v>3872</v>
      </c>
      <c r="T2885" s="1095">
        <v>3872</v>
      </c>
      <c r="U2885" s="1095">
        <v>3871</v>
      </c>
      <c r="V2885" s="1095">
        <v>3871</v>
      </c>
      <c r="W2885" s="1095">
        <v>3871</v>
      </c>
      <c r="X2885" s="1095">
        <v>3872</v>
      </c>
      <c r="Y2885" s="1095">
        <v>3872</v>
      </c>
      <c r="Z2885" s="1095">
        <v>3872</v>
      </c>
      <c r="AA2885" s="1216">
        <f t="shared" ref="AA2885:AA2899" si="431">SUM(O2885:Z2885)</f>
        <v>46461</v>
      </c>
      <c r="AB2885" s="1210"/>
      <c r="AC2885" s="1199"/>
      <c r="AD2885" s="1211"/>
    </row>
    <row r="2886" spans="1:30" x14ac:dyDescent="0.2">
      <c r="A2886" s="1422"/>
      <c r="B2886" s="2999"/>
      <c r="C2886" s="3016"/>
      <c r="D2886" s="2847"/>
      <c r="E2886" s="2847"/>
      <c r="F2886" s="2847"/>
      <c r="G2886" s="2847"/>
      <c r="H2886" s="2847"/>
      <c r="I2886" s="2847"/>
      <c r="J2886" s="2989"/>
      <c r="K2886" s="2989"/>
      <c r="L2886" s="3341"/>
      <c r="M2886" s="3271" t="s">
        <v>34</v>
      </c>
      <c r="N2886" s="3272"/>
      <c r="O2886" s="120">
        <f>SUM(O2887:O2899)</f>
        <v>28150.75</v>
      </c>
      <c r="P2886" s="120">
        <f t="shared" ref="P2886:Z2886" si="432">SUM(P2887:P2899)</f>
        <v>25050.75</v>
      </c>
      <c r="Q2886" s="120">
        <f t="shared" si="432"/>
        <v>29362.25</v>
      </c>
      <c r="R2886" s="120">
        <f t="shared" si="432"/>
        <v>26650.75</v>
      </c>
      <c r="S2886" s="120">
        <f t="shared" si="432"/>
        <v>27352.75</v>
      </c>
      <c r="T2886" s="120">
        <f t="shared" si="432"/>
        <v>24750.75</v>
      </c>
      <c r="U2886" s="120">
        <f t="shared" si="432"/>
        <v>27443.75</v>
      </c>
      <c r="V2886" s="120">
        <f t="shared" si="432"/>
        <v>29162.25</v>
      </c>
      <c r="W2886" s="120">
        <f t="shared" si="432"/>
        <v>24750.75</v>
      </c>
      <c r="X2886" s="120">
        <f t="shared" si="432"/>
        <v>24750.75</v>
      </c>
      <c r="Y2886" s="120">
        <f t="shared" si="432"/>
        <v>24750.75</v>
      </c>
      <c r="Z2886" s="120">
        <f t="shared" si="432"/>
        <v>27443.75</v>
      </c>
      <c r="AA2886" s="1216">
        <f t="shared" si="431"/>
        <v>319620</v>
      </c>
      <c r="AB2886" s="1210"/>
      <c r="AC2886" s="1199"/>
      <c r="AD2886" s="1211"/>
    </row>
    <row r="2887" spans="1:30" x14ac:dyDescent="0.2">
      <c r="A2887" s="1422"/>
      <c r="B2887" s="2522">
        <v>5000123</v>
      </c>
      <c r="C2887" s="3190" t="s">
        <v>839</v>
      </c>
      <c r="D2887" s="2421">
        <v>90</v>
      </c>
      <c r="E2887" s="2421" t="s">
        <v>288</v>
      </c>
      <c r="F2887" s="2420" t="s">
        <v>386</v>
      </c>
      <c r="G2887" s="2420" t="s">
        <v>387</v>
      </c>
      <c r="H2887" s="2420"/>
      <c r="I2887" s="2420" t="s">
        <v>780</v>
      </c>
      <c r="J2887" s="2514">
        <v>46461</v>
      </c>
      <c r="K2887" s="115">
        <v>143637</v>
      </c>
      <c r="L2887" s="115"/>
      <c r="M2887" s="3287" t="s">
        <v>293</v>
      </c>
      <c r="N2887" s="3288"/>
      <c r="O2887" s="41">
        <f>$K2887/12</f>
        <v>11969.75</v>
      </c>
      <c r="P2887" s="41">
        <f t="shared" ref="P2887:Z2887" si="433">$K2887/12</f>
        <v>11969.75</v>
      </c>
      <c r="Q2887" s="41">
        <f t="shared" si="433"/>
        <v>11969.75</v>
      </c>
      <c r="R2887" s="41">
        <f t="shared" si="433"/>
        <v>11969.75</v>
      </c>
      <c r="S2887" s="41">
        <f t="shared" si="433"/>
        <v>11969.75</v>
      </c>
      <c r="T2887" s="41">
        <f t="shared" si="433"/>
        <v>11969.75</v>
      </c>
      <c r="U2887" s="41">
        <f t="shared" si="433"/>
        <v>11969.75</v>
      </c>
      <c r="V2887" s="41">
        <f t="shared" si="433"/>
        <v>11969.75</v>
      </c>
      <c r="W2887" s="41">
        <f t="shared" si="433"/>
        <v>11969.75</v>
      </c>
      <c r="X2887" s="41">
        <f t="shared" si="433"/>
        <v>11969.75</v>
      </c>
      <c r="Y2887" s="41">
        <f t="shared" si="433"/>
        <v>11969.75</v>
      </c>
      <c r="Z2887" s="41">
        <f t="shared" si="433"/>
        <v>11969.75</v>
      </c>
      <c r="AA2887" s="1217">
        <f t="shared" si="431"/>
        <v>143637</v>
      </c>
      <c r="AB2887" s="1210"/>
      <c r="AC2887" s="1199"/>
      <c r="AD2887" s="1211"/>
    </row>
    <row r="2888" spans="1:30" x14ac:dyDescent="0.2">
      <c r="A2888" s="1422"/>
      <c r="B2888" s="2522"/>
      <c r="C2888" s="3191"/>
      <c r="D2888" s="2421"/>
      <c r="E2888" s="2421"/>
      <c r="F2888" s="2420"/>
      <c r="G2888" s="2420"/>
      <c r="H2888" s="2420"/>
      <c r="I2888" s="2420"/>
      <c r="J2888" s="2515"/>
      <c r="K2888" s="115">
        <v>54816</v>
      </c>
      <c r="L2888" s="115"/>
      <c r="M2888" s="3287" t="s">
        <v>294</v>
      </c>
      <c r="N2888" s="3288"/>
      <c r="O2888" s="41">
        <f t="shared" ref="O2888:Z2894" si="434">$K2888/12</f>
        <v>4568</v>
      </c>
      <c r="P2888" s="41">
        <f t="shared" si="434"/>
        <v>4568</v>
      </c>
      <c r="Q2888" s="41">
        <f t="shared" si="434"/>
        <v>4568</v>
      </c>
      <c r="R2888" s="41">
        <f t="shared" si="434"/>
        <v>4568</v>
      </c>
      <c r="S2888" s="41">
        <f t="shared" si="434"/>
        <v>4568</v>
      </c>
      <c r="T2888" s="41">
        <f t="shared" si="434"/>
        <v>4568</v>
      </c>
      <c r="U2888" s="41">
        <f t="shared" si="434"/>
        <v>4568</v>
      </c>
      <c r="V2888" s="41">
        <f t="shared" si="434"/>
        <v>4568</v>
      </c>
      <c r="W2888" s="41">
        <f t="shared" si="434"/>
        <v>4568</v>
      </c>
      <c r="X2888" s="41">
        <f t="shared" si="434"/>
        <v>4568</v>
      </c>
      <c r="Y2888" s="41">
        <f t="shared" si="434"/>
        <v>4568</v>
      </c>
      <c r="Z2888" s="41">
        <f t="shared" si="434"/>
        <v>4568</v>
      </c>
      <c r="AA2888" s="1217">
        <f t="shared" si="431"/>
        <v>54816</v>
      </c>
      <c r="AB2888" s="1210"/>
      <c r="AC2888" s="1199"/>
      <c r="AD2888" s="1211"/>
    </row>
    <row r="2889" spans="1:30" x14ac:dyDescent="0.2">
      <c r="A2889" s="1422"/>
      <c r="B2889" s="2522"/>
      <c r="C2889" s="3191"/>
      <c r="D2889" s="2421"/>
      <c r="E2889" s="2421"/>
      <c r="F2889" s="2420"/>
      <c r="G2889" s="2420"/>
      <c r="H2889" s="2420"/>
      <c r="I2889" s="2420"/>
      <c r="J2889" s="2515"/>
      <c r="K2889" s="115">
        <v>29990</v>
      </c>
      <c r="L2889" s="115"/>
      <c r="M2889" s="3287" t="s">
        <v>295</v>
      </c>
      <c r="N2889" s="3288"/>
      <c r="O2889" s="41">
        <f t="shared" si="434"/>
        <v>2499.1666666666665</v>
      </c>
      <c r="P2889" s="41">
        <f t="shared" si="434"/>
        <v>2499.1666666666665</v>
      </c>
      <c r="Q2889" s="41">
        <f t="shared" si="434"/>
        <v>2499.1666666666665</v>
      </c>
      <c r="R2889" s="41">
        <f t="shared" si="434"/>
        <v>2499.1666666666665</v>
      </c>
      <c r="S2889" s="41">
        <f t="shared" si="434"/>
        <v>2499.1666666666665</v>
      </c>
      <c r="T2889" s="41">
        <f t="shared" si="434"/>
        <v>2499.1666666666665</v>
      </c>
      <c r="U2889" s="41">
        <f t="shared" si="434"/>
        <v>2499.1666666666665</v>
      </c>
      <c r="V2889" s="41">
        <f t="shared" si="434"/>
        <v>2499.1666666666665</v>
      </c>
      <c r="W2889" s="41">
        <f t="shared" si="434"/>
        <v>2499.1666666666665</v>
      </c>
      <c r="X2889" s="41">
        <f t="shared" si="434"/>
        <v>2499.1666666666665</v>
      </c>
      <c r="Y2889" s="41">
        <f t="shared" si="434"/>
        <v>2499.1666666666665</v>
      </c>
      <c r="Z2889" s="41">
        <f t="shared" si="434"/>
        <v>2499.1666666666665</v>
      </c>
      <c r="AA2889" s="1217">
        <f t="shared" si="431"/>
        <v>29990.000000000004</v>
      </c>
      <c r="AB2889" s="1210"/>
      <c r="AC2889" s="1199"/>
      <c r="AD2889" s="1211"/>
    </row>
    <row r="2890" spans="1:30" x14ac:dyDescent="0.2">
      <c r="A2890" s="1422"/>
      <c r="B2890" s="2522"/>
      <c r="C2890" s="3191"/>
      <c r="D2890" s="2421"/>
      <c r="E2890" s="2421"/>
      <c r="F2890" s="2420"/>
      <c r="G2890" s="2420"/>
      <c r="H2890" s="2420"/>
      <c r="I2890" s="2420"/>
      <c r="J2890" s="2515"/>
      <c r="K2890" s="115">
        <v>51607</v>
      </c>
      <c r="L2890" s="115"/>
      <c r="M2890" s="3287" t="s">
        <v>296</v>
      </c>
      <c r="N2890" s="3288"/>
      <c r="O2890" s="41">
        <f t="shared" si="434"/>
        <v>4300.583333333333</v>
      </c>
      <c r="P2890" s="41">
        <f t="shared" si="434"/>
        <v>4300.583333333333</v>
      </c>
      <c r="Q2890" s="41">
        <f t="shared" si="434"/>
        <v>4300.583333333333</v>
      </c>
      <c r="R2890" s="41">
        <f t="shared" si="434"/>
        <v>4300.583333333333</v>
      </c>
      <c r="S2890" s="41">
        <f t="shared" si="434"/>
        <v>4300.583333333333</v>
      </c>
      <c r="T2890" s="41">
        <f t="shared" si="434"/>
        <v>4300.583333333333</v>
      </c>
      <c r="U2890" s="41">
        <f t="shared" si="434"/>
        <v>4300.583333333333</v>
      </c>
      <c r="V2890" s="41">
        <f t="shared" si="434"/>
        <v>4300.583333333333</v>
      </c>
      <c r="W2890" s="41">
        <f t="shared" si="434"/>
        <v>4300.583333333333</v>
      </c>
      <c r="X2890" s="41">
        <f t="shared" si="434"/>
        <v>4300.583333333333</v>
      </c>
      <c r="Y2890" s="41">
        <f t="shared" si="434"/>
        <v>4300.583333333333</v>
      </c>
      <c r="Z2890" s="41">
        <f t="shared" si="434"/>
        <v>4300.583333333333</v>
      </c>
      <c r="AA2890" s="1217">
        <f t="shared" si="431"/>
        <v>51607.000000000007</v>
      </c>
      <c r="AB2890" s="1210"/>
      <c r="AC2890" s="1199"/>
      <c r="AD2890" s="1211"/>
    </row>
    <row r="2891" spans="1:30" x14ac:dyDescent="0.2">
      <c r="A2891" s="1422"/>
      <c r="B2891" s="2522"/>
      <c r="C2891" s="3191"/>
      <c r="D2891" s="2421"/>
      <c r="E2891" s="2421"/>
      <c r="F2891" s="2420"/>
      <c r="G2891" s="2420"/>
      <c r="H2891" s="2420"/>
      <c r="I2891" s="2420"/>
      <c r="J2891" s="2515"/>
      <c r="K2891" s="115">
        <v>5386</v>
      </c>
      <c r="L2891" s="115"/>
      <c r="M2891" s="3287" t="s">
        <v>298</v>
      </c>
      <c r="N2891" s="3288"/>
      <c r="O2891" s="41"/>
      <c r="P2891" s="41"/>
      <c r="Q2891" s="41"/>
      <c r="R2891" s="41"/>
      <c r="S2891" s="41"/>
      <c r="T2891" s="41"/>
      <c r="U2891" s="41">
        <f>$K2891/2</f>
        <v>2693</v>
      </c>
      <c r="V2891" s="41"/>
      <c r="W2891" s="41"/>
      <c r="X2891" s="41"/>
      <c r="Y2891" s="41"/>
      <c r="Z2891" s="41">
        <f>$K2891/2</f>
        <v>2693</v>
      </c>
      <c r="AA2891" s="1217">
        <f t="shared" si="431"/>
        <v>5386</v>
      </c>
      <c r="AB2891" s="1210"/>
      <c r="AC2891" s="1199"/>
      <c r="AD2891" s="1211"/>
    </row>
    <row r="2892" spans="1:30" x14ac:dyDescent="0.2">
      <c r="A2892" s="1422"/>
      <c r="B2892" s="2522"/>
      <c r="C2892" s="3191"/>
      <c r="D2892" s="2421"/>
      <c r="E2892" s="2421"/>
      <c r="F2892" s="2420"/>
      <c r="G2892" s="2420"/>
      <c r="H2892" s="2420"/>
      <c r="I2892" s="2420"/>
      <c r="J2892" s="2515"/>
      <c r="K2892" s="115">
        <v>3400</v>
      </c>
      <c r="L2892" s="115"/>
      <c r="M2892" s="3287" t="s">
        <v>299</v>
      </c>
      <c r="N2892" s="3288"/>
      <c r="O2892" s="41">
        <f>$K2892</f>
        <v>3400</v>
      </c>
      <c r="P2892" s="41"/>
      <c r="Q2892" s="41"/>
      <c r="R2892" s="41"/>
      <c r="S2892" s="41"/>
      <c r="T2892" s="41"/>
      <c r="U2892" s="41"/>
      <c r="V2892" s="41"/>
      <c r="W2892" s="41"/>
      <c r="X2892" s="41"/>
      <c r="Y2892" s="41"/>
      <c r="Z2892" s="41"/>
      <c r="AA2892" s="1217">
        <f t="shared" si="431"/>
        <v>3400</v>
      </c>
      <c r="AB2892" s="1210"/>
      <c r="AC2892" s="1199"/>
      <c r="AD2892" s="1211"/>
    </row>
    <row r="2893" spans="1:30" x14ac:dyDescent="0.2">
      <c r="A2893" s="1422"/>
      <c r="B2893" s="2522"/>
      <c r="C2893" s="3191"/>
      <c r="D2893" s="2421"/>
      <c r="E2893" s="2421"/>
      <c r="F2893" s="2420"/>
      <c r="G2893" s="2420"/>
      <c r="H2893" s="2420"/>
      <c r="I2893" s="2420"/>
      <c r="J2893" s="2515"/>
      <c r="K2893" s="115">
        <v>16749</v>
      </c>
      <c r="L2893" s="115"/>
      <c r="M2893" s="3287" t="s">
        <v>300</v>
      </c>
      <c r="N2893" s="3288"/>
      <c r="O2893" s="41">
        <f t="shared" si="434"/>
        <v>1395.75</v>
      </c>
      <c r="P2893" s="41">
        <f t="shared" si="434"/>
        <v>1395.75</v>
      </c>
      <c r="Q2893" s="41">
        <f t="shared" si="434"/>
        <v>1395.75</v>
      </c>
      <c r="R2893" s="41">
        <f t="shared" si="434"/>
        <v>1395.75</v>
      </c>
      <c r="S2893" s="41">
        <f t="shared" si="434"/>
        <v>1395.75</v>
      </c>
      <c r="T2893" s="41">
        <f t="shared" si="434"/>
        <v>1395.75</v>
      </c>
      <c r="U2893" s="41">
        <f t="shared" si="434"/>
        <v>1395.75</v>
      </c>
      <c r="V2893" s="41">
        <f t="shared" si="434"/>
        <v>1395.75</v>
      </c>
      <c r="W2893" s="41">
        <f t="shared" si="434"/>
        <v>1395.75</v>
      </c>
      <c r="X2893" s="41">
        <f t="shared" si="434"/>
        <v>1395.75</v>
      </c>
      <c r="Y2893" s="41">
        <f t="shared" si="434"/>
        <v>1395.75</v>
      </c>
      <c r="Z2893" s="41">
        <f t="shared" si="434"/>
        <v>1395.75</v>
      </c>
      <c r="AA2893" s="1217">
        <f t="shared" si="431"/>
        <v>16749</v>
      </c>
      <c r="AB2893" s="1210"/>
      <c r="AC2893" s="1199"/>
      <c r="AD2893" s="1211"/>
    </row>
    <row r="2894" spans="1:30" x14ac:dyDescent="0.2">
      <c r="A2894" s="1422"/>
      <c r="B2894" s="2522"/>
      <c r="C2894" s="3191"/>
      <c r="D2894" s="2421"/>
      <c r="E2894" s="2421"/>
      <c r="F2894" s="2420"/>
      <c r="G2894" s="2420"/>
      <c r="H2894" s="2420"/>
      <c r="I2894" s="2420"/>
      <c r="J2894" s="2515"/>
      <c r="K2894" s="115">
        <v>210</v>
      </c>
      <c r="L2894" s="115"/>
      <c r="M2894" s="3287" t="s">
        <v>301</v>
      </c>
      <c r="N2894" s="3288"/>
      <c r="O2894" s="41">
        <f t="shared" si="434"/>
        <v>17.5</v>
      </c>
      <c r="P2894" s="41">
        <f t="shared" si="434"/>
        <v>17.5</v>
      </c>
      <c r="Q2894" s="41">
        <f t="shared" si="434"/>
        <v>17.5</v>
      </c>
      <c r="R2894" s="41">
        <f t="shared" si="434"/>
        <v>17.5</v>
      </c>
      <c r="S2894" s="41">
        <f t="shared" si="434"/>
        <v>17.5</v>
      </c>
      <c r="T2894" s="41">
        <f t="shared" si="434"/>
        <v>17.5</v>
      </c>
      <c r="U2894" s="41">
        <f t="shared" si="434"/>
        <v>17.5</v>
      </c>
      <c r="V2894" s="41">
        <f t="shared" si="434"/>
        <v>17.5</v>
      </c>
      <c r="W2894" s="41">
        <f t="shared" si="434"/>
        <v>17.5</v>
      </c>
      <c r="X2894" s="41">
        <f t="shared" si="434"/>
        <v>17.5</v>
      </c>
      <c r="Y2894" s="41">
        <f t="shared" si="434"/>
        <v>17.5</v>
      </c>
      <c r="Z2894" s="41">
        <f t="shared" si="434"/>
        <v>17.5</v>
      </c>
      <c r="AA2894" s="1217">
        <f t="shared" si="431"/>
        <v>210</v>
      </c>
      <c r="AB2894" s="1210"/>
      <c r="AC2894" s="1199"/>
      <c r="AD2894" s="1211"/>
    </row>
    <row r="2895" spans="1:30" x14ac:dyDescent="0.2">
      <c r="A2895" s="1422"/>
      <c r="B2895" s="2522"/>
      <c r="C2895" s="3191"/>
      <c r="D2895" s="2421"/>
      <c r="E2895" s="2421"/>
      <c r="F2895" s="2420"/>
      <c r="G2895" s="2420"/>
      <c r="H2895" s="2420"/>
      <c r="I2895" s="2420"/>
      <c r="J2895" s="2515"/>
      <c r="K2895" s="115">
        <v>2602</v>
      </c>
      <c r="L2895" s="115"/>
      <c r="M2895" s="3287" t="s">
        <v>302</v>
      </c>
      <c r="N2895" s="3288"/>
      <c r="O2895" s="41"/>
      <c r="P2895" s="41"/>
      <c r="Q2895" s="41"/>
      <c r="R2895" s="41"/>
      <c r="S2895" s="41">
        <f>K2895</f>
        <v>2602</v>
      </c>
      <c r="T2895" s="41"/>
      <c r="U2895" s="41"/>
      <c r="V2895" s="41"/>
      <c r="W2895" s="41"/>
      <c r="X2895" s="41"/>
      <c r="Y2895" s="41"/>
      <c r="Z2895" s="41"/>
      <c r="AA2895" s="1217">
        <f t="shared" si="431"/>
        <v>2602</v>
      </c>
      <c r="AB2895" s="1210"/>
      <c r="AC2895" s="1199"/>
      <c r="AD2895" s="1211"/>
    </row>
    <row r="2896" spans="1:30" x14ac:dyDescent="0.2">
      <c r="A2896" s="1422"/>
      <c r="B2896" s="2522"/>
      <c r="C2896" s="3191"/>
      <c r="D2896" s="2421"/>
      <c r="E2896" s="2421"/>
      <c r="F2896" s="2420"/>
      <c r="G2896" s="2420"/>
      <c r="H2896" s="2420"/>
      <c r="I2896" s="2420"/>
      <c r="J2896" s="2515"/>
      <c r="K2896" s="115">
        <v>1900</v>
      </c>
      <c r="L2896" s="115"/>
      <c r="M2896" s="3287" t="s">
        <v>303</v>
      </c>
      <c r="N2896" s="3288"/>
      <c r="O2896" s="41"/>
      <c r="P2896" s="41"/>
      <c r="Q2896" s="95"/>
      <c r="R2896" s="95">
        <f>$K2896</f>
        <v>1900</v>
      </c>
      <c r="S2896" s="41"/>
      <c r="T2896" s="41"/>
      <c r="U2896" s="41"/>
      <c r="V2896" s="41"/>
      <c r="W2896" s="41"/>
      <c r="X2896" s="41"/>
      <c r="Y2896" s="41"/>
      <c r="Z2896" s="41"/>
      <c r="AA2896" s="1217">
        <f t="shared" si="431"/>
        <v>1900</v>
      </c>
      <c r="AB2896" s="1210"/>
      <c r="AC2896" s="1199"/>
      <c r="AD2896" s="1211"/>
    </row>
    <row r="2897" spans="1:30" x14ac:dyDescent="0.2">
      <c r="A2897" s="1422"/>
      <c r="B2897" s="2522"/>
      <c r="C2897" s="3191"/>
      <c r="D2897" s="2421"/>
      <c r="E2897" s="2421"/>
      <c r="F2897" s="2420"/>
      <c r="G2897" s="2420"/>
      <c r="H2897" s="2420"/>
      <c r="I2897" s="2420"/>
      <c r="J2897" s="2515"/>
      <c r="K2897" s="115">
        <v>300</v>
      </c>
      <c r="L2897" s="115"/>
      <c r="M2897" s="3287" t="s">
        <v>324</v>
      </c>
      <c r="N2897" s="3288"/>
      <c r="O2897" s="41"/>
      <c r="P2897" s="41">
        <f>$K2897</f>
        <v>300</v>
      </c>
      <c r="Q2897" s="41"/>
      <c r="R2897" s="41"/>
      <c r="S2897" s="41"/>
      <c r="T2897" s="41"/>
      <c r="U2897" s="41"/>
      <c r="V2897" s="41"/>
      <c r="W2897" s="41"/>
      <c r="X2897" s="41"/>
      <c r="Y2897" s="41"/>
      <c r="Z2897" s="41"/>
      <c r="AA2897" s="1217">
        <f t="shared" si="431"/>
        <v>300</v>
      </c>
      <c r="AB2897" s="1210"/>
      <c r="AC2897" s="1199"/>
      <c r="AD2897" s="1211"/>
    </row>
    <row r="2898" spans="1:30" x14ac:dyDescent="0.2">
      <c r="A2898" s="1422"/>
      <c r="B2898" s="2522"/>
      <c r="C2898" s="3191"/>
      <c r="D2898" s="2421"/>
      <c r="E2898" s="2421"/>
      <c r="F2898" s="2420"/>
      <c r="G2898" s="2420"/>
      <c r="H2898" s="2420"/>
      <c r="I2898" s="2420"/>
      <c r="J2898" s="2515"/>
      <c r="K2898" s="115">
        <v>8823</v>
      </c>
      <c r="L2898" s="115"/>
      <c r="M2898" s="3287" t="s">
        <v>304</v>
      </c>
      <c r="N2898" s="3288"/>
      <c r="O2898" s="41"/>
      <c r="P2898" s="41"/>
      <c r="Q2898" s="95">
        <f>$K2898/2</f>
        <v>4411.5</v>
      </c>
      <c r="R2898" s="41"/>
      <c r="S2898" s="41"/>
      <c r="T2898" s="41"/>
      <c r="U2898" s="41"/>
      <c r="V2898" s="95">
        <f>$K2898/2</f>
        <v>4411.5</v>
      </c>
      <c r="W2898" s="41"/>
      <c r="X2898" s="41"/>
      <c r="Y2898" s="41"/>
      <c r="Z2898" s="41"/>
      <c r="AA2898" s="1217">
        <f t="shared" si="431"/>
        <v>8823</v>
      </c>
      <c r="AB2898" s="1210"/>
      <c r="AC2898" s="1199"/>
      <c r="AD2898" s="1211"/>
    </row>
    <row r="2899" spans="1:30" x14ac:dyDescent="0.2">
      <c r="A2899" s="1422"/>
      <c r="B2899" s="2522"/>
      <c r="C2899" s="2439"/>
      <c r="D2899" s="2421"/>
      <c r="E2899" s="2421"/>
      <c r="F2899" s="2420"/>
      <c r="G2899" s="2420"/>
      <c r="H2899" s="2420"/>
      <c r="I2899" s="2420"/>
      <c r="J2899" s="2516"/>
      <c r="K2899" s="115">
        <v>200</v>
      </c>
      <c r="L2899" s="115"/>
      <c r="M2899" s="3287" t="s">
        <v>308</v>
      </c>
      <c r="N2899" s="3288"/>
      <c r="O2899" s="41"/>
      <c r="P2899" s="41"/>
      <c r="Q2899" s="95">
        <f>$K2899</f>
        <v>200</v>
      </c>
      <c r="R2899" s="41"/>
      <c r="S2899" s="41"/>
      <c r="T2899" s="41"/>
      <c r="U2899" s="41"/>
      <c r="V2899" s="41"/>
      <c r="W2899" s="41"/>
      <c r="X2899" s="41"/>
      <c r="Y2899" s="41"/>
      <c r="Z2899" s="41"/>
      <c r="AA2899" s="1217">
        <f t="shared" si="431"/>
        <v>200</v>
      </c>
      <c r="AB2899" s="1210"/>
      <c r="AC2899" s="1199"/>
      <c r="AD2899" s="1211"/>
    </row>
    <row r="2900" spans="1:30" x14ac:dyDescent="0.2">
      <c r="A2900" s="1422"/>
      <c r="B2900" s="1427" t="s">
        <v>312</v>
      </c>
      <c r="C2900" s="1273"/>
      <c r="D2900" s="38"/>
      <c r="E2900" s="38"/>
      <c r="F2900" s="38"/>
      <c r="G2900" s="38"/>
      <c r="H2900" s="38"/>
      <c r="I2900" s="38"/>
      <c r="J2900" s="38"/>
      <c r="K2900" s="38">
        <f>SUM(K2887:K2899)</f>
        <v>319620</v>
      </c>
      <c r="L2900" s="38"/>
      <c r="M2900" s="125"/>
      <c r="N2900" s="125"/>
      <c r="O2900" s="38"/>
      <c r="P2900" s="38"/>
      <c r="Q2900" s="38"/>
      <c r="R2900" s="38"/>
      <c r="S2900" s="38"/>
      <c r="T2900" s="38"/>
      <c r="U2900" s="38"/>
      <c r="V2900" s="38"/>
      <c r="W2900" s="38"/>
      <c r="X2900" s="38"/>
      <c r="Y2900" s="38"/>
      <c r="Z2900" s="38"/>
      <c r="AA2900" s="1234"/>
      <c r="AB2900" s="1210"/>
      <c r="AC2900" s="1199"/>
      <c r="AD2900" s="1211"/>
    </row>
    <row r="2901" spans="1:30" ht="22.5" x14ac:dyDescent="0.2">
      <c r="A2901" s="1422"/>
      <c r="B2901" s="1433" t="s">
        <v>276</v>
      </c>
      <c r="C2901" s="1121"/>
      <c r="D2901" s="1119">
        <v>3044201</v>
      </c>
      <c r="E2901" s="192" t="s">
        <v>840</v>
      </c>
      <c r="F2901" s="35"/>
      <c r="G2901" s="35"/>
      <c r="H2901" s="35"/>
      <c r="I2901" s="35"/>
      <c r="J2901" s="35"/>
      <c r="K2901" s="60"/>
      <c r="L2901" s="60"/>
      <c r="M2901" s="200"/>
      <c r="N2901" s="200"/>
      <c r="O2901" s="60"/>
      <c r="P2901" s="60"/>
      <c r="Q2901" s="60"/>
      <c r="R2901" s="60"/>
      <c r="S2901" s="3333" t="s">
        <v>15</v>
      </c>
      <c r="T2901" s="3333"/>
      <c r="U2901" s="3333"/>
      <c r="V2901" s="3333"/>
      <c r="W2901" s="3333"/>
      <c r="X2901" s="3333"/>
      <c r="Y2901" s="3333"/>
      <c r="Z2901" s="3333"/>
      <c r="AA2901" s="1215" t="s">
        <v>16</v>
      </c>
      <c r="AB2901" s="1210"/>
      <c r="AC2901" s="1199"/>
      <c r="AD2901" s="1211"/>
    </row>
    <row r="2902" spans="1:30" x14ac:dyDescent="0.2">
      <c r="A2902" s="1422"/>
      <c r="B2902" s="1433"/>
      <c r="C2902" s="1121"/>
      <c r="D2902" s="1119"/>
      <c r="E2902" s="192"/>
      <c r="F2902" s="35"/>
      <c r="G2902" s="35"/>
      <c r="H2902" s="35"/>
      <c r="I2902" s="35"/>
      <c r="J2902" s="35"/>
      <c r="K2902" s="60"/>
      <c r="L2902" s="60"/>
      <c r="M2902" s="200"/>
      <c r="N2902" s="200"/>
      <c r="O2902" s="60"/>
      <c r="P2902" s="60"/>
      <c r="Q2902" s="60"/>
      <c r="R2902" s="60"/>
      <c r="S2902" s="3383" t="s">
        <v>841</v>
      </c>
      <c r="T2902" s="3383"/>
      <c r="U2902" s="3383"/>
      <c r="V2902" s="3383"/>
      <c r="W2902" s="3383"/>
      <c r="X2902" s="3383"/>
      <c r="Y2902" s="3383"/>
      <c r="Z2902" s="3383"/>
      <c r="AA2902" s="1214" t="s">
        <v>661</v>
      </c>
      <c r="AB2902" s="1210"/>
      <c r="AC2902" s="1199"/>
      <c r="AD2902" s="1211"/>
    </row>
    <row r="2903" spans="1:30" x14ac:dyDescent="0.2">
      <c r="A2903" s="1422"/>
      <c r="B2903" s="2999" t="s">
        <v>278</v>
      </c>
      <c r="C2903" s="3015" t="s">
        <v>21</v>
      </c>
      <c r="D2903" s="2847" t="s">
        <v>22</v>
      </c>
      <c r="E2903" s="2847" t="s">
        <v>23</v>
      </c>
      <c r="F2903" s="2847" t="s">
        <v>24</v>
      </c>
      <c r="G2903" s="2847" t="s">
        <v>25</v>
      </c>
      <c r="H2903" s="2847" t="s">
        <v>26</v>
      </c>
      <c r="I2903" s="2847" t="s">
        <v>27</v>
      </c>
      <c r="J2903" s="3206" t="s">
        <v>28</v>
      </c>
      <c r="K2903" s="3301"/>
      <c r="L2903" s="2987" t="s">
        <v>279</v>
      </c>
      <c r="M2903" s="3273" t="s">
        <v>280</v>
      </c>
      <c r="N2903" s="3274"/>
      <c r="O2903" s="2847" t="s">
        <v>281</v>
      </c>
      <c r="P2903" s="2847"/>
      <c r="Q2903" s="2847"/>
      <c r="R2903" s="2847"/>
      <c r="S2903" s="2847"/>
      <c r="T2903" s="2847"/>
      <c r="U2903" s="2847"/>
      <c r="V2903" s="2847"/>
      <c r="W2903" s="2847"/>
      <c r="X2903" s="2847"/>
      <c r="Y2903" s="2847"/>
      <c r="Z2903" s="2847"/>
      <c r="AA2903" s="3358" t="s">
        <v>32</v>
      </c>
      <c r="AB2903" s="1210"/>
      <c r="AC2903" s="1199"/>
      <c r="AD2903" s="1211"/>
    </row>
    <row r="2904" spans="1:30" x14ac:dyDescent="0.2">
      <c r="A2904" s="1422"/>
      <c r="B2904" s="2999"/>
      <c r="C2904" s="3359"/>
      <c r="D2904" s="2847"/>
      <c r="E2904" s="2847"/>
      <c r="F2904" s="2847"/>
      <c r="G2904" s="2847"/>
      <c r="H2904" s="2847"/>
      <c r="I2904" s="2847"/>
      <c r="J2904" s="2988" t="s">
        <v>33</v>
      </c>
      <c r="K2904" s="2988" t="s">
        <v>282</v>
      </c>
      <c r="L2904" s="3341"/>
      <c r="M2904" s="3275"/>
      <c r="N2904" s="3276"/>
      <c r="O2904" s="1009" t="s">
        <v>283</v>
      </c>
      <c r="P2904" s="1009" t="s">
        <v>284</v>
      </c>
      <c r="Q2904" s="1009" t="s">
        <v>285</v>
      </c>
      <c r="R2904" s="1009" t="s">
        <v>88</v>
      </c>
      <c r="S2904" s="1009" t="s">
        <v>89</v>
      </c>
      <c r="T2904" s="1009" t="s">
        <v>90</v>
      </c>
      <c r="U2904" s="1009" t="s">
        <v>91</v>
      </c>
      <c r="V2904" s="1009" t="s">
        <v>92</v>
      </c>
      <c r="W2904" s="1009" t="s">
        <v>286</v>
      </c>
      <c r="X2904" s="1009" t="s">
        <v>93</v>
      </c>
      <c r="Y2904" s="1009" t="s">
        <v>94</v>
      </c>
      <c r="Z2904" s="1009" t="s">
        <v>95</v>
      </c>
      <c r="AA2904" s="3358"/>
      <c r="AB2904" s="1210"/>
      <c r="AC2904" s="1199"/>
      <c r="AD2904" s="1211"/>
    </row>
    <row r="2905" spans="1:30" x14ac:dyDescent="0.2">
      <c r="A2905" s="1422"/>
      <c r="B2905" s="2999"/>
      <c r="C2905" s="3359"/>
      <c r="D2905" s="2847"/>
      <c r="E2905" s="2847"/>
      <c r="F2905" s="2847"/>
      <c r="G2905" s="2847"/>
      <c r="H2905" s="2847"/>
      <c r="I2905" s="2847"/>
      <c r="J2905" s="3186"/>
      <c r="K2905" s="3186"/>
      <c r="L2905" s="3341"/>
      <c r="M2905" s="3271" t="s">
        <v>287</v>
      </c>
      <c r="N2905" s="3272"/>
      <c r="O2905" s="1095">
        <v>207</v>
      </c>
      <c r="P2905" s="1095">
        <v>208</v>
      </c>
      <c r="Q2905" s="1095">
        <v>208</v>
      </c>
      <c r="R2905" s="1095">
        <v>207</v>
      </c>
      <c r="S2905" s="1095">
        <v>208</v>
      </c>
      <c r="T2905" s="1095">
        <v>208</v>
      </c>
      <c r="U2905" s="1095">
        <v>207</v>
      </c>
      <c r="V2905" s="1095">
        <v>208</v>
      </c>
      <c r="W2905" s="1095">
        <v>208</v>
      </c>
      <c r="X2905" s="1095">
        <v>208</v>
      </c>
      <c r="Y2905" s="1095">
        <v>208</v>
      </c>
      <c r="Z2905" s="1095">
        <v>208</v>
      </c>
      <c r="AA2905" s="1216">
        <f t="shared" ref="AA2905:AA2922" si="435">SUM(O2905:Z2905)</f>
        <v>2493</v>
      </c>
      <c r="AB2905" s="1210"/>
      <c r="AC2905" s="1199"/>
      <c r="AD2905" s="1211"/>
    </row>
    <row r="2906" spans="1:30" x14ac:dyDescent="0.2">
      <c r="A2906" s="1422"/>
      <c r="B2906" s="2999"/>
      <c r="C2906" s="3016"/>
      <c r="D2906" s="2847"/>
      <c r="E2906" s="2847"/>
      <c r="F2906" s="2847"/>
      <c r="G2906" s="2847"/>
      <c r="H2906" s="2847"/>
      <c r="I2906" s="2847"/>
      <c r="J2906" s="2989"/>
      <c r="K2906" s="2989"/>
      <c r="L2906" s="3341"/>
      <c r="M2906" s="3271" t="s">
        <v>34</v>
      </c>
      <c r="N2906" s="3272"/>
      <c r="O2906" s="120">
        <f>SUM(O2907:O2922)</f>
        <v>25910.666666666664</v>
      </c>
      <c r="P2906" s="120">
        <f t="shared" ref="P2906:Z2906" si="436">SUM(P2907:P2922)</f>
        <v>24353.666666666664</v>
      </c>
      <c r="Q2906" s="120">
        <f t="shared" si="436"/>
        <v>29216.666666666664</v>
      </c>
      <c r="R2906" s="120">
        <f t="shared" si="436"/>
        <v>29023.166666666664</v>
      </c>
      <c r="S2906" s="120">
        <f t="shared" si="436"/>
        <v>23910.666666666664</v>
      </c>
      <c r="T2906" s="120">
        <f t="shared" si="436"/>
        <v>23910.666666666664</v>
      </c>
      <c r="U2906" s="120">
        <f t="shared" si="436"/>
        <v>25464.666666666664</v>
      </c>
      <c r="V2906" s="120">
        <f t="shared" si="436"/>
        <v>28171.166666666664</v>
      </c>
      <c r="W2906" s="120">
        <f t="shared" si="436"/>
        <v>23910.666666666664</v>
      </c>
      <c r="X2906" s="120">
        <f t="shared" si="436"/>
        <v>23910.666666666664</v>
      </c>
      <c r="Y2906" s="120">
        <f t="shared" si="436"/>
        <v>23910.666666666664</v>
      </c>
      <c r="Z2906" s="120">
        <f t="shared" si="436"/>
        <v>25464.666666666664</v>
      </c>
      <c r="AA2906" s="1216">
        <f t="shared" si="435"/>
        <v>307157.99999999994</v>
      </c>
      <c r="AB2906" s="1210"/>
      <c r="AC2906" s="1199"/>
      <c r="AD2906" s="1211"/>
    </row>
    <row r="2907" spans="1:30" x14ac:dyDescent="0.2">
      <c r="A2907" s="1422"/>
      <c r="B2907" s="2522">
        <v>5000124</v>
      </c>
      <c r="C2907" s="3190" t="s">
        <v>842</v>
      </c>
      <c r="D2907" s="2421">
        <v>91</v>
      </c>
      <c r="E2907" s="2421" t="s">
        <v>288</v>
      </c>
      <c r="F2907" s="2420" t="s">
        <v>386</v>
      </c>
      <c r="G2907" s="2420" t="s">
        <v>387</v>
      </c>
      <c r="H2907" s="2420"/>
      <c r="I2907" s="2420" t="s">
        <v>780</v>
      </c>
      <c r="J2907" s="2514">
        <v>2493</v>
      </c>
      <c r="K2907" s="115">
        <v>132902</v>
      </c>
      <c r="L2907" s="115"/>
      <c r="M2907" s="3287" t="s">
        <v>293</v>
      </c>
      <c r="N2907" s="3288"/>
      <c r="O2907" s="41">
        <v>11075.166666666666</v>
      </c>
      <c r="P2907" s="41">
        <v>11075.166666666666</v>
      </c>
      <c r="Q2907" s="41">
        <v>11075.166666666666</v>
      </c>
      <c r="R2907" s="41">
        <v>11075.166666666666</v>
      </c>
      <c r="S2907" s="41">
        <v>11075.166666666666</v>
      </c>
      <c r="T2907" s="41">
        <v>11075.166666666666</v>
      </c>
      <c r="U2907" s="41">
        <v>11075.166666666666</v>
      </c>
      <c r="V2907" s="41">
        <v>11075.166666666666</v>
      </c>
      <c r="W2907" s="41">
        <v>11075.166666666666</v>
      </c>
      <c r="X2907" s="41">
        <v>11075.166666666666</v>
      </c>
      <c r="Y2907" s="41">
        <v>11075.166666666666</v>
      </c>
      <c r="Z2907" s="41">
        <v>11075.166666666666</v>
      </c>
      <c r="AA2907" s="1217">
        <f t="shared" si="435"/>
        <v>132902.00000000003</v>
      </c>
      <c r="AB2907" s="1210"/>
      <c r="AC2907" s="1199"/>
      <c r="AD2907" s="1211"/>
    </row>
    <row r="2908" spans="1:30" x14ac:dyDescent="0.2">
      <c r="A2908" s="1422"/>
      <c r="B2908" s="2522"/>
      <c r="C2908" s="3191"/>
      <c r="D2908" s="2421"/>
      <c r="E2908" s="2421"/>
      <c r="F2908" s="2420"/>
      <c r="G2908" s="2420"/>
      <c r="H2908" s="2420"/>
      <c r="I2908" s="2420"/>
      <c r="J2908" s="2515"/>
      <c r="K2908" s="115">
        <v>54816</v>
      </c>
      <c r="L2908" s="115"/>
      <c r="M2908" s="3287" t="s">
        <v>294</v>
      </c>
      <c r="N2908" s="3288"/>
      <c r="O2908" s="41">
        <v>4568</v>
      </c>
      <c r="P2908" s="41">
        <v>4568</v>
      </c>
      <c r="Q2908" s="41">
        <v>4568</v>
      </c>
      <c r="R2908" s="41">
        <v>4568</v>
      </c>
      <c r="S2908" s="41">
        <v>4568</v>
      </c>
      <c r="T2908" s="41">
        <v>4568</v>
      </c>
      <c r="U2908" s="41">
        <v>4568</v>
      </c>
      <c r="V2908" s="41">
        <v>4568</v>
      </c>
      <c r="W2908" s="41">
        <v>4568</v>
      </c>
      <c r="X2908" s="41">
        <v>4568</v>
      </c>
      <c r="Y2908" s="41">
        <v>4568</v>
      </c>
      <c r="Z2908" s="41">
        <v>4568</v>
      </c>
      <c r="AA2908" s="1217">
        <f t="shared" si="435"/>
        <v>54816</v>
      </c>
      <c r="AB2908" s="1210"/>
      <c r="AC2908" s="1199"/>
      <c r="AD2908" s="1211"/>
    </row>
    <row r="2909" spans="1:30" x14ac:dyDescent="0.2">
      <c r="A2909" s="1422"/>
      <c r="B2909" s="2522"/>
      <c r="C2909" s="3191"/>
      <c r="D2909" s="2421"/>
      <c r="E2909" s="2421"/>
      <c r="F2909" s="2420"/>
      <c r="G2909" s="2420"/>
      <c r="H2909" s="2420"/>
      <c r="I2909" s="2420"/>
      <c r="J2909" s="2515"/>
      <c r="K2909" s="115">
        <v>42288</v>
      </c>
      <c r="L2909" s="115"/>
      <c r="M2909" s="3287" t="s">
        <v>295</v>
      </c>
      <c r="N2909" s="3288"/>
      <c r="O2909" s="41">
        <v>3524</v>
      </c>
      <c r="P2909" s="41">
        <v>3524</v>
      </c>
      <c r="Q2909" s="41">
        <v>3524</v>
      </c>
      <c r="R2909" s="41">
        <v>3524</v>
      </c>
      <c r="S2909" s="41">
        <v>3524</v>
      </c>
      <c r="T2909" s="41">
        <v>3524</v>
      </c>
      <c r="U2909" s="41">
        <v>3524</v>
      </c>
      <c r="V2909" s="41">
        <v>3524</v>
      </c>
      <c r="W2909" s="41">
        <v>3524</v>
      </c>
      <c r="X2909" s="41">
        <v>3524</v>
      </c>
      <c r="Y2909" s="41">
        <v>3524</v>
      </c>
      <c r="Z2909" s="41">
        <v>3524</v>
      </c>
      <c r="AA2909" s="1217">
        <f t="shared" si="435"/>
        <v>42288</v>
      </c>
      <c r="AB2909" s="1210"/>
      <c r="AC2909" s="1199"/>
      <c r="AD2909" s="1211"/>
    </row>
    <row r="2910" spans="1:30" x14ac:dyDescent="0.2">
      <c r="A2910" s="1422"/>
      <c r="B2910" s="2522"/>
      <c r="C2910" s="3191"/>
      <c r="D2910" s="2421"/>
      <c r="E2910" s="2421"/>
      <c r="F2910" s="2420"/>
      <c r="G2910" s="2420"/>
      <c r="H2910" s="2420"/>
      <c r="I2910" s="2420"/>
      <c r="J2910" s="2515"/>
      <c r="K2910" s="115">
        <v>43117</v>
      </c>
      <c r="L2910" s="115"/>
      <c r="M2910" s="3287" t="s">
        <v>296</v>
      </c>
      <c r="N2910" s="3288"/>
      <c r="O2910" s="41">
        <v>3593.0833333333335</v>
      </c>
      <c r="P2910" s="41">
        <v>3593.0833333333335</v>
      </c>
      <c r="Q2910" s="41">
        <v>3593.0833333333335</v>
      </c>
      <c r="R2910" s="41">
        <v>3593.0833333333335</v>
      </c>
      <c r="S2910" s="41">
        <v>3593.0833333333335</v>
      </c>
      <c r="T2910" s="41">
        <v>3593.0833333333335</v>
      </c>
      <c r="U2910" s="41">
        <v>3593.0833333333335</v>
      </c>
      <c r="V2910" s="41">
        <v>3593.0833333333335</v>
      </c>
      <c r="W2910" s="41">
        <v>3593.0833333333335</v>
      </c>
      <c r="X2910" s="41">
        <v>3593.0833333333335</v>
      </c>
      <c r="Y2910" s="41">
        <v>3593.0833333333335</v>
      </c>
      <c r="Z2910" s="41">
        <v>3593.0833333333335</v>
      </c>
      <c r="AA2910" s="1217">
        <f t="shared" si="435"/>
        <v>43117</v>
      </c>
      <c r="AB2910" s="1210"/>
      <c r="AC2910" s="1199"/>
      <c r="AD2910" s="1211"/>
    </row>
    <row r="2911" spans="1:30" x14ac:dyDescent="0.2">
      <c r="A2911" s="1422"/>
      <c r="B2911" s="2522"/>
      <c r="C2911" s="3191"/>
      <c r="D2911" s="2421"/>
      <c r="E2911" s="2421"/>
      <c r="F2911" s="2420"/>
      <c r="G2911" s="2420"/>
      <c r="H2911" s="2420"/>
      <c r="I2911" s="2420"/>
      <c r="J2911" s="2515"/>
      <c r="K2911" s="115">
        <v>1896</v>
      </c>
      <c r="L2911" s="115"/>
      <c r="M2911" s="3287" t="s">
        <v>297</v>
      </c>
      <c r="N2911" s="3288"/>
      <c r="O2911" s="41">
        <v>158</v>
      </c>
      <c r="P2911" s="41">
        <v>158</v>
      </c>
      <c r="Q2911" s="41">
        <v>158</v>
      </c>
      <c r="R2911" s="41">
        <v>158</v>
      </c>
      <c r="S2911" s="41">
        <v>158</v>
      </c>
      <c r="T2911" s="41">
        <v>158</v>
      </c>
      <c r="U2911" s="41">
        <v>158</v>
      </c>
      <c r="V2911" s="41">
        <v>158</v>
      </c>
      <c r="W2911" s="41">
        <v>158</v>
      </c>
      <c r="X2911" s="41">
        <v>158</v>
      </c>
      <c r="Y2911" s="41">
        <v>158</v>
      </c>
      <c r="Z2911" s="41">
        <v>158</v>
      </c>
      <c r="AA2911" s="1217">
        <f t="shared" si="435"/>
        <v>1896</v>
      </c>
      <c r="AB2911" s="1210"/>
      <c r="AC2911" s="1199"/>
      <c r="AD2911" s="1211"/>
    </row>
    <row r="2912" spans="1:30" x14ac:dyDescent="0.2">
      <c r="A2912" s="1422"/>
      <c r="B2912" s="2522"/>
      <c r="C2912" s="3191"/>
      <c r="D2912" s="2421"/>
      <c r="E2912" s="2421"/>
      <c r="F2912" s="2420"/>
      <c r="G2912" s="2420"/>
      <c r="H2912" s="2420"/>
      <c r="I2912" s="2420"/>
      <c r="J2912" s="2515"/>
      <c r="K2912" s="115">
        <v>3108</v>
      </c>
      <c r="L2912" s="115"/>
      <c r="M2912" s="3287" t="s">
        <v>298</v>
      </c>
      <c r="N2912" s="3288"/>
      <c r="O2912" s="41"/>
      <c r="P2912" s="41"/>
      <c r="Q2912" s="41"/>
      <c r="R2912" s="41"/>
      <c r="S2912" s="41"/>
      <c r="T2912" s="41"/>
      <c r="U2912" s="41">
        <v>1554</v>
      </c>
      <c r="V2912" s="41"/>
      <c r="W2912" s="41"/>
      <c r="X2912" s="41"/>
      <c r="Y2912" s="41"/>
      <c r="Z2912" s="41">
        <v>1554</v>
      </c>
      <c r="AA2912" s="1217">
        <f t="shared" si="435"/>
        <v>3108</v>
      </c>
      <c r="AB2912" s="1210"/>
      <c r="AC2912" s="1199"/>
      <c r="AD2912" s="1211"/>
    </row>
    <row r="2913" spans="1:30" x14ac:dyDescent="0.2">
      <c r="A2913" s="1422"/>
      <c r="B2913" s="2522"/>
      <c r="C2913" s="3191"/>
      <c r="D2913" s="2421"/>
      <c r="E2913" s="2421"/>
      <c r="F2913" s="2420"/>
      <c r="G2913" s="2420"/>
      <c r="H2913" s="2420"/>
      <c r="I2913" s="2420"/>
      <c r="J2913" s="2515"/>
      <c r="K2913" s="115">
        <v>2000</v>
      </c>
      <c r="L2913" s="115"/>
      <c r="M2913" s="3287" t="s">
        <v>299</v>
      </c>
      <c r="N2913" s="3288"/>
      <c r="O2913" s="41">
        <v>2000</v>
      </c>
      <c r="P2913" s="41"/>
      <c r="Q2913" s="41"/>
      <c r="R2913" s="41"/>
      <c r="S2913" s="41"/>
      <c r="T2913" s="41"/>
      <c r="U2913" s="41"/>
      <c r="V2913" s="41"/>
      <c r="W2913" s="41"/>
      <c r="X2913" s="41"/>
      <c r="Y2913" s="41"/>
      <c r="Z2913" s="41"/>
      <c r="AA2913" s="1217">
        <f t="shared" si="435"/>
        <v>2000</v>
      </c>
      <c r="AB2913" s="1210"/>
      <c r="AC2913" s="1199"/>
      <c r="AD2913" s="1211"/>
    </row>
    <row r="2914" spans="1:30" x14ac:dyDescent="0.2">
      <c r="A2914" s="1422"/>
      <c r="B2914" s="2522"/>
      <c r="C2914" s="3191"/>
      <c r="D2914" s="2421"/>
      <c r="E2914" s="2421"/>
      <c r="F2914" s="2420"/>
      <c r="G2914" s="2420"/>
      <c r="H2914" s="2420"/>
      <c r="I2914" s="2420"/>
      <c r="J2914" s="2515"/>
      <c r="K2914" s="115">
        <v>11699</v>
      </c>
      <c r="L2914" s="115"/>
      <c r="M2914" s="3287" t="s">
        <v>300</v>
      </c>
      <c r="N2914" s="3288"/>
      <c r="O2914" s="41">
        <v>974.91666666666663</v>
      </c>
      <c r="P2914" s="41">
        <v>974.91666666666663</v>
      </c>
      <c r="Q2914" s="41">
        <v>974.91666666666663</v>
      </c>
      <c r="R2914" s="41">
        <v>974.91666666666663</v>
      </c>
      <c r="S2914" s="41">
        <v>974.91666666666663</v>
      </c>
      <c r="T2914" s="41">
        <v>974.91666666666663</v>
      </c>
      <c r="U2914" s="41">
        <v>974.91666666666663</v>
      </c>
      <c r="V2914" s="41">
        <v>974.91666666666663</v>
      </c>
      <c r="W2914" s="41">
        <v>974.91666666666663</v>
      </c>
      <c r="X2914" s="41">
        <v>974.91666666666663</v>
      </c>
      <c r="Y2914" s="41">
        <v>974.91666666666663</v>
      </c>
      <c r="Z2914" s="41">
        <v>974.91666666666663</v>
      </c>
      <c r="AA2914" s="1217">
        <f t="shared" si="435"/>
        <v>11698.999999999998</v>
      </c>
      <c r="AB2914" s="1210"/>
      <c r="AC2914" s="1199"/>
      <c r="AD2914" s="1211"/>
    </row>
    <row r="2915" spans="1:30" x14ac:dyDescent="0.2">
      <c r="A2915" s="1422"/>
      <c r="B2915" s="2522"/>
      <c r="C2915" s="3191"/>
      <c r="D2915" s="2421"/>
      <c r="E2915" s="2421"/>
      <c r="F2915" s="2420"/>
      <c r="G2915" s="2420"/>
      <c r="H2915" s="2420"/>
      <c r="I2915" s="2420"/>
      <c r="J2915" s="2515"/>
      <c r="K2915" s="115">
        <v>210</v>
      </c>
      <c r="L2915" s="115"/>
      <c r="M2915" s="3287" t="s">
        <v>301</v>
      </c>
      <c r="N2915" s="3288"/>
      <c r="O2915" s="41">
        <v>17.5</v>
      </c>
      <c r="P2915" s="41">
        <v>17.5</v>
      </c>
      <c r="Q2915" s="41">
        <v>17.5</v>
      </c>
      <c r="R2915" s="41">
        <v>17.5</v>
      </c>
      <c r="S2915" s="41">
        <v>17.5</v>
      </c>
      <c r="T2915" s="41">
        <v>17.5</v>
      </c>
      <c r="U2915" s="41">
        <v>17.5</v>
      </c>
      <c r="V2915" s="41">
        <v>17.5</v>
      </c>
      <c r="W2915" s="41">
        <v>17.5</v>
      </c>
      <c r="X2915" s="41">
        <v>17.5</v>
      </c>
      <c r="Y2915" s="41">
        <v>17.5</v>
      </c>
      <c r="Z2915" s="41">
        <v>17.5</v>
      </c>
      <c r="AA2915" s="1217">
        <f t="shared" si="435"/>
        <v>210</v>
      </c>
      <c r="AB2915" s="1210"/>
      <c r="AC2915" s="1199"/>
      <c r="AD2915" s="1211"/>
    </row>
    <row r="2916" spans="1:30" x14ac:dyDescent="0.2">
      <c r="A2916" s="1422"/>
      <c r="B2916" s="2522"/>
      <c r="C2916" s="3191"/>
      <c r="D2916" s="2421"/>
      <c r="E2916" s="2421"/>
      <c r="F2916" s="2420"/>
      <c r="G2916" s="2420"/>
      <c r="H2916" s="2420"/>
      <c r="I2916" s="2420"/>
      <c r="J2916" s="2515"/>
      <c r="K2916" s="115">
        <v>200</v>
      </c>
      <c r="L2916" s="115"/>
      <c r="M2916" s="3287" t="s">
        <v>303</v>
      </c>
      <c r="N2916" s="3288"/>
      <c r="O2916" s="41"/>
      <c r="P2916" s="41"/>
      <c r="Q2916" s="41">
        <v>200</v>
      </c>
      <c r="R2916" s="41"/>
      <c r="S2916" s="41"/>
      <c r="T2916" s="41"/>
      <c r="U2916" s="41"/>
      <c r="V2916" s="41"/>
      <c r="W2916" s="41"/>
      <c r="X2916" s="41"/>
      <c r="Y2916" s="41"/>
      <c r="Z2916" s="41"/>
      <c r="AA2916" s="1217">
        <f t="shared" si="435"/>
        <v>200</v>
      </c>
      <c r="AB2916" s="1210"/>
      <c r="AC2916" s="1199"/>
      <c r="AD2916" s="1211"/>
    </row>
    <row r="2917" spans="1:30" x14ac:dyDescent="0.2">
      <c r="A2917" s="1422"/>
      <c r="B2917" s="2522"/>
      <c r="C2917" s="3191"/>
      <c r="D2917" s="2421"/>
      <c r="E2917" s="2421"/>
      <c r="F2917" s="2420"/>
      <c r="G2917" s="2420"/>
      <c r="H2917" s="2420"/>
      <c r="I2917" s="2420"/>
      <c r="J2917" s="2515"/>
      <c r="K2917" s="115">
        <v>443</v>
      </c>
      <c r="L2917" s="115"/>
      <c r="M2917" s="3287" t="s">
        <v>324</v>
      </c>
      <c r="N2917" s="3288"/>
      <c r="O2917" s="41"/>
      <c r="P2917" s="41">
        <v>443</v>
      </c>
      <c r="Q2917" s="41"/>
      <c r="R2917" s="41"/>
      <c r="S2917" s="41"/>
      <c r="T2917" s="41"/>
      <c r="U2917" s="41"/>
      <c r="V2917" s="41"/>
      <c r="W2917" s="41"/>
      <c r="X2917" s="41"/>
      <c r="Y2917" s="41"/>
      <c r="Z2917" s="41"/>
      <c r="AA2917" s="1217">
        <f t="shared" si="435"/>
        <v>443</v>
      </c>
      <c r="AB2917" s="1210"/>
      <c r="AC2917" s="1199"/>
      <c r="AD2917" s="1211"/>
    </row>
    <row r="2918" spans="1:30" x14ac:dyDescent="0.2">
      <c r="A2918" s="1422"/>
      <c r="B2918" s="2522"/>
      <c r="C2918" s="3191"/>
      <c r="D2918" s="2421"/>
      <c r="E2918" s="2421"/>
      <c r="F2918" s="2420"/>
      <c r="G2918" s="2420"/>
      <c r="H2918" s="2420"/>
      <c r="I2918" s="2420"/>
      <c r="J2918" s="2515"/>
      <c r="K2918" s="115">
        <v>4521</v>
      </c>
      <c r="L2918" s="115"/>
      <c r="M2918" s="3287" t="s">
        <v>393</v>
      </c>
      <c r="N2918" s="3288"/>
      <c r="O2918" s="41"/>
      <c r="P2918" s="41"/>
      <c r="Q2918" s="41"/>
      <c r="R2918" s="41">
        <v>2260.5</v>
      </c>
      <c r="S2918" s="41"/>
      <c r="T2918" s="41"/>
      <c r="U2918" s="41"/>
      <c r="V2918" s="41">
        <v>2260.5</v>
      </c>
      <c r="W2918" s="41"/>
      <c r="X2918" s="41"/>
      <c r="Y2918" s="41"/>
      <c r="Z2918" s="41"/>
      <c r="AA2918" s="1217">
        <f t="shared" si="435"/>
        <v>4521</v>
      </c>
      <c r="AB2918" s="1210"/>
      <c r="AC2918" s="1199"/>
      <c r="AD2918" s="1211"/>
    </row>
    <row r="2919" spans="1:30" x14ac:dyDescent="0.2">
      <c r="A2919" s="1422"/>
      <c r="B2919" s="2522"/>
      <c r="C2919" s="3191"/>
      <c r="D2919" s="2421"/>
      <c r="E2919" s="2421"/>
      <c r="F2919" s="2420"/>
      <c r="G2919" s="2420"/>
      <c r="H2919" s="2420"/>
      <c r="I2919" s="2420"/>
      <c r="J2919" s="2515"/>
      <c r="K2919" s="115">
        <v>2852</v>
      </c>
      <c r="L2919" s="115"/>
      <c r="M2919" s="3287" t="s">
        <v>343</v>
      </c>
      <c r="N2919" s="3288"/>
      <c r="O2919" s="41"/>
      <c r="P2919" s="41"/>
      <c r="Q2919" s="41"/>
      <c r="R2919" s="41">
        <v>2852</v>
      </c>
      <c r="S2919" s="41"/>
      <c r="T2919" s="41"/>
      <c r="U2919" s="41"/>
      <c r="V2919" s="41"/>
      <c r="W2919" s="41"/>
      <c r="X2919" s="41"/>
      <c r="Y2919" s="41"/>
      <c r="Z2919" s="41"/>
      <c r="AA2919" s="1217">
        <f t="shared" si="435"/>
        <v>2852</v>
      </c>
      <c r="AB2919" s="1210"/>
      <c r="AC2919" s="1199"/>
      <c r="AD2919" s="1211"/>
    </row>
    <row r="2920" spans="1:30" x14ac:dyDescent="0.2">
      <c r="A2920" s="1422"/>
      <c r="B2920" s="2522"/>
      <c r="C2920" s="3191"/>
      <c r="D2920" s="2421"/>
      <c r="E2920" s="2421"/>
      <c r="F2920" s="2420"/>
      <c r="G2920" s="2420"/>
      <c r="H2920" s="2420"/>
      <c r="I2920" s="2420"/>
      <c r="J2920" s="2515"/>
      <c r="K2920" s="115">
        <v>4000</v>
      </c>
      <c r="L2920" s="115"/>
      <c r="M2920" s="3287" t="s">
        <v>381</v>
      </c>
      <c r="N2920" s="3288"/>
      <c r="O2920" s="41"/>
      <c r="P2920" s="41"/>
      <c r="Q2920" s="41">
        <v>2000</v>
      </c>
      <c r="R2920" s="41"/>
      <c r="S2920" s="41"/>
      <c r="T2920" s="41"/>
      <c r="U2920" s="41"/>
      <c r="V2920" s="41">
        <v>2000</v>
      </c>
      <c r="W2920" s="41"/>
      <c r="X2920" s="41"/>
      <c r="Y2920" s="41"/>
      <c r="Z2920" s="41"/>
      <c r="AA2920" s="1217">
        <f t="shared" si="435"/>
        <v>4000</v>
      </c>
      <c r="AB2920" s="1210"/>
      <c r="AC2920" s="1199"/>
      <c r="AD2920" s="1211"/>
    </row>
    <row r="2921" spans="1:30" x14ac:dyDescent="0.2">
      <c r="A2921" s="1422"/>
      <c r="B2921" s="2522"/>
      <c r="C2921" s="3191"/>
      <c r="D2921" s="2421"/>
      <c r="E2921" s="2421"/>
      <c r="F2921" s="2420"/>
      <c r="G2921" s="2420"/>
      <c r="H2921" s="2420"/>
      <c r="I2921" s="2420"/>
      <c r="J2921" s="2515"/>
      <c r="K2921" s="115">
        <v>2606</v>
      </c>
      <c r="L2921" s="115"/>
      <c r="M2921" s="3287" t="s">
        <v>304</v>
      </c>
      <c r="N2921" s="3288"/>
      <c r="O2921" s="41"/>
      <c r="P2921" s="41"/>
      <c r="Q2921" s="41">
        <v>2606</v>
      </c>
      <c r="R2921" s="41"/>
      <c r="S2921" s="41"/>
      <c r="T2921" s="41"/>
      <c r="U2921" s="41"/>
      <c r="V2921" s="41"/>
      <c r="W2921" s="41"/>
      <c r="X2921" s="41"/>
      <c r="Y2921" s="41"/>
      <c r="Z2921" s="41"/>
      <c r="AA2921" s="1217">
        <f t="shared" si="435"/>
        <v>2606</v>
      </c>
      <c r="AB2921" s="1210"/>
      <c r="AC2921" s="1199"/>
      <c r="AD2921" s="1211"/>
    </row>
    <row r="2922" spans="1:30" x14ac:dyDescent="0.2">
      <c r="A2922" s="1422"/>
      <c r="B2922" s="2522"/>
      <c r="C2922" s="2439"/>
      <c r="D2922" s="2421"/>
      <c r="E2922" s="2421"/>
      <c r="F2922" s="2420"/>
      <c r="G2922" s="2420"/>
      <c r="H2922" s="2420"/>
      <c r="I2922" s="2420"/>
      <c r="J2922" s="2516"/>
      <c r="K2922" s="115">
        <v>500</v>
      </c>
      <c r="L2922" s="115"/>
      <c r="M2922" s="3287" t="s">
        <v>308</v>
      </c>
      <c r="N2922" s="3288"/>
      <c r="O2922" s="41"/>
      <c r="P2922" s="41"/>
      <c r="Q2922" s="41">
        <v>500</v>
      </c>
      <c r="R2922" s="41"/>
      <c r="S2922" s="41"/>
      <c r="T2922" s="41"/>
      <c r="U2922" s="41"/>
      <c r="V2922" s="41"/>
      <c r="W2922" s="41"/>
      <c r="X2922" s="41"/>
      <c r="Y2922" s="41"/>
      <c r="Z2922" s="41"/>
      <c r="AA2922" s="1217">
        <f t="shared" si="435"/>
        <v>500</v>
      </c>
      <c r="AB2922" s="1210"/>
      <c r="AC2922" s="1199"/>
      <c r="AD2922" s="1211"/>
    </row>
    <row r="2923" spans="1:30" x14ac:dyDescent="0.2">
      <c r="A2923" s="1422"/>
      <c r="B2923" s="1427" t="s">
        <v>312</v>
      </c>
      <c r="C2923" s="1273"/>
      <c r="D2923" s="38"/>
      <c r="E2923" s="38"/>
      <c r="F2923" s="38"/>
      <c r="G2923" s="38"/>
      <c r="H2923" s="38"/>
      <c r="I2923" s="38"/>
      <c r="J2923" s="38"/>
      <c r="K2923" s="38">
        <f>SUM(K2907:K2922)</f>
        <v>307158</v>
      </c>
      <c r="L2923" s="38"/>
      <c r="M2923" s="125"/>
      <c r="N2923" s="125"/>
      <c r="O2923" s="38"/>
      <c r="P2923" s="38"/>
      <c r="Q2923" s="38"/>
      <c r="R2923" s="38"/>
      <c r="S2923" s="38"/>
      <c r="T2923" s="38"/>
      <c r="U2923" s="38"/>
      <c r="V2923" s="38"/>
      <c r="W2923" s="38"/>
      <c r="X2923" s="38"/>
      <c r="Y2923" s="38"/>
      <c r="Z2923" s="38"/>
      <c r="AA2923" s="1234"/>
      <c r="AB2923" s="1210"/>
      <c r="AC2923" s="1199"/>
      <c r="AD2923" s="1211"/>
    </row>
    <row r="2924" spans="1:30" ht="22.5" x14ac:dyDescent="0.2">
      <c r="A2924" s="1422"/>
      <c r="B2924" s="1433" t="s">
        <v>276</v>
      </c>
      <c r="C2924" s="1121"/>
      <c r="D2924" s="1119">
        <v>3044202</v>
      </c>
      <c r="E2924" s="192" t="s">
        <v>843</v>
      </c>
      <c r="F2924" s="35"/>
      <c r="G2924" s="35"/>
      <c r="H2924" s="35"/>
      <c r="I2924" s="35"/>
      <c r="J2924" s="35"/>
      <c r="K2924" s="60"/>
      <c r="L2924" s="60"/>
      <c r="M2924" s="200"/>
      <c r="N2924" s="200"/>
      <c r="O2924" s="60"/>
      <c r="P2924" s="60"/>
      <c r="Q2924" s="60"/>
      <c r="R2924" s="60"/>
      <c r="S2924" s="3333" t="s">
        <v>15</v>
      </c>
      <c r="T2924" s="3333"/>
      <c r="U2924" s="3333"/>
      <c r="V2924" s="3333"/>
      <c r="W2924" s="3333"/>
      <c r="X2924" s="3333"/>
      <c r="Y2924" s="3333"/>
      <c r="Z2924" s="3333"/>
      <c r="AA2924" s="1215" t="s">
        <v>16</v>
      </c>
      <c r="AB2924" s="1210"/>
      <c r="AC2924" s="1199"/>
      <c r="AD2924" s="1211"/>
    </row>
    <row r="2925" spans="1:30" x14ac:dyDescent="0.2">
      <c r="A2925" s="1422"/>
      <c r="B2925" s="1433"/>
      <c r="C2925" s="1121"/>
      <c r="D2925" s="1119"/>
      <c r="E2925" s="192"/>
      <c r="F2925" s="35"/>
      <c r="G2925" s="35"/>
      <c r="H2925" s="35"/>
      <c r="I2925" s="35"/>
      <c r="J2925" s="35"/>
      <c r="K2925" s="60"/>
      <c r="L2925" s="60"/>
      <c r="M2925" s="200"/>
      <c r="N2925" s="200"/>
      <c r="O2925" s="60"/>
      <c r="P2925" s="60"/>
      <c r="Q2925" s="60"/>
      <c r="R2925" s="60"/>
      <c r="S2925" s="3333" t="s">
        <v>844</v>
      </c>
      <c r="T2925" s="3333"/>
      <c r="U2925" s="3333"/>
      <c r="V2925" s="3333"/>
      <c r="W2925" s="3333"/>
      <c r="X2925" s="3333"/>
      <c r="Y2925" s="3333"/>
      <c r="Z2925" s="3333"/>
      <c r="AA2925" s="1214" t="s">
        <v>661</v>
      </c>
      <c r="AB2925" s="1210"/>
      <c r="AC2925" s="1199"/>
      <c r="AD2925" s="1211"/>
    </row>
    <row r="2926" spans="1:30" x14ac:dyDescent="0.2">
      <c r="A2926" s="1422"/>
      <c r="B2926" s="2999" t="s">
        <v>278</v>
      </c>
      <c r="C2926" s="3015" t="s">
        <v>21</v>
      </c>
      <c r="D2926" s="2847" t="s">
        <v>22</v>
      </c>
      <c r="E2926" s="2847" t="s">
        <v>23</v>
      </c>
      <c r="F2926" s="2847" t="s">
        <v>24</v>
      </c>
      <c r="G2926" s="2847" t="s">
        <v>25</v>
      </c>
      <c r="H2926" s="2847" t="s">
        <v>26</v>
      </c>
      <c r="I2926" s="2847" t="s">
        <v>27</v>
      </c>
      <c r="J2926" s="1017" t="s">
        <v>28</v>
      </c>
      <c r="K2926" s="1017"/>
      <c r="L2926" s="2987" t="s">
        <v>279</v>
      </c>
      <c r="M2926" s="3273" t="s">
        <v>280</v>
      </c>
      <c r="N2926" s="3274"/>
      <c r="O2926" s="2847" t="s">
        <v>281</v>
      </c>
      <c r="P2926" s="2847"/>
      <c r="Q2926" s="2847"/>
      <c r="R2926" s="2847"/>
      <c r="S2926" s="2847"/>
      <c r="T2926" s="2847"/>
      <c r="U2926" s="2847"/>
      <c r="V2926" s="2847"/>
      <c r="W2926" s="2847"/>
      <c r="X2926" s="2847"/>
      <c r="Y2926" s="2847"/>
      <c r="Z2926" s="2847"/>
      <c r="AA2926" s="3358" t="s">
        <v>32</v>
      </c>
      <c r="AB2926" s="1210"/>
      <c r="AC2926" s="1199"/>
      <c r="AD2926" s="1211"/>
    </row>
    <row r="2927" spans="1:30" ht="22.5" customHeight="1" x14ac:dyDescent="0.2">
      <c r="A2927" s="1422"/>
      <c r="B2927" s="2999"/>
      <c r="C2927" s="3359"/>
      <c r="D2927" s="2847"/>
      <c r="E2927" s="2847"/>
      <c r="F2927" s="2847"/>
      <c r="G2927" s="2847"/>
      <c r="H2927" s="2847"/>
      <c r="I2927" s="2847"/>
      <c r="J2927" s="1009" t="s">
        <v>33</v>
      </c>
      <c r="K2927" s="1017" t="s">
        <v>282</v>
      </c>
      <c r="L2927" s="3341"/>
      <c r="M2927" s="3275"/>
      <c r="N2927" s="3276"/>
      <c r="O2927" s="1009" t="s">
        <v>283</v>
      </c>
      <c r="P2927" s="1009" t="s">
        <v>284</v>
      </c>
      <c r="Q2927" s="1009" t="s">
        <v>285</v>
      </c>
      <c r="R2927" s="1009" t="s">
        <v>88</v>
      </c>
      <c r="S2927" s="1009" t="s">
        <v>89</v>
      </c>
      <c r="T2927" s="1009" t="s">
        <v>90</v>
      </c>
      <c r="U2927" s="1009" t="s">
        <v>91</v>
      </c>
      <c r="V2927" s="1009" t="s">
        <v>92</v>
      </c>
      <c r="W2927" s="1009" t="s">
        <v>286</v>
      </c>
      <c r="X2927" s="1009" t="s">
        <v>93</v>
      </c>
      <c r="Y2927" s="1009" t="s">
        <v>94</v>
      </c>
      <c r="Z2927" s="1009" t="s">
        <v>95</v>
      </c>
      <c r="AA2927" s="3358"/>
      <c r="AB2927" s="1210"/>
      <c r="AC2927" s="1199"/>
      <c r="AD2927" s="1211"/>
    </row>
    <row r="2928" spans="1:30" x14ac:dyDescent="0.2">
      <c r="A2928" s="1422"/>
      <c r="B2928" s="2999"/>
      <c r="C2928" s="3359"/>
      <c r="D2928" s="2847"/>
      <c r="E2928" s="2847"/>
      <c r="F2928" s="2847"/>
      <c r="G2928" s="2847"/>
      <c r="H2928" s="2847"/>
      <c r="I2928" s="2847"/>
      <c r="J2928" s="1009"/>
      <c r="K2928" s="1017"/>
      <c r="L2928" s="3341"/>
      <c r="M2928" s="3271" t="s">
        <v>287</v>
      </c>
      <c r="N2928" s="3272"/>
      <c r="O2928" s="1095">
        <v>265</v>
      </c>
      <c r="P2928" s="1095">
        <v>265</v>
      </c>
      <c r="Q2928" s="1095">
        <v>265</v>
      </c>
      <c r="R2928" s="1095">
        <v>265</v>
      </c>
      <c r="S2928" s="1095">
        <v>265</v>
      </c>
      <c r="T2928" s="1095">
        <v>265</v>
      </c>
      <c r="U2928" s="1095">
        <v>263</v>
      </c>
      <c r="V2928" s="1095">
        <v>265</v>
      </c>
      <c r="W2928" s="1095">
        <v>265</v>
      </c>
      <c r="X2928" s="1095">
        <v>265</v>
      </c>
      <c r="Y2928" s="1095">
        <v>265</v>
      </c>
      <c r="Z2928" s="1095">
        <v>265</v>
      </c>
      <c r="AA2928" s="1216">
        <f t="shared" ref="AA2928:AA2940" si="437">SUM(O2928:Z2928)</f>
        <v>3178</v>
      </c>
      <c r="AB2928" s="35"/>
      <c r="AC2928" s="183"/>
    </row>
    <row r="2929" spans="1:29" x14ac:dyDescent="0.2">
      <c r="A2929" s="1422"/>
      <c r="B2929" s="2999"/>
      <c r="C2929" s="3016"/>
      <c r="D2929" s="2847"/>
      <c r="E2929" s="2847"/>
      <c r="F2929" s="2847"/>
      <c r="G2929" s="2847"/>
      <c r="H2929" s="2847"/>
      <c r="I2929" s="2847"/>
      <c r="J2929" s="1009"/>
      <c r="K2929" s="1017"/>
      <c r="L2929" s="3341"/>
      <c r="M2929" s="3271" t="s">
        <v>34</v>
      </c>
      <c r="N2929" s="3272"/>
      <c r="O2929" s="1095">
        <f>SUM(O2930:O2940)</f>
        <v>6902</v>
      </c>
      <c r="P2929" s="1095">
        <f t="shared" ref="P2929:Z2929" si="438">SUM(P2930:P2940)</f>
        <v>6102</v>
      </c>
      <c r="Q2929" s="1095">
        <f t="shared" si="438"/>
        <v>9856</v>
      </c>
      <c r="R2929" s="1095">
        <f t="shared" si="438"/>
        <v>18701</v>
      </c>
      <c r="S2929" s="1095">
        <f t="shared" si="438"/>
        <v>6102</v>
      </c>
      <c r="T2929" s="1095">
        <f t="shared" si="438"/>
        <v>6102</v>
      </c>
      <c r="U2929" s="1095">
        <f t="shared" si="438"/>
        <v>9202</v>
      </c>
      <c r="V2929" s="1095">
        <f t="shared" si="438"/>
        <v>18701</v>
      </c>
      <c r="W2929" s="1095">
        <f t="shared" si="438"/>
        <v>6102</v>
      </c>
      <c r="X2929" s="1095">
        <f t="shared" si="438"/>
        <v>6102</v>
      </c>
      <c r="Y2929" s="1095">
        <f t="shared" si="438"/>
        <v>6102</v>
      </c>
      <c r="Z2929" s="1095">
        <f t="shared" si="438"/>
        <v>6702</v>
      </c>
      <c r="AA2929" s="1216">
        <f t="shared" si="437"/>
        <v>106676</v>
      </c>
      <c r="AB2929" s="35"/>
      <c r="AC2929" s="183"/>
    </row>
    <row r="2930" spans="1:29" x14ac:dyDescent="0.2">
      <c r="A2930" s="1422"/>
      <c r="B2930" s="2522">
        <v>5000125</v>
      </c>
      <c r="C2930" s="3190" t="s">
        <v>845</v>
      </c>
      <c r="D2930" s="2421"/>
      <c r="E2930" s="2421" t="s">
        <v>288</v>
      </c>
      <c r="F2930" s="2420" t="s">
        <v>386</v>
      </c>
      <c r="G2930" s="2420" t="s">
        <v>387</v>
      </c>
      <c r="H2930" s="2420"/>
      <c r="I2930" s="2420" t="s">
        <v>780</v>
      </c>
      <c r="J2930" s="2514">
        <v>3178</v>
      </c>
      <c r="K2930" s="115">
        <v>26868</v>
      </c>
      <c r="L2930" s="115"/>
      <c r="M2930" s="3287" t="s">
        <v>293</v>
      </c>
      <c r="N2930" s="3288"/>
      <c r="O2930" s="41">
        <v>2239</v>
      </c>
      <c r="P2930" s="41">
        <v>2239</v>
      </c>
      <c r="Q2930" s="41">
        <v>2239</v>
      </c>
      <c r="R2930" s="41">
        <v>2239</v>
      </c>
      <c r="S2930" s="41">
        <v>2239</v>
      </c>
      <c r="T2930" s="41">
        <v>2239</v>
      </c>
      <c r="U2930" s="41">
        <v>2239</v>
      </c>
      <c r="V2930" s="41">
        <v>2239</v>
      </c>
      <c r="W2930" s="41">
        <v>2239</v>
      </c>
      <c r="X2930" s="41">
        <v>2239</v>
      </c>
      <c r="Y2930" s="41">
        <v>2239</v>
      </c>
      <c r="Z2930" s="41">
        <v>2239</v>
      </c>
      <c r="AA2930" s="1217">
        <f t="shared" si="437"/>
        <v>26868</v>
      </c>
      <c r="AB2930" s="35"/>
      <c r="AC2930" s="183"/>
    </row>
    <row r="2931" spans="1:29" x14ac:dyDescent="0.2">
      <c r="A2931" s="1422"/>
      <c r="B2931" s="2522"/>
      <c r="C2931" s="3191"/>
      <c r="D2931" s="2421"/>
      <c r="E2931" s="2421"/>
      <c r="F2931" s="2420"/>
      <c r="G2931" s="2420"/>
      <c r="H2931" s="2420"/>
      <c r="I2931" s="2420"/>
      <c r="J2931" s="2515"/>
      <c r="K2931" s="115">
        <v>21120</v>
      </c>
      <c r="L2931" s="115"/>
      <c r="M2931" s="3287" t="s">
        <v>332</v>
      </c>
      <c r="N2931" s="3288"/>
      <c r="O2931" s="41">
        <v>1760</v>
      </c>
      <c r="P2931" s="41">
        <v>1760</v>
      </c>
      <c r="Q2931" s="41">
        <v>1760</v>
      </c>
      <c r="R2931" s="41">
        <v>1760</v>
      </c>
      <c r="S2931" s="41">
        <v>1760</v>
      </c>
      <c r="T2931" s="41">
        <v>1760</v>
      </c>
      <c r="U2931" s="41">
        <v>1760</v>
      </c>
      <c r="V2931" s="41">
        <v>1760</v>
      </c>
      <c r="W2931" s="41">
        <v>1760</v>
      </c>
      <c r="X2931" s="41">
        <v>1760</v>
      </c>
      <c r="Y2931" s="41">
        <v>1760</v>
      </c>
      <c r="Z2931" s="41">
        <v>1760</v>
      </c>
      <c r="AA2931" s="1217">
        <f t="shared" si="437"/>
        <v>21120</v>
      </c>
      <c r="AB2931" s="35"/>
      <c r="AC2931" s="183"/>
    </row>
    <row r="2932" spans="1:29" x14ac:dyDescent="0.2">
      <c r="A2932" s="1422"/>
      <c r="B2932" s="2522"/>
      <c r="C2932" s="3191"/>
      <c r="D2932" s="2421"/>
      <c r="E2932" s="2421"/>
      <c r="F2932" s="2420"/>
      <c r="G2932" s="2420"/>
      <c r="H2932" s="2420"/>
      <c r="I2932" s="2420"/>
      <c r="J2932" s="2515"/>
      <c r="K2932" s="115">
        <v>15902</v>
      </c>
      <c r="L2932" s="115"/>
      <c r="M2932" s="3287" t="s">
        <v>296</v>
      </c>
      <c r="N2932" s="3288"/>
      <c r="O2932" s="41">
        <v>1325.1666666666667</v>
      </c>
      <c r="P2932" s="41">
        <v>1325.1666666666667</v>
      </c>
      <c r="Q2932" s="41">
        <v>1325.1666666666667</v>
      </c>
      <c r="R2932" s="41">
        <v>1325.1666666666667</v>
      </c>
      <c r="S2932" s="41">
        <v>1325.1666666666667</v>
      </c>
      <c r="T2932" s="41">
        <v>1325.1666666666667</v>
      </c>
      <c r="U2932" s="41">
        <v>1325.1666666666667</v>
      </c>
      <c r="V2932" s="41">
        <v>1325.1666666666667</v>
      </c>
      <c r="W2932" s="41">
        <v>1325.1666666666667</v>
      </c>
      <c r="X2932" s="41">
        <v>1325.1666666666667</v>
      </c>
      <c r="Y2932" s="41">
        <v>1325.1666666666667</v>
      </c>
      <c r="Z2932" s="41">
        <v>1325.1666666666667</v>
      </c>
      <c r="AA2932" s="1217">
        <f t="shared" si="437"/>
        <v>15901.999999999998</v>
      </c>
      <c r="AB2932" s="35"/>
      <c r="AC2932" s="183"/>
    </row>
    <row r="2933" spans="1:29" x14ac:dyDescent="0.2">
      <c r="A2933" s="1422"/>
      <c r="B2933" s="2522"/>
      <c r="C2933" s="3191"/>
      <c r="D2933" s="2421"/>
      <c r="E2933" s="2421"/>
      <c r="F2933" s="2420"/>
      <c r="G2933" s="2420"/>
      <c r="H2933" s="2420"/>
      <c r="I2933" s="2420"/>
      <c r="J2933" s="2515"/>
      <c r="K2933" s="115">
        <v>5688</v>
      </c>
      <c r="L2933" s="115"/>
      <c r="M2933" s="3287" t="s">
        <v>297</v>
      </c>
      <c r="N2933" s="3288"/>
      <c r="O2933" s="41">
        <v>474</v>
      </c>
      <c r="P2933" s="41">
        <v>474</v>
      </c>
      <c r="Q2933" s="41">
        <v>474</v>
      </c>
      <c r="R2933" s="41">
        <v>474</v>
      </c>
      <c r="S2933" s="41">
        <v>474</v>
      </c>
      <c r="T2933" s="41">
        <v>474</v>
      </c>
      <c r="U2933" s="41">
        <v>474</v>
      </c>
      <c r="V2933" s="41">
        <v>474</v>
      </c>
      <c r="W2933" s="41">
        <v>474</v>
      </c>
      <c r="X2933" s="41">
        <v>474</v>
      </c>
      <c r="Y2933" s="41">
        <v>474</v>
      </c>
      <c r="Z2933" s="41">
        <v>474</v>
      </c>
      <c r="AA2933" s="1217">
        <f t="shared" si="437"/>
        <v>5688</v>
      </c>
      <c r="AB2933" s="35"/>
      <c r="AC2933" s="183"/>
    </row>
    <row r="2934" spans="1:29" x14ac:dyDescent="0.2">
      <c r="A2934" s="1422"/>
      <c r="B2934" s="2522"/>
      <c r="C2934" s="3191"/>
      <c r="D2934" s="2421"/>
      <c r="E2934" s="2421"/>
      <c r="F2934" s="2420"/>
      <c r="G2934" s="2420"/>
      <c r="H2934" s="2420"/>
      <c r="I2934" s="2420"/>
      <c r="J2934" s="2515"/>
      <c r="K2934" s="115">
        <v>1200</v>
      </c>
      <c r="L2934" s="115"/>
      <c r="M2934" s="3287" t="s">
        <v>298</v>
      </c>
      <c r="N2934" s="3288"/>
      <c r="O2934" s="41"/>
      <c r="P2934" s="41"/>
      <c r="Q2934" s="41"/>
      <c r="R2934" s="41"/>
      <c r="S2934" s="41"/>
      <c r="T2934" s="41"/>
      <c r="U2934" s="41">
        <v>600</v>
      </c>
      <c r="V2934" s="41"/>
      <c r="W2934" s="41"/>
      <c r="X2934" s="41"/>
      <c r="Y2934" s="41"/>
      <c r="Z2934" s="41">
        <v>600</v>
      </c>
      <c r="AA2934" s="1217">
        <f t="shared" si="437"/>
        <v>1200</v>
      </c>
      <c r="AB2934" s="35"/>
      <c r="AC2934" s="183"/>
    </row>
    <row r="2935" spans="1:29" x14ac:dyDescent="0.2">
      <c r="A2935" s="1422"/>
      <c r="B2935" s="2522"/>
      <c r="C2935" s="3191"/>
      <c r="D2935" s="2421"/>
      <c r="E2935" s="2421"/>
      <c r="F2935" s="2420"/>
      <c r="G2935" s="2420"/>
      <c r="H2935" s="2420"/>
      <c r="I2935" s="2420"/>
      <c r="J2935" s="2515"/>
      <c r="K2935" s="115">
        <v>800</v>
      </c>
      <c r="L2935" s="115"/>
      <c r="M2935" s="3287" t="s">
        <v>299</v>
      </c>
      <c r="N2935" s="3288"/>
      <c r="O2935" s="41">
        <v>800</v>
      </c>
      <c r="P2935" s="41"/>
      <c r="Q2935" s="41"/>
      <c r="R2935" s="41"/>
      <c r="S2935" s="41"/>
      <c r="T2935" s="41"/>
      <c r="U2935" s="41"/>
      <c r="V2935" s="41"/>
      <c r="W2935" s="41"/>
      <c r="X2935" s="41"/>
      <c r="Y2935" s="41"/>
      <c r="Z2935" s="41"/>
      <c r="AA2935" s="1217">
        <f t="shared" si="437"/>
        <v>800</v>
      </c>
      <c r="AB2935" s="35"/>
      <c r="AC2935" s="183"/>
    </row>
    <row r="2936" spans="1:29" x14ac:dyDescent="0.2">
      <c r="A2936" s="1422"/>
      <c r="B2936" s="2522"/>
      <c r="C2936" s="3191"/>
      <c r="D2936" s="2421"/>
      <c r="E2936" s="2421"/>
      <c r="F2936" s="2420"/>
      <c r="G2936" s="2420"/>
      <c r="H2936" s="2420"/>
      <c r="I2936" s="2420"/>
      <c r="J2936" s="2515"/>
      <c r="K2936" s="115">
        <v>3646</v>
      </c>
      <c r="L2936" s="115"/>
      <c r="M2936" s="3287" t="s">
        <v>300</v>
      </c>
      <c r="N2936" s="3288"/>
      <c r="O2936" s="41">
        <v>303.83333333333331</v>
      </c>
      <c r="P2936" s="41">
        <v>303.83333333333331</v>
      </c>
      <c r="Q2936" s="41">
        <v>303.83333333333331</v>
      </c>
      <c r="R2936" s="41">
        <v>303.83333333333331</v>
      </c>
      <c r="S2936" s="41">
        <v>303.83333333333331</v>
      </c>
      <c r="T2936" s="41">
        <v>303.83333333333331</v>
      </c>
      <c r="U2936" s="41">
        <v>303.83333333333331</v>
      </c>
      <c r="V2936" s="41">
        <v>303.83333333333331</v>
      </c>
      <c r="W2936" s="41">
        <v>303.83333333333331</v>
      </c>
      <c r="X2936" s="41">
        <v>303.83333333333331</v>
      </c>
      <c r="Y2936" s="41">
        <v>303.83333333333331</v>
      </c>
      <c r="Z2936" s="41">
        <v>303.83333333333331</v>
      </c>
      <c r="AA2936" s="1217">
        <f t="shared" si="437"/>
        <v>3646.0000000000005</v>
      </c>
      <c r="AB2936" s="35"/>
      <c r="AC2936" s="183"/>
    </row>
    <row r="2937" spans="1:29" x14ac:dyDescent="0.2">
      <c r="A2937" s="1422"/>
      <c r="B2937" s="2522"/>
      <c r="C2937" s="3191"/>
      <c r="D2937" s="2421"/>
      <c r="E2937" s="2421"/>
      <c r="F2937" s="2420"/>
      <c r="G2937" s="2420"/>
      <c r="H2937" s="2420"/>
      <c r="I2937" s="2420"/>
      <c r="J2937" s="2515"/>
      <c r="K2937" s="115">
        <v>1254</v>
      </c>
      <c r="L2937" s="115"/>
      <c r="M2937" s="3287" t="s">
        <v>324</v>
      </c>
      <c r="N2937" s="3288"/>
      <c r="O2937" s="41"/>
      <c r="P2937" s="41"/>
      <c r="Q2937" s="41">
        <v>1254</v>
      </c>
      <c r="R2937" s="41"/>
      <c r="S2937" s="41"/>
      <c r="T2937" s="41"/>
      <c r="U2937" s="41"/>
      <c r="V2937" s="41"/>
      <c r="W2937" s="41"/>
      <c r="X2937" s="41"/>
      <c r="Y2937" s="41"/>
      <c r="Z2937" s="41"/>
      <c r="AA2937" s="1217">
        <f t="shared" si="437"/>
        <v>1254</v>
      </c>
      <c r="AB2937" s="35"/>
      <c r="AC2937" s="183"/>
    </row>
    <row r="2938" spans="1:29" x14ac:dyDescent="0.2">
      <c r="A2938" s="1422"/>
      <c r="B2938" s="2522"/>
      <c r="C2938" s="3191"/>
      <c r="D2938" s="2421"/>
      <c r="E2938" s="2421"/>
      <c r="F2938" s="2420"/>
      <c r="G2938" s="2420"/>
      <c r="H2938" s="2420"/>
      <c r="I2938" s="2420"/>
      <c r="J2938" s="2515"/>
      <c r="K2938" s="115">
        <v>11170</v>
      </c>
      <c r="L2938" s="115"/>
      <c r="M2938" s="3287" t="s">
        <v>393</v>
      </c>
      <c r="N2938" s="3288"/>
      <c r="O2938" s="41"/>
      <c r="P2938" s="41"/>
      <c r="Q2938" s="41"/>
      <c r="R2938" s="41">
        <v>5585</v>
      </c>
      <c r="S2938" s="41"/>
      <c r="T2938" s="41"/>
      <c r="U2938" s="41"/>
      <c r="V2938" s="41">
        <v>5585</v>
      </c>
      <c r="W2938" s="41"/>
      <c r="X2938" s="41"/>
      <c r="Y2938" s="41"/>
      <c r="Z2938" s="41"/>
      <c r="AA2938" s="1217">
        <f t="shared" si="437"/>
        <v>11170</v>
      </c>
      <c r="AB2938" s="35"/>
      <c r="AC2938" s="183"/>
    </row>
    <row r="2939" spans="1:29" x14ac:dyDescent="0.2">
      <c r="A2939" s="1422"/>
      <c r="B2939" s="2522"/>
      <c r="C2939" s="3191"/>
      <c r="D2939" s="2421"/>
      <c r="E2939" s="2421"/>
      <c r="F2939" s="2420"/>
      <c r="G2939" s="2420"/>
      <c r="H2939" s="2420"/>
      <c r="I2939" s="2420"/>
      <c r="J2939" s="2515"/>
      <c r="K2939" s="115">
        <v>5000</v>
      </c>
      <c r="L2939" s="115"/>
      <c r="M2939" s="3287" t="s">
        <v>611</v>
      </c>
      <c r="N2939" s="3288"/>
      <c r="O2939" s="41"/>
      <c r="P2939" s="41"/>
      <c r="Q2939" s="41">
        <v>2500</v>
      </c>
      <c r="R2939" s="41"/>
      <c r="S2939" s="41"/>
      <c r="T2939" s="41"/>
      <c r="U2939" s="41">
        <v>2500</v>
      </c>
      <c r="V2939" s="41"/>
      <c r="W2939" s="41"/>
      <c r="X2939" s="41"/>
      <c r="Y2939" s="41"/>
      <c r="Z2939" s="41"/>
      <c r="AA2939" s="1217">
        <f t="shared" si="437"/>
        <v>5000</v>
      </c>
      <c r="AB2939" s="35"/>
      <c r="AC2939" s="183"/>
    </row>
    <row r="2940" spans="1:29" x14ac:dyDescent="0.2">
      <c r="A2940" s="1422"/>
      <c r="B2940" s="2522"/>
      <c r="C2940" s="2439"/>
      <c r="D2940" s="2421"/>
      <c r="E2940" s="2421"/>
      <c r="F2940" s="2420"/>
      <c r="G2940" s="2420"/>
      <c r="H2940" s="2420"/>
      <c r="I2940" s="2420"/>
      <c r="J2940" s="2516"/>
      <c r="K2940" s="115">
        <v>14028</v>
      </c>
      <c r="L2940" s="115"/>
      <c r="M2940" s="3287" t="s">
        <v>343</v>
      </c>
      <c r="N2940" s="3288"/>
      <c r="O2940" s="41"/>
      <c r="P2940" s="41"/>
      <c r="Q2940" s="41"/>
      <c r="R2940" s="41">
        <v>7014</v>
      </c>
      <c r="S2940" s="41"/>
      <c r="T2940" s="41"/>
      <c r="U2940" s="41"/>
      <c r="V2940" s="41">
        <v>7014</v>
      </c>
      <c r="W2940" s="41"/>
      <c r="X2940" s="41"/>
      <c r="Y2940" s="41"/>
      <c r="Z2940" s="41"/>
      <c r="AA2940" s="1217">
        <f t="shared" si="437"/>
        <v>14028</v>
      </c>
      <c r="AB2940" s="35"/>
      <c r="AC2940" s="183"/>
    </row>
    <row r="2941" spans="1:29" x14ac:dyDescent="0.2">
      <c r="A2941" s="1422"/>
      <c r="B2941" s="1427" t="s">
        <v>312</v>
      </c>
      <c r="C2941" s="1273"/>
      <c r="D2941" s="38"/>
      <c r="E2941" s="38"/>
      <c r="F2941" s="38"/>
      <c r="G2941" s="38"/>
      <c r="H2941" s="38"/>
      <c r="I2941" s="38"/>
      <c r="J2941" s="38"/>
      <c r="K2941" s="38">
        <f>SUM(K2930:K2940)</f>
        <v>106676</v>
      </c>
      <c r="L2941" s="38"/>
      <c r="M2941" s="125"/>
      <c r="N2941" s="125"/>
      <c r="O2941" s="38"/>
      <c r="P2941" s="38"/>
      <c r="Q2941" s="38"/>
      <c r="R2941" s="38"/>
      <c r="S2941" s="38"/>
      <c r="T2941" s="38"/>
      <c r="U2941" s="38"/>
      <c r="V2941" s="38"/>
      <c r="W2941" s="38"/>
      <c r="X2941" s="38"/>
      <c r="Y2941" s="38"/>
      <c r="Z2941" s="38"/>
      <c r="AA2941" s="2180"/>
      <c r="AB2941" s="35"/>
      <c r="AC2941" s="183"/>
    </row>
    <row r="2942" spans="1:29" ht="22.5" x14ac:dyDescent="0.2">
      <c r="A2942" s="1422"/>
      <c r="B2942" s="1433" t="s">
        <v>276</v>
      </c>
      <c r="C2942" s="1121"/>
      <c r="D2942" s="1119">
        <v>3044203</v>
      </c>
      <c r="E2942" s="192" t="s">
        <v>846</v>
      </c>
      <c r="F2942" s="35"/>
      <c r="G2942" s="35"/>
      <c r="H2942" s="35"/>
      <c r="I2942" s="35"/>
      <c r="J2942" s="35"/>
      <c r="K2942" s="60"/>
      <c r="L2942" s="60"/>
      <c r="M2942" s="200"/>
      <c r="N2942" s="200"/>
      <c r="O2942" s="60"/>
      <c r="P2942" s="60"/>
      <c r="Q2942" s="60"/>
      <c r="R2942" s="60"/>
      <c r="S2942" s="3333" t="s">
        <v>15</v>
      </c>
      <c r="T2942" s="3333"/>
      <c r="U2942" s="3333"/>
      <c r="V2942" s="3333"/>
      <c r="W2942" s="3333"/>
      <c r="X2942" s="3333"/>
      <c r="Y2942" s="3333"/>
      <c r="Z2942" s="3333"/>
      <c r="AA2942" s="1215" t="s">
        <v>16</v>
      </c>
      <c r="AB2942" s="35"/>
      <c r="AC2942" s="183"/>
    </row>
    <row r="2943" spans="1:29" x14ac:dyDescent="0.2">
      <c r="A2943" s="1422"/>
      <c r="B2943" s="1433"/>
      <c r="C2943" s="1121"/>
      <c r="D2943" s="1119"/>
      <c r="E2943" s="192"/>
      <c r="F2943" s="35"/>
      <c r="G2943" s="35"/>
      <c r="H2943" s="35"/>
      <c r="I2943" s="35"/>
      <c r="J2943" s="35"/>
      <c r="K2943" s="60"/>
      <c r="L2943" s="60"/>
      <c r="M2943" s="200"/>
      <c r="N2943" s="200"/>
      <c r="O2943" s="60"/>
      <c r="P2943" s="60"/>
      <c r="Q2943" s="60"/>
      <c r="R2943" s="60"/>
      <c r="S2943" s="3383" t="s">
        <v>847</v>
      </c>
      <c r="T2943" s="3383"/>
      <c r="U2943" s="3383"/>
      <c r="V2943" s="3383"/>
      <c r="W2943" s="3383"/>
      <c r="X2943" s="3383"/>
      <c r="Y2943" s="3383"/>
      <c r="Z2943" s="3383"/>
      <c r="AA2943" s="1214" t="s">
        <v>661</v>
      </c>
      <c r="AB2943" s="35"/>
      <c r="AC2943" s="183"/>
    </row>
    <row r="2944" spans="1:29" x14ac:dyDescent="0.2">
      <c r="A2944" s="1422"/>
      <c r="B2944" s="2999" t="s">
        <v>278</v>
      </c>
      <c r="C2944" s="3015" t="s">
        <v>21</v>
      </c>
      <c r="D2944" s="2847" t="s">
        <v>22</v>
      </c>
      <c r="E2944" s="2847" t="s">
        <v>23</v>
      </c>
      <c r="F2944" s="2847" t="s">
        <v>24</v>
      </c>
      <c r="G2944" s="2847" t="s">
        <v>25</v>
      </c>
      <c r="H2944" s="2847" t="s">
        <v>26</v>
      </c>
      <c r="I2944" s="2847" t="s">
        <v>27</v>
      </c>
      <c r="J2944" s="3206" t="s">
        <v>28</v>
      </c>
      <c r="K2944" s="3301"/>
      <c r="L2944" s="2987" t="s">
        <v>279</v>
      </c>
      <c r="M2944" s="3273" t="s">
        <v>280</v>
      </c>
      <c r="N2944" s="3274"/>
      <c r="O2944" s="2847" t="s">
        <v>281</v>
      </c>
      <c r="P2944" s="2847"/>
      <c r="Q2944" s="2847"/>
      <c r="R2944" s="2847"/>
      <c r="S2944" s="2847"/>
      <c r="T2944" s="2847"/>
      <c r="U2944" s="2847"/>
      <c r="V2944" s="2847"/>
      <c r="W2944" s="2847"/>
      <c r="X2944" s="2847"/>
      <c r="Y2944" s="2847"/>
      <c r="Z2944" s="2847"/>
      <c r="AA2944" s="3358" t="s">
        <v>32</v>
      </c>
      <c r="AB2944" s="35"/>
      <c r="AC2944" s="183"/>
    </row>
    <row r="2945" spans="1:29" x14ac:dyDescent="0.2">
      <c r="A2945" s="1422"/>
      <c r="B2945" s="2999"/>
      <c r="C2945" s="3359"/>
      <c r="D2945" s="2847"/>
      <c r="E2945" s="2847"/>
      <c r="F2945" s="2847"/>
      <c r="G2945" s="2847"/>
      <c r="H2945" s="2847"/>
      <c r="I2945" s="2847"/>
      <c r="J2945" s="2988" t="s">
        <v>33</v>
      </c>
      <c r="K2945" s="2988" t="s">
        <v>282</v>
      </c>
      <c r="L2945" s="3341"/>
      <c r="M2945" s="3275"/>
      <c r="N2945" s="3276"/>
      <c r="O2945" s="1009" t="s">
        <v>283</v>
      </c>
      <c r="P2945" s="1009" t="s">
        <v>284</v>
      </c>
      <c r="Q2945" s="1009" t="s">
        <v>285</v>
      </c>
      <c r="R2945" s="1009" t="s">
        <v>88</v>
      </c>
      <c r="S2945" s="1009" t="s">
        <v>89</v>
      </c>
      <c r="T2945" s="1009" t="s">
        <v>90</v>
      </c>
      <c r="U2945" s="1009" t="s">
        <v>91</v>
      </c>
      <c r="V2945" s="1009" t="s">
        <v>92</v>
      </c>
      <c r="W2945" s="1009" t="s">
        <v>286</v>
      </c>
      <c r="X2945" s="1009" t="s">
        <v>93</v>
      </c>
      <c r="Y2945" s="1009" t="s">
        <v>94</v>
      </c>
      <c r="Z2945" s="1009" t="s">
        <v>95</v>
      </c>
      <c r="AA2945" s="3358"/>
      <c r="AB2945" s="35"/>
      <c r="AC2945" s="183"/>
    </row>
    <row r="2946" spans="1:29" x14ac:dyDescent="0.2">
      <c r="A2946" s="1422"/>
      <c r="B2946" s="2999"/>
      <c r="C2946" s="3359"/>
      <c r="D2946" s="2847"/>
      <c r="E2946" s="2847"/>
      <c r="F2946" s="2847"/>
      <c r="G2946" s="2847"/>
      <c r="H2946" s="2847"/>
      <c r="I2946" s="2847"/>
      <c r="J2946" s="3186"/>
      <c r="K2946" s="3186"/>
      <c r="L2946" s="3341"/>
      <c r="M2946" s="3271" t="s">
        <v>287</v>
      </c>
      <c r="N2946" s="3272"/>
      <c r="O2946" s="1095">
        <v>1600</v>
      </c>
      <c r="P2946" s="1095">
        <v>1600</v>
      </c>
      <c r="Q2946" s="1095">
        <v>1600</v>
      </c>
      <c r="R2946" s="1095">
        <v>1600</v>
      </c>
      <c r="S2946" s="1095">
        <v>1600</v>
      </c>
      <c r="T2946" s="1095">
        <v>1600</v>
      </c>
      <c r="U2946" s="1095">
        <v>1600</v>
      </c>
      <c r="V2946" s="1095">
        <v>1600</v>
      </c>
      <c r="W2946" s="1095">
        <v>1600</v>
      </c>
      <c r="X2946" s="1095">
        <v>1600</v>
      </c>
      <c r="Y2946" s="1095">
        <v>1600</v>
      </c>
      <c r="Z2946" s="1095">
        <v>1599</v>
      </c>
      <c r="AA2946" s="1216">
        <f t="shared" ref="AA2946:AA2964" si="439">SUM(O2946:Z2946)</f>
        <v>19199</v>
      </c>
      <c r="AB2946" s="35"/>
      <c r="AC2946" s="183"/>
    </row>
    <row r="2947" spans="1:29" x14ac:dyDescent="0.2">
      <c r="A2947" s="1422"/>
      <c r="B2947" s="2999"/>
      <c r="C2947" s="3016"/>
      <c r="D2947" s="2847"/>
      <c r="E2947" s="2847"/>
      <c r="F2947" s="2847"/>
      <c r="G2947" s="2847"/>
      <c r="H2947" s="2847"/>
      <c r="I2947" s="2847"/>
      <c r="J2947" s="2989"/>
      <c r="K2947" s="2989"/>
      <c r="L2947" s="3341"/>
      <c r="M2947" s="3271" t="s">
        <v>34</v>
      </c>
      <c r="N2947" s="3272"/>
      <c r="O2947" s="120">
        <f>SUM(O2948:O2964)</f>
        <v>73648.416666666657</v>
      </c>
      <c r="P2947" s="120">
        <f t="shared" ref="P2947:Z2947" si="440">SUM(P2948:P2964)</f>
        <v>67875.689393939392</v>
      </c>
      <c r="Q2947" s="120">
        <f t="shared" si="440"/>
        <v>72997.689393939392</v>
      </c>
      <c r="R2947" s="120">
        <f t="shared" si="440"/>
        <v>70100.689393939392</v>
      </c>
      <c r="S2947" s="120">
        <f t="shared" si="440"/>
        <v>78511.689393939392</v>
      </c>
      <c r="T2947" s="120">
        <f t="shared" si="440"/>
        <v>67875.689393939392</v>
      </c>
      <c r="U2947" s="120">
        <f t="shared" si="440"/>
        <v>74918.689393939392</v>
      </c>
      <c r="V2947" s="120">
        <f t="shared" si="440"/>
        <v>69647.689393939392</v>
      </c>
      <c r="W2947" s="120">
        <f t="shared" si="440"/>
        <v>70425.689393939392</v>
      </c>
      <c r="X2947" s="120">
        <f t="shared" si="440"/>
        <v>67875.689393939392</v>
      </c>
      <c r="Y2947" s="120">
        <f t="shared" si="440"/>
        <v>70425.689393939392</v>
      </c>
      <c r="Z2947" s="120">
        <f t="shared" si="440"/>
        <v>72368.689393939392</v>
      </c>
      <c r="AA2947" s="1216">
        <f t="shared" si="439"/>
        <v>856672.00000000023</v>
      </c>
      <c r="AB2947" s="35"/>
      <c r="AC2947" s="183"/>
    </row>
    <row r="2948" spans="1:29" x14ac:dyDescent="0.2">
      <c r="A2948" s="1422"/>
      <c r="B2948" s="2522">
        <v>5000126</v>
      </c>
      <c r="C2948" s="3190" t="s">
        <v>848</v>
      </c>
      <c r="D2948" s="2421">
        <v>92</v>
      </c>
      <c r="E2948" s="2421" t="s">
        <v>288</v>
      </c>
      <c r="F2948" s="2420" t="s">
        <v>386</v>
      </c>
      <c r="G2948" s="2420" t="s">
        <v>387</v>
      </c>
      <c r="H2948" s="2420"/>
      <c r="I2948" s="2420" t="s">
        <v>780</v>
      </c>
      <c r="J2948" s="2514">
        <v>19199</v>
      </c>
      <c r="K2948" s="115">
        <v>247430</v>
      </c>
      <c r="L2948" s="115"/>
      <c r="M2948" s="3287" t="s">
        <v>293</v>
      </c>
      <c r="N2948" s="3288"/>
      <c r="O2948" s="41">
        <v>20619.166666666668</v>
      </c>
      <c r="P2948" s="41">
        <v>20619.166666666668</v>
      </c>
      <c r="Q2948" s="41">
        <v>20619.166666666668</v>
      </c>
      <c r="R2948" s="41">
        <v>20619.166666666668</v>
      </c>
      <c r="S2948" s="41">
        <v>20619.166666666668</v>
      </c>
      <c r="T2948" s="41">
        <v>20619.166666666668</v>
      </c>
      <c r="U2948" s="41">
        <v>20619.166666666668</v>
      </c>
      <c r="V2948" s="41">
        <v>20619.166666666668</v>
      </c>
      <c r="W2948" s="41">
        <v>20619.166666666668</v>
      </c>
      <c r="X2948" s="41">
        <v>20619.166666666668</v>
      </c>
      <c r="Y2948" s="41">
        <v>20619.166666666668</v>
      </c>
      <c r="Z2948" s="41">
        <v>20619.166666666668</v>
      </c>
      <c r="AA2948" s="1217">
        <f t="shared" si="439"/>
        <v>247429.99999999997</v>
      </c>
      <c r="AB2948" s="35"/>
      <c r="AC2948" s="183"/>
    </row>
    <row r="2949" spans="1:29" x14ac:dyDescent="0.2">
      <c r="A2949" s="1422"/>
      <c r="B2949" s="2522"/>
      <c r="C2949" s="3191"/>
      <c r="D2949" s="2421"/>
      <c r="E2949" s="2421"/>
      <c r="F2949" s="2420"/>
      <c r="G2949" s="2420"/>
      <c r="H2949" s="2420"/>
      <c r="I2949" s="2420"/>
      <c r="J2949" s="2515"/>
      <c r="K2949" s="115">
        <v>29820</v>
      </c>
      <c r="L2949" s="115"/>
      <c r="M2949" s="3287" t="s">
        <v>321</v>
      </c>
      <c r="N2949" s="3288"/>
      <c r="O2949" s="41">
        <v>2485</v>
      </c>
      <c r="P2949" s="41">
        <v>2485</v>
      </c>
      <c r="Q2949" s="41">
        <v>2485</v>
      </c>
      <c r="R2949" s="41">
        <v>2485</v>
      </c>
      <c r="S2949" s="41">
        <v>2485</v>
      </c>
      <c r="T2949" s="41">
        <v>2485</v>
      </c>
      <c r="U2949" s="41">
        <v>2485</v>
      </c>
      <c r="V2949" s="41">
        <v>2485</v>
      </c>
      <c r="W2949" s="41">
        <v>2485</v>
      </c>
      <c r="X2949" s="41">
        <v>2485</v>
      </c>
      <c r="Y2949" s="41">
        <v>2485</v>
      </c>
      <c r="Z2949" s="41">
        <v>2485</v>
      </c>
      <c r="AA2949" s="1217">
        <f t="shared" si="439"/>
        <v>29820</v>
      </c>
      <c r="AB2949" s="35"/>
      <c r="AC2949" s="183"/>
    </row>
    <row r="2950" spans="1:29" x14ac:dyDescent="0.2">
      <c r="A2950" s="1422"/>
      <c r="B2950" s="2522"/>
      <c r="C2950" s="3191"/>
      <c r="D2950" s="2421"/>
      <c r="E2950" s="2421"/>
      <c r="F2950" s="2420"/>
      <c r="G2950" s="2420"/>
      <c r="H2950" s="2420"/>
      <c r="I2950" s="2420"/>
      <c r="J2950" s="2515"/>
      <c r="K2950" s="115">
        <v>107472</v>
      </c>
      <c r="L2950" s="115"/>
      <c r="M2950" s="3287" t="s">
        <v>294</v>
      </c>
      <c r="N2950" s="3288"/>
      <c r="O2950" s="41">
        <v>8956</v>
      </c>
      <c r="P2950" s="41">
        <v>8956</v>
      </c>
      <c r="Q2950" s="41">
        <v>8956</v>
      </c>
      <c r="R2950" s="41">
        <v>8956</v>
      </c>
      <c r="S2950" s="41">
        <v>8956</v>
      </c>
      <c r="T2950" s="41">
        <v>8956</v>
      </c>
      <c r="U2950" s="41">
        <v>8956</v>
      </c>
      <c r="V2950" s="41">
        <v>8956</v>
      </c>
      <c r="W2950" s="41">
        <v>8956</v>
      </c>
      <c r="X2950" s="41">
        <v>8956</v>
      </c>
      <c r="Y2950" s="41">
        <v>8956</v>
      </c>
      <c r="Z2950" s="41">
        <v>8956</v>
      </c>
      <c r="AA2950" s="1217">
        <f t="shared" si="439"/>
        <v>107472</v>
      </c>
      <c r="AB2950" s="35"/>
      <c r="AC2950" s="183"/>
    </row>
    <row r="2951" spans="1:29" x14ac:dyDescent="0.2">
      <c r="A2951" s="1422"/>
      <c r="B2951" s="2522"/>
      <c r="C2951" s="3191"/>
      <c r="D2951" s="2421"/>
      <c r="E2951" s="2421"/>
      <c r="F2951" s="2420"/>
      <c r="G2951" s="2420"/>
      <c r="H2951" s="2420"/>
      <c r="I2951" s="2420"/>
      <c r="J2951" s="2515"/>
      <c r="K2951" s="115">
        <v>51133</v>
      </c>
      <c r="L2951" s="115"/>
      <c r="M2951" s="3287" t="s">
        <v>295</v>
      </c>
      <c r="N2951" s="3288"/>
      <c r="O2951" s="41">
        <v>4261.083333333333</v>
      </c>
      <c r="P2951" s="41">
        <v>4261.083333333333</v>
      </c>
      <c r="Q2951" s="41">
        <v>4261.083333333333</v>
      </c>
      <c r="R2951" s="41">
        <v>4261.083333333333</v>
      </c>
      <c r="S2951" s="41">
        <v>4261.083333333333</v>
      </c>
      <c r="T2951" s="41">
        <v>4261.083333333333</v>
      </c>
      <c r="U2951" s="41">
        <v>4261.083333333333</v>
      </c>
      <c r="V2951" s="41">
        <v>4261.083333333333</v>
      </c>
      <c r="W2951" s="41">
        <v>4261.083333333333</v>
      </c>
      <c r="X2951" s="41">
        <v>4261.083333333333</v>
      </c>
      <c r="Y2951" s="41">
        <v>4261.083333333333</v>
      </c>
      <c r="Z2951" s="41">
        <v>4261.083333333333</v>
      </c>
      <c r="AA2951" s="1217">
        <f t="shared" si="439"/>
        <v>51133.000000000007</v>
      </c>
      <c r="AB2951" s="35"/>
      <c r="AC2951" s="183"/>
    </row>
    <row r="2952" spans="1:29" x14ac:dyDescent="0.2">
      <c r="A2952" s="1422"/>
      <c r="B2952" s="2522"/>
      <c r="C2952" s="3191"/>
      <c r="D2952" s="2421"/>
      <c r="E2952" s="2421"/>
      <c r="F2952" s="2420"/>
      <c r="G2952" s="2420"/>
      <c r="H2952" s="2420"/>
      <c r="I2952" s="2420"/>
      <c r="J2952" s="2515"/>
      <c r="K2952" s="115">
        <v>63460</v>
      </c>
      <c r="L2952" s="115"/>
      <c r="M2952" s="3287" t="s">
        <v>296</v>
      </c>
      <c r="N2952" s="3288"/>
      <c r="O2952" s="41">
        <v>5288.333333333333</v>
      </c>
      <c r="P2952" s="41">
        <v>5288.333333333333</v>
      </c>
      <c r="Q2952" s="41">
        <v>5288.333333333333</v>
      </c>
      <c r="R2952" s="41">
        <v>5288.333333333333</v>
      </c>
      <c r="S2952" s="41">
        <v>5288.333333333333</v>
      </c>
      <c r="T2952" s="41">
        <v>5288.333333333333</v>
      </c>
      <c r="U2952" s="41">
        <v>5288.333333333333</v>
      </c>
      <c r="V2952" s="41">
        <v>5288.333333333333</v>
      </c>
      <c r="W2952" s="41">
        <v>5288.333333333333</v>
      </c>
      <c r="X2952" s="41">
        <v>5288.333333333333</v>
      </c>
      <c r="Y2952" s="41">
        <v>5288.333333333333</v>
      </c>
      <c r="Z2952" s="41">
        <v>5288.333333333333</v>
      </c>
      <c r="AA2952" s="1217">
        <f t="shared" si="439"/>
        <v>63460.000000000007</v>
      </c>
      <c r="AB2952" s="35"/>
      <c r="AC2952" s="183"/>
    </row>
    <row r="2953" spans="1:29" x14ac:dyDescent="0.2">
      <c r="A2953" s="1422"/>
      <c r="B2953" s="2522"/>
      <c r="C2953" s="3191"/>
      <c r="D2953" s="2421"/>
      <c r="E2953" s="2421"/>
      <c r="F2953" s="2420"/>
      <c r="G2953" s="2420"/>
      <c r="H2953" s="2420"/>
      <c r="I2953" s="2420"/>
      <c r="J2953" s="2515"/>
      <c r="K2953" s="115">
        <v>1896</v>
      </c>
      <c r="L2953" s="115"/>
      <c r="M2953" s="3287" t="s">
        <v>297</v>
      </c>
      <c r="N2953" s="3288"/>
      <c r="O2953" s="41">
        <v>158</v>
      </c>
      <c r="P2953" s="41">
        <v>158</v>
      </c>
      <c r="Q2953" s="41">
        <v>158</v>
      </c>
      <c r="R2953" s="41">
        <v>158</v>
      </c>
      <c r="S2953" s="41">
        <v>158</v>
      </c>
      <c r="T2953" s="41">
        <v>158</v>
      </c>
      <c r="U2953" s="41">
        <v>158</v>
      </c>
      <c r="V2953" s="41">
        <v>158</v>
      </c>
      <c r="W2953" s="41">
        <v>158</v>
      </c>
      <c r="X2953" s="41">
        <v>158</v>
      </c>
      <c r="Y2953" s="41">
        <v>158</v>
      </c>
      <c r="Z2953" s="41">
        <v>158</v>
      </c>
      <c r="AA2953" s="1217">
        <f t="shared" si="439"/>
        <v>1896</v>
      </c>
      <c r="AB2953" s="35"/>
      <c r="AC2953" s="183"/>
    </row>
    <row r="2954" spans="1:29" x14ac:dyDescent="0.2">
      <c r="A2954" s="1422"/>
      <c r="B2954" s="2522"/>
      <c r="C2954" s="3191"/>
      <c r="D2954" s="2421"/>
      <c r="E2954" s="2421"/>
      <c r="F2954" s="2420"/>
      <c r="G2954" s="2420"/>
      <c r="H2954" s="2420"/>
      <c r="I2954" s="2420"/>
      <c r="J2954" s="2515"/>
      <c r="K2954" s="115">
        <v>8986</v>
      </c>
      <c r="L2954" s="115"/>
      <c r="M2954" s="3287" t="s">
        <v>298</v>
      </c>
      <c r="N2954" s="3288"/>
      <c r="O2954" s="41"/>
      <c r="P2954" s="41"/>
      <c r="Q2954" s="41"/>
      <c r="R2954" s="41"/>
      <c r="S2954" s="41"/>
      <c r="T2954" s="41"/>
      <c r="U2954" s="41">
        <v>4493</v>
      </c>
      <c r="V2954" s="41"/>
      <c r="W2954" s="41"/>
      <c r="X2954" s="41"/>
      <c r="Y2954" s="41"/>
      <c r="Z2954" s="41">
        <v>4493</v>
      </c>
      <c r="AA2954" s="1217">
        <f t="shared" si="439"/>
        <v>8986</v>
      </c>
      <c r="AB2954" s="35"/>
      <c r="AC2954" s="183"/>
    </row>
    <row r="2955" spans="1:29" x14ac:dyDescent="0.2">
      <c r="A2955" s="1422"/>
      <c r="B2955" s="2522"/>
      <c r="C2955" s="3191"/>
      <c r="D2955" s="2421"/>
      <c r="E2955" s="2421"/>
      <c r="F2955" s="2420"/>
      <c r="G2955" s="2420"/>
      <c r="H2955" s="2420"/>
      <c r="I2955" s="2420"/>
      <c r="J2955" s="2515"/>
      <c r="K2955" s="115">
        <v>5800</v>
      </c>
      <c r="L2955" s="115"/>
      <c r="M2955" s="3287" t="s">
        <v>299</v>
      </c>
      <c r="N2955" s="3288"/>
      <c r="O2955" s="41">
        <v>5800</v>
      </c>
      <c r="P2955" s="41"/>
      <c r="Q2955" s="41"/>
      <c r="R2955" s="41"/>
      <c r="S2955" s="41"/>
      <c r="T2955" s="41"/>
      <c r="U2955" s="41"/>
      <c r="V2955" s="41"/>
      <c r="W2955" s="41"/>
      <c r="X2955" s="41"/>
      <c r="Y2955" s="41"/>
      <c r="Z2955" s="41"/>
      <c r="AA2955" s="1217">
        <f t="shared" si="439"/>
        <v>5800</v>
      </c>
      <c r="AB2955" s="35"/>
      <c r="AC2955" s="183"/>
    </row>
    <row r="2956" spans="1:29" x14ac:dyDescent="0.2">
      <c r="A2956" s="1422"/>
      <c r="B2956" s="2522"/>
      <c r="C2956" s="3191"/>
      <c r="D2956" s="2421"/>
      <c r="E2956" s="2421"/>
      <c r="F2956" s="2420"/>
      <c r="G2956" s="2420"/>
      <c r="H2956" s="2420"/>
      <c r="I2956" s="2420"/>
      <c r="J2956" s="2515"/>
      <c r="K2956" s="115">
        <v>26495</v>
      </c>
      <c r="L2956" s="115"/>
      <c r="M2956" s="3287" t="s">
        <v>300</v>
      </c>
      <c r="N2956" s="3288"/>
      <c r="O2956" s="41">
        <v>2207.9166666666665</v>
      </c>
      <c r="P2956" s="41">
        <v>2207.9166666666665</v>
      </c>
      <c r="Q2956" s="41">
        <v>2207.9166666666665</v>
      </c>
      <c r="R2956" s="41">
        <v>2207.9166666666665</v>
      </c>
      <c r="S2956" s="41">
        <v>2207.9166666666665</v>
      </c>
      <c r="T2956" s="41">
        <v>2207.9166666666665</v>
      </c>
      <c r="U2956" s="41">
        <v>2207.9166666666665</v>
      </c>
      <c r="V2956" s="41">
        <v>2207.9166666666665</v>
      </c>
      <c r="W2956" s="41">
        <v>2207.9166666666665</v>
      </c>
      <c r="X2956" s="41">
        <v>2207.9166666666665</v>
      </c>
      <c r="Y2956" s="41">
        <v>2207.9166666666665</v>
      </c>
      <c r="Z2956" s="41">
        <v>2207.9166666666665</v>
      </c>
      <c r="AA2956" s="1217">
        <f t="shared" si="439"/>
        <v>26495.000000000004</v>
      </c>
      <c r="AB2956" s="35"/>
      <c r="AC2956" s="183"/>
    </row>
    <row r="2957" spans="1:29" x14ac:dyDescent="0.2">
      <c r="A2957" s="1422"/>
      <c r="B2957" s="2522"/>
      <c r="C2957" s="3191"/>
      <c r="D2957" s="2421"/>
      <c r="E2957" s="2421"/>
      <c r="F2957" s="2420"/>
      <c r="G2957" s="2420"/>
      <c r="H2957" s="2420"/>
      <c r="I2957" s="2420"/>
      <c r="J2957" s="2515"/>
      <c r="K2957" s="115">
        <v>866</v>
      </c>
      <c r="L2957" s="115"/>
      <c r="M2957" s="3287" t="s">
        <v>301</v>
      </c>
      <c r="N2957" s="3288"/>
      <c r="O2957" s="41">
        <v>72.166666666666671</v>
      </c>
      <c r="P2957" s="41">
        <v>72.166666666666671</v>
      </c>
      <c r="Q2957" s="41">
        <v>72.166666666666671</v>
      </c>
      <c r="R2957" s="41">
        <v>72.166666666666671</v>
      </c>
      <c r="S2957" s="41">
        <v>72.166666666666671</v>
      </c>
      <c r="T2957" s="41">
        <v>72.166666666666671</v>
      </c>
      <c r="U2957" s="41">
        <v>72.166666666666671</v>
      </c>
      <c r="V2957" s="41">
        <v>72.166666666666671</v>
      </c>
      <c r="W2957" s="41">
        <v>72.166666666666671</v>
      </c>
      <c r="X2957" s="41">
        <v>72.166666666666671</v>
      </c>
      <c r="Y2957" s="41">
        <v>72.166666666666671</v>
      </c>
      <c r="Z2957" s="41">
        <v>72.166666666666671</v>
      </c>
      <c r="AA2957" s="1217">
        <f t="shared" si="439"/>
        <v>865.99999999999989</v>
      </c>
      <c r="AB2957" s="35"/>
      <c r="AC2957" s="183"/>
    </row>
    <row r="2958" spans="1:29" x14ac:dyDescent="0.2">
      <c r="A2958" s="1422"/>
      <c r="B2958" s="2522"/>
      <c r="C2958" s="3191"/>
      <c r="D2958" s="2421"/>
      <c r="E2958" s="2421"/>
      <c r="F2958" s="2420"/>
      <c r="G2958" s="2420"/>
      <c r="H2958" s="2420"/>
      <c r="I2958" s="2420"/>
      <c r="J2958" s="2515"/>
      <c r="K2958" s="115">
        <v>8086</v>
      </c>
      <c r="L2958" s="115"/>
      <c r="M2958" s="3287" t="s">
        <v>302</v>
      </c>
      <c r="N2958" s="3288"/>
      <c r="O2958" s="41"/>
      <c r="P2958" s="41"/>
      <c r="Q2958" s="41"/>
      <c r="R2958" s="41"/>
      <c r="S2958" s="41">
        <v>8086</v>
      </c>
      <c r="T2958" s="41"/>
      <c r="U2958" s="41"/>
      <c r="V2958" s="41"/>
      <c r="W2958" s="41"/>
      <c r="X2958" s="41"/>
      <c r="Y2958" s="41"/>
      <c r="Z2958" s="41"/>
      <c r="AA2958" s="1217">
        <f t="shared" si="439"/>
        <v>8086</v>
      </c>
      <c r="AB2958" s="35"/>
      <c r="AC2958" s="183"/>
    </row>
    <row r="2959" spans="1:29" x14ac:dyDescent="0.2">
      <c r="A2959" s="1422"/>
      <c r="B2959" s="2522"/>
      <c r="C2959" s="3191"/>
      <c r="D2959" s="2421"/>
      <c r="E2959" s="2421"/>
      <c r="F2959" s="2420"/>
      <c r="G2959" s="2420"/>
      <c r="H2959" s="2420"/>
      <c r="I2959" s="2420"/>
      <c r="J2959" s="2515"/>
      <c r="K2959" s="115">
        <v>3544</v>
      </c>
      <c r="L2959" s="115"/>
      <c r="M2959" s="3287" t="s">
        <v>303</v>
      </c>
      <c r="N2959" s="3288"/>
      <c r="O2959" s="41"/>
      <c r="P2959" s="41"/>
      <c r="Q2959" s="41">
        <v>1772</v>
      </c>
      <c r="R2959" s="41"/>
      <c r="S2959" s="41"/>
      <c r="T2959" s="41"/>
      <c r="U2959" s="41"/>
      <c r="V2959" s="41">
        <v>1772</v>
      </c>
      <c r="W2959" s="41"/>
      <c r="X2959" s="41"/>
      <c r="Y2959" s="41"/>
      <c r="Z2959" s="41"/>
      <c r="AA2959" s="1217">
        <f t="shared" si="439"/>
        <v>3544</v>
      </c>
      <c r="AB2959" s="35"/>
      <c r="AC2959" s="183"/>
    </row>
    <row r="2960" spans="1:29" x14ac:dyDescent="0.2">
      <c r="A2960" s="1422"/>
      <c r="B2960" s="2522"/>
      <c r="C2960" s="3191"/>
      <c r="D2960" s="2421"/>
      <c r="E2960" s="2421"/>
      <c r="F2960" s="2420"/>
      <c r="G2960" s="2420"/>
      <c r="H2960" s="2420"/>
      <c r="I2960" s="2420"/>
      <c r="J2960" s="2515"/>
      <c r="K2960" s="115">
        <v>2225</v>
      </c>
      <c r="L2960" s="115"/>
      <c r="M2960" s="3287" t="s">
        <v>304</v>
      </c>
      <c r="N2960" s="3288"/>
      <c r="O2960" s="41"/>
      <c r="P2960" s="41"/>
      <c r="Q2960" s="41"/>
      <c r="R2960" s="41">
        <v>2225</v>
      </c>
      <c r="S2960" s="41"/>
      <c r="T2960" s="41"/>
      <c r="U2960" s="41"/>
      <c r="V2960" s="41"/>
      <c r="W2960" s="41"/>
      <c r="X2960" s="41"/>
      <c r="Y2960" s="41"/>
      <c r="Z2960" s="41"/>
      <c r="AA2960" s="1217">
        <f t="shared" si="439"/>
        <v>2225</v>
      </c>
      <c r="AB2960" s="35"/>
      <c r="AC2960" s="183"/>
    </row>
    <row r="2961" spans="1:29" x14ac:dyDescent="0.2">
      <c r="A2961" s="1422"/>
      <c r="B2961" s="2522"/>
      <c r="C2961" s="3191"/>
      <c r="D2961" s="2421"/>
      <c r="E2961" s="2421"/>
      <c r="F2961" s="2420"/>
      <c r="G2961" s="2420"/>
      <c r="H2961" s="2420"/>
      <c r="I2961" s="2420"/>
      <c r="J2961" s="2515"/>
      <c r="K2961" s="115">
        <v>300</v>
      </c>
      <c r="L2961" s="115"/>
      <c r="M2961" s="3287" t="s">
        <v>307</v>
      </c>
      <c r="N2961" s="3288"/>
      <c r="O2961" s="41"/>
      <c r="P2961" s="41">
        <v>27.272727272727273</v>
      </c>
      <c r="Q2961" s="41">
        <v>27.272727272727273</v>
      </c>
      <c r="R2961" s="41">
        <v>27.272727272727273</v>
      </c>
      <c r="S2961" s="41">
        <v>27.272727272727273</v>
      </c>
      <c r="T2961" s="41">
        <v>27.272727272727273</v>
      </c>
      <c r="U2961" s="41">
        <v>27.272727272727273</v>
      </c>
      <c r="V2961" s="41">
        <v>27.272727272727273</v>
      </c>
      <c r="W2961" s="41">
        <v>27.272727272727273</v>
      </c>
      <c r="X2961" s="41">
        <v>27.272727272727273</v>
      </c>
      <c r="Y2961" s="41">
        <v>27.272727272727273</v>
      </c>
      <c r="Z2961" s="41">
        <v>27.272727272727273</v>
      </c>
      <c r="AA2961" s="1217">
        <f t="shared" si="439"/>
        <v>300</v>
      </c>
      <c r="AB2961" s="35"/>
      <c r="AC2961" s="183"/>
    </row>
    <row r="2962" spans="1:29" x14ac:dyDescent="0.2">
      <c r="A2962" s="1422"/>
      <c r="B2962" s="2522"/>
      <c r="C2962" s="3191"/>
      <c r="D2962" s="2421"/>
      <c r="E2962" s="2421"/>
      <c r="F2962" s="2420"/>
      <c r="G2962" s="2420"/>
      <c r="H2962" s="2420"/>
      <c r="I2962" s="2420"/>
      <c r="J2962" s="2515"/>
      <c r="K2962" s="115">
        <v>800</v>
      </c>
      <c r="L2962" s="115"/>
      <c r="M2962" s="3287" t="s">
        <v>308</v>
      </c>
      <c r="N2962" s="3288"/>
      <c r="O2962" s="41"/>
      <c r="P2962" s="41"/>
      <c r="Q2962" s="41">
        <v>800</v>
      </c>
      <c r="R2962" s="41"/>
      <c r="S2962" s="41"/>
      <c r="T2962" s="41"/>
      <c r="U2962" s="41"/>
      <c r="V2962" s="41"/>
      <c r="W2962" s="41"/>
      <c r="X2962" s="41"/>
      <c r="Y2962" s="41"/>
      <c r="Z2962" s="41"/>
      <c r="AA2962" s="1217">
        <f t="shared" si="439"/>
        <v>800</v>
      </c>
      <c r="AB2962" s="35"/>
      <c r="AC2962" s="183"/>
    </row>
    <row r="2963" spans="1:29" x14ac:dyDescent="0.2">
      <c r="A2963" s="1422"/>
      <c r="B2963" s="2522"/>
      <c r="C2963" s="3191"/>
      <c r="D2963" s="2421"/>
      <c r="E2963" s="2421"/>
      <c r="F2963" s="2420"/>
      <c r="G2963" s="2420"/>
      <c r="H2963" s="2420"/>
      <c r="I2963" s="2420"/>
      <c r="J2963" s="2515"/>
      <c r="K2963" s="115">
        <v>12750</v>
      </c>
      <c r="L2963" s="115"/>
      <c r="M2963" s="3287" t="s">
        <v>309</v>
      </c>
      <c r="N2963" s="3288"/>
      <c r="O2963" s="41"/>
      <c r="P2963" s="41"/>
      <c r="Q2963" s="41">
        <v>2550</v>
      </c>
      <c r="R2963" s="41"/>
      <c r="S2963" s="41">
        <v>2550</v>
      </c>
      <c r="T2963" s="41"/>
      <c r="U2963" s="41">
        <v>2550</v>
      </c>
      <c r="V2963" s="41"/>
      <c r="W2963" s="41">
        <v>2550</v>
      </c>
      <c r="X2963" s="41"/>
      <c r="Y2963" s="41">
        <v>2550</v>
      </c>
      <c r="Z2963" s="41"/>
      <c r="AA2963" s="1217">
        <f t="shared" si="439"/>
        <v>12750</v>
      </c>
      <c r="AB2963" s="35"/>
      <c r="AC2963" s="183"/>
    </row>
    <row r="2964" spans="1:29" x14ac:dyDescent="0.2">
      <c r="A2964" s="1422"/>
      <c r="B2964" s="2522"/>
      <c r="C2964" s="2439"/>
      <c r="D2964" s="2421"/>
      <c r="E2964" s="2421"/>
      <c r="F2964" s="2420"/>
      <c r="G2964" s="2420"/>
      <c r="H2964" s="2420"/>
      <c r="I2964" s="2420"/>
      <c r="J2964" s="2516"/>
      <c r="K2964" s="115">
        <v>285609</v>
      </c>
      <c r="L2964" s="115"/>
      <c r="M2964" s="3287" t="s">
        <v>397</v>
      </c>
      <c r="N2964" s="3288"/>
      <c r="O2964" s="41">
        <v>23800.75</v>
      </c>
      <c r="P2964" s="41">
        <v>23800.75</v>
      </c>
      <c r="Q2964" s="41">
        <v>23800.75</v>
      </c>
      <c r="R2964" s="41">
        <v>23800.75</v>
      </c>
      <c r="S2964" s="41">
        <v>23800.75</v>
      </c>
      <c r="T2964" s="41">
        <v>23800.75</v>
      </c>
      <c r="U2964" s="41">
        <v>23800.75</v>
      </c>
      <c r="V2964" s="41">
        <v>23800.75</v>
      </c>
      <c r="W2964" s="41">
        <v>23800.75</v>
      </c>
      <c r="X2964" s="41">
        <v>23800.75</v>
      </c>
      <c r="Y2964" s="41">
        <v>23800.75</v>
      </c>
      <c r="Z2964" s="41">
        <v>23800.75</v>
      </c>
      <c r="AA2964" s="1217">
        <f t="shared" si="439"/>
        <v>285609</v>
      </c>
      <c r="AB2964" s="35"/>
      <c r="AC2964" s="183"/>
    </row>
    <row r="2965" spans="1:29" x14ac:dyDescent="0.2">
      <c r="A2965" s="1422"/>
      <c r="B2965" s="1427" t="s">
        <v>312</v>
      </c>
      <c r="C2965" s="1273"/>
      <c r="D2965" s="38"/>
      <c r="E2965" s="38"/>
      <c r="F2965" s="38"/>
      <c r="G2965" s="38"/>
      <c r="H2965" s="38"/>
      <c r="I2965" s="38"/>
      <c r="J2965" s="38"/>
      <c r="K2965" s="38">
        <f>SUM(K2948:K2964)</f>
        <v>856672</v>
      </c>
      <c r="L2965" s="38"/>
      <c r="M2965" s="125"/>
      <c r="N2965" s="125"/>
      <c r="O2965" s="38"/>
      <c r="P2965" s="38"/>
      <c r="Q2965" s="38"/>
      <c r="R2965" s="38"/>
      <c r="S2965" s="38"/>
      <c r="T2965" s="38"/>
      <c r="U2965" s="38"/>
      <c r="V2965" s="38"/>
      <c r="W2965" s="38"/>
      <c r="X2965" s="38"/>
      <c r="Y2965" s="38"/>
      <c r="Z2965" s="38"/>
      <c r="AA2965" s="2180"/>
      <c r="AB2965" s="35"/>
      <c r="AC2965" s="183"/>
    </row>
    <row r="2966" spans="1:29" ht="22.5" x14ac:dyDescent="0.2">
      <c r="A2966" s="1422"/>
      <c r="B2966" s="1433" t="s">
        <v>276</v>
      </c>
      <c r="C2966" s="1121"/>
      <c r="D2966" s="1119">
        <v>3044204</v>
      </c>
      <c r="E2966" s="192" t="s">
        <v>849</v>
      </c>
      <c r="F2966" s="35"/>
      <c r="G2966" s="35"/>
      <c r="H2966" s="35"/>
      <c r="I2966" s="35"/>
      <c r="J2966" s="35"/>
      <c r="K2966" s="60"/>
      <c r="L2966" s="60"/>
      <c r="M2966" s="200"/>
      <c r="N2966" s="200"/>
      <c r="O2966" s="60"/>
      <c r="P2966" s="60"/>
      <c r="Q2966" s="60"/>
      <c r="R2966" s="60"/>
      <c r="S2966" s="60"/>
      <c r="T2966" s="3333" t="s">
        <v>15</v>
      </c>
      <c r="U2966" s="3333"/>
      <c r="V2966" s="3333"/>
      <c r="W2966" s="3333"/>
      <c r="X2966" s="3333"/>
      <c r="Y2966" s="3333"/>
      <c r="Z2966" s="3333"/>
      <c r="AA2966" s="1215" t="s">
        <v>16</v>
      </c>
      <c r="AB2966" s="35"/>
      <c r="AC2966" s="183"/>
    </row>
    <row r="2967" spans="1:29" x14ac:dyDescent="0.2">
      <c r="A2967" s="1422"/>
      <c r="B2967" s="1433"/>
      <c r="C2967" s="1121"/>
      <c r="D2967" s="1119"/>
      <c r="E2967" s="192"/>
      <c r="F2967" s="35"/>
      <c r="G2967" s="35"/>
      <c r="H2967" s="35"/>
      <c r="I2967" s="35"/>
      <c r="J2967" s="35"/>
      <c r="K2967" s="60"/>
      <c r="L2967" s="60"/>
      <c r="M2967" s="200"/>
      <c r="N2967" s="200"/>
      <c r="O2967" s="60"/>
      <c r="P2967" s="60"/>
      <c r="Q2967" s="60"/>
      <c r="R2967" s="60"/>
      <c r="S2967" s="60"/>
      <c r="T2967" s="3383" t="s">
        <v>850</v>
      </c>
      <c r="U2967" s="3383"/>
      <c r="V2967" s="3383"/>
      <c r="W2967" s="3383"/>
      <c r="X2967" s="3383"/>
      <c r="Y2967" s="3383"/>
      <c r="Z2967" s="3383"/>
      <c r="AA2967" s="1214" t="s">
        <v>661</v>
      </c>
      <c r="AB2967" s="35"/>
      <c r="AC2967" s="183"/>
    </row>
    <row r="2968" spans="1:29" x14ac:dyDescent="0.2">
      <c r="A2968" s="1422"/>
      <c r="B2968" s="2999" t="s">
        <v>278</v>
      </c>
      <c r="C2968" s="3015" t="s">
        <v>21</v>
      </c>
      <c r="D2968" s="2847" t="s">
        <v>22</v>
      </c>
      <c r="E2968" s="2847" t="s">
        <v>23</v>
      </c>
      <c r="F2968" s="2847" t="s">
        <v>24</v>
      </c>
      <c r="G2968" s="2847" t="s">
        <v>25</v>
      </c>
      <c r="H2968" s="2847" t="s">
        <v>26</v>
      </c>
      <c r="I2968" s="2847" t="s">
        <v>27</v>
      </c>
      <c r="J2968" s="3206" t="s">
        <v>28</v>
      </c>
      <c r="K2968" s="3301"/>
      <c r="L2968" s="2987" t="s">
        <v>279</v>
      </c>
      <c r="M2968" s="3273" t="s">
        <v>280</v>
      </c>
      <c r="N2968" s="3274"/>
      <c r="O2968" s="2847" t="s">
        <v>281</v>
      </c>
      <c r="P2968" s="2847"/>
      <c r="Q2968" s="2847"/>
      <c r="R2968" s="2847"/>
      <c r="S2968" s="2847"/>
      <c r="T2968" s="2847"/>
      <c r="U2968" s="2847"/>
      <c r="V2968" s="2847"/>
      <c r="W2968" s="2847"/>
      <c r="X2968" s="2847"/>
      <c r="Y2968" s="2847"/>
      <c r="Z2968" s="2847"/>
      <c r="AA2968" s="3358" t="s">
        <v>32</v>
      </c>
      <c r="AB2968" s="35"/>
      <c r="AC2968" s="183"/>
    </row>
    <row r="2969" spans="1:29" x14ac:dyDescent="0.2">
      <c r="A2969" s="1422"/>
      <c r="B2969" s="2999"/>
      <c r="C2969" s="3359"/>
      <c r="D2969" s="2847"/>
      <c r="E2969" s="2847"/>
      <c r="F2969" s="2847"/>
      <c r="G2969" s="2847"/>
      <c r="H2969" s="2847"/>
      <c r="I2969" s="2847"/>
      <c r="J2969" s="2988" t="s">
        <v>33</v>
      </c>
      <c r="K2969" s="2988" t="s">
        <v>282</v>
      </c>
      <c r="L2969" s="3341"/>
      <c r="M2969" s="3275"/>
      <c r="N2969" s="3276"/>
      <c r="O2969" s="1009" t="s">
        <v>283</v>
      </c>
      <c r="P2969" s="1009" t="s">
        <v>284</v>
      </c>
      <c r="Q2969" s="1009" t="s">
        <v>285</v>
      </c>
      <c r="R2969" s="1009" t="s">
        <v>88</v>
      </c>
      <c r="S2969" s="1009" t="s">
        <v>89</v>
      </c>
      <c r="T2969" s="1009" t="s">
        <v>90</v>
      </c>
      <c r="U2969" s="1009" t="s">
        <v>91</v>
      </c>
      <c r="V2969" s="1009" t="s">
        <v>92</v>
      </c>
      <c r="W2969" s="1009" t="s">
        <v>286</v>
      </c>
      <c r="X2969" s="1009" t="s">
        <v>93</v>
      </c>
      <c r="Y2969" s="1009" t="s">
        <v>94</v>
      </c>
      <c r="Z2969" s="1009" t="s">
        <v>95</v>
      </c>
      <c r="AA2969" s="3358"/>
      <c r="AB2969" s="35"/>
      <c r="AC2969" s="183"/>
    </row>
    <row r="2970" spans="1:29" x14ac:dyDescent="0.2">
      <c r="A2970" s="1422"/>
      <c r="B2970" s="2999"/>
      <c r="C2970" s="3359"/>
      <c r="D2970" s="2847"/>
      <c r="E2970" s="2847"/>
      <c r="F2970" s="2847"/>
      <c r="G2970" s="2847"/>
      <c r="H2970" s="2847"/>
      <c r="I2970" s="2847"/>
      <c r="J2970" s="3186"/>
      <c r="K2970" s="3186"/>
      <c r="L2970" s="3341"/>
      <c r="M2970" s="3271" t="s">
        <v>287</v>
      </c>
      <c r="N2970" s="3272"/>
      <c r="O2970" s="1095">
        <v>6192</v>
      </c>
      <c r="P2970" s="1095">
        <v>6192</v>
      </c>
      <c r="Q2970" s="1095">
        <v>6192</v>
      </c>
      <c r="R2970" s="1095">
        <v>6192</v>
      </c>
      <c r="S2970" s="1095">
        <v>6192</v>
      </c>
      <c r="T2970" s="1095">
        <v>6192</v>
      </c>
      <c r="U2970" s="1095">
        <v>6192</v>
      </c>
      <c r="V2970" s="1095">
        <v>6192</v>
      </c>
      <c r="W2970" s="1095">
        <v>6193</v>
      </c>
      <c r="X2970" s="1095">
        <v>6192</v>
      </c>
      <c r="Y2970" s="1095">
        <v>6192</v>
      </c>
      <c r="Z2970" s="1095">
        <v>6192</v>
      </c>
      <c r="AA2970" s="1216">
        <f t="shared" ref="AA2970:AA2989" si="441">SUM(O2970:Z2970)</f>
        <v>74305</v>
      </c>
      <c r="AB2970" s="35"/>
      <c r="AC2970" s="183"/>
    </row>
    <row r="2971" spans="1:29" x14ac:dyDescent="0.2">
      <c r="A2971" s="1422"/>
      <c r="B2971" s="2999"/>
      <c r="C2971" s="3016"/>
      <c r="D2971" s="2847"/>
      <c r="E2971" s="2847"/>
      <c r="F2971" s="2847"/>
      <c r="G2971" s="2847"/>
      <c r="H2971" s="2847"/>
      <c r="I2971" s="2847"/>
      <c r="J2971" s="2989"/>
      <c r="K2971" s="2989"/>
      <c r="L2971" s="3341"/>
      <c r="M2971" s="3271" t="s">
        <v>34</v>
      </c>
      <c r="N2971" s="3272"/>
      <c r="O2971" s="120">
        <f>SUM(O2972:O2989)</f>
        <v>13201.25</v>
      </c>
      <c r="P2971" s="120">
        <f t="shared" ref="P2971:Z2971" si="442">SUM(P2972:P2989)</f>
        <v>13370.704545454546</v>
      </c>
      <c r="Q2971" s="120">
        <f t="shared" si="442"/>
        <v>20212.371212121212</v>
      </c>
      <c r="R2971" s="120">
        <f t="shared" si="442"/>
        <v>15320.704545454546</v>
      </c>
      <c r="S2971" s="120">
        <f t="shared" si="442"/>
        <v>15870.704545454546</v>
      </c>
      <c r="T2971" s="120">
        <f t="shared" si="442"/>
        <v>17737.371212121212</v>
      </c>
      <c r="U2971" s="120">
        <f t="shared" si="442"/>
        <v>15770.704545454546</v>
      </c>
      <c r="V2971" s="120">
        <f t="shared" si="442"/>
        <v>15695.704545454546</v>
      </c>
      <c r="W2971" s="120">
        <f t="shared" si="442"/>
        <v>16537.371212121212</v>
      </c>
      <c r="X2971" s="120">
        <f t="shared" si="442"/>
        <v>14320.704545454546</v>
      </c>
      <c r="Y2971" s="120">
        <f t="shared" si="442"/>
        <v>13120.704545454546</v>
      </c>
      <c r="Z2971" s="120">
        <f t="shared" si="442"/>
        <v>14920.704545454546</v>
      </c>
      <c r="AA2971" s="1216">
        <f t="shared" si="441"/>
        <v>186079.00000000003</v>
      </c>
      <c r="AB2971" s="35"/>
      <c r="AC2971" s="183"/>
    </row>
    <row r="2972" spans="1:29" x14ac:dyDescent="0.2">
      <c r="A2972" s="1422"/>
      <c r="B2972" s="2522">
        <v>5000127</v>
      </c>
      <c r="C2972" s="3190" t="s">
        <v>851</v>
      </c>
      <c r="D2972" s="2421">
        <v>93</v>
      </c>
      <c r="E2972" s="2421" t="s">
        <v>288</v>
      </c>
      <c r="F2972" s="2420" t="s">
        <v>386</v>
      </c>
      <c r="G2972" s="2420" t="s">
        <v>387</v>
      </c>
      <c r="H2972" s="2420"/>
      <c r="I2972" s="2420" t="s">
        <v>780</v>
      </c>
      <c r="J2972" s="2514">
        <v>74305</v>
      </c>
      <c r="K2972" s="118">
        <v>64167</v>
      </c>
      <c r="L2972" s="115"/>
      <c r="M2972" s="3287" t="s">
        <v>293</v>
      </c>
      <c r="N2972" s="3288"/>
      <c r="O2972" s="41">
        <f t="shared" ref="O2972:Z2975" si="443">$K2972/12</f>
        <v>5347.25</v>
      </c>
      <c r="P2972" s="41">
        <f t="shared" si="443"/>
        <v>5347.25</v>
      </c>
      <c r="Q2972" s="41">
        <f t="shared" si="443"/>
        <v>5347.25</v>
      </c>
      <c r="R2972" s="41">
        <f t="shared" si="443"/>
        <v>5347.25</v>
      </c>
      <c r="S2972" s="41">
        <f t="shared" si="443"/>
        <v>5347.25</v>
      </c>
      <c r="T2972" s="41">
        <f t="shared" si="443"/>
        <v>5347.25</v>
      </c>
      <c r="U2972" s="41">
        <f t="shared" si="443"/>
        <v>5347.25</v>
      </c>
      <c r="V2972" s="41">
        <f t="shared" si="443"/>
        <v>5347.25</v>
      </c>
      <c r="W2972" s="41">
        <f t="shared" si="443"/>
        <v>5347.25</v>
      </c>
      <c r="X2972" s="41">
        <f t="shared" si="443"/>
        <v>5347.25</v>
      </c>
      <c r="Y2972" s="41">
        <f t="shared" si="443"/>
        <v>5347.25</v>
      </c>
      <c r="Z2972" s="41">
        <f t="shared" si="443"/>
        <v>5347.25</v>
      </c>
      <c r="AA2972" s="1217">
        <f t="shared" si="441"/>
        <v>64167</v>
      </c>
      <c r="AB2972" s="35"/>
      <c r="AC2972" s="183"/>
    </row>
    <row r="2973" spans="1:29" x14ac:dyDescent="0.2">
      <c r="A2973" s="1422"/>
      <c r="B2973" s="2522"/>
      <c r="C2973" s="3191"/>
      <c r="D2973" s="2421"/>
      <c r="E2973" s="2421"/>
      <c r="F2973" s="2420"/>
      <c r="G2973" s="2420"/>
      <c r="H2973" s="2420"/>
      <c r="I2973" s="2420"/>
      <c r="J2973" s="2515"/>
      <c r="K2973" s="118">
        <v>42624</v>
      </c>
      <c r="L2973" s="115"/>
      <c r="M2973" s="3287" t="s">
        <v>295</v>
      </c>
      <c r="N2973" s="3288"/>
      <c r="O2973" s="41">
        <f t="shared" si="443"/>
        <v>3552</v>
      </c>
      <c r="P2973" s="41">
        <f t="shared" si="443"/>
        <v>3552</v>
      </c>
      <c r="Q2973" s="41">
        <f t="shared" si="443"/>
        <v>3552</v>
      </c>
      <c r="R2973" s="41">
        <f t="shared" si="443"/>
        <v>3552</v>
      </c>
      <c r="S2973" s="41">
        <f t="shared" si="443"/>
        <v>3552</v>
      </c>
      <c r="T2973" s="41">
        <f t="shared" si="443"/>
        <v>3552</v>
      </c>
      <c r="U2973" s="41">
        <f t="shared" si="443"/>
        <v>3552</v>
      </c>
      <c r="V2973" s="41">
        <f t="shared" si="443"/>
        <v>3552</v>
      </c>
      <c r="W2973" s="41">
        <f t="shared" si="443"/>
        <v>3552</v>
      </c>
      <c r="X2973" s="41">
        <f t="shared" si="443"/>
        <v>3552</v>
      </c>
      <c r="Y2973" s="41">
        <f t="shared" si="443"/>
        <v>3552</v>
      </c>
      <c r="Z2973" s="41">
        <f t="shared" si="443"/>
        <v>3552</v>
      </c>
      <c r="AA2973" s="1217">
        <f t="shared" si="441"/>
        <v>42624</v>
      </c>
      <c r="AB2973" s="35"/>
      <c r="AC2973" s="183"/>
    </row>
    <row r="2974" spans="1:29" x14ac:dyDescent="0.2">
      <c r="A2974" s="1422"/>
      <c r="B2974" s="2522"/>
      <c r="C2974" s="3191"/>
      <c r="D2974" s="2421"/>
      <c r="E2974" s="2421"/>
      <c r="F2974" s="2420"/>
      <c r="G2974" s="2420"/>
      <c r="H2974" s="2420"/>
      <c r="I2974" s="2420"/>
      <c r="J2974" s="2515"/>
      <c r="K2974" s="118">
        <v>12688</v>
      </c>
      <c r="L2974" s="115"/>
      <c r="M2974" s="3287" t="s">
        <v>296</v>
      </c>
      <c r="N2974" s="3288"/>
      <c r="O2974" s="41">
        <f t="shared" si="443"/>
        <v>1057.3333333333333</v>
      </c>
      <c r="P2974" s="41">
        <f t="shared" si="443"/>
        <v>1057.3333333333333</v>
      </c>
      <c r="Q2974" s="41">
        <f t="shared" si="443"/>
        <v>1057.3333333333333</v>
      </c>
      <c r="R2974" s="41">
        <f t="shared" si="443"/>
        <v>1057.3333333333333</v>
      </c>
      <c r="S2974" s="41">
        <f t="shared" si="443"/>
        <v>1057.3333333333333</v>
      </c>
      <c r="T2974" s="41">
        <f t="shared" si="443"/>
        <v>1057.3333333333333</v>
      </c>
      <c r="U2974" s="41">
        <f t="shared" si="443"/>
        <v>1057.3333333333333</v>
      </c>
      <c r="V2974" s="41">
        <f t="shared" si="443"/>
        <v>1057.3333333333333</v>
      </c>
      <c r="W2974" s="41">
        <f t="shared" si="443"/>
        <v>1057.3333333333333</v>
      </c>
      <c r="X2974" s="41">
        <f t="shared" si="443"/>
        <v>1057.3333333333333</v>
      </c>
      <c r="Y2974" s="41">
        <f t="shared" si="443"/>
        <v>1057.3333333333333</v>
      </c>
      <c r="Z2974" s="41">
        <f t="shared" si="443"/>
        <v>1057.3333333333333</v>
      </c>
      <c r="AA2974" s="1217">
        <f t="shared" si="441"/>
        <v>12688.000000000002</v>
      </c>
      <c r="AB2974" s="35"/>
      <c r="AC2974" s="183"/>
    </row>
    <row r="2975" spans="1:29" x14ac:dyDescent="0.2">
      <c r="A2975" s="1422"/>
      <c r="B2975" s="2522"/>
      <c r="C2975" s="3191"/>
      <c r="D2975" s="2421"/>
      <c r="E2975" s="2421"/>
      <c r="F2975" s="2420"/>
      <c r="G2975" s="2420"/>
      <c r="H2975" s="2420"/>
      <c r="I2975" s="2420"/>
      <c r="J2975" s="2515"/>
      <c r="K2975" s="118">
        <v>3792</v>
      </c>
      <c r="L2975" s="115"/>
      <c r="M2975" s="3287" t="s">
        <v>297</v>
      </c>
      <c r="N2975" s="3288"/>
      <c r="O2975" s="41">
        <f t="shared" si="443"/>
        <v>316</v>
      </c>
      <c r="P2975" s="41">
        <f t="shared" si="443"/>
        <v>316</v>
      </c>
      <c r="Q2975" s="41">
        <f t="shared" si="443"/>
        <v>316</v>
      </c>
      <c r="R2975" s="41">
        <f t="shared" si="443"/>
        <v>316</v>
      </c>
      <c r="S2975" s="41">
        <f t="shared" si="443"/>
        <v>316</v>
      </c>
      <c r="T2975" s="41">
        <f t="shared" si="443"/>
        <v>316</v>
      </c>
      <c r="U2975" s="41">
        <f t="shared" si="443"/>
        <v>316</v>
      </c>
      <c r="V2975" s="41">
        <f t="shared" si="443"/>
        <v>316</v>
      </c>
      <c r="W2975" s="41">
        <f t="shared" si="443"/>
        <v>316</v>
      </c>
      <c r="X2975" s="41">
        <f t="shared" si="443"/>
        <v>316</v>
      </c>
      <c r="Y2975" s="41">
        <f t="shared" si="443"/>
        <v>316</v>
      </c>
      <c r="Z2975" s="41">
        <f t="shared" si="443"/>
        <v>316</v>
      </c>
      <c r="AA2975" s="1217">
        <f t="shared" si="441"/>
        <v>3792</v>
      </c>
      <c r="AB2975" s="35"/>
      <c r="AC2975" s="183"/>
    </row>
    <row r="2976" spans="1:29" x14ac:dyDescent="0.2">
      <c r="A2976" s="1422"/>
      <c r="B2976" s="2522"/>
      <c r="C2976" s="3191"/>
      <c r="D2976" s="2421"/>
      <c r="E2976" s="2421"/>
      <c r="F2976" s="2420"/>
      <c r="G2976" s="2420"/>
      <c r="H2976" s="2420"/>
      <c r="I2976" s="2420"/>
      <c r="J2976" s="2515"/>
      <c r="K2976" s="118">
        <v>1200</v>
      </c>
      <c r="L2976" s="115"/>
      <c r="M2976" s="3287" t="s">
        <v>298</v>
      </c>
      <c r="N2976" s="3288"/>
      <c r="O2976" s="41"/>
      <c r="P2976" s="41"/>
      <c r="Q2976" s="41"/>
      <c r="R2976" s="41"/>
      <c r="S2976" s="41"/>
      <c r="T2976" s="41"/>
      <c r="U2976" s="41">
        <f>$K2976/2</f>
        <v>600</v>
      </c>
      <c r="V2976" s="41"/>
      <c r="W2976" s="41"/>
      <c r="X2976" s="41"/>
      <c r="Y2976" s="41"/>
      <c r="Z2976" s="41">
        <f>$K2976/2</f>
        <v>600</v>
      </c>
      <c r="AA2976" s="1217">
        <f t="shared" si="441"/>
        <v>1200</v>
      </c>
      <c r="AB2976" s="35"/>
      <c r="AC2976" s="183"/>
    </row>
    <row r="2977" spans="1:29" x14ac:dyDescent="0.2">
      <c r="A2977" s="1422"/>
      <c r="B2977" s="2522"/>
      <c r="C2977" s="3191"/>
      <c r="D2977" s="2421"/>
      <c r="E2977" s="2421"/>
      <c r="F2977" s="2420"/>
      <c r="G2977" s="2420"/>
      <c r="H2977" s="2420"/>
      <c r="I2977" s="2420"/>
      <c r="J2977" s="2515"/>
      <c r="K2977" s="118">
        <v>800</v>
      </c>
      <c r="L2977" s="115"/>
      <c r="M2977" s="3287" t="s">
        <v>299</v>
      </c>
      <c r="N2977" s="3288"/>
      <c r="O2977" s="41">
        <f>$K2977</f>
        <v>800</v>
      </c>
      <c r="P2977" s="41"/>
      <c r="Q2977" s="41"/>
      <c r="R2977" s="41"/>
      <c r="S2977" s="41"/>
      <c r="T2977" s="41"/>
      <c r="U2977" s="41"/>
      <c r="V2977" s="41"/>
      <c r="W2977" s="41"/>
      <c r="X2977" s="41"/>
      <c r="Y2977" s="41"/>
      <c r="Z2977" s="41"/>
      <c r="AA2977" s="1217">
        <f t="shared" si="441"/>
        <v>800</v>
      </c>
      <c r="AB2977" s="35"/>
      <c r="AC2977" s="183"/>
    </row>
    <row r="2978" spans="1:29" x14ac:dyDescent="0.2">
      <c r="A2978" s="1422"/>
      <c r="B2978" s="2522"/>
      <c r="C2978" s="3191"/>
      <c r="D2978" s="2421"/>
      <c r="E2978" s="2421"/>
      <c r="F2978" s="2420"/>
      <c r="G2978" s="2420"/>
      <c r="H2978" s="2420"/>
      <c r="I2978" s="2420"/>
      <c r="J2978" s="2515"/>
      <c r="K2978" s="118">
        <v>4496</v>
      </c>
      <c r="L2978" s="115"/>
      <c r="M2978" s="3287" t="s">
        <v>300</v>
      </c>
      <c r="N2978" s="3288"/>
      <c r="O2978" s="41">
        <f t="shared" ref="O2978:Z2978" si="444">$K2978/12</f>
        <v>374.66666666666669</v>
      </c>
      <c r="P2978" s="41">
        <f t="shared" si="444"/>
        <v>374.66666666666669</v>
      </c>
      <c r="Q2978" s="41">
        <f t="shared" si="444"/>
        <v>374.66666666666669</v>
      </c>
      <c r="R2978" s="41">
        <f t="shared" si="444"/>
        <v>374.66666666666669</v>
      </c>
      <c r="S2978" s="41">
        <f t="shared" si="444"/>
        <v>374.66666666666669</v>
      </c>
      <c r="T2978" s="41">
        <f t="shared" si="444"/>
        <v>374.66666666666669</v>
      </c>
      <c r="U2978" s="41">
        <f t="shared" si="444"/>
        <v>374.66666666666669</v>
      </c>
      <c r="V2978" s="41">
        <f t="shared" si="444"/>
        <v>374.66666666666669</v>
      </c>
      <c r="W2978" s="41">
        <f t="shared" si="444"/>
        <v>374.66666666666669</v>
      </c>
      <c r="X2978" s="41">
        <f t="shared" si="444"/>
        <v>374.66666666666669</v>
      </c>
      <c r="Y2978" s="41">
        <f t="shared" si="444"/>
        <v>374.66666666666669</v>
      </c>
      <c r="Z2978" s="41">
        <f t="shared" si="444"/>
        <v>374.66666666666669</v>
      </c>
      <c r="AA2978" s="1217">
        <f t="shared" si="441"/>
        <v>4496</v>
      </c>
      <c r="AB2978" s="35"/>
      <c r="AC2978" s="183"/>
    </row>
    <row r="2979" spans="1:29" x14ac:dyDescent="0.2">
      <c r="A2979" s="1422"/>
      <c r="B2979" s="2522"/>
      <c r="C2979" s="3191"/>
      <c r="D2979" s="2421"/>
      <c r="E2979" s="2421"/>
      <c r="F2979" s="2420"/>
      <c r="G2979" s="2420"/>
      <c r="H2979" s="2420"/>
      <c r="I2979" s="2420"/>
      <c r="J2979" s="2515"/>
      <c r="K2979" s="118">
        <v>2750</v>
      </c>
      <c r="L2979" s="115"/>
      <c r="M2979" s="3287" t="s">
        <v>302</v>
      </c>
      <c r="N2979" s="3288"/>
      <c r="O2979" s="41"/>
      <c r="P2979" s="41"/>
      <c r="Q2979" s="41"/>
      <c r="R2979" s="41"/>
      <c r="S2979" s="41">
        <f>K2979</f>
        <v>2750</v>
      </c>
      <c r="T2979" s="41"/>
      <c r="U2979" s="41"/>
      <c r="V2979" s="41"/>
      <c r="W2979" s="41"/>
      <c r="X2979" s="41"/>
      <c r="Y2979" s="41"/>
      <c r="Z2979" s="41"/>
      <c r="AA2979" s="1217">
        <f t="shared" si="441"/>
        <v>2750</v>
      </c>
      <c r="AB2979" s="35"/>
      <c r="AC2979" s="183"/>
    </row>
    <row r="2980" spans="1:29" x14ac:dyDescent="0.2">
      <c r="A2980" s="1422"/>
      <c r="B2980" s="2522"/>
      <c r="C2980" s="3191"/>
      <c r="D2980" s="2421"/>
      <c r="E2980" s="2421"/>
      <c r="F2980" s="2420"/>
      <c r="G2980" s="2420"/>
      <c r="H2980" s="2420"/>
      <c r="I2980" s="2420"/>
      <c r="J2980" s="2515"/>
      <c r="K2980" s="118">
        <v>2750</v>
      </c>
      <c r="L2980" s="115"/>
      <c r="M2980" s="3287" t="s">
        <v>303</v>
      </c>
      <c r="N2980" s="3288"/>
      <c r="O2980" s="41"/>
      <c r="P2980" s="41"/>
      <c r="Q2980" s="95">
        <f>$K2980/2</f>
        <v>1375</v>
      </c>
      <c r="R2980" s="41"/>
      <c r="S2980" s="41"/>
      <c r="T2980" s="95"/>
      <c r="U2980" s="41"/>
      <c r="V2980" s="95">
        <f>$K2980/2</f>
        <v>1375</v>
      </c>
      <c r="W2980" s="41"/>
      <c r="X2980" s="41"/>
      <c r="Y2980" s="41"/>
      <c r="Z2980" s="41"/>
      <c r="AA2980" s="1217">
        <f t="shared" si="441"/>
        <v>2750</v>
      </c>
      <c r="AB2980" s="35"/>
      <c r="AC2980" s="183"/>
    </row>
    <row r="2981" spans="1:29" x14ac:dyDescent="0.2">
      <c r="A2981" s="1422"/>
      <c r="B2981" s="2522"/>
      <c r="C2981" s="3191"/>
      <c r="D2981" s="2421"/>
      <c r="E2981" s="2421"/>
      <c r="F2981" s="2420"/>
      <c r="G2981" s="2420"/>
      <c r="H2981" s="2420"/>
      <c r="I2981" s="2420"/>
      <c r="J2981" s="2515"/>
      <c r="K2981" s="118">
        <v>250</v>
      </c>
      <c r="L2981" s="115"/>
      <c r="M2981" s="3287" t="s">
        <v>324</v>
      </c>
      <c r="N2981" s="3288"/>
      <c r="O2981" s="41"/>
      <c r="P2981" s="41">
        <f>$K2981</f>
        <v>250</v>
      </c>
      <c r="Q2981" s="41"/>
      <c r="R2981" s="41"/>
      <c r="S2981" s="41"/>
      <c r="T2981" s="41"/>
      <c r="U2981" s="41"/>
      <c r="V2981" s="41"/>
      <c r="W2981" s="41"/>
      <c r="X2981" s="41"/>
      <c r="Y2981" s="41"/>
      <c r="Z2981" s="41"/>
      <c r="AA2981" s="1217">
        <f t="shared" si="441"/>
        <v>250</v>
      </c>
      <c r="AB2981" s="35"/>
      <c r="AC2981" s="183"/>
    </row>
    <row r="2982" spans="1:29" x14ac:dyDescent="0.2">
      <c r="A2982" s="1422"/>
      <c r="B2982" s="2522"/>
      <c r="C2982" s="3191"/>
      <c r="D2982" s="2421"/>
      <c r="E2982" s="2421"/>
      <c r="F2982" s="2420"/>
      <c r="G2982" s="2420"/>
      <c r="H2982" s="2420"/>
      <c r="I2982" s="2420"/>
      <c r="J2982" s="2515"/>
      <c r="K2982" s="118">
        <v>1000</v>
      </c>
      <c r="L2982" s="115"/>
      <c r="M2982" s="3287" t="s">
        <v>343</v>
      </c>
      <c r="N2982" s="3288"/>
      <c r="O2982" s="41"/>
      <c r="P2982" s="41"/>
      <c r="Q2982" s="41"/>
      <c r="R2982" s="41">
        <f>$K2982</f>
        <v>1000</v>
      </c>
      <c r="S2982" s="41"/>
      <c r="T2982" s="41"/>
      <c r="U2982" s="41"/>
      <c r="V2982" s="41"/>
      <c r="W2982" s="41"/>
      <c r="X2982" s="41"/>
      <c r="Y2982" s="41"/>
      <c r="Z2982" s="41"/>
      <c r="AA2982" s="1217">
        <f t="shared" si="441"/>
        <v>1000</v>
      </c>
      <c r="AB2982" s="35"/>
      <c r="AC2982" s="183"/>
    </row>
    <row r="2983" spans="1:29" x14ac:dyDescent="0.2">
      <c r="A2983" s="1422"/>
      <c r="B2983" s="2522"/>
      <c r="C2983" s="3191"/>
      <c r="D2983" s="2421"/>
      <c r="E2983" s="2421"/>
      <c r="F2983" s="2420"/>
      <c r="G2983" s="2420"/>
      <c r="H2983" s="2420"/>
      <c r="I2983" s="2420"/>
      <c r="J2983" s="2515"/>
      <c r="K2983" s="118">
        <v>4100</v>
      </c>
      <c r="L2983" s="115"/>
      <c r="M2983" s="3287" t="s">
        <v>381</v>
      </c>
      <c r="N2983" s="3288"/>
      <c r="O2983" s="41"/>
      <c r="P2983" s="41"/>
      <c r="Q2983" s="41">
        <f>$K2983/2</f>
        <v>2050</v>
      </c>
      <c r="R2983" s="41"/>
      <c r="S2983" s="41"/>
      <c r="T2983" s="41"/>
      <c r="U2983" s="41">
        <f>$K2983/2</f>
        <v>2050</v>
      </c>
      <c r="V2983" s="41"/>
      <c r="W2983" s="41"/>
      <c r="X2983" s="41"/>
      <c r="Y2983" s="41"/>
      <c r="Z2983" s="41"/>
      <c r="AA2983" s="1217">
        <f t="shared" si="441"/>
        <v>4100</v>
      </c>
      <c r="AB2983" s="35"/>
      <c r="AC2983" s="183"/>
    </row>
    <row r="2984" spans="1:29" x14ac:dyDescent="0.2">
      <c r="A2984" s="1422"/>
      <c r="B2984" s="2522"/>
      <c r="C2984" s="3191"/>
      <c r="D2984" s="2421"/>
      <c r="E2984" s="2421"/>
      <c r="F2984" s="2420"/>
      <c r="G2984" s="2420"/>
      <c r="H2984" s="2420"/>
      <c r="I2984" s="2420"/>
      <c r="J2984" s="2515"/>
      <c r="K2984" s="118">
        <v>10250</v>
      </c>
      <c r="L2984" s="115"/>
      <c r="M2984" s="3287" t="s">
        <v>304</v>
      </c>
      <c r="N2984" s="3288"/>
      <c r="O2984" s="41"/>
      <c r="P2984" s="41"/>
      <c r="Q2984" s="95">
        <f>$K2984/3</f>
        <v>3416.6666666666665</v>
      </c>
      <c r="R2984" s="41"/>
      <c r="S2984" s="41"/>
      <c r="T2984" s="95">
        <f>$K2984/3</f>
        <v>3416.6666666666665</v>
      </c>
      <c r="U2984" s="41"/>
      <c r="V2984" s="41"/>
      <c r="W2984" s="95">
        <f>$K2984/3</f>
        <v>3416.6666666666665</v>
      </c>
      <c r="X2984" s="41"/>
      <c r="Y2984" s="41"/>
      <c r="Z2984" s="41"/>
      <c r="AA2984" s="1217">
        <f t="shared" si="441"/>
        <v>10250</v>
      </c>
      <c r="AB2984" s="35"/>
      <c r="AC2984" s="183"/>
    </row>
    <row r="2985" spans="1:29" x14ac:dyDescent="0.2">
      <c r="A2985" s="1422"/>
      <c r="B2985" s="2522"/>
      <c r="C2985" s="3191"/>
      <c r="D2985" s="2421"/>
      <c r="E2985" s="2421"/>
      <c r="F2985" s="2420"/>
      <c r="G2985" s="2420"/>
      <c r="H2985" s="2420"/>
      <c r="I2985" s="2420"/>
      <c r="J2985" s="2515"/>
      <c r="K2985" s="118">
        <v>7914</v>
      </c>
      <c r="L2985" s="115"/>
      <c r="M2985" s="3287" t="s">
        <v>306</v>
      </c>
      <c r="N2985" s="3288"/>
      <c r="O2985" s="41"/>
      <c r="P2985" s="41">
        <f>$K2985/11</f>
        <v>719.4545454545455</v>
      </c>
      <c r="Q2985" s="41">
        <f t="shared" ref="Q2985:Z2985" si="445">$K2985/11</f>
        <v>719.4545454545455</v>
      </c>
      <c r="R2985" s="41">
        <f t="shared" si="445"/>
        <v>719.4545454545455</v>
      </c>
      <c r="S2985" s="41">
        <f t="shared" si="445"/>
        <v>719.4545454545455</v>
      </c>
      <c r="T2985" s="41">
        <f t="shared" si="445"/>
        <v>719.4545454545455</v>
      </c>
      <c r="U2985" s="41">
        <f t="shared" si="445"/>
        <v>719.4545454545455</v>
      </c>
      <c r="V2985" s="41">
        <f t="shared" si="445"/>
        <v>719.4545454545455</v>
      </c>
      <c r="W2985" s="41">
        <f t="shared" si="445"/>
        <v>719.4545454545455</v>
      </c>
      <c r="X2985" s="41">
        <f t="shared" si="445"/>
        <v>719.4545454545455</v>
      </c>
      <c r="Y2985" s="41">
        <f t="shared" si="445"/>
        <v>719.4545454545455</v>
      </c>
      <c r="Z2985" s="41">
        <f t="shared" si="445"/>
        <v>719.4545454545455</v>
      </c>
      <c r="AA2985" s="1217">
        <f t="shared" si="441"/>
        <v>7914.0000000000018</v>
      </c>
      <c r="AB2985" s="35"/>
      <c r="AC2985" s="183"/>
    </row>
    <row r="2986" spans="1:29" x14ac:dyDescent="0.2">
      <c r="A2986" s="1422"/>
      <c r="B2986" s="2522"/>
      <c r="C2986" s="3191"/>
      <c r="D2986" s="2421"/>
      <c r="E2986" s="2421"/>
      <c r="F2986" s="2420"/>
      <c r="G2986" s="2420"/>
      <c r="H2986" s="2420"/>
      <c r="I2986" s="2420"/>
      <c r="J2986" s="2515"/>
      <c r="K2986" s="118">
        <v>250</v>
      </c>
      <c r="L2986" s="115"/>
      <c r="M2986" s="3287" t="s">
        <v>308</v>
      </c>
      <c r="N2986" s="3288"/>
      <c r="O2986" s="41"/>
      <c r="P2986" s="41"/>
      <c r="Q2986" s="95">
        <f>$K2986</f>
        <v>250</v>
      </c>
      <c r="R2986" s="41"/>
      <c r="S2986" s="41"/>
      <c r="T2986" s="41"/>
      <c r="U2986" s="41"/>
      <c r="V2986" s="41"/>
      <c r="W2986" s="41"/>
      <c r="X2986" s="41"/>
      <c r="Y2986" s="41"/>
      <c r="Z2986" s="41"/>
      <c r="AA2986" s="1217">
        <f t="shared" si="441"/>
        <v>250</v>
      </c>
      <c r="AB2986" s="35"/>
      <c r="AC2986" s="183"/>
    </row>
    <row r="2987" spans="1:29" x14ac:dyDescent="0.2">
      <c r="A2987" s="1422"/>
      <c r="B2987" s="2522"/>
      <c r="C2987" s="3191"/>
      <c r="D2987" s="2421"/>
      <c r="E2987" s="2421"/>
      <c r="F2987" s="2420"/>
      <c r="G2987" s="2420"/>
      <c r="H2987" s="2420"/>
      <c r="I2987" s="2420"/>
      <c r="J2987" s="2515"/>
      <c r="K2987" s="118">
        <v>6000</v>
      </c>
      <c r="L2987" s="115"/>
      <c r="M2987" s="3287" t="s">
        <v>309</v>
      </c>
      <c r="N2987" s="3288"/>
      <c r="O2987" s="41"/>
      <c r="P2987" s="41"/>
      <c r="Q2987" s="41"/>
      <c r="R2987" s="95">
        <f>$K2987/5</f>
        <v>1200</v>
      </c>
      <c r="S2987" s="95"/>
      <c r="T2987" s="95">
        <f>$K2987/5</f>
        <v>1200</v>
      </c>
      <c r="U2987" s="41"/>
      <c r="V2987" s="95">
        <f>$K2987/5</f>
        <v>1200</v>
      </c>
      <c r="W2987" s="41"/>
      <c r="X2987" s="95">
        <f>$K2987/5</f>
        <v>1200</v>
      </c>
      <c r="Y2987" s="41"/>
      <c r="Z2987" s="95">
        <f>$K2987/5</f>
        <v>1200</v>
      </c>
      <c r="AA2987" s="1217">
        <f t="shared" si="441"/>
        <v>6000</v>
      </c>
      <c r="AB2987" s="35"/>
      <c r="AC2987" s="183"/>
    </row>
    <row r="2988" spans="1:29" x14ac:dyDescent="0.2">
      <c r="A2988" s="1422"/>
      <c r="B2988" s="2522"/>
      <c r="C2988" s="3191"/>
      <c r="D2988" s="2421"/>
      <c r="E2988" s="2421"/>
      <c r="F2988" s="2420"/>
      <c r="G2988" s="2420"/>
      <c r="H2988" s="2420"/>
      <c r="I2988" s="2420"/>
      <c r="J2988" s="2515"/>
      <c r="K2988" s="118">
        <v>19800</v>
      </c>
      <c r="L2988" s="115"/>
      <c r="M2988" s="3287" t="s">
        <v>310</v>
      </c>
      <c r="N2988" s="3288"/>
      <c r="O2988" s="41">
        <f t="shared" ref="O2988:Z2989" si="446">$K2988/12</f>
        <v>1650</v>
      </c>
      <c r="P2988" s="41">
        <f t="shared" si="446"/>
        <v>1650</v>
      </c>
      <c r="Q2988" s="41">
        <f t="shared" si="446"/>
        <v>1650</v>
      </c>
      <c r="R2988" s="41">
        <f t="shared" si="446"/>
        <v>1650</v>
      </c>
      <c r="S2988" s="41">
        <f t="shared" si="446"/>
        <v>1650</v>
      </c>
      <c r="T2988" s="41">
        <f t="shared" si="446"/>
        <v>1650</v>
      </c>
      <c r="U2988" s="41">
        <f t="shared" si="446"/>
        <v>1650</v>
      </c>
      <c r="V2988" s="41">
        <f t="shared" si="446"/>
        <v>1650</v>
      </c>
      <c r="W2988" s="41">
        <f t="shared" si="446"/>
        <v>1650</v>
      </c>
      <c r="X2988" s="41">
        <f t="shared" si="446"/>
        <v>1650</v>
      </c>
      <c r="Y2988" s="41">
        <f t="shared" si="446"/>
        <v>1650</v>
      </c>
      <c r="Z2988" s="41">
        <f t="shared" si="446"/>
        <v>1650</v>
      </c>
      <c r="AA2988" s="1217">
        <f t="shared" si="441"/>
        <v>19800</v>
      </c>
      <c r="AB2988" s="35"/>
      <c r="AC2988" s="183"/>
    </row>
    <row r="2989" spans="1:29" x14ac:dyDescent="0.2">
      <c r="A2989" s="1422"/>
      <c r="B2989" s="2522"/>
      <c r="C2989" s="2439"/>
      <c r="D2989" s="2421"/>
      <c r="E2989" s="2421"/>
      <c r="F2989" s="2420"/>
      <c r="G2989" s="2420"/>
      <c r="H2989" s="2420"/>
      <c r="I2989" s="2420"/>
      <c r="J2989" s="2516"/>
      <c r="K2989" s="118">
        <v>1248</v>
      </c>
      <c r="L2989" s="115"/>
      <c r="M2989" s="3287" t="s">
        <v>311</v>
      </c>
      <c r="N2989" s="3288"/>
      <c r="O2989" s="41">
        <f t="shared" si="446"/>
        <v>104</v>
      </c>
      <c r="P2989" s="41">
        <f t="shared" si="446"/>
        <v>104</v>
      </c>
      <c r="Q2989" s="41">
        <f t="shared" si="446"/>
        <v>104</v>
      </c>
      <c r="R2989" s="41">
        <f t="shared" si="446"/>
        <v>104</v>
      </c>
      <c r="S2989" s="41">
        <f t="shared" si="446"/>
        <v>104</v>
      </c>
      <c r="T2989" s="41">
        <f t="shared" si="446"/>
        <v>104</v>
      </c>
      <c r="U2989" s="41">
        <f t="shared" si="446"/>
        <v>104</v>
      </c>
      <c r="V2989" s="41">
        <f t="shared" si="446"/>
        <v>104</v>
      </c>
      <c r="W2989" s="41">
        <f t="shared" si="446"/>
        <v>104</v>
      </c>
      <c r="X2989" s="41">
        <f t="shared" si="446"/>
        <v>104</v>
      </c>
      <c r="Y2989" s="41">
        <f t="shared" si="446"/>
        <v>104</v>
      </c>
      <c r="Z2989" s="41">
        <f t="shared" si="446"/>
        <v>104</v>
      </c>
      <c r="AA2989" s="1217">
        <f t="shared" si="441"/>
        <v>1248</v>
      </c>
      <c r="AB2989" s="35"/>
      <c r="AC2989" s="183"/>
    </row>
    <row r="2990" spans="1:29" x14ac:dyDescent="0.2">
      <c r="A2990" s="1422"/>
      <c r="B2990" s="1427" t="s">
        <v>312</v>
      </c>
      <c r="C2990" s="1273"/>
      <c r="D2990" s="38"/>
      <c r="E2990" s="38"/>
      <c r="F2990" s="38"/>
      <c r="G2990" s="38"/>
      <c r="H2990" s="38"/>
      <c r="I2990" s="38"/>
      <c r="J2990" s="38"/>
      <c r="K2990" s="118">
        <f>SUM(K2972:K2989)</f>
        <v>186079</v>
      </c>
      <c r="L2990" s="38"/>
      <c r="M2990" s="125"/>
      <c r="N2990" s="125"/>
      <c r="O2990" s="38"/>
      <c r="P2990" s="38"/>
      <c r="Q2990" s="38"/>
      <c r="R2990" s="38"/>
      <c r="S2990" s="38"/>
      <c r="T2990" s="38"/>
      <c r="U2990" s="38"/>
      <c r="V2990" s="38"/>
      <c r="W2990" s="38"/>
      <c r="X2990" s="38"/>
      <c r="Y2990" s="38"/>
      <c r="Z2990" s="38"/>
      <c r="AA2990" s="2180"/>
      <c r="AB2990" s="35"/>
      <c r="AC2990" s="183"/>
    </row>
    <row r="2991" spans="1:29" ht="22.5" x14ac:dyDescent="0.2">
      <c r="A2991" s="1422"/>
      <c r="B2991" s="1433" t="s">
        <v>276</v>
      </c>
      <c r="C2991" s="1121"/>
      <c r="D2991" s="1119">
        <v>3045112</v>
      </c>
      <c r="E2991" s="192" t="s">
        <v>852</v>
      </c>
      <c r="F2991" s="35"/>
      <c r="G2991" s="35"/>
      <c r="H2991" s="35"/>
      <c r="I2991" s="35"/>
      <c r="J2991" s="35"/>
      <c r="K2991" s="60"/>
      <c r="L2991" s="60"/>
      <c r="M2991" s="200"/>
      <c r="N2991" s="200"/>
      <c r="O2991" s="60"/>
      <c r="P2991" s="60"/>
      <c r="Q2991" s="60"/>
      <c r="R2991" s="60"/>
      <c r="S2991" s="3333" t="s">
        <v>15</v>
      </c>
      <c r="T2991" s="3333"/>
      <c r="U2991" s="3333"/>
      <c r="V2991" s="3333"/>
      <c r="W2991" s="3333"/>
      <c r="X2991" s="3333"/>
      <c r="Y2991" s="3333"/>
      <c r="Z2991" s="3333"/>
      <c r="AA2991" s="1215" t="s">
        <v>16</v>
      </c>
      <c r="AB2991" s="35"/>
      <c r="AC2991" s="183"/>
    </row>
    <row r="2992" spans="1:29" x14ac:dyDescent="0.2">
      <c r="A2992" s="1422"/>
      <c r="B2992" s="1433"/>
      <c r="C2992" s="1121"/>
      <c r="D2992" s="1119"/>
      <c r="E2992" s="192"/>
      <c r="F2992" s="35"/>
      <c r="G2992" s="35"/>
      <c r="H2992" s="35"/>
      <c r="I2992" s="35"/>
      <c r="J2992" s="35"/>
      <c r="K2992" s="60"/>
      <c r="L2992" s="60"/>
      <c r="M2992" s="200"/>
      <c r="N2992" s="200"/>
      <c r="O2992" s="60"/>
      <c r="P2992" s="60"/>
      <c r="Q2992" s="60"/>
      <c r="R2992" s="60"/>
      <c r="S2992" s="3383" t="s">
        <v>853</v>
      </c>
      <c r="T2992" s="3383"/>
      <c r="U2992" s="3383"/>
      <c r="V2992" s="3383"/>
      <c r="W2992" s="3383"/>
      <c r="X2992" s="3383"/>
      <c r="Y2992" s="3383"/>
      <c r="Z2992" s="3383"/>
      <c r="AA2992" s="1214" t="s">
        <v>661</v>
      </c>
      <c r="AB2992" s="35"/>
      <c r="AC2992" s="183"/>
    </row>
    <row r="2993" spans="1:29" x14ac:dyDescent="0.2">
      <c r="A2993" s="1422"/>
      <c r="B2993" s="2999" t="s">
        <v>278</v>
      </c>
      <c r="C2993" s="3015" t="s">
        <v>21</v>
      </c>
      <c r="D2993" s="2847" t="s">
        <v>22</v>
      </c>
      <c r="E2993" s="2847" t="s">
        <v>23</v>
      </c>
      <c r="F2993" s="2847" t="s">
        <v>24</v>
      </c>
      <c r="G2993" s="2847" t="s">
        <v>25</v>
      </c>
      <c r="H2993" s="2847" t="s">
        <v>26</v>
      </c>
      <c r="I2993" s="2847" t="s">
        <v>27</v>
      </c>
      <c r="J2993" s="3206" t="s">
        <v>28</v>
      </c>
      <c r="K2993" s="3301"/>
      <c r="L2993" s="2987" t="s">
        <v>279</v>
      </c>
      <c r="M2993" s="3273" t="s">
        <v>280</v>
      </c>
      <c r="N2993" s="3274"/>
      <c r="O2993" s="2847" t="s">
        <v>281</v>
      </c>
      <c r="P2993" s="2847"/>
      <c r="Q2993" s="2847"/>
      <c r="R2993" s="2847"/>
      <c r="S2993" s="2847"/>
      <c r="T2993" s="2847"/>
      <c r="U2993" s="2847"/>
      <c r="V2993" s="2847"/>
      <c r="W2993" s="2847"/>
      <c r="X2993" s="2847"/>
      <c r="Y2993" s="2847"/>
      <c r="Z2993" s="2847"/>
      <c r="AA2993" s="3358" t="s">
        <v>32</v>
      </c>
      <c r="AB2993" s="35"/>
      <c r="AC2993" s="183"/>
    </row>
    <row r="2994" spans="1:29" x14ac:dyDescent="0.2">
      <c r="A2994" s="1422"/>
      <c r="B2994" s="2999"/>
      <c r="C2994" s="3359"/>
      <c r="D2994" s="2847"/>
      <c r="E2994" s="2847"/>
      <c r="F2994" s="2847"/>
      <c r="G2994" s="2847"/>
      <c r="H2994" s="2847"/>
      <c r="I2994" s="2847"/>
      <c r="J2994" s="2988" t="s">
        <v>33</v>
      </c>
      <c r="K2994" s="2988" t="s">
        <v>282</v>
      </c>
      <c r="L2994" s="3341"/>
      <c r="M2994" s="3275"/>
      <c r="N2994" s="3276"/>
      <c r="O2994" s="1009" t="s">
        <v>283</v>
      </c>
      <c r="P2994" s="1009" t="s">
        <v>284</v>
      </c>
      <c r="Q2994" s="1009" t="s">
        <v>285</v>
      </c>
      <c r="R2994" s="1009" t="s">
        <v>88</v>
      </c>
      <c r="S2994" s="1009" t="s">
        <v>89</v>
      </c>
      <c r="T2994" s="1009" t="s">
        <v>90</v>
      </c>
      <c r="U2994" s="1009" t="s">
        <v>91</v>
      </c>
      <c r="V2994" s="1009" t="s">
        <v>92</v>
      </c>
      <c r="W2994" s="1009" t="s">
        <v>286</v>
      </c>
      <c r="X2994" s="1009" t="s">
        <v>93</v>
      </c>
      <c r="Y2994" s="1009" t="s">
        <v>94</v>
      </c>
      <c r="Z2994" s="1009" t="s">
        <v>95</v>
      </c>
      <c r="AA2994" s="3358"/>
      <c r="AB2994" s="35"/>
      <c r="AC2994" s="183"/>
    </row>
    <row r="2995" spans="1:29" x14ac:dyDescent="0.2">
      <c r="A2995" s="1422"/>
      <c r="B2995" s="2999"/>
      <c r="C2995" s="3359"/>
      <c r="D2995" s="2847"/>
      <c r="E2995" s="2847"/>
      <c r="F2995" s="2847"/>
      <c r="G2995" s="2847"/>
      <c r="H2995" s="2847"/>
      <c r="I2995" s="2847"/>
      <c r="J2995" s="3186"/>
      <c r="K2995" s="3186"/>
      <c r="L2995" s="3341"/>
      <c r="M2995" s="3271" t="s">
        <v>287</v>
      </c>
      <c r="N2995" s="3272"/>
      <c r="O2995" s="1095">
        <v>137</v>
      </c>
      <c r="P2995" s="1095">
        <v>138</v>
      </c>
      <c r="Q2995" s="1095">
        <v>138</v>
      </c>
      <c r="R2995" s="1095">
        <v>138</v>
      </c>
      <c r="S2995" s="1095">
        <v>138</v>
      </c>
      <c r="T2995" s="1095">
        <v>138</v>
      </c>
      <c r="U2995" s="1095">
        <v>138</v>
      </c>
      <c r="V2995" s="1095">
        <v>138</v>
      </c>
      <c r="W2995" s="1095">
        <v>138</v>
      </c>
      <c r="X2995" s="1095">
        <v>138</v>
      </c>
      <c r="Y2995" s="1095">
        <v>138</v>
      </c>
      <c r="Z2995" s="1095">
        <v>138</v>
      </c>
      <c r="AA2995" s="1216">
        <f t="shared" ref="AA2995:AA3006" si="447">SUM(O2995:Z2995)</f>
        <v>1655</v>
      </c>
      <c r="AB2995" s="35"/>
      <c r="AC2995" s="183"/>
    </row>
    <row r="2996" spans="1:29" x14ac:dyDescent="0.2">
      <c r="A2996" s="1422"/>
      <c r="B2996" s="2999"/>
      <c r="C2996" s="3016"/>
      <c r="D2996" s="2847"/>
      <c r="E2996" s="2847"/>
      <c r="F2996" s="2847"/>
      <c r="G2996" s="2847"/>
      <c r="H2996" s="2847"/>
      <c r="I2996" s="2847"/>
      <c r="J2996" s="2989"/>
      <c r="K2996" s="2989"/>
      <c r="L2996" s="3341"/>
      <c r="M2996" s="3271" t="s">
        <v>34</v>
      </c>
      <c r="N2996" s="3272"/>
      <c r="O2996" s="120">
        <f>SUM(O2997:O3006)</f>
        <v>15734.916666666666</v>
      </c>
      <c r="P2996" s="120">
        <f t="shared" ref="P2996:Z2996" si="448">SUM(P2997:P3006)</f>
        <v>14534.916666666666</v>
      </c>
      <c r="Q2996" s="120">
        <f t="shared" si="448"/>
        <v>16034.916666666666</v>
      </c>
      <c r="R2996" s="120">
        <f t="shared" si="448"/>
        <v>27642.916666666664</v>
      </c>
      <c r="S2996" s="120">
        <f t="shared" si="448"/>
        <v>14534.916666666666</v>
      </c>
      <c r="T2996" s="120">
        <f t="shared" si="448"/>
        <v>14534.916666666666</v>
      </c>
      <c r="U2996" s="120">
        <f t="shared" si="448"/>
        <v>15461.916666666666</v>
      </c>
      <c r="V2996" s="120">
        <f t="shared" si="448"/>
        <v>25626.916666666664</v>
      </c>
      <c r="W2996" s="120">
        <f t="shared" si="448"/>
        <v>14534.916666666666</v>
      </c>
      <c r="X2996" s="120">
        <f t="shared" si="448"/>
        <v>14534.916666666666</v>
      </c>
      <c r="Y2996" s="120">
        <f t="shared" si="448"/>
        <v>14534.916666666666</v>
      </c>
      <c r="Z2996" s="120">
        <f t="shared" si="448"/>
        <v>15461.916666666666</v>
      </c>
      <c r="AA2996" s="1216">
        <f t="shared" si="447"/>
        <v>203172.99999999997</v>
      </c>
      <c r="AB2996" s="35"/>
      <c r="AC2996" s="183"/>
    </row>
    <row r="2997" spans="1:29" x14ac:dyDescent="0.2">
      <c r="A2997" s="1422"/>
      <c r="B2997" s="2522">
        <v>5000130</v>
      </c>
      <c r="C2997" s="3190" t="s">
        <v>854</v>
      </c>
      <c r="D2997" s="2421"/>
      <c r="E2997" s="2421" t="s">
        <v>288</v>
      </c>
      <c r="F2997" s="2420" t="s">
        <v>386</v>
      </c>
      <c r="G2997" s="2420" t="s">
        <v>423</v>
      </c>
      <c r="H2997" s="2420"/>
      <c r="I2997" s="2420" t="s">
        <v>780</v>
      </c>
      <c r="J2997" s="2514">
        <v>12785</v>
      </c>
      <c r="K2997" s="118">
        <v>121542</v>
      </c>
      <c r="L2997" s="115"/>
      <c r="M2997" s="3287" t="s">
        <v>293</v>
      </c>
      <c r="N2997" s="3288"/>
      <c r="O2997" s="41">
        <v>10128.5</v>
      </c>
      <c r="P2997" s="41">
        <v>10128.5</v>
      </c>
      <c r="Q2997" s="41">
        <v>10128.5</v>
      </c>
      <c r="R2997" s="41">
        <v>10128.5</v>
      </c>
      <c r="S2997" s="41">
        <v>10128.5</v>
      </c>
      <c r="T2997" s="41">
        <v>10128.5</v>
      </c>
      <c r="U2997" s="41">
        <v>10128.5</v>
      </c>
      <c r="V2997" s="41">
        <v>10128.5</v>
      </c>
      <c r="W2997" s="41">
        <v>10128.5</v>
      </c>
      <c r="X2997" s="41">
        <v>10128.5</v>
      </c>
      <c r="Y2997" s="41">
        <v>10128.5</v>
      </c>
      <c r="Z2997" s="41">
        <v>10128.5</v>
      </c>
      <c r="AA2997" s="1217">
        <f t="shared" si="447"/>
        <v>121542</v>
      </c>
      <c r="AB2997" s="35"/>
      <c r="AC2997" s="183"/>
    </row>
    <row r="2998" spans="1:29" x14ac:dyDescent="0.2">
      <c r="A2998" s="1422"/>
      <c r="B2998" s="2522"/>
      <c r="C2998" s="3191"/>
      <c r="D2998" s="2421"/>
      <c r="E2998" s="2421"/>
      <c r="F2998" s="2420"/>
      <c r="G2998" s="2420"/>
      <c r="H2998" s="2420"/>
      <c r="I2998" s="2420"/>
      <c r="J2998" s="2515"/>
      <c r="K2998" s="118">
        <v>37755</v>
      </c>
      <c r="L2998" s="115"/>
      <c r="M2998" s="3287" t="s">
        <v>296</v>
      </c>
      <c r="N2998" s="3288"/>
      <c r="O2998" s="41">
        <v>3146.25</v>
      </c>
      <c r="P2998" s="41">
        <v>3146.25</v>
      </c>
      <c r="Q2998" s="41">
        <v>3146.25</v>
      </c>
      <c r="R2998" s="41">
        <v>3146.25</v>
      </c>
      <c r="S2998" s="41">
        <v>3146.25</v>
      </c>
      <c r="T2998" s="41">
        <v>3146.25</v>
      </c>
      <c r="U2998" s="41">
        <v>3146.25</v>
      </c>
      <c r="V2998" s="41">
        <v>3146.25</v>
      </c>
      <c r="W2998" s="41">
        <v>3146.25</v>
      </c>
      <c r="X2998" s="41">
        <v>3146.25</v>
      </c>
      <c r="Y2998" s="41">
        <v>3146.25</v>
      </c>
      <c r="Z2998" s="41">
        <v>3146.25</v>
      </c>
      <c r="AA2998" s="1217">
        <f t="shared" si="447"/>
        <v>37755</v>
      </c>
      <c r="AB2998" s="35"/>
      <c r="AC2998" s="183"/>
    </row>
    <row r="2999" spans="1:29" x14ac:dyDescent="0.2">
      <c r="A2999" s="1422"/>
      <c r="B2999" s="2522"/>
      <c r="C2999" s="3191"/>
      <c r="D2999" s="2421"/>
      <c r="E2999" s="2421"/>
      <c r="F2999" s="2420"/>
      <c r="G2999" s="2420"/>
      <c r="H2999" s="2420"/>
      <c r="I2999" s="2420"/>
      <c r="J2999" s="2515"/>
      <c r="K2999" s="118">
        <v>9600</v>
      </c>
      <c r="L2999" s="115"/>
      <c r="M2999" s="3287" t="s">
        <v>297</v>
      </c>
      <c r="N2999" s="3288"/>
      <c r="O2999" s="41">
        <v>800</v>
      </c>
      <c r="P2999" s="41">
        <v>800</v>
      </c>
      <c r="Q2999" s="41">
        <v>800</v>
      </c>
      <c r="R2999" s="41">
        <v>800</v>
      </c>
      <c r="S2999" s="41">
        <v>800</v>
      </c>
      <c r="T2999" s="41">
        <v>800</v>
      </c>
      <c r="U2999" s="41">
        <v>800</v>
      </c>
      <c r="V2999" s="41">
        <v>800</v>
      </c>
      <c r="W2999" s="41">
        <v>800</v>
      </c>
      <c r="X2999" s="41">
        <v>800</v>
      </c>
      <c r="Y2999" s="41">
        <v>800</v>
      </c>
      <c r="Z2999" s="41">
        <v>800</v>
      </c>
      <c r="AA2999" s="1217">
        <f t="shared" si="447"/>
        <v>9600</v>
      </c>
      <c r="AB2999" s="35"/>
      <c r="AC2999" s="183"/>
    </row>
    <row r="3000" spans="1:29" x14ac:dyDescent="0.2">
      <c r="A3000" s="1422"/>
      <c r="B3000" s="2522"/>
      <c r="C3000" s="3191"/>
      <c r="D3000" s="2421"/>
      <c r="E3000" s="2421"/>
      <c r="F3000" s="2420"/>
      <c r="G3000" s="2420"/>
      <c r="H3000" s="2420"/>
      <c r="I3000" s="2420"/>
      <c r="J3000" s="2515"/>
      <c r="K3000" s="118">
        <v>1854</v>
      </c>
      <c r="L3000" s="115"/>
      <c r="M3000" s="3287" t="s">
        <v>298</v>
      </c>
      <c r="N3000" s="3288"/>
      <c r="O3000" s="41"/>
      <c r="P3000" s="41"/>
      <c r="Q3000" s="41"/>
      <c r="R3000" s="41"/>
      <c r="S3000" s="41"/>
      <c r="T3000" s="41"/>
      <c r="U3000" s="41">
        <v>927</v>
      </c>
      <c r="V3000" s="41"/>
      <c r="W3000" s="41"/>
      <c r="X3000" s="41"/>
      <c r="Y3000" s="41"/>
      <c r="Z3000" s="41">
        <v>927</v>
      </c>
      <c r="AA3000" s="1217">
        <f t="shared" si="447"/>
        <v>1854</v>
      </c>
      <c r="AB3000" s="35"/>
      <c r="AC3000" s="183"/>
    </row>
    <row r="3001" spans="1:29" x14ac:dyDescent="0.2">
      <c r="A3001" s="1422"/>
      <c r="B3001" s="2522"/>
      <c r="C3001" s="3191"/>
      <c r="D3001" s="2421"/>
      <c r="E3001" s="2421"/>
      <c r="F3001" s="2420"/>
      <c r="G3001" s="2420"/>
      <c r="H3001" s="2420"/>
      <c r="I3001" s="2420"/>
      <c r="J3001" s="2515"/>
      <c r="K3001" s="118">
        <v>1200</v>
      </c>
      <c r="L3001" s="115"/>
      <c r="M3001" s="3287" t="s">
        <v>299</v>
      </c>
      <c r="N3001" s="3288"/>
      <c r="O3001" s="41">
        <v>1200</v>
      </c>
      <c r="P3001" s="41"/>
      <c r="Q3001" s="41"/>
      <c r="R3001" s="41"/>
      <c r="S3001" s="41"/>
      <c r="T3001" s="41"/>
      <c r="U3001" s="41"/>
      <c r="V3001" s="41"/>
      <c r="W3001" s="41"/>
      <c r="X3001" s="41"/>
      <c r="Y3001" s="41"/>
      <c r="Z3001" s="41"/>
      <c r="AA3001" s="1217">
        <f t="shared" si="447"/>
        <v>1200</v>
      </c>
      <c r="AB3001" s="35"/>
      <c r="AC3001" s="183"/>
    </row>
    <row r="3002" spans="1:29" x14ac:dyDescent="0.2">
      <c r="A3002" s="1422"/>
      <c r="B3002" s="2522"/>
      <c r="C3002" s="3191"/>
      <c r="D3002" s="2421"/>
      <c r="E3002" s="2421"/>
      <c r="F3002" s="2420"/>
      <c r="G3002" s="2420"/>
      <c r="H3002" s="2420"/>
      <c r="I3002" s="2420"/>
      <c r="J3002" s="2515"/>
      <c r="K3002" s="118">
        <v>5393</v>
      </c>
      <c r="L3002" s="115"/>
      <c r="M3002" s="3287" t="s">
        <v>300</v>
      </c>
      <c r="N3002" s="3288"/>
      <c r="O3002" s="41">
        <v>449.41666666666669</v>
      </c>
      <c r="P3002" s="41">
        <v>449.41666666666669</v>
      </c>
      <c r="Q3002" s="41">
        <v>449.41666666666669</v>
      </c>
      <c r="R3002" s="41">
        <v>449.41666666666669</v>
      </c>
      <c r="S3002" s="41">
        <v>449.41666666666669</v>
      </c>
      <c r="T3002" s="41">
        <v>449.41666666666669</v>
      </c>
      <c r="U3002" s="41">
        <v>449.41666666666669</v>
      </c>
      <c r="V3002" s="41">
        <v>449.41666666666669</v>
      </c>
      <c r="W3002" s="41">
        <v>449.41666666666669</v>
      </c>
      <c r="X3002" s="41">
        <v>449.41666666666669</v>
      </c>
      <c r="Y3002" s="41">
        <v>449.41666666666669</v>
      </c>
      <c r="Z3002" s="41">
        <v>449.41666666666669</v>
      </c>
      <c r="AA3002" s="1217">
        <f t="shared" si="447"/>
        <v>5393</v>
      </c>
      <c r="AB3002" s="35"/>
      <c r="AC3002" s="183"/>
    </row>
    <row r="3003" spans="1:29" x14ac:dyDescent="0.2">
      <c r="A3003" s="1422"/>
      <c r="B3003" s="2522"/>
      <c r="C3003" s="3191"/>
      <c r="D3003" s="2421"/>
      <c r="E3003" s="2421"/>
      <c r="F3003" s="2420"/>
      <c r="G3003" s="2420"/>
      <c r="H3003" s="2420"/>
      <c r="I3003" s="2420"/>
      <c r="J3003" s="2515"/>
      <c r="K3003" s="118">
        <v>129</v>
      </c>
      <c r="L3003" s="115"/>
      <c r="M3003" s="3287" t="s">
        <v>301</v>
      </c>
      <c r="N3003" s="3288"/>
      <c r="O3003" s="41">
        <v>10.75</v>
      </c>
      <c r="P3003" s="41">
        <v>10.75</v>
      </c>
      <c r="Q3003" s="41">
        <v>10.75</v>
      </c>
      <c r="R3003" s="41">
        <v>10.75</v>
      </c>
      <c r="S3003" s="41">
        <v>10.75</v>
      </c>
      <c r="T3003" s="41">
        <v>10.75</v>
      </c>
      <c r="U3003" s="41">
        <v>10.75</v>
      </c>
      <c r="V3003" s="41">
        <v>10.75</v>
      </c>
      <c r="W3003" s="41">
        <v>10.75</v>
      </c>
      <c r="X3003" s="41">
        <v>10.75</v>
      </c>
      <c r="Y3003" s="41">
        <v>10.75</v>
      </c>
      <c r="Z3003" s="41">
        <v>10.75</v>
      </c>
      <c r="AA3003" s="1217">
        <f t="shared" si="447"/>
        <v>129</v>
      </c>
      <c r="AB3003" s="35"/>
      <c r="AC3003" s="183"/>
    </row>
    <row r="3004" spans="1:29" x14ac:dyDescent="0.2">
      <c r="A3004" s="1422"/>
      <c r="B3004" s="2522"/>
      <c r="C3004" s="3191"/>
      <c r="D3004" s="2421"/>
      <c r="E3004" s="2421"/>
      <c r="F3004" s="2420"/>
      <c r="G3004" s="2420"/>
      <c r="H3004" s="2420"/>
      <c r="I3004" s="2420"/>
      <c r="J3004" s="2515"/>
      <c r="K3004" s="118">
        <v>3516</v>
      </c>
      <c r="L3004" s="115"/>
      <c r="M3004" s="3287" t="s">
        <v>393</v>
      </c>
      <c r="N3004" s="3288"/>
      <c r="O3004" s="41"/>
      <c r="P3004" s="41"/>
      <c r="Q3004" s="41"/>
      <c r="R3004" s="41">
        <v>3516</v>
      </c>
      <c r="S3004" s="41"/>
      <c r="T3004" s="41"/>
      <c r="U3004" s="41"/>
      <c r="V3004" s="41"/>
      <c r="W3004" s="41"/>
      <c r="X3004" s="41"/>
      <c r="Y3004" s="41"/>
      <c r="Z3004" s="41"/>
      <c r="AA3004" s="1217">
        <f t="shared" si="447"/>
        <v>3516</v>
      </c>
      <c r="AB3004" s="35"/>
      <c r="AC3004" s="183"/>
    </row>
    <row r="3005" spans="1:29" x14ac:dyDescent="0.2">
      <c r="A3005" s="1422"/>
      <c r="B3005" s="2522"/>
      <c r="C3005" s="3191"/>
      <c r="D3005" s="2421"/>
      <c r="E3005" s="2421"/>
      <c r="F3005" s="2420"/>
      <c r="G3005" s="2420"/>
      <c r="H3005" s="2420"/>
      <c r="I3005" s="2420"/>
      <c r="J3005" s="2515"/>
      <c r="K3005" s="118">
        <v>3000</v>
      </c>
      <c r="L3005" s="115"/>
      <c r="M3005" s="3287" t="s">
        <v>611</v>
      </c>
      <c r="N3005" s="3288"/>
      <c r="O3005" s="41"/>
      <c r="P3005" s="41"/>
      <c r="Q3005" s="41">
        <v>1500</v>
      </c>
      <c r="R3005" s="41"/>
      <c r="S3005" s="41"/>
      <c r="T3005" s="41"/>
      <c r="U3005" s="41"/>
      <c r="V3005" s="41">
        <v>1500</v>
      </c>
      <c r="W3005" s="41"/>
      <c r="X3005" s="41"/>
      <c r="Y3005" s="41"/>
      <c r="Z3005" s="41"/>
      <c r="AA3005" s="1217">
        <f t="shared" si="447"/>
        <v>3000</v>
      </c>
      <c r="AB3005" s="35"/>
      <c r="AC3005" s="183"/>
    </row>
    <row r="3006" spans="1:29" x14ac:dyDescent="0.2">
      <c r="A3006" s="1422"/>
      <c r="B3006" s="2522"/>
      <c r="C3006" s="2439"/>
      <c r="D3006" s="2421"/>
      <c r="E3006" s="2421"/>
      <c r="F3006" s="2420"/>
      <c r="G3006" s="2420"/>
      <c r="H3006" s="2420"/>
      <c r="I3006" s="2420"/>
      <c r="J3006" s="2516"/>
      <c r="K3006" s="118">
        <v>19184</v>
      </c>
      <c r="L3006" s="115"/>
      <c r="M3006" s="3287" t="s">
        <v>343</v>
      </c>
      <c r="N3006" s="3288"/>
      <c r="O3006" s="41"/>
      <c r="P3006" s="41"/>
      <c r="Q3006" s="41"/>
      <c r="R3006" s="41">
        <v>9592</v>
      </c>
      <c r="S3006" s="41"/>
      <c r="T3006" s="41"/>
      <c r="U3006" s="41"/>
      <c r="V3006" s="41">
        <v>9592</v>
      </c>
      <c r="W3006" s="41"/>
      <c r="X3006" s="41"/>
      <c r="Y3006" s="41"/>
      <c r="Z3006" s="41"/>
      <c r="AA3006" s="1217">
        <f t="shared" si="447"/>
        <v>19184</v>
      </c>
      <c r="AB3006" s="35"/>
      <c r="AC3006" s="183"/>
    </row>
    <row r="3007" spans="1:29" x14ac:dyDescent="0.2">
      <c r="A3007" s="1422"/>
      <c r="B3007" s="1427" t="s">
        <v>312</v>
      </c>
      <c r="C3007" s="1273"/>
      <c r="D3007" s="38"/>
      <c r="E3007" s="38"/>
      <c r="F3007" s="38"/>
      <c r="G3007" s="38"/>
      <c r="H3007" s="38"/>
      <c r="I3007" s="38"/>
      <c r="J3007" s="38"/>
      <c r="K3007" s="118">
        <f>SUM(K2997:K3006)</f>
        <v>203173</v>
      </c>
      <c r="L3007" s="38"/>
      <c r="M3007" s="38"/>
      <c r="N3007" s="38"/>
      <c r="O3007" s="38"/>
      <c r="P3007" s="38"/>
      <c r="Q3007" s="38"/>
      <c r="R3007" s="38"/>
      <c r="S3007" s="38"/>
      <c r="T3007" s="38"/>
      <c r="U3007" s="38"/>
      <c r="V3007" s="38"/>
      <c r="W3007" s="38"/>
      <c r="X3007" s="38"/>
      <c r="Y3007" s="38"/>
      <c r="Z3007" s="38"/>
      <c r="AA3007" s="38"/>
      <c r="AB3007" s="35"/>
      <c r="AC3007" s="183"/>
    </row>
    <row r="3008" spans="1:29" x14ac:dyDescent="0.2">
      <c r="A3008" s="1422"/>
      <c r="B3008" s="1422"/>
      <c r="C3008" s="1124"/>
      <c r="D3008" s="35"/>
      <c r="E3008" s="35"/>
      <c r="F3008" s="35"/>
      <c r="G3008" s="35"/>
      <c r="H3008" s="35"/>
      <c r="I3008" s="35"/>
      <c r="J3008" s="35"/>
      <c r="K3008" s="35"/>
      <c r="L3008" s="35"/>
      <c r="M3008" s="35"/>
      <c r="N3008" s="35"/>
      <c r="O3008" s="35"/>
      <c r="P3008" s="35"/>
      <c r="Q3008" s="35"/>
      <c r="R3008" s="35"/>
      <c r="S3008" s="35"/>
      <c r="T3008" s="35"/>
      <c r="U3008" s="35"/>
      <c r="V3008" s="35"/>
      <c r="W3008" s="35"/>
      <c r="X3008" s="35"/>
      <c r="Y3008" s="35"/>
      <c r="Z3008" s="35"/>
      <c r="AA3008" s="180"/>
      <c r="AB3008" s="35"/>
      <c r="AC3008" s="183"/>
    </row>
    <row r="3009" spans="1:31" x14ac:dyDescent="0.2">
      <c r="A3009" s="1422"/>
      <c r="B3009" s="3139" t="s">
        <v>269</v>
      </c>
      <c r="C3009" s="159"/>
      <c r="D3009" s="38" t="s">
        <v>270</v>
      </c>
      <c r="E3009" s="38"/>
      <c r="F3009" s="38"/>
      <c r="G3009" s="38"/>
      <c r="H3009" s="38"/>
      <c r="I3009" s="38"/>
      <c r="J3009" s="38"/>
      <c r="K3009" s="40"/>
      <c r="L3009" s="60"/>
      <c r="M3009" s="60"/>
      <c r="N3009" s="60"/>
      <c r="O3009" s="60"/>
      <c r="P3009" s="60"/>
      <c r="Q3009" s="60"/>
      <c r="R3009" s="60"/>
      <c r="S3009" s="60"/>
      <c r="T3009" s="35"/>
      <c r="U3009" s="35"/>
      <c r="V3009" s="35"/>
      <c r="W3009" s="35"/>
      <c r="X3009" s="35"/>
      <c r="Y3009" s="35"/>
      <c r="Z3009" s="35"/>
      <c r="AA3009" s="189"/>
      <c r="AB3009" s="35"/>
      <c r="AC3009" s="183"/>
    </row>
    <row r="3010" spans="1:31" x14ac:dyDescent="0.2">
      <c r="A3010" s="1422"/>
      <c r="B3010" s="3139"/>
      <c r="C3010" s="159"/>
      <c r="D3010" s="38" t="s">
        <v>271</v>
      </c>
      <c r="E3010" s="38"/>
      <c r="F3010" s="38"/>
      <c r="G3010" s="38"/>
      <c r="H3010" s="38"/>
      <c r="I3010" s="38"/>
      <c r="J3010" s="38"/>
      <c r="K3010" s="40"/>
      <c r="L3010" s="60"/>
      <c r="M3010" s="60"/>
      <c r="N3010" s="60"/>
      <c r="O3010" s="60"/>
      <c r="P3010" s="60"/>
      <c r="Q3010" s="60"/>
      <c r="R3010" s="60"/>
      <c r="S3010" s="60"/>
      <c r="T3010" s="35"/>
      <c r="U3010" s="35"/>
      <c r="V3010" s="35"/>
      <c r="W3010" s="35"/>
      <c r="X3010" s="35"/>
      <c r="Y3010" s="35"/>
      <c r="Z3010" s="35"/>
      <c r="AA3010" s="189"/>
      <c r="AB3010" s="35"/>
      <c r="AC3010" s="183"/>
    </row>
    <row r="3011" spans="1:31" ht="20.25" customHeight="1" x14ac:dyDescent="0.2">
      <c r="A3011" s="1422"/>
      <c r="B3011" s="1545" t="s">
        <v>8</v>
      </c>
      <c r="C3011" s="2126"/>
      <c r="D3011" s="2127" t="s">
        <v>639</v>
      </c>
      <c r="E3011" s="2127"/>
      <c r="F3011" s="2127"/>
      <c r="G3011" s="2127"/>
      <c r="H3011" s="2127"/>
      <c r="I3011" s="2127"/>
      <c r="J3011" s="2127"/>
      <c r="K3011" s="2133"/>
      <c r="L3011" s="2134"/>
      <c r="M3011" s="2134"/>
      <c r="N3011" s="2134"/>
      <c r="O3011" s="2134"/>
      <c r="P3011" s="2134"/>
      <c r="Q3011" s="2134"/>
      <c r="R3011" s="2134"/>
      <c r="S3011" s="2134"/>
      <c r="T3011" s="2135"/>
      <c r="U3011" s="2135"/>
      <c r="V3011" s="2135"/>
      <c r="W3011" s="2135"/>
      <c r="X3011" s="2135"/>
      <c r="Y3011" s="2135"/>
      <c r="Z3011" s="2135"/>
      <c r="AA3011" s="2137"/>
      <c r="AB3011" s="35"/>
      <c r="AC3011" s="183"/>
    </row>
    <row r="3012" spans="1:31" x14ac:dyDescent="0.2">
      <c r="A3012" s="1422"/>
      <c r="B3012" s="1424" t="s">
        <v>272</v>
      </c>
      <c r="C3012" s="159"/>
      <c r="D3012" s="38" t="s">
        <v>84</v>
      </c>
      <c r="E3012" s="38"/>
      <c r="F3012" s="38"/>
      <c r="G3012" s="38"/>
      <c r="H3012" s="38"/>
      <c r="I3012" s="38"/>
      <c r="J3012" s="38"/>
      <c r="K3012" s="40"/>
      <c r="L3012" s="60"/>
      <c r="M3012" s="60"/>
      <c r="N3012" s="60"/>
      <c r="O3012" s="60"/>
      <c r="P3012" s="60"/>
      <c r="Q3012" s="60"/>
      <c r="R3012" s="60"/>
      <c r="S3012" s="60"/>
      <c r="T3012" s="3377" t="s">
        <v>15</v>
      </c>
      <c r="U3012" s="3378"/>
      <c r="V3012" s="3378"/>
      <c r="W3012" s="3378"/>
      <c r="X3012" s="3378"/>
      <c r="Y3012" s="3379"/>
      <c r="Z3012" s="3377" t="s">
        <v>16</v>
      </c>
      <c r="AA3012" s="3379"/>
      <c r="AB3012" s="35"/>
      <c r="AC3012" s="183"/>
    </row>
    <row r="3013" spans="1:31" x14ac:dyDescent="0.2">
      <c r="A3013" s="1422"/>
      <c r="B3013" s="1424" t="s">
        <v>13</v>
      </c>
      <c r="C3013" s="159"/>
      <c r="D3013" s="2125" t="s">
        <v>855</v>
      </c>
      <c r="E3013" s="107" t="s">
        <v>856</v>
      </c>
      <c r="F3013" s="38"/>
      <c r="G3013" s="38"/>
      <c r="H3013" s="38"/>
      <c r="I3013" s="38"/>
      <c r="J3013" s="38"/>
      <c r="K3013" s="40"/>
      <c r="L3013" s="60"/>
      <c r="M3013" s="60"/>
      <c r="N3013" s="60"/>
      <c r="O3013" s="60"/>
      <c r="P3013" s="60"/>
      <c r="Q3013" s="60"/>
      <c r="R3013" s="60"/>
      <c r="S3013" s="60"/>
      <c r="T3013" s="3395" t="s">
        <v>857</v>
      </c>
      <c r="U3013" s="3396"/>
      <c r="V3013" s="3396"/>
      <c r="W3013" s="3396"/>
      <c r="X3013" s="3396"/>
      <c r="Y3013" s="3397"/>
      <c r="Z3013" s="3395" t="s">
        <v>858</v>
      </c>
      <c r="AA3013" s="3397"/>
      <c r="AB3013" s="35"/>
      <c r="AC3013" s="183"/>
    </row>
    <row r="3014" spans="1:31" x14ac:dyDescent="0.2">
      <c r="A3014" s="1422"/>
      <c r="B3014" s="1424"/>
      <c r="C3014" s="159"/>
      <c r="D3014" s="2125"/>
      <c r="E3014" s="107"/>
      <c r="F3014" s="38"/>
      <c r="G3014" s="38"/>
      <c r="H3014" s="38"/>
      <c r="I3014" s="38"/>
      <c r="J3014" s="38"/>
      <c r="K3014" s="40"/>
      <c r="L3014" s="60"/>
      <c r="M3014" s="60"/>
      <c r="N3014" s="60"/>
      <c r="O3014" s="60"/>
      <c r="P3014" s="60"/>
      <c r="Q3014" s="60"/>
      <c r="R3014" s="60"/>
      <c r="S3014" s="60"/>
      <c r="T3014" s="35"/>
      <c r="U3014" s="35"/>
      <c r="V3014" s="35"/>
      <c r="W3014" s="35"/>
      <c r="X3014" s="35"/>
      <c r="Y3014" s="35"/>
      <c r="Z3014" s="35"/>
      <c r="AA3014" s="189"/>
      <c r="AB3014" s="35"/>
      <c r="AC3014" s="183"/>
    </row>
    <row r="3015" spans="1:31" x14ac:dyDescent="0.2">
      <c r="A3015" s="1422"/>
      <c r="B3015" s="1424" t="s">
        <v>276</v>
      </c>
      <c r="C3015" s="159"/>
      <c r="D3015" s="159">
        <v>3000001</v>
      </c>
      <c r="E3015" s="159" t="s">
        <v>277</v>
      </c>
      <c r="F3015" s="38"/>
      <c r="G3015" s="38"/>
      <c r="H3015" s="38"/>
      <c r="I3015" s="38"/>
      <c r="J3015" s="38"/>
      <c r="K3015" s="40"/>
      <c r="L3015" s="60"/>
      <c r="M3015" s="60"/>
      <c r="N3015" s="60"/>
      <c r="O3015" s="60"/>
      <c r="P3015" s="60"/>
      <c r="Q3015" s="60"/>
      <c r="R3015" s="60"/>
      <c r="S3015" s="60"/>
      <c r="T3015" s="35"/>
      <c r="U3015" s="35"/>
      <c r="V3015" s="35"/>
      <c r="W3015" s="35"/>
      <c r="X3015" s="35"/>
      <c r="Y3015" s="35"/>
      <c r="Z3015" s="35"/>
      <c r="AA3015" s="189"/>
      <c r="AB3015" s="35"/>
      <c r="AC3015" s="183"/>
    </row>
    <row r="3016" spans="1:31" x14ac:dyDescent="0.2">
      <c r="A3016" s="1422"/>
      <c r="B3016" s="2999" t="s">
        <v>278</v>
      </c>
      <c r="C3016" s="3015" t="s">
        <v>21</v>
      </c>
      <c r="D3016" s="2847" t="s">
        <v>22</v>
      </c>
      <c r="E3016" s="2847" t="s">
        <v>23</v>
      </c>
      <c r="F3016" s="2847" t="s">
        <v>24</v>
      </c>
      <c r="G3016" s="2847" t="s">
        <v>25</v>
      </c>
      <c r="H3016" s="2847" t="s">
        <v>26</v>
      </c>
      <c r="I3016" s="2847" t="s">
        <v>27</v>
      </c>
      <c r="J3016" s="2847" t="s">
        <v>28</v>
      </c>
      <c r="K3016" s="2847"/>
      <c r="L3016" s="2988" t="s">
        <v>279</v>
      </c>
      <c r="M3016" s="3273" t="s">
        <v>280</v>
      </c>
      <c r="N3016" s="3274"/>
      <c r="O3016" s="3206" t="s">
        <v>281</v>
      </c>
      <c r="P3016" s="3301"/>
      <c r="Q3016" s="3301"/>
      <c r="R3016" s="3301"/>
      <c r="S3016" s="3301"/>
      <c r="T3016" s="3301"/>
      <c r="U3016" s="3301"/>
      <c r="V3016" s="3301"/>
      <c r="W3016" s="3301"/>
      <c r="X3016" s="3301"/>
      <c r="Y3016" s="3301"/>
      <c r="Z3016" s="3207"/>
      <c r="AA3016" s="3358" t="s">
        <v>32</v>
      </c>
      <c r="AB3016" s="1210"/>
      <c r="AC3016" s="1199"/>
      <c r="AD3016" s="1211"/>
      <c r="AE3016" s="1211"/>
    </row>
    <row r="3017" spans="1:31" x14ac:dyDescent="0.2">
      <c r="A3017" s="1422"/>
      <c r="B3017" s="2999"/>
      <c r="C3017" s="3359"/>
      <c r="D3017" s="2847"/>
      <c r="E3017" s="2847"/>
      <c r="F3017" s="2847"/>
      <c r="G3017" s="2847"/>
      <c r="H3017" s="2847"/>
      <c r="I3017" s="2847"/>
      <c r="J3017" s="2847" t="s">
        <v>33</v>
      </c>
      <c r="K3017" s="2847" t="s">
        <v>282</v>
      </c>
      <c r="L3017" s="3186"/>
      <c r="M3017" s="3275"/>
      <c r="N3017" s="3276"/>
      <c r="O3017" s="1009" t="s">
        <v>283</v>
      </c>
      <c r="P3017" s="1009" t="s">
        <v>284</v>
      </c>
      <c r="Q3017" s="1009" t="s">
        <v>285</v>
      </c>
      <c r="R3017" s="1009" t="s">
        <v>88</v>
      </c>
      <c r="S3017" s="1009" t="s">
        <v>89</v>
      </c>
      <c r="T3017" s="1009" t="s">
        <v>90</v>
      </c>
      <c r="U3017" s="1009" t="s">
        <v>91</v>
      </c>
      <c r="V3017" s="1009" t="s">
        <v>92</v>
      </c>
      <c r="W3017" s="1009" t="s">
        <v>286</v>
      </c>
      <c r="X3017" s="1009" t="s">
        <v>93</v>
      </c>
      <c r="Y3017" s="1009" t="s">
        <v>94</v>
      </c>
      <c r="Z3017" s="1009" t="s">
        <v>95</v>
      </c>
      <c r="AA3017" s="3358"/>
      <c r="AB3017" s="1210"/>
      <c r="AC3017" s="1199"/>
      <c r="AD3017" s="1211"/>
      <c r="AE3017" s="1211"/>
    </row>
    <row r="3018" spans="1:31" ht="12.75" x14ac:dyDescent="0.2">
      <c r="A3018" s="1422"/>
      <c r="B3018" s="2999"/>
      <c r="C3018" s="3359"/>
      <c r="D3018" s="2847"/>
      <c r="E3018" s="2847"/>
      <c r="F3018" s="2847"/>
      <c r="G3018" s="2847"/>
      <c r="H3018" s="2847"/>
      <c r="I3018" s="2847"/>
      <c r="J3018" s="2847"/>
      <c r="K3018" s="2847"/>
      <c r="L3018" s="3186"/>
      <c r="M3018" s="3271" t="s">
        <v>287</v>
      </c>
      <c r="N3018" s="3272"/>
      <c r="O3018" s="41"/>
      <c r="P3018" s="41">
        <v>4.1818181818181817</v>
      </c>
      <c r="Q3018" s="41">
        <v>4</v>
      </c>
      <c r="R3018" s="41">
        <v>4</v>
      </c>
      <c r="S3018" s="41">
        <v>5</v>
      </c>
      <c r="T3018" s="41">
        <v>5</v>
      </c>
      <c r="U3018" s="41">
        <v>4</v>
      </c>
      <c r="V3018" s="41">
        <v>4</v>
      </c>
      <c r="W3018" s="41">
        <v>4</v>
      </c>
      <c r="X3018" s="41">
        <v>4</v>
      </c>
      <c r="Y3018" s="41">
        <v>4</v>
      </c>
      <c r="Z3018" s="41">
        <v>4</v>
      </c>
      <c r="AA3018" s="1219">
        <f t="shared" ref="AA3018:AA3033" si="449">SUM(O3018:Z3018)</f>
        <v>46.18181818181818</v>
      </c>
      <c r="AB3018" s="1210"/>
      <c r="AC3018" s="1199"/>
      <c r="AD3018" s="1211"/>
      <c r="AE3018" s="1211"/>
    </row>
    <row r="3019" spans="1:31" ht="12.75" x14ac:dyDescent="0.2">
      <c r="A3019" s="1422"/>
      <c r="B3019" s="2999"/>
      <c r="C3019" s="3016"/>
      <c r="D3019" s="2847"/>
      <c r="E3019" s="2847"/>
      <c r="F3019" s="2847"/>
      <c r="G3019" s="2847"/>
      <c r="H3019" s="2847"/>
      <c r="I3019" s="2847"/>
      <c r="J3019" s="2847"/>
      <c r="K3019" s="2847"/>
      <c r="L3019" s="2989"/>
      <c r="M3019" s="3271" t="s">
        <v>34</v>
      </c>
      <c r="N3019" s="3272"/>
      <c r="O3019" s="41">
        <f>SUM(O3020:O3033)</f>
        <v>13796.75</v>
      </c>
      <c r="P3019" s="41">
        <f t="shared" ref="P3019:Z3019" si="450">SUM(P3020:P3033)</f>
        <v>14670.613636363636</v>
      </c>
      <c r="Q3019" s="41">
        <f t="shared" si="450"/>
        <v>14633.113636363636</v>
      </c>
      <c r="R3019" s="41">
        <f t="shared" si="450"/>
        <v>15833.113636363636</v>
      </c>
      <c r="S3019" s="41">
        <f t="shared" si="450"/>
        <v>24970.613636363636</v>
      </c>
      <c r="T3019" s="41">
        <f t="shared" si="450"/>
        <v>13833.113636363636</v>
      </c>
      <c r="U3019" s="41">
        <f t="shared" si="450"/>
        <v>15033.113636363636</v>
      </c>
      <c r="V3019" s="41">
        <f t="shared" si="450"/>
        <v>14670.613636363636</v>
      </c>
      <c r="W3019" s="41">
        <f t="shared" si="450"/>
        <v>13833.113636363636</v>
      </c>
      <c r="X3019" s="41">
        <f t="shared" si="450"/>
        <v>13833.113636363636</v>
      </c>
      <c r="Y3019" s="41">
        <f t="shared" si="450"/>
        <v>14670.613636363636</v>
      </c>
      <c r="Z3019" s="41">
        <f t="shared" si="450"/>
        <v>15033.113636363636</v>
      </c>
      <c r="AA3019" s="1219">
        <f t="shared" si="449"/>
        <v>184811.00000000003</v>
      </c>
      <c r="AB3019" s="1210"/>
      <c r="AC3019" s="1199"/>
      <c r="AD3019" s="1211"/>
      <c r="AE3019" s="1211"/>
    </row>
    <row r="3020" spans="1:31" x14ac:dyDescent="0.2">
      <c r="A3020" s="1422"/>
      <c r="B3020" s="2522">
        <v>5004279</v>
      </c>
      <c r="C3020" s="3190" t="s">
        <v>859</v>
      </c>
      <c r="D3020" s="2421">
        <v>97</v>
      </c>
      <c r="E3020" s="2421" t="s">
        <v>860</v>
      </c>
      <c r="F3020" s="2420" t="s">
        <v>861</v>
      </c>
      <c r="G3020" s="2420" t="s">
        <v>862</v>
      </c>
      <c r="H3020" s="2420" t="s">
        <v>863</v>
      </c>
      <c r="I3020" s="2420" t="s">
        <v>864</v>
      </c>
      <c r="J3020" s="2514">
        <v>46</v>
      </c>
      <c r="K3020" s="118">
        <v>17696</v>
      </c>
      <c r="L3020" s="115"/>
      <c r="M3020" s="3287" t="s">
        <v>319</v>
      </c>
      <c r="N3020" s="3288"/>
      <c r="O3020" s="41">
        <f>$K3020/12</f>
        <v>1474.6666666666667</v>
      </c>
      <c r="P3020" s="41">
        <f t="shared" ref="P3020:Z3020" si="451">$K3020/12</f>
        <v>1474.6666666666667</v>
      </c>
      <c r="Q3020" s="41">
        <f t="shared" si="451"/>
        <v>1474.6666666666667</v>
      </c>
      <c r="R3020" s="41">
        <f t="shared" si="451"/>
        <v>1474.6666666666667</v>
      </c>
      <c r="S3020" s="41">
        <f t="shared" si="451"/>
        <v>1474.6666666666667</v>
      </c>
      <c r="T3020" s="41">
        <f t="shared" si="451"/>
        <v>1474.6666666666667</v>
      </c>
      <c r="U3020" s="41">
        <f t="shared" si="451"/>
        <v>1474.6666666666667</v>
      </c>
      <c r="V3020" s="41">
        <f t="shared" si="451"/>
        <v>1474.6666666666667</v>
      </c>
      <c r="W3020" s="41">
        <f t="shared" si="451"/>
        <v>1474.6666666666667</v>
      </c>
      <c r="X3020" s="41">
        <f t="shared" si="451"/>
        <v>1474.6666666666667</v>
      </c>
      <c r="Y3020" s="41">
        <f t="shared" si="451"/>
        <v>1474.6666666666667</v>
      </c>
      <c r="Z3020" s="41">
        <f t="shared" si="451"/>
        <v>1474.6666666666667</v>
      </c>
      <c r="AA3020" s="1217">
        <f t="shared" si="449"/>
        <v>17695.999999999996</v>
      </c>
      <c r="AB3020" s="1210"/>
      <c r="AC3020" s="1199"/>
      <c r="AD3020" s="1211"/>
      <c r="AE3020" s="1211"/>
    </row>
    <row r="3021" spans="1:31" x14ac:dyDescent="0.2">
      <c r="A3021" s="1422"/>
      <c r="B3021" s="2522"/>
      <c r="C3021" s="3191"/>
      <c r="D3021" s="2421"/>
      <c r="E3021" s="2421"/>
      <c r="F3021" s="2420"/>
      <c r="G3021" s="2420"/>
      <c r="H3021" s="2420"/>
      <c r="I3021" s="2420"/>
      <c r="J3021" s="2515"/>
      <c r="K3021" s="118">
        <v>109632</v>
      </c>
      <c r="L3021" s="115"/>
      <c r="M3021" s="3287" t="s">
        <v>293</v>
      </c>
      <c r="N3021" s="3288"/>
      <c r="O3021" s="41">
        <f t="shared" ref="O3021:Z3022" si="452">$K3021/12</f>
        <v>9136</v>
      </c>
      <c r="P3021" s="41">
        <f t="shared" si="452"/>
        <v>9136</v>
      </c>
      <c r="Q3021" s="41">
        <f t="shared" si="452"/>
        <v>9136</v>
      </c>
      <c r="R3021" s="41">
        <f t="shared" si="452"/>
        <v>9136</v>
      </c>
      <c r="S3021" s="41">
        <f t="shared" si="452"/>
        <v>9136</v>
      </c>
      <c r="T3021" s="41">
        <f t="shared" si="452"/>
        <v>9136</v>
      </c>
      <c r="U3021" s="41">
        <f t="shared" si="452"/>
        <v>9136</v>
      </c>
      <c r="V3021" s="41">
        <f t="shared" si="452"/>
        <v>9136</v>
      </c>
      <c r="W3021" s="41">
        <f t="shared" si="452"/>
        <v>9136</v>
      </c>
      <c r="X3021" s="41">
        <f t="shared" si="452"/>
        <v>9136</v>
      </c>
      <c r="Y3021" s="41">
        <f t="shared" si="452"/>
        <v>9136</v>
      </c>
      <c r="Z3021" s="41">
        <f t="shared" si="452"/>
        <v>9136</v>
      </c>
      <c r="AA3021" s="1217">
        <f t="shared" si="449"/>
        <v>109632</v>
      </c>
      <c r="AB3021" s="1210"/>
      <c r="AC3021" s="1199"/>
      <c r="AD3021" s="1211"/>
      <c r="AE3021" s="1211"/>
    </row>
    <row r="3022" spans="1:31" x14ac:dyDescent="0.2">
      <c r="A3022" s="1422"/>
      <c r="B3022" s="2522"/>
      <c r="C3022" s="3191"/>
      <c r="D3022" s="2421"/>
      <c r="E3022" s="2421"/>
      <c r="F3022" s="2420"/>
      <c r="G3022" s="2420"/>
      <c r="H3022" s="2420"/>
      <c r="I3022" s="2420"/>
      <c r="J3022" s="2515"/>
      <c r="K3022" s="118">
        <v>3168</v>
      </c>
      <c r="L3022" s="115"/>
      <c r="M3022" s="3287" t="s">
        <v>296</v>
      </c>
      <c r="N3022" s="3288"/>
      <c r="O3022" s="41">
        <f t="shared" si="452"/>
        <v>264</v>
      </c>
      <c r="P3022" s="41">
        <f t="shared" si="452"/>
        <v>264</v>
      </c>
      <c r="Q3022" s="41">
        <f t="shared" si="452"/>
        <v>264</v>
      </c>
      <c r="R3022" s="41">
        <f t="shared" si="452"/>
        <v>264</v>
      </c>
      <c r="S3022" s="41">
        <f t="shared" si="452"/>
        <v>264</v>
      </c>
      <c r="T3022" s="41">
        <f t="shared" si="452"/>
        <v>264</v>
      </c>
      <c r="U3022" s="41">
        <f t="shared" si="452"/>
        <v>264</v>
      </c>
      <c r="V3022" s="41">
        <f t="shared" si="452"/>
        <v>264</v>
      </c>
      <c r="W3022" s="41">
        <f t="shared" si="452"/>
        <v>264</v>
      </c>
      <c r="X3022" s="41">
        <f t="shared" si="452"/>
        <v>264</v>
      </c>
      <c r="Y3022" s="41">
        <f t="shared" si="452"/>
        <v>264</v>
      </c>
      <c r="Z3022" s="41">
        <f t="shared" si="452"/>
        <v>264</v>
      </c>
      <c r="AA3022" s="1217">
        <f t="shared" si="449"/>
        <v>3168</v>
      </c>
      <c r="AB3022" s="1210"/>
      <c r="AC3022" s="1199"/>
      <c r="AD3022" s="1211"/>
      <c r="AE3022" s="1211"/>
    </row>
    <row r="3023" spans="1:31" x14ac:dyDescent="0.2">
      <c r="A3023" s="1422"/>
      <c r="B3023" s="2522"/>
      <c r="C3023" s="3191"/>
      <c r="D3023" s="2421"/>
      <c r="E3023" s="2421"/>
      <c r="F3023" s="2420"/>
      <c r="G3023" s="2420"/>
      <c r="H3023" s="2420"/>
      <c r="I3023" s="2420"/>
      <c r="J3023" s="2515"/>
      <c r="K3023" s="118">
        <v>2400</v>
      </c>
      <c r="L3023" s="115"/>
      <c r="M3023" s="3287" t="s">
        <v>298</v>
      </c>
      <c r="N3023" s="3288"/>
      <c r="O3023" s="41"/>
      <c r="P3023" s="41"/>
      <c r="Q3023" s="41"/>
      <c r="R3023" s="41"/>
      <c r="S3023" s="41"/>
      <c r="T3023" s="41"/>
      <c r="U3023" s="41">
        <f>K3023/2</f>
        <v>1200</v>
      </c>
      <c r="V3023" s="41"/>
      <c r="W3023" s="41"/>
      <c r="X3023" s="41"/>
      <c r="Y3023" s="41"/>
      <c r="Z3023" s="41">
        <f>K3023/2</f>
        <v>1200</v>
      </c>
      <c r="AA3023" s="1217">
        <f t="shared" si="449"/>
        <v>2400</v>
      </c>
      <c r="AB3023" s="1210"/>
      <c r="AC3023" s="1199"/>
      <c r="AD3023" s="1211"/>
      <c r="AE3023" s="1211"/>
    </row>
    <row r="3024" spans="1:31" x14ac:dyDescent="0.2">
      <c r="A3024" s="1422"/>
      <c r="B3024" s="2522"/>
      <c r="C3024" s="3191"/>
      <c r="D3024" s="2421"/>
      <c r="E3024" s="2421"/>
      <c r="F3024" s="2420"/>
      <c r="G3024" s="2420"/>
      <c r="H3024" s="2420"/>
      <c r="I3024" s="2420"/>
      <c r="J3024" s="2515"/>
      <c r="K3024" s="118">
        <v>1600</v>
      </c>
      <c r="L3024" s="115"/>
      <c r="M3024" s="3287" t="s">
        <v>299</v>
      </c>
      <c r="N3024" s="3288"/>
      <c r="O3024" s="41">
        <f>K3024</f>
        <v>1600</v>
      </c>
      <c r="P3024" s="41"/>
      <c r="Q3024" s="41"/>
      <c r="R3024" s="41"/>
      <c r="S3024" s="41"/>
      <c r="T3024" s="41"/>
      <c r="U3024" s="41"/>
      <c r="V3024" s="41"/>
      <c r="W3024" s="41"/>
      <c r="X3024" s="41"/>
      <c r="Y3024" s="41"/>
      <c r="Z3024" s="41"/>
      <c r="AA3024" s="1217">
        <f t="shared" si="449"/>
        <v>1600</v>
      </c>
      <c r="AB3024" s="1210"/>
      <c r="AC3024" s="1199"/>
      <c r="AD3024" s="1211"/>
      <c r="AE3024" s="1211"/>
    </row>
    <row r="3025" spans="1:31" x14ac:dyDescent="0.2">
      <c r="A3025" s="1422"/>
      <c r="B3025" s="2522"/>
      <c r="C3025" s="3191"/>
      <c r="D3025" s="2421"/>
      <c r="E3025" s="2421"/>
      <c r="F3025" s="2420"/>
      <c r="G3025" s="2420"/>
      <c r="H3025" s="2420"/>
      <c r="I3025" s="2420"/>
      <c r="J3025" s="2515"/>
      <c r="K3025" s="118">
        <v>9342</v>
      </c>
      <c r="L3025" s="115"/>
      <c r="M3025" s="3287" t="s">
        <v>300</v>
      </c>
      <c r="N3025" s="3288"/>
      <c r="O3025" s="41">
        <f>$K3025/12</f>
        <v>778.5</v>
      </c>
      <c r="P3025" s="41">
        <f t="shared" ref="P3025:Z3026" si="453">$K3025/12</f>
        <v>778.5</v>
      </c>
      <c r="Q3025" s="41">
        <f t="shared" si="453"/>
        <v>778.5</v>
      </c>
      <c r="R3025" s="41">
        <f t="shared" si="453"/>
        <v>778.5</v>
      </c>
      <c r="S3025" s="41">
        <f t="shared" si="453"/>
        <v>778.5</v>
      </c>
      <c r="T3025" s="41">
        <f t="shared" si="453"/>
        <v>778.5</v>
      </c>
      <c r="U3025" s="41">
        <f t="shared" si="453"/>
        <v>778.5</v>
      </c>
      <c r="V3025" s="41">
        <f t="shared" si="453"/>
        <v>778.5</v>
      </c>
      <c r="W3025" s="41">
        <f t="shared" si="453"/>
        <v>778.5</v>
      </c>
      <c r="X3025" s="41">
        <f t="shared" si="453"/>
        <v>778.5</v>
      </c>
      <c r="Y3025" s="41">
        <f t="shared" si="453"/>
        <v>778.5</v>
      </c>
      <c r="Z3025" s="41">
        <f t="shared" si="453"/>
        <v>778.5</v>
      </c>
      <c r="AA3025" s="1217">
        <f t="shared" si="449"/>
        <v>9342</v>
      </c>
      <c r="AB3025" s="1210"/>
      <c r="AC3025" s="1199"/>
      <c r="AD3025" s="1211"/>
      <c r="AE3025" s="1211"/>
    </row>
    <row r="3026" spans="1:31" x14ac:dyDescent="0.2">
      <c r="A3026" s="1422"/>
      <c r="B3026" s="2522"/>
      <c r="C3026" s="3191"/>
      <c r="D3026" s="2421"/>
      <c r="E3026" s="2421"/>
      <c r="F3026" s="2420"/>
      <c r="G3026" s="2420"/>
      <c r="H3026" s="2420"/>
      <c r="I3026" s="2420"/>
      <c r="J3026" s="2515"/>
      <c r="K3026" s="118">
        <v>523</v>
      </c>
      <c r="L3026" s="115"/>
      <c r="M3026" s="3287" t="s">
        <v>301</v>
      </c>
      <c r="N3026" s="3288"/>
      <c r="O3026" s="41">
        <f>$K3026/12</f>
        <v>43.583333333333336</v>
      </c>
      <c r="P3026" s="41">
        <f t="shared" si="453"/>
        <v>43.583333333333336</v>
      </c>
      <c r="Q3026" s="41">
        <f t="shared" si="453"/>
        <v>43.583333333333336</v>
      </c>
      <c r="R3026" s="41">
        <f t="shared" si="453"/>
        <v>43.583333333333336</v>
      </c>
      <c r="S3026" s="41">
        <f t="shared" si="453"/>
        <v>43.583333333333336</v>
      </c>
      <c r="T3026" s="41">
        <f t="shared" si="453"/>
        <v>43.583333333333336</v>
      </c>
      <c r="U3026" s="41">
        <f t="shared" si="453"/>
        <v>43.583333333333336</v>
      </c>
      <c r="V3026" s="41">
        <f t="shared" si="453"/>
        <v>43.583333333333336</v>
      </c>
      <c r="W3026" s="41">
        <f t="shared" si="453"/>
        <v>43.583333333333336</v>
      </c>
      <c r="X3026" s="41">
        <f t="shared" si="453"/>
        <v>43.583333333333336</v>
      </c>
      <c r="Y3026" s="41">
        <f t="shared" si="453"/>
        <v>43.583333333333336</v>
      </c>
      <c r="Z3026" s="41">
        <f t="shared" si="453"/>
        <v>43.583333333333336</v>
      </c>
      <c r="AA3026" s="1217">
        <f t="shared" si="449"/>
        <v>522.99999999999989</v>
      </c>
      <c r="AB3026" s="1210"/>
      <c r="AC3026" s="1199"/>
      <c r="AD3026" s="1211"/>
      <c r="AE3026" s="1211"/>
    </row>
    <row r="3027" spans="1:31" x14ac:dyDescent="0.2">
      <c r="A3027" s="1422"/>
      <c r="B3027" s="2522"/>
      <c r="C3027" s="3191"/>
      <c r="D3027" s="2421"/>
      <c r="E3027" s="2421"/>
      <c r="F3027" s="2420"/>
      <c r="G3027" s="2420"/>
      <c r="H3027" s="2420"/>
      <c r="I3027" s="2420"/>
      <c r="J3027" s="2515"/>
      <c r="K3027" s="118">
        <v>500</v>
      </c>
      <c r="L3027" s="115"/>
      <c r="M3027" s="3287" t="s">
        <v>380</v>
      </c>
      <c r="N3027" s="3288"/>
      <c r="O3027" s="41">
        <f>$K3027</f>
        <v>500</v>
      </c>
      <c r="P3027" s="41"/>
      <c r="Q3027" s="41"/>
      <c r="R3027" s="41"/>
      <c r="S3027" s="41"/>
      <c r="T3027" s="41"/>
      <c r="U3027" s="41"/>
      <c r="V3027" s="41"/>
      <c r="W3027" s="41"/>
      <c r="X3027" s="41"/>
      <c r="Y3027" s="41"/>
      <c r="Z3027" s="41"/>
      <c r="AA3027" s="1217">
        <f t="shared" si="449"/>
        <v>500</v>
      </c>
      <c r="AB3027" s="1210"/>
      <c r="AC3027" s="1199"/>
      <c r="AD3027" s="1211"/>
      <c r="AE3027" s="1211"/>
    </row>
    <row r="3028" spans="1:31" x14ac:dyDescent="0.2">
      <c r="A3028" s="1422"/>
      <c r="B3028" s="2522"/>
      <c r="C3028" s="3191"/>
      <c r="D3028" s="2421"/>
      <c r="E3028" s="2421"/>
      <c r="F3028" s="2420"/>
      <c r="G3028" s="2420"/>
      <c r="H3028" s="2420"/>
      <c r="I3028" s="2420"/>
      <c r="J3028" s="2515"/>
      <c r="K3028" s="118">
        <v>10300</v>
      </c>
      <c r="L3028" s="115"/>
      <c r="M3028" s="3287" t="s">
        <v>302</v>
      </c>
      <c r="N3028" s="3288"/>
      <c r="O3028" s="41"/>
      <c r="P3028" s="41"/>
      <c r="Q3028" s="41"/>
      <c r="R3028" s="41"/>
      <c r="S3028" s="41">
        <f>K3028</f>
        <v>10300</v>
      </c>
      <c r="T3028" s="41"/>
      <c r="U3028" s="41"/>
      <c r="V3028" s="41"/>
      <c r="W3028" s="41"/>
      <c r="X3028" s="41"/>
      <c r="Y3028" s="41"/>
      <c r="Z3028" s="41"/>
      <c r="AA3028" s="1217">
        <f t="shared" si="449"/>
        <v>10300</v>
      </c>
      <c r="AB3028" s="1210"/>
      <c r="AC3028" s="1199"/>
      <c r="AD3028" s="1211"/>
      <c r="AE3028" s="1211"/>
    </row>
    <row r="3029" spans="1:31" x14ac:dyDescent="0.2">
      <c r="A3029" s="1422"/>
      <c r="B3029" s="2522"/>
      <c r="C3029" s="3191"/>
      <c r="D3029" s="2421"/>
      <c r="E3029" s="2421"/>
      <c r="F3029" s="2420"/>
      <c r="G3029" s="2420"/>
      <c r="H3029" s="2420"/>
      <c r="I3029" s="2420"/>
      <c r="J3029" s="2515"/>
      <c r="K3029" s="118">
        <v>800</v>
      </c>
      <c r="L3029" s="115"/>
      <c r="M3029" s="3287" t="s">
        <v>303</v>
      </c>
      <c r="N3029" s="3288"/>
      <c r="O3029" s="41"/>
      <c r="P3029" s="41"/>
      <c r="Q3029" s="41">
        <f>$K3029</f>
        <v>800</v>
      </c>
      <c r="R3029" s="41"/>
      <c r="S3029" s="41"/>
      <c r="T3029" s="41"/>
      <c r="U3029" s="41"/>
      <c r="V3029" s="41"/>
      <c r="W3029" s="41"/>
      <c r="X3029" s="41"/>
      <c r="Y3029" s="41"/>
      <c r="Z3029" s="41"/>
      <c r="AA3029" s="1217">
        <f t="shared" si="449"/>
        <v>800</v>
      </c>
      <c r="AB3029" s="1210"/>
      <c r="AC3029" s="1199"/>
      <c r="AD3029" s="1211"/>
      <c r="AE3029" s="1211"/>
    </row>
    <row r="3030" spans="1:31" x14ac:dyDescent="0.2">
      <c r="A3030" s="1422"/>
      <c r="B3030" s="2522"/>
      <c r="C3030" s="3191"/>
      <c r="D3030" s="2421"/>
      <c r="E3030" s="2421"/>
      <c r="F3030" s="2420"/>
      <c r="G3030" s="2420"/>
      <c r="H3030" s="2420"/>
      <c r="I3030" s="2420"/>
      <c r="J3030" s="2515"/>
      <c r="K3030" s="118">
        <v>3350</v>
      </c>
      <c r="L3030" s="115"/>
      <c r="M3030" s="3287" t="s">
        <v>305</v>
      </c>
      <c r="N3030" s="3288"/>
      <c r="O3030" s="41"/>
      <c r="P3030" s="41">
        <f>$K3030/4</f>
        <v>837.5</v>
      </c>
      <c r="Q3030" s="41"/>
      <c r="R3030" s="41"/>
      <c r="S3030" s="41">
        <f>$K3030/4</f>
        <v>837.5</v>
      </c>
      <c r="T3030" s="41"/>
      <c r="U3030" s="41"/>
      <c r="V3030" s="41">
        <f>$K3030/4</f>
        <v>837.5</v>
      </c>
      <c r="W3030" s="41"/>
      <c r="X3030" s="41"/>
      <c r="Y3030" s="41">
        <f>$K3030/4</f>
        <v>837.5</v>
      </c>
      <c r="Z3030" s="41"/>
      <c r="AA3030" s="1217">
        <f t="shared" si="449"/>
        <v>3350</v>
      </c>
      <c r="AB3030" s="1210"/>
      <c r="AC3030" s="1199"/>
      <c r="AD3030" s="1211"/>
      <c r="AE3030" s="1211"/>
    </row>
    <row r="3031" spans="1:31" x14ac:dyDescent="0.2">
      <c r="A3031" s="1422"/>
      <c r="B3031" s="2522"/>
      <c r="C3031" s="3191"/>
      <c r="D3031" s="2421"/>
      <c r="E3031" s="2421"/>
      <c r="F3031" s="2420"/>
      <c r="G3031" s="2420"/>
      <c r="H3031" s="2420"/>
      <c r="I3031" s="2420"/>
      <c r="J3031" s="2515"/>
      <c r="K3031" s="118">
        <v>13970</v>
      </c>
      <c r="L3031" s="115"/>
      <c r="M3031" s="3287" t="s">
        <v>306</v>
      </c>
      <c r="N3031" s="3288"/>
      <c r="O3031" s="41"/>
      <c r="P3031" s="41">
        <f>$K3031/11</f>
        <v>1270</v>
      </c>
      <c r="Q3031" s="41">
        <f t="shared" ref="Q3031:Z3032" si="454">$K3031/11</f>
        <v>1270</v>
      </c>
      <c r="R3031" s="41">
        <f t="shared" si="454"/>
        <v>1270</v>
      </c>
      <c r="S3031" s="41">
        <f t="shared" si="454"/>
        <v>1270</v>
      </c>
      <c r="T3031" s="41">
        <f t="shared" si="454"/>
        <v>1270</v>
      </c>
      <c r="U3031" s="41">
        <f t="shared" si="454"/>
        <v>1270</v>
      </c>
      <c r="V3031" s="41">
        <f t="shared" si="454"/>
        <v>1270</v>
      </c>
      <c r="W3031" s="41">
        <f t="shared" si="454"/>
        <v>1270</v>
      </c>
      <c r="X3031" s="41">
        <f t="shared" si="454"/>
        <v>1270</v>
      </c>
      <c r="Y3031" s="41">
        <f t="shared" si="454"/>
        <v>1270</v>
      </c>
      <c r="Z3031" s="41">
        <f t="shared" si="454"/>
        <v>1270</v>
      </c>
      <c r="AA3031" s="1217">
        <f t="shared" si="449"/>
        <v>13970</v>
      </c>
      <c r="AB3031" s="1210"/>
      <c r="AC3031" s="1199"/>
      <c r="AD3031" s="1211"/>
      <c r="AE3031" s="1211"/>
    </row>
    <row r="3032" spans="1:31" x14ac:dyDescent="0.2">
      <c r="A3032" s="1422"/>
      <c r="B3032" s="2522"/>
      <c r="C3032" s="3191"/>
      <c r="D3032" s="2421"/>
      <c r="E3032" s="2421"/>
      <c r="F3032" s="2420"/>
      <c r="G3032" s="2420"/>
      <c r="H3032" s="2420"/>
      <c r="I3032" s="2420"/>
      <c r="J3032" s="2515"/>
      <c r="K3032" s="118">
        <v>9530</v>
      </c>
      <c r="L3032" s="115"/>
      <c r="M3032" s="3287" t="s">
        <v>307</v>
      </c>
      <c r="N3032" s="3288"/>
      <c r="O3032" s="41"/>
      <c r="P3032" s="41">
        <f>$K3032/11</f>
        <v>866.36363636363637</v>
      </c>
      <c r="Q3032" s="41">
        <f t="shared" si="454"/>
        <v>866.36363636363637</v>
      </c>
      <c r="R3032" s="41">
        <f t="shared" si="454"/>
        <v>866.36363636363637</v>
      </c>
      <c r="S3032" s="41">
        <f t="shared" si="454"/>
        <v>866.36363636363637</v>
      </c>
      <c r="T3032" s="41">
        <f t="shared" si="454"/>
        <v>866.36363636363637</v>
      </c>
      <c r="U3032" s="41">
        <f t="shared" si="454"/>
        <v>866.36363636363637</v>
      </c>
      <c r="V3032" s="41">
        <f t="shared" si="454"/>
        <v>866.36363636363637</v>
      </c>
      <c r="W3032" s="41">
        <f t="shared" si="454"/>
        <v>866.36363636363637</v>
      </c>
      <c r="X3032" s="41">
        <f t="shared" si="454"/>
        <v>866.36363636363637</v>
      </c>
      <c r="Y3032" s="41">
        <f t="shared" si="454"/>
        <v>866.36363636363637</v>
      </c>
      <c r="Z3032" s="41">
        <f t="shared" si="454"/>
        <v>866.36363636363637</v>
      </c>
      <c r="AA3032" s="1217">
        <f t="shared" si="449"/>
        <v>9529.9999999999982</v>
      </c>
      <c r="AB3032" s="1210"/>
      <c r="AC3032" s="1199"/>
      <c r="AD3032" s="1211"/>
      <c r="AE3032" s="1211"/>
    </row>
    <row r="3033" spans="1:31" x14ac:dyDescent="0.2">
      <c r="A3033" s="1422"/>
      <c r="B3033" s="2522"/>
      <c r="C3033" s="2439"/>
      <c r="D3033" s="2421"/>
      <c r="E3033" s="2421"/>
      <c r="F3033" s="2420"/>
      <c r="G3033" s="2420"/>
      <c r="H3033" s="2420"/>
      <c r="I3033" s="2420"/>
      <c r="J3033" s="2516"/>
      <c r="K3033" s="118">
        <v>2000</v>
      </c>
      <c r="L3033" s="115"/>
      <c r="M3033" s="3287" t="s">
        <v>308</v>
      </c>
      <c r="N3033" s="3288"/>
      <c r="O3033" s="41"/>
      <c r="P3033" s="41"/>
      <c r="Q3033" s="41"/>
      <c r="R3033" s="41">
        <f>$K3033</f>
        <v>2000</v>
      </c>
      <c r="S3033" s="41"/>
      <c r="T3033" s="41"/>
      <c r="U3033" s="41"/>
      <c r="V3033" s="41"/>
      <c r="W3033" s="41"/>
      <c r="X3033" s="41"/>
      <c r="Y3033" s="41"/>
      <c r="Z3033" s="41"/>
      <c r="AA3033" s="1217">
        <f t="shared" si="449"/>
        <v>2000</v>
      </c>
      <c r="AB3033" s="1210"/>
      <c r="AC3033" s="1199"/>
      <c r="AD3033" s="1211"/>
      <c r="AE3033" s="1211"/>
    </row>
    <row r="3034" spans="1:31" x14ac:dyDescent="0.2">
      <c r="A3034" s="1422"/>
      <c r="B3034" s="1427" t="s">
        <v>312</v>
      </c>
      <c r="C3034" s="1128"/>
      <c r="D3034" s="38"/>
      <c r="E3034" s="38"/>
      <c r="F3034" s="38"/>
      <c r="G3034" s="38"/>
      <c r="H3034" s="38"/>
      <c r="I3034" s="38"/>
      <c r="J3034" s="38"/>
      <c r="K3034" s="118">
        <f>SUM(K3020:K3033)</f>
        <v>184811</v>
      </c>
      <c r="L3034" s="38"/>
      <c r="M3034" s="38"/>
      <c r="N3034" s="38"/>
      <c r="O3034" s="38"/>
      <c r="P3034" s="38"/>
      <c r="Q3034" s="38"/>
      <c r="R3034" s="38"/>
      <c r="S3034" s="38"/>
      <c r="T3034" s="38"/>
      <c r="U3034" s="38"/>
      <c r="V3034" s="38"/>
      <c r="W3034" s="38"/>
      <c r="X3034" s="38"/>
      <c r="Y3034" s="38"/>
      <c r="Z3034" s="38"/>
      <c r="AA3034" s="1220"/>
      <c r="AB3034" s="1210"/>
      <c r="AC3034" s="1199"/>
      <c r="AD3034" s="1211"/>
      <c r="AE3034" s="1211"/>
    </row>
    <row r="3035" spans="1:31" x14ac:dyDescent="0.2">
      <c r="A3035" s="1422"/>
      <c r="B3035" s="2999" t="s">
        <v>278</v>
      </c>
      <c r="C3035" s="3015" t="s">
        <v>21</v>
      </c>
      <c r="D3035" s="2847" t="s">
        <v>22</v>
      </c>
      <c r="E3035" s="2847" t="s">
        <v>23</v>
      </c>
      <c r="F3035" s="2847" t="s">
        <v>24</v>
      </c>
      <c r="G3035" s="2847" t="s">
        <v>25</v>
      </c>
      <c r="H3035" s="2847" t="s">
        <v>26</v>
      </c>
      <c r="I3035" s="2847" t="s">
        <v>27</v>
      </c>
      <c r="J3035" s="2847" t="s">
        <v>28</v>
      </c>
      <c r="K3035" s="2847"/>
      <c r="L3035" s="2988" t="s">
        <v>279</v>
      </c>
      <c r="M3035" s="3273" t="s">
        <v>280</v>
      </c>
      <c r="N3035" s="3274"/>
      <c r="O3035" s="3206" t="s">
        <v>281</v>
      </c>
      <c r="P3035" s="3301"/>
      <c r="Q3035" s="3301"/>
      <c r="R3035" s="3301"/>
      <c r="S3035" s="3301"/>
      <c r="T3035" s="3301"/>
      <c r="U3035" s="3301"/>
      <c r="V3035" s="3301"/>
      <c r="W3035" s="3301"/>
      <c r="X3035" s="3301"/>
      <c r="Y3035" s="3301"/>
      <c r="Z3035" s="3207"/>
      <c r="AA3035" s="3358" t="s">
        <v>32</v>
      </c>
      <c r="AB3035" s="1210"/>
      <c r="AC3035" s="1199"/>
      <c r="AD3035" s="1211"/>
      <c r="AE3035" s="1211"/>
    </row>
    <row r="3036" spans="1:31" x14ac:dyDescent="0.2">
      <c r="A3036" s="1422"/>
      <c r="B3036" s="2999"/>
      <c r="C3036" s="3359"/>
      <c r="D3036" s="2847"/>
      <c r="E3036" s="2847"/>
      <c r="F3036" s="2847"/>
      <c r="G3036" s="2847"/>
      <c r="H3036" s="2847"/>
      <c r="I3036" s="2847"/>
      <c r="J3036" s="2847" t="s">
        <v>33</v>
      </c>
      <c r="K3036" s="2847" t="s">
        <v>282</v>
      </c>
      <c r="L3036" s="3186"/>
      <c r="M3036" s="3275"/>
      <c r="N3036" s="3276"/>
      <c r="O3036" s="1009" t="s">
        <v>283</v>
      </c>
      <c r="P3036" s="1009" t="s">
        <v>284</v>
      </c>
      <c r="Q3036" s="1009" t="s">
        <v>285</v>
      </c>
      <c r="R3036" s="1009" t="s">
        <v>88</v>
      </c>
      <c r="S3036" s="1009" t="s">
        <v>89</v>
      </c>
      <c r="T3036" s="1009" t="s">
        <v>90</v>
      </c>
      <c r="U3036" s="1009" t="s">
        <v>91</v>
      </c>
      <c r="V3036" s="1009" t="s">
        <v>92</v>
      </c>
      <c r="W3036" s="1009" t="s">
        <v>286</v>
      </c>
      <c r="X3036" s="1009" t="s">
        <v>93</v>
      </c>
      <c r="Y3036" s="1009" t="s">
        <v>94</v>
      </c>
      <c r="Z3036" s="1009" t="s">
        <v>95</v>
      </c>
      <c r="AA3036" s="3358"/>
      <c r="AB3036" s="1210"/>
      <c r="AC3036" s="1199"/>
      <c r="AD3036" s="1211"/>
      <c r="AE3036" s="1211"/>
    </row>
    <row r="3037" spans="1:31" ht="12.75" x14ac:dyDescent="0.2">
      <c r="A3037" s="1422"/>
      <c r="B3037" s="2999"/>
      <c r="C3037" s="3359"/>
      <c r="D3037" s="2847"/>
      <c r="E3037" s="2847"/>
      <c r="F3037" s="2847"/>
      <c r="G3037" s="2847"/>
      <c r="H3037" s="2847"/>
      <c r="I3037" s="2847"/>
      <c r="J3037" s="2847"/>
      <c r="K3037" s="2847"/>
      <c r="L3037" s="3186"/>
      <c r="M3037" s="3271" t="s">
        <v>287</v>
      </c>
      <c r="N3037" s="3272"/>
      <c r="O3037" s="41"/>
      <c r="P3037" s="41">
        <v>3.6666666666666665</v>
      </c>
      <c r="Q3037" s="41">
        <v>4</v>
      </c>
      <c r="R3037" s="41">
        <v>4</v>
      </c>
      <c r="S3037" s="41">
        <v>4</v>
      </c>
      <c r="T3037" s="41">
        <v>4</v>
      </c>
      <c r="U3037" s="41">
        <v>2</v>
      </c>
      <c r="V3037" s="41"/>
      <c r="W3037" s="41"/>
      <c r="X3037" s="41"/>
      <c r="Y3037" s="41"/>
      <c r="Z3037" s="41"/>
      <c r="AA3037" s="1221">
        <f t="shared" ref="AA3037:AA3044" si="455">SUM(O3037:Z3037)</f>
        <v>21.666666666666664</v>
      </c>
      <c r="AB3037" s="1210"/>
      <c r="AC3037" s="1199"/>
      <c r="AD3037" s="1211"/>
      <c r="AE3037" s="1211"/>
    </row>
    <row r="3038" spans="1:31" ht="12.75" x14ac:dyDescent="0.2">
      <c r="A3038" s="1422"/>
      <c r="B3038" s="2999"/>
      <c r="C3038" s="3016"/>
      <c r="D3038" s="2847"/>
      <c r="E3038" s="2847"/>
      <c r="F3038" s="2847"/>
      <c r="G3038" s="2847"/>
      <c r="H3038" s="2847"/>
      <c r="I3038" s="2847"/>
      <c r="J3038" s="2847"/>
      <c r="K3038" s="2847"/>
      <c r="L3038" s="2989"/>
      <c r="M3038" s="3271" t="s">
        <v>34</v>
      </c>
      <c r="N3038" s="3272"/>
      <c r="O3038" s="41">
        <f t="shared" ref="O3038:Z3038" si="456">SUM(O3039:O3044)</f>
        <v>1400</v>
      </c>
      <c r="P3038" s="41">
        <f t="shared" si="456"/>
        <v>997.27272727272725</v>
      </c>
      <c r="Q3038" s="41">
        <f t="shared" si="456"/>
        <v>6138.272727272727</v>
      </c>
      <c r="R3038" s="41">
        <f t="shared" si="456"/>
        <v>467.27272727272725</v>
      </c>
      <c r="S3038" s="41">
        <f t="shared" si="456"/>
        <v>1463.2727272727273</v>
      </c>
      <c r="T3038" s="41">
        <f t="shared" si="456"/>
        <v>4542.272727272727</v>
      </c>
      <c r="U3038" s="41">
        <f t="shared" si="456"/>
        <v>1463.2727272727273</v>
      </c>
      <c r="V3038" s="41">
        <f t="shared" si="456"/>
        <v>997.27272727272725</v>
      </c>
      <c r="W3038" s="41">
        <f t="shared" si="456"/>
        <v>4138.272727272727</v>
      </c>
      <c r="X3038" s="41">
        <f>SUM(X3039:X3044)</f>
        <v>467.27272727272725</v>
      </c>
      <c r="Y3038" s="41">
        <f t="shared" si="456"/>
        <v>1463.2727272727273</v>
      </c>
      <c r="Z3038" s="41">
        <f t="shared" si="456"/>
        <v>467.27272727272725</v>
      </c>
      <c r="AA3038" s="1221">
        <f t="shared" si="455"/>
        <v>24005.000000000004</v>
      </c>
      <c r="AB3038" s="1210"/>
      <c r="AC3038" s="1199"/>
      <c r="AD3038" s="1211"/>
      <c r="AE3038" s="1211"/>
    </row>
    <row r="3039" spans="1:31" x14ac:dyDescent="0.2">
      <c r="A3039" s="1422"/>
      <c r="B3039" s="2522">
        <v>5004280</v>
      </c>
      <c r="C3039" s="2438" t="s">
        <v>865</v>
      </c>
      <c r="D3039" s="2420">
        <v>98</v>
      </c>
      <c r="E3039" s="2420" t="s">
        <v>860</v>
      </c>
      <c r="F3039" s="2420" t="s">
        <v>861</v>
      </c>
      <c r="G3039" s="2420" t="s">
        <v>862</v>
      </c>
      <c r="H3039" s="2420" t="s">
        <v>866</v>
      </c>
      <c r="I3039" s="2420" t="s">
        <v>864</v>
      </c>
      <c r="J3039" s="2514">
        <v>22</v>
      </c>
      <c r="K3039" s="41">
        <v>2800</v>
      </c>
      <c r="L3039" s="115"/>
      <c r="M3039" s="3287" t="s">
        <v>380</v>
      </c>
      <c r="N3039" s="3288"/>
      <c r="O3039" s="41">
        <f>$K3039/2</f>
        <v>1400</v>
      </c>
      <c r="P3039" s="41"/>
      <c r="Q3039" s="41"/>
      <c r="R3039" s="41"/>
      <c r="S3039" s="41"/>
      <c r="T3039" s="41">
        <f>$K3039/2</f>
        <v>1400</v>
      </c>
      <c r="U3039" s="41"/>
      <c r="V3039" s="41"/>
      <c r="W3039" s="41"/>
      <c r="X3039" s="41"/>
      <c r="Y3039" s="41"/>
      <c r="Z3039" s="41"/>
      <c r="AA3039" s="1220">
        <f t="shared" si="455"/>
        <v>2800</v>
      </c>
      <c r="AB3039" s="1210"/>
      <c r="AC3039" s="1199"/>
      <c r="AD3039" s="1211"/>
      <c r="AE3039" s="1211"/>
    </row>
    <row r="3040" spans="1:31" x14ac:dyDescent="0.2">
      <c r="A3040" s="1422"/>
      <c r="B3040" s="2522"/>
      <c r="C3040" s="2456"/>
      <c r="D3040" s="2420"/>
      <c r="E3040" s="2420"/>
      <c r="F3040" s="2420"/>
      <c r="G3040" s="2420"/>
      <c r="H3040" s="2420"/>
      <c r="I3040" s="2420"/>
      <c r="J3040" s="2515"/>
      <c r="K3040" s="41">
        <v>8025</v>
      </c>
      <c r="L3040" s="115"/>
      <c r="M3040" s="3287" t="s">
        <v>303</v>
      </c>
      <c r="N3040" s="3288"/>
      <c r="O3040" s="41"/>
      <c r="P3040" s="41"/>
      <c r="Q3040" s="41">
        <f>$K3040/3</f>
        <v>2675</v>
      </c>
      <c r="R3040" s="41"/>
      <c r="S3040" s="41"/>
      <c r="T3040" s="41">
        <f>$K3040/3</f>
        <v>2675</v>
      </c>
      <c r="U3040" s="41"/>
      <c r="V3040" s="41"/>
      <c r="W3040" s="41">
        <f>$K3040/3</f>
        <v>2675</v>
      </c>
      <c r="X3040" s="41"/>
      <c r="Y3040" s="41"/>
      <c r="Z3040" s="41"/>
      <c r="AA3040" s="1220">
        <f t="shared" si="455"/>
        <v>8025</v>
      </c>
      <c r="AB3040" s="1210"/>
      <c r="AC3040" s="1199"/>
      <c r="AD3040" s="1211"/>
      <c r="AE3040" s="1211"/>
    </row>
    <row r="3041" spans="1:31" x14ac:dyDescent="0.2">
      <c r="A3041" s="1422"/>
      <c r="B3041" s="2522"/>
      <c r="C3041" s="2456"/>
      <c r="D3041" s="2420"/>
      <c r="E3041" s="2420"/>
      <c r="F3041" s="2420"/>
      <c r="G3041" s="2420"/>
      <c r="H3041" s="2420"/>
      <c r="I3041" s="2420"/>
      <c r="J3041" s="2515"/>
      <c r="K3041" s="41">
        <v>1060</v>
      </c>
      <c r="L3041" s="115"/>
      <c r="M3041" s="3287" t="s">
        <v>305</v>
      </c>
      <c r="N3041" s="3288"/>
      <c r="O3041" s="41"/>
      <c r="P3041" s="41">
        <f>$K3041/2</f>
        <v>530</v>
      </c>
      <c r="Q3041" s="41"/>
      <c r="R3041" s="41"/>
      <c r="S3041" s="41"/>
      <c r="T3041" s="41"/>
      <c r="U3041" s="41"/>
      <c r="V3041" s="41">
        <f>$K3041/2</f>
        <v>530</v>
      </c>
      <c r="W3041" s="41"/>
      <c r="X3041" s="41"/>
      <c r="Y3041" s="41"/>
      <c r="Z3041" s="41"/>
      <c r="AA3041" s="1220">
        <f t="shared" si="455"/>
        <v>1060</v>
      </c>
      <c r="AB3041" s="1210"/>
      <c r="AC3041" s="1199"/>
      <c r="AD3041" s="1211"/>
      <c r="AE3041" s="1211"/>
    </row>
    <row r="3042" spans="1:31" x14ac:dyDescent="0.2">
      <c r="A3042" s="1422"/>
      <c r="B3042" s="2522"/>
      <c r="C3042" s="2456"/>
      <c r="D3042" s="2420"/>
      <c r="E3042" s="2420"/>
      <c r="F3042" s="2420"/>
      <c r="G3042" s="2420"/>
      <c r="H3042" s="2420"/>
      <c r="I3042" s="2420"/>
      <c r="J3042" s="2515"/>
      <c r="K3042" s="41">
        <v>5140</v>
      </c>
      <c r="L3042" s="115"/>
      <c r="M3042" s="3287" t="s">
        <v>306</v>
      </c>
      <c r="N3042" s="3288"/>
      <c r="O3042" s="41"/>
      <c r="P3042" s="41">
        <f>$K3042/11</f>
        <v>467.27272727272725</v>
      </c>
      <c r="Q3042" s="41">
        <f t="shared" ref="Q3042:Z3042" si="457">$K3042/11</f>
        <v>467.27272727272725</v>
      </c>
      <c r="R3042" s="41">
        <f t="shared" si="457"/>
        <v>467.27272727272725</v>
      </c>
      <c r="S3042" s="41">
        <f t="shared" si="457"/>
        <v>467.27272727272725</v>
      </c>
      <c r="T3042" s="41">
        <f t="shared" si="457"/>
        <v>467.27272727272725</v>
      </c>
      <c r="U3042" s="41">
        <f t="shared" si="457"/>
        <v>467.27272727272725</v>
      </c>
      <c r="V3042" s="41">
        <f t="shared" si="457"/>
        <v>467.27272727272725</v>
      </c>
      <c r="W3042" s="41">
        <f t="shared" si="457"/>
        <v>467.27272727272725</v>
      </c>
      <c r="X3042" s="41">
        <f t="shared" si="457"/>
        <v>467.27272727272725</v>
      </c>
      <c r="Y3042" s="41">
        <f t="shared" si="457"/>
        <v>467.27272727272725</v>
      </c>
      <c r="Z3042" s="41">
        <f t="shared" si="457"/>
        <v>467.27272727272725</v>
      </c>
      <c r="AA3042" s="1220">
        <f t="shared" si="455"/>
        <v>5139.9999999999982</v>
      </c>
      <c r="AB3042" s="1210"/>
      <c r="AC3042" s="1199"/>
      <c r="AD3042" s="1211"/>
      <c r="AE3042" s="1211"/>
    </row>
    <row r="3043" spans="1:31" x14ac:dyDescent="0.2">
      <c r="A3043" s="1422"/>
      <c r="B3043" s="2522"/>
      <c r="C3043" s="2456"/>
      <c r="D3043" s="2420"/>
      <c r="E3043" s="2420"/>
      <c r="F3043" s="2420"/>
      <c r="G3043" s="2420"/>
      <c r="H3043" s="2420"/>
      <c r="I3043" s="2420"/>
      <c r="J3043" s="2515"/>
      <c r="K3043" s="41">
        <v>2000</v>
      </c>
      <c r="L3043" s="115"/>
      <c r="M3043" s="3287" t="s">
        <v>308</v>
      </c>
      <c r="N3043" s="3288"/>
      <c r="O3043" s="41"/>
      <c r="P3043" s="41"/>
      <c r="Q3043" s="41">
        <f>$K3043</f>
        <v>2000</v>
      </c>
      <c r="R3043" s="41"/>
      <c r="S3043" s="41"/>
      <c r="T3043" s="41"/>
      <c r="U3043" s="41"/>
      <c r="V3043" s="41"/>
      <c r="W3043" s="41"/>
      <c r="X3043" s="41"/>
      <c r="Y3043" s="41"/>
      <c r="Z3043" s="41"/>
      <c r="AA3043" s="1220">
        <f t="shared" si="455"/>
        <v>2000</v>
      </c>
      <c r="AB3043" s="1210"/>
      <c r="AC3043" s="1199"/>
      <c r="AD3043" s="1211"/>
      <c r="AE3043" s="1211"/>
    </row>
    <row r="3044" spans="1:31" x14ac:dyDescent="0.2">
      <c r="A3044" s="1422"/>
      <c r="B3044" s="2522"/>
      <c r="C3044" s="2450"/>
      <c r="D3044" s="2420"/>
      <c r="E3044" s="2420"/>
      <c r="F3044" s="2420"/>
      <c r="G3044" s="2420"/>
      <c r="H3044" s="2420"/>
      <c r="I3044" s="2420"/>
      <c r="J3044" s="2516"/>
      <c r="K3044" s="41">
        <v>4980</v>
      </c>
      <c r="L3044" s="115"/>
      <c r="M3044" s="3287" t="s">
        <v>309</v>
      </c>
      <c r="N3044" s="3288"/>
      <c r="O3044" s="41"/>
      <c r="P3044" s="41"/>
      <c r="Q3044" s="41">
        <f>$K3044/5</f>
        <v>996</v>
      </c>
      <c r="R3044" s="41"/>
      <c r="S3044" s="41">
        <f>$K3044/5</f>
        <v>996</v>
      </c>
      <c r="T3044" s="41"/>
      <c r="U3044" s="41">
        <f>$K3044/5</f>
        <v>996</v>
      </c>
      <c r="V3044" s="41"/>
      <c r="W3044" s="41">
        <f>$K3044/5</f>
        <v>996</v>
      </c>
      <c r="X3044" s="41"/>
      <c r="Y3044" s="41">
        <f>$K3044/5</f>
        <v>996</v>
      </c>
      <c r="Z3044" s="41"/>
      <c r="AA3044" s="1220">
        <f t="shared" si="455"/>
        <v>4980</v>
      </c>
      <c r="AB3044" s="1210"/>
      <c r="AC3044" s="1199"/>
      <c r="AD3044" s="1211"/>
      <c r="AE3044" s="1211"/>
    </row>
    <row r="3045" spans="1:31" x14ac:dyDescent="0.2">
      <c r="A3045" s="1422"/>
      <c r="B3045" s="1427" t="s">
        <v>312</v>
      </c>
      <c r="C3045" s="1128"/>
      <c r="D3045" s="38"/>
      <c r="E3045" s="38"/>
      <c r="F3045" s="38"/>
      <c r="G3045" s="38"/>
      <c r="H3045" s="38"/>
      <c r="I3045" s="38"/>
      <c r="J3045" s="38"/>
      <c r="K3045" s="41">
        <f>SUM(K3039:K3044)</f>
        <v>24005</v>
      </c>
      <c r="L3045" s="38"/>
      <c r="M3045" s="38"/>
      <c r="N3045" s="38"/>
      <c r="O3045" s="41"/>
      <c r="P3045" s="41"/>
      <c r="Q3045" s="41"/>
      <c r="R3045" s="41"/>
      <c r="S3045" s="41"/>
      <c r="T3045" s="41"/>
      <c r="U3045" s="41"/>
      <c r="V3045" s="41"/>
      <c r="W3045" s="41"/>
      <c r="X3045" s="41"/>
      <c r="Y3045" s="41"/>
      <c r="Z3045" s="41"/>
      <c r="AA3045" s="1220"/>
      <c r="AB3045" s="1210"/>
      <c r="AC3045" s="1199"/>
      <c r="AD3045" s="1211"/>
      <c r="AE3045" s="1211"/>
    </row>
    <row r="3046" spans="1:31" x14ac:dyDescent="0.2">
      <c r="A3046" s="1422"/>
      <c r="B3046" s="2999" t="s">
        <v>278</v>
      </c>
      <c r="C3046" s="3015" t="s">
        <v>21</v>
      </c>
      <c r="D3046" s="2847" t="s">
        <v>22</v>
      </c>
      <c r="E3046" s="2847" t="s">
        <v>23</v>
      </c>
      <c r="F3046" s="2847" t="s">
        <v>24</v>
      </c>
      <c r="G3046" s="2847" t="s">
        <v>25</v>
      </c>
      <c r="H3046" s="2847" t="s">
        <v>26</v>
      </c>
      <c r="I3046" s="2847" t="s">
        <v>27</v>
      </c>
      <c r="J3046" s="2847" t="s">
        <v>28</v>
      </c>
      <c r="K3046" s="2847"/>
      <c r="L3046" s="2988" t="s">
        <v>279</v>
      </c>
      <c r="M3046" s="3273" t="s">
        <v>280</v>
      </c>
      <c r="N3046" s="3274"/>
      <c r="O3046" s="3206" t="s">
        <v>281</v>
      </c>
      <c r="P3046" s="3301"/>
      <c r="Q3046" s="3301"/>
      <c r="R3046" s="3301"/>
      <c r="S3046" s="3301"/>
      <c r="T3046" s="3301"/>
      <c r="U3046" s="3301"/>
      <c r="V3046" s="3301"/>
      <c r="W3046" s="3301"/>
      <c r="X3046" s="3301"/>
      <c r="Y3046" s="3301"/>
      <c r="Z3046" s="3207"/>
      <c r="AA3046" s="3358" t="s">
        <v>32</v>
      </c>
      <c r="AB3046" s="1210"/>
      <c r="AC3046" s="1199"/>
      <c r="AD3046" s="1211"/>
      <c r="AE3046" s="1211"/>
    </row>
    <row r="3047" spans="1:31" x14ac:dyDescent="0.2">
      <c r="A3047" s="1422"/>
      <c r="B3047" s="2999"/>
      <c r="C3047" s="3359"/>
      <c r="D3047" s="2847"/>
      <c r="E3047" s="2847"/>
      <c r="F3047" s="2847"/>
      <c r="G3047" s="2847"/>
      <c r="H3047" s="2847"/>
      <c r="I3047" s="2847"/>
      <c r="J3047" s="2847" t="s">
        <v>33</v>
      </c>
      <c r="K3047" s="2847" t="s">
        <v>282</v>
      </c>
      <c r="L3047" s="3186"/>
      <c r="M3047" s="3275"/>
      <c r="N3047" s="3276"/>
      <c r="O3047" s="1009" t="s">
        <v>283</v>
      </c>
      <c r="P3047" s="1009" t="s">
        <v>284</v>
      </c>
      <c r="Q3047" s="1009" t="s">
        <v>285</v>
      </c>
      <c r="R3047" s="1009" t="s">
        <v>88</v>
      </c>
      <c r="S3047" s="1009" t="s">
        <v>89</v>
      </c>
      <c r="T3047" s="1009" t="s">
        <v>90</v>
      </c>
      <c r="U3047" s="1009" t="s">
        <v>91</v>
      </c>
      <c r="V3047" s="1009" t="s">
        <v>92</v>
      </c>
      <c r="W3047" s="1009" t="s">
        <v>286</v>
      </c>
      <c r="X3047" s="1009" t="s">
        <v>93</v>
      </c>
      <c r="Y3047" s="1009" t="s">
        <v>94</v>
      </c>
      <c r="Z3047" s="1009" t="s">
        <v>95</v>
      </c>
      <c r="AA3047" s="3358"/>
      <c r="AB3047" s="1210"/>
      <c r="AC3047" s="1199"/>
      <c r="AD3047" s="1211"/>
      <c r="AE3047" s="1211"/>
    </row>
    <row r="3048" spans="1:31" ht="12.75" x14ac:dyDescent="0.2">
      <c r="A3048" s="1422"/>
      <c r="B3048" s="2999"/>
      <c r="C3048" s="3359"/>
      <c r="D3048" s="2847"/>
      <c r="E3048" s="2847"/>
      <c r="F3048" s="2847"/>
      <c r="G3048" s="2847"/>
      <c r="H3048" s="2847"/>
      <c r="I3048" s="2847"/>
      <c r="J3048" s="2847"/>
      <c r="K3048" s="2847"/>
      <c r="L3048" s="3186"/>
      <c r="M3048" s="3271" t="s">
        <v>287</v>
      </c>
      <c r="N3048" s="3272"/>
      <c r="O3048" s="41"/>
      <c r="P3048" s="41">
        <v>3.4545454545454546</v>
      </c>
      <c r="Q3048" s="41">
        <v>4</v>
      </c>
      <c r="R3048" s="41">
        <v>4</v>
      </c>
      <c r="S3048" s="41">
        <v>4</v>
      </c>
      <c r="T3048" s="41">
        <v>5</v>
      </c>
      <c r="U3048" s="41">
        <v>3</v>
      </c>
      <c r="V3048" s="41">
        <v>3</v>
      </c>
      <c r="W3048" s="41">
        <v>3</v>
      </c>
      <c r="X3048" s="41">
        <v>3</v>
      </c>
      <c r="Y3048" s="41">
        <v>3</v>
      </c>
      <c r="Z3048" s="41">
        <v>3</v>
      </c>
      <c r="AA3048" s="1222">
        <f t="shared" ref="AA3048:AA3061" si="458">SUM(O3048:Z3048)</f>
        <v>38.454545454545453</v>
      </c>
      <c r="AB3048" s="1210"/>
      <c r="AC3048" s="1199"/>
      <c r="AD3048" s="1211"/>
      <c r="AE3048" s="1211"/>
    </row>
    <row r="3049" spans="1:31" ht="12.75" x14ac:dyDescent="0.2">
      <c r="A3049" s="1422"/>
      <c r="B3049" s="2999"/>
      <c r="C3049" s="3016"/>
      <c r="D3049" s="2847"/>
      <c r="E3049" s="2847"/>
      <c r="F3049" s="2847"/>
      <c r="G3049" s="2847"/>
      <c r="H3049" s="2847"/>
      <c r="I3049" s="2847"/>
      <c r="J3049" s="2847"/>
      <c r="K3049" s="2847"/>
      <c r="L3049" s="2989"/>
      <c r="M3049" s="3271" t="s">
        <v>34</v>
      </c>
      <c r="N3049" s="3272"/>
      <c r="O3049" s="41">
        <f>SUM(O3050:O3061)</f>
        <v>6079.416666666667</v>
      </c>
      <c r="P3049" s="41">
        <f t="shared" ref="P3049:Z3049" si="459">SUM(P3050:P3061)</f>
        <v>9537.1439393939399</v>
      </c>
      <c r="Q3049" s="41">
        <f t="shared" si="459"/>
        <v>18499.343939393941</v>
      </c>
      <c r="R3049" s="41">
        <f t="shared" si="459"/>
        <v>10912.14393939394</v>
      </c>
      <c r="S3049" s="41">
        <f t="shared" si="459"/>
        <v>13624.343939393941</v>
      </c>
      <c r="T3049" s="41">
        <f t="shared" si="459"/>
        <v>8412.1439393939399</v>
      </c>
      <c r="U3049" s="41">
        <f t="shared" si="459"/>
        <v>12825.343939393941</v>
      </c>
      <c r="V3049" s="41">
        <f t="shared" si="459"/>
        <v>9537.1439393939399</v>
      </c>
      <c r="W3049" s="41">
        <f t="shared" si="459"/>
        <v>12499.343939393941</v>
      </c>
      <c r="X3049" s="41">
        <f t="shared" si="459"/>
        <v>8412.1439393939399</v>
      </c>
      <c r="Y3049" s="41">
        <f t="shared" si="459"/>
        <v>13624.343939393941</v>
      </c>
      <c r="Z3049" s="41">
        <f t="shared" si="459"/>
        <v>8738.1439393939399</v>
      </c>
      <c r="AA3049" s="876">
        <f t="shared" si="458"/>
        <v>132701.00000000003</v>
      </c>
      <c r="AB3049" s="1210"/>
      <c r="AC3049" s="1199"/>
      <c r="AD3049" s="1211"/>
      <c r="AE3049" s="1211"/>
    </row>
    <row r="3050" spans="1:31" x14ac:dyDescent="0.2">
      <c r="A3050" s="1422"/>
      <c r="B3050" s="2522">
        <v>5005609</v>
      </c>
      <c r="C3050" s="2438" t="s">
        <v>867</v>
      </c>
      <c r="D3050" s="2420">
        <v>96</v>
      </c>
      <c r="E3050" s="2420" t="s">
        <v>860</v>
      </c>
      <c r="F3050" s="2420" t="s">
        <v>861</v>
      </c>
      <c r="G3050" s="2420" t="s">
        <v>862</v>
      </c>
      <c r="H3050" s="2420" t="s">
        <v>868</v>
      </c>
      <c r="I3050" s="2420" t="s">
        <v>864</v>
      </c>
      <c r="J3050" s="2514">
        <v>38</v>
      </c>
      <c r="K3050" s="41">
        <v>61653</v>
      </c>
      <c r="L3050" s="115"/>
      <c r="M3050" s="3287" t="s">
        <v>295</v>
      </c>
      <c r="N3050" s="3288"/>
      <c r="O3050" s="41">
        <f>$K3050/12</f>
        <v>5137.75</v>
      </c>
      <c r="P3050" s="41">
        <f t="shared" ref="P3050:Z3050" si="460">$K3050/12</f>
        <v>5137.75</v>
      </c>
      <c r="Q3050" s="41">
        <f t="shared" si="460"/>
        <v>5137.75</v>
      </c>
      <c r="R3050" s="41">
        <f t="shared" si="460"/>
        <v>5137.75</v>
      </c>
      <c r="S3050" s="41">
        <f t="shared" si="460"/>
        <v>5137.75</v>
      </c>
      <c r="T3050" s="41">
        <f t="shared" si="460"/>
        <v>5137.75</v>
      </c>
      <c r="U3050" s="41">
        <f t="shared" si="460"/>
        <v>5137.75</v>
      </c>
      <c r="V3050" s="41">
        <f t="shared" si="460"/>
        <v>5137.75</v>
      </c>
      <c r="W3050" s="41">
        <f t="shared" si="460"/>
        <v>5137.75</v>
      </c>
      <c r="X3050" s="41">
        <f t="shared" si="460"/>
        <v>5137.75</v>
      </c>
      <c r="Y3050" s="41">
        <f t="shared" si="460"/>
        <v>5137.75</v>
      </c>
      <c r="Z3050" s="41">
        <f t="shared" si="460"/>
        <v>5137.75</v>
      </c>
      <c r="AA3050" s="1223">
        <f t="shared" si="458"/>
        <v>61653</v>
      </c>
      <c r="AB3050" s="1210"/>
      <c r="AC3050" s="1199"/>
      <c r="AD3050" s="1211"/>
      <c r="AE3050" s="1211"/>
    </row>
    <row r="3051" spans="1:31" x14ac:dyDescent="0.2">
      <c r="A3051" s="1422"/>
      <c r="B3051" s="2522"/>
      <c r="C3051" s="2456"/>
      <c r="D3051" s="2420"/>
      <c r="E3051" s="2420"/>
      <c r="F3051" s="2420"/>
      <c r="G3051" s="2420"/>
      <c r="H3051" s="2420"/>
      <c r="I3051" s="2420"/>
      <c r="J3051" s="2515"/>
      <c r="K3051" s="41">
        <v>652</v>
      </c>
      <c r="L3051" s="115"/>
      <c r="M3051" s="3287" t="s">
        <v>298</v>
      </c>
      <c r="N3051" s="3288"/>
      <c r="O3051" s="41"/>
      <c r="P3051" s="41"/>
      <c r="Q3051" s="41"/>
      <c r="R3051" s="41"/>
      <c r="S3051" s="41"/>
      <c r="T3051" s="41"/>
      <c r="U3051" s="41">
        <f>K3051/2</f>
        <v>326</v>
      </c>
      <c r="V3051" s="41"/>
      <c r="W3051" s="41"/>
      <c r="X3051" s="41"/>
      <c r="Y3051" s="41"/>
      <c r="Z3051" s="41">
        <f>K3051/2</f>
        <v>326</v>
      </c>
      <c r="AA3051" s="1223">
        <f t="shared" si="458"/>
        <v>652</v>
      </c>
      <c r="AB3051" s="1210"/>
      <c r="AC3051" s="1199"/>
      <c r="AD3051" s="1211"/>
      <c r="AE3051" s="1211"/>
    </row>
    <row r="3052" spans="1:31" x14ac:dyDescent="0.2">
      <c r="A3052" s="1422"/>
      <c r="B3052" s="2522"/>
      <c r="C3052" s="2456"/>
      <c r="D3052" s="2420"/>
      <c r="E3052" s="2420"/>
      <c r="F3052" s="2420"/>
      <c r="G3052" s="2420"/>
      <c r="H3052" s="2420"/>
      <c r="I3052" s="2420"/>
      <c r="J3052" s="2515"/>
      <c r="K3052" s="41">
        <v>400</v>
      </c>
      <c r="L3052" s="115"/>
      <c r="M3052" s="3287" t="s">
        <v>299</v>
      </c>
      <c r="N3052" s="3288"/>
      <c r="O3052" s="41">
        <f>K3052</f>
        <v>400</v>
      </c>
      <c r="P3052" s="41"/>
      <c r="Q3052" s="41"/>
      <c r="R3052" s="41"/>
      <c r="S3052" s="41"/>
      <c r="T3052" s="41"/>
      <c r="U3052" s="41"/>
      <c r="V3052" s="41"/>
      <c r="W3052" s="41"/>
      <c r="X3052" s="41"/>
      <c r="Y3052" s="41"/>
      <c r="Z3052" s="41"/>
      <c r="AA3052" s="1223">
        <f t="shared" si="458"/>
        <v>400</v>
      </c>
      <c r="AB3052" s="1210"/>
      <c r="AC3052" s="1199"/>
      <c r="AD3052" s="1211"/>
      <c r="AE3052" s="1211"/>
    </row>
    <row r="3053" spans="1:31" x14ac:dyDescent="0.2">
      <c r="A3053" s="1422"/>
      <c r="B3053" s="2522"/>
      <c r="C3053" s="2456"/>
      <c r="D3053" s="2420"/>
      <c r="E3053" s="2420"/>
      <c r="F3053" s="2420"/>
      <c r="G3053" s="2420"/>
      <c r="H3053" s="2420"/>
      <c r="I3053" s="2420"/>
      <c r="J3053" s="2515"/>
      <c r="K3053" s="41">
        <v>6500</v>
      </c>
      <c r="L3053" s="115"/>
      <c r="M3053" s="3287" t="s">
        <v>300</v>
      </c>
      <c r="N3053" s="3288"/>
      <c r="O3053" s="41">
        <f>$K3053/12</f>
        <v>541.66666666666663</v>
      </c>
      <c r="P3053" s="41">
        <f t="shared" ref="P3053:Z3053" si="461">$K3053/12</f>
        <v>541.66666666666663</v>
      </c>
      <c r="Q3053" s="41">
        <f t="shared" si="461"/>
        <v>541.66666666666663</v>
      </c>
      <c r="R3053" s="41">
        <f t="shared" si="461"/>
        <v>541.66666666666663</v>
      </c>
      <c r="S3053" s="41">
        <f t="shared" si="461"/>
        <v>541.66666666666663</v>
      </c>
      <c r="T3053" s="41">
        <f t="shared" si="461"/>
        <v>541.66666666666663</v>
      </c>
      <c r="U3053" s="41">
        <f t="shared" si="461"/>
        <v>541.66666666666663</v>
      </c>
      <c r="V3053" s="41">
        <f t="shared" si="461"/>
        <v>541.66666666666663</v>
      </c>
      <c r="W3053" s="41">
        <f t="shared" si="461"/>
        <v>541.66666666666663</v>
      </c>
      <c r="X3053" s="41">
        <f t="shared" si="461"/>
        <v>541.66666666666663</v>
      </c>
      <c r="Y3053" s="41">
        <f t="shared" si="461"/>
        <v>541.66666666666663</v>
      </c>
      <c r="Z3053" s="41">
        <f t="shared" si="461"/>
        <v>541.66666666666663</v>
      </c>
      <c r="AA3053" s="1223">
        <f t="shared" si="458"/>
        <v>6500.0000000000009</v>
      </c>
      <c r="AB3053" s="1210"/>
      <c r="AC3053" s="1199"/>
      <c r="AD3053" s="1211"/>
      <c r="AE3053" s="1211"/>
    </row>
    <row r="3054" spans="1:31" x14ac:dyDescent="0.2">
      <c r="A3054" s="1422"/>
      <c r="B3054" s="2522"/>
      <c r="C3054" s="2456"/>
      <c r="D3054" s="2420"/>
      <c r="E3054" s="2420"/>
      <c r="F3054" s="2420"/>
      <c r="G3054" s="2420"/>
      <c r="H3054" s="2420"/>
      <c r="I3054" s="2420"/>
      <c r="J3054" s="2515"/>
      <c r="K3054" s="41">
        <v>3500</v>
      </c>
      <c r="L3054" s="115"/>
      <c r="M3054" s="3287" t="s">
        <v>340</v>
      </c>
      <c r="N3054" s="3288"/>
      <c r="O3054" s="41"/>
      <c r="P3054" s="41"/>
      <c r="Q3054" s="41">
        <f>$K3054</f>
        <v>3500</v>
      </c>
      <c r="R3054" s="41"/>
      <c r="S3054" s="41"/>
      <c r="T3054" s="41"/>
      <c r="U3054" s="41"/>
      <c r="V3054" s="41"/>
      <c r="W3054" s="41"/>
      <c r="X3054" s="41"/>
      <c r="Y3054" s="41"/>
      <c r="Z3054" s="41"/>
      <c r="AA3054" s="1223">
        <f t="shared" si="458"/>
        <v>3500</v>
      </c>
      <c r="AB3054" s="1210"/>
      <c r="AC3054" s="1199"/>
      <c r="AD3054" s="1211"/>
      <c r="AE3054" s="1211"/>
    </row>
    <row r="3055" spans="1:31" x14ac:dyDescent="0.2">
      <c r="A3055" s="1422"/>
      <c r="B3055" s="2522"/>
      <c r="C3055" s="2456"/>
      <c r="D3055" s="2420"/>
      <c r="E3055" s="2420"/>
      <c r="F3055" s="2420"/>
      <c r="G3055" s="2420"/>
      <c r="H3055" s="2420"/>
      <c r="I3055" s="2420"/>
      <c r="J3055" s="2515"/>
      <c r="K3055" s="41">
        <v>1500</v>
      </c>
      <c r="L3055" s="115"/>
      <c r="M3055" s="3287" t="s">
        <v>303</v>
      </c>
      <c r="N3055" s="3288"/>
      <c r="O3055" s="41"/>
      <c r="P3055" s="41"/>
      <c r="Q3055" s="41">
        <f>$K3055</f>
        <v>1500</v>
      </c>
      <c r="R3055" s="41"/>
      <c r="S3055" s="41"/>
      <c r="T3055" s="41"/>
      <c r="U3055" s="41"/>
      <c r="V3055" s="41"/>
      <c r="W3055" s="41"/>
      <c r="X3055" s="41"/>
      <c r="Y3055" s="41"/>
      <c r="Z3055" s="41"/>
      <c r="AA3055" s="1223">
        <f t="shared" si="458"/>
        <v>1500</v>
      </c>
      <c r="AB3055" s="1210"/>
      <c r="AC3055" s="1199"/>
      <c r="AD3055" s="1211"/>
      <c r="AE3055" s="1211"/>
    </row>
    <row r="3056" spans="1:31" x14ac:dyDescent="0.2">
      <c r="A3056" s="1422"/>
      <c r="B3056" s="2522"/>
      <c r="C3056" s="2456"/>
      <c r="D3056" s="2420"/>
      <c r="E3056" s="2420"/>
      <c r="F3056" s="2420"/>
      <c r="G3056" s="2420"/>
      <c r="H3056" s="2420"/>
      <c r="I3056" s="2420"/>
      <c r="J3056" s="2515"/>
      <c r="K3056" s="41">
        <v>4500</v>
      </c>
      <c r="L3056" s="115"/>
      <c r="M3056" s="3287" t="s">
        <v>305</v>
      </c>
      <c r="N3056" s="3288"/>
      <c r="O3056" s="41"/>
      <c r="P3056" s="41">
        <f>$K3056/4</f>
        <v>1125</v>
      </c>
      <c r="Q3056" s="41"/>
      <c r="R3056" s="41"/>
      <c r="S3056" s="41">
        <f>$K3056/4</f>
        <v>1125</v>
      </c>
      <c r="T3056" s="41"/>
      <c r="U3056" s="41"/>
      <c r="V3056" s="41">
        <f>$K3056/4</f>
        <v>1125</v>
      </c>
      <c r="W3056" s="41"/>
      <c r="X3056" s="41"/>
      <c r="Y3056" s="41">
        <f>$K3056/4</f>
        <v>1125</v>
      </c>
      <c r="Z3056" s="41"/>
      <c r="AA3056" s="1223">
        <f t="shared" si="458"/>
        <v>4500</v>
      </c>
      <c r="AB3056" s="1210"/>
      <c r="AC3056" s="1199"/>
      <c r="AD3056" s="1211"/>
      <c r="AE3056" s="1211"/>
    </row>
    <row r="3057" spans="1:31" x14ac:dyDescent="0.2">
      <c r="A3057" s="1422"/>
      <c r="B3057" s="2522"/>
      <c r="C3057" s="2456"/>
      <c r="D3057" s="2420"/>
      <c r="E3057" s="2420"/>
      <c r="F3057" s="2420"/>
      <c r="G3057" s="2420"/>
      <c r="H3057" s="2420"/>
      <c r="I3057" s="2420"/>
      <c r="J3057" s="2515"/>
      <c r="K3057" s="41">
        <v>20860</v>
      </c>
      <c r="L3057" s="115"/>
      <c r="M3057" s="3287" t="s">
        <v>306</v>
      </c>
      <c r="N3057" s="3288"/>
      <c r="O3057" s="41"/>
      <c r="P3057" s="41">
        <f>$K3057/11</f>
        <v>1896.3636363636363</v>
      </c>
      <c r="Q3057" s="41">
        <f t="shared" ref="Q3057:Z3058" si="462">$K3057/11</f>
        <v>1896.3636363636363</v>
      </c>
      <c r="R3057" s="41">
        <f t="shared" si="462"/>
        <v>1896.3636363636363</v>
      </c>
      <c r="S3057" s="41">
        <f t="shared" si="462"/>
        <v>1896.3636363636363</v>
      </c>
      <c r="T3057" s="41">
        <f t="shared" si="462"/>
        <v>1896.3636363636363</v>
      </c>
      <c r="U3057" s="41">
        <f t="shared" si="462"/>
        <v>1896.3636363636363</v>
      </c>
      <c r="V3057" s="41">
        <f t="shared" si="462"/>
        <v>1896.3636363636363</v>
      </c>
      <c r="W3057" s="41">
        <f t="shared" si="462"/>
        <v>1896.3636363636363</v>
      </c>
      <c r="X3057" s="41">
        <f t="shared" si="462"/>
        <v>1896.3636363636363</v>
      </c>
      <c r="Y3057" s="41">
        <f t="shared" si="462"/>
        <v>1896.3636363636363</v>
      </c>
      <c r="Z3057" s="41">
        <f t="shared" si="462"/>
        <v>1896.3636363636363</v>
      </c>
      <c r="AA3057" s="1223">
        <f t="shared" si="458"/>
        <v>20860</v>
      </c>
      <c r="AB3057" s="1210"/>
      <c r="AC3057" s="1199"/>
      <c r="AD3057" s="1211"/>
      <c r="AE3057" s="1211"/>
    </row>
    <row r="3058" spans="1:31" x14ac:dyDescent="0.2">
      <c r="A3058" s="1422"/>
      <c r="B3058" s="2522"/>
      <c r="C3058" s="2456"/>
      <c r="D3058" s="2420"/>
      <c r="E3058" s="2420"/>
      <c r="F3058" s="2420"/>
      <c r="G3058" s="2420"/>
      <c r="H3058" s="2420"/>
      <c r="I3058" s="2420"/>
      <c r="J3058" s="2515"/>
      <c r="K3058" s="41">
        <v>9200</v>
      </c>
      <c r="L3058" s="115"/>
      <c r="M3058" s="3287" t="s">
        <v>307</v>
      </c>
      <c r="N3058" s="3288"/>
      <c r="O3058" s="41"/>
      <c r="P3058" s="41">
        <f>$K3058/11</f>
        <v>836.36363636363637</v>
      </c>
      <c r="Q3058" s="41">
        <f t="shared" si="462"/>
        <v>836.36363636363637</v>
      </c>
      <c r="R3058" s="41">
        <f t="shared" si="462"/>
        <v>836.36363636363637</v>
      </c>
      <c r="S3058" s="41">
        <f t="shared" si="462"/>
        <v>836.36363636363637</v>
      </c>
      <c r="T3058" s="41">
        <f t="shared" si="462"/>
        <v>836.36363636363637</v>
      </c>
      <c r="U3058" s="41">
        <f t="shared" si="462"/>
        <v>836.36363636363637</v>
      </c>
      <c r="V3058" s="41">
        <f t="shared" si="462"/>
        <v>836.36363636363637</v>
      </c>
      <c r="W3058" s="41">
        <f t="shared" si="462"/>
        <v>836.36363636363637</v>
      </c>
      <c r="X3058" s="41">
        <f t="shared" si="462"/>
        <v>836.36363636363637</v>
      </c>
      <c r="Y3058" s="41">
        <f t="shared" si="462"/>
        <v>836.36363636363637</v>
      </c>
      <c r="Z3058" s="41">
        <f t="shared" si="462"/>
        <v>836.36363636363637</v>
      </c>
      <c r="AA3058" s="1223">
        <f t="shared" si="458"/>
        <v>9199.9999999999982</v>
      </c>
      <c r="AB3058" s="1210"/>
      <c r="AC3058" s="1199"/>
      <c r="AD3058" s="1211"/>
      <c r="AE3058" s="1211"/>
    </row>
    <row r="3059" spans="1:31" x14ac:dyDescent="0.2">
      <c r="A3059" s="1422"/>
      <c r="B3059" s="2522"/>
      <c r="C3059" s="2456"/>
      <c r="D3059" s="2420"/>
      <c r="E3059" s="2420"/>
      <c r="F3059" s="2420"/>
      <c r="G3059" s="2420"/>
      <c r="H3059" s="2420"/>
      <c r="I3059" s="2420"/>
      <c r="J3059" s="2515"/>
      <c r="K3059" s="41">
        <v>2500</v>
      </c>
      <c r="L3059" s="115"/>
      <c r="M3059" s="3287" t="s">
        <v>308</v>
      </c>
      <c r="N3059" s="3288"/>
      <c r="O3059" s="41"/>
      <c r="P3059" s="41"/>
      <c r="Q3059" s="41"/>
      <c r="R3059" s="41">
        <f>$K3059</f>
        <v>2500</v>
      </c>
      <c r="S3059" s="41"/>
      <c r="T3059" s="41"/>
      <c r="U3059" s="41"/>
      <c r="V3059" s="41"/>
      <c r="W3059" s="41"/>
      <c r="X3059" s="41"/>
      <c r="Y3059" s="41"/>
      <c r="Z3059" s="41"/>
      <c r="AA3059" s="1223">
        <f t="shared" si="458"/>
        <v>2500</v>
      </c>
      <c r="AB3059" s="1210"/>
      <c r="AC3059" s="1199"/>
      <c r="AD3059" s="1211"/>
      <c r="AE3059" s="1211"/>
    </row>
    <row r="3060" spans="1:31" x14ac:dyDescent="0.2">
      <c r="A3060" s="1422"/>
      <c r="B3060" s="2522"/>
      <c r="C3060" s="2456"/>
      <c r="D3060" s="2420"/>
      <c r="E3060" s="2420"/>
      <c r="F3060" s="2420"/>
      <c r="G3060" s="2420"/>
      <c r="H3060" s="2420"/>
      <c r="I3060" s="2420"/>
      <c r="J3060" s="2515"/>
      <c r="K3060" s="41">
        <v>20436</v>
      </c>
      <c r="L3060" s="115"/>
      <c r="M3060" s="3287" t="s">
        <v>309</v>
      </c>
      <c r="N3060" s="3288"/>
      <c r="O3060" s="41"/>
      <c r="P3060" s="41"/>
      <c r="Q3060" s="41">
        <f>$K3060/5</f>
        <v>4087.2</v>
      </c>
      <c r="R3060" s="41"/>
      <c r="S3060" s="41">
        <f>$K3060/5</f>
        <v>4087.2</v>
      </c>
      <c r="T3060" s="41"/>
      <c r="U3060" s="41">
        <f>$K3060/5</f>
        <v>4087.2</v>
      </c>
      <c r="V3060" s="41"/>
      <c r="W3060" s="41">
        <f>$K3060/5</f>
        <v>4087.2</v>
      </c>
      <c r="X3060" s="41"/>
      <c r="Y3060" s="41">
        <f>$K3060/5</f>
        <v>4087.2</v>
      </c>
      <c r="Z3060" s="41"/>
      <c r="AA3060" s="1223">
        <f t="shared" si="458"/>
        <v>20436</v>
      </c>
      <c r="AB3060" s="1210"/>
      <c r="AC3060" s="1199"/>
      <c r="AD3060" s="1211"/>
      <c r="AE3060" s="1211"/>
    </row>
    <row r="3061" spans="1:31" x14ac:dyDescent="0.2">
      <c r="A3061" s="1422"/>
      <c r="B3061" s="2522"/>
      <c r="C3061" s="2450"/>
      <c r="D3061" s="2420"/>
      <c r="E3061" s="2420"/>
      <c r="F3061" s="2420"/>
      <c r="G3061" s="2420"/>
      <c r="H3061" s="2420"/>
      <c r="I3061" s="2420"/>
      <c r="J3061" s="2516"/>
      <c r="K3061" s="41">
        <v>1000</v>
      </c>
      <c r="L3061" s="115"/>
      <c r="M3061" s="3287" t="s">
        <v>358</v>
      </c>
      <c r="N3061" s="3288"/>
      <c r="O3061" s="41"/>
      <c r="P3061" s="41"/>
      <c r="Q3061" s="41">
        <f>$K3061</f>
        <v>1000</v>
      </c>
      <c r="R3061" s="41"/>
      <c r="S3061" s="41"/>
      <c r="T3061" s="41"/>
      <c r="U3061" s="41"/>
      <c r="V3061" s="41"/>
      <c r="W3061" s="41"/>
      <c r="X3061" s="41"/>
      <c r="Y3061" s="41"/>
      <c r="Z3061" s="41"/>
      <c r="AA3061" s="1223">
        <f t="shared" si="458"/>
        <v>1000</v>
      </c>
      <c r="AB3061" s="1210"/>
      <c r="AC3061" s="1199"/>
      <c r="AD3061" s="1211"/>
      <c r="AE3061" s="1211"/>
    </row>
    <row r="3062" spans="1:31" x14ac:dyDescent="0.2">
      <c r="A3062" s="1422"/>
      <c r="B3062" s="1427" t="s">
        <v>312</v>
      </c>
      <c r="C3062" s="1128"/>
      <c r="D3062" s="38"/>
      <c r="E3062" s="38"/>
      <c r="F3062" s="38"/>
      <c r="G3062" s="38"/>
      <c r="H3062" s="38"/>
      <c r="I3062" s="38"/>
      <c r="J3062" s="38"/>
      <c r="K3062" s="41">
        <f>SUM(K3050:K3061)</f>
        <v>132701</v>
      </c>
      <c r="L3062" s="38"/>
      <c r="M3062" s="38"/>
      <c r="N3062" s="38"/>
      <c r="O3062" s="38"/>
      <c r="P3062" s="38"/>
      <c r="Q3062" s="38"/>
      <c r="R3062" s="38"/>
      <c r="S3062" s="38"/>
      <c r="T3062" s="38"/>
      <c r="U3062" s="38"/>
      <c r="V3062" s="38"/>
      <c r="W3062" s="38"/>
      <c r="X3062" s="38"/>
      <c r="Y3062" s="38"/>
      <c r="Z3062" s="38"/>
      <c r="AA3062" s="98"/>
      <c r="AB3062" s="35"/>
      <c r="AC3062" s="183"/>
    </row>
    <row r="3063" spans="1:31" x14ac:dyDescent="0.2">
      <c r="A3063" s="1422"/>
      <c r="B3063" s="1433" t="s">
        <v>276</v>
      </c>
      <c r="C3063" s="1119"/>
      <c r="D3063" s="1119">
        <v>3000734</v>
      </c>
      <c r="E3063" s="192" t="s">
        <v>869</v>
      </c>
      <c r="F3063" s="35"/>
      <c r="G3063" s="35"/>
      <c r="H3063" s="35"/>
      <c r="I3063" s="35"/>
      <c r="J3063" s="35"/>
      <c r="K3063" s="60"/>
      <c r="L3063" s="60"/>
      <c r="M3063" s="60"/>
      <c r="N3063" s="60"/>
      <c r="O3063" s="60"/>
      <c r="P3063" s="60"/>
      <c r="Q3063" s="60"/>
      <c r="R3063" s="60"/>
      <c r="S3063" s="60"/>
      <c r="T3063" s="3377" t="s">
        <v>15</v>
      </c>
      <c r="U3063" s="3378"/>
      <c r="V3063" s="3378"/>
      <c r="W3063" s="3378"/>
      <c r="X3063" s="3378"/>
      <c r="Y3063" s="3379"/>
      <c r="Z3063" s="3377" t="s">
        <v>16</v>
      </c>
      <c r="AA3063" s="3379"/>
      <c r="AB3063" s="35"/>
      <c r="AC3063" s="183"/>
    </row>
    <row r="3064" spans="1:31" x14ac:dyDescent="0.2">
      <c r="A3064" s="1422"/>
      <c r="B3064" s="1433"/>
      <c r="C3064" s="1119"/>
      <c r="D3064" s="1119"/>
      <c r="E3064" s="192"/>
      <c r="F3064" s="35"/>
      <c r="G3064" s="35"/>
      <c r="H3064" s="35"/>
      <c r="I3064" s="35"/>
      <c r="J3064" s="35"/>
      <c r="K3064" s="60"/>
      <c r="L3064" s="60"/>
      <c r="M3064" s="60"/>
      <c r="N3064" s="60"/>
      <c r="O3064" s="60"/>
      <c r="P3064" s="60"/>
      <c r="Q3064" s="60"/>
      <c r="R3064" s="60"/>
      <c r="S3064" s="60"/>
      <c r="T3064" s="3395" t="s">
        <v>870</v>
      </c>
      <c r="U3064" s="3396"/>
      <c r="V3064" s="3396"/>
      <c r="W3064" s="3396"/>
      <c r="X3064" s="3396"/>
      <c r="Y3064" s="3397"/>
      <c r="Z3064" s="3395" t="s">
        <v>871</v>
      </c>
      <c r="AA3064" s="3397"/>
      <c r="AB3064" s="35"/>
      <c r="AC3064" s="183"/>
    </row>
    <row r="3065" spans="1:31" x14ac:dyDescent="0.2">
      <c r="A3065" s="1422"/>
      <c r="B3065" s="2999" t="s">
        <v>278</v>
      </c>
      <c r="C3065" s="3015" t="s">
        <v>21</v>
      </c>
      <c r="D3065" s="2847" t="s">
        <v>22</v>
      </c>
      <c r="E3065" s="2847" t="s">
        <v>23</v>
      </c>
      <c r="F3065" s="2847" t="s">
        <v>24</v>
      </c>
      <c r="G3065" s="2847" t="s">
        <v>25</v>
      </c>
      <c r="H3065" s="2847" t="s">
        <v>26</v>
      </c>
      <c r="I3065" s="2847" t="s">
        <v>27</v>
      </c>
      <c r="J3065" s="2847" t="s">
        <v>28</v>
      </c>
      <c r="K3065" s="2847"/>
      <c r="L3065" s="2988" t="s">
        <v>279</v>
      </c>
      <c r="M3065" s="3273" t="s">
        <v>280</v>
      </c>
      <c r="N3065" s="3274"/>
      <c r="O3065" s="3206" t="s">
        <v>281</v>
      </c>
      <c r="P3065" s="3301"/>
      <c r="Q3065" s="3301"/>
      <c r="R3065" s="3301"/>
      <c r="S3065" s="3301"/>
      <c r="T3065" s="3301"/>
      <c r="U3065" s="3301"/>
      <c r="V3065" s="3301"/>
      <c r="W3065" s="3301"/>
      <c r="X3065" s="3301"/>
      <c r="Y3065" s="3301"/>
      <c r="Z3065" s="3207"/>
      <c r="AA3065" s="2847" t="s">
        <v>32</v>
      </c>
      <c r="AB3065" s="35"/>
      <c r="AC3065" s="183"/>
    </row>
    <row r="3066" spans="1:31" x14ac:dyDescent="0.2">
      <c r="A3066" s="1422"/>
      <c r="B3066" s="2999"/>
      <c r="C3066" s="3359"/>
      <c r="D3066" s="2847"/>
      <c r="E3066" s="2847"/>
      <c r="F3066" s="2847"/>
      <c r="G3066" s="2847"/>
      <c r="H3066" s="2847"/>
      <c r="I3066" s="2847"/>
      <c r="J3066" s="2847" t="s">
        <v>33</v>
      </c>
      <c r="K3066" s="2847" t="s">
        <v>282</v>
      </c>
      <c r="L3066" s="3186"/>
      <c r="M3066" s="3275"/>
      <c r="N3066" s="3276"/>
      <c r="O3066" s="1009" t="s">
        <v>283</v>
      </c>
      <c r="P3066" s="1009" t="s">
        <v>284</v>
      </c>
      <c r="Q3066" s="1009" t="s">
        <v>285</v>
      </c>
      <c r="R3066" s="1009" t="s">
        <v>88</v>
      </c>
      <c r="S3066" s="1009" t="s">
        <v>89</v>
      </c>
      <c r="T3066" s="1009" t="s">
        <v>90</v>
      </c>
      <c r="U3066" s="1009" t="s">
        <v>91</v>
      </c>
      <c r="V3066" s="1009" t="s">
        <v>92</v>
      </c>
      <c r="W3066" s="1009" t="s">
        <v>286</v>
      </c>
      <c r="X3066" s="1009" t="s">
        <v>93</v>
      </c>
      <c r="Y3066" s="1009" t="s">
        <v>94</v>
      </c>
      <c r="Z3066" s="1009" t="s">
        <v>95</v>
      </c>
      <c r="AA3066" s="2847"/>
      <c r="AB3066" s="35"/>
      <c r="AC3066" s="183"/>
    </row>
    <row r="3067" spans="1:31" ht="12.75" x14ac:dyDescent="0.2">
      <c r="A3067" s="1422"/>
      <c r="B3067" s="2999"/>
      <c r="C3067" s="3359"/>
      <c r="D3067" s="2847"/>
      <c r="E3067" s="2847"/>
      <c r="F3067" s="2847"/>
      <c r="G3067" s="2847"/>
      <c r="H3067" s="2847"/>
      <c r="I3067" s="2847"/>
      <c r="J3067" s="2847"/>
      <c r="K3067" s="2847"/>
      <c r="L3067" s="3186"/>
      <c r="M3067" s="3271" t="s">
        <v>287</v>
      </c>
      <c r="N3067" s="3272"/>
      <c r="O3067" s="1961"/>
      <c r="P3067" s="1961"/>
      <c r="Q3067" s="1961">
        <v>10</v>
      </c>
      <c r="R3067" s="1961">
        <v>10</v>
      </c>
      <c r="S3067" s="1961">
        <v>10</v>
      </c>
      <c r="T3067" s="1961">
        <v>10</v>
      </c>
      <c r="U3067" s="1961">
        <v>10</v>
      </c>
      <c r="V3067" s="1961">
        <v>10</v>
      </c>
      <c r="W3067" s="1961">
        <v>10</v>
      </c>
      <c r="X3067" s="1961">
        <v>10</v>
      </c>
      <c r="Y3067" s="1961">
        <v>10</v>
      </c>
      <c r="Z3067" s="1961">
        <v>10</v>
      </c>
      <c r="AA3067" s="1222">
        <f t="shared" ref="AA3067:AA3078" si="463">SUM(O3067:Z3067)</f>
        <v>100</v>
      </c>
      <c r="AB3067" s="1210"/>
      <c r="AC3067" s="1199"/>
      <c r="AD3067" s="1211"/>
      <c r="AE3067" s="1211"/>
    </row>
    <row r="3068" spans="1:31" ht="12.75" x14ac:dyDescent="0.2">
      <c r="A3068" s="1422"/>
      <c r="B3068" s="2999"/>
      <c r="C3068" s="3016"/>
      <c r="D3068" s="2847"/>
      <c r="E3068" s="2847"/>
      <c r="F3068" s="2847"/>
      <c r="G3068" s="2847"/>
      <c r="H3068" s="2847"/>
      <c r="I3068" s="2847"/>
      <c r="J3068" s="2847"/>
      <c r="K3068" s="2847"/>
      <c r="L3068" s="2989"/>
      <c r="M3068" s="3271" t="s">
        <v>34</v>
      </c>
      <c r="N3068" s="3272"/>
      <c r="O3068" s="118">
        <f>SUM(O3069:O3078)</f>
        <v>5260</v>
      </c>
      <c r="P3068" s="118">
        <f t="shared" ref="P3068:Z3068" si="464">SUM(P3069:P3078)</f>
        <v>2238.181818181818</v>
      </c>
      <c r="Q3068" s="118">
        <f t="shared" si="464"/>
        <v>25696.848484848484</v>
      </c>
      <c r="R3068" s="118">
        <f t="shared" si="464"/>
        <v>1904.848484848485</v>
      </c>
      <c r="S3068" s="118">
        <f t="shared" si="464"/>
        <v>1238.1818181818182</v>
      </c>
      <c r="T3068" s="118">
        <f t="shared" si="464"/>
        <v>1238.1818181818182</v>
      </c>
      <c r="U3068" s="118">
        <f t="shared" si="464"/>
        <v>12581.51515151515</v>
      </c>
      <c r="V3068" s="118">
        <f t="shared" si="464"/>
        <v>20280.181818181816</v>
      </c>
      <c r="W3068" s="118">
        <f t="shared" si="464"/>
        <v>1238.1818181818182</v>
      </c>
      <c r="X3068" s="118">
        <f t="shared" si="464"/>
        <v>1904.848484848485</v>
      </c>
      <c r="Y3068" s="118">
        <f t="shared" si="464"/>
        <v>4904.848484848485</v>
      </c>
      <c r="Z3068" s="118">
        <f t="shared" si="464"/>
        <v>1238.1818181818182</v>
      </c>
      <c r="AA3068" s="876">
        <f t="shared" si="463"/>
        <v>79724</v>
      </c>
      <c r="AB3068" s="1210"/>
      <c r="AC3068" s="1199"/>
      <c r="AD3068" s="1211"/>
      <c r="AE3068" s="1211"/>
    </row>
    <row r="3069" spans="1:31" ht="12.75" x14ac:dyDescent="0.2">
      <c r="A3069" s="1422"/>
      <c r="B3069" s="2438">
        <v>5005560</v>
      </c>
      <c r="C3069" s="3190" t="s">
        <v>872</v>
      </c>
      <c r="D3069" s="2431">
        <v>104</v>
      </c>
      <c r="E3069" s="2431" t="s">
        <v>860</v>
      </c>
      <c r="F3069" s="2514" t="s">
        <v>861</v>
      </c>
      <c r="G3069" s="2514" t="s">
        <v>873</v>
      </c>
      <c r="H3069" s="2427" t="s">
        <v>874</v>
      </c>
      <c r="I3069" s="2514" t="s">
        <v>875</v>
      </c>
      <c r="J3069" s="2514">
        <v>100</v>
      </c>
      <c r="K3069" s="130">
        <v>10520</v>
      </c>
      <c r="L3069" s="115"/>
      <c r="M3069" s="3287" t="s">
        <v>380</v>
      </c>
      <c r="N3069" s="3288"/>
      <c r="O3069" s="127">
        <f>$K3069/2</f>
        <v>5260</v>
      </c>
      <c r="P3069" s="118"/>
      <c r="Q3069" s="118"/>
      <c r="R3069" s="118"/>
      <c r="S3069" s="118"/>
      <c r="T3069" s="118"/>
      <c r="U3069" s="127">
        <f>$K3069/2</f>
        <v>5260</v>
      </c>
      <c r="V3069" s="118"/>
      <c r="W3069" s="118"/>
      <c r="X3069" s="118"/>
      <c r="Y3069" s="118"/>
      <c r="Z3069" s="118"/>
      <c r="AA3069" s="1223">
        <f t="shared" si="463"/>
        <v>10520</v>
      </c>
      <c r="AB3069" s="1210"/>
      <c r="AC3069" s="1199"/>
      <c r="AD3069" s="1211"/>
      <c r="AE3069" s="1211"/>
    </row>
    <row r="3070" spans="1:31" ht="12.75" x14ac:dyDescent="0.2">
      <c r="A3070" s="1422"/>
      <c r="B3070" s="2456"/>
      <c r="C3070" s="3191"/>
      <c r="D3070" s="2432"/>
      <c r="E3070" s="2432"/>
      <c r="F3070" s="2515"/>
      <c r="G3070" s="2515"/>
      <c r="H3070" s="2430"/>
      <c r="I3070" s="2515"/>
      <c r="J3070" s="2515"/>
      <c r="K3070" s="130">
        <v>3500</v>
      </c>
      <c r="L3070" s="115"/>
      <c r="M3070" s="3287" t="s">
        <v>340</v>
      </c>
      <c r="N3070" s="3288"/>
      <c r="O3070" s="118"/>
      <c r="P3070" s="118"/>
      <c r="Q3070" s="118">
        <f>$K3070/2</f>
        <v>1750</v>
      </c>
      <c r="R3070" s="118"/>
      <c r="S3070" s="118"/>
      <c r="T3070" s="118"/>
      <c r="U3070" s="118">
        <f>$K3070/2</f>
        <v>1750</v>
      </c>
      <c r="V3070" s="118"/>
      <c r="W3070" s="118"/>
      <c r="X3070" s="118"/>
      <c r="Y3070" s="118"/>
      <c r="Z3070" s="118"/>
      <c r="AA3070" s="1223">
        <f t="shared" si="463"/>
        <v>3500</v>
      </c>
      <c r="AB3070" s="1210"/>
      <c r="AC3070" s="1199"/>
      <c r="AD3070" s="1211"/>
      <c r="AE3070" s="1211"/>
    </row>
    <row r="3071" spans="1:31" ht="12.75" x14ac:dyDescent="0.2">
      <c r="A3071" s="1422"/>
      <c r="B3071" s="2456"/>
      <c r="C3071" s="3191"/>
      <c r="D3071" s="2432"/>
      <c r="E3071" s="2432"/>
      <c r="F3071" s="2515"/>
      <c r="G3071" s="2515"/>
      <c r="H3071" s="2430"/>
      <c r="I3071" s="2515"/>
      <c r="J3071" s="2515"/>
      <c r="K3071" s="130">
        <v>5940</v>
      </c>
      <c r="L3071" s="115"/>
      <c r="M3071" s="3287" t="s">
        <v>303</v>
      </c>
      <c r="N3071" s="3288"/>
      <c r="O3071" s="118"/>
      <c r="P3071" s="118"/>
      <c r="Q3071" s="127">
        <f>$K3071/2</f>
        <v>2970</v>
      </c>
      <c r="R3071" s="118"/>
      <c r="S3071" s="118"/>
      <c r="T3071" s="127"/>
      <c r="U3071" s="118"/>
      <c r="V3071" s="127">
        <f>$K3071/2</f>
        <v>2970</v>
      </c>
      <c r="W3071" s="118"/>
      <c r="X3071" s="118"/>
      <c r="Y3071" s="118"/>
      <c r="Z3071" s="118"/>
      <c r="AA3071" s="1223">
        <f t="shared" si="463"/>
        <v>5940</v>
      </c>
      <c r="AB3071" s="1210"/>
      <c r="AC3071" s="1199"/>
      <c r="AD3071" s="1211"/>
      <c r="AE3071" s="1211"/>
    </row>
    <row r="3072" spans="1:31" ht="12.75" x14ac:dyDescent="0.2">
      <c r="A3072" s="1422"/>
      <c r="B3072" s="2456"/>
      <c r="C3072" s="3191"/>
      <c r="D3072" s="2432"/>
      <c r="E3072" s="2432"/>
      <c r="F3072" s="2515"/>
      <c r="G3072" s="2515"/>
      <c r="H3072" s="2430"/>
      <c r="I3072" s="2515"/>
      <c r="J3072" s="2515"/>
      <c r="K3072" s="130">
        <v>11000</v>
      </c>
      <c r="L3072" s="115"/>
      <c r="M3072" s="3287" t="s">
        <v>381</v>
      </c>
      <c r="N3072" s="3288"/>
      <c r="O3072" s="118"/>
      <c r="P3072" s="118"/>
      <c r="Q3072" s="118">
        <f>$K3072/3</f>
        <v>3666.6666666666665</v>
      </c>
      <c r="R3072" s="118"/>
      <c r="S3072" s="118"/>
      <c r="T3072" s="118"/>
      <c r="U3072" s="118">
        <f>$K3072/3</f>
        <v>3666.6666666666665</v>
      </c>
      <c r="V3072" s="118"/>
      <c r="W3072" s="118"/>
      <c r="X3072" s="118"/>
      <c r="Y3072" s="118">
        <f>$K3072/3</f>
        <v>3666.6666666666665</v>
      </c>
      <c r="Z3072" s="118"/>
      <c r="AA3072" s="1223">
        <f t="shared" si="463"/>
        <v>11000</v>
      </c>
      <c r="AB3072" s="1210"/>
      <c r="AC3072" s="1199"/>
      <c r="AD3072" s="1211"/>
      <c r="AE3072" s="1211"/>
    </row>
    <row r="3073" spans="1:31" ht="12.75" x14ac:dyDescent="0.2">
      <c r="A3073" s="1422"/>
      <c r="B3073" s="2456"/>
      <c r="C3073" s="3191"/>
      <c r="D3073" s="2432"/>
      <c r="E3073" s="2432"/>
      <c r="F3073" s="2515"/>
      <c r="G3073" s="2515"/>
      <c r="H3073" s="2430"/>
      <c r="I3073" s="2515"/>
      <c r="J3073" s="2515"/>
      <c r="K3073" s="130">
        <v>12144</v>
      </c>
      <c r="L3073" s="115"/>
      <c r="M3073" s="3287" t="s">
        <v>304</v>
      </c>
      <c r="N3073" s="3288"/>
      <c r="O3073" s="118"/>
      <c r="P3073" s="118"/>
      <c r="Q3073" s="127">
        <f>$K3073/2</f>
        <v>6072</v>
      </c>
      <c r="R3073" s="118"/>
      <c r="S3073" s="118"/>
      <c r="T3073" s="118"/>
      <c r="U3073" s="127"/>
      <c r="V3073" s="127">
        <f>$K3073/2</f>
        <v>6072</v>
      </c>
      <c r="W3073" s="118"/>
      <c r="X3073" s="118"/>
      <c r="Y3073" s="118"/>
      <c r="Z3073" s="118"/>
      <c r="AA3073" s="1223">
        <f t="shared" si="463"/>
        <v>12144</v>
      </c>
      <c r="AB3073" s="1210"/>
      <c r="AC3073" s="1199"/>
      <c r="AD3073" s="1211"/>
      <c r="AE3073" s="1211"/>
    </row>
    <row r="3074" spans="1:31" ht="12.75" x14ac:dyDescent="0.2">
      <c r="A3074" s="1422"/>
      <c r="B3074" s="2456"/>
      <c r="C3074" s="3191"/>
      <c r="D3074" s="2432"/>
      <c r="E3074" s="2432"/>
      <c r="F3074" s="2515"/>
      <c r="G3074" s="2515"/>
      <c r="H3074" s="2430"/>
      <c r="I3074" s="2515"/>
      <c r="J3074" s="2515"/>
      <c r="K3074" s="130">
        <v>1000</v>
      </c>
      <c r="L3074" s="115"/>
      <c r="M3074" s="3401" t="s">
        <v>306</v>
      </c>
      <c r="N3074" s="3402"/>
      <c r="O3074" s="118"/>
      <c r="P3074" s="118">
        <f>$K3074</f>
        <v>1000</v>
      </c>
      <c r="Q3074" s="118"/>
      <c r="R3074" s="118"/>
      <c r="S3074" s="118"/>
      <c r="T3074" s="118"/>
      <c r="U3074" s="118"/>
      <c r="V3074" s="118"/>
      <c r="W3074" s="118"/>
      <c r="X3074" s="118"/>
      <c r="Y3074" s="118"/>
      <c r="Z3074" s="118"/>
      <c r="AA3074" s="1223">
        <f t="shared" si="463"/>
        <v>1000</v>
      </c>
      <c r="AB3074" s="1210"/>
      <c r="AC3074" s="1199"/>
      <c r="AD3074" s="1211"/>
      <c r="AE3074" s="1211"/>
    </row>
    <row r="3075" spans="1:31" ht="12.75" x14ac:dyDescent="0.2">
      <c r="A3075" s="1422"/>
      <c r="B3075" s="2456"/>
      <c r="C3075" s="3191"/>
      <c r="D3075" s="2432"/>
      <c r="E3075" s="2432"/>
      <c r="F3075" s="2515"/>
      <c r="G3075" s="2515"/>
      <c r="H3075" s="2430"/>
      <c r="I3075" s="2515"/>
      <c r="J3075" s="2515"/>
      <c r="K3075" s="130">
        <v>13620</v>
      </c>
      <c r="L3075" s="115"/>
      <c r="M3075" s="3287" t="s">
        <v>307</v>
      </c>
      <c r="N3075" s="3288"/>
      <c r="O3075" s="118"/>
      <c r="P3075" s="118">
        <f>$K3075/11</f>
        <v>1238.1818181818182</v>
      </c>
      <c r="Q3075" s="118">
        <f t="shared" ref="Q3075:Z3075" si="465">$K3075/11</f>
        <v>1238.1818181818182</v>
      </c>
      <c r="R3075" s="118">
        <f t="shared" si="465"/>
        <v>1238.1818181818182</v>
      </c>
      <c r="S3075" s="118">
        <f t="shared" si="465"/>
        <v>1238.1818181818182</v>
      </c>
      <c r="T3075" s="118">
        <f t="shared" si="465"/>
        <v>1238.1818181818182</v>
      </c>
      <c r="U3075" s="118">
        <f t="shared" si="465"/>
        <v>1238.1818181818182</v>
      </c>
      <c r="V3075" s="118">
        <f t="shared" si="465"/>
        <v>1238.1818181818182</v>
      </c>
      <c r="W3075" s="118">
        <f t="shared" si="465"/>
        <v>1238.1818181818182</v>
      </c>
      <c r="X3075" s="118">
        <f t="shared" si="465"/>
        <v>1238.1818181818182</v>
      </c>
      <c r="Y3075" s="118">
        <f t="shared" si="465"/>
        <v>1238.1818181818182</v>
      </c>
      <c r="Z3075" s="118">
        <f t="shared" si="465"/>
        <v>1238.1818181818182</v>
      </c>
      <c r="AA3075" s="1223">
        <f t="shared" si="463"/>
        <v>13620</v>
      </c>
      <c r="AB3075" s="1210"/>
      <c r="AC3075" s="1199"/>
      <c r="AD3075" s="1211"/>
      <c r="AE3075" s="1211"/>
    </row>
    <row r="3076" spans="1:31" ht="12.75" x14ac:dyDescent="0.2">
      <c r="A3076" s="1422"/>
      <c r="B3076" s="2456"/>
      <c r="C3076" s="3191"/>
      <c r="D3076" s="2432"/>
      <c r="E3076" s="2432"/>
      <c r="F3076" s="2515"/>
      <c r="G3076" s="2515"/>
      <c r="H3076" s="2430"/>
      <c r="I3076" s="2515"/>
      <c r="J3076" s="2515"/>
      <c r="K3076" s="130">
        <v>15000</v>
      </c>
      <c r="L3076" s="115"/>
      <c r="M3076" s="3287" t="s">
        <v>355</v>
      </c>
      <c r="N3076" s="3288"/>
      <c r="O3076" s="118"/>
      <c r="P3076" s="118"/>
      <c r="Q3076" s="118">
        <f>$K3076/2</f>
        <v>7500</v>
      </c>
      <c r="R3076" s="118"/>
      <c r="S3076" s="118"/>
      <c r="T3076" s="118"/>
      <c r="U3076" s="118"/>
      <c r="V3076" s="118">
        <f>$K3076/2</f>
        <v>7500</v>
      </c>
      <c r="W3076" s="118"/>
      <c r="X3076" s="118"/>
      <c r="Y3076" s="118"/>
      <c r="Z3076" s="118"/>
      <c r="AA3076" s="1223">
        <f t="shared" si="463"/>
        <v>15000</v>
      </c>
      <c r="AB3076" s="1210"/>
      <c r="AC3076" s="1199"/>
      <c r="AD3076" s="1211"/>
      <c r="AE3076" s="1211"/>
    </row>
    <row r="3077" spans="1:31" ht="12.75" x14ac:dyDescent="0.2">
      <c r="A3077" s="1422"/>
      <c r="B3077" s="2456"/>
      <c r="C3077" s="3191"/>
      <c r="D3077" s="2432"/>
      <c r="E3077" s="2432"/>
      <c r="F3077" s="2515"/>
      <c r="G3077" s="2515"/>
      <c r="H3077" s="2430"/>
      <c r="I3077" s="2515"/>
      <c r="J3077" s="2515"/>
      <c r="K3077" s="130">
        <v>5000</v>
      </c>
      <c r="L3077" s="115"/>
      <c r="M3077" s="3287" t="s">
        <v>308</v>
      </c>
      <c r="N3077" s="3288"/>
      <c r="O3077" s="118"/>
      <c r="P3077" s="118"/>
      <c r="Q3077" s="127">
        <f>$K3077/2</f>
        <v>2500</v>
      </c>
      <c r="R3077" s="118"/>
      <c r="S3077" s="118"/>
      <c r="T3077" s="118"/>
      <c r="U3077" s="118"/>
      <c r="V3077" s="127">
        <f>$K3077/2</f>
        <v>2500</v>
      </c>
      <c r="W3077" s="118"/>
      <c r="X3077" s="118"/>
      <c r="Y3077" s="118"/>
      <c r="Z3077" s="118"/>
      <c r="AA3077" s="1223">
        <f t="shared" si="463"/>
        <v>5000</v>
      </c>
      <c r="AB3077" s="1210"/>
      <c r="AC3077" s="1199"/>
      <c r="AD3077" s="1211"/>
      <c r="AE3077" s="1211"/>
    </row>
    <row r="3078" spans="1:31" ht="12.75" x14ac:dyDescent="0.2">
      <c r="A3078" s="1422"/>
      <c r="B3078" s="2450"/>
      <c r="C3078" s="2439"/>
      <c r="D3078" s="2437"/>
      <c r="E3078" s="2437"/>
      <c r="F3078" s="2516"/>
      <c r="G3078" s="2516"/>
      <c r="H3078" s="2430"/>
      <c r="I3078" s="2516"/>
      <c r="J3078" s="2516"/>
      <c r="K3078" s="130">
        <v>2000</v>
      </c>
      <c r="L3078" s="115"/>
      <c r="M3078" s="3287" t="s">
        <v>358</v>
      </c>
      <c r="N3078" s="3288"/>
      <c r="O3078" s="118"/>
      <c r="P3078" s="118"/>
      <c r="Q3078" s="118"/>
      <c r="R3078" s="118">
        <f>$K3078/3</f>
        <v>666.66666666666663</v>
      </c>
      <c r="S3078" s="118"/>
      <c r="T3078" s="118"/>
      <c r="U3078" s="118">
        <f>$K3078/3</f>
        <v>666.66666666666663</v>
      </c>
      <c r="V3078" s="118"/>
      <c r="W3078" s="118"/>
      <c r="X3078" s="118">
        <f>$K3078/3</f>
        <v>666.66666666666663</v>
      </c>
      <c r="Y3078" s="118"/>
      <c r="Z3078" s="118"/>
      <c r="AA3078" s="1223">
        <f t="shared" si="463"/>
        <v>2000</v>
      </c>
      <c r="AB3078" s="1210"/>
      <c r="AC3078" s="1199"/>
      <c r="AD3078" s="1211"/>
      <c r="AE3078" s="1211"/>
    </row>
    <row r="3079" spans="1:31" ht="12.75" x14ac:dyDescent="0.2">
      <c r="A3079" s="1422"/>
      <c r="B3079" s="1427" t="s">
        <v>312</v>
      </c>
      <c r="C3079" s="1128"/>
      <c r="D3079" s="1073"/>
      <c r="E3079" s="1073"/>
      <c r="F3079" s="1088"/>
      <c r="G3079" s="1088"/>
      <c r="H3079" s="1030"/>
      <c r="I3079" s="1088"/>
      <c r="J3079" s="38"/>
      <c r="K3079" s="130">
        <f>SUM(K3069:K3078)</f>
        <v>79724</v>
      </c>
      <c r="L3079" s="38"/>
      <c r="M3079" s="38"/>
      <c r="N3079" s="38"/>
      <c r="O3079" s="118"/>
      <c r="P3079" s="118"/>
      <c r="Q3079" s="118"/>
      <c r="R3079" s="118"/>
      <c r="S3079" s="118"/>
      <c r="T3079" s="118"/>
      <c r="U3079" s="118"/>
      <c r="V3079" s="118"/>
      <c r="W3079" s="118"/>
      <c r="X3079" s="118"/>
      <c r="Y3079" s="118"/>
      <c r="Z3079" s="118"/>
      <c r="AA3079" s="1224"/>
      <c r="AB3079" s="1210"/>
      <c r="AC3079" s="1199"/>
      <c r="AD3079" s="1211"/>
      <c r="AE3079" s="1211"/>
    </row>
    <row r="3080" spans="1:31" x14ac:dyDescent="0.2">
      <c r="A3080" s="1422"/>
      <c r="B3080" s="1427"/>
      <c r="C3080" s="1128"/>
      <c r="D3080" s="38"/>
      <c r="E3080" s="38"/>
      <c r="F3080" s="38"/>
      <c r="G3080" s="38"/>
      <c r="H3080" s="38"/>
      <c r="I3080" s="38"/>
      <c r="J3080" s="38"/>
      <c r="K3080" s="38"/>
      <c r="L3080" s="38"/>
      <c r="M3080" s="38"/>
      <c r="N3080" s="38"/>
      <c r="O3080" s="118"/>
      <c r="P3080" s="118"/>
      <c r="Q3080" s="118"/>
      <c r="R3080" s="118"/>
      <c r="S3080" s="118"/>
      <c r="T3080" s="118"/>
      <c r="U3080" s="118"/>
      <c r="V3080" s="118"/>
      <c r="W3080" s="118"/>
      <c r="X3080" s="118"/>
      <c r="Y3080" s="118"/>
      <c r="Z3080" s="118"/>
      <c r="AA3080" s="1224"/>
      <c r="AB3080" s="1210"/>
      <c r="AC3080" s="1199"/>
      <c r="AD3080" s="1211"/>
      <c r="AE3080" s="1211"/>
    </row>
    <row r="3081" spans="1:31" x14ac:dyDescent="0.2">
      <c r="A3081" s="1422"/>
      <c r="B3081" s="2999" t="s">
        <v>278</v>
      </c>
      <c r="C3081" s="3015" t="s">
        <v>21</v>
      </c>
      <c r="D3081" s="2847" t="s">
        <v>22</v>
      </c>
      <c r="E3081" s="2847" t="s">
        <v>23</v>
      </c>
      <c r="F3081" s="2847" t="s">
        <v>24</v>
      </c>
      <c r="G3081" s="2847" t="s">
        <v>25</v>
      </c>
      <c r="H3081" s="2847" t="s">
        <v>26</v>
      </c>
      <c r="I3081" s="2847" t="s">
        <v>27</v>
      </c>
      <c r="J3081" s="2847" t="s">
        <v>28</v>
      </c>
      <c r="K3081" s="2847"/>
      <c r="L3081" s="2988" t="s">
        <v>279</v>
      </c>
      <c r="M3081" s="3273" t="s">
        <v>280</v>
      </c>
      <c r="N3081" s="3274"/>
      <c r="O3081" s="3398" t="s">
        <v>281</v>
      </c>
      <c r="P3081" s="3399"/>
      <c r="Q3081" s="3399"/>
      <c r="R3081" s="3399"/>
      <c r="S3081" s="3399"/>
      <c r="T3081" s="3399"/>
      <c r="U3081" s="3399"/>
      <c r="V3081" s="3399"/>
      <c r="W3081" s="3399"/>
      <c r="X3081" s="3399"/>
      <c r="Y3081" s="3399"/>
      <c r="Z3081" s="3400"/>
      <c r="AA3081" s="3358" t="s">
        <v>32</v>
      </c>
      <c r="AB3081" s="1210"/>
      <c r="AC3081" s="1199"/>
      <c r="AD3081" s="1211"/>
      <c r="AE3081" s="1211"/>
    </row>
    <row r="3082" spans="1:31" x14ac:dyDescent="0.2">
      <c r="A3082" s="1422"/>
      <c r="B3082" s="2999"/>
      <c r="C3082" s="3359"/>
      <c r="D3082" s="2847"/>
      <c r="E3082" s="2847"/>
      <c r="F3082" s="2847"/>
      <c r="G3082" s="2847"/>
      <c r="H3082" s="2847"/>
      <c r="I3082" s="2847"/>
      <c r="J3082" s="2847" t="s">
        <v>33</v>
      </c>
      <c r="K3082" s="2847" t="s">
        <v>282</v>
      </c>
      <c r="L3082" s="3186"/>
      <c r="M3082" s="3275"/>
      <c r="N3082" s="3276"/>
      <c r="O3082" s="1371" t="s">
        <v>283</v>
      </c>
      <c r="P3082" s="1371" t="s">
        <v>284</v>
      </c>
      <c r="Q3082" s="1371" t="s">
        <v>285</v>
      </c>
      <c r="R3082" s="1371" t="s">
        <v>88</v>
      </c>
      <c r="S3082" s="1371" t="s">
        <v>89</v>
      </c>
      <c r="T3082" s="1371" t="s">
        <v>90</v>
      </c>
      <c r="U3082" s="1371" t="s">
        <v>91</v>
      </c>
      <c r="V3082" s="1371" t="s">
        <v>92</v>
      </c>
      <c r="W3082" s="1371" t="s">
        <v>286</v>
      </c>
      <c r="X3082" s="1371" t="s">
        <v>93</v>
      </c>
      <c r="Y3082" s="1371" t="s">
        <v>94</v>
      </c>
      <c r="Z3082" s="1371" t="s">
        <v>95</v>
      </c>
      <c r="AA3082" s="3358"/>
      <c r="AB3082" s="1210"/>
      <c r="AC3082" s="1199"/>
      <c r="AD3082" s="1211"/>
      <c r="AE3082" s="1211"/>
    </row>
    <row r="3083" spans="1:31" ht="12.75" x14ac:dyDescent="0.2">
      <c r="A3083" s="1422"/>
      <c r="B3083" s="2999"/>
      <c r="C3083" s="3359"/>
      <c r="D3083" s="2847"/>
      <c r="E3083" s="2847"/>
      <c r="F3083" s="2847"/>
      <c r="G3083" s="2847"/>
      <c r="H3083" s="2847"/>
      <c r="I3083" s="2847"/>
      <c r="J3083" s="2847"/>
      <c r="K3083" s="2847"/>
      <c r="L3083" s="3186"/>
      <c r="M3083" s="3271" t="s">
        <v>287</v>
      </c>
      <c r="N3083" s="3272"/>
      <c r="O3083" s="1961"/>
      <c r="P3083" s="1961">
        <v>2</v>
      </c>
      <c r="Q3083" s="1961">
        <v>4</v>
      </c>
      <c r="R3083" s="1961">
        <v>4</v>
      </c>
      <c r="S3083" s="1961">
        <v>4</v>
      </c>
      <c r="T3083" s="1961">
        <v>4</v>
      </c>
      <c r="U3083" s="1961">
        <v>4</v>
      </c>
      <c r="V3083" s="1961">
        <v>4</v>
      </c>
      <c r="W3083" s="1961">
        <v>4</v>
      </c>
      <c r="X3083" s="1961">
        <v>4</v>
      </c>
      <c r="Y3083" s="1961">
        <v>4</v>
      </c>
      <c r="Z3083" s="1961">
        <v>4</v>
      </c>
      <c r="AA3083" s="1222">
        <f t="shared" ref="AA3083:AA3101" si="466">SUM(O3083:Z3083)</f>
        <v>42</v>
      </c>
      <c r="AB3083" s="1210"/>
      <c r="AC3083" s="1199"/>
      <c r="AD3083" s="1211"/>
      <c r="AE3083" s="1211"/>
    </row>
    <row r="3084" spans="1:31" ht="12.75" x14ac:dyDescent="0.2">
      <c r="A3084" s="1422"/>
      <c r="B3084" s="2999"/>
      <c r="C3084" s="3016"/>
      <c r="D3084" s="2847"/>
      <c r="E3084" s="2847"/>
      <c r="F3084" s="2847"/>
      <c r="G3084" s="2847"/>
      <c r="H3084" s="2847"/>
      <c r="I3084" s="2847"/>
      <c r="J3084" s="2847"/>
      <c r="K3084" s="2847"/>
      <c r="L3084" s="2989"/>
      <c r="M3084" s="3271" t="s">
        <v>34</v>
      </c>
      <c r="N3084" s="3272"/>
      <c r="O3084" s="118">
        <f>SUM(O3085:O3101)</f>
        <v>8927.5</v>
      </c>
      <c r="P3084" s="118">
        <f t="shared" ref="P3084:Z3084" si="467">SUM(P3085:P3101)</f>
        <v>10654.545454545454</v>
      </c>
      <c r="Q3084" s="118">
        <f t="shared" si="467"/>
        <v>49863.878787878792</v>
      </c>
      <c r="R3084" s="118">
        <f t="shared" si="467"/>
        <v>23679.545454545456</v>
      </c>
      <c r="S3084" s="118">
        <f t="shared" si="467"/>
        <v>10654.545454545454</v>
      </c>
      <c r="T3084" s="118">
        <f t="shared" si="467"/>
        <v>44315.378787878792</v>
      </c>
      <c r="U3084" s="118">
        <f t="shared" si="467"/>
        <v>9579.545454545454</v>
      </c>
      <c r="V3084" s="118">
        <f t="shared" si="467"/>
        <v>34555.545454545456</v>
      </c>
      <c r="W3084" s="118">
        <f t="shared" si="467"/>
        <v>34912.878787878784</v>
      </c>
      <c r="X3084" s="118">
        <f t="shared" si="467"/>
        <v>13679.545454545454</v>
      </c>
      <c r="Y3084" s="118">
        <f t="shared" si="467"/>
        <v>10654.545454545454</v>
      </c>
      <c r="Z3084" s="118">
        <f t="shared" si="467"/>
        <v>13679.545454545454</v>
      </c>
      <c r="AA3084" s="876">
        <f t="shared" si="466"/>
        <v>265157</v>
      </c>
      <c r="AB3084" s="1210"/>
      <c r="AC3084" s="1199"/>
      <c r="AD3084" s="1211"/>
      <c r="AE3084" s="1211"/>
    </row>
    <row r="3085" spans="1:31" x14ac:dyDescent="0.2">
      <c r="A3085" s="1422"/>
      <c r="B3085" s="2438">
        <v>5005561</v>
      </c>
      <c r="C3085" s="3190" t="s">
        <v>876</v>
      </c>
      <c r="D3085" s="2431">
        <v>101</v>
      </c>
      <c r="E3085" s="2431" t="s">
        <v>860</v>
      </c>
      <c r="F3085" s="2514" t="s">
        <v>861</v>
      </c>
      <c r="G3085" s="2514" t="s">
        <v>873</v>
      </c>
      <c r="H3085" s="2514" t="s">
        <v>877</v>
      </c>
      <c r="I3085" s="2514" t="s">
        <v>878</v>
      </c>
      <c r="J3085" s="2514">
        <v>42</v>
      </c>
      <c r="K3085" s="129">
        <v>7605</v>
      </c>
      <c r="L3085" s="115"/>
      <c r="M3085" s="3287" t="s">
        <v>380</v>
      </c>
      <c r="N3085" s="3288"/>
      <c r="O3085" s="127">
        <f>$K3085/2</f>
        <v>3802.5</v>
      </c>
      <c r="P3085" s="118"/>
      <c r="Q3085" s="118"/>
      <c r="R3085" s="118"/>
      <c r="S3085" s="118"/>
      <c r="T3085" s="127">
        <f>$K3085/2</f>
        <v>3802.5</v>
      </c>
      <c r="U3085" s="118"/>
      <c r="V3085" s="118"/>
      <c r="W3085" s="118"/>
      <c r="X3085" s="118"/>
      <c r="Y3085" s="118"/>
      <c r="Z3085" s="118"/>
      <c r="AA3085" s="1223">
        <f t="shared" si="466"/>
        <v>7605</v>
      </c>
      <c r="AB3085" s="1210"/>
      <c r="AC3085" s="1199"/>
      <c r="AD3085" s="1211"/>
      <c r="AE3085" s="1211"/>
    </row>
    <row r="3086" spans="1:31" x14ac:dyDescent="0.2">
      <c r="A3086" s="1422"/>
      <c r="B3086" s="2456"/>
      <c r="C3086" s="3191"/>
      <c r="D3086" s="2432"/>
      <c r="E3086" s="2432"/>
      <c r="F3086" s="2515"/>
      <c r="G3086" s="2515"/>
      <c r="H3086" s="2515"/>
      <c r="I3086" s="2515"/>
      <c r="J3086" s="2515"/>
      <c r="K3086" s="129">
        <v>61500</v>
      </c>
      <c r="L3086" s="115"/>
      <c r="M3086" s="3287" t="s">
        <v>340</v>
      </c>
      <c r="N3086" s="3288"/>
      <c r="O3086" s="118">
        <f>$K3086/12</f>
        <v>5125</v>
      </c>
      <c r="P3086" s="118">
        <f t="shared" ref="P3086:Z3086" si="468">$K3086/12</f>
        <v>5125</v>
      </c>
      <c r="Q3086" s="118">
        <f t="shared" si="468"/>
        <v>5125</v>
      </c>
      <c r="R3086" s="118">
        <f t="shared" si="468"/>
        <v>5125</v>
      </c>
      <c r="S3086" s="118">
        <f t="shared" si="468"/>
        <v>5125</v>
      </c>
      <c r="T3086" s="118">
        <f t="shared" si="468"/>
        <v>5125</v>
      </c>
      <c r="U3086" s="118">
        <f t="shared" si="468"/>
        <v>5125</v>
      </c>
      <c r="V3086" s="118">
        <f t="shared" si="468"/>
        <v>5125</v>
      </c>
      <c r="W3086" s="118">
        <f t="shared" si="468"/>
        <v>5125</v>
      </c>
      <c r="X3086" s="118">
        <f t="shared" si="468"/>
        <v>5125</v>
      </c>
      <c r="Y3086" s="118">
        <f t="shared" si="468"/>
        <v>5125</v>
      </c>
      <c r="Z3086" s="118">
        <f t="shared" si="468"/>
        <v>5125</v>
      </c>
      <c r="AA3086" s="1223">
        <f t="shared" si="466"/>
        <v>61500</v>
      </c>
      <c r="AB3086" s="1210"/>
      <c r="AC3086" s="1199"/>
      <c r="AD3086" s="1211"/>
      <c r="AE3086" s="1211"/>
    </row>
    <row r="3087" spans="1:31" x14ac:dyDescent="0.2">
      <c r="A3087" s="1422"/>
      <c r="B3087" s="2456"/>
      <c r="C3087" s="3191"/>
      <c r="D3087" s="2432"/>
      <c r="E3087" s="2432"/>
      <c r="F3087" s="2515"/>
      <c r="G3087" s="2515"/>
      <c r="H3087" s="2515"/>
      <c r="I3087" s="2515"/>
      <c r="J3087" s="2515"/>
      <c r="K3087" s="129">
        <v>30500</v>
      </c>
      <c r="L3087" s="115"/>
      <c r="M3087" s="3287" t="s">
        <v>879</v>
      </c>
      <c r="N3087" s="3288"/>
      <c r="O3087" s="118"/>
      <c r="P3087" s="118"/>
      <c r="Q3087" s="118">
        <f>$K3087/3</f>
        <v>10166.666666666666</v>
      </c>
      <c r="R3087" s="118"/>
      <c r="S3087" s="118"/>
      <c r="T3087" s="118">
        <f>$K3087/3</f>
        <v>10166.666666666666</v>
      </c>
      <c r="U3087" s="118"/>
      <c r="V3087" s="118"/>
      <c r="W3087" s="118">
        <f>$K3087/3</f>
        <v>10166.666666666666</v>
      </c>
      <c r="X3087" s="118"/>
      <c r="Y3087" s="118"/>
      <c r="Z3087" s="118"/>
      <c r="AA3087" s="1223">
        <f t="shared" si="466"/>
        <v>30500</v>
      </c>
      <c r="AB3087" s="1210"/>
      <c r="AC3087" s="1199"/>
      <c r="AD3087" s="1211"/>
      <c r="AE3087" s="1211"/>
    </row>
    <row r="3088" spans="1:31" x14ac:dyDescent="0.2">
      <c r="A3088" s="1422"/>
      <c r="B3088" s="2456"/>
      <c r="C3088" s="3191"/>
      <c r="D3088" s="2432"/>
      <c r="E3088" s="2432"/>
      <c r="F3088" s="2515"/>
      <c r="G3088" s="2515"/>
      <c r="H3088" s="2515"/>
      <c r="I3088" s="2515"/>
      <c r="J3088" s="2515"/>
      <c r="K3088" s="129">
        <v>3500</v>
      </c>
      <c r="L3088" s="115"/>
      <c r="M3088" s="3287" t="s">
        <v>323</v>
      </c>
      <c r="N3088" s="3288"/>
      <c r="O3088" s="118"/>
      <c r="P3088" s="118"/>
      <c r="Q3088" s="118">
        <f t="shared" ref="Q3088" si="469">$K3088</f>
        <v>3500</v>
      </c>
      <c r="R3088" s="118"/>
      <c r="S3088" s="118"/>
      <c r="T3088" s="118"/>
      <c r="U3088" s="118"/>
      <c r="V3088" s="118"/>
      <c r="W3088" s="118"/>
      <c r="X3088" s="118"/>
      <c r="Y3088" s="118"/>
      <c r="Z3088" s="118"/>
      <c r="AA3088" s="1223">
        <f t="shared" si="466"/>
        <v>3500</v>
      </c>
      <c r="AB3088" s="1210"/>
      <c r="AC3088" s="1199"/>
      <c r="AD3088" s="1211"/>
      <c r="AE3088" s="1211"/>
    </row>
    <row r="3089" spans="1:31" x14ac:dyDescent="0.2">
      <c r="A3089" s="1422"/>
      <c r="B3089" s="2456"/>
      <c r="C3089" s="3191"/>
      <c r="D3089" s="2432"/>
      <c r="E3089" s="2432"/>
      <c r="F3089" s="2515"/>
      <c r="G3089" s="2515"/>
      <c r="H3089" s="2515"/>
      <c r="I3089" s="2515"/>
      <c r="J3089" s="2515"/>
      <c r="K3089" s="129">
        <v>5802</v>
      </c>
      <c r="L3089" s="115"/>
      <c r="M3089" s="3287" t="s">
        <v>303</v>
      </c>
      <c r="N3089" s="3288"/>
      <c r="O3089" s="118"/>
      <c r="P3089" s="118"/>
      <c r="Q3089" s="127">
        <f>$K3089/2</f>
        <v>2901</v>
      </c>
      <c r="R3089" s="118"/>
      <c r="S3089" s="118"/>
      <c r="T3089" s="127"/>
      <c r="U3089" s="118"/>
      <c r="V3089" s="127">
        <f>$K3089/2</f>
        <v>2901</v>
      </c>
      <c r="W3089" s="118"/>
      <c r="X3089" s="118"/>
      <c r="Y3089" s="118"/>
      <c r="Z3089" s="118"/>
      <c r="AA3089" s="1223">
        <f t="shared" si="466"/>
        <v>5802</v>
      </c>
      <c r="AB3089" s="1210"/>
      <c r="AC3089" s="1199"/>
      <c r="AD3089" s="1211"/>
      <c r="AE3089" s="1211"/>
    </row>
    <row r="3090" spans="1:31" x14ac:dyDescent="0.2">
      <c r="A3090" s="1422"/>
      <c r="B3090" s="2456"/>
      <c r="C3090" s="3191"/>
      <c r="D3090" s="2432"/>
      <c r="E3090" s="2432"/>
      <c r="F3090" s="2515"/>
      <c r="G3090" s="2515"/>
      <c r="H3090" s="2515"/>
      <c r="I3090" s="2515"/>
      <c r="J3090" s="2515"/>
      <c r="K3090" s="129">
        <v>40000</v>
      </c>
      <c r="L3090" s="115"/>
      <c r="M3090" s="3287" t="s">
        <v>342</v>
      </c>
      <c r="N3090" s="3288"/>
      <c r="O3090" s="118"/>
      <c r="P3090" s="118"/>
      <c r="Q3090" s="118">
        <f>$K3090/3</f>
        <v>13333.333333333334</v>
      </c>
      <c r="R3090" s="118"/>
      <c r="S3090" s="118"/>
      <c r="T3090" s="118">
        <f>$K3090/3</f>
        <v>13333.333333333334</v>
      </c>
      <c r="U3090" s="118"/>
      <c r="V3090" s="118"/>
      <c r="W3090" s="118">
        <f>$K3090/3</f>
        <v>13333.333333333334</v>
      </c>
      <c r="X3090" s="118"/>
      <c r="Y3090" s="118"/>
      <c r="Z3090" s="118"/>
      <c r="AA3090" s="1223">
        <f t="shared" si="466"/>
        <v>40000</v>
      </c>
      <c r="AB3090" s="1210"/>
      <c r="AC3090" s="1199"/>
      <c r="AD3090" s="1211"/>
      <c r="AE3090" s="1211"/>
    </row>
    <row r="3091" spans="1:31" x14ac:dyDescent="0.2">
      <c r="A3091" s="1422"/>
      <c r="B3091" s="2456"/>
      <c r="C3091" s="3191"/>
      <c r="D3091" s="2432"/>
      <c r="E3091" s="2432"/>
      <c r="F3091" s="2515"/>
      <c r="G3091" s="2515"/>
      <c r="H3091" s="2515"/>
      <c r="I3091" s="2515"/>
      <c r="J3091" s="2515"/>
      <c r="K3091" s="129">
        <v>11500</v>
      </c>
      <c r="L3091" s="115"/>
      <c r="M3091" s="3287" t="s">
        <v>348</v>
      </c>
      <c r="N3091" s="3288"/>
      <c r="O3091" s="118"/>
      <c r="P3091" s="118"/>
      <c r="Q3091" s="118">
        <f>$K3091/2</f>
        <v>5750</v>
      </c>
      <c r="R3091" s="118"/>
      <c r="S3091" s="118"/>
      <c r="T3091" s="118"/>
      <c r="U3091" s="118"/>
      <c r="V3091" s="118">
        <f>$K3091/2</f>
        <v>5750</v>
      </c>
      <c r="W3091" s="118"/>
      <c r="X3091" s="118"/>
      <c r="Y3091" s="118"/>
      <c r="Z3091" s="118"/>
      <c r="AA3091" s="1223">
        <f t="shared" si="466"/>
        <v>11500</v>
      </c>
      <c r="AB3091" s="1210"/>
      <c r="AC3091" s="1199"/>
      <c r="AD3091" s="1211"/>
      <c r="AE3091" s="1211"/>
    </row>
    <row r="3092" spans="1:31" x14ac:dyDescent="0.2">
      <c r="A3092" s="1422"/>
      <c r="B3092" s="2456"/>
      <c r="C3092" s="3191"/>
      <c r="D3092" s="2432"/>
      <c r="E3092" s="2432"/>
      <c r="F3092" s="2515"/>
      <c r="G3092" s="2515"/>
      <c r="H3092" s="2515"/>
      <c r="I3092" s="2515"/>
      <c r="J3092" s="2515"/>
      <c r="K3092" s="129">
        <v>16500</v>
      </c>
      <c r="L3092" s="115"/>
      <c r="M3092" s="3287" t="s">
        <v>393</v>
      </c>
      <c r="N3092" s="3288"/>
      <c r="O3092" s="118"/>
      <c r="P3092" s="118"/>
      <c r="Q3092" s="118"/>
      <c r="R3092" s="127">
        <f>$K3092/2</f>
        <v>8250</v>
      </c>
      <c r="S3092" s="118"/>
      <c r="T3092" s="118"/>
      <c r="U3092" s="118"/>
      <c r="V3092" s="127">
        <f>$K3092/2</f>
        <v>8250</v>
      </c>
      <c r="W3092" s="118"/>
      <c r="X3092" s="118"/>
      <c r="Y3092" s="118"/>
      <c r="Z3092" s="118"/>
      <c r="AA3092" s="1223">
        <f t="shared" si="466"/>
        <v>16500</v>
      </c>
      <c r="AB3092" s="1210"/>
      <c r="AC3092" s="1199"/>
      <c r="AD3092" s="1211"/>
      <c r="AE3092" s="1211"/>
    </row>
    <row r="3093" spans="1:31" x14ac:dyDescent="0.2">
      <c r="A3093" s="1422"/>
      <c r="B3093" s="2456"/>
      <c r="C3093" s="3191"/>
      <c r="D3093" s="2432"/>
      <c r="E3093" s="2432"/>
      <c r="F3093" s="2515"/>
      <c r="G3093" s="2515"/>
      <c r="H3093" s="2515"/>
      <c r="I3093" s="2515"/>
      <c r="J3093" s="2515"/>
      <c r="K3093" s="129">
        <v>1000</v>
      </c>
      <c r="L3093" s="115"/>
      <c r="M3093" s="3287" t="s">
        <v>304</v>
      </c>
      <c r="N3093" s="3288"/>
      <c r="O3093" s="118"/>
      <c r="P3093" s="118"/>
      <c r="Q3093" s="127">
        <f>$K3093</f>
        <v>1000</v>
      </c>
      <c r="R3093" s="118"/>
      <c r="S3093" s="118"/>
      <c r="T3093" s="118"/>
      <c r="U3093" s="118"/>
      <c r="V3093" s="118"/>
      <c r="W3093" s="118"/>
      <c r="X3093" s="118"/>
      <c r="Y3093" s="118"/>
      <c r="Z3093" s="118"/>
      <c r="AA3093" s="1223">
        <f t="shared" si="466"/>
        <v>1000</v>
      </c>
      <c r="AB3093" s="1210"/>
      <c r="AC3093" s="1199"/>
      <c r="AD3093" s="1211"/>
      <c r="AE3093" s="1211"/>
    </row>
    <row r="3094" spans="1:31" x14ac:dyDescent="0.2">
      <c r="A3094" s="1422"/>
      <c r="B3094" s="2456"/>
      <c r="C3094" s="3191"/>
      <c r="D3094" s="2432"/>
      <c r="E3094" s="2432"/>
      <c r="F3094" s="2515"/>
      <c r="G3094" s="2515"/>
      <c r="H3094" s="2515"/>
      <c r="I3094" s="2515"/>
      <c r="J3094" s="2515"/>
      <c r="K3094" s="129">
        <v>10000</v>
      </c>
      <c r="L3094" s="115"/>
      <c r="M3094" s="3287" t="s">
        <v>830</v>
      </c>
      <c r="N3094" s="3288"/>
      <c r="O3094" s="118"/>
      <c r="P3094" s="118"/>
      <c r="Q3094" s="118">
        <f>$K3094/3</f>
        <v>3333.3333333333335</v>
      </c>
      <c r="R3094" s="118"/>
      <c r="S3094" s="118"/>
      <c r="T3094" s="118">
        <f>$K3094/3</f>
        <v>3333.3333333333335</v>
      </c>
      <c r="U3094" s="118"/>
      <c r="V3094" s="118"/>
      <c r="W3094" s="118">
        <f>$K3094/3</f>
        <v>3333.3333333333335</v>
      </c>
      <c r="X3094" s="118"/>
      <c r="Y3094" s="118"/>
      <c r="Z3094" s="118"/>
      <c r="AA3094" s="1223">
        <f t="shared" si="466"/>
        <v>10000</v>
      </c>
      <c r="AB3094" s="1210"/>
      <c r="AC3094" s="1199"/>
      <c r="AD3094" s="1211"/>
      <c r="AE3094" s="1211"/>
    </row>
    <row r="3095" spans="1:31" x14ac:dyDescent="0.2">
      <c r="A3095" s="1422"/>
      <c r="B3095" s="2456"/>
      <c r="C3095" s="3191"/>
      <c r="D3095" s="2432"/>
      <c r="E3095" s="2432"/>
      <c r="F3095" s="2515"/>
      <c r="G3095" s="2515"/>
      <c r="H3095" s="2515"/>
      <c r="I3095" s="2515"/>
      <c r="J3095" s="2515"/>
      <c r="K3095" s="129">
        <v>10300</v>
      </c>
      <c r="L3095" s="115"/>
      <c r="M3095" s="3287" t="s">
        <v>305</v>
      </c>
      <c r="N3095" s="3288"/>
      <c r="O3095" s="118"/>
      <c r="P3095" s="118">
        <f>$K3095/4</f>
        <v>2575</v>
      </c>
      <c r="Q3095" s="118"/>
      <c r="R3095" s="118"/>
      <c r="S3095" s="118">
        <f>$K3095/4</f>
        <v>2575</v>
      </c>
      <c r="T3095" s="118"/>
      <c r="U3095" s="118"/>
      <c r="V3095" s="118">
        <f>$K3095/4</f>
        <v>2575</v>
      </c>
      <c r="W3095" s="118"/>
      <c r="X3095" s="118"/>
      <c r="Y3095" s="118">
        <f>$K3095/4</f>
        <v>2575</v>
      </c>
      <c r="Z3095" s="118"/>
      <c r="AA3095" s="1223">
        <f t="shared" si="466"/>
        <v>10300</v>
      </c>
      <c r="AB3095" s="1210"/>
      <c r="AC3095" s="1199"/>
      <c r="AD3095" s="1211"/>
      <c r="AE3095" s="1211"/>
    </row>
    <row r="3096" spans="1:31" x14ac:dyDescent="0.2">
      <c r="A3096" s="1422"/>
      <c r="B3096" s="2456"/>
      <c r="C3096" s="3191"/>
      <c r="D3096" s="2432"/>
      <c r="E3096" s="2432"/>
      <c r="F3096" s="2515"/>
      <c r="G3096" s="2515"/>
      <c r="H3096" s="2515"/>
      <c r="I3096" s="2515"/>
      <c r="J3096" s="2515"/>
      <c r="K3096" s="129">
        <v>32500</v>
      </c>
      <c r="L3096" s="115"/>
      <c r="M3096" s="3287" t="s">
        <v>306</v>
      </c>
      <c r="N3096" s="3288"/>
      <c r="O3096" s="118"/>
      <c r="P3096" s="118">
        <f>$K3096/11</f>
        <v>2954.5454545454545</v>
      </c>
      <c r="Q3096" s="118">
        <f t="shared" ref="Q3096:Z3096" si="470">$K3096/11</f>
        <v>2954.5454545454545</v>
      </c>
      <c r="R3096" s="118">
        <f t="shared" si="470"/>
        <v>2954.5454545454545</v>
      </c>
      <c r="S3096" s="118">
        <f t="shared" si="470"/>
        <v>2954.5454545454545</v>
      </c>
      <c r="T3096" s="118">
        <f t="shared" si="470"/>
        <v>2954.5454545454545</v>
      </c>
      <c r="U3096" s="118">
        <f t="shared" si="470"/>
        <v>2954.5454545454545</v>
      </c>
      <c r="V3096" s="118">
        <f t="shared" si="470"/>
        <v>2954.5454545454545</v>
      </c>
      <c r="W3096" s="118">
        <f t="shared" si="470"/>
        <v>2954.5454545454545</v>
      </c>
      <c r="X3096" s="118">
        <f t="shared" si="470"/>
        <v>2954.5454545454545</v>
      </c>
      <c r="Y3096" s="118">
        <f t="shared" si="470"/>
        <v>2954.5454545454545</v>
      </c>
      <c r="Z3096" s="118">
        <f t="shared" si="470"/>
        <v>2954.5454545454545</v>
      </c>
      <c r="AA3096" s="1223">
        <f t="shared" si="466"/>
        <v>32500.000000000007</v>
      </c>
      <c r="AB3096" s="1210"/>
      <c r="AC3096" s="1199"/>
      <c r="AD3096" s="1211"/>
      <c r="AE3096" s="1211"/>
    </row>
    <row r="3097" spans="1:31" x14ac:dyDescent="0.2">
      <c r="A3097" s="1422"/>
      <c r="B3097" s="2456"/>
      <c r="C3097" s="3191"/>
      <c r="D3097" s="2432"/>
      <c r="E3097" s="2432"/>
      <c r="F3097" s="2515"/>
      <c r="G3097" s="2515"/>
      <c r="H3097" s="2515"/>
      <c r="I3097" s="2515"/>
      <c r="J3097" s="2515"/>
      <c r="K3097" s="129">
        <v>300</v>
      </c>
      <c r="L3097" s="115"/>
      <c r="M3097" s="3287" t="s">
        <v>308</v>
      </c>
      <c r="N3097" s="3288"/>
      <c r="O3097" s="118"/>
      <c r="P3097" s="118"/>
      <c r="Q3097" s="127">
        <f>$K3097</f>
        <v>300</v>
      </c>
      <c r="R3097" s="118"/>
      <c r="S3097" s="118"/>
      <c r="T3097" s="118"/>
      <c r="U3097" s="118"/>
      <c r="V3097" s="118"/>
      <c r="W3097" s="118"/>
      <c r="X3097" s="118"/>
      <c r="Y3097" s="118"/>
      <c r="Z3097" s="118"/>
      <c r="AA3097" s="1223">
        <f t="shared" si="466"/>
        <v>300</v>
      </c>
      <c r="AB3097" s="1210"/>
      <c r="AC3097" s="1199"/>
      <c r="AD3097" s="1211"/>
      <c r="AE3097" s="1211"/>
    </row>
    <row r="3098" spans="1:31" x14ac:dyDescent="0.2">
      <c r="A3098" s="1422"/>
      <c r="B3098" s="2456"/>
      <c r="C3098" s="3191"/>
      <c r="D3098" s="2432"/>
      <c r="E3098" s="2432"/>
      <c r="F3098" s="2515"/>
      <c r="G3098" s="2515"/>
      <c r="H3098" s="2515"/>
      <c r="I3098" s="2515"/>
      <c r="J3098" s="2515"/>
      <c r="K3098" s="129">
        <v>28000</v>
      </c>
      <c r="L3098" s="115"/>
      <c r="M3098" s="3287" t="s">
        <v>309</v>
      </c>
      <c r="N3098" s="3288"/>
      <c r="O3098" s="118"/>
      <c r="P3098" s="118"/>
      <c r="Q3098" s="118"/>
      <c r="R3098" s="127">
        <f>$K3098/5</f>
        <v>5600</v>
      </c>
      <c r="S3098" s="127"/>
      <c r="T3098" s="127">
        <f>$K3098/5</f>
        <v>5600</v>
      </c>
      <c r="U3098" s="118"/>
      <c r="V3098" s="127">
        <f>$K3098/5</f>
        <v>5600</v>
      </c>
      <c r="W3098" s="118"/>
      <c r="X3098" s="127">
        <f>$K3098/5</f>
        <v>5600</v>
      </c>
      <c r="Y3098" s="118"/>
      <c r="Z3098" s="127">
        <f>$K3098/5</f>
        <v>5600</v>
      </c>
      <c r="AA3098" s="1223">
        <f t="shared" si="466"/>
        <v>28000</v>
      </c>
      <c r="AB3098" s="1210"/>
      <c r="AC3098" s="1199"/>
      <c r="AD3098" s="1211"/>
      <c r="AE3098" s="1211"/>
    </row>
    <row r="3099" spans="1:31" x14ac:dyDescent="0.2">
      <c r="A3099" s="1422"/>
      <c r="B3099" s="2456"/>
      <c r="C3099" s="3191"/>
      <c r="D3099" s="2432"/>
      <c r="E3099" s="2432"/>
      <c r="F3099" s="2515"/>
      <c r="G3099" s="2515"/>
      <c r="H3099" s="2515"/>
      <c r="I3099" s="2515"/>
      <c r="J3099" s="2515"/>
      <c r="K3099" s="129">
        <v>350</v>
      </c>
      <c r="L3099" s="115"/>
      <c r="M3099" s="3287" t="s">
        <v>358</v>
      </c>
      <c r="N3099" s="3288"/>
      <c r="O3099" s="118"/>
      <c r="P3099" s="118"/>
      <c r="Q3099" s="118"/>
      <c r="R3099" s="118">
        <f>$K3099</f>
        <v>350</v>
      </c>
      <c r="S3099" s="118"/>
      <c r="T3099" s="118"/>
      <c r="U3099" s="118"/>
      <c r="V3099" s="118"/>
      <c r="W3099" s="118"/>
      <c r="X3099" s="118"/>
      <c r="Y3099" s="118"/>
      <c r="Z3099" s="118"/>
      <c r="AA3099" s="1223">
        <f t="shared" si="466"/>
        <v>350</v>
      </c>
      <c r="AB3099" s="1210"/>
      <c r="AC3099" s="1199"/>
      <c r="AD3099" s="1211"/>
      <c r="AE3099" s="1211"/>
    </row>
    <row r="3100" spans="1:31" x14ac:dyDescent="0.2">
      <c r="A3100" s="1422"/>
      <c r="B3100" s="2456"/>
      <c r="C3100" s="3191"/>
      <c r="D3100" s="2432"/>
      <c r="E3100" s="2432"/>
      <c r="F3100" s="2515"/>
      <c r="G3100" s="2515"/>
      <c r="H3100" s="2515"/>
      <c r="I3100" s="2515"/>
      <c r="J3100" s="2515"/>
      <c r="K3100" s="129">
        <v>2800</v>
      </c>
      <c r="L3100" s="115"/>
      <c r="M3100" s="3287" t="s">
        <v>429</v>
      </c>
      <c r="N3100" s="3288"/>
      <c r="O3100" s="118"/>
      <c r="P3100" s="118"/>
      <c r="Q3100" s="118"/>
      <c r="R3100" s="118">
        <f>$K3100/2</f>
        <v>1400</v>
      </c>
      <c r="S3100" s="118"/>
      <c r="T3100" s="118"/>
      <c r="U3100" s="118"/>
      <c r="V3100" s="118">
        <f>$K3100/2</f>
        <v>1400</v>
      </c>
      <c r="W3100" s="118"/>
      <c r="X3100" s="118"/>
      <c r="Y3100" s="118"/>
      <c r="Z3100" s="118"/>
      <c r="AA3100" s="1223">
        <f t="shared" si="466"/>
        <v>2800</v>
      </c>
      <c r="AB3100" s="1210"/>
      <c r="AC3100" s="1199"/>
      <c r="AD3100" s="1211"/>
      <c r="AE3100" s="1211"/>
    </row>
    <row r="3101" spans="1:31" x14ac:dyDescent="0.2">
      <c r="A3101" s="1422"/>
      <c r="B3101" s="2450"/>
      <c r="C3101" s="2439"/>
      <c r="D3101" s="2437"/>
      <c r="E3101" s="2437"/>
      <c r="F3101" s="2516"/>
      <c r="G3101" s="2516"/>
      <c r="H3101" s="2516"/>
      <c r="I3101" s="2516"/>
      <c r="J3101" s="2516"/>
      <c r="K3101" s="129">
        <v>3000</v>
      </c>
      <c r="L3101" s="115"/>
      <c r="M3101" s="3287" t="s">
        <v>325</v>
      </c>
      <c r="N3101" s="3288"/>
      <c r="O3101" s="118"/>
      <c r="P3101" s="118"/>
      <c r="Q3101" s="118">
        <f>$K3101/2</f>
        <v>1500</v>
      </c>
      <c r="R3101" s="118"/>
      <c r="S3101" s="118"/>
      <c r="T3101" s="118"/>
      <c r="U3101" s="118">
        <f>$K3101/2</f>
        <v>1500</v>
      </c>
      <c r="V3101" s="118"/>
      <c r="W3101" s="118"/>
      <c r="X3101" s="118"/>
      <c r="Y3101" s="118"/>
      <c r="Z3101" s="118"/>
      <c r="AA3101" s="1223">
        <f t="shared" si="466"/>
        <v>3000</v>
      </c>
      <c r="AB3101" s="1210"/>
      <c r="AC3101" s="1199"/>
      <c r="AD3101" s="1211"/>
      <c r="AE3101" s="1211"/>
    </row>
    <row r="3102" spans="1:31" x14ac:dyDescent="0.2">
      <c r="A3102" s="1422"/>
      <c r="B3102" s="1018" t="s">
        <v>312</v>
      </c>
      <c r="C3102" s="1096"/>
      <c r="D3102" s="1073"/>
      <c r="E3102" s="1073"/>
      <c r="F3102" s="1088"/>
      <c r="G3102" s="1088"/>
      <c r="H3102" s="1088"/>
      <c r="I3102" s="1088"/>
      <c r="J3102" s="38"/>
      <c r="K3102" s="129">
        <f>SUM(K3085:K3101)</f>
        <v>265157</v>
      </c>
      <c r="L3102" s="38"/>
      <c r="M3102" s="38"/>
      <c r="N3102" s="38"/>
      <c r="O3102" s="118"/>
      <c r="P3102" s="118"/>
      <c r="Q3102" s="118"/>
      <c r="R3102" s="118"/>
      <c r="S3102" s="118"/>
      <c r="T3102" s="118"/>
      <c r="U3102" s="118"/>
      <c r="V3102" s="118"/>
      <c r="W3102" s="118"/>
      <c r="X3102" s="118"/>
      <c r="Y3102" s="118"/>
      <c r="Z3102" s="118"/>
      <c r="AA3102" s="1224"/>
      <c r="AB3102" s="1210"/>
      <c r="AC3102" s="1199"/>
      <c r="AD3102" s="1211"/>
      <c r="AE3102" s="1211"/>
    </row>
    <row r="3103" spans="1:31" x14ac:dyDescent="0.2">
      <c r="A3103" s="1422"/>
      <c r="B3103" s="1427"/>
      <c r="C3103" s="1128"/>
      <c r="D3103" s="38"/>
      <c r="E3103" s="38"/>
      <c r="F3103" s="38"/>
      <c r="G3103" s="38"/>
      <c r="H3103" s="38"/>
      <c r="I3103" s="38"/>
      <c r="J3103" s="38"/>
      <c r="K3103" s="38"/>
      <c r="L3103" s="38"/>
      <c r="M3103" s="38"/>
      <c r="N3103" s="38"/>
      <c r="O3103" s="118"/>
      <c r="P3103" s="118"/>
      <c r="Q3103" s="118"/>
      <c r="R3103" s="118"/>
      <c r="S3103" s="118"/>
      <c r="T3103" s="118"/>
      <c r="U3103" s="118"/>
      <c r="V3103" s="118"/>
      <c r="W3103" s="118"/>
      <c r="X3103" s="118"/>
      <c r="Y3103" s="118"/>
      <c r="Z3103" s="118"/>
      <c r="AA3103" s="1224"/>
      <c r="AB3103" s="1210"/>
      <c r="AC3103" s="1199"/>
      <c r="AD3103" s="1211"/>
      <c r="AE3103" s="1211"/>
    </row>
    <row r="3104" spans="1:31" x14ac:dyDescent="0.2">
      <c r="A3104" s="1422"/>
      <c r="B3104" s="2999" t="s">
        <v>278</v>
      </c>
      <c r="C3104" s="3015" t="s">
        <v>21</v>
      </c>
      <c r="D3104" s="2847" t="s">
        <v>22</v>
      </c>
      <c r="E3104" s="2847" t="s">
        <v>23</v>
      </c>
      <c r="F3104" s="2847" t="s">
        <v>24</v>
      </c>
      <c r="G3104" s="2847" t="s">
        <v>25</v>
      </c>
      <c r="H3104" s="2847" t="s">
        <v>26</v>
      </c>
      <c r="I3104" s="2847" t="s">
        <v>27</v>
      </c>
      <c r="J3104" s="2847" t="s">
        <v>28</v>
      </c>
      <c r="K3104" s="2847"/>
      <c r="L3104" s="2988" t="s">
        <v>279</v>
      </c>
      <c r="M3104" s="3273" t="s">
        <v>280</v>
      </c>
      <c r="N3104" s="3274"/>
      <c r="O3104" s="3398" t="s">
        <v>281</v>
      </c>
      <c r="P3104" s="3399"/>
      <c r="Q3104" s="3399"/>
      <c r="R3104" s="3399"/>
      <c r="S3104" s="3399"/>
      <c r="T3104" s="3399"/>
      <c r="U3104" s="3399"/>
      <c r="V3104" s="3399"/>
      <c r="W3104" s="3399"/>
      <c r="X3104" s="3399"/>
      <c r="Y3104" s="3399"/>
      <c r="Z3104" s="3400"/>
      <c r="AA3104" s="3358" t="s">
        <v>32</v>
      </c>
      <c r="AB3104" s="1210"/>
      <c r="AC3104" s="1199"/>
      <c r="AD3104" s="1211"/>
      <c r="AE3104" s="1211"/>
    </row>
    <row r="3105" spans="1:31" x14ac:dyDescent="0.2">
      <c r="A3105" s="1422"/>
      <c r="B3105" s="2999"/>
      <c r="C3105" s="3359"/>
      <c r="D3105" s="2847"/>
      <c r="E3105" s="2847"/>
      <c r="F3105" s="2847"/>
      <c r="G3105" s="2847"/>
      <c r="H3105" s="2847"/>
      <c r="I3105" s="2847"/>
      <c r="J3105" s="2847" t="s">
        <v>33</v>
      </c>
      <c r="K3105" s="2847" t="s">
        <v>282</v>
      </c>
      <c r="L3105" s="3186"/>
      <c r="M3105" s="3275"/>
      <c r="N3105" s="3276"/>
      <c r="O3105" s="1371" t="s">
        <v>283</v>
      </c>
      <c r="P3105" s="1371" t="s">
        <v>284</v>
      </c>
      <c r="Q3105" s="1371" t="s">
        <v>285</v>
      </c>
      <c r="R3105" s="1371" t="s">
        <v>88</v>
      </c>
      <c r="S3105" s="1371" t="s">
        <v>89</v>
      </c>
      <c r="T3105" s="1371" t="s">
        <v>90</v>
      </c>
      <c r="U3105" s="1371" t="s">
        <v>91</v>
      </c>
      <c r="V3105" s="1371" t="s">
        <v>92</v>
      </c>
      <c r="W3105" s="1371" t="s">
        <v>286</v>
      </c>
      <c r="X3105" s="1371" t="s">
        <v>93</v>
      </c>
      <c r="Y3105" s="1371" t="s">
        <v>94</v>
      </c>
      <c r="Z3105" s="1371" t="s">
        <v>95</v>
      </c>
      <c r="AA3105" s="3358"/>
      <c r="AB3105" s="1210"/>
      <c r="AC3105" s="1199"/>
      <c r="AD3105" s="1211"/>
      <c r="AE3105" s="1211"/>
    </row>
    <row r="3106" spans="1:31" ht="12.75" x14ac:dyDescent="0.2">
      <c r="A3106" s="1422"/>
      <c r="B3106" s="2999"/>
      <c r="C3106" s="3359"/>
      <c r="D3106" s="2847"/>
      <c r="E3106" s="2847"/>
      <c r="F3106" s="2847"/>
      <c r="G3106" s="2847"/>
      <c r="H3106" s="2847"/>
      <c r="I3106" s="2847"/>
      <c r="J3106" s="2847"/>
      <c r="K3106" s="2847"/>
      <c r="L3106" s="3186"/>
      <c r="M3106" s="3271" t="s">
        <v>287</v>
      </c>
      <c r="N3106" s="3272"/>
      <c r="O3106" s="127"/>
      <c r="P3106" s="127"/>
      <c r="Q3106" s="127">
        <v>1</v>
      </c>
      <c r="R3106" s="127">
        <v>2</v>
      </c>
      <c r="S3106" s="127">
        <v>2</v>
      </c>
      <c r="T3106" s="127">
        <v>2</v>
      </c>
      <c r="U3106" s="127">
        <v>2</v>
      </c>
      <c r="V3106" s="127">
        <v>1</v>
      </c>
      <c r="W3106" s="127"/>
      <c r="X3106" s="127"/>
      <c r="Y3106" s="127"/>
      <c r="Z3106" s="127"/>
      <c r="AA3106" s="1205">
        <f>SUM(O3106:Z3106)</f>
        <v>10</v>
      </c>
      <c r="AB3106" s="1210"/>
      <c r="AC3106" s="1199"/>
      <c r="AD3106" s="1211"/>
      <c r="AE3106" s="1211"/>
    </row>
    <row r="3107" spans="1:31" ht="12.75" x14ac:dyDescent="0.2">
      <c r="A3107" s="1422"/>
      <c r="B3107" s="2999"/>
      <c r="C3107" s="3016"/>
      <c r="D3107" s="2847"/>
      <c r="E3107" s="2847"/>
      <c r="F3107" s="2847"/>
      <c r="G3107" s="2847"/>
      <c r="H3107" s="2847"/>
      <c r="I3107" s="2847"/>
      <c r="J3107" s="2847"/>
      <c r="K3107" s="2847"/>
      <c r="L3107" s="2989"/>
      <c r="M3107" s="3271" t="s">
        <v>34</v>
      </c>
      <c r="N3107" s="3272"/>
      <c r="O3107" s="127">
        <f>SUM(O3108:O3122)</f>
        <v>6779.166666666667</v>
      </c>
      <c r="P3107" s="127">
        <f t="shared" ref="P3107:Z3107" si="471">SUM(P3108:P3122)</f>
        <v>7279.166666666667</v>
      </c>
      <c r="Q3107" s="127">
        <f t="shared" si="471"/>
        <v>17323.979166666668</v>
      </c>
      <c r="R3107" s="127">
        <f>SUM(R3108:R3122)</f>
        <v>55818.416666666672</v>
      </c>
      <c r="S3107" s="127">
        <f t="shared" si="471"/>
        <v>21113.979166666664</v>
      </c>
      <c r="T3107" s="127">
        <f t="shared" si="471"/>
        <v>12913.979166666668</v>
      </c>
      <c r="U3107" s="127">
        <f t="shared" si="471"/>
        <v>17413.979166666668</v>
      </c>
      <c r="V3107" s="127">
        <f t="shared" si="471"/>
        <v>48318.416666666672</v>
      </c>
      <c r="W3107" s="127">
        <f t="shared" si="471"/>
        <v>12913.979166666668</v>
      </c>
      <c r="X3107" s="127">
        <f t="shared" si="471"/>
        <v>12913.979166666668</v>
      </c>
      <c r="Y3107" s="127">
        <f t="shared" si="471"/>
        <v>17413.979166666668</v>
      </c>
      <c r="Z3107" s="127">
        <f t="shared" si="471"/>
        <v>12913.979166666668</v>
      </c>
      <c r="AA3107" s="1205">
        <f t="shared" ref="AA3107:AA3122" si="472">SUM(O3107:Z3107)</f>
        <v>243117</v>
      </c>
      <c r="AB3107" s="1210"/>
      <c r="AC3107" s="1199"/>
      <c r="AD3107" s="1211"/>
      <c r="AE3107" s="1211"/>
    </row>
    <row r="3108" spans="1:31" x14ac:dyDescent="0.2">
      <c r="A3108" s="1422"/>
      <c r="B3108" s="2522">
        <v>5005610</v>
      </c>
      <c r="C3108" s="3190" t="s">
        <v>880</v>
      </c>
      <c r="D3108" s="2421">
        <v>100</v>
      </c>
      <c r="E3108" s="2421" t="s">
        <v>860</v>
      </c>
      <c r="F3108" s="2420" t="s">
        <v>861</v>
      </c>
      <c r="G3108" s="2420" t="s">
        <v>873</v>
      </c>
      <c r="H3108" s="2420" t="s">
        <v>881</v>
      </c>
      <c r="I3108" s="2420" t="s">
        <v>882</v>
      </c>
      <c r="J3108" s="2420">
        <v>10</v>
      </c>
      <c r="K3108" s="40">
        <v>1000</v>
      </c>
      <c r="L3108" s="115"/>
      <c r="M3108" s="3287" t="s">
        <v>340</v>
      </c>
      <c r="N3108" s="3288"/>
      <c r="O3108" s="127"/>
      <c r="P3108" s="127"/>
      <c r="Q3108" s="127">
        <f>$K3108</f>
        <v>1000</v>
      </c>
      <c r="R3108" s="127"/>
      <c r="S3108" s="127"/>
      <c r="T3108" s="127"/>
      <c r="U3108" s="127"/>
      <c r="V3108" s="127"/>
      <c r="W3108" s="127"/>
      <c r="X3108" s="127"/>
      <c r="Y3108" s="127"/>
      <c r="Z3108" s="127"/>
      <c r="AA3108" s="966">
        <f t="shared" si="472"/>
        <v>1000</v>
      </c>
      <c r="AB3108" s="1210"/>
      <c r="AC3108" s="1199"/>
      <c r="AD3108" s="1211"/>
      <c r="AE3108" s="1211"/>
    </row>
    <row r="3109" spans="1:31" x14ac:dyDescent="0.2">
      <c r="A3109" s="1422"/>
      <c r="B3109" s="2522"/>
      <c r="C3109" s="3191"/>
      <c r="D3109" s="2421"/>
      <c r="E3109" s="2421"/>
      <c r="F3109" s="2420"/>
      <c r="G3109" s="2420"/>
      <c r="H3109" s="2420"/>
      <c r="I3109" s="2420"/>
      <c r="J3109" s="2420"/>
      <c r="K3109" s="40">
        <v>1000</v>
      </c>
      <c r="L3109" s="115"/>
      <c r="M3109" s="3287" t="s">
        <v>482</v>
      </c>
      <c r="N3109" s="3288"/>
      <c r="O3109" s="127"/>
      <c r="P3109" s="127"/>
      <c r="Q3109" s="127">
        <f>$K3109</f>
        <v>1000</v>
      </c>
      <c r="R3109" s="127"/>
      <c r="S3109" s="127"/>
      <c r="T3109" s="127"/>
      <c r="U3109" s="127"/>
      <c r="V3109" s="127"/>
      <c r="W3109" s="127"/>
      <c r="X3109" s="127"/>
      <c r="Y3109" s="127"/>
      <c r="Z3109" s="127"/>
      <c r="AA3109" s="966">
        <f t="shared" si="472"/>
        <v>1000</v>
      </c>
      <c r="AB3109" s="1210"/>
      <c r="AC3109" s="1199"/>
      <c r="AD3109" s="1211"/>
      <c r="AE3109" s="1211"/>
    </row>
    <row r="3110" spans="1:31" x14ac:dyDescent="0.2">
      <c r="A3110" s="1422"/>
      <c r="B3110" s="2522"/>
      <c r="C3110" s="3191"/>
      <c r="D3110" s="2421"/>
      <c r="E3110" s="2421"/>
      <c r="F3110" s="2420"/>
      <c r="G3110" s="2420"/>
      <c r="H3110" s="2420"/>
      <c r="I3110" s="2420"/>
      <c r="J3110" s="2420"/>
      <c r="K3110" s="40">
        <v>1000</v>
      </c>
      <c r="L3110" s="115"/>
      <c r="M3110" s="3287" t="s">
        <v>879</v>
      </c>
      <c r="N3110" s="3288"/>
      <c r="O3110" s="127"/>
      <c r="P3110" s="127"/>
      <c r="Q3110" s="127">
        <f>$K3110</f>
        <v>1000</v>
      </c>
      <c r="R3110" s="127"/>
      <c r="S3110" s="127"/>
      <c r="T3110" s="127"/>
      <c r="U3110" s="127"/>
      <c r="V3110" s="127"/>
      <c r="W3110" s="127"/>
      <c r="X3110" s="127"/>
      <c r="Y3110" s="127"/>
      <c r="Z3110" s="127"/>
      <c r="AA3110" s="966">
        <f t="shared" si="472"/>
        <v>1000</v>
      </c>
      <c r="AB3110" s="1210"/>
      <c r="AC3110" s="1199"/>
      <c r="AD3110" s="1211"/>
      <c r="AE3110" s="1211"/>
    </row>
    <row r="3111" spans="1:31" x14ac:dyDescent="0.2">
      <c r="A3111" s="1422"/>
      <c r="B3111" s="2522"/>
      <c r="C3111" s="3191"/>
      <c r="D3111" s="2421"/>
      <c r="E3111" s="2421"/>
      <c r="F3111" s="2420"/>
      <c r="G3111" s="2420"/>
      <c r="H3111" s="2420"/>
      <c r="I3111" s="2420"/>
      <c r="J3111" s="2420"/>
      <c r="K3111" s="40">
        <v>8200</v>
      </c>
      <c r="L3111" s="115"/>
      <c r="M3111" s="3287" t="s">
        <v>302</v>
      </c>
      <c r="N3111" s="3288"/>
      <c r="O3111" s="127"/>
      <c r="P3111" s="127"/>
      <c r="Q3111" s="127"/>
      <c r="R3111" s="127"/>
      <c r="S3111" s="127">
        <f>K3111</f>
        <v>8200</v>
      </c>
      <c r="T3111" s="127"/>
      <c r="U3111" s="127"/>
      <c r="V3111" s="127"/>
      <c r="W3111" s="127"/>
      <c r="X3111" s="127"/>
      <c r="Y3111" s="127"/>
      <c r="Z3111" s="127"/>
      <c r="AA3111" s="966">
        <f t="shared" si="472"/>
        <v>8200</v>
      </c>
      <c r="AB3111" s="1210"/>
      <c r="AC3111" s="1199"/>
      <c r="AD3111" s="1211"/>
      <c r="AE3111" s="1211"/>
    </row>
    <row r="3112" spans="1:31" x14ac:dyDescent="0.2">
      <c r="A3112" s="1422"/>
      <c r="B3112" s="2522"/>
      <c r="C3112" s="3191"/>
      <c r="D3112" s="2421"/>
      <c r="E3112" s="2421"/>
      <c r="F3112" s="2420"/>
      <c r="G3112" s="2420"/>
      <c r="H3112" s="2420"/>
      <c r="I3112" s="2420"/>
      <c r="J3112" s="2420"/>
      <c r="K3112" s="40">
        <v>1410</v>
      </c>
      <c r="L3112" s="115"/>
      <c r="M3112" s="3287" t="s">
        <v>303</v>
      </c>
      <c r="N3112" s="3288"/>
      <c r="O3112" s="127"/>
      <c r="P3112" s="127"/>
      <c r="Q3112" s="127">
        <f>$K3112</f>
        <v>1410</v>
      </c>
      <c r="R3112" s="127"/>
      <c r="S3112" s="127"/>
      <c r="T3112" s="127"/>
      <c r="U3112" s="127"/>
      <c r="V3112" s="127"/>
      <c r="W3112" s="127"/>
      <c r="X3112" s="127"/>
      <c r="Y3112" s="127"/>
      <c r="Z3112" s="127"/>
      <c r="AA3112" s="966">
        <f t="shared" si="472"/>
        <v>1410</v>
      </c>
      <c r="AB3112" s="1210"/>
      <c r="AC3112" s="1199"/>
      <c r="AD3112" s="1211"/>
      <c r="AE3112" s="1211"/>
    </row>
    <row r="3113" spans="1:31" x14ac:dyDescent="0.2">
      <c r="A3113" s="1422"/>
      <c r="B3113" s="2522"/>
      <c r="C3113" s="3191"/>
      <c r="D3113" s="2421"/>
      <c r="E3113" s="2421"/>
      <c r="F3113" s="2420"/>
      <c r="G3113" s="2420"/>
      <c r="H3113" s="2420"/>
      <c r="I3113" s="2420"/>
      <c r="J3113" s="2420"/>
      <c r="K3113" s="40">
        <v>500</v>
      </c>
      <c r="L3113" s="115"/>
      <c r="M3113" s="3287" t="s">
        <v>324</v>
      </c>
      <c r="N3113" s="3288"/>
      <c r="O3113" s="127"/>
      <c r="P3113" s="127">
        <f>$K3113</f>
        <v>500</v>
      </c>
      <c r="Q3113" s="127"/>
      <c r="R3113" s="127"/>
      <c r="S3113" s="127"/>
      <c r="T3113" s="127"/>
      <c r="U3113" s="127"/>
      <c r="V3113" s="127"/>
      <c r="W3113" s="127"/>
      <c r="X3113" s="127"/>
      <c r="Y3113" s="127"/>
      <c r="Z3113" s="127"/>
      <c r="AA3113" s="966">
        <f t="shared" si="472"/>
        <v>500</v>
      </c>
      <c r="AB3113" s="1210"/>
      <c r="AC3113" s="1199"/>
      <c r="AD3113" s="1211"/>
      <c r="AE3113" s="1211"/>
    </row>
    <row r="3114" spans="1:31" x14ac:dyDescent="0.2">
      <c r="A3114" s="1422"/>
      <c r="B3114" s="2522"/>
      <c r="C3114" s="3191"/>
      <c r="D3114" s="2421"/>
      <c r="E3114" s="2421"/>
      <c r="F3114" s="2420"/>
      <c r="G3114" s="2420"/>
      <c r="H3114" s="2420"/>
      <c r="I3114" s="2420"/>
      <c r="J3114" s="2420"/>
      <c r="K3114" s="40">
        <v>2000</v>
      </c>
      <c r="L3114" s="115"/>
      <c r="M3114" s="3287" t="s">
        <v>391</v>
      </c>
      <c r="N3114" s="3288"/>
      <c r="O3114" s="127"/>
      <c r="P3114" s="127"/>
      <c r="Q3114" s="127"/>
      <c r="R3114" s="127">
        <f>$K3114</f>
        <v>2000</v>
      </c>
      <c r="S3114" s="127"/>
      <c r="T3114" s="127"/>
      <c r="U3114" s="127"/>
      <c r="V3114" s="127"/>
      <c r="W3114" s="127"/>
      <c r="X3114" s="127"/>
      <c r="Y3114" s="127"/>
      <c r="Z3114" s="127"/>
      <c r="AA3114" s="966">
        <f t="shared" si="472"/>
        <v>2000</v>
      </c>
      <c r="AB3114" s="1210"/>
      <c r="AC3114" s="1199"/>
      <c r="AD3114" s="1211"/>
      <c r="AE3114" s="1211"/>
    </row>
    <row r="3115" spans="1:31" x14ac:dyDescent="0.2">
      <c r="A3115" s="1422"/>
      <c r="B3115" s="2522"/>
      <c r="C3115" s="3191"/>
      <c r="D3115" s="2421"/>
      <c r="E3115" s="2421"/>
      <c r="F3115" s="2420"/>
      <c r="G3115" s="2420"/>
      <c r="H3115" s="2420"/>
      <c r="I3115" s="2420"/>
      <c r="J3115" s="2420"/>
      <c r="K3115" s="40">
        <v>4000</v>
      </c>
      <c r="L3115" s="115"/>
      <c r="M3115" s="3287" t="s">
        <v>392</v>
      </c>
      <c r="N3115" s="3288"/>
      <c r="O3115" s="127"/>
      <c r="P3115" s="127"/>
      <c r="Q3115" s="127"/>
      <c r="R3115" s="127">
        <f>$K3115/2</f>
        <v>2000</v>
      </c>
      <c r="S3115" s="127"/>
      <c r="T3115" s="127"/>
      <c r="U3115" s="127"/>
      <c r="V3115" s="127">
        <f>$K3115/2</f>
        <v>2000</v>
      </c>
      <c r="W3115" s="127"/>
      <c r="X3115" s="127"/>
      <c r="Y3115" s="127"/>
      <c r="Z3115" s="127"/>
      <c r="AA3115" s="966">
        <f t="shared" si="472"/>
        <v>4000</v>
      </c>
      <c r="AB3115" s="1210"/>
      <c r="AC3115" s="1199"/>
      <c r="AD3115" s="1211"/>
      <c r="AE3115" s="1211"/>
    </row>
    <row r="3116" spans="1:31" x14ac:dyDescent="0.2">
      <c r="A3116" s="1422"/>
      <c r="B3116" s="2522"/>
      <c r="C3116" s="3191"/>
      <c r="D3116" s="2421"/>
      <c r="E3116" s="2421"/>
      <c r="F3116" s="2420"/>
      <c r="G3116" s="2420"/>
      <c r="H3116" s="2420"/>
      <c r="I3116" s="2420"/>
      <c r="J3116" s="2420"/>
      <c r="K3116" s="40">
        <v>20000</v>
      </c>
      <c r="L3116" s="115"/>
      <c r="M3116" s="3287" t="s">
        <v>348</v>
      </c>
      <c r="N3116" s="3288"/>
      <c r="O3116" s="127">
        <f>$K3116/12</f>
        <v>1666.6666666666667</v>
      </c>
      <c r="P3116" s="127">
        <f t="shared" ref="P3116:Z3116" si="473">$K3116/12</f>
        <v>1666.6666666666667</v>
      </c>
      <c r="Q3116" s="127">
        <f t="shared" si="473"/>
        <v>1666.6666666666667</v>
      </c>
      <c r="R3116" s="127">
        <f>$K3116/12</f>
        <v>1666.6666666666667</v>
      </c>
      <c r="S3116" s="127">
        <f t="shared" si="473"/>
        <v>1666.6666666666667</v>
      </c>
      <c r="T3116" s="127">
        <f t="shared" si="473"/>
        <v>1666.6666666666667</v>
      </c>
      <c r="U3116" s="127">
        <f t="shared" si="473"/>
        <v>1666.6666666666667</v>
      </c>
      <c r="V3116" s="127">
        <f t="shared" si="473"/>
        <v>1666.6666666666667</v>
      </c>
      <c r="W3116" s="127">
        <f t="shared" si="473"/>
        <v>1666.6666666666667</v>
      </c>
      <c r="X3116" s="127">
        <f t="shared" si="473"/>
        <v>1666.6666666666667</v>
      </c>
      <c r="Y3116" s="127">
        <f t="shared" si="473"/>
        <v>1666.6666666666667</v>
      </c>
      <c r="Z3116" s="127">
        <f t="shared" si="473"/>
        <v>1666.6666666666667</v>
      </c>
      <c r="AA3116" s="966">
        <f>SUM(O3116:Z3116)</f>
        <v>20000</v>
      </c>
      <c r="AB3116" s="1210"/>
      <c r="AC3116" s="1199"/>
      <c r="AD3116" s="1211"/>
      <c r="AE3116" s="1211"/>
    </row>
    <row r="3117" spans="1:31" x14ac:dyDescent="0.2">
      <c r="A3117" s="1422"/>
      <c r="B3117" s="2522"/>
      <c r="C3117" s="3191"/>
      <c r="D3117" s="2421"/>
      <c r="E3117" s="2421"/>
      <c r="F3117" s="2420"/>
      <c r="G3117" s="2420"/>
      <c r="H3117" s="2420"/>
      <c r="I3117" s="2420"/>
      <c r="J3117" s="2420"/>
      <c r="K3117" s="40">
        <v>30000</v>
      </c>
      <c r="L3117" s="115"/>
      <c r="M3117" s="3287" t="s">
        <v>393</v>
      </c>
      <c r="N3117" s="3288"/>
      <c r="O3117" s="127"/>
      <c r="P3117" s="127"/>
      <c r="Q3117" s="127"/>
      <c r="R3117" s="127">
        <f>$K3117/2</f>
        <v>15000</v>
      </c>
      <c r="S3117" s="127"/>
      <c r="T3117" s="127"/>
      <c r="U3117" s="127"/>
      <c r="V3117" s="127">
        <f>$K3117/2</f>
        <v>15000</v>
      </c>
      <c r="W3117" s="127"/>
      <c r="X3117" s="127"/>
      <c r="Y3117" s="127"/>
      <c r="Z3117" s="127"/>
      <c r="AA3117" s="966">
        <f t="shared" si="472"/>
        <v>30000</v>
      </c>
      <c r="AB3117" s="1210"/>
      <c r="AC3117" s="1199"/>
      <c r="AD3117" s="1211"/>
      <c r="AE3117" s="1211"/>
    </row>
    <row r="3118" spans="1:31" x14ac:dyDescent="0.2">
      <c r="A3118" s="1422"/>
      <c r="B3118" s="2522"/>
      <c r="C3118" s="3191"/>
      <c r="D3118" s="2421"/>
      <c r="E3118" s="2421"/>
      <c r="F3118" s="2420"/>
      <c r="G3118" s="2420"/>
      <c r="H3118" s="2420"/>
      <c r="I3118" s="2420"/>
      <c r="J3118" s="2420"/>
      <c r="K3118" s="40">
        <v>98157</v>
      </c>
      <c r="L3118" s="115"/>
      <c r="M3118" s="3287" t="s">
        <v>343</v>
      </c>
      <c r="N3118" s="3288"/>
      <c r="O3118" s="127"/>
      <c r="P3118" s="127"/>
      <c r="Q3118" s="127">
        <f>($K3118/2)*(1/8)</f>
        <v>6134.8125</v>
      </c>
      <c r="R3118" s="127">
        <f>$K3118/4</f>
        <v>24539.25</v>
      </c>
      <c r="S3118" s="127">
        <f>($K3118/2)*(1/8)</f>
        <v>6134.8125</v>
      </c>
      <c r="T3118" s="127">
        <f>($K3118/2)*(1/8)</f>
        <v>6134.8125</v>
      </c>
      <c r="U3118" s="127">
        <f>($K3118/2)*(1/8)</f>
        <v>6134.8125</v>
      </c>
      <c r="V3118" s="127">
        <f>$K3118/4</f>
        <v>24539.25</v>
      </c>
      <c r="W3118" s="127">
        <f>($K3118/2)*(1/8)</f>
        <v>6134.8125</v>
      </c>
      <c r="X3118" s="127">
        <f>($K3118/2)*(1/8)</f>
        <v>6134.8125</v>
      </c>
      <c r="Y3118" s="127">
        <f>($K3118/2)*(1/8)</f>
        <v>6134.8125</v>
      </c>
      <c r="Z3118" s="127">
        <f>($K3118/2)*(1/8)</f>
        <v>6134.8125</v>
      </c>
      <c r="AA3118" s="966">
        <f t="shared" si="472"/>
        <v>98157</v>
      </c>
      <c r="AB3118" s="1210"/>
      <c r="AC3118" s="1199"/>
      <c r="AD3118" s="1211"/>
      <c r="AE3118" s="1211"/>
    </row>
    <row r="3119" spans="1:31" x14ac:dyDescent="0.2">
      <c r="A3119" s="1422"/>
      <c r="B3119" s="2522"/>
      <c r="C3119" s="3191"/>
      <c r="D3119" s="2421"/>
      <c r="E3119" s="2421"/>
      <c r="F3119" s="2420"/>
      <c r="G3119" s="2420"/>
      <c r="H3119" s="2420"/>
      <c r="I3119" s="2420"/>
      <c r="J3119" s="2420"/>
      <c r="K3119" s="40">
        <v>58494</v>
      </c>
      <c r="L3119" s="115"/>
      <c r="M3119" s="3287" t="s">
        <v>830</v>
      </c>
      <c r="N3119" s="3288"/>
      <c r="O3119" s="127">
        <f>$K3119/12</f>
        <v>4874.5</v>
      </c>
      <c r="P3119" s="127">
        <f t="shared" ref="P3119:Z3120" si="474">$K3119/12</f>
        <v>4874.5</v>
      </c>
      <c r="Q3119" s="127">
        <f t="shared" si="474"/>
        <v>4874.5</v>
      </c>
      <c r="R3119" s="127">
        <f t="shared" si="474"/>
        <v>4874.5</v>
      </c>
      <c r="S3119" s="127">
        <f t="shared" si="474"/>
        <v>4874.5</v>
      </c>
      <c r="T3119" s="127">
        <f t="shared" si="474"/>
        <v>4874.5</v>
      </c>
      <c r="U3119" s="127">
        <f t="shared" si="474"/>
        <v>4874.5</v>
      </c>
      <c r="V3119" s="127">
        <f t="shared" si="474"/>
        <v>4874.5</v>
      </c>
      <c r="W3119" s="127">
        <f t="shared" si="474"/>
        <v>4874.5</v>
      </c>
      <c r="X3119" s="127">
        <f t="shared" si="474"/>
        <v>4874.5</v>
      </c>
      <c r="Y3119" s="127">
        <f t="shared" si="474"/>
        <v>4874.5</v>
      </c>
      <c r="Z3119" s="127">
        <f t="shared" si="474"/>
        <v>4874.5</v>
      </c>
      <c r="AA3119" s="966">
        <f>SUM(O3119:Z3119)</f>
        <v>58494</v>
      </c>
      <c r="AB3119" s="1210"/>
      <c r="AC3119" s="1199"/>
      <c r="AD3119" s="1211"/>
      <c r="AE3119" s="1211"/>
    </row>
    <row r="3120" spans="1:31" x14ac:dyDescent="0.2">
      <c r="A3120" s="1422"/>
      <c r="B3120" s="2522"/>
      <c r="C3120" s="3191"/>
      <c r="D3120" s="2421"/>
      <c r="E3120" s="2421"/>
      <c r="F3120" s="2420"/>
      <c r="G3120" s="2420"/>
      <c r="H3120" s="2420"/>
      <c r="I3120" s="2420"/>
      <c r="J3120" s="2420"/>
      <c r="K3120" s="40">
        <v>2856</v>
      </c>
      <c r="L3120" s="115"/>
      <c r="M3120" s="3287" t="s">
        <v>448</v>
      </c>
      <c r="N3120" s="3288"/>
      <c r="O3120" s="127">
        <f>$K3120/12</f>
        <v>238</v>
      </c>
      <c r="P3120" s="127">
        <f t="shared" si="474"/>
        <v>238</v>
      </c>
      <c r="Q3120" s="127">
        <f t="shared" si="474"/>
        <v>238</v>
      </c>
      <c r="R3120" s="127">
        <f t="shared" si="474"/>
        <v>238</v>
      </c>
      <c r="S3120" s="127">
        <f t="shared" si="474"/>
        <v>238</v>
      </c>
      <c r="T3120" s="127">
        <f t="shared" si="474"/>
        <v>238</v>
      </c>
      <c r="U3120" s="127">
        <f t="shared" si="474"/>
        <v>238</v>
      </c>
      <c r="V3120" s="127">
        <f t="shared" si="474"/>
        <v>238</v>
      </c>
      <c r="W3120" s="127">
        <f t="shared" si="474"/>
        <v>238</v>
      </c>
      <c r="X3120" s="127">
        <f t="shared" si="474"/>
        <v>238</v>
      </c>
      <c r="Y3120" s="127">
        <f t="shared" si="474"/>
        <v>238</v>
      </c>
      <c r="Z3120" s="127">
        <f t="shared" si="474"/>
        <v>238</v>
      </c>
      <c r="AA3120" s="966">
        <f t="shared" si="472"/>
        <v>2856</v>
      </c>
      <c r="AB3120" s="1210"/>
      <c r="AC3120" s="1199"/>
      <c r="AD3120" s="1211"/>
      <c r="AE3120" s="1211"/>
    </row>
    <row r="3121" spans="1:31" x14ac:dyDescent="0.2">
      <c r="A3121" s="1422"/>
      <c r="B3121" s="2522"/>
      <c r="C3121" s="3191"/>
      <c r="D3121" s="2421"/>
      <c r="E3121" s="2421"/>
      <c r="F3121" s="2420"/>
      <c r="G3121" s="2420"/>
      <c r="H3121" s="2420"/>
      <c r="I3121" s="2420"/>
      <c r="J3121" s="2420"/>
      <c r="K3121" s="40">
        <v>13500</v>
      </c>
      <c r="L3121" s="115"/>
      <c r="M3121" s="3287" t="s">
        <v>349</v>
      </c>
      <c r="N3121" s="3288"/>
      <c r="O3121" s="127"/>
      <c r="P3121" s="127"/>
      <c r="Q3121" s="127"/>
      <c r="R3121" s="127">
        <f>$K3121/3</f>
        <v>4500</v>
      </c>
      <c r="S3121" s="127"/>
      <c r="T3121" s="127"/>
      <c r="U3121" s="127">
        <f>$K3121/3</f>
        <v>4500</v>
      </c>
      <c r="V3121" s="127"/>
      <c r="W3121" s="127"/>
      <c r="X3121" s="127"/>
      <c r="Y3121" s="127">
        <f>$K3121/3</f>
        <v>4500</v>
      </c>
      <c r="Z3121" s="127"/>
      <c r="AA3121" s="966">
        <f t="shared" si="472"/>
        <v>13500</v>
      </c>
      <c r="AB3121" s="1210"/>
      <c r="AC3121" s="1199"/>
      <c r="AD3121" s="1211"/>
      <c r="AE3121" s="1211"/>
    </row>
    <row r="3122" spans="1:31" x14ac:dyDescent="0.2">
      <c r="A3122" s="1422"/>
      <c r="B3122" s="2522"/>
      <c r="C3122" s="2439"/>
      <c r="D3122" s="2421"/>
      <c r="E3122" s="2421"/>
      <c r="F3122" s="2420"/>
      <c r="G3122" s="2420"/>
      <c r="H3122" s="2420"/>
      <c r="I3122" s="2420"/>
      <c r="J3122" s="2420"/>
      <c r="K3122" s="40">
        <v>1000</v>
      </c>
      <c r="L3122" s="115"/>
      <c r="M3122" s="3287" t="s">
        <v>883</v>
      </c>
      <c r="N3122" s="3288"/>
      <c r="O3122" s="127"/>
      <c r="P3122" s="127"/>
      <c r="Q3122" s="127"/>
      <c r="R3122" s="127">
        <f>$K3122</f>
        <v>1000</v>
      </c>
      <c r="S3122" s="127"/>
      <c r="T3122" s="127"/>
      <c r="U3122" s="127"/>
      <c r="V3122" s="127"/>
      <c r="W3122" s="127"/>
      <c r="X3122" s="127"/>
      <c r="Y3122" s="127"/>
      <c r="Z3122" s="127"/>
      <c r="AA3122" s="966">
        <f t="shared" si="472"/>
        <v>1000</v>
      </c>
      <c r="AB3122" s="1210"/>
      <c r="AC3122" s="1199"/>
      <c r="AD3122" s="1211"/>
      <c r="AE3122" s="1211"/>
    </row>
    <row r="3123" spans="1:31" x14ac:dyDescent="0.2">
      <c r="A3123" s="1422"/>
      <c r="B3123" s="1427" t="s">
        <v>312</v>
      </c>
      <c r="C3123" s="1128"/>
      <c r="D3123" s="38"/>
      <c r="E3123" s="38"/>
      <c r="F3123" s="38"/>
      <c r="G3123" s="38"/>
      <c r="H3123" s="38"/>
      <c r="I3123" s="38"/>
      <c r="J3123" s="38"/>
      <c r="K3123" s="40">
        <f>SUM(K3108:K3122)</f>
        <v>243117</v>
      </c>
      <c r="L3123" s="38"/>
      <c r="M3123" s="38"/>
      <c r="N3123" s="38"/>
      <c r="O3123" s="127"/>
      <c r="P3123" s="127"/>
      <c r="Q3123" s="127"/>
      <c r="R3123" s="127"/>
      <c r="S3123" s="127"/>
      <c r="T3123" s="127"/>
      <c r="U3123" s="127"/>
      <c r="V3123" s="127"/>
      <c r="W3123" s="127"/>
      <c r="X3123" s="127"/>
      <c r="Y3123" s="127"/>
      <c r="Z3123" s="127"/>
      <c r="AA3123" s="966"/>
      <c r="AB3123" s="1210"/>
      <c r="AC3123" s="1199"/>
      <c r="AD3123" s="1211"/>
      <c r="AE3123" s="1211"/>
    </row>
    <row r="3124" spans="1:31" x14ac:dyDescent="0.2">
      <c r="A3124" s="1422"/>
      <c r="B3124" s="2999" t="s">
        <v>278</v>
      </c>
      <c r="C3124" s="3015" t="s">
        <v>21</v>
      </c>
      <c r="D3124" s="2847" t="s">
        <v>22</v>
      </c>
      <c r="E3124" s="2847" t="s">
        <v>23</v>
      </c>
      <c r="F3124" s="2847" t="s">
        <v>24</v>
      </c>
      <c r="G3124" s="2847" t="s">
        <v>25</v>
      </c>
      <c r="H3124" s="2847" t="s">
        <v>26</v>
      </c>
      <c r="I3124" s="2847" t="s">
        <v>27</v>
      </c>
      <c r="J3124" s="2847" t="s">
        <v>28</v>
      </c>
      <c r="K3124" s="2847"/>
      <c r="L3124" s="2988" t="s">
        <v>279</v>
      </c>
      <c r="M3124" s="3273" t="s">
        <v>280</v>
      </c>
      <c r="N3124" s="3274"/>
      <c r="O3124" s="3206" t="s">
        <v>281</v>
      </c>
      <c r="P3124" s="3301"/>
      <c r="Q3124" s="3301"/>
      <c r="R3124" s="3301"/>
      <c r="S3124" s="3301"/>
      <c r="T3124" s="3301"/>
      <c r="U3124" s="3301"/>
      <c r="V3124" s="3301"/>
      <c r="W3124" s="3301"/>
      <c r="X3124" s="3301"/>
      <c r="Y3124" s="3301"/>
      <c r="Z3124" s="3207"/>
      <c r="AA3124" s="3358" t="s">
        <v>32</v>
      </c>
      <c r="AB3124" s="1210"/>
      <c r="AC3124" s="1199"/>
      <c r="AD3124" s="1211"/>
      <c r="AE3124" s="1211"/>
    </row>
    <row r="3125" spans="1:31" x14ac:dyDescent="0.2">
      <c r="A3125" s="1422"/>
      <c r="B3125" s="2999"/>
      <c r="C3125" s="3359"/>
      <c r="D3125" s="2847"/>
      <c r="E3125" s="2847"/>
      <c r="F3125" s="2847"/>
      <c r="G3125" s="2847"/>
      <c r="H3125" s="2847"/>
      <c r="I3125" s="2847"/>
      <c r="J3125" s="2847" t="s">
        <v>33</v>
      </c>
      <c r="K3125" s="2847" t="s">
        <v>282</v>
      </c>
      <c r="L3125" s="3186"/>
      <c r="M3125" s="3275"/>
      <c r="N3125" s="3276"/>
      <c r="O3125" s="1009" t="s">
        <v>283</v>
      </c>
      <c r="P3125" s="1009" t="s">
        <v>284</v>
      </c>
      <c r="Q3125" s="1009" t="s">
        <v>285</v>
      </c>
      <c r="R3125" s="1009" t="s">
        <v>88</v>
      </c>
      <c r="S3125" s="1009" t="s">
        <v>89</v>
      </c>
      <c r="T3125" s="1009" t="s">
        <v>90</v>
      </c>
      <c r="U3125" s="1009" t="s">
        <v>91</v>
      </c>
      <c r="V3125" s="1009" t="s">
        <v>92</v>
      </c>
      <c r="W3125" s="1009" t="s">
        <v>286</v>
      </c>
      <c r="X3125" s="1009" t="s">
        <v>93</v>
      </c>
      <c r="Y3125" s="1009" t="s">
        <v>94</v>
      </c>
      <c r="Z3125" s="1009" t="s">
        <v>95</v>
      </c>
      <c r="AA3125" s="3358"/>
      <c r="AB3125" s="1210"/>
      <c r="AC3125" s="1199"/>
      <c r="AD3125" s="1211"/>
      <c r="AE3125" s="1211"/>
    </row>
    <row r="3126" spans="1:31" ht="12.75" x14ac:dyDescent="0.2">
      <c r="A3126" s="1422"/>
      <c r="B3126" s="2999"/>
      <c r="C3126" s="3359"/>
      <c r="D3126" s="2847"/>
      <c r="E3126" s="2847"/>
      <c r="F3126" s="2847"/>
      <c r="G3126" s="2847"/>
      <c r="H3126" s="2847"/>
      <c r="I3126" s="2847"/>
      <c r="J3126" s="2847"/>
      <c r="K3126" s="2847"/>
      <c r="L3126" s="3186"/>
      <c r="M3126" s="3271" t="s">
        <v>287</v>
      </c>
      <c r="N3126" s="3272"/>
      <c r="O3126" s="40"/>
      <c r="P3126" s="40">
        <v>6</v>
      </c>
      <c r="Q3126" s="40">
        <v>6</v>
      </c>
      <c r="R3126" s="40">
        <v>8</v>
      </c>
      <c r="S3126" s="40">
        <v>8</v>
      </c>
      <c r="T3126" s="40">
        <v>8</v>
      </c>
      <c r="U3126" s="40">
        <v>8</v>
      </c>
      <c r="V3126" s="40">
        <v>8</v>
      </c>
      <c r="W3126" s="40">
        <v>8</v>
      </c>
      <c r="X3126" s="40">
        <v>8</v>
      </c>
      <c r="Y3126" s="40">
        <v>8</v>
      </c>
      <c r="Z3126" s="40">
        <v>8</v>
      </c>
      <c r="AA3126" s="1205">
        <f>SUM(O3126:Z3126)</f>
        <v>84</v>
      </c>
      <c r="AB3126" s="1210"/>
      <c r="AC3126" s="1199"/>
      <c r="AD3126" s="1211"/>
      <c r="AE3126" s="1211"/>
    </row>
    <row r="3127" spans="1:31" ht="12.75" x14ac:dyDescent="0.2">
      <c r="A3127" s="1422"/>
      <c r="B3127" s="2999"/>
      <c r="C3127" s="3016"/>
      <c r="D3127" s="2847"/>
      <c r="E3127" s="2847"/>
      <c r="F3127" s="2847"/>
      <c r="G3127" s="2847"/>
      <c r="H3127" s="2847"/>
      <c r="I3127" s="2847"/>
      <c r="J3127" s="2847"/>
      <c r="K3127" s="2847"/>
      <c r="L3127" s="2989"/>
      <c r="M3127" s="3271" t="s">
        <v>34</v>
      </c>
      <c r="N3127" s="3272"/>
      <c r="O3127" s="40">
        <f t="shared" ref="O3127:Z3127" si="475">SUM(O3128:O3155)</f>
        <v>71420</v>
      </c>
      <c r="P3127" s="40">
        <f t="shared" si="475"/>
        <v>72001.818181818177</v>
      </c>
      <c r="Q3127" s="40">
        <f t="shared" si="475"/>
        <v>85781.818181818177</v>
      </c>
      <c r="R3127" s="40">
        <f t="shared" si="475"/>
        <v>94238.818181818177</v>
      </c>
      <c r="S3127" s="40">
        <f t="shared" si="475"/>
        <v>82821.318181818177</v>
      </c>
      <c r="T3127" s="40">
        <f t="shared" si="475"/>
        <v>71981.818181818177</v>
      </c>
      <c r="U3127" s="40">
        <f t="shared" si="475"/>
        <v>70436.818181818177</v>
      </c>
      <c r="V3127" s="40">
        <f t="shared" si="475"/>
        <v>90523.818181818177</v>
      </c>
      <c r="W3127" s="40">
        <f t="shared" si="475"/>
        <v>90115.318181818177</v>
      </c>
      <c r="X3127" s="40">
        <f t="shared" si="475"/>
        <v>72636.818181818177</v>
      </c>
      <c r="Y3127" s="40">
        <f t="shared" si="475"/>
        <v>71386.818181818177</v>
      </c>
      <c r="Z3127" s="40">
        <f t="shared" si="475"/>
        <v>75188.818181818177</v>
      </c>
      <c r="AA3127" s="1205">
        <f>SUM(O3127:Z3127)</f>
        <v>948533.99999999977</v>
      </c>
      <c r="AB3127" s="1210"/>
      <c r="AC3127" s="1199"/>
      <c r="AD3127" s="1211"/>
      <c r="AE3127" s="1211"/>
    </row>
    <row r="3128" spans="1:31" x14ac:dyDescent="0.2">
      <c r="A3128" s="1422"/>
      <c r="B3128" s="2438">
        <v>5005612</v>
      </c>
      <c r="C3128" s="3190" t="s">
        <v>884</v>
      </c>
      <c r="D3128" s="2431"/>
      <c r="E3128" s="2431" t="s">
        <v>860</v>
      </c>
      <c r="F3128" s="2514" t="s">
        <v>861</v>
      </c>
      <c r="G3128" s="2514" t="s">
        <v>873</v>
      </c>
      <c r="H3128" s="2514" t="s">
        <v>885</v>
      </c>
      <c r="I3128" s="2514" t="s">
        <v>875</v>
      </c>
      <c r="J3128" s="2514">
        <v>84</v>
      </c>
      <c r="K3128" s="40">
        <v>33588</v>
      </c>
      <c r="L3128" s="115"/>
      <c r="M3128" s="3287" t="s">
        <v>293</v>
      </c>
      <c r="N3128" s="3288"/>
      <c r="O3128" s="40">
        <f>$K3128/12</f>
        <v>2799</v>
      </c>
      <c r="P3128" s="40">
        <f t="shared" ref="P3128:Z3130" si="476">$K3128/12</f>
        <v>2799</v>
      </c>
      <c r="Q3128" s="40">
        <f t="shared" si="476"/>
        <v>2799</v>
      </c>
      <c r="R3128" s="40">
        <f t="shared" si="476"/>
        <v>2799</v>
      </c>
      <c r="S3128" s="40">
        <f t="shared" si="476"/>
        <v>2799</v>
      </c>
      <c r="T3128" s="40">
        <f t="shared" si="476"/>
        <v>2799</v>
      </c>
      <c r="U3128" s="40">
        <f t="shared" si="476"/>
        <v>2799</v>
      </c>
      <c r="V3128" s="40">
        <f t="shared" si="476"/>
        <v>2799</v>
      </c>
      <c r="W3128" s="40">
        <f t="shared" si="476"/>
        <v>2799</v>
      </c>
      <c r="X3128" s="40">
        <f t="shared" si="476"/>
        <v>2799</v>
      </c>
      <c r="Y3128" s="40">
        <f t="shared" si="476"/>
        <v>2799</v>
      </c>
      <c r="Z3128" s="40">
        <f t="shared" si="476"/>
        <v>2799</v>
      </c>
      <c r="AA3128" s="966">
        <f>SUM(O3128:Z3128)</f>
        <v>33588</v>
      </c>
      <c r="AB3128" s="1210"/>
      <c r="AC3128" s="1199"/>
      <c r="AD3128" s="1211"/>
      <c r="AE3128" s="1211"/>
    </row>
    <row r="3129" spans="1:31" x14ac:dyDescent="0.2">
      <c r="A3129" s="1422"/>
      <c r="B3129" s="2456"/>
      <c r="C3129" s="3191"/>
      <c r="D3129" s="2432"/>
      <c r="E3129" s="2432"/>
      <c r="F3129" s="2515"/>
      <c r="G3129" s="2515"/>
      <c r="H3129" s="2515"/>
      <c r="I3129" s="2515"/>
      <c r="J3129" s="2515"/>
      <c r="K3129" s="40">
        <v>15810</v>
      </c>
      <c r="L3129" s="115"/>
      <c r="M3129" s="3287" t="s">
        <v>296</v>
      </c>
      <c r="N3129" s="3288"/>
      <c r="O3129" s="40">
        <f>$K3129/12</f>
        <v>1317.5</v>
      </c>
      <c r="P3129" s="40">
        <f t="shared" si="476"/>
        <v>1317.5</v>
      </c>
      <c r="Q3129" s="40">
        <f t="shared" si="476"/>
        <v>1317.5</v>
      </c>
      <c r="R3129" s="40">
        <f t="shared" si="476"/>
        <v>1317.5</v>
      </c>
      <c r="S3129" s="40">
        <f t="shared" si="476"/>
        <v>1317.5</v>
      </c>
      <c r="T3129" s="40">
        <f t="shared" si="476"/>
        <v>1317.5</v>
      </c>
      <c r="U3129" s="40">
        <f t="shared" si="476"/>
        <v>1317.5</v>
      </c>
      <c r="V3129" s="40">
        <f t="shared" si="476"/>
        <v>1317.5</v>
      </c>
      <c r="W3129" s="40">
        <f t="shared" si="476"/>
        <v>1317.5</v>
      </c>
      <c r="X3129" s="40">
        <f t="shared" si="476"/>
        <v>1317.5</v>
      </c>
      <c r="Y3129" s="40">
        <f t="shared" si="476"/>
        <v>1317.5</v>
      </c>
      <c r="Z3129" s="40">
        <f t="shared" si="476"/>
        <v>1317.5</v>
      </c>
      <c r="AA3129" s="966">
        <f>SUM(O3129:Z3129)</f>
        <v>15810</v>
      </c>
      <c r="AB3129" s="1210"/>
      <c r="AC3129" s="1199"/>
      <c r="AD3129" s="1211"/>
      <c r="AE3129" s="1211"/>
    </row>
    <row r="3130" spans="1:31" x14ac:dyDescent="0.2">
      <c r="A3130" s="1422"/>
      <c r="B3130" s="2456"/>
      <c r="C3130" s="3191"/>
      <c r="D3130" s="2432"/>
      <c r="E3130" s="2432"/>
      <c r="F3130" s="2515"/>
      <c r="G3130" s="2515"/>
      <c r="H3130" s="2515"/>
      <c r="I3130" s="2515"/>
      <c r="J3130" s="2515"/>
      <c r="K3130" s="40">
        <v>10200</v>
      </c>
      <c r="L3130" s="115"/>
      <c r="M3130" s="3287" t="s">
        <v>297</v>
      </c>
      <c r="N3130" s="3288"/>
      <c r="O3130" s="40">
        <f>$K3130/12</f>
        <v>850</v>
      </c>
      <c r="P3130" s="40">
        <f t="shared" si="476"/>
        <v>850</v>
      </c>
      <c r="Q3130" s="40">
        <f t="shared" si="476"/>
        <v>850</v>
      </c>
      <c r="R3130" s="40">
        <f t="shared" si="476"/>
        <v>850</v>
      </c>
      <c r="S3130" s="40">
        <f t="shared" si="476"/>
        <v>850</v>
      </c>
      <c r="T3130" s="40">
        <f t="shared" si="476"/>
        <v>850</v>
      </c>
      <c r="U3130" s="40">
        <f t="shared" si="476"/>
        <v>850</v>
      </c>
      <c r="V3130" s="40">
        <f t="shared" si="476"/>
        <v>850</v>
      </c>
      <c r="W3130" s="40">
        <f t="shared" si="476"/>
        <v>850</v>
      </c>
      <c r="X3130" s="40">
        <f t="shared" si="476"/>
        <v>850</v>
      </c>
      <c r="Y3130" s="40">
        <f t="shared" si="476"/>
        <v>850</v>
      </c>
      <c r="Z3130" s="40">
        <f t="shared" si="476"/>
        <v>850</v>
      </c>
      <c r="AA3130" s="966">
        <f t="shared" ref="AA3130:AA3155" si="477">SUM(O3130:Z3130)</f>
        <v>10200</v>
      </c>
      <c r="AB3130" s="1210"/>
      <c r="AC3130" s="1199"/>
      <c r="AD3130" s="1211"/>
      <c r="AE3130" s="1211"/>
    </row>
    <row r="3131" spans="1:31" x14ac:dyDescent="0.2">
      <c r="A3131" s="1422"/>
      <c r="B3131" s="2456"/>
      <c r="C3131" s="3191"/>
      <c r="D3131" s="2432"/>
      <c r="E3131" s="2432"/>
      <c r="F3131" s="2515"/>
      <c r="G3131" s="2515"/>
      <c r="H3131" s="2515"/>
      <c r="I3131" s="2515"/>
      <c r="J3131" s="2515"/>
      <c r="K3131" s="40">
        <v>600</v>
      </c>
      <c r="L3131" s="115"/>
      <c r="M3131" s="3287" t="s">
        <v>298</v>
      </c>
      <c r="N3131" s="3288"/>
      <c r="O3131" s="40"/>
      <c r="P3131" s="40"/>
      <c r="Q3131" s="40"/>
      <c r="R3131" s="40"/>
      <c r="S3131" s="40"/>
      <c r="T3131" s="40"/>
      <c r="U3131" s="40">
        <f>K3131/2</f>
        <v>300</v>
      </c>
      <c r="V3131" s="40"/>
      <c r="W3131" s="40"/>
      <c r="X3131" s="40"/>
      <c r="Y3131" s="40"/>
      <c r="Z3131" s="40">
        <f>K3131/2</f>
        <v>300</v>
      </c>
      <c r="AA3131" s="966">
        <f t="shared" si="477"/>
        <v>600</v>
      </c>
      <c r="AB3131" s="1210"/>
      <c r="AC3131" s="1199"/>
      <c r="AD3131" s="1211"/>
      <c r="AE3131" s="1211"/>
    </row>
    <row r="3132" spans="1:31" x14ac:dyDescent="0.2">
      <c r="A3132" s="1422"/>
      <c r="B3132" s="2456"/>
      <c r="C3132" s="3191"/>
      <c r="D3132" s="2432"/>
      <c r="E3132" s="2432"/>
      <c r="F3132" s="2515"/>
      <c r="G3132" s="2515"/>
      <c r="H3132" s="2515"/>
      <c r="I3132" s="2515"/>
      <c r="J3132" s="2515"/>
      <c r="K3132" s="40">
        <v>400</v>
      </c>
      <c r="L3132" s="115"/>
      <c r="M3132" s="3287" t="s">
        <v>299</v>
      </c>
      <c r="N3132" s="3288"/>
      <c r="O3132" s="40">
        <f>K3132</f>
        <v>400</v>
      </c>
      <c r="P3132" s="40"/>
      <c r="Q3132" s="40"/>
      <c r="R3132" s="40"/>
      <c r="S3132" s="40"/>
      <c r="T3132" s="40"/>
      <c r="U3132" s="40"/>
      <c r="V3132" s="40"/>
      <c r="W3132" s="40"/>
      <c r="X3132" s="40"/>
      <c r="Y3132" s="40"/>
      <c r="Z3132" s="40"/>
      <c r="AA3132" s="966">
        <f t="shared" si="477"/>
        <v>400</v>
      </c>
      <c r="AB3132" s="1210"/>
      <c r="AC3132" s="1199"/>
      <c r="AD3132" s="1211"/>
      <c r="AE3132" s="1211"/>
    </row>
    <row r="3133" spans="1:31" x14ac:dyDescent="0.2">
      <c r="A3133" s="1422"/>
      <c r="B3133" s="2456"/>
      <c r="C3133" s="3191"/>
      <c r="D3133" s="2432"/>
      <c r="E3133" s="2432"/>
      <c r="F3133" s="2515"/>
      <c r="G3133" s="2515"/>
      <c r="H3133" s="2515"/>
      <c r="I3133" s="2515"/>
      <c r="J3133" s="2515"/>
      <c r="K3133" s="40">
        <v>2300</v>
      </c>
      <c r="L3133" s="115"/>
      <c r="M3133" s="3287" t="s">
        <v>300</v>
      </c>
      <c r="N3133" s="3288"/>
      <c r="O3133" s="40">
        <f>$K3133/12</f>
        <v>191.66666666666666</v>
      </c>
      <c r="P3133" s="40">
        <f t="shared" ref="P3133:Z3133" si="478">$K3133/12</f>
        <v>191.66666666666666</v>
      </c>
      <c r="Q3133" s="40">
        <f t="shared" si="478"/>
        <v>191.66666666666666</v>
      </c>
      <c r="R3133" s="40">
        <f t="shared" si="478"/>
        <v>191.66666666666666</v>
      </c>
      <c r="S3133" s="40">
        <f t="shared" si="478"/>
        <v>191.66666666666666</v>
      </c>
      <c r="T3133" s="40">
        <f t="shared" si="478"/>
        <v>191.66666666666666</v>
      </c>
      <c r="U3133" s="40">
        <f t="shared" si="478"/>
        <v>191.66666666666666</v>
      </c>
      <c r="V3133" s="40">
        <f t="shared" si="478"/>
        <v>191.66666666666666</v>
      </c>
      <c r="W3133" s="40">
        <f t="shared" si="478"/>
        <v>191.66666666666666</v>
      </c>
      <c r="X3133" s="40">
        <f t="shared" si="478"/>
        <v>191.66666666666666</v>
      </c>
      <c r="Y3133" s="40">
        <f t="shared" si="478"/>
        <v>191.66666666666666</v>
      </c>
      <c r="Z3133" s="40">
        <f t="shared" si="478"/>
        <v>191.66666666666666</v>
      </c>
      <c r="AA3133" s="966">
        <f t="shared" si="477"/>
        <v>2300</v>
      </c>
      <c r="AB3133" s="1210"/>
      <c r="AC3133" s="1199"/>
      <c r="AD3133" s="1211"/>
      <c r="AE3133" s="1211"/>
    </row>
    <row r="3134" spans="1:31" x14ac:dyDescent="0.2">
      <c r="A3134" s="1422"/>
      <c r="B3134" s="2456"/>
      <c r="C3134" s="3191"/>
      <c r="D3134" s="2432"/>
      <c r="E3134" s="2432"/>
      <c r="F3134" s="2515"/>
      <c r="G3134" s="2515"/>
      <c r="H3134" s="2515"/>
      <c r="I3134" s="2515"/>
      <c r="J3134" s="2515"/>
      <c r="K3134" s="40">
        <v>3690</v>
      </c>
      <c r="L3134" s="115"/>
      <c r="M3134" s="3287" t="s">
        <v>380</v>
      </c>
      <c r="N3134" s="3288"/>
      <c r="O3134" s="40">
        <f>$K3134/2</f>
        <v>1845</v>
      </c>
      <c r="P3134" s="40"/>
      <c r="Q3134" s="40"/>
      <c r="R3134" s="40"/>
      <c r="S3134" s="40"/>
      <c r="T3134" s="40">
        <f>$K3134/2</f>
        <v>1845</v>
      </c>
      <c r="U3134" s="40"/>
      <c r="V3134" s="40"/>
      <c r="W3134" s="40"/>
      <c r="X3134" s="40"/>
      <c r="Y3134" s="40"/>
      <c r="Z3134" s="40"/>
      <c r="AA3134" s="966">
        <f t="shared" si="477"/>
        <v>3690</v>
      </c>
      <c r="AB3134" s="1210"/>
      <c r="AC3134" s="1199"/>
      <c r="AD3134" s="1211"/>
      <c r="AE3134" s="1211"/>
    </row>
    <row r="3135" spans="1:31" x14ac:dyDescent="0.2">
      <c r="A3135" s="1422"/>
      <c r="B3135" s="2456"/>
      <c r="C3135" s="3191"/>
      <c r="D3135" s="2432"/>
      <c r="E3135" s="2432"/>
      <c r="F3135" s="2515"/>
      <c r="G3135" s="2515"/>
      <c r="H3135" s="2515"/>
      <c r="I3135" s="2515"/>
      <c r="J3135" s="2515"/>
      <c r="K3135" s="40">
        <v>9400</v>
      </c>
      <c r="L3135" s="115"/>
      <c r="M3135" s="3287" t="s">
        <v>340</v>
      </c>
      <c r="N3135" s="3288"/>
      <c r="O3135" s="40"/>
      <c r="P3135" s="40"/>
      <c r="Q3135" s="40"/>
      <c r="R3135" s="40">
        <f>$K3135/2</f>
        <v>4700</v>
      </c>
      <c r="S3135" s="40"/>
      <c r="T3135" s="40"/>
      <c r="U3135" s="40"/>
      <c r="V3135" s="40"/>
      <c r="W3135" s="40">
        <f>$K3135/2</f>
        <v>4700</v>
      </c>
      <c r="X3135" s="40"/>
      <c r="Y3135" s="40"/>
      <c r="Z3135" s="40"/>
      <c r="AA3135" s="966">
        <f t="shared" si="477"/>
        <v>9400</v>
      </c>
      <c r="AB3135" s="1210"/>
      <c r="AC3135" s="1199"/>
      <c r="AD3135" s="1211"/>
      <c r="AE3135" s="1211"/>
    </row>
    <row r="3136" spans="1:31" x14ac:dyDescent="0.2">
      <c r="A3136" s="1422"/>
      <c r="B3136" s="2456"/>
      <c r="C3136" s="3191"/>
      <c r="D3136" s="2432"/>
      <c r="E3136" s="2432"/>
      <c r="F3136" s="2515"/>
      <c r="G3136" s="2515"/>
      <c r="H3136" s="2515"/>
      <c r="I3136" s="2515"/>
      <c r="J3136" s="2515"/>
      <c r="K3136" s="40">
        <v>8006</v>
      </c>
      <c r="L3136" s="115"/>
      <c r="M3136" s="3287" t="s">
        <v>302</v>
      </c>
      <c r="N3136" s="3288"/>
      <c r="O3136" s="40"/>
      <c r="P3136" s="40"/>
      <c r="Q3136" s="40"/>
      <c r="R3136" s="40"/>
      <c r="S3136" s="40">
        <f>K3136</f>
        <v>8006</v>
      </c>
      <c r="T3136" s="40"/>
      <c r="U3136" s="40"/>
      <c r="V3136" s="40"/>
      <c r="W3136" s="40"/>
      <c r="X3136" s="40"/>
      <c r="Y3136" s="40"/>
      <c r="Z3136" s="40"/>
      <c r="AA3136" s="966">
        <f t="shared" si="477"/>
        <v>8006</v>
      </c>
      <c r="AB3136" s="1210"/>
      <c r="AC3136" s="1199"/>
      <c r="AD3136" s="1211"/>
      <c r="AE3136" s="1211"/>
    </row>
    <row r="3137" spans="1:31" x14ac:dyDescent="0.2">
      <c r="A3137" s="1422"/>
      <c r="B3137" s="2456"/>
      <c r="C3137" s="3191"/>
      <c r="D3137" s="2432"/>
      <c r="E3137" s="2432"/>
      <c r="F3137" s="2515"/>
      <c r="G3137" s="2515"/>
      <c r="H3137" s="2515"/>
      <c r="I3137" s="2515"/>
      <c r="J3137" s="2515"/>
      <c r="K3137" s="40">
        <v>10000</v>
      </c>
      <c r="L3137" s="115"/>
      <c r="M3137" s="3287" t="s">
        <v>323</v>
      </c>
      <c r="N3137" s="3288"/>
      <c r="O3137" s="40"/>
      <c r="P3137" s="40"/>
      <c r="Q3137" s="40">
        <f>$K3137/2</f>
        <v>5000</v>
      </c>
      <c r="R3137" s="40"/>
      <c r="S3137" s="40"/>
      <c r="T3137" s="40"/>
      <c r="U3137" s="40"/>
      <c r="V3137" s="40">
        <f>$K3137/2</f>
        <v>5000</v>
      </c>
      <c r="W3137" s="40"/>
      <c r="X3137" s="40"/>
      <c r="Y3137" s="40"/>
      <c r="Z3137" s="40"/>
      <c r="AA3137" s="966">
        <f t="shared" si="477"/>
        <v>10000</v>
      </c>
      <c r="AB3137" s="1210"/>
      <c r="AC3137" s="1199"/>
      <c r="AD3137" s="1211"/>
      <c r="AE3137" s="1211"/>
    </row>
    <row r="3138" spans="1:31" x14ac:dyDescent="0.2">
      <c r="A3138" s="1422"/>
      <c r="B3138" s="2456"/>
      <c r="C3138" s="3191"/>
      <c r="D3138" s="2432"/>
      <c r="E3138" s="2432"/>
      <c r="F3138" s="2515"/>
      <c r="G3138" s="2515"/>
      <c r="H3138" s="2515"/>
      <c r="I3138" s="2515"/>
      <c r="J3138" s="2515"/>
      <c r="K3138" s="40">
        <v>10000</v>
      </c>
      <c r="L3138" s="115"/>
      <c r="M3138" s="3287" t="s">
        <v>303</v>
      </c>
      <c r="N3138" s="3288"/>
      <c r="O3138" s="40"/>
      <c r="P3138" s="40"/>
      <c r="Q3138" s="40">
        <f>$K3138/2</f>
        <v>5000</v>
      </c>
      <c r="R3138" s="40"/>
      <c r="S3138" s="40"/>
      <c r="T3138" s="40"/>
      <c r="U3138" s="40"/>
      <c r="V3138" s="40">
        <f>$K3138/2</f>
        <v>5000</v>
      </c>
      <c r="W3138" s="40"/>
      <c r="X3138" s="40"/>
      <c r="Y3138" s="40"/>
      <c r="Z3138" s="40"/>
      <c r="AA3138" s="966">
        <f t="shared" si="477"/>
        <v>10000</v>
      </c>
      <c r="AB3138" s="1210"/>
      <c r="AC3138" s="1199"/>
      <c r="AD3138" s="1211"/>
      <c r="AE3138" s="1211"/>
    </row>
    <row r="3139" spans="1:31" x14ac:dyDescent="0.2">
      <c r="A3139" s="1422"/>
      <c r="B3139" s="2456"/>
      <c r="C3139" s="3191"/>
      <c r="D3139" s="2432"/>
      <c r="E3139" s="2432"/>
      <c r="F3139" s="2515"/>
      <c r="G3139" s="2515"/>
      <c r="H3139" s="2515"/>
      <c r="I3139" s="2515"/>
      <c r="J3139" s="2515"/>
      <c r="K3139" s="40">
        <v>615</v>
      </c>
      <c r="L3139" s="115"/>
      <c r="M3139" s="3287" t="s">
        <v>324</v>
      </c>
      <c r="N3139" s="3288"/>
      <c r="O3139" s="40"/>
      <c r="P3139" s="40">
        <f>$K3139</f>
        <v>615</v>
      </c>
      <c r="Q3139" s="40"/>
      <c r="R3139" s="40"/>
      <c r="S3139" s="40"/>
      <c r="T3139" s="40"/>
      <c r="U3139" s="40"/>
      <c r="V3139" s="40"/>
      <c r="W3139" s="40"/>
      <c r="X3139" s="40"/>
      <c r="Y3139" s="40"/>
      <c r="Z3139" s="40"/>
      <c r="AA3139" s="966">
        <f t="shared" si="477"/>
        <v>615</v>
      </c>
      <c r="AB3139" s="1210"/>
      <c r="AC3139" s="1199"/>
      <c r="AD3139" s="1211"/>
      <c r="AE3139" s="1211"/>
    </row>
    <row r="3140" spans="1:31" x14ac:dyDescent="0.2">
      <c r="A3140" s="1422"/>
      <c r="B3140" s="2456"/>
      <c r="C3140" s="3191"/>
      <c r="D3140" s="2432"/>
      <c r="E3140" s="2432"/>
      <c r="F3140" s="2515"/>
      <c r="G3140" s="2515"/>
      <c r="H3140" s="2515"/>
      <c r="I3140" s="2515"/>
      <c r="J3140" s="2515"/>
      <c r="K3140" s="40">
        <v>3270</v>
      </c>
      <c r="L3140" s="115"/>
      <c r="M3140" s="3287" t="s">
        <v>391</v>
      </c>
      <c r="N3140" s="3288"/>
      <c r="O3140" s="40"/>
      <c r="P3140" s="40"/>
      <c r="Q3140" s="40">
        <f>$K3140/2</f>
        <v>1635</v>
      </c>
      <c r="R3140" s="40"/>
      <c r="S3140" s="40"/>
      <c r="T3140" s="40"/>
      <c r="U3140" s="40"/>
      <c r="V3140" s="40">
        <f>$K3140/2</f>
        <v>1635</v>
      </c>
      <c r="W3140" s="40"/>
      <c r="X3140" s="40"/>
      <c r="Y3140" s="40"/>
      <c r="Z3140" s="40"/>
      <c r="AA3140" s="966">
        <f t="shared" si="477"/>
        <v>3270</v>
      </c>
      <c r="AB3140" s="1210"/>
      <c r="AC3140" s="1199"/>
      <c r="AD3140" s="1211"/>
      <c r="AE3140" s="1211"/>
    </row>
    <row r="3141" spans="1:31" x14ac:dyDescent="0.2">
      <c r="A3141" s="1422"/>
      <c r="B3141" s="2456"/>
      <c r="C3141" s="3191"/>
      <c r="D3141" s="2432"/>
      <c r="E3141" s="2432"/>
      <c r="F3141" s="2515"/>
      <c r="G3141" s="2515"/>
      <c r="H3141" s="2515"/>
      <c r="I3141" s="2515"/>
      <c r="J3141" s="2515"/>
      <c r="K3141" s="40">
        <v>5000</v>
      </c>
      <c r="L3141" s="115"/>
      <c r="M3141" s="3287" t="s">
        <v>341</v>
      </c>
      <c r="N3141" s="3288"/>
      <c r="O3141" s="40"/>
      <c r="P3141" s="40"/>
      <c r="Q3141" s="40"/>
      <c r="R3141" s="40">
        <f>$K3141/2</f>
        <v>2500</v>
      </c>
      <c r="S3141" s="40"/>
      <c r="T3141" s="40"/>
      <c r="U3141" s="40"/>
      <c r="V3141" s="40"/>
      <c r="W3141" s="40"/>
      <c r="X3141" s="40">
        <f>$K3141/2</f>
        <v>2500</v>
      </c>
      <c r="Y3141" s="40"/>
      <c r="Z3141" s="40"/>
      <c r="AA3141" s="966">
        <f t="shared" si="477"/>
        <v>5000</v>
      </c>
      <c r="AB3141" s="1210"/>
      <c r="AC3141" s="1199"/>
      <c r="AD3141" s="1211"/>
      <c r="AE3141" s="1211"/>
    </row>
    <row r="3142" spans="1:31" x14ac:dyDescent="0.2">
      <c r="A3142" s="1422"/>
      <c r="B3142" s="2456"/>
      <c r="C3142" s="3191"/>
      <c r="D3142" s="2432"/>
      <c r="E3142" s="2432"/>
      <c r="F3142" s="2515"/>
      <c r="G3142" s="2515"/>
      <c r="H3142" s="2515"/>
      <c r="I3142" s="2515"/>
      <c r="J3142" s="2515"/>
      <c r="K3142" s="40">
        <v>14256</v>
      </c>
      <c r="L3142" s="115"/>
      <c r="M3142" s="3287" t="s">
        <v>348</v>
      </c>
      <c r="N3142" s="3288"/>
      <c r="O3142" s="40"/>
      <c r="P3142" s="40"/>
      <c r="Q3142" s="40"/>
      <c r="R3142" s="40">
        <f>$K3142/3</f>
        <v>4752</v>
      </c>
      <c r="S3142" s="40"/>
      <c r="T3142" s="40"/>
      <c r="U3142" s="40"/>
      <c r="V3142" s="40">
        <f>$K3142/3</f>
        <v>4752</v>
      </c>
      <c r="W3142" s="40"/>
      <c r="X3142" s="40"/>
      <c r="Y3142" s="40"/>
      <c r="Z3142" s="40">
        <f>$K3142/3</f>
        <v>4752</v>
      </c>
      <c r="AA3142" s="966">
        <f t="shared" si="477"/>
        <v>14256</v>
      </c>
      <c r="AB3142" s="1210"/>
      <c r="AC3142" s="1199"/>
      <c r="AD3142" s="1211"/>
      <c r="AE3142" s="1211"/>
    </row>
    <row r="3143" spans="1:31" x14ac:dyDescent="0.2">
      <c r="A3143" s="1422"/>
      <c r="B3143" s="2456"/>
      <c r="C3143" s="3191"/>
      <c r="D3143" s="2432"/>
      <c r="E3143" s="2432"/>
      <c r="F3143" s="2515"/>
      <c r="G3143" s="2515"/>
      <c r="H3143" s="2515"/>
      <c r="I3143" s="2515"/>
      <c r="J3143" s="2515"/>
      <c r="K3143" s="40">
        <v>300</v>
      </c>
      <c r="L3143" s="115"/>
      <c r="M3143" s="3287" t="s">
        <v>343</v>
      </c>
      <c r="N3143" s="3288"/>
      <c r="O3143" s="40"/>
      <c r="P3143" s="40"/>
      <c r="Q3143" s="40"/>
      <c r="R3143" s="40">
        <f>$K3143</f>
        <v>300</v>
      </c>
      <c r="S3143" s="40"/>
      <c r="T3143" s="40"/>
      <c r="U3143" s="40"/>
      <c r="V3143" s="40"/>
      <c r="W3143" s="40"/>
      <c r="X3143" s="40"/>
      <c r="Y3143" s="40"/>
      <c r="Z3143" s="40"/>
      <c r="AA3143" s="966">
        <f t="shared" si="477"/>
        <v>300</v>
      </c>
      <c r="AB3143" s="1210"/>
      <c r="AC3143" s="1199"/>
      <c r="AD3143" s="1211"/>
      <c r="AE3143" s="1211"/>
    </row>
    <row r="3144" spans="1:31" x14ac:dyDescent="0.2">
      <c r="A3144" s="1422"/>
      <c r="B3144" s="2456"/>
      <c r="C3144" s="3191"/>
      <c r="D3144" s="2432"/>
      <c r="E3144" s="2432"/>
      <c r="F3144" s="2515"/>
      <c r="G3144" s="2515"/>
      <c r="H3144" s="2515"/>
      <c r="I3144" s="2515"/>
      <c r="J3144" s="2515"/>
      <c r="K3144" s="40">
        <v>300</v>
      </c>
      <c r="L3144" s="115"/>
      <c r="M3144" s="3287" t="s">
        <v>886</v>
      </c>
      <c r="N3144" s="3288"/>
      <c r="O3144" s="40"/>
      <c r="P3144" s="40"/>
      <c r="Q3144" s="40">
        <f>$K3144</f>
        <v>300</v>
      </c>
      <c r="R3144" s="40"/>
      <c r="S3144" s="40"/>
      <c r="T3144" s="40"/>
      <c r="U3144" s="40"/>
      <c r="V3144" s="40"/>
      <c r="W3144" s="40"/>
      <c r="X3144" s="40"/>
      <c r="Y3144" s="40"/>
      <c r="Z3144" s="40"/>
      <c r="AA3144" s="966">
        <f t="shared" si="477"/>
        <v>300</v>
      </c>
      <c r="AB3144" s="1210"/>
      <c r="AC3144" s="1199"/>
      <c r="AD3144" s="1211"/>
      <c r="AE3144" s="1211"/>
    </row>
    <row r="3145" spans="1:31" x14ac:dyDescent="0.2">
      <c r="A3145" s="1422"/>
      <c r="B3145" s="2456"/>
      <c r="C3145" s="3191"/>
      <c r="D3145" s="2432"/>
      <c r="E3145" s="2432"/>
      <c r="F3145" s="2515"/>
      <c r="G3145" s="2515"/>
      <c r="H3145" s="2515"/>
      <c r="I3145" s="2515"/>
      <c r="J3145" s="2515"/>
      <c r="K3145" s="40">
        <v>5000</v>
      </c>
      <c r="L3145" s="115"/>
      <c r="M3145" s="3287" t="s">
        <v>305</v>
      </c>
      <c r="N3145" s="3288"/>
      <c r="O3145" s="40"/>
      <c r="P3145" s="40">
        <f>$K3145/4</f>
        <v>1250</v>
      </c>
      <c r="Q3145" s="40"/>
      <c r="R3145" s="40"/>
      <c r="S3145" s="40">
        <f>$K3145/4</f>
        <v>1250</v>
      </c>
      <c r="T3145" s="40"/>
      <c r="U3145" s="40"/>
      <c r="V3145" s="40">
        <f>$K3145/4</f>
        <v>1250</v>
      </c>
      <c r="W3145" s="40"/>
      <c r="X3145" s="40"/>
      <c r="Y3145" s="40">
        <f>$K3145/4</f>
        <v>1250</v>
      </c>
      <c r="Z3145" s="40"/>
      <c r="AA3145" s="966">
        <f t="shared" si="477"/>
        <v>5000</v>
      </c>
      <c r="AB3145" s="1210"/>
      <c r="AC3145" s="1199"/>
      <c r="AD3145" s="1211"/>
      <c r="AE3145" s="1211"/>
    </row>
    <row r="3146" spans="1:31" x14ac:dyDescent="0.2">
      <c r="A3146" s="1422"/>
      <c r="B3146" s="2456"/>
      <c r="C3146" s="3191"/>
      <c r="D3146" s="2432"/>
      <c r="E3146" s="2432"/>
      <c r="F3146" s="2515"/>
      <c r="G3146" s="2515"/>
      <c r="H3146" s="2515"/>
      <c r="I3146" s="2515"/>
      <c r="J3146" s="2515"/>
      <c r="K3146" s="40">
        <v>10580</v>
      </c>
      <c r="L3146" s="115"/>
      <c r="M3146" s="3287" t="s">
        <v>306</v>
      </c>
      <c r="N3146" s="3288"/>
      <c r="O3146" s="40"/>
      <c r="P3146" s="40">
        <f>$K3146/11</f>
        <v>961.81818181818187</v>
      </c>
      <c r="Q3146" s="40">
        <f t="shared" ref="Q3146:Z3146" si="479">$K3146/11</f>
        <v>961.81818181818187</v>
      </c>
      <c r="R3146" s="40">
        <f t="shared" si="479"/>
        <v>961.81818181818187</v>
      </c>
      <c r="S3146" s="40">
        <f t="shared" si="479"/>
        <v>961.81818181818187</v>
      </c>
      <c r="T3146" s="40">
        <f t="shared" si="479"/>
        <v>961.81818181818187</v>
      </c>
      <c r="U3146" s="40">
        <f t="shared" si="479"/>
        <v>961.81818181818187</v>
      </c>
      <c r="V3146" s="40">
        <f t="shared" si="479"/>
        <v>961.81818181818187</v>
      </c>
      <c r="W3146" s="40">
        <f t="shared" si="479"/>
        <v>961.81818181818187</v>
      </c>
      <c r="X3146" s="40">
        <f t="shared" si="479"/>
        <v>961.81818181818187</v>
      </c>
      <c r="Y3146" s="40">
        <f t="shared" si="479"/>
        <v>961.81818181818187</v>
      </c>
      <c r="Z3146" s="40">
        <f t="shared" si="479"/>
        <v>961.81818181818187</v>
      </c>
      <c r="AA3146" s="966">
        <f t="shared" si="477"/>
        <v>10580</v>
      </c>
      <c r="AB3146" s="1210"/>
      <c r="AC3146" s="1199"/>
      <c r="AD3146" s="1211"/>
      <c r="AE3146" s="1211"/>
    </row>
    <row r="3147" spans="1:31" x14ac:dyDescent="0.2">
      <c r="A3147" s="1422"/>
      <c r="B3147" s="2456"/>
      <c r="C3147" s="3191"/>
      <c r="D3147" s="2432"/>
      <c r="E3147" s="2432"/>
      <c r="F3147" s="2515"/>
      <c r="G3147" s="2515"/>
      <c r="H3147" s="2515"/>
      <c r="I3147" s="2515"/>
      <c r="J3147" s="2515"/>
      <c r="K3147" s="40">
        <v>840</v>
      </c>
      <c r="L3147" s="115"/>
      <c r="M3147" s="3287" t="s">
        <v>448</v>
      </c>
      <c r="N3147" s="3288"/>
      <c r="O3147" s="40">
        <f>$K$143/12</f>
        <v>4833.333333333333</v>
      </c>
      <c r="P3147" s="40">
        <f t="shared" ref="P3147:Z3147" si="480">$K$143/12</f>
        <v>4833.333333333333</v>
      </c>
      <c r="Q3147" s="40">
        <f t="shared" si="480"/>
        <v>4833.333333333333</v>
      </c>
      <c r="R3147" s="40">
        <f t="shared" si="480"/>
        <v>4833.333333333333</v>
      </c>
      <c r="S3147" s="40">
        <f t="shared" si="480"/>
        <v>4833.333333333333</v>
      </c>
      <c r="T3147" s="40">
        <f t="shared" si="480"/>
        <v>4833.333333333333</v>
      </c>
      <c r="U3147" s="40">
        <f t="shared" si="480"/>
        <v>4833.333333333333</v>
      </c>
      <c r="V3147" s="40">
        <f t="shared" si="480"/>
        <v>4833.333333333333</v>
      </c>
      <c r="W3147" s="40">
        <f t="shared" si="480"/>
        <v>4833.333333333333</v>
      </c>
      <c r="X3147" s="40">
        <f t="shared" si="480"/>
        <v>4833.333333333333</v>
      </c>
      <c r="Y3147" s="40">
        <f t="shared" si="480"/>
        <v>4833.333333333333</v>
      </c>
      <c r="Z3147" s="40">
        <f t="shared" si="480"/>
        <v>4833.333333333333</v>
      </c>
      <c r="AA3147" s="966">
        <f t="shared" si="477"/>
        <v>58000.000000000007</v>
      </c>
      <c r="AB3147" s="1210"/>
      <c r="AC3147" s="1199"/>
      <c r="AD3147" s="1211"/>
      <c r="AE3147" s="1211"/>
    </row>
    <row r="3148" spans="1:31" x14ac:dyDescent="0.2">
      <c r="A3148" s="1422"/>
      <c r="B3148" s="2456"/>
      <c r="C3148" s="3191"/>
      <c r="D3148" s="2432"/>
      <c r="E3148" s="2432"/>
      <c r="F3148" s="2515"/>
      <c r="G3148" s="2515"/>
      <c r="H3148" s="2515"/>
      <c r="I3148" s="2515"/>
      <c r="J3148" s="2515"/>
      <c r="K3148" s="40">
        <v>960</v>
      </c>
      <c r="L3148" s="115"/>
      <c r="M3148" s="3287" t="s">
        <v>887</v>
      </c>
      <c r="N3148" s="3288"/>
      <c r="O3148" s="40"/>
      <c r="P3148" s="40"/>
      <c r="Q3148" s="40">
        <f>$K3148</f>
        <v>960</v>
      </c>
      <c r="R3148" s="40"/>
      <c r="S3148" s="40"/>
      <c r="T3148" s="40"/>
      <c r="U3148" s="40"/>
      <c r="V3148" s="40"/>
      <c r="W3148" s="40"/>
      <c r="X3148" s="40"/>
      <c r="Y3148" s="40"/>
      <c r="Z3148" s="40"/>
      <c r="AA3148" s="966">
        <f t="shared" si="477"/>
        <v>960</v>
      </c>
      <c r="AB3148" s="1210"/>
      <c r="AC3148" s="1199"/>
      <c r="AD3148" s="1211"/>
      <c r="AE3148" s="1211"/>
    </row>
    <row r="3149" spans="1:31" x14ac:dyDescent="0.2">
      <c r="A3149" s="1422"/>
      <c r="B3149" s="2456"/>
      <c r="C3149" s="3191"/>
      <c r="D3149" s="2432"/>
      <c r="E3149" s="2432"/>
      <c r="F3149" s="2515"/>
      <c r="G3149" s="2515"/>
      <c r="H3149" s="2515"/>
      <c r="I3149" s="2515"/>
      <c r="J3149" s="2515"/>
      <c r="K3149" s="40">
        <v>6857</v>
      </c>
      <c r="L3149" s="115"/>
      <c r="M3149" s="3287" t="s">
        <v>355</v>
      </c>
      <c r="N3149" s="3288"/>
      <c r="O3149" s="40"/>
      <c r="P3149" s="40"/>
      <c r="Q3149" s="40"/>
      <c r="R3149" s="40"/>
      <c r="S3149" s="40">
        <f>$K3149/2</f>
        <v>3428.5</v>
      </c>
      <c r="T3149" s="40"/>
      <c r="U3149" s="40"/>
      <c r="V3149" s="40"/>
      <c r="W3149" s="40">
        <f>$K3149/2</f>
        <v>3428.5</v>
      </c>
      <c r="X3149" s="40"/>
      <c r="Y3149" s="40"/>
      <c r="Z3149" s="40"/>
      <c r="AA3149" s="966">
        <f t="shared" si="477"/>
        <v>6857</v>
      </c>
      <c r="AB3149" s="1210"/>
      <c r="AC3149" s="1199"/>
      <c r="AD3149" s="1211"/>
      <c r="AE3149" s="1211"/>
    </row>
    <row r="3150" spans="1:31" x14ac:dyDescent="0.2">
      <c r="A3150" s="1422"/>
      <c r="B3150" s="2456"/>
      <c r="C3150" s="3191"/>
      <c r="D3150" s="2432"/>
      <c r="E3150" s="2432"/>
      <c r="F3150" s="2515"/>
      <c r="G3150" s="2515"/>
      <c r="H3150" s="2515"/>
      <c r="I3150" s="2515"/>
      <c r="J3150" s="2515"/>
      <c r="K3150" s="40">
        <v>5500</v>
      </c>
      <c r="L3150" s="115"/>
      <c r="M3150" s="3287" t="s">
        <v>308</v>
      </c>
      <c r="N3150" s="3288"/>
      <c r="O3150" s="40"/>
      <c r="P3150" s="40"/>
      <c r="Q3150" s="40">
        <f>$K3150/2</f>
        <v>2750</v>
      </c>
      <c r="R3150" s="40"/>
      <c r="S3150" s="40"/>
      <c r="T3150" s="40"/>
      <c r="U3150" s="40"/>
      <c r="V3150" s="40">
        <f>$K3150/2</f>
        <v>2750</v>
      </c>
      <c r="W3150" s="40"/>
      <c r="X3150" s="40"/>
      <c r="Y3150" s="40"/>
      <c r="Z3150" s="40"/>
      <c r="AA3150" s="966">
        <f t="shared" si="477"/>
        <v>5500</v>
      </c>
      <c r="AB3150" s="1210"/>
      <c r="AC3150" s="1199"/>
      <c r="AD3150" s="1211"/>
      <c r="AE3150" s="1211"/>
    </row>
    <row r="3151" spans="1:31" x14ac:dyDescent="0.2">
      <c r="A3151" s="1422"/>
      <c r="B3151" s="2456"/>
      <c r="C3151" s="3191"/>
      <c r="D3151" s="2432"/>
      <c r="E3151" s="2432"/>
      <c r="F3151" s="2515"/>
      <c r="G3151" s="2515"/>
      <c r="H3151" s="2515"/>
      <c r="I3151" s="2515"/>
      <c r="J3151" s="2515"/>
      <c r="K3151" s="40">
        <v>60147</v>
      </c>
      <c r="L3151" s="115"/>
      <c r="M3151" s="3287" t="s">
        <v>349</v>
      </c>
      <c r="N3151" s="3288"/>
      <c r="O3151" s="40">
        <f>$K3151/12</f>
        <v>5012.25</v>
      </c>
      <c r="P3151" s="40">
        <f t="shared" ref="P3151:Z3151" si="481">$K3151/12</f>
        <v>5012.25</v>
      </c>
      <c r="Q3151" s="40">
        <f t="shared" si="481"/>
        <v>5012.25</v>
      </c>
      <c r="R3151" s="40">
        <f t="shared" si="481"/>
        <v>5012.25</v>
      </c>
      <c r="S3151" s="40">
        <f t="shared" si="481"/>
        <v>5012.25</v>
      </c>
      <c r="T3151" s="40">
        <f t="shared" si="481"/>
        <v>5012.25</v>
      </c>
      <c r="U3151" s="40">
        <f t="shared" si="481"/>
        <v>5012.25</v>
      </c>
      <c r="V3151" s="40">
        <f t="shared" si="481"/>
        <v>5012.25</v>
      </c>
      <c r="W3151" s="40">
        <f t="shared" si="481"/>
        <v>5012.25</v>
      </c>
      <c r="X3151" s="40">
        <f t="shared" si="481"/>
        <v>5012.25</v>
      </c>
      <c r="Y3151" s="40">
        <f t="shared" si="481"/>
        <v>5012.25</v>
      </c>
      <c r="Z3151" s="40">
        <f t="shared" si="481"/>
        <v>5012.25</v>
      </c>
      <c r="AA3151" s="966">
        <f t="shared" si="477"/>
        <v>60147</v>
      </c>
      <c r="AB3151" s="1210"/>
      <c r="AC3151" s="1199"/>
      <c r="AD3151" s="1211"/>
      <c r="AE3151" s="1211"/>
    </row>
    <row r="3152" spans="1:31" x14ac:dyDescent="0.2">
      <c r="A3152" s="1422"/>
      <c r="B3152" s="2456"/>
      <c r="C3152" s="3191"/>
      <c r="D3152" s="2432"/>
      <c r="E3152" s="2432"/>
      <c r="F3152" s="2515"/>
      <c r="G3152" s="2515"/>
      <c r="H3152" s="2515"/>
      <c r="I3152" s="2515"/>
      <c r="J3152" s="2515"/>
      <c r="K3152" s="40">
        <v>12000</v>
      </c>
      <c r="L3152" s="115"/>
      <c r="M3152" s="3287" t="s">
        <v>395</v>
      </c>
      <c r="N3152" s="3288"/>
      <c r="O3152" s="40"/>
      <c r="P3152" s="40"/>
      <c r="Q3152" s="40"/>
      <c r="R3152" s="40">
        <f>$K3152/2</f>
        <v>6000</v>
      </c>
      <c r="S3152" s="40"/>
      <c r="T3152" s="40"/>
      <c r="U3152" s="40"/>
      <c r="V3152" s="40"/>
      <c r="W3152" s="40">
        <f>$K3152/2</f>
        <v>6000</v>
      </c>
      <c r="X3152" s="40"/>
      <c r="Y3152" s="40"/>
      <c r="Z3152" s="40"/>
      <c r="AA3152" s="966">
        <f t="shared" si="477"/>
        <v>12000</v>
      </c>
      <c r="AB3152" s="1210"/>
      <c r="AC3152" s="1199"/>
      <c r="AD3152" s="1211"/>
      <c r="AE3152" s="1211"/>
    </row>
    <row r="3153" spans="1:31" x14ac:dyDescent="0.2">
      <c r="A3153" s="1422"/>
      <c r="B3153" s="2456"/>
      <c r="C3153" s="3191"/>
      <c r="D3153" s="2432"/>
      <c r="E3153" s="2432"/>
      <c r="F3153" s="2515"/>
      <c r="G3153" s="2515"/>
      <c r="H3153" s="2515"/>
      <c r="I3153" s="2515"/>
      <c r="J3153" s="2515"/>
      <c r="K3153" s="40">
        <v>11700</v>
      </c>
      <c r="L3153" s="115"/>
      <c r="M3153" s="3287" t="s">
        <v>358</v>
      </c>
      <c r="N3153" s="3288"/>
      <c r="O3153" s="40"/>
      <c r="P3153" s="40"/>
      <c r="Q3153" s="40"/>
      <c r="R3153" s="40">
        <f>$K3153/2</f>
        <v>5850</v>
      </c>
      <c r="S3153" s="40"/>
      <c r="T3153" s="40"/>
      <c r="U3153" s="40"/>
      <c r="V3153" s="40"/>
      <c r="W3153" s="40">
        <f>$K3153/2</f>
        <v>5850</v>
      </c>
      <c r="X3153" s="40"/>
      <c r="Y3153" s="40"/>
      <c r="Z3153" s="40"/>
      <c r="AA3153" s="966">
        <f t="shared" si="477"/>
        <v>11700</v>
      </c>
      <c r="AB3153" s="1210"/>
      <c r="AC3153" s="1199"/>
      <c r="AD3153" s="1211"/>
      <c r="AE3153" s="1211"/>
    </row>
    <row r="3154" spans="1:31" x14ac:dyDescent="0.2">
      <c r="A3154" s="1422"/>
      <c r="B3154" s="2456"/>
      <c r="C3154" s="3191"/>
      <c r="D3154" s="2432"/>
      <c r="E3154" s="2432"/>
      <c r="F3154" s="2515"/>
      <c r="G3154" s="2515"/>
      <c r="H3154" s="2515"/>
      <c r="I3154" s="2515"/>
      <c r="J3154" s="2515"/>
      <c r="K3154" s="40">
        <v>600381</v>
      </c>
      <c r="L3154" s="115"/>
      <c r="M3154" s="3287" t="s">
        <v>310</v>
      </c>
      <c r="N3154" s="3288"/>
      <c r="O3154" s="40">
        <f>$K3154/12</f>
        <v>50031.75</v>
      </c>
      <c r="P3154" s="40">
        <f t="shared" ref="P3154:Z3155" si="482">$K3154/12</f>
        <v>50031.75</v>
      </c>
      <c r="Q3154" s="40">
        <f t="shared" si="482"/>
        <v>50031.75</v>
      </c>
      <c r="R3154" s="40">
        <f t="shared" si="482"/>
        <v>50031.75</v>
      </c>
      <c r="S3154" s="40">
        <f t="shared" si="482"/>
        <v>50031.75</v>
      </c>
      <c r="T3154" s="40">
        <f t="shared" si="482"/>
        <v>50031.75</v>
      </c>
      <c r="U3154" s="40">
        <f t="shared" si="482"/>
        <v>50031.75</v>
      </c>
      <c r="V3154" s="40">
        <f t="shared" si="482"/>
        <v>50031.75</v>
      </c>
      <c r="W3154" s="40">
        <f t="shared" si="482"/>
        <v>50031.75</v>
      </c>
      <c r="X3154" s="40">
        <f t="shared" si="482"/>
        <v>50031.75</v>
      </c>
      <c r="Y3154" s="40">
        <f t="shared" si="482"/>
        <v>50031.75</v>
      </c>
      <c r="Z3154" s="40">
        <f t="shared" si="482"/>
        <v>50031.75</v>
      </c>
      <c r="AA3154" s="966">
        <f t="shared" si="477"/>
        <v>600381</v>
      </c>
      <c r="AB3154" s="1210"/>
      <c r="AC3154" s="1199"/>
      <c r="AD3154" s="1211"/>
      <c r="AE3154" s="1211"/>
    </row>
    <row r="3155" spans="1:31" x14ac:dyDescent="0.2">
      <c r="A3155" s="1422"/>
      <c r="B3155" s="2450"/>
      <c r="C3155" s="2439"/>
      <c r="D3155" s="2437"/>
      <c r="E3155" s="2437"/>
      <c r="F3155" s="2516"/>
      <c r="G3155" s="2516"/>
      <c r="H3155" s="2516"/>
      <c r="I3155" s="2516"/>
      <c r="J3155" s="1153"/>
      <c r="K3155" s="40">
        <v>49674</v>
      </c>
      <c r="L3155" s="115"/>
      <c r="M3155" s="3287" t="s">
        <v>311</v>
      </c>
      <c r="N3155" s="3288"/>
      <c r="O3155" s="40">
        <f>$K3155/12</f>
        <v>4139.5</v>
      </c>
      <c r="P3155" s="40">
        <f t="shared" si="482"/>
        <v>4139.5</v>
      </c>
      <c r="Q3155" s="40">
        <f t="shared" si="482"/>
        <v>4139.5</v>
      </c>
      <c r="R3155" s="40">
        <f t="shared" si="482"/>
        <v>4139.5</v>
      </c>
      <c r="S3155" s="40">
        <f t="shared" si="482"/>
        <v>4139.5</v>
      </c>
      <c r="T3155" s="40">
        <f t="shared" si="482"/>
        <v>4139.5</v>
      </c>
      <c r="U3155" s="40">
        <f t="shared" si="482"/>
        <v>4139.5</v>
      </c>
      <c r="V3155" s="40">
        <f t="shared" si="482"/>
        <v>4139.5</v>
      </c>
      <c r="W3155" s="40">
        <f t="shared" si="482"/>
        <v>4139.5</v>
      </c>
      <c r="X3155" s="40">
        <f t="shared" si="482"/>
        <v>4139.5</v>
      </c>
      <c r="Y3155" s="40">
        <f t="shared" si="482"/>
        <v>4139.5</v>
      </c>
      <c r="Z3155" s="40">
        <f t="shared" si="482"/>
        <v>4139.5</v>
      </c>
      <c r="AA3155" s="966">
        <f t="shared" si="477"/>
        <v>49674</v>
      </c>
      <c r="AB3155" s="1210"/>
      <c r="AC3155" s="1199"/>
      <c r="AD3155" s="1211"/>
      <c r="AE3155" s="1211"/>
    </row>
    <row r="3156" spans="1:31" x14ac:dyDescent="0.2">
      <c r="A3156" s="1422"/>
      <c r="B3156" s="1427" t="s">
        <v>312</v>
      </c>
      <c r="C3156" s="1128"/>
      <c r="D3156" s="38"/>
      <c r="E3156" s="38"/>
      <c r="F3156" s="38"/>
      <c r="G3156" s="38"/>
      <c r="H3156" s="38"/>
      <c r="I3156" s="38"/>
      <c r="J3156" s="38"/>
      <c r="K3156" s="40">
        <f>SUM(K3128:K3155)</f>
        <v>891374</v>
      </c>
      <c r="L3156" s="38"/>
      <c r="M3156" s="38"/>
      <c r="N3156" s="38"/>
      <c r="O3156" s="38"/>
      <c r="P3156" s="38"/>
      <c r="Q3156" s="38"/>
      <c r="R3156" s="38"/>
      <c r="S3156" s="38"/>
      <c r="T3156" s="38"/>
      <c r="U3156" s="38"/>
      <c r="V3156" s="38"/>
      <c r="W3156" s="38"/>
      <c r="X3156" s="38"/>
      <c r="Y3156" s="38"/>
      <c r="Z3156" s="38"/>
      <c r="AA3156" s="1224"/>
      <c r="AB3156" s="1210"/>
      <c r="AC3156" s="1199"/>
      <c r="AD3156" s="1211"/>
      <c r="AE3156" s="1211"/>
    </row>
    <row r="3157" spans="1:31" x14ac:dyDescent="0.2">
      <c r="A3157" s="1422"/>
      <c r="B3157" s="1433" t="s">
        <v>276</v>
      </c>
      <c r="C3157" s="1119"/>
      <c r="D3157" s="1119">
        <v>3000737</v>
      </c>
      <c r="E3157" s="192" t="s">
        <v>888</v>
      </c>
      <c r="F3157" s="35"/>
      <c r="G3157" s="35"/>
      <c r="H3157" s="35"/>
      <c r="I3157" s="35"/>
      <c r="J3157" s="35"/>
      <c r="K3157" s="60"/>
      <c r="L3157" s="60"/>
      <c r="M3157" s="60"/>
      <c r="N3157" s="60"/>
      <c r="O3157" s="60"/>
      <c r="P3157" s="60"/>
      <c r="Q3157" s="60"/>
      <c r="R3157" s="60"/>
      <c r="S3157" s="60"/>
      <c r="T3157" s="3377" t="s">
        <v>15</v>
      </c>
      <c r="U3157" s="3378"/>
      <c r="V3157" s="3378"/>
      <c r="W3157" s="3378"/>
      <c r="X3157" s="3378"/>
      <c r="Y3157" s="3379"/>
      <c r="Z3157" s="3377" t="s">
        <v>16</v>
      </c>
      <c r="AA3157" s="3379"/>
      <c r="AB3157" s="35"/>
      <c r="AC3157" s="183"/>
    </row>
    <row r="3158" spans="1:31" x14ac:dyDescent="0.2">
      <c r="A3158" s="1422"/>
      <c r="B3158" s="1433"/>
      <c r="C3158" s="1119"/>
      <c r="D3158" s="1119"/>
      <c r="E3158" s="192"/>
      <c r="F3158" s="35"/>
      <c r="G3158" s="35"/>
      <c r="H3158" s="35"/>
      <c r="I3158" s="35"/>
      <c r="J3158" s="35"/>
      <c r="K3158" s="60"/>
      <c r="L3158" s="60"/>
      <c r="M3158" s="60"/>
      <c r="N3158" s="60"/>
      <c r="O3158" s="60"/>
      <c r="P3158" s="60"/>
      <c r="Q3158" s="60"/>
      <c r="R3158" s="60"/>
      <c r="S3158" s="60"/>
      <c r="T3158" s="3377" t="s">
        <v>889</v>
      </c>
      <c r="U3158" s="3378"/>
      <c r="V3158" s="3378"/>
      <c r="W3158" s="3378"/>
      <c r="X3158" s="3378"/>
      <c r="Y3158" s="3379"/>
      <c r="Z3158" s="3377" t="s">
        <v>146</v>
      </c>
      <c r="AA3158" s="3379"/>
      <c r="AB3158" s="35"/>
      <c r="AC3158" s="183"/>
    </row>
    <row r="3159" spans="1:31" x14ac:dyDescent="0.2">
      <c r="A3159" s="1422"/>
      <c r="B3159" s="2999" t="s">
        <v>278</v>
      </c>
      <c r="C3159" s="3015" t="s">
        <v>21</v>
      </c>
      <c r="D3159" s="2847" t="s">
        <v>22</v>
      </c>
      <c r="E3159" s="2847" t="s">
        <v>23</v>
      </c>
      <c r="F3159" s="2847" t="s">
        <v>24</v>
      </c>
      <c r="G3159" s="2847" t="s">
        <v>25</v>
      </c>
      <c r="H3159" s="2847" t="s">
        <v>26</v>
      </c>
      <c r="I3159" s="2847" t="s">
        <v>27</v>
      </c>
      <c r="J3159" s="2847" t="s">
        <v>28</v>
      </c>
      <c r="K3159" s="2847"/>
      <c r="L3159" s="2988" t="s">
        <v>279</v>
      </c>
      <c r="M3159" s="3273" t="s">
        <v>280</v>
      </c>
      <c r="N3159" s="3274"/>
      <c r="O3159" s="3206" t="s">
        <v>281</v>
      </c>
      <c r="P3159" s="3301"/>
      <c r="Q3159" s="3301"/>
      <c r="R3159" s="3301"/>
      <c r="S3159" s="3301"/>
      <c r="T3159" s="3301"/>
      <c r="U3159" s="3301"/>
      <c r="V3159" s="3301"/>
      <c r="W3159" s="3301"/>
      <c r="X3159" s="3301"/>
      <c r="Y3159" s="3301"/>
      <c r="Z3159" s="3207"/>
      <c r="AA3159" s="2847" t="s">
        <v>32</v>
      </c>
      <c r="AB3159" s="35"/>
      <c r="AC3159" s="183"/>
    </row>
    <row r="3160" spans="1:31" x14ac:dyDescent="0.2">
      <c r="A3160" s="1422"/>
      <c r="B3160" s="2999"/>
      <c r="C3160" s="3359"/>
      <c r="D3160" s="2847"/>
      <c r="E3160" s="2847"/>
      <c r="F3160" s="2847"/>
      <c r="G3160" s="2847"/>
      <c r="H3160" s="2847"/>
      <c r="I3160" s="2847"/>
      <c r="J3160" s="2847" t="s">
        <v>33</v>
      </c>
      <c r="K3160" s="2847" t="s">
        <v>282</v>
      </c>
      <c r="L3160" s="3186"/>
      <c r="M3160" s="3275"/>
      <c r="N3160" s="3276"/>
      <c r="O3160" s="1009" t="s">
        <v>283</v>
      </c>
      <c r="P3160" s="1009" t="s">
        <v>284</v>
      </c>
      <c r="Q3160" s="1009" t="s">
        <v>285</v>
      </c>
      <c r="R3160" s="1009" t="s">
        <v>88</v>
      </c>
      <c r="S3160" s="1009" t="s">
        <v>89</v>
      </c>
      <c r="T3160" s="1009" t="s">
        <v>90</v>
      </c>
      <c r="U3160" s="1009" t="s">
        <v>91</v>
      </c>
      <c r="V3160" s="1009" t="s">
        <v>92</v>
      </c>
      <c r="W3160" s="1009" t="s">
        <v>286</v>
      </c>
      <c r="X3160" s="1009" t="s">
        <v>93</v>
      </c>
      <c r="Y3160" s="1009" t="s">
        <v>94</v>
      </c>
      <c r="Z3160" s="1009" t="s">
        <v>95</v>
      </c>
      <c r="AA3160" s="2847"/>
      <c r="AB3160" s="35"/>
      <c r="AC3160" s="183"/>
    </row>
    <row r="3161" spans="1:31" ht="12.75" x14ac:dyDescent="0.2">
      <c r="A3161" s="1422"/>
      <c r="B3161" s="2999"/>
      <c r="C3161" s="3359"/>
      <c r="D3161" s="2847"/>
      <c r="E3161" s="2847"/>
      <c r="F3161" s="2847"/>
      <c r="G3161" s="2847"/>
      <c r="H3161" s="2847"/>
      <c r="I3161" s="2847"/>
      <c r="J3161" s="2847"/>
      <c r="K3161" s="2847"/>
      <c r="L3161" s="3186"/>
      <c r="M3161" s="3271" t="s">
        <v>287</v>
      </c>
      <c r="N3161" s="3272"/>
      <c r="O3161" s="1095"/>
      <c r="P3161" s="1095">
        <v>1</v>
      </c>
      <c r="Q3161" s="1095">
        <v>2</v>
      </c>
      <c r="R3161" s="1095">
        <v>1</v>
      </c>
      <c r="S3161" s="1095">
        <v>2</v>
      </c>
      <c r="T3161" s="1095">
        <v>1</v>
      </c>
      <c r="U3161" s="1095">
        <v>2</v>
      </c>
      <c r="V3161" s="1095">
        <v>1</v>
      </c>
      <c r="W3161" s="1095"/>
      <c r="X3161" s="1095"/>
      <c r="Y3161" s="1095"/>
      <c r="Z3161" s="1095"/>
      <c r="AA3161" s="1205">
        <f>SUM(O3161:Z3161)</f>
        <v>10</v>
      </c>
      <c r="AB3161" s="1210"/>
      <c r="AC3161" s="1199"/>
      <c r="AD3161" s="1211"/>
    </row>
    <row r="3162" spans="1:31" ht="12.75" x14ac:dyDescent="0.2">
      <c r="A3162" s="1422"/>
      <c r="B3162" s="2999"/>
      <c r="C3162" s="3016"/>
      <c r="D3162" s="2847"/>
      <c r="E3162" s="2847"/>
      <c r="F3162" s="2847"/>
      <c r="G3162" s="2847"/>
      <c r="H3162" s="2847"/>
      <c r="I3162" s="2847"/>
      <c r="J3162" s="2847"/>
      <c r="K3162" s="2847"/>
      <c r="L3162" s="2989"/>
      <c r="M3162" s="3271" t="s">
        <v>34</v>
      </c>
      <c r="N3162" s="3272"/>
      <c r="O3162" s="1095">
        <f>SUM(O3163:O3168)</f>
        <v>0</v>
      </c>
      <c r="P3162" s="1095">
        <f t="shared" ref="P3162:Z3162" si="483">SUM(P3163:P3168)</f>
        <v>2108.8636363636365</v>
      </c>
      <c r="Q3162" s="1095">
        <f t="shared" si="483"/>
        <v>4236.363636363636</v>
      </c>
      <c r="R3162" s="1095">
        <f t="shared" si="483"/>
        <v>1386.3636363636365</v>
      </c>
      <c r="S3162" s="1095">
        <f t="shared" si="483"/>
        <v>3008.8636363636365</v>
      </c>
      <c r="T3162" s="1095">
        <f t="shared" si="483"/>
        <v>836.36363636363637</v>
      </c>
      <c r="U3162" s="1095">
        <f t="shared" si="483"/>
        <v>836.36363636363637</v>
      </c>
      <c r="V3162" s="1095">
        <f t="shared" si="483"/>
        <v>2108.8636363636365</v>
      </c>
      <c r="W3162" s="1095">
        <f t="shared" si="483"/>
        <v>836.36363636363637</v>
      </c>
      <c r="X3162" s="1095">
        <f t="shared" si="483"/>
        <v>836.36363636363637</v>
      </c>
      <c r="Y3162" s="1095">
        <f t="shared" si="483"/>
        <v>2108.8636363636365</v>
      </c>
      <c r="Z3162" s="1095">
        <f t="shared" si="483"/>
        <v>836.36363636363637</v>
      </c>
      <c r="AA3162" s="1205">
        <f t="shared" ref="AA3162:AA3168" si="484">SUM(O3162:Z3162)</f>
        <v>19139.999999999996</v>
      </c>
      <c r="AB3162" s="1210"/>
      <c r="AC3162" s="1199"/>
      <c r="AD3162" s="1211"/>
    </row>
    <row r="3163" spans="1:31" x14ac:dyDescent="0.2">
      <c r="A3163" s="1422"/>
      <c r="B3163" s="2522">
        <v>5005570</v>
      </c>
      <c r="C3163" s="3190" t="s">
        <v>890</v>
      </c>
      <c r="D3163" s="2421"/>
      <c r="E3163" s="2421" t="s">
        <v>860</v>
      </c>
      <c r="F3163" s="2420" t="s">
        <v>861</v>
      </c>
      <c r="G3163" s="2420" t="s">
        <v>862</v>
      </c>
      <c r="H3163" s="2420"/>
      <c r="I3163" s="2420" t="s">
        <v>891</v>
      </c>
      <c r="J3163" s="2514">
        <v>10</v>
      </c>
      <c r="K3163" s="40">
        <v>900</v>
      </c>
      <c r="L3163" s="115"/>
      <c r="M3163" s="3287" t="s">
        <v>302</v>
      </c>
      <c r="N3163" s="3288"/>
      <c r="O3163" s="38"/>
      <c r="P3163" s="38"/>
      <c r="Q3163" s="38"/>
      <c r="R3163" s="38"/>
      <c r="S3163" s="38">
        <f>K3163</f>
        <v>900</v>
      </c>
      <c r="T3163" s="38"/>
      <c r="U3163" s="38"/>
      <c r="V3163" s="38"/>
      <c r="W3163" s="38"/>
      <c r="X3163" s="38"/>
      <c r="Y3163" s="38"/>
      <c r="Z3163" s="38"/>
      <c r="AA3163" s="966">
        <f t="shared" si="484"/>
        <v>900</v>
      </c>
      <c r="AB3163" s="1210"/>
      <c r="AC3163" s="1199"/>
      <c r="AD3163" s="1211"/>
    </row>
    <row r="3164" spans="1:31" x14ac:dyDescent="0.2">
      <c r="A3164" s="1422"/>
      <c r="B3164" s="2522"/>
      <c r="C3164" s="3191"/>
      <c r="D3164" s="2421"/>
      <c r="E3164" s="2421"/>
      <c r="F3164" s="2420"/>
      <c r="G3164" s="2420"/>
      <c r="H3164" s="2420"/>
      <c r="I3164" s="2420"/>
      <c r="J3164" s="2515"/>
      <c r="K3164" s="40">
        <v>1400</v>
      </c>
      <c r="L3164" s="115"/>
      <c r="M3164" s="3287" t="s">
        <v>303</v>
      </c>
      <c r="N3164" s="3288"/>
      <c r="O3164" s="38"/>
      <c r="P3164" s="38"/>
      <c r="Q3164" s="40">
        <f>$K3164</f>
        <v>1400</v>
      </c>
      <c r="R3164" s="38"/>
      <c r="S3164" s="38"/>
      <c r="T3164" s="38"/>
      <c r="U3164" s="38"/>
      <c r="V3164" s="38"/>
      <c r="W3164" s="38"/>
      <c r="X3164" s="38"/>
      <c r="Y3164" s="38"/>
      <c r="Z3164" s="38"/>
      <c r="AA3164" s="966">
        <f t="shared" si="484"/>
        <v>1400</v>
      </c>
      <c r="AB3164" s="1210"/>
      <c r="AC3164" s="1199"/>
      <c r="AD3164" s="1211"/>
    </row>
    <row r="3165" spans="1:31" x14ac:dyDescent="0.2">
      <c r="A3165" s="1422"/>
      <c r="B3165" s="2522"/>
      <c r="C3165" s="3191"/>
      <c r="D3165" s="2421"/>
      <c r="E3165" s="2421"/>
      <c r="F3165" s="2420"/>
      <c r="G3165" s="2420"/>
      <c r="H3165" s="2420"/>
      <c r="I3165" s="2420"/>
      <c r="J3165" s="2515"/>
      <c r="K3165" s="40">
        <v>5090</v>
      </c>
      <c r="L3165" s="115"/>
      <c r="M3165" s="3287" t="s">
        <v>305</v>
      </c>
      <c r="N3165" s="3288"/>
      <c r="O3165" s="38"/>
      <c r="P3165" s="38">
        <f>$K3165/4</f>
        <v>1272.5</v>
      </c>
      <c r="Q3165" s="38"/>
      <c r="R3165" s="38"/>
      <c r="S3165" s="38">
        <f>$K3165/4</f>
        <v>1272.5</v>
      </c>
      <c r="T3165" s="38"/>
      <c r="U3165" s="38"/>
      <c r="V3165" s="38">
        <f>$K3165/4</f>
        <v>1272.5</v>
      </c>
      <c r="W3165" s="38"/>
      <c r="X3165" s="38"/>
      <c r="Y3165" s="38">
        <f>$K3165/4</f>
        <v>1272.5</v>
      </c>
      <c r="Z3165" s="38"/>
      <c r="AA3165" s="966">
        <f t="shared" si="484"/>
        <v>5090</v>
      </c>
      <c r="AB3165" s="1210"/>
      <c r="AC3165" s="1199"/>
      <c r="AD3165" s="1211"/>
    </row>
    <row r="3166" spans="1:31" x14ac:dyDescent="0.2">
      <c r="A3166" s="1422"/>
      <c r="B3166" s="2522"/>
      <c r="C3166" s="3191"/>
      <c r="D3166" s="2421"/>
      <c r="E3166" s="2421"/>
      <c r="F3166" s="2420"/>
      <c r="G3166" s="2420"/>
      <c r="H3166" s="2420"/>
      <c r="I3166" s="2420"/>
      <c r="J3166" s="2515"/>
      <c r="K3166" s="40">
        <v>9200</v>
      </c>
      <c r="L3166" s="115"/>
      <c r="M3166" s="3287" t="s">
        <v>306</v>
      </c>
      <c r="N3166" s="3288"/>
      <c r="O3166" s="38"/>
      <c r="P3166" s="67">
        <f>$K3166/11</f>
        <v>836.36363636363637</v>
      </c>
      <c r="Q3166" s="67">
        <f t="shared" ref="Q3166:Z3166" si="485">$K3166/11</f>
        <v>836.36363636363637</v>
      </c>
      <c r="R3166" s="67">
        <f t="shared" si="485"/>
        <v>836.36363636363637</v>
      </c>
      <c r="S3166" s="67">
        <f t="shared" si="485"/>
        <v>836.36363636363637</v>
      </c>
      <c r="T3166" s="67">
        <f t="shared" si="485"/>
        <v>836.36363636363637</v>
      </c>
      <c r="U3166" s="67">
        <f t="shared" si="485"/>
        <v>836.36363636363637</v>
      </c>
      <c r="V3166" s="67">
        <f t="shared" si="485"/>
        <v>836.36363636363637</v>
      </c>
      <c r="W3166" s="67">
        <f t="shared" si="485"/>
        <v>836.36363636363637</v>
      </c>
      <c r="X3166" s="67">
        <f t="shared" si="485"/>
        <v>836.36363636363637</v>
      </c>
      <c r="Y3166" s="67">
        <f t="shared" si="485"/>
        <v>836.36363636363637</v>
      </c>
      <c r="Z3166" s="67">
        <f t="shared" si="485"/>
        <v>836.36363636363637</v>
      </c>
      <c r="AA3166" s="966">
        <f t="shared" si="484"/>
        <v>9199.9999999999982</v>
      </c>
      <c r="AB3166" s="1210"/>
      <c r="AC3166" s="1199"/>
      <c r="AD3166" s="1211"/>
    </row>
    <row r="3167" spans="1:31" x14ac:dyDescent="0.2">
      <c r="A3167" s="1422"/>
      <c r="B3167" s="2522"/>
      <c r="C3167" s="3191"/>
      <c r="D3167" s="2421"/>
      <c r="E3167" s="2421"/>
      <c r="F3167" s="2420"/>
      <c r="G3167" s="2420"/>
      <c r="H3167" s="2420"/>
      <c r="I3167" s="2420"/>
      <c r="J3167" s="2515"/>
      <c r="K3167" s="40">
        <v>2000</v>
      </c>
      <c r="L3167" s="115"/>
      <c r="M3167" s="3287" t="s">
        <v>308</v>
      </c>
      <c r="N3167" s="3288"/>
      <c r="O3167" s="38"/>
      <c r="P3167" s="38"/>
      <c r="Q3167" s="40">
        <f>$K3167</f>
        <v>2000</v>
      </c>
      <c r="R3167" s="38"/>
      <c r="S3167" s="38"/>
      <c r="T3167" s="38"/>
      <c r="U3167" s="38"/>
      <c r="V3167" s="38"/>
      <c r="W3167" s="38"/>
      <c r="X3167" s="38"/>
      <c r="Y3167" s="38"/>
      <c r="Z3167" s="38"/>
      <c r="AA3167" s="966">
        <f t="shared" si="484"/>
        <v>2000</v>
      </c>
      <c r="AB3167" s="1210"/>
      <c r="AC3167" s="1199"/>
      <c r="AD3167" s="1211"/>
    </row>
    <row r="3168" spans="1:31" x14ac:dyDescent="0.2">
      <c r="A3168" s="1422"/>
      <c r="B3168" s="2522"/>
      <c r="C3168" s="2439"/>
      <c r="D3168" s="2421"/>
      <c r="E3168" s="2421"/>
      <c r="F3168" s="2420"/>
      <c r="G3168" s="2420"/>
      <c r="H3168" s="2420"/>
      <c r="I3168" s="2420"/>
      <c r="J3168" s="2516"/>
      <c r="K3168" s="40">
        <v>550</v>
      </c>
      <c r="L3168" s="115"/>
      <c r="M3168" s="3287" t="s">
        <v>358</v>
      </c>
      <c r="N3168" s="3288"/>
      <c r="O3168" s="38"/>
      <c r="P3168" s="38"/>
      <c r="Q3168" s="38"/>
      <c r="R3168" s="38">
        <f>$K3168</f>
        <v>550</v>
      </c>
      <c r="S3168" s="38"/>
      <c r="T3168" s="38"/>
      <c r="U3168" s="38"/>
      <c r="V3168" s="38"/>
      <c r="W3168" s="38"/>
      <c r="X3168" s="38"/>
      <c r="Y3168" s="38"/>
      <c r="Z3168" s="38"/>
      <c r="AA3168" s="966">
        <f t="shared" si="484"/>
        <v>550</v>
      </c>
      <c r="AB3168" s="1210"/>
      <c r="AC3168" s="1199"/>
      <c r="AD3168" s="1211"/>
    </row>
    <row r="3169" spans="1:30" x14ac:dyDescent="0.2">
      <c r="A3169" s="1422"/>
      <c r="B3169" s="1427" t="s">
        <v>312</v>
      </c>
      <c r="C3169" s="1128"/>
      <c r="D3169" s="38"/>
      <c r="E3169" s="38"/>
      <c r="F3169" s="38"/>
      <c r="G3169" s="38"/>
      <c r="H3169" s="38"/>
      <c r="I3169" s="38"/>
      <c r="J3169" s="38"/>
      <c r="K3169" s="40">
        <f>SUM(K3163:K3168)</f>
        <v>19140</v>
      </c>
      <c r="L3169" s="38"/>
      <c r="M3169" s="38"/>
      <c r="N3169" s="38"/>
      <c r="O3169" s="38"/>
      <c r="P3169" s="38"/>
      <c r="Q3169" s="38"/>
      <c r="R3169" s="38"/>
      <c r="S3169" s="38"/>
      <c r="T3169" s="38"/>
      <c r="U3169" s="38"/>
      <c r="V3169" s="38"/>
      <c r="W3169" s="38"/>
      <c r="X3169" s="38"/>
      <c r="Y3169" s="38"/>
      <c r="Z3169" s="38"/>
      <c r="AA3169" s="1224"/>
      <c r="AB3169" s="1210"/>
      <c r="AC3169" s="1199"/>
      <c r="AD3169" s="1211"/>
    </row>
    <row r="3170" spans="1:30" x14ac:dyDescent="0.2">
      <c r="A3170" s="1422"/>
      <c r="B3170" s="1433" t="s">
        <v>276</v>
      </c>
      <c r="C3170" s="1119"/>
      <c r="D3170" s="1119">
        <v>3000738</v>
      </c>
      <c r="E3170" s="192" t="s">
        <v>892</v>
      </c>
      <c r="F3170" s="35"/>
      <c r="G3170" s="35"/>
      <c r="H3170" s="35"/>
      <c r="I3170" s="35"/>
      <c r="J3170" s="35"/>
      <c r="K3170" s="60"/>
      <c r="L3170" s="60"/>
      <c r="M3170" s="60"/>
      <c r="N3170" s="60"/>
      <c r="O3170" s="60"/>
      <c r="P3170" s="60"/>
      <c r="Q3170" s="60"/>
      <c r="R3170" s="60"/>
      <c r="S3170" s="60"/>
      <c r="T3170" s="3377" t="s">
        <v>15</v>
      </c>
      <c r="U3170" s="3378"/>
      <c r="V3170" s="3378"/>
      <c r="W3170" s="3378"/>
      <c r="X3170" s="3378"/>
      <c r="Y3170" s="3379"/>
      <c r="Z3170" s="3377" t="s">
        <v>16</v>
      </c>
      <c r="AA3170" s="3379"/>
      <c r="AB3170" s="35"/>
      <c r="AC3170" s="183"/>
    </row>
    <row r="3171" spans="1:30" x14ac:dyDescent="0.2">
      <c r="A3171" s="1422"/>
      <c r="B3171" s="1433"/>
      <c r="C3171" s="1119"/>
      <c r="D3171" s="1119"/>
      <c r="E3171" s="192"/>
      <c r="F3171" s="35"/>
      <c r="G3171" s="35"/>
      <c r="H3171" s="35"/>
      <c r="I3171" s="35"/>
      <c r="J3171" s="35"/>
      <c r="K3171" s="60"/>
      <c r="L3171" s="60"/>
      <c r="M3171" s="60"/>
      <c r="N3171" s="60"/>
      <c r="O3171" s="60"/>
      <c r="P3171" s="60"/>
      <c r="Q3171" s="60"/>
      <c r="R3171" s="60"/>
      <c r="S3171" s="60"/>
      <c r="T3171" s="3377" t="s">
        <v>893</v>
      </c>
      <c r="U3171" s="3378"/>
      <c r="V3171" s="3378"/>
      <c r="W3171" s="3378"/>
      <c r="X3171" s="3378"/>
      <c r="Y3171" s="3379"/>
      <c r="Z3171" s="3395" t="s">
        <v>661</v>
      </c>
      <c r="AA3171" s="3397"/>
      <c r="AB3171" s="35"/>
      <c r="AC3171" s="183"/>
    </row>
    <row r="3172" spans="1:30" x14ac:dyDescent="0.2">
      <c r="A3172" s="1422"/>
      <c r="B3172" s="2999" t="s">
        <v>278</v>
      </c>
      <c r="C3172" s="3015" t="s">
        <v>21</v>
      </c>
      <c r="D3172" s="2847" t="s">
        <v>22</v>
      </c>
      <c r="E3172" s="2847" t="s">
        <v>23</v>
      </c>
      <c r="F3172" s="2847" t="s">
        <v>24</v>
      </c>
      <c r="G3172" s="2847" t="s">
        <v>25</v>
      </c>
      <c r="H3172" s="2847" t="s">
        <v>26</v>
      </c>
      <c r="I3172" s="2847" t="s">
        <v>27</v>
      </c>
      <c r="J3172" s="2847" t="s">
        <v>28</v>
      </c>
      <c r="K3172" s="2847"/>
      <c r="L3172" s="2988" t="s">
        <v>279</v>
      </c>
      <c r="M3172" s="3273" t="s">
        <v>280</v>
      </c>
      <c r="N3172" s="3274"/>
      <c r="O3172" s="3206" t="s">
        <v>281</v>
      </c>
      <c r="P3172" s="3301"/>
      <c r="Q3172" s="3301"/>
      <c r="R3172" s="3301"/>
      <c r="S3172" s="3301"/>
      <c r="T3172" s="3301"/>
      <c r="U3172" s="3301"/>
      <c r="V3172" s="3301"/>
      <c r="W3172" s="3301"/>
      <c r="X3172" s="3301"/>
      <c r="Y3172" s="3301"/>
      <c r="Z3172" s="3207"/>
      <c r="AA3172" s="2847" t="s">
        <v>32</v>
      </c>
      <c r="AB3172" s="35"/>
      <c r="AC3172" s="183"/>
    </row>
    <row r="3173" spans="1:30" x14ac:dyDescent="0.2">
      <c r="A3173" s="1422"/>
      <c r="B3173" s="2999"/>
      <c r="C3173" s="3359"/>
      <c r="D3173" s="2847"/>
      <c r="E3173" s="2847"/>
      <c r="F3173" s="2847"/>
      <c r="G3173" s="2847"/>
      <c r="H3173" s="2847"/>
      <c r="I3173" s="2847"/>
      <c r="J3173" s="2847" t="s">
        <v>33</v>
      </c>
      <c r="K3173" s="2847" t="s">
        <v>282</v>
      </c>
      <c r="L3173" s="3186"/>
      <c r="M3173" s="3275"/>
      <c r="N3173" s="3276"/>
      <c r="O3173" s="1009" t="s">
        <v>283</v>
      </c>
      <c r="P3173" s="1009" t="s">
        <v>284</v>
      </c>
      <c r="Q3173" s="1009" t="s">
        <v>285</v>
      </c>
      <c r="R3173" s="1009" t="s">
        <v>88</v>
      </c>
      <c r="S3173" s="1009" t="s">
        <v>89</v>
      </c>
      <c r="T3173" s="1009" t="s">
        <v>90</v>
      </c>
      <c r="U3173" s="1009" t="s">
        <v>91</v>
      </c>
      <c r="V3173" s="1009" t="s">
        <v>92</v>
      </c>
      <c r="W3173" s="1009" t="s">
        <v>286</v>
      </c>
      <c r="X3173" s="1009" t="s">
        <v>93</v>
      </c>
      <c r="Y3173" s="1009" t="s">
        <v>94</v>
      </c>
      <c r="Z3173" s="1009" t="s">
        <v>95</v>
      </c>
      <c r="AA3173" s="2847"/>
      <c r="AB3173" s="35"/>
      <c r="AC3173" s="183"/>
    </row>
    <row r="3174" spans="1:30" x14ac:dyDescent="0.2">
      <c r="A3174" s="1422"/>
      <c r="B3174" s="2999"/>
      <c r="C3174" s="3359"/>
      <c r="D3174" s="2847"/>
      <c r="E3174" s="2847"/>
      <c r="F3174" s="2847"/>
      <c r="G3174" s="2847"/>
      <c r="H3174" s="2847"/>
      <c r="I3174" s="2847"/>
      <c r="J3174" s="2847"/>
      <c r="K3174" s="2847"/>
      <c r="L3174" s="3186"/>
      <c r="M3174" s="3271" t="s">
        <v>287</v>
      </c>
      <c r="N3174" s="3272"/>
      <c r="O3174" s="1095">
        <v>40</v>
      </c>
      <c r="P3174" s="1095">
        <v>40</v>
      </c>
      <c r="Q3174" s="1095">
        <v>40</v>
      </c>
      <c r="R3174" s="1095">
        <v>40</v>
      </c>
      <c r="S3174" s="1095">
        <v>40</v>
      </c>
      <c r="T3174" s="1095">
        <v>40</v>
      </c>
      <c r="U3174" s="1095">
        <v>40</v>
      </c>
      <c r="V3174" s="1095">
        <v>40</v>
      </c>
      <c r="W3174" s="1095">
        <v>40</v>
      </c>
      <c r="X3174" s="1095">
        <v>40</v>
      </c>
      <c r="Y3174" s="1095">
        <v>40</v>
      </c>
      <c r="Z3174" s="1095">
        <v>40</v>
      </c>
      <c r="AA3174" s="1196">
        <f>SUM(O3174:Z3174)</f>
        <v>480</v>
      </c>
      <c r="AB3174" s="1210"/>
      <c r="AC3174" s="1199"/>
      <c r="AD3174" s="1211"/>
    </row>
    <row r="3175" spans="1:30" x14ac:dyDescent="0.2">
      <c r="A3175" s="1422"/>
      <c r="B3175" s="2999"/>
      <c r="C3175" s="3016"/>
      <c r="D3175" s="2847"/>
      <c r="E3175" s="2847"/>
      <c r="F3175" s="2847"/>
      <c r="G3175" s="2847"/>
      <c r="H3175" s="2847"/>
      <c r="I3175" s="2847"/>
      <c r="J3175" s="2847"/>
      <c r="K3175" s="2847"/>
      <c r="L3175" s="2989"/>
      <c r="M3175" s="3271" t="s">
        <v>34</v>
      </c>
      <c r="N3175" s="3272"/>
      <c r="O3175" s="36">
        <f>SUM(O3176:O3191)</f>
        <v>64295.25</v>
      </c>
      <c r="P3175" s="36">
        <f>SUM(P3176:P3191)</f>
        <v>134133.34090909091</v>
      </c>
      <c r="Q3175" s="36">
        <f t="shared" ref="Q3175:Z3175" si="486">SUM(Q3176:Q3191)</f>
        <v>115445.9409090909</v>
      </c>
      <c r="R3175" s="36">
        <f t="shared" si="486"/>
        <v>107870.9409090909</v>
      </c>
      <c r="S3175" s="36">
        <f t="shared" si="486"/>
        <v>173545.94090909095</v>
      </c>
      <c r="T3175" s="36">
        <f t="shared" si="486"/>
        <v>105170.9409090909</v>
      </c>
      <c r="U3175" s="36">
        <f t="shared" si="486"/>
        <v>105170.9409090909</v>
      </c>
      <c r="V3175" s="36">
        <f t="shared" si="486"/>
        <v>175820.94090909095</v>
      </c>
      <c r="W3175" s="36">
        <f t="shared" si="486"/>
        <v>105170.9409090909</v>
      </c>
      <c r="X3175" s="36">
        <f t="shared" si="486"/>
        <v>105170.9409090909</v>
      </c>
      <c r="Y3175" s="36">
        <f t="shared" si="486"/>
        <v>172295.94090909095</v>
      </c>
      <c r="Z3175" s="36">
        <f t="shared" si="486"/>
        <v>105170.9409090909</v>
      </c>
      <c r="AA3175" s="1196">
        <f>SUM(O3175:Z3175)</f>
        <v>1469263</v>
      </c>
      <c r="AB3175" s="1210"/>
      <c r="AC3175" s="1199"/>
      <c r="AD3175" s="1211"/>
    </row>
    <row r="3176" spans="1:30" x14ac:dyDescent="0.2">
      <c r="A3176" s="1422"/>
      <c r="B3176" s="2438">
        <v>5005580</v>
      </c>
      <c r="C3176" s="3190" t="s">
        <v>894</v>
      </c>
      <c r="D3176" s="3403"/>
      <c r="E3176" s="2431" t="s">
        <v>860</v>
      </c>
      <c r="F3176" s="2514" t="s">
        <v>861</v>
      </c>
      <c r="G3176" s="2514" t="s">
        <v>862</v>
      </c>
      <c r="H3176" s="2514" t="s">
        <v>895</v>
      </c>
      <c r="I3176" s="2514" t="s">
        <v>780</v>
      </c>
      <c r="J3176" s="2514">
        <v>480</v>
      </c>
      <c r="K3176" s="40">
        <v>300</v>
      </c>
      <c r="L3176" s="115"/>
      <c r="M3176" s="3287" t="s">
        <v>380</v>
      </c>
      <c r="N3176" s="3288"/>
      <c r="O3176" s="40">
        <f>$K3176</f>
        <v>300</v>
      </c>
      <c r="P3176" s="38"/>
      <c r="Q3176" s="38"/>
      <c r="R3176" s="38"/>
      <c r="S3176" s="38"/>
      <c r="T3176" s="38"/>
      <c r="U3176" s="38"/>
      <c r="V3176" s="38"/>
      <c r="W3176" s="38"/>
      <c r="X3176" s="38"/>
      <c r="Y3176" s="38"/>
      <c r="Z3176" s="38"/>
      <c r="AA3176" s="966">
        <f t="shared" ref="AA3176:AA3179" si="487">SUM(O3176:Z3176)</f>
        <v>300</v>
      </c>
      <c r="AB3176" s="1210"/>
      <c r="AC3176" s="1199"/>
      <c r="AD3176" s="1211"/>
    </row>
    <row r="3177" spans="1:30" x14ac:dyDescent="0.2">
      <c r="A3177" s="1422"/>
      <c r="B3177" s="2456"/>
      <c r="C3177" s="3191"/>
      <c r="D3177" s="3404"/>
      <c r="E3177" s="2432"/>
      <c r="F3177" s="2515"/>
      <c r="G3177" s="2515"/>
      <c r="H3177" s="2515"/>
      <c r="I3177" s="2515"/>
      <c r="J3177" s="2515"/>
      <c r="K3177" s="40">
        <v>700</v>
      </c>
      <c r="L3177" s="115"/>
      <c r="M3177" s="3287" t="s">
        <v>879</v>
      </c>
      <c r="N3177" s="3288"/>
      <c r="O3177" s="38"/>
      <c r="P3177" s="38"/>
      <c r="Q3177" s="38"/>
      <c r="R3177" s="38">
        <f>$K3177</f>
        <v>700</v>
      </c>
      <c r="S3177" s="38"/>
      <c r="T3177" s="38"/>
      <c r="U3177" s="38"/>
      <c r="V3177" s="38"/>
      <c r="W3177" s="38"/>
      <c r="X3177" s="38"/>
      <c r="Y3177" s="38"/>
      <c r="Z3177" s="38"/>
      <c r="AA3177" s="966">
        <f t="shared" si="487"/>
        <v>700</v>
      </c>
      <c r="AB3177" s="1210"/>
      <c r="AC3177" s="1199"/>
      <c r="AD3177" s="1211"/>
    </row>
    <row r="3178" spans="1:30" x14ac:dyDescent="0.2">
      <c r="A3178" s="1422"/>
      <c r="B3178" s="2456"/>
      <c r="C3178" s="3191"/>
      <c r="D3178" s="3404"/>
      <c r="E3178" s="2432"/>
      <c r="F3178" s="2515"/>
      <c r="G3178" s="2515"/>
      <c r="H3178" s="2515"/>
      <c r="I3178" s="2515"/>
      <c r="J3178" s="2515"/>
      <c r="K3178" s="40">
        <v>1250</v>
      </c>
      <c r="L3178" s="115"/>
      <c r="M3178" s="3287" t="s">
        <v>302</v>
      </c>
      <c r="N3178" s="3288"/>
      <c r="O3178" s="38"/>
      <c r="P3178" s="38"/>
      <c r="Q3178" s="38"/>
      <c r="R3178" s="38"/>
      <c r="S3178" s="38">
        <f>K3178</f>
        <v>1250</v>
      </c>
      <c r="T3178" s="38"/>
      <c r="U3178" s="38"/>
      <c r="V3178" s="38"/>
      <c r="W3178" s="38"/>
      <c r="X3178" s="38"/>
      <c r="Y3178" s="38"/>
      <c r="Z3178" s="38"/>
      <c r="AA3178" s="966">
        <f t="shared" si="487"/>
        <v>1250</v>
      </c>
      <c r="AB3178" s="1210"/>
      <c r="AC3178" s="1199"/>
      <c r="AD3178" s="1211"/>
    </row>
    <row r="3179" spans="1:30" x14ac:dyDescent="0.2">
      <c r="A3179" s="1422"/>
      <c r="B3179" s="2456"/>
      <c r="C3179" s="3191"/>
      <c r="D3179" s="3404"/>
      <c r="E3179" s="2432"/>
      <c r="F3179" s="2515"/>
      <c r="G3179" s="2515"/>
      <c r="H3179" s="2515"/>
      <c r="I3179" s="2515"/>
      <c r="J3179" s="2515"/>
      <c r="K3179" s="40">
        <v>4550</v>
      </c>
      <c r="L3179" s="115"/>
      <c r="M3179" s="3287" t="s">
        <v>303</v>
      </c>
      <c r="N3179" s="3288"/>
      <c r="O3179" s="38"/>
      <c r="P3179" s="38"/>
      <c r="Q3179" s="40">
        <f>$K3179</f>
        <v>4550</v>
      </c>
      <c r="R3179" s="38"/>
      <c r="S3179" s="38"/>
      <c r="T3179" s="38"/>
      <c r="U3179" s="38"/>
      <c r="V3179" s="38"/>
      <c r="W3179" s="38"/>
      <c r="X3179" s="38"/>
      <c r="Y3179" s="38"/>
      <c r="Z3179" s="38"/>
      <c r="AA3179" s="966">
        <f t="shared" si="487"/>
        <v>4550</v>
      </c>
      <c r="AB3179" s="1210"/>
      <c r="AC3179" s="1199"/>
      <c r="AD3179" s="1211"/>
    </row>
    <row r="3180" spans="1:30" x14ac:dyDescent="0.2">
      <c r="A3180" s="1422"/>
      <c r="B3180" s="2456"/>
      <c r="C3180" s="3191"/>
      <c r="D3180" s="3404"/>
      <c r="E3180" s="2432"/>
      <c r="F3180" s="2515"/>
      <c r="G3180" s="2515"/>
      <c r="H3180" s="2515"/>
      <c r="I3180" s="2515"/>
      <c r="J3180" s="2515"/>
      <c r="K3180" s="40">
        <v>24306</v>
      </c>
      <c r="L3180" s="115"/>
      <c r="M3180" s="3287" t="s">
        <v>381</v>
      </c>
      <c r="N3180" s="3288"/>
      <c r="O3180" s="38">
        <f>$K3180/12</f>
        <v>2025.5</v>
      </c>
      <c r="P3180" s="38">
        <f t="shared" ref="P3180:AA3191" si="488">$K3180/12</f>
        <v>2025.5</v>
      </c>
      <c r="Q3180" s="38">
        <f t="shared" si="488"/>
        <v>2025.5</v>
      </c>
      <c r="R3180" s="38">
        <f t="shared" si="488"/>
        <v>2025.5</v>
      </c>
      <c r="S3180" s="38">
        <f t="shared" si="488"/>
        <v>2025.5</v>
      </c>
      <c r="T3180" s="38">
        <f t="shared" si="488"/>
        <v>2025.5</v>
      </c>
      <c r="U3180" s="38">
        <f t="shared" si="488"/>
        <v>2025.5</v>
      </c>
      <c r="V3180" s="38">
        <f t="shared" si="488"/>
        <v>2025.5</v>
      </c>
      <c r="W3180" s="38">
        <f t="shared" si="488"/>
        <v>2025.5</v>
      </c>
      <c r="X3180" s="38">
        <f t="shared" si="488"/>
        <v>2025.5</v>
      </c>
      <c r="Y3180" s="38">
        <f t="shared" si="488"/>
        <v>2025.5</v>
      </c>
      <c r="Z3180" s="38">
        <f t="shared" si="488"/>
        <v>2025.5</v>
      </c>
      <c r="AA3180" s="966">
        <f t="shared" si="488"/>
        <v>2025.5</v>
      </c>
      <c r="AB3180" s="1210"/>
      <c r="AC3180" s="1199"/>
      <c r="AD3180" s="1211"/>
    </row>
    <row r="3181" spans="1:30" x14ac:dyDescent="0.2">
      <c r="A3181" s="1422"/>
      <c r="B3181" s="2456"/>
      <c r="C3181" s="3191"/>
      <c r="D3181" s="3404"/>
      <c r="E3181" s="2432"/>
      <c r="F3181" s="2515"/>
      <c r="G3181" s="2515"/>
      <c r="H3181" s="2515"/>
      <c r="I3181" s="2515"/>
      <c r="J3181" s="2515"/>
      <c r="K3181" s="40">
        <v>268500</v>
      </c>
      <c r="L3181" s="115"/>
      <c r="M3181" s="3287" t="s">
        <v>305</v>
      </c>
      <c r="N3181" s="3288"/>
      <c r="O3181" s="38"/>
      <c r="P3181" s="38">
        <f>$K3181/4</f>
        <v>67125</v>
      </c>
      <c r="Q3181" s="38"/>
      <c r="R3181" s="38"/>
      <c r="S3181" s="38">
        <f>$K3181/4</f>
        <v>67125</v>
      </c>
      <c r="T3181" s="38"/>
      <c r="U3181" s="38"/>
      <c r="V3181" s="38">
        <f>$K3181/4</f>
        <v>67125</v>
      </c>
      <c r="W3181" s="38"/>
      <c r="X3181" s="38"/>
      <c r="Y3181" s="38">
        <f>$K3181/4</f>
        <v>67125</v>
      </c>
      <c r="Z3181" s="38"/>
      <c r="AA3181" s="966">
        <f t="shared" si="488"/>
        <v>22375</v>
      </c>
      <c r="AB3181" s="1210"/>
      <c r="AC3181" s="1199"/>
      <c r="AD3181" s="1211"/>
    </row>
    <row r="3182" spans="1:30" x14ac:dyDescent="0.2">
      <c r="A3182" s="1422"/>
      <c r="B3182" s="2456"/>
      <c r="C3182" s="3191"/>
      <c r="D3182" s="3404"/>
      <c r="E3182" s="2432"/>
      <c r="F3182" s="2515"/>
      <c r="G3182" s="2515"/>
      <c r="H3182" s="2515"/>
      <c r="I3182" s="2515"/>
      <c r="J3182" s="2515"/>
      <c r="K3182" s="40">
        <v>32044</v>
      </c>
      <c r="L3182" s="115"/>
      <c r="M3182" s="3287" t="s">
        <v>306</v>
      </c>
      <c r="N3182" s="3288"/>
      <c r="O3182" s="38"/>
      <c r="P3182" s="67">
        <f>$K3182/11</f>
        <v>2913.090909090909</v>
      </c>
      <c r="Q3182" s="67">
        <f t="shared" ref="Q3182:Z3183" si="489">$K3182/11</f>
        <v>2913.090909090909</v>
      </c>
      <c r="R3182" s="67">
        <f t="shared" si="489"/>
        <v>2913.090909090909</v>
      </c>
      <c r="S3182" s="67">
        <f t="shared" si="489"/>
        <v>2913.090909090909</v>
      </c>
      <c r="T3182" s="67">
        <f t="shared" si="489"/>
        <v>2913.090909090909</v>
      </c>
      <c r="U3182" s="67">
        <f t="shared" si="489"/>
        <v>2913.090909090909</v>
      </c>
      <c r="V3182" s="67">
        <f t="shared" si="489"/>
        <v>2913.090909090909</v>
      </c>
      <c r="W3182" s="67">
        <f t="shared" si="489"/>
        <v>2913.090909090909</v>
      </c>
      <c r="X3182" s="67">
        <f t="shared" si="489"/>
        <v>2913.090909090909</v>
      </c>
      <c r="Y3182" s="67">
        <f t="shared" si="489"/>
        <v>2913.090909090909</v>
      </c>
      <c r="Z3182" s="67">
        <f t="shared" si="489"/>
        <v>2913.090909090909</v>
      </c>
      <c r="AA3182" s="966">
        <f t="shared" si="488"/>
        <v>2670.3333333333335</v>
      </c>
      <c r="AB3182" s="1210"/>
      <c r="AC3182" s="1199"/>
      <c r="AD3182" s="1211"/>
    </row>
    <row r="3183" spans="1:30" x14ac:dyDescent="0.2">
      <c r="A3183" s="1422"/>
      <c r="B3183" s="2456"/>
      <c r="C3183" s="3191"/>
      <c r="D3183" s="3404"/>
      <c r="E3183" s="2432"/>
      <c r="F3183" s="2515"/>
      <c r="G3183" s="2515"/>
      <c r="H3183" s="2515"/>
      <c r="I3183" s="2515"/>
      <c r="J3183" s="2515"/>
      <c r="K3183" s="40">
        <v>1100</v>
      </c>
      <c r="L3183" s="115"/>
      <c r="M3183" s="3287" t="s">
        <v>307</v>
      </c>
      <c r="N3183" s="3288"/>
      <c r="O3183" s="38"/>
      <c r="P3183" s="42">
        <f>$K3183/11</f>
        <v>100</v>
      </c>
      <c r="Q3183" s="42">
        <f t="shared" si="489"/>
        <v>100</v>
      </c>
      <c r="R3183" s="42">
        <f t="shared" si="489"/>
        <v>100</v>
      </c>
      <c r="S3183" s="42">
        <f t="shared" si="489"/>
        <v>100</v>
      </c>
      <c r="T3183" s="42">
        <f t="shared" si="489"/>
        <v>100</v>
      </c>
      <c r="U3183" s="42">
        <f t="shared" si="489"/>
        <v>100</v>
      </c>
      <c r="V3183" s="42">
        <f t="shared" si="489"/>
        <v>100</v>
      </c>
      <c r="W3183" s="42">
        <f t="shared" si="489"/>
        <v>100</v>
      </c>
      <c r="X3183" s="42">
        <f t="shared" si="489"/>
        <v>100</v>
      </c>
      <c r="Y3183" s="42">
        <f t="shared" si="489"/>
        <v>100</v>
      </c>
      <c r="Z3183" s="42">
        <f t="shared" si="489"/>
        <v>100</v>
      </c>
      <c r="AA3183" s="966">
        <f t="shared" si="488"/>
        <v>91.666666666666671</v>
      </c>
      <c r="AB3183" s="1210"/>
      <c r="AC3183" s="1199"/>
      <c r="AD3183" s="1211"/>
    </row>
    <row r="3184" spans="1:30" x14ac:dyDescent="0.2">
      <c r="A3184" s="1422"/>
      <c r="B3184" s="2456"/>
      <c r="C3184" s="3191"/>
      <c r="D3184" s="3404"/>
      <c r="E3184" s="2432"/>
      <c r="F3184" s="2515"/>
      <c r="G3184" s="2515"/>
      <c r="H3184" s="2515"/>
      <c r="I3184" s="2515"/>
      <c r="J3184" s="2515"/>
      <c r="K3184" s="40">
        <v>7050</v>
      </c>
      <c r="L3184" s="115"/>
      <c r="M3184" s="3287" t="s">
        <v>308</v>
      </c>
      <c r="N3184" s="3288"/>
      <c r="O3184" s="38"/>
      <c r="P3184" s="38"/>
      <c r="Q3184" s="40">
        <f>$K3184/2</f>
        <v>3525</v>
      </c>
      <c r="R3184" s="38"/>
      <c r="S3184" s="38"/>
      <c r="T3184" s="38"/>
      <c r="U3184" s="38"/>
      <c r="V3184" s="40">
        <f>$K3184/2</f>
        <v>3525</v>
      </c>
      <c r="W3184" s="38"/>
      <c r="X3184" s="38"/>
      <c r="Y3184" s="38"/>
      <c r="Z3184" s="38"/>
      <c r="AA3184" s="966">
        <f t="shared" si="488"/>
        <v>587.5</v>
      </c>
      <c r="AB3184" s="1210"/>
      <c r="AC3184" s="1199"/>
      <c r="AD3184" s="1211"/>
    </row>
    <row r="3185" spans="1:30" x14ac:dyDescent="0.2">
      <c r="A3185" s="1422"/>
      <c r="B3185" s="2456"/>
      <c r="C3185" s="3191"/>
      <c r="D3185" s="3404"/>
      <c r="E3185" s="2432"/>
      <c r="F3185" s="2515"/>
      <c r="G3185" s="2515"/>
      <c r="H3185" s="2515"/>
      <c r="I3185" s="2515"/>
      <c r="J3185" s="2515"/>
      <c r="K3185" s="40">
        <v>381626</v>
      </c>
      <c r="L3185" s="115"/>
      <c r="M3185" s="3287" t="s">
        <v>309</v>
      </c>
      <c r="N3185" s="3288"/>
      <c r="O3185" s="38"/>
      <c r="P3185" s="38"/>
      <c r="Q3185" s="40">
        <f>$K3185/10</f>
        <v>38162.6</v>
      </c>
      <c r="R3185" s="40">
        <f t="shared" ref="R3185:Z3185" si="490">$K3185/10</f>
        <v>38162.6</v>
      </c>
      <c r="S3185" s="40">
        <f t="shared" si="490"/>
        <v>38162.6</v>
      </c>
      <c r="T3185" s="40">
        <f t="shared" si="490"/>
        <v>38162.6</v>
      </c>
      <c r="U3185" s="38">
        <f t="shared" si="490"/>
        <v>38162.6</v>
      </c>
      <c r="V3185" s="40">
        <f t="shared" si="490"/>
        <v>38162.6</v>
      </c>
      <c r="W3185" s="38">
        <f t="shared" si="490"/>
        <v>38162.6</v>
      </c>
      <c r="X3185" s="40">
        <f t="shared" si="490"/>
        <v>38162.6</v>
      </c>
      <c r="Y3185" s="38">
        <f t="shared" si="490"/>
        <v>38162.6</v>
      </c>
      <c r="Z3185" s="40">
        <f t="shared" si="490"/>
        <v>38162.6</v>
      </c>
      <c r="AA3185" s="966">
        <f t="shared" si="488"/>
        <v>31802.166666666668</v>
      </c>
      <c r="AB3185" s="1210"/>
      <c r="AC3185" s="1199"/>
      <c r="AD3185" s="1211"/>
    </row>
    <row r="3186" spans="1:30" x14ac:dyDescent="0.2">
      <c r="A3186" s="1422"/>
      <c r="B3186" s="2456"/>
      <c r="C3186" s="3191"/>
      <c r="D3186" s="3404"/>
      <c r="E3186" s="2432"/>
      <c r="F3186" s="2515"/>
      <c r="G3186" s="2515"/>
      <c r="H3186" s="2515"/>
      <c r="I3186" s="2515"/>
      <c r="J3186" s="2515"/>
      <c r="K3186" s="40">
        <v>178178</v>
      </c>
      <c r="L3186" s="115"/>
      <c r="M3186" s="3287" t="s">
        <v>358</v>
      </c>
      <c r="N3186" s="3288"/>
      <c r="O3186" s="38">
        <f>$K3186/12</f>
        <v>14848.166666666666</v>
      </c>
      <c r="P3186" s="38">
        <f t="shared" ref="P3186:Z3186" si="491">$K3186/12</f>
        <v>14848.166666666666</v>
      </c>
      <c r="Q3186" s="38">
        <f t="shared" si="491"/>
        <v>14848.166666666666</v>
      </c>
      <c r="R3186" s="38">
        <f t="shared" si="491"/>
        <v>14848.166666666666</v>
      </c>
      <c r="S3186" s="38">
        <f t="shared" si="491"/>
        <v>14848.166666666666</v>
      </c>
      <c r="T3186" s="38">
        <f t="shared" si="491"/>
        <v>14848.166666666666</v>
      </c>
      <c r="U3186" s="38">
        <f t="shared" si="491"/>
        <v>14848.166666666666</v>
      </c>
      <c r="V3186" s="38">
        <f t="shared" si="491"/>
        <v>14848.166666666666</v>
      </c>
      <c r="W3186" s="38">
        <f t="shared" si="491"/>
        <v>14848.166666666666</v>
      </c>
      <c r="X3186" s="38">
        <f t="shared" si="491"/>
        <v>14848.166666666666</v>
      </c>
      <c r="Y3186" s="38">
        <f t="shared" si="491"/>
        <v>14848.166666666666</v>
      </c>
      <c r="Z3186" s="38">
        <f t="shared" si="491"/>
        <v>14848.166666666666</v>
      </c>
      <c r="AA3186" s="966">
        <f t="shared" si="488"/>
        <v>14848.166666666666</v>
      </c>
      <c r="AB3186" s="1210"/>
      <c r="AC3186" s="1199"/>
      <c r="AD3186" s="1211"/>
    </row>
    <row r="3187" spans="1:30" x14ac:dyDescent="0.2">
      <c r="A3187" s="1422"/>
      <c r="B3187" s="2456"/>
      <c r="C3187" s="3191"/>
      <c r="D3187" s="3404"/>
      <c r="E3187" s="2432"/>
      <c r="F3187" s="2515"/>
      <c r="G3187" s="2515"/>
      <c r="H3187" s="2515"/>
      <c r="I3187" s="2515"/>
      <c r="J3187" s="2515"/>
      <c r="K3187" s="40">
        <v>2000</v>
      </c>
      <c r="L3187" s="115"/>
      <c r="M3187" s="3287" t="s">
        <v>896</v>
      </c>
      <c r="N3187" s="3288"/>
      <c r="O3187" s="38"/>
      <c r="P3187" s="38"/>
      <c r="Q3187" s="38"/>
      <c r="R3187" s="38">
        <f>$K3187</f>
        <v>2000</v>
      </c>
      <c r="S3187" s="38"/>
      <c r="T3187" s="38"/>
      <c r="U3187" s="38"/>
      <c r="V3187" s="38"/>
      <c r="W3187" s="38"/>
      <c r="X3187" s="38"/>
      <c r="Y3187" s="38"/>
      <c r="Z3187" s="38"/>
      <c r="AA3187" s="966">
        <f t="shared" si="488"/>
        <v>166.66666666666666</v>
      </c>
      <c r="AB3187" s="1210"/>
      <c r="AC3187" s="1199"/>
      <c r="AD3187" s="1211"/>
    </row>
    <row r="3188" spans="1:30" x14ac:dyDescent="0.2">
      <c r="A3188" s="1422"/>
      <c r="B3188" s="2456"/>
      <c r="C3188" s="3191"/>
      <c r="D3188" s="3404"/>
      <c r="E3188" s="2432"/>
      <c r="F3188" s="2515"/>
      <c r="G3188" s="2515"/>
      <c r="H3188" s="2515"/>
      <c r="I3188" s="2515"/>
      <c r="J3188" s="2515"/>
      <c r="K3188" s="40">
        <v>800</v>
      </c>
      <c r="L3188" s="115"/>
      <c r="M3188" s="3287" t="s">
        <v>429</v>
      </c>
      <c r="N3188" s="3288"/>
      <c r="O3188" s="38"/>
      <c r="P3188" s="38"/>
      <c r="Q3188" s="38">
        <f>$K3188</f>
        <v>800</v>
      </c>
      <c r="R3188" s="38"/>
      <c r="S3188" s="38"/>
      <c r="T3188" s="38"/>
      <c r="U3188" s="38"/>
      <c r="V3188" s="38"/>
      <c r="W3188" s="38"/>
      <c r="X3188" s="38"/>
      <c r="Y3188" s="38"/>
      <c r="Z3188" s="38"/>
      <c r="AA3188" s="966">
        <f t="shared" si="488"/>
        <v>66.666666666666671</v>
      </c>
      <c r="AB3188" s="1210"/>
      <c r="AC3188" s="1199"/>
      <c r="AD3188" s="1211"/>
    </row>
    <row r="3189" spans="1:30" x14ac:dyDescent="0.2">
      <c r="A3189" s="1422"/>
      <c r="B3189" s="2456"/>
      <c r="C3189" s="3191"/>
      <c r="D3189" s="3404"/>
      <c r="E3189" s="2432"/>
      <c r="F3189" s="2515"/>
      <c r="G3189" s="2515"/>
      <c r="H3189" s="2515"/>
      <c r="I3189" s="2515"/>
      <c r="J3189" s="2515"/>
      <c r="K3189" s="40">
        <v>1400</v>
      </c>
      <c r="L3189" s="115"/>
      <c r="M3189" s="3287" t="s">
        <v>325</v>
      </c>
      <c r="N3189" s="3288"/>
      <c r="O3189" s="38"/>
      <c r="P3189" s="38"/>
      <c r="Q3189" s="38">
        <f>$K3189</f>
        <v>1400</v>
      </c>
      <c r="R3189" s="38"/>
      <c r="S3189" s="38"/>
      <c r="T3189" s="38"/>
      <c r="U3189" s="38"/>
      <c r="V3189" s="38"/>
      <c r="W3189" s="38"/>
      <c r="X3189" s="38"/>
      <c r="Y3189" s="38"/>
      <c r="Z3189" s="38"/>
      <c r="AA3189" s="966">
        <f t="shared" si="488"/>
        <v>116.66666666666667</v>
      </c>
      <c r="AB3189" s="1210"/>
      <c r="AC3189" s="1199"/>
      <c r="AD3189" s="1211"/>
    </row>
    <row r="3190" spans="1:30" x14ac:dyDescent="0.2">
      <c r="A3190" s="1422"/>
      <c r="B3190" s="2456"/>
      <c r="C3190" s="3191"/>
      <c r="D3190" s="3404"/>
      <c r="E3190" s="2432"/>
      <c r="F3190" s="2515"/>
      <c r="G3190" s="2515"/>
      <c r="H3190" s="2515"/>
      <c r="I3190" s="2515"/>
      <c r="J3190" s="2515"/>
      <c r="K3190" s="40">
        <v>549546</v>
      </c>
      <c r="L3190" s="115"/>
      <c r="M3190" s="3287" t="s">
        <v>310</v>
      </c>
      <c r="N3190" s="3288"/>
      <c r="O3190" s="38">
        <f>$K3190/12</f>
        <v>45795.5</v>
      </c>
      <c r="P3190" s="38">
        <f t="shared" ref="P3190:Z3191" si="492">$K3190/12</f>
        <v>45795.5</v>
      </c>
      <c r="Q3190" s="38">
        <f t="shared" si="492"/>
        <v>45795.5</v>
      </c>
      <c r="R3190" s="38">
        <f t="shared" si="492"/>
        <v>45795.5</v>
      </c>
      <c r="S3190" s="38">
        <f t="shared" si="492"/>
        <v>45795.5</v>
      </c>
      <c r="T3190" s="38">
        <f t="shared" si="492"/>
        <v>45795.5</v>
      </c>
      <c r="U3190" s="38">
        <f t="shared" si="492"/>
        <v>45795.5</v>
      </c>
      <c r="V3190" s="38">
        <f t="shared" si="492"/>
        <v>45795.5</v>
      </c>
      <c r="W3190" s="38">
        <f t="shared" si="492"/>
        <v>45795.5</v>
      </c>
      <c r="X3190" s="38">
        <f t="shared" si="492"/>
        <v>45795.5</v>
      </c>
      <c r="Y3190" s="38">
        <f t="shared" si="492"/>
        <v>45795.5</v>
      </c>
      <c r="Z3190" s="38">
        <f t="shared" si="492"/>
        <v>45795.5</v>
      </c>
      <c r="AA3190" s="966">
        <f t="shared" si="488"/>
        <v>45795.5</v>
      </c>
      <c r="AB3190" s="1210"/>
      <c r="AC3190" s="1199"/>
      <c r="AD3190" s="1211"/>
    </row>
    <row r="3191" spans="1:30" x14ac:dyDescent="0.2">
      <c r="A3191" s="1422"/>
      <c r="B3191" s="2450"/>
      <c r="C3191" s="2439"/>
      <c r="D3191" s="3405"/>
      <c r="E3191" s="2437"/>
      <c r="F3191" s="2516"/>
      <c r="G3191" s="2516"/>
      <c r="H3191" s="2516"/>
      <c r="I3191" s="2516"/>
      <c r="J3191" s="2516"/>
      <c r="K3191" s="40">
        <v>15913</v>
      </c>
      <c r="L3191" s="115"/>
      <c r="M3191" s="3287" t="s">
        <v>311</v>
      </c>
      <c r="N3191" s="3288"/>
      <c r="O3191" s="38">
        <f>$K3191/12</f>
        <v>1326.0833333333333</v>
      </c>
      <c r="P3191" s="38">
        <f t="shared" si="492"/>
        <v>1326.0833333333333</v>
      </c>
      <c r="Q3191" s="38">
        <f t="shared" si="492"/>
        <v>1326.0833333333333</v>
      </c>
      <c r="R3191" s="38">
        <f t="shared" si="492"/>
        <v>1326.0833333333333</v>
      </c>
      <c r="S3191" s="38">
        <f t="shared" si="492"/>
        <v>1326.0833333333333</v>
      </c>
      <c r="T3191" s="38">
        <f t="shared" si="492"/>
        <v>1326.0833333333333</v>
      </c>
      <c r="U3191" s="38">
        <f t="shared" si="492"/>
        <v>1326.0833333333333</v>
      </c>
      <c r="V3191" s="38">
        <f t="shared" si="492"/>
        <v>1326.0833333333333</v>
      </c>
      <c r="W3191" s="38">
        <f t="shared" si="492"/>
        <v>1326.0833333333333</v>
      </c>
      <c r="X3191" s="38">
        <f t="shared" si="492"/>
        <v>1326.0833333333333</v>
      </c>
      <c r="Y3191" s="38">
        <f t="shared" si="492"/>
        <v>1326.0833333333333</v>
      </c>
      <c r="Z3191" s="38">
        <f t="shared" si="492"/>
        <v>1326.0833333333333</v>
      </c>
      <c r="AA3191" s="966">
        <f t="shared" si="488"/>
        <v>1326.0833333333333</v>
      </c>
      <c r="AB3191" s="1210"/>
      <c r="AC3191" s="1199"/>
      <c r="AD3191" s="1211"/>
    </row>
    <row r="3192" spans="1:30" x14ac:dyDescent="0.2">
      <c r="A3192" s="1422"/>
      <c r="B3192" s="1429" t="s">
        <v>312</v>
      </c>
      <c r="C3192" s="1051"/>
      <c r="D3192" s="96"/>
      <c r="E3192" s="96"/>
      <c r="F3192" s="38"/>
      <c r="G3192" s="38"/>
      <c r="H3192" s="38"/>
      <c r="I3192" s="38"/>
      <c r="J3192" s="38"/>
      <c r="K3192" s="40">
        <f>SUM(K3176:K3191)</f>
        <v>1469263</v>
      </c>
      <c r="L3192" s="38"/>
      <c r="M3192" s="38"/>
      <c r="N3192" s="38"/>
      <c r="O3192" s="38"/>
      <c r="P3192" s="38"/>
      <c r="Q3192" s="38"/>
      <c r="R3192" s="38"/>
      <c r="S3192" s="38"/>
      <c r="T3192" s="38"/>
      <c r="U3192" s="38"/>
      <c r="V3192" s="38"/>
      <c r="W3192" s="38"/>
      <c r="X3192" s="38"/>
      <c r="Y3192" s="38"/>
      <c r="Z3192" s="38"/>
      <c r="AA3192" s="98"/>
      <c r="AB3192" s="35"/>
      <c r="AC3192" s="183"/>
    </row>
    <row r="3193" spans="1:30" x14ac:dyDescent="0.2">
      <c r="A3193" s="1422"/>
      <c r="B3193" s="1433" t="s">
        <v>276</v>
      </c>
      <c r="C3193" s="1119"/>
      <c r="D3193" s="1119">
        <v>3000739</v>
      </c>
      <c r="E3193" s="192" t="s">
        <v>897</v>
      </c>
      <c r="F3193" s="35"/>
      <c r="G3193" s="35"/>
      <c r="H3193" s="35"/>
      <c r="I3193" s="35"/>
      <c r="J3193" s="35"/>
      <c r="K3193" s="60"/>
      <c r="L3193" s="60"/>
      <c r="M3193" s="60"/>
      <c r="N3193" s="60"/>
      <c r="O3193" s="60"/>
      <c r="P3193" s="60"/>
      <c r="Q3193" s="60"/>
      <c r="R3193" s="60"/>
      <c r="S3193" s="60"/>
      <c r="T3193" s="3377" t="s">
        <v>15</v>
      </c>
      <c r="U3193" s="3378"/>
      <c r="V3193" s="3378"/>
      <c r="W3193" s="3378"/>
      <c r="X3193" s="3378"/>
      <c r="Y3193" s="3379"/>
      <c r="Z3193" s="3377" t="s">
        <v>16</v>
      </c>
      <c r="AA3193" s="3379"/>
      <c r="AB3193" s="35"/>
      <c r="AC3193" s="183"/>
    </row>
    <row r="3194" spans="1:30" x14ac:dyDescent="0.2">
      <c r="A3194" s="1422"/>
      <c r="B3194" s="1433"/>
      <c r="C3194" s="1119"/>
      <c r="D3194" s="1119"/>
      <c r="E3194" s="192"/>
      <c r="F3194" s="35"/>
      <c r="G3194" s="35"/>
      <c r="H3194" s="35"/>
      <c r="I3194" s="35"/>
      <c r="J3194" s="35"/>
      <c r="K3194" s="60"/>
      <c r="L3194" s="60"/>
      <c r="M3194" s="60"/>
      <c r="N3194" s="60"/>
      <c r="O3194" s="60"/>
      <c r="P3194" s="60"/>
      <c r="Q3194" s="60"/>
      <c r="R3194" s="60"/>
      <c r="S3194" s="60"/>
      <c r="T3194" s="3395" t="s">
        <v>898</v>
      </c>
      <c r="U3194" s="3396"/>
      <c r="V3194" s="3396"/>
      <c r="W3194" s="3396"/>
      <c r="X3194" s="3396"/>
      <c r="Y3194" s="3397"/>
      <c r="Z3194" s="3395" t="s">
        <v>661</v>
      </c>
      <c r="AA3194" s="3397"/>
      <c r="AB3194" s="35"/>
      <c r="AC3194" s="183"/>
    </row>
    <row r="3195" spans="1:30" x14ac:dyDescent="0.2">
      <c r="A3195" s="1422"/>
      <c r="B3195" s="2999" t="s">
        <v>278</v>
      </c>
      <c r="C3195" s="3015" t="s">
        <v>21</v>
      </c>
      <c r="D3195" s="2847" t="s">
        <v>22</v>
      </c>
      <c r="E3195" s="2847" t="s">
        <v>23</v>
      </c>
      <c r="F3195" s="2847" t="s">
        <v>24</v>
      </c>
      <c r="G3195" s="2847" t="s">
        <v>25</v>
      </c>
      <c r="H3195" s="2847" t="s">
        <v>26</v>
      </c>
      <c r="I3195" s="2847" t="s">
        <v>27</v>
      </c>
      <c r="J3195" s="2847" t="s">
        <v>28</v>
      </c>
      <c r="K3195" s="2847"/>
      <c r="L3195" s="2988" t="s">
        <v>279</v>
      </c>
      <c r="M3195" s="3273" t="s">
        <v>280</v>
      </c>
      <c r="N3195" s="3274"/>
      <c r="O3195" s="3206" t="s">
        <v>281</v>
      </c>
      <c r="P3195" s="3301"/>
      <c r="Q3195" s="3301"/>
      <c r="R3195" s="3301"/>
      <c r="S3195" s="3301"/>
      <c r="T3195" s="3301"/>
      <c r="U3195" s="3301"/>
      <c r="V3195" s="3301"/>
      <c r="W3195" s="3301"/>
      <c r="X3195" s="3301"/>
      <c r="Y3195" s="3301"/>
      <c r="Z3195" s="3207"/>
      <c r="AA3195" s="2847" t="s">
        <v>32</v>
      </c>
      <c r="AB3195" s="35"/>
      <c r="AC3195" s="183"/>
    </row>
    <row r="3196" spans="1:30" x14ac:dyDescent="0.2">
      <c r="A3196" s="1422"/>
      <c r="B3196" s="2999"/>
      <c r="C3196" s="3359"/>
      <c r="D3196" s="2847"/>
      <c r="E3196" s="2847"/>
      <c r="F3196" s="2847"/>
      <c r="G3196" s="2847"/>
      <c r="H3196" s="2847"/>
      <c r="I3196" s="2847"/>
      <c r="J3196" s="2847" t="s">
        <v>33</v>
      </c>
      <c r="K3196" s="2847" t="s">
        <v>282</v>
      </c>
      <c r="L3196" s="3186"/>
      <c r="M3196" s="3275"/>
      <c r="N3196" s="3276"/>
      <c r="O3196" s="1009" t="s">
        <v>283</v>
      </c>
      <c r="P3196" s="1009" t="s">
        <v>284</v>
      </c>
      <c r="Q3196" s="1009" t="s">
        <v>285</v>
      </c>
      <c r="R3196" s="1009" t="s">
        <v>88</v>
      </c>
      <c r="S3196" s="1009" t="s">
        <v>89</v>
      </c>
      <c r="T3196" s="1009" t="s">
        <v>90</v>
      </c>
      <c r="U3196" s="1009" t="s">
        <v>91</v>
      </c>
      <c r="V3196" s="1009" t="s">
        <v>92</v>
      </c>
      <c r="W3196" s="1009" t="s">
        <v>286</v>
      </c>
      <c r="X3196" s="1009" t="s">
        <v>93</v>
      </c>
      <c r="Y3196" s="1009" t="s">
        <v>94</v>
      </c>
      <c r="Z3196" s="1009" t="s">
        <v>95</v>
      </c>
      <c r="AA3196" s="2847"/>
      <c r="AB3196" s="35"/>
      <c r="AC3196" s="183"/>
    </row>
    <row r="3197" spans="1:30" ht="12.75" x14ac:dyDescent="0.2">
      <c r="A3197" s="1422"/>
      <c r="B3197" s="2999"/>
      <c r="C3197" s="3359"/>
      <c r="D3197" s="2847"/>
      <c r="E3197" s="2847"/>
      <c r="F3197" s="2847"/>
      <c r="G3197" s="2847"/>
      <c r="H3197" s="2847"/>
      <c r="I3197" s="2847"/>
      <c r="J3197" s="2847"/>
      <c r="K3197" s="2847"/>
      <c r="L3197" s="3186"/>
      <c r="M3197" s="3271" t="s">
        <v>287</v>
      </c>
      <c r="N3197" s="3272"/>
      <c r="O3197" s="1095"/>
      <c r="P3197" s="46">
        <v>30.454545454545453</v>
      </c>
      <c r="Q3197" s="1095">
        <v>30</v>
      </c>
      <c r="R3197" s="1095">
        <v>32</v>
      </c>
      <c r="S3197" s="1095">
        <v>31</v>
      </c>
      <c r="T3197" s="1095">
        <v>31</v>
      </c>
      <c r="U3197" s="1095">
        <v>31</v>
      </c>
      <c r="V3197" s="1095">
        <v>30</v>
      </c>
      <c r="W3197" s="1095">
        <v>30</v>
      </c>
      <c r="X3197" s="1095">
        <v>30</v>
      </c>
      <c r="Y3197" s="1095">
        <v>30</v>
      </c>
      <c r="Z3197" s="1095">
        <v>30</v>
      </c>
      <c r="AA3197" s="97">
        <f>SUM(O3197:Z3197)</f>
        <v>335.45454545454544</v>
      </c>
      <c r="AB3197" s="35"/>
      <c r="AC3197" s="183"/>
    </row>
    <row r="3198" spans="1:30" ht="12.75" x14ac:dyDescent="0.2">
      <c r="A3198" s="1422"/>
      <c r="B3198" s="2999"/>
      <c r="C3198" s="3016"/>
      <c r="D3198" s="2847"/>
      <c r="E3198" s="2847"/>
      <c r="F3198" s="2847"/>
      <c r="G3198" s="2847"/>
      <c r="H3198" s="2847"/>
      <c r="I3198" s="2847"/>
      <c r="J3198" s="2847"/>
      <c r="K3198" s="2847"/>
      <c r="L3198" s="2989"/>
      <c r="M3198" s="3271" t="s">
        <v>34</v>
      </c>
      <c r="N3198" s="3272"/>
      <c r="O3198" s="1095">
        <f>SUM(O3199:O3211)</f>
        <v>2791.6666666666665</v>
      </c>
      <c r="P3198" s="1095">
        <f t="shared" ref="P3198:Z3198" si="493">SUM(P3199:P3211)</f>
        <v>7055.30303030303</v>
      </c>
      <c r="Q3198" s="1095">
        <f t="shared" si="493"/>
        <v>13125.30303030303</v>
      </c>
      <c r="R3198" s="1095">
        <f t="shared" si="493"/>
        <v>14205.30303030303</v>
      </c>
      <c r="S3198" s="1095">
        <f t="shared" si="493"/>
        <v>12675.30303030303</v>
      </c>
      <c r="T3198" s="1095">
        <f t="shared" si="493"/>
        <v>5555.30303030303</v>
      </c>
      <c r="U3198" s="1095">
        <f t="shared" si="493"/>
        <v>8675.30303030303</v>
      </c>
      <c r="V3198" s="1095">
        <f t="shared" si="493"/>
        <v>10205.30303030303</v>
      </c>
      <c r="W3198" s="1095">
        <f t="shared" si="493"/>
        <v>10775.30303030303</v>
      </c>
      <c r="X3198" s="1095">
        <f t="shared" si="493"/>
        <v>6905.30303030303</v>
      </c>
      <c r="Y3198" s="1095">
        <f t="shared" si="493"/>
        <v>10175.30303030303</v>
      </c>
      <c r="Z3198" s="1095">
        <f t="shared" si="493"/>
        <v>5555.30303030303</v>
      </c>
      <c r="AA3198" s="1205">
        <f t="shared" ref="AA3198:AA3211" si="494">SUM(O3198:Z3198)</f>
        <v>107699.99999999999</v>
      </c>
      <c r="AB3198" s="35"/>
      <c r="AC3198" s="183"/>
    </row>
    <row r="3199" spans="1:30" x14ac:dyDescent="0.2">
      <c r="A3199" s="1422"/>
      <c r="B3199" s="2522">
        <v>5005583</v>
      </c>
      <c r="C3199" s="3190" t="s">
        <v>899</v>
      </c>
      <c r="D3199" s="2421">
        <v>94</v>
      </c>
      <c r="E3199" s="2421" t="s">
        <v>860</v>
      </c>
      <c r="F3199" s="2420" t="s">
        <v>861</v>
      </c>
      <c r="G3199" s="2420" t="s">
        <v>862</v>
      </c>
      <c r="H3199" s="2420"/>
      <c r="I3199" s="2420" t="s">
        <v>780</v>
      </c>
      <c r="J3199" s="2514">
        <v>335</v>
      </c>
      <c r="K3199" s="40">
        <v>33500</v>
      </c>
      <c r="L3199" s="115"/>
      <c r="M3199" s="3287" t="s">
        <v>340</v>
      </c>
      <c r="N3199" s="3288"/>
      <c r="O3199" s="38">
        <f>$K3199/12</f>
        <v>2791.6666666666665</v>
      </c>
      <c r="P3199" s="38">
        <f t="shared" ref="P3199:Z3199" si="495">$K3199/12</f>
        <v>2791.6666666666665</v>
      </c>
      <c r="Q3199" s="38">
        <f t="shared" si="495"/>
        <v>2791.6666666666665</v>
      </c>
      <c r="R3199" s="38">
        <f t="shared" si="495"/>
        <v>2791.6666666666665</v>
      </c>
      <c r="S3199" s="38">
        <f t="shared" si="495"/>
        <v>2791.6666666666665</v>
      </c>
      <c r="T3199" s="38">
        <f t="shared" si="495"/>
        <v>2791.6666666666665</v>
      </c>
      <c r="U3199" s="38">
        <f t="shared" si="495"/>
        <v>2791.6666666666665</v>
      </c>
      <c r="V3199" s="38">
        <f t="shared" si="495"/>
        <v>2791.6666666666665</v>
      </c>
      <c r="W3199" s="38">
        <f t="shared" si="495"/>
        <v>2791.6666666666665</v>
      </c>
      <c r="X3199" s="38">
        <f t="shared" si="495"/>
        <v>2791.6666666666665</v>
      </c>
      <c r="Y3199" s="38">
        <f t="shared" si="495"/>
        <v>2791.6666666666665</v>
      </c>
      <c r="Z3199" s="38">
        <f t="shared" si="495"/>
        <v>2791.6666666666665</v>
      </c>
      <c r="AA3199" s="966">
        <f t="shared" si="494"/>
        <v>33500.000000000007</v>
      </c>
      <c r="AB3199" s="35"/>
      <c r="AC3199" s="183"/>
    </row>
    <row r="3200" spans="1:30" x14ac:dyDescent="0.2">
      <c r="A3200" s="1422"/>
      <c r="B3200" s="2522"/>
      <c r="C3200" s="3191"/>
      <c r="D3200" s="2421"/>
      <c r="E3200" s="2421"/>
      <c r="F3200" s="2420"/>
      <c r="G3200" s="2420"/>
      <c r="H3200" s="2420"/>
      <c r="I3200" s="2420"/>
      <c r="J3200" s="2515"/>
      <c r="K3200" s="40">
        <v>2000</v>
      </c>
      <c r="L3200" s="115"/>
      <c r="M3200" s="3287" t="s">
        <v>879</v>
      </c>
      <c r="N3200" s="3288"/>
      <c r="O3200" s="38"/>
      <c r="P3200" s="38"/>
      <c r="Q3200" s="38"/>
      <c r="R3200" s="38">
        <f>$K3200</f>
        <v>2000</v>
      </c>
      <c r="S3200" s="38"/>
      <c r="T3200" s="38"/>
      <c r="U3200" s="38"/>
      <c r="V3200" s="38"/>
      <c r="W3200" s="38"/>
      <c r="X3200" s="38"/>
      <c r="Y3200" s="38"/>
      <c r="Z3200" s="38"/>
      <c r="AA3200" s="966">
        <f t="shared" si="494"/>
        <v>2000</v>
      </c>
      <c r="AB3200" s="35"/>
      <c r="AC3200" s="183"/>
    </row>
    <row r="3201" spans="1:29" x14ac:dyDescent="0.2">
      <c r="A3201" s="1422"/>
      <c r="B3201" s="2522"/>
      <c r="C3201" s="3191"/>
      <c r="D3201" s="2421"/>
      <c r="E3201" s="2421"/>
      <c r="F3201" s="2420"/>
      <c r="G3201" s="2420"/>
      <c r="H3201" s="2420"/>
      <c r="I3201" s="2420"/>
      <c r="J3201" s="2515"/>
      <c r="K3201" s="40">
        <v>2500</v>
      </c>
      <c r="L3201" s="115"/>
      <c r="M3201" s="3287" t="s">
        <v>302</v>
      </c>
      <c r="N3201" s="3288"/>
      <c r="O3201" s="38"/>
      <c r="P3201" s="38"/>
      <c r="Q3201" s="38"/>
      <c r="R3201" s="38"/>
      <c r="S3201" s="38">
        <f>K3201</f>
        <v>2500</v>
      </c>
      <c r="T3201" s="38"/>
      <c r="U3201" s="38"/>
      <c r="V3201" s="38"/>
      <c r="W3201" s="38"/>
      <c r="X3201" s="38"/>
      <c r="Y3201" s="38"/>
      <c r="Z3201" s="38"/>
      <c r="AA3201" s="966">
        <f t="shared" si="494"/>
        <v>2500</v>
      </c>
      <c r="AB3201" s="35"/>
      <c r="AC3201" s="183"/>
    </row>
    <row r="3202" spans="1:29" x14ac:dyDescent="0.2">
      <c r="A3202" s="1422"/>
      <c r="B3202" s="2522"/>
      <c r="C3202" s="3191"/>
      <c r="D3202" s="2421"/>
      <c r="E3202" s="2421"/>
      <c r="F3202" s="2420"/>
      <c r="G3202" s="2420"/>
      <c r="H3202" s="2420"/>
      <c r="I3202" s="2420"/>
      <c r="J3202" s="2515"/>
      <c r="K3202" s="40">
        <v>6300</v>
      </c>
      <c r="L3202" s="115"/>
      <c r="M3202" s="3287" t="s">
        <v>303</v>
      </c>
      <c r="N3202" s="3288"/>
      <c r="O3202" s="38"/>
      <c r="P3202" s="38"/>
      <c r="Q3202" s="40">
        <f>$K3202/2</f>
        <v>3150</v>
      </c>
      <c r="R3202" s="38"/>
      <c r="S3202" s="38"/>
      <c r="T3202" s="40"/>
      <c r="U3202" s="38"/>
      <c r="V3202" s="40">
        <f>$K3202/2</f>
        <v>3150</v>
      </c>
      <c r="W3202" s="38"/>
      <c r="X3202" s="38"/>
      <c r="Y3202" s="38"/>
      <c r="Z3202" s="38"/>
      <c r="AA3202" s="966">
        <f t="shared" si="494"/>
        <v>6300</v>
      </c>
      <c r="AB3202" s="35"/>
      <c r="AC3202" s="183"/>
    </row>
    <row r="3203" spans="1:29" x14ac:dyDescent="0.2">
      <c r="A3203" s="1422"/>
      <c r="B3203" s="2522"/>
      <c r="C3203" s="3191"/>
      <c r="D3203" s="2421"/>
      <c r="E3203" s="2421"/>
      <c r="F3203" s="2420"/>
      <c r="G3203" s="2420"/>
      <c r="H3203" s="2420"/>
      <c r="I3203" s="2420"/>
      <c r="J3203" s="2515"/>
      <c r="K3203" s="40">
        <v>2700</v>
      </c>
      <c r="L3203" s="115"/>
      <c r="M3203" s="3287" t="s">
        <v>391</v>
      </c>
      <c r="N3203" s="3288"/>
      <c r="O3203" s="38"/>
      <c r="P3203" s="38"/>
      <c r="Q3203" s="38"/>
      <c r="R3203" s="38">
        <f>$K3203/2</f>
        <v>1350</v>
      </c>
      <c r="S3203" s="38"/>
      <c r="T3203" s="38"/>
      <c r="U3203" s="38"/>
      <c r="V3203" s="38"/>
      <c r="W3203" s="38"/>
      <c r="X3203" s="38">
        <f>$K3203/2</f>
        <v>1350</v>
      </c>
      <c r="Y3203" s="38"/>
      <c r="Z3203" s="38"/>
      <c r="AA3203" s="966">
        <f t="shared" si="494"/>
        <v>2700</v>
      </c>
      <c r="AB3203" s="35"/>
      <c r="AC3203" s="183"/>
    </row>
    <row r="3204" spans="1:29" x14ac:dyDescent="0.2">
      <c r="A3204" s="1422"/>
      <c r="B3204" s="2522"/>
      <c r="C3204" s="3191"/>
      <c r="D3204" s="2421"/>
      <c r="E3204" s="2421"/>
      <c r="F3204" s="2420"/>
      <c r="G3204" s="2420"/>
      <c r="H3204" s="2420"/>
      <c r="I3204" s="2420"/>
      <c r="J3204" s="2515"/>
      <c r="K3204" s="40">
        <v>1200</v>
      </c>
      <c r="L3204" s="115"/>
      <c r="M3204" s="3287" t="s">
        <v>343</v>
      </c>
      <c r="N3204" s="3288"/>
      <c r="O3204" s="38"/>
      <c r="P3204" s="38"/>
      <c r="Q3204" s="38"/>
      <c r="R3204" s="38">
        <f>$K3204</f>
        <v>1200</v>
      </c>
      <c r="S3204" s="38"/>
      <c r="T3204" s="38"/>
      <c r="U3204" s="38"/>
      <c r="V3204" s="38"/>
      <c r="W3204" s="38"/>
      <c r="X3204" s="38"/>
      <c r="Y3204" s="38"/>
      <c r="Z3204" s="38"/>
      <c r="AA3204" s="966">
        <f t="shared" si="494"/>
        <v>1200</v>
      </c>
      <c r="AB3204" s="35"/>
      <c r="AC3204" s="183"/>
    </row>
    <row r="3205" spans="1:29" x14ac:dyDescent="0.2">
      <c r="A3205" s="1422"/>
      <c r="B3205" s="2522"/>
      <c r="C3205" s="3191"/>
      <c r="D3205" s="2421"/>
      <c r="E3205" s="2421"/>
      <c r="F3205" s="2420"/>
      <c r="G3205" s="2420"/>
      <c r="H3205" s="2420"/>
      <c r="I3205" s="2420"/>
      <c r="J3205" s="2515"/>
      <c r="K3205" s="40">
        <v>2000</v>
      </c>
      <c r="L3205" s="115"/>
      <c r="M3205" s="3287" t="s">
        <v>304</v>
      </c>
      <c r="N3205" s="3288"/>
      <c r="O3205" s="38"/>
      <c r="P3205" s="38"/>
      <c r="Q3205" s="40"/>
      <c r="R3205" s="40">
        <f>$K3205</f>
        <v>2000</v>
      </c>
      <c r="S3205" s="38"/>
      <c r="T3205" s="38"/>
      <c r="U3205" s="38"/>
      <c r="V3205" s="38"/>
      <c r="W3205" s="38"/>
      <c r="X3205" s="38"/>
      <c r="Y3205" s="38"/>
      <c r="Z3205" s="38"/>
      <c r="AA3205" s="966">
        <f t="shared" si="494"/>
        <v>2000</v>
      </c>
      <c r="AB3205" s="35"/>
      <c r="AC3205" s="183"/>
    </row>
    <row r="3206" spans="1:29" x14ac:dyDescent="0.2">
      <c r="A3206" s="1422"/>
      <c r="B3206" s="2522"/>
      <c r="C3206" s="3191"/>
      <c r="D3206" s="2421"/>
      <c r="E3206" s="2421"/>
      <c r="F3206" s="2420"/>
      <c r="G3206" s="2420"/>
      <c r="H3206" s="2420"/>
      <c r="I3206" s="2420"/>
      <c r="J3206" s="2515"/>
      <c r="K3206" s="40">
        <v>6000</v>
      </c>
      <c r="L3206" s="115"/>
      <c r="M3206" s="3287" t="s">
        <v>305</v>
      </c>
      <c r="N3206" s="3288"/>
      <c r="O3206" s="38"/>
      <c r="P3206" s="38">
        <f>$K3206/4</f>
        <v>1500</v>
      </c>
      <c r="Q3206" s="38"/>
      <c r="R3206" s="38"/>
      <c r="S3206" s="38">
        <f>$K3206/4</f>
        <v>1500</v>
      </c>
      <c r="T3206" s="38"/>
      <c r="U3206" s="38"/>
      <c r="V3206" s="38">
        <f>$K3206/4</f>
        <v>1500</v>
      </c>
      <c r="W3206" s="38"/>
      <c r="X3206" s="38"/>
      <c r="Y3206" s="38">
        <f>$K3206/4</f>
        <v>1500</v>
      </c>
      <c r="Z3206" s="38"/>
      <c r="AA3206" s="966">
        <f t="shared" si="494"/>
        <v>6000</v>
      </c>
      <c r="AB3206" s="35"/>
      <c r="AC3206" s="183"/>
    </row>
    <row r="3207" spans="1:29" x14ac:dyDescent="0.2">
      <c r="A3207" s="1422"/>
      <c r="B3207" s="2522"/>
      <c r="C3207" s="3191"/>
      <c r="D3207" s="2421"/>
      <c r="E3207" s="2421"/>
      <c r="F3207" s="2420"/>
      <c r="G3207" s="2420"/>
      <c r="H3207" s="2420"/>
      <c r="I3207" s="2420"/>
      <c r="J3207" s="2515"/>
      <c r="K3207" s="40">
        <v>29300</v>
      </c>
      <c r="L3207" s="115"/>
      <c r="M3207" s="3287" t="s">
        <v>306</v>
      </c>
      <c r="N3207" s="3288"/>
      <c r="O3207" s="38"/>
      <c r="P3207" s="67">
        <f>$K3207/11</f>
        <v>2663.6363636363635</v>
      </c>
      <c r="Q3207" s="67">
        <f t="shared" ref="Q3207:Z3208" si="496">$K3207/11</f>
        <v>2663.6363636363635</v>
      </c>
      <c r="R3207" s="67">
        <f t="shared" si="496"/>
        <v>2663.6363636363635</v>
      </c>
      <c r="S3207" s="67">
        <f t="shared" si="496"/>
        <v>2663.6363636363635</v>
      </c>
      <c r="T3207" s="67">
        <f t="shared" si="496"/>
        <v>2663.6363636363635</v>
      </c>
      <c r="U3207" s="67">
        <f t="shared" si="496"/>
        <v>2663.6363636363635</v>
      </c>
      <c r="V3207" s="67">
        <f t="shared" si="496"/>
        <v>2663.6363636363635</v>
      </c>
      <c r="W3207" s="67">
        <f t="shared" si="496"/>
        <v>2663.6363636363635</v>
      </c>
      <c r="X3207" s="67">
        <f t="shared" si="496"/>
        <v>2663.6363636363635</v>
      </c>
      <c r="Y3207" s="67">
        <f t="shared" si="496"/>
        <v>2663.6363636363635</v>
      </c>
      <c r="Z3207" s="67">
        <f t="shared" si="496"/>
        <v>2663.6363636363635</v>
      </c>
      <c r="AA3207" s="966">
        <f t="shared" si="494"/>
        <v>29300</v>
      </c>
      <c r="AB3207" s="35"/>
      <c r="AC3207" s="183"/>
    </row>
    <row r="3208" spans="1:29" x14ac:dyDescent="0.2">
      <c r="A3208" s="1422"/>
      <c r="B3208" s="2522"/>
      <c r="C3208" s="3191"/>
      <c r="D3208" s="2421"/>
      <c r="E3208" s="2421"/>
      <c r="F3208" s="2420"/>
      <c r="G3208" s="2420"/>
      <c r="H3208" s="2420"/>
      <c r="I3208" s="2420"/>
      <c r="J3208" s="2515"/>
      <c r="K3208" s="40">
        <v>1100</v>
      </c>
      <c r="L3208" s="115"/>
      <c r="M3208" s="3287" t="s">
        <v>307</v>
      </c>
      <c r="N3208" s="3288"/>
      <c r="O3208" s="38"/>
      <c r="P3208" s="42">
        <f>$K3208/11</f>
        <v>100</v>
      </c>
      <c r="Q3208" s="42">
        <f t="shared" si="496"/>
        <v>100</v>
      </c>
      <c r="R3208" s="42">
        <f t="shared" si="496"/>
        <v>100</v>
      </c>
      <c r="S3208" s="42">
        <f t="shared" si="496"/>
        <v>100</v>
      </c>
      <c r="T3208" s="42">
        <f t="shared" si="496"/>
        <v>100</v>
      </c>
      <c r="U3208" s="42">
        <f t="shared" si="496"/>
        <v>100</v>
      </c>
      <c r="V3208" s="42">
        <f t="shared" si="496"/>
        <v>100</v>
      </c>
      <c r="W3208" s="42">
        <f t="shared" si="496"/>
        <v>100</v>
      </c>
      <c r="X3208" s="42">
        <f t="shared" si="496"/>
        <v>100</v>
      </c>
      <c r="Y3208" s="42">
        <f t="shared" si="496"/>
        <v>100</v>
      </c>
      <c r="Z3208" s="42">
        <f t="shared" si="496"/>
        <v>100</v>
      </c>
      <c r="AA3208" s="966">
        <f t="shared" si="494"/>
        <v>1100</v>
      </c>
      <c r="AB3208" s="35"/>
      <c r="AC3208" s="183"/>
    </row>
    <row r="3209" spans="1:29" x14ac:dyDescent="0.2">
      <c r="A3209" s="1422"/>
      <c r="B3209" s="2522"/>
      <c r="C3209" s="3191"/>
      <c r="D3209" s="2421"/>
      <c r="E3209" s="2421"/>
      <c r="F3209" s="2420"/>
      <c r="G3209" s="2420"/>
      <c r="H3209" s="2420"/>
      <c r="I3209" s="2420"/>
      <c r="J3209" s="2515"/>
      <c r="K3209" s="40">
        <v>1300</v>
      </c>
      <c r="L3209" s="115"/>
      <c r="M3209" s="3287" t="s">
        <v>308</v>
      </c>
      <c r="N3209" s="3288"/>
      <c r="O3209" s="38"/>
      <c r="P3209" s="38"/>
      <c r="Q3209" s="40">
        <f>$K3209</f>
        <v>1300</v>
      </c>
      <c r="R3209" s="38"/>
      <c r="S3209" s="38"/>
      <c r="T3209" s="38"/>
      <c r="U3209" s="38"/>
      <c r="V3209" s="38"/>
      <c r="W3209" s="38"/>
      <c r="X3209" s="38"/>
      <c r="Y3209" s="38"/>
      <c r="Z3209" s="38"/>
      <c r="AA3209" s="966">
        <f t="shared" si="494"/>
        <v>1300</v>
      </c>
      <c r="AB3209" s="35"/>
      <c r="AC3209" s="183"/>
    </row>
    <row r="3210" spans="1:29" x14ac:dyDescent="0.2">
      <c r="A3210" s="1422"/>
      <c r="B3210" s="2522"/>
      <c r="C3210" s="3191"/>
      <c r="D3210" s="2421"/>
      <c r="E3210" s="2421"/>
      <c r="F3210" s="2420"/>
      <c r="G3210" s="2420"/>
      <c r="H3210" s="2420"/>
      <c r="I3210" s="2420"/>
      <c r="J3210" s="2515"/>
      <c r="K3210" s="40">
        <v>15600</v>
      </c>
      <c r="L3210" s="115"/>
      <c r="M3210" s="3287" t="s">
        <v>309</v>
      </c>
      <c r="N3210" s="3288"/>
      <c r="O3210" s="38"/>
      <c r="P3210" s="38"/>
      <c r="Q3210" s="40">
        <f>$K3210/5</f>
        <v>3120</v>
      </c>
      <c r="R3210" s="40"/>
      <c r="S3210" s="40">
        <f>$K3210/5</f>
        <v>3120</v>
      </c>
      <c r="T3210" s="38"/>
      <c r="U3210" s="40">
        <f>$K3210/5</f>
        <v>3120</v>
      </c>
      <c r="V3210" s="38"/>
      <c r="W3210" s="40">
        <f>$K3210/5</f>
        <v>3120</v>
      </c>
      <c r="X3210" s="38"/>
      <c r="Y3210" s="40">
        <f>$K3210/5</f>
        <v>3120</v>
      </c>
      <c r="Z3210" s="38"/>
      <c r="AA3210" s="966">
        <f t="shared" si="494"/>
        <v>15600</v>
      </c>
      <c r="AB3210" s="35"/>
      <c r="AC3210" s="183"/>
    </row>
    <row r="3211" spans="1:29" x14ac:dyDescent="0.2">
      <c r="A3211" s="1422"/>
      <c r="B3211" s="2522"/>
      <c r="C3211" s="2439"/>
      <c r="D3211" s="2421"/>
      <c r="E3211" s="2421"/>
      <c r="F3211" s="2420"/>
      <c r="G3211" s="2420"/>
      <c r="H3211" s="2420"/>
      <c r="I3211" s="2420"/>
      <c r="J3211" s="2516"/>
      <c r="K3211" s="40">
        <v>4200</v>
      </c>
      <c r="L3211" s="115"/>
      <c r="M3211" s="3287" t="s">
        <v>358</v>
      </c>
      <c r="N3211" s="3288"/>
      <c r="O3211" s="38"/>
      <c r="P3211" s="38"/>
      <c r="Q3211" s="38"/>
      <c r="R3211" s="38">
        <f>$K3211/2</f>
        <v>2100</v>
      </c>
      <c r="S3211" s="38"/>
      <c r="T3211" s="38"/>
      <c r="U3211" s="38"/>
      <c r="V3211" s="38"/>
      <c r="W3211" s="38">
        <f>$K3211/2</f>
        <v>2100</v>
      </c>
      <c r="X3211" s="38"/>
      <c r="Y3211" s="38"/>
      <c r="Z3211" s="38"/>
      <c r="AA3211" s="966">
        <f t="shared" si="494"/>
        <v>4200</v>
      </c>
      <c r="AB3211" s="35"/>
      <c r="AC3211" s="183"/>
    </row>
    <row r="3212" spans="1:29" x14ac:dyDescent="0.2">
      <c r="A3212" s="1422"/>
      <c r="B3212" s="1427" t="s">
        <v>312</v>
      </c>
      <c r="C3212" s="1128"/>
      <c r="D3212" s="38"/>
      <c r="E3212" s="38"/>
      <c r="F3212" s="38"/>
      <c r="G3212" s="38"/>
      <c r="H3212" s="38"/>
      <c r="I3212" s="38"/>
      <c r="J3212" s="38"/>
      <c r="K3212" s="40">
        <f>SUM(K3199:K3211)</f>
        <v>107700</v>
      </c>
      <c r="L3212" s="38"/>
      <c r="M3212" s="38"/>
      <c r="N3212" s="38"/>
      <c r="O3212" s="38"/>
      <c r="P3212" s="38"/>
      <c r="Q3212" s="38"/>
      <c r="R3212" s="38"/>
      <c r="S3212" s="38"/>
      <c r="T3212" s="38"/>
      <c r="U3212" s="38"/>
      <c r="V3212" s="38"/>
      <c r="W3212" s="38"/>
      <c r="X3212" s="38"/>
      <c r="Y3212" s="38"/>
      <c r="Z3212" s="38"/>
      <c r="AA3212" s="1224"/>
      <c r="AB3212" s="35"/>
      <c r="AC3212" s="183"/>
    </row>
    <row r="3213" spans="1:29" x14ac:dyDescent="0.2">
      <c r="A3213" s="1422"/>
      <c r="B3213" s="1433" t="s">
        <v>276</v>
      </c>
      <c r="C3213" s="1119"/>
      <c r="D3213" s="1119">
        <v>3000740</v>
      </c>
      <c r="E3213" s="192" t="s">
        <v>900</v>
      </c>
      <c r="F3213" s="35"/>
      <c r="G3213" s="35"/>
      <c r="H3213" s="35"/>
      <c r="I3213" s="35"/>
      <c r="J3213" s="35"/>
      <c r="K3213" s="60"/>
      <c r="L3213" s="60"/>
      <c r="M3213" s="60"/>
      <c r="N3213" s="60"/>
      <c r="O3213" s="60"/>
      <c r="P3213" s="60"/>
      <c r="Q3213" s="60"/>
      <c r="R3213" s="60"/>
      <c r="S3213" s="60"/>
      <c r="T3213" s="2974" t="s">
        <v>15</v>
      </c>
      <c r="U3213" s="2975"/>
      <c r="V3213" s="2975"/>
      <c r="W3213" s="2975"/>
      <c r="X3213" s="2975"/>
      <c r="Y3213" s="2976"/>
      <c r="Z3213" s="2974" t="s">
        <v>16</v>
      </c>
      <c r="AA3213" s="2976"/>
      <c r="AB3213" s="35"/>
      <c r="AC3213" s="183"/>
    </row>
    <row r="3214" spans="1:29" x14ac:dyDescent="0.2">
      <c r="A3214" s="1422"/>
      <c r="B3214" s="1433"/>
      <c r="C3214" s="1119"/>
      <c r="D3214" s="1119"/>
      <c r="E3214" s="192"/>
      <c r="F3214" s="35"/>
      <c r="G3214" s="35"/>
      <c r="H3214" s="35"/>
      <c r="I3214" s="35"/>
      <c r="J3214" s="35"/>
      <c r="K3214" s="60"/>
      <c r="L3214" s="60"/>
      <c r="M3214" s="60"/>
      <c r="N3214" s="60"/>
      <c r="O3214" s="60"/>
      <c r="P3214" s="60"/>
      <c r="Q3214" s="60"/>
      <c r="R3214" s="60"/>
      <c r="S3214" s="60"/>
      <c r="T3214" s="2977" t="s">
        <v>901</v>
      </c>
      <c r="U3214" s="2978"/>
      <c r="V3214" s="2978"/>
      <c r="W3214" s="2978"/>
      <c r="X3214" s="2978"/>
      <c r="Y3214" s="2979"/>
      <c r="Z3214" s="2977" t="s">
        <v>902</v>
      </c>
      <c r="AA3214" s="2979"/>
      <c r="AB3214" s="35"/>
      <c r="AC3214" s="183"/>
    </row>
    <row r="3215" spans="1:29" x14ac:dyDescent="0.2">
      <c r="A3215" s="1422"/>
      <c r="B3215" s="2999" t="s">
        <v>278</v>
      </c>
      <c r="C3215" s="3015" t="s">
        <v>21</v>
      </c>
      <c r="D3215" s="2847" t="s">
        <v>22</v>
      </c>
      <c r="E3215" s="2847" t="s">
        <v>23</v>
      </c>
      <c r="F3215" s="2847" t="s">
        <v>24</v>
      </c>
      <c r="G3215" s="2847" t="s">
        <v>25</v>
      </c>
      <c r="H3215" s="2847" t="s">
        <v>26</v>
      </c>
      <c r="I3215" s="2847" t="s">
        <v>27</v>
      </c>
      <c r="J3215" s="2847" t="s">
        <v>28</v>
      </c>
      <c r="K3215" s="2847"/>
      <c r="L3215" s="2988" t="s">
        <v>279</v>
      </c>
      <c r="M3215" s="3273" t="s">
        <v>280</v>
      </c>
      <c r="N3215" s="3274"/>
      <c r="O3215" s="3206" t="s">
        <v>281</v>
      </c>
      <c r="P3215" s="3301"/>
      <c r="Q3215" s="3301"/>
      <c r="R3215" s="3301"/>
      <c r="S3215" s="3301"/>
      <c r="T3215" s="3301"/>
      <c r="U3215" s="3301"/>
      <c r="V3215" s="3301"/>
      <c r="W3215" s="3301"/>
      <c r="X3215" s="3301"/>
      <c r="Y3215" s="3301"/>
      <c r="Z3215" s="3207"/>
      <c r="AA3215" s="2847" t="s">
        <v>32</v>
      </c>
      <c r="AB3215" s="35"/>
      <c r="AC3215" s="183"/>
    </row>
    <row r="3216" spans="1:29" x14ac:dyDescent="0.2">
      <c r="A3216" s="1422"/>
      <c r="B3216" s="2999"/>
      <c r="C3216" s="3359"/>
      <c r="D3216" s="2847"/>
      <c r="E3216" s="2847"/>
      <c r="F3216" s="2847"/>
      <c r="G3216" s="2847"/>
      <c r="H3216" s="2847"/>
      <c r="I3216" s="2847"/>
      <c r="J3216" s="2847" t="s">
        <v>33</v>
      </c>
      <c r="K3216" s="2847" t="s">
        <v>282</v>
      </c>
      <c r="L3216" s="3186"/>
      <c r="M3216" s="3275"/>
      <c r="N3216" s="3276"/>
      <c r="O3216" s="1009" t="s">
        <v>283</v>
      </c>
      <c r="P3216" s="1009" t="s">
        <v>284</v>
      </c>
      <c r="Q3216" s="1009" t="s">
        <v>285</v>
      </c>
      <c r="R3216" s="1009" t="s">
        <v>88</v>
      </c>
      <c r="S3216" s="1009" t="s">
        <v>89</v>
      </c>
      <c r="T3216" s="1009" t="s">
        <v>90</v>
      </c>
      <c r="U3216" s="1009" t="s">
        <v>91</v>
      </c>
      <c r="V3216" s="1009" t="s">
        <v>92</v>
      </c>
      <c r="W3216" s="1009" t="s">
        <v>286</v>
      </c>
      <c r="X3216" s="1009" t="s">
        <v>93</v>
      </c>
      <c r="Y3216" s="1009" t="s">
        <v>94</v>
      </c>
      <c r="Z3216" s="1009" t="s">
        <v>95</v>
      </c>
      <c r="AA3216" s="2847"/>
      <c r="AB3216" s="35"/>
      <c r="AC3216" s="183"/>
    </row>
    <row r="3217" spans="1:30" ht="12.75" x14ac:dyDescent="0.2">
      <c r="A3217" s="1422"/>
      <c r="B3217" s="2999"/>
      <c r="C3217" s="3359"/>
      <c r="D3217" s="2847"/>
      <c r="E3217" s="2847"/>
      <c r="F3217" s="2847"/>
      <c r="G3217" s="2847"/>
      <c r="H3217" s="2847"/>
      <c r="I3217" s="2847"/>
      <c r="J3217" s="2847"/>
      <c r="K3217" s="2847"/>
      <c r="L3217" s="3186"/>
      <c r="M3217" s="3271" t="s">
        <v>287</v>
      </c>
      <c r="N3217" s="3272"/>
      <c r="O3217" s="40"/>
      <c r="P3217" s="40"/>
      <c r="Q3217" s="40">
        <v>1</v>
      </c>
      <c r="R3217" s="40"/>
      <c r="S3217" s="40">
        <v>1</v>
      </c>
      <c r="T3217" s="40"/>
      <c r="U3217" s="40">
        <v>1</v>
      </c>
      <c r="V3217" s="40"/>
      <c r="W3217" s="40">
        <v>1</v>
      </c>
      <c r="X3217" s="40"/>
      <c r="Y3217" s="40"/>
      <c r="Z3217" s="40"/>
      <c r="AA3217" s="97">
        <f>SUM(O3217:Z3217)</f>
        <v>4</v>
      </c>
      <c r="AB3217" s="35"/>
      <c r="AC3217" s="183"/>
    </row>
    <row r="3218" spans="1:30" ht="12.75" x14ac:dyDescent="0.2">
      <c r="A3218" s="1422"/>
      <c r="B3218" s="2999"/>
      <c r="C3218" s="3016"/>
      <c r="D3218" s="2847"/>
      <c r="E3218" s="2847"/>
      <c r="F3218" s="2847"/>
      <c r="G3218" s="2847"/>
      <c r="H3218" s="2847"/>
      <c r="I3218" s="2847"/>
      <c r="J3218" s="2847"/>
      <c r="K3218" s="2847"/>
      <c r="L3218" s="2989"/>
      <c r="M3218" s="3271" t="s">
        <v>34</v>
      </c>
      <c r="N3218" s="3272"/>
      <c r="O3218" s="40">
        <f>SUM(O3219)</f>
        <v>0</v>
      </c>
      <c r="P3218" s="40">
        <f t="shared" ref="P3218:Z3218" si="497">SUM(P3219)</f>
        <v>0</v>
      </c>
      <c r="Q3218" s="40">
        <f t="shared" si="497"/>
        <v>31373.5</v>
      </c>
      <c r="R3218" s="40">
        <f t="shared" si="497"/>
        <v>0</v>
      </c>
      <c r="S3218" s="40">
        <f t="shared" si="497"/>
        <v>0</v>
      </c>
      <c r="T3218" s="40">
        <f t="shared" si="497"/>
        <v>0</v>
      </c>
      <c r="U3218" s="40">
        <f t="shared" si="497"/>
        <v>0</v>
      </c>
      <c r="V3218" s="40">
        <f t="shared" si="497"/>
        <v>31373.5</v>
      </c>
      <c r="W3218" s="40">
        <f t="shared" si="497"/>
        <v>0</v>
      </c>
      <c r="X3218" s="40">
        <f t="shared" si="497"/>
        <v>0</v>
      </c>
      <c r="Y3218" s="40">
        <f t="shared" si="497"/>
        <v>0</v>
      </c>
      <c r="Z3218" s="40">
        <f t="shared" si="497"/>
        <v>0</v>
      </c>
      <c r="AA3218" s="1205">
        <f t="shared" ref="AA3218:AA3219" si="498">SUM(O3218:Z3218)</f>
        <v>62747</v>
      </c>
      <c r="AB3218" s="1210"/>
      <c r="AC3218" s="1199"/>
      <c r="AD3218" s="1211"/>
    </row>
    <row r="3219" spans="1:30" ht="33.75" x14ac:dyDescent="0.2">
      <c r="A3219" s="1422"/>
      <c r="B3219" s="1018">
        <v>5005584</v>
      </c>
      <c r="C3219" s="1096" t="s">
        <v>903</v>
      </c>
      <c r="D3219" s="1073">
        <v>103</v>
      </c>
      <c r="E3219" s="1073" t="s">
        <v>860</v>
      </c>
      <c r="F3219" s="1088" t="s">
        <v>861</v>
      </c>
      <c r="G3219" s="1088" t="s">
        <v>862</v>
      </c>
      <c r="H3219" s="1088"/>
      <c r="I3219" s="1088" t="s">
        <v>904</v>
      </c>
      <c r="J3219" s="1088">
        <v>4</v>
      </c>
      <c r="K3219" s="40">
        <v>62747</v>
      </c>
      <c r="L3219" s="115"/>
      <c r="M3219" s="3287" t="s">
        <v>349</v>
      </c>
      <c r="N3219" s="3288"/>
      <c r="O3219" s="40"/>
      <c r="P3219" s="40"/>
      <c r="Q3219" s="40">
        <f>$K3219/2</f>
        <v>31373.5</v>
      </c>
      <c r="R3219" s="40"/>
      <c r="S3219" s="40"/>
      <c r="T3219" s="40"/>
      <c r="U3219" s="40"/>
      <c r="V3219" s="40">
        <f>$K3219/2</f>
        <v>31373.5</v>
      </c>
      <c r="W3219" s="40"/>
      <c r="X3219" s="40"/>
      <c r="Y3219" s="40"/>
      <c r="Z3219" s="40"/>
      <c r="AA3219" s="966">
        <f t="shared" si="498"/>
        <v>62747</v>
      </c>
      <c r="AB3219" s="1210"/>
      <c r="AC3219" s="1199"/>
      <c r="AD3219" s="1211"/>
    </row>
    <row r="3220" spans="1:30" x14ac:dyDescent="0.2">
      <c r="A3220" s="1422"/>
      <c r="B3220" s="1427" t="s">
        <v>312</v>
      </c>
      <c r="C3220" s="1128"/>
      <c r="D3220" s="38"/>
      <c r="E3220" s="38"/>
      <c r="F3220" s="38"/>
      <c r="G3220" s="38"/>
      <c r="H3220" s="38"/>
      <c r="I3220" s="38"/>
      <c r="J3220" s="38"/>
      <c r="K3220" s="40">
        <f>SUM(K3219:K3219)</f>
        <v>62747</v>
      </c>
      <c r="L3220" s="38"/>
      <c r="M3220" s="38"/>
      <c r="N3220" s="38"/>
      <c r="O3220" s="38"/>
      <c r="P3220" s="38"/>
      <c r="Q3220" s="38"/>
      <c r="R3220" s="38"/>
      <c r="S3220" s="38"/>
      <c r="T3220" s="38"/>
      <c r="U3220" s="38"/>
      <c r="V3220" s="38"/>
      <c r="W3220" s="38"/>
      <c r="X3220" s="38"/>
      <c r="Y3220" s="38"/>
      <c r="Z3220" s="38"/>
      <c r="AA3220" s="966"/>
      <c r="AB3220" s="1210"/>
      <c r="AC3220" s="1199"/>
      <c r="AD3220" s="1211"/>
    </row>
    <row r="3221" spans="1:30" x14ac:dyDescent="0.2">
      <c r="A3221" s="1422"/>
      <c r="B3221" s="2999" t="s">
        <v>278</v>
      </c>
      <c r="C3221" s="3015" t="s">
        <v>21</v>
      </c>
      <c r="D3221" s="2847" t="s">
        <v>22</v>
      </c>
      <c r="E3221" s="2847" t="s">
        <v>23</v>
      </c>
      <c r="F3221" s="2847" t="s">
        <v>24</v>
      </c>
      <c r="G3221" s="2847" t="s">
        <v>25</v>
      </c>
      <c r="H3221" s="2847" t="s">
        <v>26</v>
      </c>
      <c r="I3221" s="2847" t="s">
        <v>27</v>
      </c>
      <c r="J3221" s="2847" t="s">
        <v>28</v>
      </c>
      <c r="K3221" s="2847"/>
      <c r="L3221" s="2988" t="s">
        <v>279</v>
      </c>
      <c r="M3221" s="3273" t="s">
        <v>280</v>
      </c>
      <c r="N3221" s="3274"/>
      <c r="O3221" s="3206" t="s">
        <v>281</v>
      </c>
      <c r="P3221" s="3301"/>
      <c r="Q3221" s="3301"/>
      <c r="R3221" s="3301"/>
      <c r="S3221" s="3301"/>
      <c r="T3221" s="3301"/>
      <c r="U3221" s="3301"/>
      <c r="V3221" s="3301"/>
      <c r="W3221" s="3301"/>
      <c r="X3221" s="3301"/>
      <c r="Y3221" s="3301"/>
      <c r="Z3221" s="3207"/>
      <c r="AA3221" s="3358" t="s">
        <v>32</v>
      </c>
      <c r="AB3221" s="1210"/>
      <c r="AC3221" s="1199"/>
      <c r="AD3221" s="1211"/>
    </row>
    <row r="3222" spans="1:30" x14ac:dyDescent="0.2">
      <c r="A3222" s="1422"/>
      <c r="B3222" s="2999"/>
      <c r="C3222" s="3359"/>
      <c r="D3222" s="2847"/>
      <c r="E3222" s="2847"/>
      <c r="F3222" s="2847"/>
      <c r="G3222" s="2847"/>
      <c r="H3222" s="2847"/>
      <c r="I3222" s="2847"/>
      <c r="J3222" s="2847" t="s">
        <v>33</v>
      </c>
      <c r="K3222" s="2847" t="s">
        <v>282</v>
      </c>
      <c r="L3222" s="3186"/>
      <c r="M3222" s="3275"/>
      <c r="N3222" s="3276"/>
      <c r="O3222" s="1009" t="s">
        <v>283</v>
      </c>
      <c r="P3222" s="1009" t="s">
        <v>284</v>
      </c>
      <c r="Q3222" s="1009" t="s">
        <v>285</v>
      </c>
      <c r="R3222" s="1009" t="s">
        <v>88</v>
      </c>
      <c r="S3222" s="1009" t="s">
        <v>89</v>
      </c>
      <c r="T3222" s="1009" t="s">
        <v>90</v>
      </c>
      <c r="U3222" s="1009" t="s">
        <v>91</v>
      </c>
      <c r="V3222" s="1009" t="s">
        <v>92</v>
      </c>
      <c r="W3222" s="1009" t="s">
        <v>286</v>
      </c>
      <c r="X3222" s="1009" t="s">
        <v>93</v>
      </c>
      <c r="Y3222" s="1009" t="s">
        <v>94</v>
      </c>
      <c r="Z3222" s="1009" t="s">
        <v>95</v>
      </c>
      <c r="AA3222" s="3358"/>
      <c r="AB3222" s="1210"/>
      <c r="AC3222" s="1199"/>
      <c r="AD3222" s="1211"/>
    </row>
    <row r="3223" spans="1:30" ht="12.75" x14ac:dyDescent="0.2">
      <c r="A3223" s="1422"/>
      <c r="B3223" s="2999"/>
      <c r="C3223" s="3359"/>
      <c r="D3223" s="2847"/>
      <c r="E3223" s="2847"/>
      <c r="F3223" s="2847"/>
      <c r="G3223" s="2847"/>
      <c r="H3223" s="2847"/>
      <c r="I3223" s="2847"/>
      <c r="J3223" s="2847"/>
      <c r="K3223" s="2847"/>
      <c r="L3223" s="3186"/>
      <c r="M3223" s="3271" t="s">
        <v>287</v>
      </c>
      <c r="N3223" s="3272"/>
      <c r="O3223" s="40"/>
      <c r="P3223" s="40">
        <v>5.2727272727272725</v>
      </c>
      <c r="Q3223" s="40">
        <v>5</v>
      </c>
      <c r="R3223" s="40">
        <v>6</v>
      </c>
      <c r="S3223" s="40">
        <v>5</v>
      </c>
      <c r="T3223" s="40">
        <v>6</v>
      </c>
      <c r="U3223" s="40">
        <v>5</v>
      </c>
      <c r="V3223" s="40">
        <v>6</v>
      </c>
      <c r="W3223" s="40">
        <v>5</v>
      </c>
      <c r="X3223" s="40">
        <v>5</v>
      </c>
      <c r="Y3223" s="40">
        <v>5</v>
      </c>
      <c r="Z3223" s="40">
        <v>5</v>
      </c>
      <c r="AA3223" s="1205">
        <f>SUM(O3223:Z3223)</f>
        <v>58.272727272727273</v>
      </c>
      <c r="AB3223" s="1210"/>
      <c r="AC3223" s="1199"/>
      <c r="AD3223" s="1211"/>
    </row>
    <row r="3224" spans="1:30" ht="12.75" x14ac:dyDescent="0.2">
      <c r="A3224" s="1422"/>
      <c r="B3224" s="2999"/>
      <c r="C3224" s="3016"/>
      <c r="D3224" s="2847"/>
      <c r="E3224" s="2847"/>
      <c r="F3224" s="2847"/>
      <c r="G3224" s="2847"/>
      <c r="H3224" s="2847"/>
      <c r="I3224" s="2847"/>
      <c r="J3224" s="2847"/>
      <c r="K3224" s="2847"/>
      <c r="L3224" s="2989"/>
      <c r="M3224" s="3271" t="s">
        <v>34</v>
      </c>
      <c r="N3224" s="3272"/>
      <c r="O3224" s="40">
        <f>SUM(O3225:O3232)</f>
        <v>21531.5</v>
      </c>
      <c r="P3224" s="40">
        <f>SUM(P3225:P3232)</f>
        <v>21531.5</v>
      </c>
      <c r="Q3224" s="40">
        <f t="shared" ref="Q3224:Z3224" si="499">SUM(Q3225:Q3232)</f>
        <v>33006.833333333328</v>
      </c>
      <c r="R3224" s="40">
        <f t="shared" si="499"/>
        <v>27925.5</v>
      </c>
      <c r="S3224" s="40">
        <f t="shared" si="499"/>
        <v>21531.5</v>
      </c>
      <c r="T3224" s="40">
        <f t="shared" si="499"/>
        <v>25994.833333333332</v>
      </c>
      <c r="U3224" s="40">
        <f t="shared" si="499"/>
        <v>21531.5</v>
      </c>
      <c r="V3224" s="40">
        <f t="shared" si="499"/>
        <v>27956.5</v>
      </c>
      <c r="W3224" s="40">
        <f t="shared" si="499"/>
        <v>25994.833333333332</v>
      </c>
      <c r="X3224" s="40">
        <f t="shared" si="499"/>
        <v>21531.5</v>
      </c>
      <c r="Y3224" s="40">
        <f t="shared" si="499"/>
        <v>21531.5</v>
      </c>
      <c r="Z3224" s="40">
        <f t="shared" si="499"/>
        <v>21531.5</v>
      </c>
      <c r="AA3224" s="1205">
        <f t="shared" ref="AA3224:AA3232" si="500">SUM(O3224:Z3224)</f>
        <v>291599</v>
      </c>
      <c r="AB3224" s="1210"/>
      <c r="AC3224" s="1199"/>
      <c r="AD3224" s="1211"/>
    </row>
    <row r="3225" spans="1:30" x14ac:dyDescent="0.2">
      <c r="A3225" s="1422"/>
      <c r="B3225" s="2438">
        <v>5005585</v>
      </c>
      <c r="C3225" s="3190" t="s">
        <v>905</v>
      </c>
      <c r="D3225" s="2431">
        <v>102</v>
      </c>
      <c r="E3225" s="2431" t="s">
        <v>860</v>
      </c>
      <c r="F3225" s="2514" t="s">
        <v>861</v>
      </c>
      <c r="G3225" s="2514" t="s">
        <v>862</v>
      </c>
      <c r="H3225" s="2514" t="s">
        <v>906</v>
      </c>
      <c r="I3225" s="2514" t="s">
        <v>904</v>
      </c>
      <c r="J3225" s="2514">
        <v>58</v>
      </c>
      <c r="K3225" s="40">
        <v>3494</v>
      </c>
      <c r="L3225" s="115"/>
      <c r="M3225" s="3287" t="s">
        <v>391</v>
      </c>
      <c r="N3225" s="3288"/>
      <c r="O3225" s="40"/>
      <c r="P3225" s="40"/>
      <c r="Q3225" s="40"/>
      <c r="R3225" s="40">
        <f>$K3225</f>
        <v>3494</v>
      </c>
      <c r="S3225" s="40"/>
      <c r="T3225" s="40"/>
      <c r="U3225" s="40"/>
      <c r="V3225" s="40"/>
      <c r="W3225" s="40"/>
      <c r="X3225" s="40"/>
      <c r="Y3225" s="40"/>
      <c r="Z3225" s="40"/>
      <c r="AA3225" s="966">
        <f t="shared" si="500"/>
        <v>3494</v>
      </c>
      <c r="AB3225" s="1210"/>
      <c r="AC3225" s="1199"/>
      <c r="AD3225" s="1211"/>
    </row>
    <row r="3226" spans="1:30" x14ac:dyDescent="0.2">
      <c r="A3226" s="1422"/>
      <c r="B3226" s="2456"/>
      <c r="C3226" s="3191"/>
      <c r="D3226" s="2432"/>
      <c r="E3226" s="2432"/>
      <c r="F3226" s="2515"/>
      <c r="G3226" s="2515"/>
      <c r="H3226" s="2515"/>
      <c r="I3226" s="2515"/>
      <c r="J3226" s="2515"/>
      <c r="K3226" s="40">
        <v>13390</v>
      </c>
      <c r="L3226" s="115"/>
      <c r="M3226" s="3287" t="s">
        <v>342</v>
      </c>
      <c r="N3226" s="3288"/>
      <c r="O3226" s="40"/>
      <c r="P3226" s="40"/>
      <c r="Q3226" s="40">
        <f>$K3226/3</f>
        <v>4463.333333333333</v>
      </c>
      <c r="R3226" s="40"/>
      <c r="S3226" s="40"/>
      <c r="T3226" s="40">
        <f>$K3226/3</f>
        <v>4463.333333333333</v>
      </c>
      <c r="U3226" s="40"/>
      <c r="V3226" s="40"/>
      <c r="W3226" s="40">
        <f>$K3226/3</f>
        <v>4463.333333333333</v>
      </c>
      <c r="X3226" s="40"/>
      <c r="Y3226" s="40"/>
      <c r="Z3226" s="40"/>
      <c r="AA3226" s="966">
        <f t="shared" si="500"/>
        <v>13390</v>
      </c>
      <c r="AB3226" s="1210"/>
      <c r="AC3226" s="1199"/>
      <c r="AD3226" s="1211"/>
    </row>
    <row r="3227" spans="1:30" x14ac:dyDescent="0.2">
      <c r="A3227" s="1422"/>
      <c r="B3227" s="2456"/>
      <c r="C3227" s="3191"/>
      <c r="D3227" s="2432"/>
      <c r="E3227" s="2432"/>
      <c r="F3227" s="2515"/>
      <c r="G3227" s="2515"/>
      <c r="H3227" s="2515"/>
      <c r="I3227" s="2515"/>
      <c r="J3227" s="2515"/>
      <c r="K3227" s="40">
        <v>1500</v>
      </c>
      <c r="L3227" s="115"/>
      <c r="M3227" s="3287" t="s">
        <v>393</v>
      </c>
      <c r="N3227" s="3288"/>
      <c r="O3227" s="40"/>
      <c r="P3227" s="40"/>
      <c r="Q3227" s="40"/>
      <c r="R3227" s="40">
        <f>$K3227</f>
        <v>1500</v>
      </c>
      <c r="S3227" s="40"/>
      <c r="T3227" s="40"/>
      <c r="U3227" s="40"/>
      <c r="V3227" s="40"/>
      <c r="W3227" s="40"/>
      <c r="X3227" s="40"/>
      <c r="Y3227" s="40"/>
      <c r="Z3227" s="40"/>
      <c r="AA3227" s="966">
        <f t="shared" si="500"/>
        <v>1500</v>
      </c>
      <c r="AB3227" s="1210"/>
      <c r="AC3227" s="1199"/>
      <c r="AD3227" s="1211"/>
    </row>
    <row r="3228" spans="1:30" x14ac:dyDescent="0.2">
      <c r="A3228" s="1422"/>
      <c r="B3228" s="2456"/>
      <c r="C3228" s="3191"/>
      <c r="D3228" s="2432"/>
      <c r="E3228" s="2432"/>
      <c r="F3228" s="2515"/>
      <c r="G3228" s="2515"/>
      <c r="H3228" s="2515"/>
      <c r="I3228" s="2515"/>
      <c r="J3228" s="2515"/>
      <c r="K3228" s="40">
        <v>1400</v>
      </c>
      <c r="L3228" s="115"/>
      <c r="M3228" s="3287" t="s">
        <v>830</v>
      </c>
      <c r="N3228" s="3288"/>
      <c r="O3228" s="40"/>
      <c r="P3228" s="40"/>
      <c r="Q3228" s="40"/>
      <c r="R3228" s="40">
        <f>$K3228</f>
        <v>1400</v>
      </c>
      <c r="S3228" s="40"/>
      <c r="T3228" s="40"/>
      <c r="U3228" s="40"/>
      <c r="V3228" s="40"/>
      <c r="W3228" s="40"/>
      <c r="X3228" s="40"/>
      <c r="Y3228" s="40"/>
      <c r="Z3228" s="40"/>
      <c r="AA3228" s="966">
        <f t="shared" si="500"/>
        <v>1400</v>
      </c>
      <c r="AB3228" s="1210"/>
      <c r="AC3228" s="1199"/>
      <c r="AD3228" s="1211"/>
    </row>
    <row r="3229" spans="1:30" x14ac:dyDescent="0.2">
      <c r="A3229" s="1422"/>
      <c r="B3229" s="2456"/>
      <c r="C3229" s="3191"/>
      <c r="D3229" s="2432"/>
      <c r="E3229" s="2432"/>
      <c r="F3229" s="2515"/>
      <c r="G3229" s="2515"/>
      <c r="H3229" s="2515"/>
      <c r="I3229" s="2515"/>
      <c r="J3229" s="2515"/>
      <c r="K3229" s="40">
        <v>208506</v>
      </c>
      <c r="L3229" s="115"/>
      <c r="M3229" s="3287" t="s">
        <v>349</v>
      </c>
      <c r="N3229" s="3288"/>
      <c r="O3229" s="40">
        <f>$K3229/12</f>
        <v>17375.5</v>
      </c>
      <c r="P3229" s="40">
        <f t="shared" ref="P3229:Z3230" si="501">$K3229/12</f>
        <v>17375.5</v>
      </c>
      <c r="Q3229" s="40">
        <f t="shared" si="501"/>
        <v>17375.5</v>
      </c>
      <c r="R3229" s="40">
        <f t="shared" si="501"/>
        <v>17375.5</v>
      </c>
      <c r="S3229" s="40">
        <f t="shared" si="501"/>
        <v>17375.5</v>
      </c>
      <c r="T3229" s="40">
        <f t="shared" si="501"/>
        <v>17375.5</v>
      </c>
      <c r="U3229" s="40">
        <f t="shared" si="501"/>
        <v>17375.5</v>
      </c>
      <c r="V3229" s="40">
        <f t="shared" si="501"/>
        <v>17375.5</v>
      </c>
      <c r="W3229" s="40">
        <f t="shared" si="501"/>
        <v>17375.5</v>
      </c>
      <c r="X3229" s="40">
        <f t="shared" si="501"/>
        <v>17375.5</v>
      </c>
      <c r="Y3229" s="40">
        <f t="shared" si="501"/>
        <v>17375.5</v>
      </c>
      <c r="Z3229" s="40">
        <f t="shared" si="501"/>
        <v>17375.5</v>
      </c>
      <c r="AA3229" s="966">
        <f t="shared" si="500"/>
        <v>208506</v>
      </c>
      <c r="AB3229" s="1210"/>
      <c r="AC3229" s="1199"/>
      <c r="AD3229" s="1211"/>
    </row>
    <row r="3230" spans="1:30" x14ac:dyDescent="0.2">
      <c r="A3230" s="1422"/>
      <c r="B3230" s="2456"/>
      <c r="C3230" s="3191"/>
      <c r="D3230" s="2432"/>
      <c r="E3230" s="2432"/>
      <c r="F3230" s="2515"/>
      <c r="G3230" s="2515"/>
      <c r="H3230" s="2515"/>
      <c r="I3230" s="2515"/>
      <c r="J3230" s="2515"/>
      <c r="K3230" s="40">
        <v>49872</v>
      </c>
      <c r="L3230" s="115"/>
      <c r="M3230" s="3287" t="s">
        <v>395</v>
      </c>
      <c r="N3230" s="3288"/>
      <c r="O3230" s="40">
        <f>$K3230/12</f>
        <v>4156</v>
      </c>
      <c r="P3230" s="40">
        <f t="shared" si="501"/>
        <v>4156</v>
      </c>
      <c r="Q3230" s="40">
        <f t="shared" si="501"/>
        <v>4156</v>
      </c>
      <c r="R3230" s="40">
        <f t="shared" si="501"/>
        <v>4156</v>
      </c>
      <c r="S3230" s="40">
        <f t="shared" si="501"/>
        <v>4156</v>
      </c>
      <c r="T3230" s="40">
        <f t="shared" si="501"/>
        <v>4156</v>
      </c>
      <c r="U3230" s="40">
        <f t="shared" si="501"/>
        <v>4156</v>
      </c>
      <c r="V3230" s="40">
        <f t="shared" si="501"/>
        <v>4156</v>
      </c>
      <c r="W3230" s="40">
        <f t="shared" si="501"/>
        <v>4156</v>
      </c>
      <c r="X3230" s="40">
        <f t="shared" si="501"/>
        <v>4156</v>
      </c>
      <c r="Y3230" s="40">
        <f t="shared" si="501"/>
        <v>4156</v>
      </c>
      <c r="Z3230" s="40">
        <f t="shared" si="501"/>
        <v>4156</v>
      </c>
      <c r="AA3230" s="966">
        <f t="shared" si="500"/>
        <v>49872</v>
      </c>
      <c r="AB3230" s="1210"/>
      <c r="AC3230" s="1199"/>
      <c r="AD3230" s="1211"/>
    </row>
    <row r="3231" spans="1:30" x14ac:dyDescent="0.2">
      <c r="A3231" s="1422"/>
      <c r="B3231" s="2456"/>
      <c r="C3231" s="3191"/>
      <c r="D3231" s="2432"/>
      <c r="E3231" s="2432"/>
      <c r="F3231" s="2515"/>
      <c r="G3231" s="2515"/>
      <c r="H3231" s="2515"/>
      <c r="I3231" s="2515"/>
      <c r="J3231" s="2515"/>
      <c r="K3231" s="40">
        <v>12850</v>
      </c>
      <c r="L3231" s="115"/>
      <c r="M3231" s="3287" t="s">
        <v>883</v>
      </c>
      <c r="N3231" s="3288"/>
      <c r="O3231" s="40"/>
      <c r="P3231" s="40"/>
      <c r="Q3231" s="40">
        <f>$K3231/2</f>
        <v>6425</v>
      </c>
      <c r="R3231" s="40"/>
      <c r="S3231" s="40"/>
      <c r="T3231" s="40"/>
      <c r="U3231" s="40"/>
      <c r="V3231" s="40">
        <f>$K3231/2</f>
        <v>6425</v>
      </c>
      <c r="W3231" s="40"/>
      <c r="X3231" s="40"/>
      <c r="Y3231" s="40"/>
      <c r="Z3231" s="40"/>
      <c r="AA3231" s="966">
        <f t="shared" si="500"/>
        <v>12850</v>
      </c>
      <c r="AB3231" s="1210"/>
      <c r="AC3231" s="1199"/>
      <c r="AD3231" s="1211"/>
    </row>
    <row r="3232" spans="1:30" x14ac:dyDescent="0.2">
      <c r="A3232" s="1422"/>
      <c r="B3232" s="2450"/>
      <c r="C3232" s="2439"/>
      <c r="D3232" s="2437"/>
      <c r="E3232" s="2437"/>
      <c r="F3232" s="2516"/>
      <c r="G3232" s="2516"/>
      <c r="H3232" s="2516"/>
      <c r="I3232" s="2516"/>
      <c r="J3232" s="2516"/>
      <c r="K3232" s="40">
        <v>587</v>
      </c>
      <c r="L3232" s="115"/>
      <c r="M3232" s="3287" t="s">
        <v>896</v>
      </c>
      <c r="N3232" s="3288"/>
      <c r="O3232" s="40"/>
      <c r="P3232" s="40"/>
      <c r="Q3232" s="40">
        <f>$K3232</f>
        <v>587</v>
      </c>
      <c r="R3232" s="40"/>
      <c r="S3232" s="40"/>
      <c r="T3232" s="40"/>
      <c r="U3232" s="40"/>
      <c r="V3232" s="40"/>
      <c r="W3232" s="40"/>
      <c r="X3232" s="40"/>
      <c r="Y3232" s="40"/>
      <c r="Z3232" s="40"/>
      <c r="AA3232" s="966">
        <f t="shared" si="500"/>
        <v>587</v>
      </c>
      <c r="AB3232" s="1210"/>
      <c r="AC3232" s="1199"/>
      <c r="AD3232" s="1211"/>
    </row>
    <row r="3233" spans="1:30" x14ac:dyDescent="0.2">
      <c r="A3233" s="1422"/>
      <c r="B3233" s="1427" t="s">
        <v>312</v>
      </c>
      <c r="C3233" s="1128"/>
      <c r="D3233" s="38"/>
      <c r="E3233" s="38"/>
      <c r="F3233" s="38"/>
      <c r="G3233" s="38"/>
      <c r="H3233" s="38"/>
      <c r="I3233" s="38"/>
      <c r="J3233" s="38"/>
      <c r="K3233" s="40">
        <f>SUM(K3225:K3232)</f>
        <v>291599</v>
      </c>
      <c r="L3233" s="38"/>
      <c r="M3233" s="38"/>
      <c r="N3233" s="38"/>
      <c r="O3233" s="40"/>
      <c r="P3233" s="40"/>
      <c r="Q3233" s="40"/>
      <c r="R3233" s="40"/>
      <c r="S3233" s="40"/>
      <c r="T3233" s="40"/>
      <c r="U3233" s="40"/>
      <c r="V3233" s="40"/>
      <c r="W3233" s="40"/>
      <c r="X3233" s="40"/>
      <c r="Y3233" s="40"/>
      <c r="Z3233" s="40"/>
      <c r="AA3233" s="966"/>
      <c r="AB3233" s="1210"/>
      <c r="AC3233" s="1199"/>
      <c r="AD3233" s="1211"/>
    </row>
    <row r="3234" spans="1:30" x14ac:dyDescent="0.2">
      <c r="A3234" s="1422"/>
      <c r="B3234" s="1422"/>
      <c r="C3234" s="1124"/>
      <c r="D3234" s="35"/>
      <c r="E3234" s="35"/>
      <c r="F3234" s="35"/>
      <c r="G3234" s="35"/>
      <c r="H3234" s="35"/>
      <c r="I3234" s="35"/>
      <c r="J3234" s="35"/>
      <c r="K3234" s="35"/>
      <c r="L3234" s="35"/>
      <c r="M3234" s="35"/>
      <c r="N3234" s="35"/>
      <c r="O3234" s="35"/>
      <c r="P3234" s="35"/>
      <c r="Q3234" s="35"/>
      <c r="R3234" s="35"/>
      <c r="S3234" s="35"/>
      <c r="T3234" s="35"/>
      <c r="U3234" s="35"/>
      <c r="V3234" s="35"/>
      <c r="W3234" s="35"/>
      <c r="X3234" s="35"/>
      <c r="Y3234" s="35"/>
      <c r="Z3234" s="35"/>
      <c r="AA3234" s="180"/>
      <c r="AB3234" s="35"/>
      <c r="AC3234" s="183"/>
    </row>
    <row r="3235" spans="1:30" x14ac:dyDescent="0.2">
      <c r="A3235" s="1422"/>
      <c r="B3235" s="3247" t="s">
        <v>269</v>
      </c>
      <c r="C3235" s="159"/>
      <c r="D3235" s="38" t="s">
        <v>270</v>
      </c>
      <c r="E3235" s="38"/>
      <c r="F3235" s="38"/>
      <c r="G3235" s="38"/>
      <c r="H3235" s="38"/>
      <c r="I3235" s="38"/>
      <c r="J3235" s="38"/>
      <c r="K3235" s="40"/>
      <c r="L3235" s="60"/>
      <c r="M3235" s="60"/>
      <c r="N3235" s="60"/>
      <c r="O3235" s="60"/>
      <c r="P3235" s="60"/>
      <c r="Q3235" s="60"/>
      <c r="R3235" s="60"/>
      <c r="S3235" s="60"/>
      <c r="T3235" s="35"/>
      <c r="U3235" s="35"/>
      <c r="V3235" s="35"/>
      <c r="W3235" s="35"/>
      <c r="X3235" s="35"/>
      <c r="Y3235" s="35"/>
      <c r="Z3235" s="35"/>
      <c r="AA3235" s="176"/>
      <c r="AB3235" s="35"/>
      <c r="AC3235" s="183"/>
    </row>
    <row r="3236" spans="1:30" x14ac:dyDescent="0.2">
      <c r="A3236" s="1422"/>
      <c r="B3236" s="3249"/>
      <c r="C3236" s="159"/>
      <c r="D3236" s="38" t="s">
        <v>271</v>
      </c>
      <c r="E3236" s="38"/>
      <c r="F3236" s="38"/>
      <c r="G3236" s="38"/>
      <c r="H3236" s="38"/>
      <c r="I3236" s="38"/>
      <c r="J3236" s="38"/>
      <c r="K3236" s="40"/>
      <c r="L3236" s="60"/>
      <c r="M3236" s="60"/>
      <c r="N3236" s="60"/>
      <c r="O3236" s="60"/>
      <c r="P3236" s="60"/>
      <c r="Q3236" s="60"/>
      <c r="R3236" s="60"/>
      <c r="S3236" s="60"/>
      <c r="T3236" s="35"/>
      <c r="U3236" s="35"/>
      <c r="V3236" s="35"/>
      <c r="W3236" s="35"/>
      <c r="X3236" s="35"/>
      <c r="Y3236" s="35"/>
      <c r="Z3236" s="35"/>
      <c r="AA3236" s="176"/>
      <c r="AB3236" s="35"/>
      <c r="AC3236" s="183"/>
    </row>
    <row r="3237" spans="1:30" ht="25.5" x14ac:dyDescent="0.2">
      <c r="A3237" s="1422"/>
      <c r="B3237" s="1544" t="s">
        <v>8</v>
      </c>
      <c r="C3237" s="2126"/>
      <c r="D3237" s="2127" t="s">
        <v>639</v>
      </c>
      <c r="E3237" s="2127"/>
      <c r="F3237" s="2127"/>
      <c r="G3237" s="2127"/>
      <c r="H3237" s="2127"/>
      <c r="I3237" s="2127"/>
      <c r="J3237" s="2127"/>
      <c r="K3237" s="2133"/>
      <c r="L3237" s="2134"/>
      <c r="M3237" s="2134"/>
      <c r="N3237" s="2134"/>
      <c r="O3237" s="2134"/>
      <c r="P3237" s="2134"/>
      <c r="Q3237" s="2134"/>
      <c r="R3237" s="2134"/>
      <c r="S3237" s="2134"/>
      <c r="T3237" s="2135"/>
      <c r="U3237" s="2135"/>
      <c r="V3237" s="2135"/>
      <c r="W3237" s="2135"/>
      <c r="X3237" s="2135"/>
      <c r="Y3237" s="2135"/>
      <c r="Z3237" s="2135"/>
      <c r="AA3237" s="2136"/>
      <c r="AB3237" s="35"/>
      <c r="AC3237" s="183"/>
    </row>
    <row r="3238" spans="1:30" x14ac:dyDescent="0.2">
      <c r="A3238" s="1422"/>
      <c r="B3238" s="1967" t="s">
        <v>272</v>
      </c>
      <c r="C3238" s="159"/>
      <c r="D3238" s="38" t="s">
        <v>84</v>
      </c>
      <c r="E3238" s="38"/>
      <c r="F3238" s="38"/>
      <c r="G3238" s="38"/>
      <c r="H3238" s="38"/>
      <c r="I3238" s="38"/>
      <c r="J3238" s="38"/>
      <c r="K3238" s="40"/>
      <c r="L3238" s="60"/>
      <c r="M3238" s="60"/>
      <c r="N3238" s="60"/>
      <c r="O3238" s="60"/>
      <c r="P3238" s="60"/>
      <c r="Q3238" s="60"/>
      <c r="R3238" s="60"/>
      <c r="S3238" s="60"/>
      <c r="T3238" s="3333" t="s">
        <v>15</v>
      </c>
      <c r="U3238" s="3333"/>
      <c r="V3238" s="3333"/>
      <c r="W3238" s="3333"/>
      <c r="X3238" s="3333"/>
      <c r="Y3238" s="3333"/>
      <c r="Z3238" s="3333" t="s">
        <v>16</v>
      </c>
      <c r="AA3238" s="3333"/>
      <c r="AB3238" s="35"/>
      <c r="AC3238" s="183"/>
    </row>
    <row r="3239" spans="1:30" x14ac:dyDescent="0.2">
      <c r="A3239" s="1422"/>
      <c r="B3239" s="1967" t="s">
        <v>13</v>
      </c>
      <c r="C3239" s="159"/>
      <c r="D3239" s="2125" t="s">
        <v>907</v>
      </c>
      <c r="E3239" s="159" t="s">
        <v>908</v>
      </c>
      <c r="F3239" s="38"/>
      <c r="G3239" s="38"/>
      <c r="H3239" s="38"/>
      <c r="I3239" s="38"/>
      <c r="J3239" s="38"/>
      <c r="K3239" s="40"/>
      <c r="L3239" s="60"/>
      <c r="M3239" s="60"/>
      <c r="N3239" s="60"/>
      <c r="O3239" s="60"/>
      <c r="P3239" s="60"/>
      <c r="Q3239" s="60"/>
      <c r="R3239" s="60"/>
      <c r="S3239" s="60"/>
      <c r="T3239" s="3333" t="s">
        <v>909</v>
      </c>
      <c r="U3239" s="3333"/>
      <c r="V3239" s="3333"/>
      <c r="W3239" s="3333"/>
      <c r="X3239" s="3333"/>
      <c r="Y3239" s="3333"/>
      <c r="Z3239" s="3333" t="s">
        <v>642</v>
      </c>
      <c r="AA3239" s="3333"/>
      <c r="AB3239" s="35"/>
      <c r="AC3239" s="183"/>
    </row>
    <row r="3240" spans="1:30" ht="12" thickBot="1" x14ac:dyDescent="0.25">
      <c r="A3240" s="1422"/>
      <c r="B3240" s="1967" t="s">
        <v>276</v>
      </c>
      <c r="C3240" s="159"/>
      <c r="D3240" s="159">
        <v>3000001</v>
      </c>
      <c r="E3240" s="159" t="s">
        <v>277</v>
      </c>
      <c r="F3240" s="38"/>
      <c r="G3240" s="38"/>
      <c r="H3240" s="38"/>
      <c r="I3240" s="38"/>
      <c r="J3240" s="38"/>
      <c r="K3240" s="40"/>
      <c r="L3240" s="60"/>
      <c r="M3240" s="60"/>
      <c r="N3240" s="60"/>
      <c r="O3240" s="60"/>
      <c r="P3240" s="60"/>
      <c r="Q3240" s="60"/>
      <c r="R3240" s="60"/>
      <c r="S3240" s="60"/>
      <c r="T3240" s="3415" t="s">
        <v>910</v>
      </c>
      <c r="U3240" s="3415"/>
      <c r="V3240" s="3415"/>
      <c r="W3240" s="3415"/>
      <c r="X3240" s="3415"/>
      <c r="Y3240" s="3415"/>
      <c r="Z3240" s="2941" t="s">
        <v>642</v>
      </c>
      <c r="AA3240" s="2941"/>
      <c r="AB3240" s="35"/>
      <c r="AC3240" s="183"/>
    </row>
    <row r="3241" spans="1:30" x14ac:dyDescent="0.2">
      <c r="A3241" s="1422"/>
      <c r="B3241" s="2999" t="s">
        <v>278</v>
      </c>
      <c r="C3241" s="2999" t="s">
        <v>21</v>
      </c>
      <c r="D3241" s="2847" t="s">
        <v>22</v>
      </c>
      <c r="E3241" s="2847" t="s">
        <v>23</v>
      </c>
      <c r="F3241" s="2847" t="s">
        <v>24</v>
      </c>
      <c r="G3241" s="2847" t="s">
        <v>25</v>
      </c>
      <c r="H3241" s="2847" t="s">
        <v>26</v>
      </c>
      <c r="I3241" s="2847" t="s">
        <v>27</v>
      </c>
      <c r="J3241" s="2847" t="s">
        <v>28</v>
      </c>
      <c r="K3241" s="2847"/>
      <c r="L3241" s="3409" t="s">
        <v>279</v>
      </c>
      <c r="M3241" s="3411" t="s">
        <v>280</v>
      </c>
      <c r="N3241" s="3412"/>
      <c r="O3241" s="3413" t="s">
        <v>281</v>
      </c>
      <c r="P3241" s="3320"/>
      <c r="Q3241" s="3320"/>
      <c r="R3241" s="3320"/>
      <c r="S3241" s="3320"/>
      <c r="T3241" s="3320"/>
      <c r="U3241" s="3320"/>
      <c r="V3241" s="3320"/>
      <c r="W3241" s="3320"/>
      <c r="X3241" s="3320"/>
      <c r="Y3241" s="3320"/>
      <c r="Z3241" s="3414"/>
      <c r="AA3241" s="2847" t="s">
        <v>32</v>
      </c>
      <c r="AB3241" s="35"/>
      <c r="AC3241" s="183"/>
    </row>
    <row r="3242" spans="1:30" x14ac:dyDescent="0.2">
      <c r="A3242" s="1422"/>
      <c r="B3242" s="2999"/>
      <c r="C3242" s="2999"/>
      <c r="D3242" s="2847"/>
      <c r="E3242" s="2847"/>
      <c r="F3242" s="2847"/>
      <c r="G3242" s="2847"/>
      <c r="H3242" s="2847"/>
      <c r="I3242" s="2847"/>
      <c r="J3242" s="2847" t="s">
        <v>33</v>
      </c>
      <c r="K3242" s="2847" t="s">
        <v>282</v>
      </c>
      <c r="L3242" s="3410"/>
      <c r="M3242" s="3275"/>
      <c r="N3242" s="3318"/>
      <c r="O3242" s="72" t="s">
        <v>283</v>
      </c>
      <c r="P3242" s="1009" t="s">
        <v>284</v>
      </c>
      <c r="Q3242" s="1009" t="s">
        <v>285</v>
      </c>
      <c r="R3242" s="1009" t="s">
        <v>88</v>
      </c>
      <c r="S3242" s="1009" t="s">
        <v>89</v>
      </c>
      <c r="T3242" s="1009" t="s">
        <v>90</v>
      </c>
      <c r="U3242" s="1009" t="s">
        <v>91</v>
      </c>
      <c r="V3242" s="1009" t="s">
        <v>92</v>
      </c>
      <c r="W3242" s="1009" t="s">
        <v>286</v>
      </c>
      <c r="X3242" s="1009" t="s">
        <v>93</v>
      </c>
      <c r="Y3242" s="1009" t="s">
        <v>94</v>
      </c>
      <c r="Z3242" s="73" t="s">
        <v>95</v>
      </c>
      <c r="AA3242" s="2847"/>
      <c r="AB3242" s="35"/>
      <c r="AC3242" s="183"/>
    </row>
    <row r="3243" spans="1:30" ht="12.75" x14ac:dyDescent="0.2">
      <c r="A3243" s="1422"/>
      <c r="B3243" s="2999"/>
      <c r="C3243" s="2999"/>
      <c r="D3243" s="2847"/>
      <c r="E3243" s="2847"/>
      <c r="F3243" s="2847"/>
      <c r="G3243" s="2847"/>
      <c r="H3243" s="2847"/>
      <c r="I3243" s="2847"/>
      <c r="J3243" s="2847"/>
      <c r="K3243" s="2847"/>
      <c r="L3243" s="3410"/>
      <c r="M3243" s="3273" t="s">
        <v>287</v>
      </c>
      <c r="N3243" s="3314"/>
      <c r="O3243" s="41"/>
      <c r="P3243" s="41"/>
      <c r="Q3243" s="41">
        <v>2.4</v>
      </c>
      <c r="R3243" s="41">
        <v>3</v>
      </c>
      <c r="S3243" s="41">
        <v>3</v>
      </c>
      <c r="T3243" s="41">
        <v>3</v>
      </c>
      <c r="U3243" s="41">
        <v>2</v>
      </c>
      <c r="V3243" s="41">
        <v>3</v>
      </c>
      <c r="W3243" s="41">
        <v>2</v>
      </c>
      <c r="X3243" s="41">
        <v>2</v>
      </c>
      <c r="Y3243" s="41">
        <v>2</v>
      </c>
      <c r="Z3243" s="41">
        <v>2</v>
      </c>
      <c r="AA3243" s="1221">
        <f>SUM(O3243:Z3243)</f>
        <v>24.4</v>
      </c>
      <c r="AB3243" s="1210"/>
      <c r="AC3243" s="1199"/>
      <c r="AD3243" s="1211"/>
    </row>
    <row r="3244" spans="1:30" ht="12.75" x14ac:dyDescent="0.2">
      <c r="A3244" s="1422"/>
      <c r="B3244" s="2999"/>
      <c r="C3244" s="2999"/>
      <c r="D3244" s="2847"/>
      <c r="E3244" s="2847"/>
      <c r="F3244" s="2847"/>
      <c r="G3244" s="2847"/>
      <c r="H3244" s="2847"/>
      <c r="I3244" s="2847"/>
      <c r="J3244" s="2847"/>
      <c r="K3244" s="2847"/>
      <c r="L3244" s="3143"/>
      <c r="M3244" s="3273" t="s">
        <v>34</v>
      </c>
      <c r="N3244" s="3314"/>
      <c r="O3244" s="41">
        <f>SUM(O3245:O3250)</f>
        <v>2726.3333333333335</v>
      </c>
      <c r="P3244" s="41">
        <f t="shared" ref="P3244:Z3244" si="502">SUM(P3245:P3250)</f>
        <v>2326.3333333333335</v>
      </c>
      <c r="Q3244" s="41">
        <f t="shared" si="502"/>
        <v>2326.3333333333335</v>
      </c>
      <c r="R3244" s="41">
        <f t="shared" si="502"/>
        <v>2326.3333333333335</v>
      </c>
      <c r="S3244" s="41">
        <f t="shared" si="502"/>
        <v>2326.3333333333335</v>
      </c>
      <c r="T3244" s="41">
        <f t="shared" si="502"/>
        <v>2326.3333333333335</v>
      </c>
      <c r="U3244" s="41">
        <f t="shared" si="502"/>
        <v>2626.3333333333335</v>
      </c>
      <c r="V3244" s="41">
        <f t="shared" si="502"/>
        <v>2326.3333333333335</v>
      </c>
      <c r="W3244" s="41">
        <f t="shared" si="502"/>
        <v>2326.3333333333335</v>
      </c>
      <c r="X3244" s="41">
        <f t="shared" si="502"/>
        <v>2326.3333333333335</v>
      </c>
      <c r="Y3244" s="41">
        <f t="shared" si="502"/>
        <v>2326.3333333333335</v>
      </c>
      <c r="Z3244" s="41">
        <f t="shared" si="502"/>
        <v>2626.3333333333335</v>
      </c>
      <c r="AA3244" s="1221">
        <f t="shared" ref="AA3244:AA3250" si="503">SUM(O3244:Z3244)</f>
        <v>28915.999999999996</v>
      </c>
      <c r="AB3244" s="1210"/>
      <c r="AC3244" s="1199"/>
      <c r="AD3244" s="1211"/>
    </row>
    <row r="3245" spans="1:30" x14ac:dyDescent="0.2">
      <c r="A3245" s="1422"/>
      <c r="B3245" s="2522">
        <v>5005138</v>
      </c>
      <c r="C3245" s="2438" t="s">
        <v>911</v>
      </c>
      <c r="D3245" s="3369"/>
      <c r="E3245" s="3369" t="s">
        <v>860</v>
      </c>
      <c r="F3245" s="2420" t="s">
        <v>289</v>
      </c>
      <c r="G3245" s="2420" t="s">
        <v>290</v>
      </c>
      <c r="H3245" s="3369"/>
      <c r="I3245" s="2420" t="s">
        <v>292</v>
      </c>
      <c r="J3245" s="3187">
        <v>24</v>
      </c>
      <c r="K3245" s="41">
        <v>21120</v>
      </c>
      <c r="L3245" s="3406"/>
      <c r="M3245" s="3287" t="s">
        <v>295</v>
      </c>
      <c r="N3245" s="3288"/>
      <c r="O3245" s="41">
        <f>$K3245/12</f>
        <v>1760</v>
      </c>
      <c r="P3245" s="41">
        <f t="shared" ref="P3245:Z3245" si="504">$K3245/12</f>
        <v>1760</v>
      </c>
      <c r="Q3245" s="41">
        <f t="shared" si="504"/>
        <v>1760</v>
      </c>
      <c r="R3245" s="41">
        <f t="shared" si="504"/>
        <v>1760</v>
      </c>
      <c r="S3245" s="41">
        <f t="shared" si="504"/>
        <v>1760</v>
      </c>
      <c r="T3245" s="41">
        <f t="shared" si="504"/>
        <v>1760</v>
      </c>
      <c r="U3245" s="41">
        <f t="shared" si="504"/>
        <v>1760</v>
      </c>
      <c r="V3245" s="41">
        <f t="shared" si="504"/>
        <v>1760</v>
      </c>
      <c r="W3245" s="41">
        <f t="shared" si="504"/>
        <v>1760</v>
      </c>
      <c r="X3245" s="41">
        <f t="shared" si="504"/>
        <v>1760</v>
      </c>
      <c r="Y3245" s="41">
        <f t="shared" si="504"/>
        <v>1760</v>
      </c>
      <c r="Z3245" s="41">
        <f t="shared" si="504"/>
        <v>1760</v>
      </c>
      <c r="AA3245" s="1220">
        <f t="shared" si="503"/>
        <v>21120</v>
      </c>
      <c r="AB3245" s="1210"/>
      <c r="AC3245" s="1199"/>
      <c r="AD3245" s="1211"/>
    </row>
    <row r="3246" spans="1:30" x14ac:dyDescent="0.2">
      <c r="A3246" s="1422"/>
      <c r="B3246" s="2522"/>
      <c r="C3246" s="2456"/>
      <c r="D3246" s="3369"/>
      <c r="E3246" s="3369"/>
      <c r="F3246" s="2420"/>
      <c r="G3246" s="2420"/>
      <c r="H3246" s="3369"/>
      <c r="I3246" s="2420"/>
      <c r="J3246" s="2955"/>
      <c r="K3246" s="41">
        <v>3610</v>
      </c>
      <c r="L3246" s="3407"/>
      <c r="M3246" s="3287" t="s">
        <v>296</v>
      </c>
      <c r="N3246" s="3288"/>
      <c r="O3246" s="41">
        <f t="shared" ref="O3246:Z3247" si="505">$K3246/12</f>
        <v>300.83333333333331</v>
      </c>
      <c r="P3246" s="41">
        <f t="shared" si="505"/>
        <v>300.83333333333331</v>
      </c>
      <c r="Q3246" s="41">
        <f t="shared" si="505"/>
        <v>300.83333333333331</v>
      </c>
      <c r="R3246" s="41">
        <f t="shared" si="505"/>
        <v>300.83333333333331</v>
      </c>
      <c r="S3246" s="41">
        <f t="shared" si="505"/>
        <v>300.83333333333331</v>
      </c>
      <c r="T3246" s="41">
        <f t="shared" si="505"/>
        <v>300.83333333333331</v>
      </c>
      <c r="U3246" s="41">
        <f t="shared" si="505"/>
        <v>300.83333333333331</v>
      </c>
      <c r="V3246" s="41">
        <f t="shared" si="505"/>
        <v>300.83333333333331</v>
      </c>
      <c r="W3246" s="41">
        <f t="shared" si="505"/>
        <v>300.83333333333331</v>
      </c>
      <c r="X3246" s="41">
        <f t="shared" si="505"/>
        <v>300.83333333333331</v>
      </c>
      <c r="Y3246" s="41">
        <f t="shared" si="505"/>
        <v>300.83333333333331</v>
      </c>
      <c r="Z3246" s="41">
        <f t="shared" si="505"/>
        <v>300.83333333333331</v>
      </c>
      <c r="AA3246" s="1220">
        <f t="shared" si="503"/>
        <v>3610.0000000000005</v>
      </c>
      <c r="AB3246" s="1210"/>
      <c r="AC3246" s="1199"/>
      <c r="AD3246" s="1211"/>
    </row>
    <row r="3247" spans="1:30" x14ac:dyDescent="0.2">
      <c r="A3247" s="1422"/>
      <c r="B3247" s="2522"/>
      <c r="C3247" s="2456"/>
      <c r="D3247" s="3369"/>
      <c r="E3247" s="3369"/>
      <c r="F3247" s="2420"/>
      <c r="G3247" s="2420"/>
      <c r="H3247" s="3369"/>
      <c r="I3247" s="2420"/>
      <c r="J3247" s="2955"/>
      <c r="K3247" s="41">
        <v>1896</v>
      </c>
      <c r="L3247" s="3407"/>
      <c r="M3247" s="3287" t="s">
        <v>297</v>
      </c>
      <c r="N3247" s="3288"/>
      <c r="O3247" s="41">
        <f t="shared" si="505"/>
        <v>158</v>
      </c>
      <c r="P3247" s="41">
        <f t="shared" si="505"/>
        <v>158</v>
      </c>
      <c r="Q3247" s="41">
        <f t="shared" si="505"/>
        <v>158</v>
      </c>
      <c r="R3247" s="41">
        <f t="shared" si="505"/>
        <v>158</v>
      </c>
      <c r="S3247" s="41">
        <f t="shared" si="505"/>
        <v>158</v>
      </c>
      <c r="T3247" s="41">
        <f t="shared" si="505"/>
        <v>158</v>
      </c>
      <c r="U3247" s="41">
        <f t="shared" si="505"/>
        <v>158</v>
      </c>
      <c r="V3247" s="41">
        <f t="shared" si="505"/>
        <v>158</v>
      </c>
      <c r="W3247" s="41">
        <f t="shared" si="505"/>
        <v>158</v>
      </c>
      <c r="X3247" s="41">
        <f t="shared" si="505"/>
        <v>158</v>
      </c>
      <c r="Y3247" s="41">
        <f t="shared" si="505"/>
        <v>158</v>
      </c>
      <c r="Z3247" s="41">
        <f t="shared" si="505"/>
        <v>158</v>
      </c>
      <c r="AA3247" s="1220">
        <f t="shared" si="503"/>
        <v>1896</v>
      </c>
      <c r="AB3247" s="1210"/>
      <c r="AC3247" s="1199"/>
      <c r="AD3247" s="1211"/>
    </row>
    <row r="3248" spans="1:30" x14ac:dyDescent="0.2">
      <c r="A3248" s="1422"/>
      <c r="B3248" s="2522"/>
      <c r="C3248" s="2456"/>
      <c r="D3248" s="3369"/>
      <c r="E3248" s="3369"/>
      <c r="F3248" s="2420"/>
      <c r="G3248" s="2420"/>
      <c r="H3248" s="3369"/>
      <c r="I3248" s="2420"/>
      <c r="J3248" s="2955"/>
      <c r="K3248" s="41">
        <v>600</v>
      </c>
      <c r="L3248" s="3407"/>
      <c r="M3248" s="3287" t="s">
        <v>298</v>
      </c>
      <c r="N3248" s="3288"/>
      <c r="O3248" s="41"/>
      <c r="P3248" s="41"/>
      <c r="Q3248" s="41"/>
      <c r="R3248" s="41"/>
      <c r="S3248" s="41"/>
      <c r="T3248" s="41"/>
      <c r="U3248" s="41">
        <f>K3248/2</f>
        <v>300</v>
      </c>
      <c r="V3248" s="41"/>
      <c r="W3248" s="41"/>
      <c r="X3248" s="41"/>
      <c r="Y3248" s="41"/>
      <c r="Z3248" s="41">
        <f>K3248/2</f>
        <v>300</v>
      </c>
      <c r="AA3248" s="1220">
        <f t="shared" si="503"/>
        <v>600</v>
      </c>
      <c r="AB3248" s="1210"/>
      <c r="AC3248" s="1199"/>
      <c r="AD3248" s="1211"/>
    </row>
    <row r="3249" spans="1:30" x14ac:dyDescent="0.2">
      <c r="A3249" s="1422"/>
      <c r="B3249" s="2522"/>
      <c r="C3249" s="2456"/>
      <c r="D3249" s="3369"/>
      <c r="E3249" s="3369"/>
      <c r="F3249" s="2420"/>
      <c r="G3249" s="2420"/>
      <c r="H3249" s="3369"/>
      <c r="I3249" s="2420"/>
      <c r="J3249" s="2955"/>
      <c r="K3249" s="41">
        <v>400</v>
      </c>
      <c r="L3249" s="3407"/>
      <c r="M3249" s="3287" t="s">
        <v>299</v>
      </c>
      <c r="N3249" s="3288"/>
      <c r="O3249" s="41">
        <f>K3249</f>
        <v>400</v>
      </c>
      <c r="P3249" s="41"/>
      <c r="Q3249" s="41"/>
      <c r="R3249" s="41"/>
      <c r="S3249" s="41"/>
      <c r="T3249" s="41"/>
      <c r="U3249" s="41"/>
      <c r="V3249" s="41"/>
      <c r="W3249" s="41"/>
      <c r="X3249" s="41"/>
      <c r="Y3249" s="41"/>
      <c r="Z3249" s="41"/>
      <c r="AA3249" s="1220">
        <f t="shared" si="503"/>
        <v>400</v>
      </c>
      <c r="AB3249" s="1210"/>
      <c r="AC3249" s="1199"/>
      <c r="AD3249" s="1211"/>
    </row>
    <row r="3250" spans="1:30" x14ac:dyDescent="0.2">
      <c r="A3250" s="1422"/>
      <c r="B3250" s="2522"/>
      <c r="C3250" s="2450"/>
      <c r="D3250" s="3369"/>
      <c r="E3250" s="3369"/>
      <c r="F3250" s="2420"/>
      <c r="G3250" s="2420"/>
      <c r="H3250" s="3369"/>
      <c r="I3250" s="2420"/>
      <c r="J3250" s="2956"/>
      <c r="K3250" s="41">
        <v>1290</v>
      </c>
      <c r="L3250" s="3408"/>
      <c r="M3250" s="3287" t="s">
        <v>300</v>
      </c>
      <c r="N3250" s="3288"/>
      <c r="O3250" s="41">
        <f>$K3250/12</f>
        <v>107.5</v>
      </c>
      <c r="P3250" s="41">
        <f t="shared" ref="P3250:Z3250" si="506">$K3250/12</f>
        <v>107.5</v>
      </c>
      <c r="Q3250" s="41">
        <f t="shared" si="506"/>
        <v>107.5</v>
      </c>
      <c r="R3250" s="41">
        <f t="shared" si="506"/>
        <v>107.5</v>
      </c>
      <c r="S3250" s="41">
        <f t="shared" si="506"/>
        <v>107.5</v>
      </c>
      <c r="T3250" s="41">
        <f t="shared" si="506"/>
        <v>107.5</v>
      </c>
      <c r="U3250" s="41">
        <f t="shared" si="506"/>
        <v>107.5</v>
      </c>
      <c r="V3250" s="41">
        <f t="shared" si="506"/>
        <v>107.5</v>
      </c>
      <c r="W3250" s="41">
        <f t="shared" si="506"/>
        <v>107.5</v>
      </c>
      <c r="X3250" s="41">
        <f t="shared" si="506"/>
        <v>107.5</v>
      </c>
      <c r="Y3250" s="41">
        <f t="shared" si="506"/>
        <v>107.5</v>
      </c>
      <c r="Z3250" s="41">
        <f t="shared" si="506"/>
        <v>107.5</v>
      </c>
      <c r="AA3250" s="1220">
        <f t="shared" si="503"/>
        <v>1290</v>
      </c>
      <c r="AB3250" s="1210"/>
      <c r="AC3250" s="1199"/>
      <c r="AD3250" s="1211"/>
    </row>
    <row r="3251" spans="1:30" x14ac:dyDescent="0.2">
      <c r="A3251" s="1422"/>
      <c r="B3251" s="1427" t="s">
        <v>312</v>
      </c>
      <c r="C3251" s="1128"/>
      <c r="D3251" s="38"/>
      <c r="E3251" s="38"/>
      <c r="F3251" s="38"/>
      <c r="G3251" s="38"/>
      <c r="H3251" s="38"/>
      <c r="I3251" s="38"/>
      <c r="J3251" s="38"/>
      <c r="K3251" s="41">
        <f>SUM(K3245:K3250)</f>
        <v>28916</v>
      </c>
      <c r="L3251" s="54"/>
      <c r="M3251" s="54"/>
      <c r="N3251" s="54"/>
      <c r="O3251" s="38"/>
      <c r="P3251" s="38"/>
      <c r="Q3251" s="38"/>
      <c r="R3251" s="38"/>
      <c r="S3251" s="38"/>
      <c r="T3251" s="38"/>
      <c r="U3251" s="38"/>
      <c r="V3251" s="38"/>
      <c r="W3251" s="38"/>
      <c r="X3251" s="38"/>
      <c r="Y3251" s="38"/>
      <c r="Z3251" s="38"/>
      <c r="AA3251" s="132"/>
      <c r="AB3251" s="35"/>
      <c r="AC3251" s="183"/>
    </row>
    <row r="3252" spans="1:30" x14ac:dyDescent="0.2">
      <c r="A3252" s="1422"/>
      <c r="B3252" s="1433" t="s">
        <v>276</v>
      </c>
      <c r="C3252" s="1119"/>
      <c r="D3252" s="133">
        <v>3000283</v>
      </c>
      <c r="E3252" s="192" t="s">
        <v>912</v>
      </c>
      <c r="F3252" s="134"/>
      <c r="G3252" s="134"/>
      <c r="H3252" s="134"/>
      <c r="I3252" s="134"/>
      <c r="J3252" s="134"/>
      <c r="K3252" s="134"/>
      <c r="L3252" s="134"/>
      <c r="M3252" s="134"/>
      <c r="N3252" s="35"/>
      <c r="O3252" s="35"/>
      <c r="P3252" s="35"/>
      <c r="Q3252" s="35"/>
      <c r="R3252" s="35"/>
      <c r="S3252" s="35"/>
      <c r="T3252" s="3333" t="s">
        <v>15</v>
      </c>
      <c r="U3252" s="3333"/>
      <c r="V3252" s="3333"/>
      <c r="W3252" s="3333"/>
      <c r="X3252" s="3333"/>
      <c r="Y3252" s="3333"/>
      <c r="Z3252" s="3333" t="s">
        <v>16</v>
      </c>
      <c r="AA3252" s="3333"/>
      <c r="AB3252" s="35"/>
      <c r="AC3252" s="183"/>
    </row>
    <row r="3253" spans="1:30" x14ac:dyDescent="0.2">
      <c r="A3253" s="1422"/>
      <c r="B3253" s="1436"/>
      <c r="C3253" s="1270"/>
      <c r="D3253" s="99"/>
      <c r="E3253" s="135"/>
      <c r="F3253" s="99"/>
      <c r="G3253" s="99"/>
      <c r="H3253" s="99"/>
      <c r="I3253" s="99"/>
      <c r="J3253" s="99"/>
      <c r="K3253" s="99"/>
      <c r="L3253" s="99"/>
      <c r="M3253" s="99"/>
      <c r="N3253" s="99"/>
      <c r="O3253" s="99"/>
      <c r="P3253" s="99"/>
      <c r="Q3253" s="99"/>
      <c r="R3253" s="99"/>
      <c r="S3253" s="99"/>
      <c r="T3253" s="3390" t="s">
        <v>913</v>
      </c>
      <c r="U3253" s="3390"/>
      <c r="V3253" s="3390"/>
      <c r="W3253" s="3390"/>
      <c r="X3253" s="3390"/>
      <c r="Y3253" s="3390"/>
      <c r="Z3253" s="3390" t="s">
        <v>642</v>
      </c>
      <c r="AA3253" s="3390"/>
      <c r="AB3253" s="35"/>
      <c r="AC3253" s="183"/>
    </row>
    <row r="3254" spans="1:30" ht="12" thickBot="1" x14ac:dyDescent="0.25">
      <c r="A3254" s="1422"/>
      <c r="B3254" s="1436"/>
      <c r="C3254" s="1270"/>
      <c r="D3254" s="99"/>
      <c r="E3254" s="135"/>
      <c r="F3254" s="99"/>
      <c r="G3254" s="99"/>
      <c r="H3254" s="99"/>
      <c r="I3254" s="99"/>
      <c r="J3254" s="99"/>
      <c r="K3254" s="99"/>
      <c r="L3254" s="99"/>
      <c r="M3254" s="99"/>
      <c r="N3254" s="99"/>
      <c r="O3254" s="99"/>
      <c r="P3254" s="99"/>
      <c r="Q3254" s="99"/>
      <c r="R3254" s="99"/>
      <c r="S3254" s="99"/>
      <c r="T3254" s="3390" t="s">
        <v>914</v>
      </c>
      <c r="U3254" s="3390"/>
      <c r="V3254" s="3390"/>
      <c r="W3254" s="3390"/>
      <c r="X3254" s="3390"/>
      <c r="Y3254" s="3390"/>
      <c r="Z3254" s="3390" t="s">
        <v>915</v>
      </c>
      <c r="AA3254" s="3390"/>
      <c r="AB3254" s="35"/>
      <c r="AC3254" s="183"/>
    </row>
    <row r="3255" spans="1:30" x14ac:dyDescent="0.2">
      <c r="A3255" s="1422"/>
      <c r="B3255" s="2999" t="s">
        <v>278</v>
      </c>
      <c r="C3255" s="3015" t="s">
        <v>21</v>
      </c>
      <c r="D3255" s="2847" t="s">
        <v>22</v>
      </c>
      <c r="E3255" s="2847" t="s">
        <v>23</v>
      </c>
      <c r="F3255" s="2847" t="s">
        <v>24</v>
      </c>
      <c r="G3255" s="2847" t="s">
        <v>25</v>
      </c>
      <c r="H3255" s="2847" t="s">
        <v>26</v>
      </c>
      <c r="I3255" s="2847" t="s">
        <v>27</v>
      </c>
      <c r="J3255" s="3416" t="s">
        <v>28</v>
      </c>
      <c r="K3255" s="3416"/>
      <c r="L3255" s="3409" t="s">
        <v>279</v>
      </c>
      <c r="M3255" s="3411" t="s">
        <v>280</v>
      </c>
      <c r="N3255" s="3412"/>
      <c r="O3255" s="3413" t="s">
        <v>281</v>
      </c>
      <c r="P3255" s="3320"/>
      <c r="Q3255" s="3320"/>
      <c r="R3255" s="3320"/>
      <c r="S3255" s="3320"/>
      <c r="T3255" s="3320"/>
      <c r="U3255" s="3320"/>
      <c r="V3255" s="3320"/>
      <c r="W3255" s="3320"/>
      <c r="X3255" s="3320"/>
      <c r="Y3255" s="3320"/>
      <c r="Z3255" s="3414"/>
      <c r="AA3255" s="2847" t="s">
        <v>32</v>
      </c>
      <c r="AB3255" s="35"/>
      <c r="AC3255" s="183"/>
    </row>
    <row r="3256" spans="1:30" x14ac:dyDescent="0.2">
      <c r="A3256" s="1422"/>
      <c r="B3256" s="2999"/>
      <c r="C3256" s="3359"/>
      <c r="D3256" s="2847"/>
      <c r="E3256" s="2847"/>
      <c r="F3256" s="2847"/>
      <c r="G3256" s="2847"/>
      <c r="H3256" s="2847"/>
      <c r="I3256" s="2847"/>
      <c r="J3256" s="2988" t="s">
        <v>33</v>
      </c>
      <c r="K3256" s="2988" t="s">
        <v>282</v>
      </c>
      <c r="L3256" s="3410"/>
      <c r="M3256" s="3275"/>
      <c r="N3256" s="3318"/>
      <c r="O3256" s="72" t="s">
        <v>283</v>
      </c>
      <c r="P3256" s="1009" t="s">
        <v>284</v>
      </c>
      <c r="Q3256" s="1009" t="s">
        <v>285</v>
      </c>
      <c r="R3256" s="1009" t="s">
        <v>88</v>
      </c>
      <c r="S3256" s="1009" t="s">
        <v>89</v>
      </c>
      <c r="T3256" s="1009" t="s">
        <v>90</v>
      </c>
      <c r="U3256" s="1009" t="s">
        <v>91</v>
      </c>
      <c r="V3256" s="1009" t="s">
        <v>92</v>
      </c>
      <c r="W3256" s="1009" t="s">
        <v>286</v>
      </c>
      <c r="X3256" s="1009" t="s">
        <v>93</v>
      </c>
      <c r="Y3256" s="1009" t="s">
        <v>94</v>
      </c>
      <c r="Z3256" s="73" t="s">
        <v>95</v>
      </c>
      <c r="AA3256" s="2847"/>
      <c r="AB3256" s="35"/>
      <c r="AC3256" s="183"/>
    </row>
    <row r="3257" spans="1:30" ht="12.75" x14ac:dyDescent="0.2">
      <c r="A3257" s="1422"/>
      <c r="B3257" s="2999"/>
      <c r="C3257" s="3359"/>
      <c r="D3257" s="2847"/>
      <c r="E3257" s="2847"/>
      <c r="F3257" s="2847"/>
      <c r="G3257" s="2847"/>
      <c r="H3257" s="2847"/>
      <c r="I3257" s="2847"/>
      <c r="J3257" s="3186"/>
      <c r="K3257" s="3186"/>
      <c r="L3257" s="3410"/>
      <c r="M3257" s="3273" t="s">
        <v>287</v>
      </c>
      <c r="N3257" s="3314"/>
      <c r="O3257" s="41">
        <v>100.41666666666667</v>
      </c>
      <c r="P3257" s="41">
        <v>100</v>
      </c>
      <c r="Q3257" s="41">
        <v>102</v>
      </c>
      <c r="R3257" s="41">
        <v>102</v>
      </c>
      <c r="S3257" s="41">
        <v>101</v>
      </c>
      <c r="T3257" s="41">
        <v>100</v>
      </c>
      <c r="U3257" s="41">
        <v>100</v>
      </c>
      <c r="V3257" s="41">
        <v>100</v>
      </c>
      <c r="W3257" s="41">
        <v>100</v>
      </c>
      <c r="X3257" s="41">
        <v>100</v>
      </c>
      <c r="Y3257" s="41">
        <v>100</v>
      </c>
      <c r="Z3257" s="41">
        <v>100</v>
      </c>
      <c r="AA3257" s="1221">
        <f>SUM(O3257:Z3257)</f>
        <v>1205.4166666666667</v>
      </c>
      <c r="AB3257" s="35"/>
      <c r="AC3257" s="183"/>
    </row>
    <row r="3258" spans="1:30" ht="12.75" x14ac:dyDescent="0.2">
      <c r="A3258" s="1422"/>
      <c r="B3258" s="2999"/>
      <c r="C3258" s="3016"/>
      <c r="D3258" s="2847"/>
      <c r="E3258" s="2847"/>
      <c r="F3258" s="2847"/>
      <c r="G3258" s="2847"/>
      <c r="H3258" s="2847"/>
      <c r="I3258" s="2847"/>
      <c r="J3258" s="3186"/>
      <c r="K3258" s="3186"/>
      <c r="L3258" s="3143"/>
      <c r="M3258" s="3273" t="s">
        <v>34</v>
      </c>
      <c r="N3258" s="3314"/>
      <c r="O3258" s="41">
        <f>SUM(O3259:O3262)</f>
        <v>21228.416666666664</v>
      </c>
      <c r="P3258" s="41">
        <f t="shared" ref="P3258:Z3258" si="507">SUM(P3259:P3262)</f>
        <v>21228.416666666664</v>
      </c>
      <c r="Q3258" s="41">
        <f t="shared" si="507"/>
        <v>21228.416666666664</v>
      </c>
      <c r="R3258" s="41">
        <f t="shared" si="507"/>
        <v>21228.416666666664</v>
      </c>
      <c r="S3258" s="41">
        <f t="shared" si="507"/>
        <v>31228.416666666664</v>
      </c>
      <c r="T3258" s="41">
        <f t="shared" si="507"/>
        <v>21228.416666666664</v>
      </c>
      <c r="U3258" s="41">
        <f t="shared" si="507"/>
        <v>30228.416666666664</v>
      </c>
      <c r="V3258" s="41">
        <f t="shared" si="507"/>
        <v>21228.416666666664</v>
      </c>
      <c r="W3258" s="41">
        <f t="shared" si="507"/>
        <v>21228.416666666664</v>
      </c>
      <c r="X3258" s="41">
        <f t="shared" si="507"/>
        <v>21228.416666666664</v>
      </c>
      <c r="Y3258" s="41">
        <f t="shared" si="507"/>
        <v>21228.416666666664</v>
      </c>
      <c r="Z3258" s="41">
        <f t="shared" si="507"/>
        <v>30228.416666666664</v>
      </c>
      <c r="AA3258" s="1221">
        <f t="shared" ref="AA3258:AA3262" si="508">SUM(O3258:Z3258)</f>
        <v>282740.99999999994</v>
      </c>
      <c r="AB3258" s="35"/>
      <c r="AC3258" s="183"/>
    </row>
    <row r="3259" spans="1:30" x14ac:dyDescent="0.2">
      <c r="A3259" s="1422"/>
      <c r="B3259" s="2522">
        <v>5002796</v>
      </c>
      <c r="C3259" s="2438" t="s">
        <v>916</v>
      </c>
      <c r="D3259" s="3369"/>
      <c r="E3259" s="3369" t="s">
        <v>860</v>
      </c>
      <c r="F3259" s="2420" t="s">
        <v>386</v>
      </c>
      <c r="G3259" s="2420" t="s">
        <v>387</v>
      </c>
      <c r="H3259" s="3369"/>
      <c r="I3259" s="2420" t="s">
        <v>917</v>
      </c>
      <c r="J3259" s="3187">
        <v>1205</v>
      </c>
      <c r="K3259" s="41">
        <v>135000</v>
      </c>
      <c r="L3259" s="3406"/>
      <c r="M3259" s="3287" t="s">
        <v>293</v>
      </c>
      <c r="N3259" s="3288"/>
      <c r="O3259" s="41">
        <f>$K3259/12</f>
        <v>11250</v>
      </c>
      <c r="P3259" s="41">
        <f t="shared" ref="P3259:Z3260" si="509">$K3259/12</f>
        <v>11250</v>
      </c>
      <c r="Q3259" s="41">
        <f t="shared" si="509"/>
        <v>11250</v>
      </c>
      <c r="R3259" s="41">
        <f t="shared" si="509"/>
        <v>11250</v>
      </c>
      <c r="S3259" s="41">
        <f t="shared" si="509"/>
        <v>11250</v>
      </c>
      <c r="T3259" s="41">
        <f t="shared" si="509"/>
        <v>11250</v>
      </c>
      <c r="U3259" s="41">
        <f t="shared" si="509"/>
        <v>11250</v>
      </c>
      <c r="V3259" s="41">
        <f t="shared" si="509"/>
        <v>11250</v>
      </c>
      <c r="W3259" s="41">
        <f t="shared" si="509"/>
        <v>11250</v>
      </c>
      <c r="X3259" s="41">
        <f t="shared" si="509"/>
        <v>11250</v>
      </c>
      <c r="Y3259" s="41">
        <f t="shared" si="509"/>
        <v>11250</v>
      </c>
      <c r="Z3259" s="41">
        <f t="shared" si="509"/>
        <v>11250</v>
      </c>
      <c r="AA3259" s="1220">
        <f t="shared" si="508"/>
        <v>135000</v>
      </c>
      <c r="AB3259" s="35"/>
      <c r="AC3259" s="183"/>
    </row>
    <row r="3260" spans="1:30" x14ac:dyDescent="0.2">
      <c r="A3260" s="1422"/>
      <c r="B3260" s="2522"/>
      <c r="C3260" s="2456"/>
      <c r="D3260" s="3369"/>
      <c r="E3260" s="3369"/>
      <c r="F3260" s="2420"/>
      <c r="G3260" s="2420"/>
      <c r="H3260" s="3369"/>
      <c r="I3260" s="2420"/>
      <c r="J3260" s="2955"/>
      <c r="K3260" s="41">
        <v>119741</v>
      </c>
      <c r="L3260" s="3407"/>
      <c r="M3260" s="3287" t="s">
        <v>295</v>
      </c>
      <c r="N3260" s="3288"/>
      <c r="O3260" s="41">
        <f>$K3260/12</f>
        <v>9978.4166666666661</v>
      </c>
      <c r="P3260" s="41">
        <f t="shared" si="509"/>
        <v>9978.4166666666661</v>
      </c>
      <c r="Q3260" s="41">
        <f t="shared" si="509"/>
        <v>9978.4166666666661</v>
      </c>
      <c r="R3260" s="41">
        <f t="shared" si="509"/>
        <v>9978.4166666666661</v>
      </c>
      <c r="S3260" s="41">
        <f t="shared" si="509"/>
        <v>9978.4166666666661</v>
      </c>
      <c r="T3260" s="41">
        <f t="shared" si="509"/>
        <v>9978.4166666666661</v>
      </c>
      <c r="U3260" s="41">
        <f t="shared" si="509"/>
        <v>9978.4166666666661</v>
      </c>
      <c r="V3260" s="41">
        <f t="shared" si="509"/>
        <v>9978.4166666666661</v>
      </c>
      <c r="W3260" s="41">
        <f t="shared" si="509"/>
        <v>9978.4166666666661</v>
      </c>
      <c r="X3260" s="41">
        <f t="shared" si="509"/>
        <v>9978.4166666666661</v>
      </c>
      <c r="Y3260" s="41">
        <f t="shared" si="509"/>
        <v>9978.4166666666661</v>
      </c>
      <c r="Z3260" s="41">
        <f t="shared" si="509"/>
        <v>9978.4166666666661</v>
      </c>
      <c r="AA3260" s="1220">
        <f t="shared" si="508"/>
        <v>119741.00000000001</v>
      </c>
      <c r="AB3260" s="35"/>
      <c r="AC3260" s="183"/>
    </row>
    <row r="3261" spans="1:30" x14ac:dyDescent="0.2">
      <c r="A3261" s="1422"/>
      <c r="B3261" s="2522"/>
      <c r="C3261" s="2456"/>
      <c r="D3261" s="3369"/>
      <c r="E3261" s="3369"/>
      <c r="F3261" s="2420"/>
      <c r="G3261" s="2420"/>
      <c r="H3261" s="3369"/>
      <c r="I3261" s="2420"/>
      <c r="J3261" s="2955"/>
      <c r="K3261" s="41">
        <v>18000</v>
      </c>
      <c r="L3261" s="3407"/>
      <c r="M3261" s="3287" t="s">
        <v>298</v>
      </c>
      <c r="N3261" s="3288"/>
      <c r="O3261" s="41"/>
      <c r="P3261" s="41"/>
      <c r="Q3261" s="41"/>
      <c r="R3261" s="41"/>
      <c r="S3261" s="41"/>
      <c r="T3261" s="41"/>
      <c r="U3261" s="41">
        <f>K3261/2</f>
        <v>9000</v>
      </c>
      <c r="V3261" s="41"/>
      <c r="W3261" s="41"/>
      <c r="X3261" s="41"/>
      <c r="Y3261" s="41"/>
      <c r="Z3261" s="41">
        <f>K3261/2</f>
        <v>9000</v>
      </c>
      <c r="AA3261" s="1220">
        <f t="shared" si="508"/>
        <v>18000</v>
      </c>
      <c r="AB3261" s="35"/>
      <c r="AC3261" s="183"/>
    </row>
    <row r="3262" spans="1:30" x14ac:dyDescent="0.2">
      <c r="A3262" s="1422"/>
      <c r="B3262" s="2522"/>
      <c r="C3262" s="2450"/>
      <c r="D3262" s="3369"/>
      <c r="E3262" s="3369"/>
      <c r="F3262" s="2420"/>
      <c r="G3262" s="2420"/>
      <c r="H3262" s="3369"/>
      <c r="I3262" s="2420"/>
      <c r="J3262" s="2956"/>
      <c r="K3262" s="41">
        <v>10000</v>
      </c>
      <c r="L3262" s="3408"/>
      <c r="M3262" s="3287" t="s">
        <v>302</v>
      </c>
      <c r="N3262" s="3288"/>
      <c r="O3262" s="41"/>
      <c r="P3262" s="41"/>
      <c r="Q3262" s="41"/>
      <c r="R3262" s="41"/>
      <c r="S3262" s="41">
        <f>K3262</f>
        <v>10000</v>
      </c>
      <c r="T3262" s="41"/>
      <c r="U3262" s="41"/>
      <c r="V3262" s="41"/>
      <c r="W3262" s="41"/>
      <c r="X3262" s="41"/>
      <c r="Y3262" s="41"/>
      <c r="Z3262" s="41"/>
      <c r="AA3262" s="1220">
        <f t="shared" si="508"/>
        <v>10000</v>
      </c>
      <c r="AB3262" s="35"/>
      <c r="AC3262" s="183"/>
    </row>
    <row r="3263" spans="1:30" x14ac:dyDescent="0.2">
      <c r="A3263" s="1422"/>
      <c r="B3263" s="1427" t="s">
        <v>312</v>
      </c>
      <c r="C3263" s="1128"/>
      <c r="D3263" s="38"/>
      <c r="E3263" s="38"/>
      <c r="F3263" s="38"/>
      <c r="G3263" s="38"/>
      <c r="H3263" s="38"/>
      <c r="I3263" s="38"/>
      <c r="J3263" s="38"/>
      <c r="K3263" s="41">
        <f>SUM(K3259:K3262)</f>
        <v>282741</v>
      </c>
      <c r="L3263" s="54"/>
      <c r="M3263" s="54"/>
      <c r="N3263" s="54"/>
      <c r="O3263" s="38"/>
      <c r="P3263" s="38"/>
      <c r="Q3263" s="38"/>
      <c r="R3263" s="38"/>
      <c r="S3263" s="38"/>
      <c r="T3263" s="38"/>
      <c r="U3263" s="38"/>
      <c r="V3263" s="38"/>
      <c r="W3263" s="38"/>
      <c r="X3263" s="38"/>
      <c r="Y3263" s="38"/>
      <c r="Z3263" s="38"/>
      <c r="AA3263" s="1225"/>
      <c r="AB3263" s="35"/>
      <c r="AC3263" s="183"/>
    </row>
    <row r="3264" spans="1:30" x14ac:dyDescent="0.2">
      <c r="A3264" s="1422"/>
      <c r="B3264" s="1433" t="s">
        <v>276</v>
      </c>
      <c r="C3264" s="1119"/>
      <c r="D3264" s="35">
        <v>3000285</v>
      </c>
      <c r="E3264" s="192" t="s">
        <v>918</v>
      </c>
      <c r="F3264" s="35"/>
      <c r="G3264" s="35"/>
      <c r="H3264" s="35"/>
      <c r="I3264" s="35"/>
      <c r="J3264" s="35"/>
      <c r="K3264" s="35"/>
      <c r="L3264" s="35"/>
      <c r="M3264" s="35"/>
      <c r="N3264" s="35"/>
      <c r="O3264" s="35"/>
      <c r="P3264" s="35"/>
      <c r="Q3264" s="35"/>
      <c r="R3264" s="35"/>
      <c r="S3264" s="35"/>
      <c r="T3264" s="3333" t="s">
        <v>15</v>
      </c>
      <c r="U3264" s="3333"/>
      <c r="V3264" s="3333"/>
      <c r="W3264" s="3333"/>
      <c r="X3264" s="3333"/>
      <c r="Y3264" s="3333"/>
      <c r="Z3264" s="3333" t="s">
        <v>16</v>
      </c>
      <c r="AA3264" s="3333"/>
      <c r="AB3264" s="35"/>
      <c r="AC3264" s="183"/>
    </row>
    <row r="3265" spans="1:32" ht="12" thickBot="1" x14ac:dyDescent="0.25">
      <c r="A3265" s="1422"/>
      <c r="B3265" s="1433"/>
      <c r="C3265" s="1119"/>
      <c r="D3265" s="35"/>
      <c r="E3265" s="192"/>
      <c r="F3265" s="35"/>
      <c r="G3265" s="35"/>
      <c r="H3265" s="35"/>
      <c r="I3265" s="35"/>
      <c r="J3265" s="35"/>
      <c r="K3265" s="35"/>
      <c r="L3265" s="35"/>
      <c r="M3265" s="35"/>
      <c r="N3265" s="35"/>
      <c r="O3265" s="35"/>
      <c r="P3265" s="35"/>
      <c r="Q3265" s="35"/>
      <c r="R3265" s="35"/>
      <c r="S3265" s="35"/>
      <c r="T3265" s="3390" t="s">
        <v>919</v>
      </c>
      <c r="U3265" s="3390"/>
      <c r="V3265" s="3390"/>
      <c r="W3265" s="3390"/>
      <c r="X3265" s="3390"/>
      <c r="Y3265" s="3390"/>
      <c r="Z3265" s="3390" t="s">
        <v>915</v>
      </c>
      <c r="AA3265" s="3390"/>
      <c r="AB3265" s="35"/>
      <c r="AC3265" s="183"/>
    </row>
    <row r="3266" spans="1:32" x14ac:dyDescent="0.2">
      <c r="A3266" s="1422"/>
      <c r="B3266" s="2999" t="s">
        <v>278</v>
      </c>
      <c r="C3266" s="3015" t="s">
        <v>21</v>
      </c>
      <c r="D3266" s="2847" t="s">
        <v>22</v>
      </c>
      <c r="E3266" s="2847" t="s">
        <v>23</v>
      </c>
      <c r="F3266" s="2847" t="s">
        <v>24</v>
      </c>
      <c r="G3266" s="2847" t="s">
        <v>25</v>
      </c>
      <c r="H3266" s="2847" t="s">
        <v>26</v>
      </c>
      <c r="I3266" s="2847" t="s">
        <v>27</v>
      </c>
      <c r="J3266" s="3416" t="s">
        <v>28</v>
      </c>
      <c r="K3266" s="3416"/>
      <c r="L3266" s="3409" t="s">
        <v>279</v>
      </c>
      <c r="M3266" s="3411" t="s">
        <v>280</v>
      </c>
      <c r="N3266" s="3412"/>
      <c r="O3266" s="3413" t="s">
        <v>281</v>
      </c>
      <c r="P3266" s="3320"/>
      <c r="Q3266" s="3320"/>
      <c r="R3266" s="3320"/>
      <c r="S3266" s="3320"/>
      <c r="T3266" s="3320"/>
      <c r="U3266" s="3320"/>
      <c r="V3266" s="3320"/>
      <c r="W3266" s="3320"/>
      <c r="X3266" s="3320"/>
      <c r="Y3266" s="3320"/>
      <c r="Z3266" s="3414"/>
      <c r="AA3266" s="2847" t="s">
        <v>32</v>
      </c>
      <c r="AB3266" s="35"/>
      <c r="AC3266" s="183"/>
    </row>
    <row r="3267" spans="1:32" x14ac:dyDescent="0.2">
      <c r="A3267" s="1422"/>
      <c r="B3267" s="2999"/>
      <c r="C3267" s="3359"/>
      <c r="D3267" s="2847"/>
      <c r="E3267" s="2847"/>
      <c r="F3267" s="2847"/>
      <c r="G3267" s="2847"/>
      <c r="H3267" s="2847"/>
      <c r="I3267" s="2847"/>
      <c r="J3267" s="2988" t="s">
        <v>33</v>
      </c>
      <c r="K3267" s="2988" t="s">
        <v>282</v>
      </c>
      <c r="L3267" s="3410"/>
      <c r="M3267" s="3275"/>
      <c r="N3267" s="3318"/>
      <c r="O3267" s="72" t="s">
        <v>283</v>
      </c>
      <c r="P3267" s="1009" t="s">
        <v>284</v>
      </c>
      <c r="Q3267" s="1009" t="s">
        <v>285</v>
      </c>
      <c r="R3267" s="1009" t="s">
        <v>88</v>
      </c>
      <c r="S3267" s="1009" t="s">
        <v>89</v>
      </c>
      <c r="T3267" s="1009" t="s">
        <v>90</v>
      </c>
      <c r="U3267" s="1009" t="s">
        <v>91</v>
      </c>
      <c r="V3267" s="1009" t="s">
        <v>92</v>
      </c>
      <c r="W3267" s="1009" t="s">
        <v>286</v>
      </c>
      <c r="X3267" s="1009" t="s">
        <v>93</v>
      </c>
      <c r="Y3267" s="1009" t="s">
        <v>94</v>
      </c>
      <c r="Z3267" s="73" t="s">
        <v>95</v>
      </c>
      <c r="AA3267" s="2847"/>
      <c r="AB3267" s="35"/>
      <c r="AC3267" s="183"/>
    </row>
    <row r="3268" spans="1:32" ht="12.75" x14ac:dyDescent="0.2">
      <c r="A3268" s="1422"/>
      <c r="B3268" s="2999"/>
      <c r="C3268" s="3359"/>
      <c r="D3268" s="2847"/>
      <c r="E3268" s="2847"/>
      <c r="F3268" s="2847"/>
      <c r="G3268" s="2847"/>
      <c r="H3268" s="2847"/>
      <c r="I3268" s="2847"/>
      <c r="J3268" s="3186"/>
      <c r="K3268" s="3186"/>
      <c r="L3268" s="3410"/>
      <c r="M3268" s="3273" t="s">
        <v>287</v>
      </c>
      <c r="N3268" s="3314"/>
      <c r="O3268" s="1220">
        <v>11</v>
      </c>
      <c r="P3268" s="1220">
        <v>11</v>
      </c>
      <c r="Q3268" s="1220">
        <v>11</v>
      </c>
      <c r="R3268" s="1220">
        <v>11</v>
      </c>
      <c r="S3268" s="1220">
        <v>11</v>
      </c>
      <c r="T3268" s="1220">
        <v>12</v>
      </c>
      <c r="U3268" s="1220">
        <v>12</v>
      </c>
      <c r="V3268" s="1220">
        <v>12</v>
      </c>
      <c r="W3268" s="1220">
        <v>12</v>
      </c>
      <c r="X3268" s="1220">
        <v>12</v>
      </c>
      <c r="Y3268" s="1220">
        <v>12</v>
      </c>
      <c r="Z3268" s="1220">
        <v>12</v>
      </c>
      <c r="AA3268" s="1226">
        <f>SUM(O3268:Z3268)</f>
        <v>139</v>
      </c>
      <c r="AB3268" s="1210"/>
      <c r="AC3268" s="1199"/>
      <c r="AD3268" s="1211"/>
      <c r="AE3268" s="1211"/>
      <c r="AF3268" s="1211"/>
    </row>
    <row r="3269" spans="1:32" ht="12.75" x14ac:dyDescent="0.2">
      <c r="A3269" s="1422"/>
      <c r="B3269" s="2999"/>
      <c r="C3269" s="3016"/>
      <c r="D3269" s="2847"/>
      <c r="E3269" s="2847"/>
      <c r="F3269" s="2847"/>
      <c r="G3269" s="2847"/>
      <c r="H3269" s="2847"/>
      <c r="I3269" s="2847"/>
      <c r="J3269" s="3186"/>
      <c r="K3269" s="3186"/>
      <c r="L3269" s="3143"/>
      <c r="M3269" s="3273" t="s">
        <v>34</v>
      </c>
      <c r="N3269" s="3314"/>
      <c r="O3269" s="1220">
        <f>SUM(O3270:O3271)</f>
        <v>15250</v>
      </c>
      <c r="P3269" s="1220">
        <f t="shared" ref="P3269:Z3269" si="510">SUM(P3270:P3271)</f>
        <v>15250</v>
      </c>
      <c r="Q3269" s="1220">
        <f t="shared" si="510"/>
        <v>15250</v>
      </c>
      <c r="R3269" s="1220">
        <f t="shared" si="510"/>
        <v>15250</v>
      </c>
      <c r="S3269" s="1220">
        <f t="shared" si="510"/>
        <v>15250</v>
      </c>
      <c r="T3269" s="1220">
        <f t="shared" si="510"/>
        <v>15250</v>
      </c>
      <c r="U3269" s="1220">
        <f t="shared" si="510"/>
        <v>15250</v>
      </c>
      <c r="V3269" s="1220">
        <f t="shared" si="510"/>
        <v>15250</v>
      </c>
      <c r="W3269" s="1220">
        <f t="shared" si="510"/>
        <v>15250</v>
      </c>
      <c r="X3269" s="1220">
        <f t="shared" si="510"/>
        <v>15250</v>
      </c>
      <c r="Y3269" s="1220">
        <f t="shared" si="510"/>
        <v>15250</v>
      </c>
      <c r="Z3269" s="1220">
        <f t="shared" si="510"/>
        <v>15250</v>
      </c>
      <c r="AA3269" s="1226">
        <f t="shared" ref="AA3269:AA3271" si="511">SUM(O3269:Z3269)</f>
        <v>183000</v>
      </c>
      <c r="AB3269" s="1210"/>
      <c r="AC3269" s="1199"/>
      <c r="AD3269" s="1211"/>
      <c r="AE3269" s="1211"/>
      <c r="AF3269" s="1211"/>
    </row>
    <row r="3270" spans="1:32" x14ac:dyDescent="0.2">
      <c r="A3270" s="1422"/>
      <c r="B3270" s="2522">
        <v>5002798</v>
      </c>
      <c r="C3270" s="2438" t="s">
        <v>920</v>
      </c>
      <c r="D3270" s="3369"/>
      <c r="E3270" s="3369" t="s">
        <v>860</v>
      </c>
      <c r="F3270" s="2420" t="s">
        <v>386</v>
      </c>
      <c r="G3270" s="2420" t="s">
        <v>387</v>
      </c>
      <c r="H3270" s="3369"/>
      <c r="I3270" s="2420" t="s">
        <v>917</v>
      </c>
      <c r="J3270" s="3369">
        <v>139</v>
      </c>
      <c r="K3270" s="41">
        <v>118000</v>
      </c>
      <c r="L3270" s="3406"/>
      <c r="M3270" s="3287" t="s">
        <v>293</v>
      </c>
      <c r="N3270" s="3288"/>
      <c r="O3270" s="1220">
        <f>$K3270/12</f>
        <v>9833.3333333333339</v>
      </c>
      <c r="P3270" s="1220">
        <f t="shared" ref="P3270:Z3271" si="512">$K3270/12</f>
        <v>9833.3333333333339</v>
      </c>
      <c r="Q3270" s="1220">
        <f t="shared" si="512"/>
        <v>9833.3333333333339</v>
      </c>
      <c r="R3270" s="1220">
        <f t="shared" si="512"/>
        <v>9833.3333333333339</v>
      </c>
      <c r="S3270" s="1220">
        <f t="shared" si="512"/>
        <v>9833.3333333333339</v>
      </c>
      <c r="T3270" s="1220">
        <f t="shared" si="512"/>
        <v>9833.3333333333339</v>
      </c>
      <c r="U3270" s="1220">
        <f t="shared" si="512"/>
        <v>9833.3333333333339</v>
      </c>
      <c r="V3270" s="1220">
        <f t="shared" si="512"/>
        <v>9833.3333333333339</v>
      </c>
      <c r="W3270" s="1220">
        <f t="shared" si="512"/>
        <v>9833.3333333333339</v>
      </c>
      <c r="X3270" s="1220">
        <f t="shared" si="512"/>
        <v>9833.3333333333339</v>
      </c>
      <c r="Y3270" s="1220">
        <f t="shared" si="512"/>
        <v>9833.3333333333339</v>
      </c>
      <c r="Z3270" s="1220">
        <f t="shared" si="512"/>
        <v>9833.3333333333339</v>
      </c>
      <c r="AA3270" s="1220">
        <f t="shared" si="511"/>
        <v>117999.99999999999</v>
      </c>
      <c r="AB3270" s="1210"/>
      <c r="AC3270" s="1199"/>
      <c r="AD3270" s="1211"/>
      <c r="AE3270" s="1211"/>
      <c r="AF3270" s="1211"/>
    </row>
    <row r="3271" spans="1:32" x14ac:dyDescent="0.2">
      <c r="A3271" s="1422"/>
      <c r="B3271" s="2522"/>
      <c r="C3271" s="2450"/>
      <c r="D3271" s="3369"/>
      <c r="E3271" s="3369"/>
      <c r="F3271" s="2420"/>
      <c r="G3271" s="2420"/>
      <c r="H3271" s="3369"/>
      <c r="I3271" s="2420"/>
      <c r="J3271" s="3369"/>
      <c r="K3271" s="41">
        <v>65000</v>
      </c>
      <c r="L3271" s="3408"/>
      <c r="M3271" s="3287" t="s">
        <v>295</v>
      </c>
      <c r="N3271" s="3288"/>
      <c r="O3271" s="1220">
        <f>$K3271/12</f>
        <v>5416.666666666667</v>
      </c>
      <c r="P3271" s="1220">
        <f t="shared" si="512"/>
        <v>5416.666666666667</v>
      </c>
      <c r="Q3271" s="1220">
        <f t="shared" si="512"/>
        <v>5416.666666666667</v>
      </c>
      <c r="R3271" s="1220">
        <f t="shared" si="512"/>
        <v>5416.666666666667</v>
      </c>
      <c r="S3271" s="1220">
        <f t="shared" si="512"/>
        <v>5416.666666666667</v>
      </c>
      <c r="T3271" s="1220">
        <f t="shared" si="512"/>
        <v>5416.666666666667</v>
      </c>
      <c r="U3271" s="1220">
        <f t="shared" si="512"/>
        <v>5416.666666666667</v>
      </c>
      <c r="V3271" s="1220">
        <f t="shared" si="512"/>
        <v>5416.666666666667</v>
      </c>
      <c r="W3271" s="1220">
        <f t="shared" si="512"/>
        <v>5416.666666666667</v>
      </c>
      <c r="X3271" s="1220">
        <f t="shared" si="512"/>
        <v>5416.666666666667</v>
      </c>
      <c r="Y3271" s="1220">
        <f t="shared" si="512"/>
        <v>5416.666666666667</v>
      </c>
      <c r="Z3271" s="1220">
        <f t="shared" si="512"/>
        <v>5416.666666666667</v>
      </c>
      <c r="AA3271" s="1220">
        <f t="shared" si="511"/>
        <v>64999.999999999993</v>
      </c>
      <c r="AB3271" s="1210"/>
      <c r="AC3271" s="1199"/>
      <c r="AD3271" s="1211"/>
      <c r="AE3271" s="1211"/>
      <c r="AF3271" s="1211"/>
    </row>
    <row r="3272" spans="1:32" x14ac:dyDescent="0.2">
      <c r="A3272" s="1422"/>
      <c r="B3272" s="1427" t="s">
        <v>312</v>
      </c>
      <c r="C3272" s="1128"/>
      <c r="D3272" s="38"/>
      <c r="E3272" s="38"/>
      <c r="F3272" s="38"/>
      <c r="G3272" s="38"/>
      <c r="H3272" s="38"/>
      <c r="I3272" s="38"/>
      <c r="J3272" s="38"/>
      <c r="K3272" s="41">
        <f>SUM(K3270:K3271)</f>
        <v>183000</v>
      </c>
      <c r="L3272" s="54"/>
      <c r="M3272" s="54"/>
      <c r="N3272" s="54"/>
      <c r="O3272" s="1227"/>
      <c r="P3272" s="1227"/>
      <c r="Q3272" s="1227"/>
      <c r="R3272" s="1227"/>
      <c r="S3272" s="1227"/>
      <c r="T3272" s="1227"/>
      <c r="U3272" s="1227"/>
      <c r="V3272" s="1227"/>
      <c r="W3272" s="1227"/>
      <c r="X3272" s="1227"/>
      <c r="Y3272" s="1227"/>
      <c r="Z3272" s="1227"/>
      <c r="AA3272" s="1225"/>
      <c r="AB3272" s="1210"/>
      <c r="AC3272" s="1199"/>
      <c r="AD3272" s="1211"/>
      <c r="AE3272" s="1211"/>
      <c r="AF3272" s="1211"/>
    </row>
    <row r="3273" spans="1:32" x14ac:dyDescent="0.2">
      <c r="A3273" s="1422"/>
      <c r="B3273" s="1433" t="s">
        <v>276</v>
      </c>
      <c r="C3273" s="1119"/>
      <c r="D3273" s="35">
        <v>3000286</v>
      </c>
      <c r="E3273" s="192" t="s">
        <v>921</v>
      </c>
      <c r="F3273" s="35"/>
      <c r="G3273" s="35"/>
      <c r="H3273" s="35"/>
      <c r="I3273" s="35"/>
      <c r="J3273" s="35"/>
      <c r="K3273" s="35"/>
      <c r="L3273" s="35"/>
      <c r="M3273" s="35"/>
      <c r="N3273" s="35"/>
      <c r="O3273" s="1210"/>
      <c r="P3273" s="1210"/>
      <c r="Q3273" s="1210"/>
      <c r="R3273" s="1210"/>
      <c r="S3273" s="1210"/>
      <c r="T3273" s="3417" t="s">
        <v>15</v>
      </c>
      <c r="U3273" s="3417"/>
      <c r="V3273" s="3417"/>
      <c r="W3273" s="3417"/>
      <c r="X3273" s="3417"/>
      <c r="Y3273" s="3417"/>
      <c r="Z3273" s="3417" t="s">
        <v>16</v>
      </c>
      <c r="AA3273" s="3417"/>
      <c r="AB3273" s="1210"/>
      <c r="AC3273" s="1199"/>
      <c r="AD3273" s="1211"/>
      <c r="AE3273" s="1211"/>
      <c r="AF3273" s="1211"/>
    </row>
    <row r="3274" spans="1:32" ht="12" thickBot="1" x14ac:dyDescent="0.25">
      <c r="A3274" s="1422"/>
      <c r="B3274" s="1433"/>
      <c r="C3274" s="1119"/>
      <c r="D3274" s="35"/>
      <c r="E3274" s="192"/>
      <c r="F3274" s="35"/>
      <c r="G3274" s="35"/>
      <c r="H3274" s="35"/>
      <c r="I3274" s="35"/>
      <c r="J3274" s="35"/>
      <c r="K3274" s="35"/>
      <c r="L3274" s="35"/>
      <c r="M3274" s="35"/>
      <c r="N3274" s="35"/>
      <c r="O3274" s="1210"/>
      <c r="P3274" s="1210"/>
      <c r="Q3274" s="1210"/>
      <c r="R3274" s="1210"/>
      <c r="S3274" s="1210"/>
      <c r="T3274" s="3418" t="s">
        <v>922</v>
      </c>
      <c r="U3274" s="3418"/>
      <c r="V3274" s="3418"/>
      <c r="W3274" s="3418"/>
      <c r="X3274" s="3418"/>
      <c r="Y3274" s="3418"/>
      <c r="Z3274" s="3418" t="s">
        <v>915</v>
      </c>
      <c r="AA3274" s="3418"/>
      <c r="AB3274" s="1210"/>
      <c r="AC3274" s="1199"/>
      <c r="AD3274" s="1211"/>
      <c r="AE3274" s="1211"/>
      <c r="AF3274" s="1211"/>
    </row>
    <row r="3275" spans="1:32" x14ac:dyDescent="0.2">
      <c r="A3275" s="1422"/>
      <c r="B3275" s="2999" t="s">
        <v>278</v>
      </c>
      <c r="C3275" s="3015" t="s">
        <v>21</v>
      </c>
      <c r="D3275" s="2847" t="s">
        <v>22</v>
      </c>
      <c r="E3275" s="2847" t="s">
        <v>23</v>
      </c>
      <c r="F3275" s="2847" t="s">
        <v>24</v>
      </c>
      <c r="G3275" s="2847" t="s">
        <v>25</v>
      </c>
      <c r="H3275" s="2847" t="s">
        <v>26</v>
      </c>
      <c r="I3275" s="2847" t="s">
        <v>27</v>
      </c>
      <c r="J3275" s="3416" t="s">
        <v>28</v>
      </c>
      <c r="K3275" s="3416"/>
      <c r="L3275" s="3409" t="s">
        <v>279</v>
      </c>
      <c r="M3275" s="3411" t="s">
        <v>280</v>
      </c>
      <c r="N3275" s="3412"/>
      <c r="O3275" s="3422" t="s">
        <v>281</v>
      </c>
      <c r="P3275" s="3423"/>
      <c r="Q3275" s="3423"/>
      <c r="R3275" s="3423"/>
      <c r="S3275" s="3423"/>
      <c r="T3275" s="3423"/>
      <c r="U3275" s="3423"/>
      <c r="V3275" s="3423"/>
      <c r="W3275" s="3423"/>
      <c r="X3275" s="3423"/>
      <c r="Y3275" s="3423"/>
      <c r="Z3275" s="3424"/>
      <c r="AA3275" s="3358" t="s">
        <v>32</v>
      </c>
      <c r="AB3275" s="1210"/>
      <c r="AC3275" s="1199"/>
      <c r="AD3275" s="1211"/>
      <c r="AE3275" s="1211"/>
      <c r="AF3275" s="1211"/>
    </row>
    <row r="3276" spans="1:32" x14ac:dyDescent="0.2">
      <c r="A3276" s="1422"/>
      <c r="B3276" s="2999"/>
      <c r="C3276" s="3359"/>
      <c r="D3276" s="2847"/>
      <c r="E3276" s="2847"/>
      <c r="F3276" s="2847"/>
      <c r="G3276" s="2847"/>
      <c r="H3276" s="2847"/>
      <c r="I3276" s="2847"/>
      <c r="J3276" s="2988" t="s">
        <v>33</v>
      </c>
      <c r="K3276" s="2988" t="s">
        <v>282</v>
      </c>
      <c r="L3276" s="3410"/>
      <c r="M3276" s="3275"/>
      <c r="N3276" s="3318"/>
      <c r="O3276" s="1229" t="s">
        <v>283</v>
      </c>
      <c r="P3276" s="1230" t="s">
        <v>284</v>
      </c>
      <c r="Q3276" s="1230" t="s">
        <v>285</v>
      </c>
      <c r="R3276" s="1230" t="s">
        <v>88</v>
      </c>
      <c r="S3276" s="1230" t="s">
        <v>89</v>
      </c>
      <c r="T3276" s="1230" t="s">
        <v>90</v>
      </c>
      <c r="U3276" s="1230" t="s">
        <v>91</v>
      </c>
      <c r="V3276" s="1230" t="s">
        <v>92</v>
      </c>
      <c r="W3276" s="1230" t="s">
        <v>286</v>
      </c>
      <c r="X3276" s="1230" t="s">
        <v>93</v>
      </c>
      <c r="Y3276" s="1230" t="s">
        <v>94</v>
      </c>
      <c r="Z3276" s="1231" t="s">
        <v>95</v>
      </c>
      <c r="AA3276" s="3358"/>
      <c r="AB3276" s="1210"/>
      <c r="AC3276" s="1199"/>
      <c r="AD3276" s="1211"/>
      <c r="AE3276" s="1211"/>
      <c r="AF3276" s="1211"/>
    </row>
    <row r="3277" spans="1:32" ht="12.75" x14ac:dyDescent="0.2">
      <c r="A3277" s="1422"/>
      <c r="B3277" s="2999"/>
      <c r="C3277" s="3359"/>
      <c r="D3277" s="2847"/>
      <c r="E3277" s="2847"/>
      <c r="F3277" s="2847"/>
      <c r="G3277" s="2847"/>
      <c r="H3277" s="2847"/>
      <c r="I3277" s="2847"/>
      <c r="J3277" s="3186"/>
      <c r="K3277" s="3186"/>
      <c r="L3277" s="3410"/>
      <c r="M3277" s="3273" t="s">
        <v>287</v>
      </c>
      <c r="N3277" s="3314"/>
      <c r="O3277" s="1220">
        <v>33</v>
      </c>
      <c r="P3277" s="1220">
        <v>33</v>
      </c>
      <c r="Q3277" s="1220">
        <v>33</v>
      </c>
      <c r="R3277" s="1220">
        <v>34</v>
      </c>
      <c r="S3277" s="1220">
        <v>34</v>
      </c>
      <c r="T3277" s="1220">
        <v>34</v>
      </c>
      <c r="U3277" s="1220">
        <v>34</v>
      </c>
      <c r="V3277" s="1220">
        <v>34</v>
      </c>
      <c r="W3277" s="1220">
        <v>34</v>
      </c>
      <c r="X3277" s="1220">
        <v>34</v>
      </c>
      <c r="Y3277" s="1220">
        <v>34</v>
      </c>
      <c r="Z3277" s="1220">
        <v>34</v>
      </c>
      <c r="AA3277" s="1221">
        <f>SUM(O3277:Z3277)</f>
        <v>405</v>
      </c>
      <c r="AB3277" s="1210"/>
      <c r="AC3277" s="1199"/>
      <c r="AD3277" s="1211"/>
      <c r="AE3277" s="1211"/>
      <c r="AF3277" s="1211"/>
    </row>
    <row r="3278" spans="1:32" ht="12.75" x14ac:dyDescent="0.2">
      <c r="A3278" s="1422"/>
      <c r="B3278" s="2999"/>
      <c r="C3278" s="3016"/>
      <c r="D3278" s="2847"/>
      <c r="E3278" s="2847"/>
      <c r="F3278" s="2847"/>
      <c r="G3278" s="2847"/>
      <c r="H3278" s="2847"/>
      <c r="I3278" s="2847"/>
      <c r="J3278" s="3186"/>
      <c r="K3278" s="3186"/>
      <c r="L3278" s="3143"/>
      <c r="M3278" s="3273" t="s">
        <v>34</v>
      </c>
      <c r="N3278" s="3314"/>
      <c r="O3278" s="1220">
        <f>SUM(O3279:O3290)</f>
        <v>36482.749999999993</v>
      </c>
      <c r="P3278" s="1220">
        <f t="shared" ref="P3278:Z3278" si="513">SUM(P3279:P3290)</f>
        <v>32482.75</v>
      </c>
      <c r="Q3278" s="1220">
        <f t="shared" si="513"/>
        <v>37482.75</v>
      </c>
      <c r="R3278" s="1220">
        <f t="shared" si="513"/>
        <v>40982.75</v>
      </c>
      <c r="S3278" s="1220">
        <f t="shared" si="513"/>
        <v>35482.75</v>
      </c>
      <c r="T3278" s="1220">
        <f t="shared" si="513"/>
        <v>32482.75</v>
      </c>
      <c r="U3278" s="1220">
        <f t="shared" si="513"/>
        <v>35671.749999999993</v>
      </c>
      <c r="V3278" s="1220">
        <f t="shared" si="513"/>
        <v>35982.75</v>
      </c>
      <c r="W3278" s="1220">
        <f t="shared" si="513"/>
        <v>32482.75</v>
      </c>
      <c r="X3278" s="1220">
        <f t="shared" si="513"/>
        <v>32482.75</v>
      </c>
      <c r="Y3278" s="1220">
        <f t="shared" si="513"/>
        <v>32482.75</v>
      </c>
      <c r="Z3278" s="1220">
        <f t="shared" si="513"/>
        <v>35671.749999999993</v>
      </c>
      <c r="AA3278" s="1221">
        <f t="shared" ref="AA3278:AA3290" si="514">SUM(O3278:Z3278)</f>
        <v>420171</v>
      </c>
      <c r="AB3278" s="1210"/>
      <c r="AC3278" s="1199"/>
      <c r="AD3278" s="1211"/>
      <c r="AE3278" s="1211"/>
      <c r="AF3278" s="1211"/>
    </row>
    <row r="3279" spans="1:32" x14ac:dyDescent="0.2">
      <c r="A3279" s="1422"/>
      <c r="B3279" s="2522">
        <v>5002800</v>
      </c>
      <c r="C3279" s="2438" t="s">
        <v>923</v>
      </c>
      <c r="D3279" s="3369">
        <v>107</v>
      </c>
      <c r="E3279" s="3369" t="s">
        <v>860</v>
      </c>
      <c r="F3279" s="2420" t="s">
        <v>386</v>
      </c>
      <c r="G3279" s="2420" t="s">
        <v>423</v>
      </c>
      <c r="H3279" s="3369"/>
      <c r="I3279" s="2420" t="s">
        <v>917</v>
      </c>
      <c r="J3279" s="3187">
        <v>405</v>
      </c>
      <c r="K3279" s="41">
        <v>123330</v>
      </c>
      <c r="L3279" s="3406"/>
      <c r="M3279" s="3287" t="s">
        <v>293</v>
      </c>
      <c r="N3279" s="3288"/>
      <c r="O3279" s="1220">
        <f>$K3279/12</f>
        <v>10277.5</v>
      </c>
      <c r="P3279" s="1220">
        <f t="shared" ref="P3279:Z3283" si="515">$K3279/12</f>
        <v>10277.5</v>
      </c>
      <c r="Q3279" s="1220">
        <f t="shared" si="515"/>
        <v>10277.5</v>
      </c>
      <c r="R3279" s="1220">
        <f t="shared" si="515"/>
        <v>10277.5</v>
      </c>
      <c r="S3279" s="1220">
        <f t="shared" si="515"/>
        <v>10277.5</v>
      </c>
      <c r="T3279" s="1220">
        <f t="shared" si="515"/>
        <v>10277.5</v>
      </c>
      <c r="U3279" s="1220">
        <f t="shared" si="515"/>
        <v>10277.5</v>
      </c>
      <c r="V3279" s="1220">
        <f t="shared" si="515"/>
        <v>10277.5</v>
      </c>
      <c r="W3279" s="1220">
        <f t="shared" si="515"/>
        <v>10277.5</v>
      </c>
      <c r="X3279" s="1220">
        <f t="shared" si="515"/>
        <v>10277.5</v>
      </c>
      <c r="Y3279" s="1220">
        <f t="shared" si="515"/>
        <v>10277.5</v>
      </c>
      <c r="Z3279" s="1220">
        <f t="shared" si="515"/>
        <v>10277.5</v>
      </c>
      <c r="AA3279" s="1220">
        <f t="shared" si="514"/>
        <v>123330</v>
      </c>
      <c r="AB3279" s="1210"/>
      <c r="AC3279" s="1199"/>
      <c r="AD3279" s="1211"/>
      <c r="AE3279" s="1211"/>
      <c r="AF3279" s="1211"/>
    </row>
    <row r="3280" spans="1:32" x14ac:dyDescent="0.2">
      <c r="A3280" s="1422"/>
      <c r="B3280" s="2522"/>
      <c r="C3280" s="2456"/>
      <c r="D3280" s="3369"/>
      <c r="E3280" s="3369"/>
      <c r="F3280" s="2420"/>
      <c r="G3280" s="2420"/>
      <c r="H3280" s="3369"/>
      <c r="I3280" s="2420"/>
      <c r="J3280" s="2955"/>
      <c r="K3280" s="41">
        <v>125952</v>
      </c>
      <c r="L3280" s="3407"/>
      <c r="M3280" s="3287" t="s">
        <v>295</v>
      </c>
      <c r="N3280" s="3288"/>
      <c r="O3280" s="1220">
        <f>$K3280/12</f>
        <v>10496</v>
      </c>
      <c r="P3280" s="1220">
        <f t="shared" si="515"/>
        <v>10496</v>
      </c>
      <c r="Q3280" s="1220">
        <f t="shared" si="515"/>
        <v>10496</v>
      </c>
      <c r="R3280" s="1220">
        <f t="shared" si="515"/>
        <v>10496</v>
      </c>
      <c r="S3280" s="1220">
        <f t="shared" si="515"/>
        <v>10496</v>
      </c>
      <c r="T3280" s="1220">
        <f t="shared" si="515"/>
        <v>10496</v>
      </c>
      <c r="U3280" s="1220">
        <f t="shared" si="515"/>
        <v>10496</v>
      </c>
      <c r="V3280" s="1220">
        <f t="shared" si="515"/>
        <v>10496</v>
      </c>
      <c r="W3280" s="1220">
        <f t="shared" si="515"/>
        <v>10496</v>
      </c>
      <c r="X3280" s="1220">
        <f t="shared" si="515"/>
        <v>10496</v>
      </c>
      <c r="Y3280" s="1220">
        <f t="shared" si="515"/>
        <v>10496</v>
      </c>
      <c r="Z3280" s="1220">
        <f t="shared" si="515"/>
        <v>10496</v>
      </c>
      <c r="AA3280" s="1220">
        <f t="shared" si="514"/>
        <v>125952</v>
      </c>
      <c r="AB3280" s="1210"/>
      <c r="AC3280" s="1199"/>
      <c r="AD3280" s="1211"/>
      <c r="AE3280" s="1211"/>
      <c r="AF3280" s="1211"/>
    </row>
    <row r="3281" spans="1:32" x14ac:dyDescent="0.2">
      <c r="A3281" s="1422"/>
      <c r="B3281" s="2522"/>
      <c r="C3281" s="2456"/>
      <c r="D3281" s="3369"/>
      <c r="E3281" s="3369"/>
      <c r="F3281" s="2420"/>
      <c r="G3281" s="2420"/>
      <c r="H3281" s="3369"/>
      <c r="I3281" s="2420"/>
      <c r="J3281" s="2955"/>
      <c r="K3281" s="41">
        <v>10344</v>
      </c>
      <c r="L3281" s="3407"/>
      <c r="M3281" s="3287" t="s">
        <v>332</v>
      </c>
      <c r="N3281" s="3288"/>
      <c r="O3281" s="1220">
        <f>$K3281/12</f>
        <v>862</v>
      </c>
      <c r="P3281" s="1220">
        <f t="shared" si="515"/>
        <v>862</v>
      </c>
      <c r="Q3281" s="1220">
        <f t="shared" si="515"/>
        <v>862</v>
      </c>
      <c r="R3281" s="1220">
        <f t="shared" si="515"/>
        <v>862</v>
      </c>
      <c r="S3281" s="1220">
        <f t="shared" si="515"/>
        <v>862</v>
      </c>
      <c r="T3281" s="1220">
        <f t="shared" si="515"/>
        <v>862</v>
      </c>
      <c r="U3281" s="1220">
        <f t="shared" si="515"/>
        <v>862</v>
      </c>
      <c r="V3281" s="1220">
        <f t="shared" si="515"/>
        <v>862</v>
      </c>
      <c r="W3281" s="1220">
        <f t="shared" si="515"/>
        <v>862</v>
      </c>
      <c r="X3281" s="1220">
        <f t="shared" si="515"/>
        <v>862</v>
      </c>
      <c r="Y3281" s="1220">
        <f t="shared" si="515"/>
        <v>862</v>
      </c>
      <c r="Z3281" s="1220">
        <f t="shared" si="515"/>
        <v>862</v>
      </c>
      <c r="AA3281" s="1220">
        <f t="shared" si="514"/>
        <v>10344</v>
      </c>
      <c r="AB3281" s="1210"/>
      <c r="AC3281" s="1199"/>
      <c r="AD3281" s="1211"/>
      <c r="AE3281" s="1211"/>
      <c r="AF3281" s="1211"/>
    </row>
    <row r="3282" spans="1:32" x14ac:dyDescent="0.2">
      <c r="A3282" s="1422"/>
      <c r="B3282" s="2522"/>
      <c r="C3282" s="2456"/>
      <c r="D3282" s="3369"/>
      <c r="E3282" s="3369"/>
      <c r="F3282" s="2420"/>
      <c r="G3282" s="2420"/>
      <c r="H3282" s="3369"/>
      <c r="I3282" s="2420"/>
      <c r="J3282" s="2955"/>
      <c r="K3282" s="41">
        <v>87094</v>
      </c>
      <c r="L3282" s="3407"/>
      <c r="M3282" s="3287" t="s">
        <v>296</v>
      </c>
      <c r="N3282" s="3288"/>
      <c r="O3282" s="1220">
        <f>$K3282/12</f>
        <v>7257.833333333333</v>
      </c>
      <c r="P3282" s="1220">
        <f t="shared" si="515"/>
        <v>7257.833333333333</v>
      </c>
      <c r="Q3282" s="1220">
        <f t="shared" si="515"/>
        <v>7257.833333333333</v>
      </c>
      <c r="R3282" s="1220">
        <f t="shared" si="515"/>
        <v>7257.833333333333</v>
      </c>
      <c r="S3282" s="1220">
        <f t="shared" si="515"/>
        <v>7257.833333333333</v>
      </c>
      <c r="T3282" s="1220">
        <f t="shared" si="515"/>
        <v>7257.833333333333</v>
      </c>
      <c r="U3282" s="1220">
        <f t="shared" si="515"/>
        <v>7257.833333333333</v>
      </c>
      <c r="V3282" s="1220">
        <f t="shared" si="515"/>
        <v>7257.833333333333</v>
      </c>
      <c r="W3282" s="1220">
        <f t="shared" si="515"/>
        <v>7257.833333333333</v>
      </c>
      <c r="X3282" s="1220">
        <f t="shared" si="515"/>
        <v>7257.833333333333</v>
      </c>
      <c r="Y3282" s="1220">
        <f t="shared" si="515"/>
        <v>7257.833333333333</v>
      </c>
      <c r="Z3282" s="1220">
        <f t="shared" si="515"/>
        <v>7257.833333333333</v>
      </c>
      <c r="AA3282" s="1220">
        <f t="shared" si="514"/>
        <v>87094</v>
      </c>
      <c r="AB3282" s="1210"/>
      <c r="AC3282" s="1199"/>
      <c r="AD3282" s="1211"/>
      <c r="AE3282" s="1211"/>
      <c r="AF3282" s="1211"/>
    </row>
    <row r="3283" spans="1:32" x14ac:dyDescent="0.2">
      <c r="A3283" s="1422"/>
      <c r="B3283" s="2522"/>
      <c r="C3283" s="2456"/>
      <c r="D3283" s="3369"/>
      <c r="E3283" s="3369"/>
      <c r="F3283" s="2420"/>
      <c r="G3283" s="2420"/>
      <c r="H3283" s="3369"/>
      <c r="I3283" s="2420"/>
      <c r="J3283" s="2955"/>
      <c r="K3283" s="41">
        <v>26424</v>
      </c>
      <c r="L3283" s="3407"/>
      <c r="M3283" s="3287" t="s">
        <v>297</v>
      </c>
      <c r="N3283" s="3288"/>
      <c r="O3283" s="1220">
        <f>$K3283/12</f>
        <v>2202</v>
      </c>
      <c r="P3283" s="1220">
        <f t="shared" si="515"/>
        <v>2202</v>
      </c>
      <c r="Q3283" s="1220">
        <f t="shared" si="515"/>
        <v>2202</v>
      </c>
      <c r="R3283" s="1220">
        <f t="shared" si="515"/>
        <v>2202</v>
      </c>
      <c r="S3283" s="1220">
        <f t="shared" si="515"/>
        <v>2202</v>
      </c>
      <c r="T3283" s="1220">
        <f t="shared" si="515"/>
        <v>2202</v>
      </c>
      <c r="U3283" s="1220">
        <f t="shared" si="515"/>
        <v>2202</v>
      </c>
      <c r="V3283" s="1220">
        <f t="shared" si="515"/>
        <v>2202</v>
      </c>
      <c r="W3283" s="1220">
        <f t="shared" si="515"/>
        <v>2202</v>
      </c>
      <c r="X3283" s="1220">
        <f t="shared" si="515"/>
        <v>2202</v>
      </c>
      <c r="Y3283" s="1220">
        <f t="shared" si="515"/>
        <v>2202</v>
      </c>
      <c r="Z3283" s="1220">
        <f t="shared" si="515"/>
        <v>2202</v>
      </c>
      <c r="AA3283" s="1220">
        <f t="shared" si="514"/>
        <v>26424</v>
      </c>
      <c r="AB3283" s="1210"/>
      <c r="AC3283" s="1199"/>
      <c r="AD3283" s="1211"/>
      <c r="AE3283" s="1211"/>
      <c r="AF3283" s="1211"/>
    </row>
    <row r="3284" spans="1:32" x14ac:dyDescent="0.2">
      <c r="A3284" s="1422"/>
      <c r="B3284" s="2522"/>
      <c r="C3284" s="2456"/>
      <c r="D3284" s="3369"/>
      <c r="E3284" s="3369"/>
      <c r="F3284" s="2420"/>
      <c r="G3284" s="2420"/>
      <c r="H3284" s="3369"/>
      <c r="I3284" s="2420"/>
      <c r="J3284" s="2955"/>
      <c r="K3284" s="41">
        <v>6378</v>
      </c>
      <c r="L3284" s="3407"/>
      <c r="M3284" s="3287" t="s">
        <v>298</v>
      </c>
      <c r="N3284" s="3288"/>
      <c r="O3284" s="1220"/>
      <c r="P3284" s="1220"/>
      <c r="Q3284" s="1220"/>
      <c r="R3284" s="1220"/>
      <c r="S3284" s="1220"/>
      <c r="T3284" s="1220"/>
      <c r="U3284" s="1220">
        <f>K3284/2</f>
        <v>3189</v>
      </c>
      <c r="V3284" s="1220"/>
      <c r="W3284" s="1220"/>
      <c r="X3284" s="1220"/>
      <c r="Y3284" s="1220"/>
      <c r="Z3284" s="1220">
        <f>K3284/2</f>
        <v>3189</v>
      </c>
      <c r="AA3284" s="1220">
        <f t="shared" si="514"/>
        <v>6378</v>
      </c>
      <c r="AB3284" s="1210"/>
      <c r="AC3284" s="1199"/>
      <c r="AD3284" s="1211"/>
      <c r="AE3284" s="1211"/>
      <c r="AF3284" s="1211"/>
    </row>
    <row r="3285" spans="1:32" x14ac:dyDescent="0.2">
      <c r="A3285" s="1422"/>
      <c r="B3285" s="2522"/>
      <c r="C3285" s="2456"/>
      <c r="D3285" s="3369"/>
      <c r="E3285" s="3369"/>
      <c r="F3285" s="2420"/>
      <c r="G3285" s="2420"/>
      <c r="H3285" s="3369"/>
      <c r="I3285" s="2420"/>
      <c r="J3285" s="2955"/>
      <c r="K3285" s="41">
        <v>4000</v>
      </c>
      <c r="L3285" s="3407"/>
      <c r="M3285" s="3287" t="s">
        <v>299</v>
      </c>
      <c r="N3285" s="3288"/>
      <c r="O3285" s="1220">
        <f>K3285</f>
        <v>4000</v>
      </c>
      <c r="P3285" s="1220"/>
      <c r="Q3285" s="1220"/>
      <c r="R3285" s="1220"/>
      <c r="S3285" s="1220"/>
      <c r="T3285" s="1220"/>
      <c r="U3285" s="1220"/>
      <c r="V3285" s="1220"/>
      <c r="W3285" s="1220"/>
      <c r="X3285" s="1220"/>
      <c r="Y3285" s="1220"/>
      <c r="Z3285" s="1220"/>
      <c r="AA3285" s="1220">
        <f t="shared" si="514"/>
        <v>4000</v>
      </c>
      <c r="AB3285" s="1210"/>
      <c r="AC3285" s="1199"/>
      <c r="AD3285" s="1211"/>
      <c r="AE3285" s="1211"/>
      <c r="AF3285" s="1211"/>
    </row>
    <row r="3286" spans="1:32" x14ac:dyDescent="0.2">
      <c r="A3286" s="1422"/>
      <c r="B3286" s="2522"/>
      <c r="C3286" s="2456"/>
      <c r="D3286" s="3369"/>
      <c r="E3286" s="3369"/>
      <c r="F3286" s="2420"/>
      <c r="G3286" s="2420"/>
      <c r="H3286" s="3369"/>
      <c r="I3286" s="2420"/>
      <c r="J3286" s="2955"/>
      <c r="K3286" s="41">
        <v>16649</v>
      </c>
      <c r="L3286" s="3407"/>
      <c r="M3286" s="3287" t="s">
        <v>300</v>
      </c>
      <c r="N3286" s="3288"/>
      <c r="O3286" s="1220">
        <f>$K3286/12</f>
        <v>1387.4166666666667</v>
      </c>
      <c r="P3286" s="1220">
        <f t="shared" ref="P3286:Z3286" si="516">$K3286/12</f>
        <v>1387.4166666666667</v>
      </c>
      <c r="Q3286" s="1220">
        <f t="shared" si="516"/>
        <v>1387.4166666666667</v>
      </c>
      <c r="R3286" s="1220">
        <f t="shared" si="516"/>
        <v>1387.4166666666667</v>
      </c>
      <c r="S3286" s="1220">
        <f t="shared" si="516"/>
        <v>1387.4166666666667</v>
      </c>
      <c r="T3286" s="1220">
        <f t="shared" si="516"/>
        <v>1387.4166666666667</v>
      </c>
      <c r="U3286" s="1220">
        <f t="shared" si="516"/>
        <v>1387.4166666666667</v>
      </c>
      <c r="V3286" s="1220">
        <f t="shared" si="516"/>
        <v>1387.4166666666667</v>
      </c>
      <c r="W3286" s="1220">
        <f t="shared" si="516"/>
        <v>1387.4166666666667</v>
      </c>
      <c r="X3286" s="1220">
        <f t="shared" si="516"/>
        <v>1387.4166666666667</v>
      </c>
      <c r="Y3286" s="1220">
        <f t="shared" si="516"/>
        <v>1387.4166666666667</v>
      </c>
      <c r="Z3286" s="1220">
        <f t="shared" si="516"/>
        <v>1387.4166666666667</v>
      </c>
      <c r="AA3286" s="1220">
        <f t="shared" si="514"/>
        <v>16648.999999999996</v>
      </c>
      <c r="AB3286" s="1210"/>
      <c r="AC3286" s="1199"/>
      <c r="AD3286" s="1211"/>
      <c r="AE3286" s="1211"/>
      <c r="AF3286" s="1211"/>
    </row>
    <row r="3287" spans="1:32" x14ac:dyDescent="0.2">
      <c r="A3287" s="1422"/>
      <c r="B3287" s="2522"/>
      <c r="C3287" s="2456"/>
      <c r="D3287" s="3369"/>
      <c r="E3287" s="3369"/>
      <c r="F3287" s="2420"/>
      <c r="G3287" s="2420"/>
      <c r="H3287" s="3369"/>
      <c r="I3287" s="2420"/>
      <c r="J3287" s="2955"/>
      <c r="K3287" s="41">
        <v>3000</v>
      </c>
      <c r="L3287" s="3407"/>
      <c r="M3287" s="3287" t="s">
        <v>302</v>
      </c>
      <c r="N3287" s="3288"/>
      <c r="O3287" s="1220"/>
      <c r="P3287" s="1220"/>
      <c r="Q3287" s="1220"/>
      <c r="R3287" s="1220"/>
      <c r="S3287" s="1220">
        <f>K3287</f>
        <v>3000</v>
      </c>
      <c r="T3287" s="1220"/>
      <c r="U3287" s="1220"/>
      <c r="V3287" s="1220"/>
      <c r="W3287" s="1220"/>
      <c r="X3287" s="1220"/>
      <c r="Y3287" s="1220"/>
      <c r="Z3287" s="1220"/>
      <c r="AA3287" s="1220">
        <f t="shared" si="514"/>
        <v>3000</v>
      </c>
      <c r="AB3287" s="1210"/>
      <c r="AC3287" s="1199"/>
      <c r="AD3287" s="1211"/>
      <c r="AE3287" s="1211"/>
      <c r="AF3287" s="1211"/>
    </row>
    <row r="3288" spans="1:32" x14ac:dyDescent="0.2">
      <c r="A3288" s="1422"/>
      <c r="B3288" s="2522"/>
      <c r="C3288" s="2456"/>
      <c r="D3288" s="3369"/>
      <c r="E3288" s="3369"/>
      <c r="F3288" s="2420"/>
      <c r="G3288" s="2420"/>
      <c r="H3288" s="3369"/>
      <c r="I3288" s="2420"/>
      <c r="J3288" s="2955"/>
      <c r="K3288" s="41">
        <v>5000</v>
      </c>
      <c r="L3288" s="3407"/>
      <c r="M3288" s="3287" t="s">
        <v>390</v>
      </c>
      <c r="N3288" s="3288"/>
      <c r="O3288" s="1220"/>
      <c r="P3288" s="1220"/>
      <c r="Q3288" s="1220">
        <f>$K3288</f>
        <v>5000</v>
      </c>
      <c r="R3288" s="1220"/>
      <c r="S3288" s="1220"/>
      <c r="T3288" s="1220"/>
      <c r="U3288" s="1220"/>
      <c r="V3288" s="1220"/>
      <c r="W3288" s="1220"/>
      <c r="X3288" s="1220"/>
      <c r="Y3288" s="1220"/>
      <c r="Z3288" s="1220"/>
      <c r="AA3288" s="1220">
        <f t="shared" si="514"/>
        <v>5000</v>
      </c>
      <c r="AB3288" s="1210"/>
      <c r="AC3288" s="1199"/>
      <c r="AD3288" s="1211"/>
      <c r="AE3288" s="1211"/>
      <c r="AF3288" s="1211"/>
    </row>
    <row r="3289" spans="1:32" x14ac:dyDescent="0.2">
      <c r="A3289" s="1422"/>
      <c r="B3289" s="2522"/>
      <c r="C3289" s="2456"/>
      <c r="D3289" s="3369"/>
      <c r="E3289" s="3369"/>
      <c r="F3289" s="2420"/>
      <c r="G3289" s="2420"/>
      <c r="H3289" s="3369"/>
      <c r="I3289" s="2420"/>
      <c r="J3289" s="2955"/>
      <c r="K3289" s="41">
        <v>5000</v>
      </c>
      <c r="L3289" s="3407"/>
      <c r="M3289" s="3287" t="s">
        <v>393</v>
      </c>
      <c r="N3289" s="3288"/>
      <c r="O3289" s="1220"/>
      <c r="P3289" s="1220"/>
      <c r="Q3289" s="1220"/>
      <c r="R3289" s="1220">
        <f>$K3289</f>
        <v>5000</v>
      </c>
      <c r="S3289" s="1220"/>
      <c r="T3289" s="1220"/>
      <c r="U3289" s="1220"/>
      <c r="V3289" s="1220"/>
      <c r="W3289" s="1220"/>
      <c r="X3289" s="1220"/>
      <c r="Y3289" s="1220"/>
      <c r="Z3289" s="1220"/>
      <c r="AA3289" s="1220">
        <f t="shared" si="514"/>
        <v>5000</v>
      </c>
      <c r="AB3289" s="1210"/>
      <c r="AC3289" s="1199"/>
      <c r="AD3289" s="1211"/>
      <c r="AE3289" s="1211"/>
      <c r="AF3289" s="1211"/>
    </row>
    <row r="3290" spans="1:32" x14ac:dyDescent="0.2">
      <c r="A3290" s="1422"/>
      <c r="B3290" s="2522"/>
      <c r="C3290" s="2450"/>
      <c r="D3290" s="3369"/>
      <c r="E3290" s="3369"/>
      <c r="F3290" s="2420"/>
      <c r="G3290" s="2420"/>
      <c r="H3290" s="3369"/>
      <c r="I3290" s="2420"/>
      <c r="J3290" s="2956"/>
      <c r="K3290" s="41">
        <v>7000</v>
      </c>
      <c r="L3290" s="3408"/>
      <c r="M3290" s="3287" t="s">
        <v>343</v>
      </c>
      <c r="N3290" s="3288"/>
      <c r="O3290" s="1220"/>
      <c r="P3290" s="1220"/>
      <c r="Q3290" s="1220"/>
      <c r="R3290" s="1220">
        <f>$K3290/2</f>
        <v>3500</v>
      </c>
      <c r="S3290" s="1220"/>
      <c r="T3290" s="1220"/>
      <c r="U3290" s="1220"/>
      <c r="V3290" s="1220">
        <f>$K3290/2</f>
        <v>3500</v>
      </c>
      <c r="W3290" s="1220"/>
      <c r="X3290" s="1220"/>
      <c r="Y3290" s="1220"/>
      <c r="Z3290" s="1220"/>
      <c r="AA3290" s="1220">
        <f t="shared" si="514"/>
        <v>7000</v>
      </c>
      <c r="AB3290" s="1210"/>
      <c r="AC3290" s="1199"/>
      <c r="AD3290" s="1211"/>
      <c r="AE3290" s="1211"/>
      <c r="AF3290" s="1211"/>
    </row>
    <row r="3291" spans="1:32" x14ac:dyDescent="0.2">
      <c r="A3291" s="1422"/>
      <c r="B3291" s="1427" t="s">
        <v>312</v>
      </c>
      <c r="C3291" s="1128"/>
      <c r="D3291" s="38"/>
      <c r="E3291" s="38"/>
      <c r="F3291" s="38"/>
      <c r="G3291" s="38"/>
      <c r="H3291" s="38"/>
      <c r="I3291" s="38"/>
      <c r="J3291" s="38"/>
      <c r="K3291" s="41">
        <f>SUM(K3279:K3290)</f>
        <v>420171</v>
      </c>
      <c r="L3291" s="54"/>
      <c r="M3291" s="54"/>
      <c r="N3291" s="54"/>
      <c r="O3291" s="1234"/>
      <c r="P3291" s="1234"/>
      <c r="Q3291" s="1234"/>
      <c r="R3291" s="1234"/>
      <c r="S3291" s="1234"/>
      <c r="T3291" s="1234"/>
      <c r="U3291" s="1234"/>
      <c r="V3291" s="1234"/>
      <c r="W3291" s="1234"/>
      <c r="X3291" s="1234"/>
      <c r="Y3291" s="1234"/>
      <c r="Z3291" s="1234"/>
      <c r="AA3291" s="1225"/>
      <c r="AB3291" s="1210"/>
      <c r="AC3291" s="1199"/>
      <c r="AD3291" s="1211"/>
      <c r="AE3291" s="1211"/>
      <c r="AF3291" s="1211"/>
    </row>
    <row r="3292" spans="1:32" x14ac:dyDescent="0.2">
      <c r="A3292" s="1422"/>
      <c r="B3292" s="1433" t="s">
        <v>276</v>
      </c>
      <c r="C3292" s="1119"/>
      <c r="D3292" s="35">
        <v>3000684</v>
      </c>
      <c r="E3292" s="192" t="s">
        <v>924</v>
      </c>
      <c r="F3292" s="35"/>
      <c r="G3292" s="35"/>
      <c r="H3292" s="35"/>
      <c r="I3292" s="35"/>
      <c r="J3292" s="35"/>
      <c r="K3292" s="35"/>
      <c r="L3292" s="35"/>
      <c r="M3292" s="35"/>
      <c r="N3292" s="35"/>
      <c r="O3292" s="1210"/>
      <c r="P3292" s="1210"/>
      <c r="Q3292" s="1210"/>
      <c r="R3292" s="1210"/>
      <c r="S3292" s="1210"/>
      <c r="T3292" s="3377" t="s">
        <v>15</v>
      </c>
      <c r="U3292" s="3378"/>
      <c r="V3292" s="3378"/>
      <c r="W3292" s="3378"/>
      <c r="X3292" s="3378"/>
      <c r="Y3292" s="3379"/>
      <c r="Z3292" s="3417" t="s">
        <v>16</v>
      </c>
      <c r="AA3292" s="3417"/>
      <c r="AB3292" s="1210"/>
      <c r="AC3292" s="1199"/>
      <c r="AD3292" s="1211"/>
      <c r="AE3292" s="1211"/>
      <c r="AF3292" s="1211"/>
    </row>
    <row r="3293" spans="1:32" ht="12" thickBot="1" x14ac:dyDescent="0.25">
      <c r="A3293" s="1422"/>
      <c r="B3293" s="1433"/>
      <c r="C3293" s="1119"/>
      <c r="D3293" s="35"/>
      <c r="E3293" s="192"/>
      <c r="F3293" s="35"/>
      <c r="G3293" s="35"/>
      <c r="H3293" s="35"/>
      <c r="I3293" s="35"/>
      <c r="J3293" s="35"/>
      <c r="K3293" s="35"/>
      <c r="L3293" s="35"/>
      <c r="M3293" s="35"/>
      <c r="N3293" s="35"/>
      <c r="O3293" s="1210"/>
      <c r="P3293" s="1210"/>
      <c r="Q3293" s="1210"/>
      <c r="R3293" s="1210"/>
      <c r="S3293" s="1210"/>
      <c r="T3293" s="3419" t="s">
        <v>925</v>
      </c>
      <c r="U3293" s="3420"/>
      <c r="V3293" s="3420"/>
      <c r="W3293" s="3420"/>
      <c r="X3293" s="3420"/>
      <c r="Y3293" s="3421"/>
      <c r="Z3293" s="3392" t="s">
        <v>477</v>
      </c>
      <c r="AA3293" s="3394"/>
      <c r="AB3293" s="1210"/>
      <c r="AC3293" s="1199"/>
      <c r="AD3293" s="1211"/>
      <c r="AE3293" s="1211"/>
      <c r="AF3293" s="1211"/>
    </row>
    <row r="3294" spans="1:32" x14ac:dyDescent="0.2">
      <c r="A3294" s="1422"/>
      <c r="B3294" s="2999" t="s">
        <v>278</v>
      </c>
      <c r="C3294" s="3015" t="s">
        <v>21</v>
      </c>
      <c r="D3294" s="2847" t="s">
        <v>22</v>
      </c>
      <c r="E3294" s="2847" t="s">
        <v>23</v>
      </c>
      <c r="F3294" s="2847" t="s">
        <v>24</v>
      </c>
      <c r="G3294" s="2847" t="s">
        <v>25</v>
      </c>
      <c r="H3294" s="2847" t="s">
        <v>26</v>
      </c>
      <c r="I3294" s="2847" t="s">
        <v>27</v>
      </c>
      <c r="J3294" s="3416" t="s">
        <v>28</v>
      </c>
      <c r="K3294" s="3416"/>
      <c r="L3294" s="3409" t="s">
        <v>279</v>
      </c>
      <c r="M3294" s="3411" t="s">
        <v>280</v>
      </c>
      <c r="N3294" s="3412"/>
      <c r="O3294" s="3413" t="s">
        <v>281</v>
      </c>
      <c r="P3294" s="3320"/>
      <c r="Q3294" s="3320"/>
      <c r="R3294" s="3320"/>
      <c r="S3294" s="3320"/>
      <c r="T3294" s="3320"/>
      <c r="U3294" s="3320"/>
      <c r="V3294" s="3320"/>
      <c r="W3294" s="3320"/>
      <c r="X3294" s="3320"/>
      <c r="Y3294" s="3320"/>
      <c r="Z3294" s="3414"/>
      <c r="AA3294" s="3358" t="s">
        <v>32</v>
      </c>
      <c r="AB3294" s="1210"/>
      <c r="AC3294" s="1199"/>
      <c r="AD3294" s="1211"/>
      <c r="AE3294" s="1211"/>
      <c r="AF3294" s="1211"/>
    </row>
    <row r="3295" spans="1:32" x14ac:dyDescent="0.2">
      <c r="A3295" s="1422"/>
      <c r="B3295" s="2999"/>
      <c r="C3295" s="3359"/>
      <c r="D3295" s="2847"/>
      <c r="E3295" s="2847"/>
      <c r="F3295" s="2847"/>
      <c r="G3295" s="2847"/>
      <c r="H3295" s="2847"/>
      <c r="I3295" s="2847"/>
      <c r="J3295" s="2988" t="s">
        <v>33</v>
      </c>
      <c r="K3295" s="2988" t="s">
        <v>282</v>
      </c>
      <c r="L3295" s="3410"/>
      <c r="M3295" s="3275"/>
      <c r="N3295" s="3318"/>
      <c r="O3295" s="1229" t="s">
        <v>283</v>
      </c>
      <c r="P3295" s="1230" t="s">
        <v>284</v>
      </c>
      <c r="Q3295" s="1230" t="s">
        <v>285</v>
      </c>
      <c r="R3295" s="1230" t="s">
        <v>88</v>
      </c>
      <c r="S3295" s="1230" t="s">
        <v>89</v>
      </c>
      <c r="T3295" s="1230" t="s">
        <v>90</v>
      </c>
      <c r="U3295" s="1230" t="s">
        <v>91</v>
      </c>
      <c r="V3295" s="1230" t="s">
        <v>92</v>
      </c>
      <c r="W3295" s="1230" t="s">
        <v>286</v>
      </c>
      <c r="X3295" s="1230" t="s">
        <v>93</v>
      </c>
      <c r="Y3295" s="1230" t="s">
        <v>94</v>
      </c>
      <c r="Z3295" s="1231" t="s">
        <v>95</v>
      </c>
      <c r="AA3295" s="3358"/>
      <c r="AB3295" s="1210"/>
      <c r="AC3295" s="1199"/>
      <c r="AD3295" s="1211"/>
      <c r="AE3295" s="1211"/>
      <c r="AF3295" s="1211"/>
    </row>
    <row r="3296" spans="1:32" ht="12.75" x14ac:dyDescent="0.2">
      <c r="A3296" s="1422"/>
      <c r="B3296" s="2999"/>
      <c r="C3296" s="3359"/>
      <c r="D3296" s="2847"/>
      <c r="E3296" s="2847"/>
      <c r="F3296" s="2847"/>
      <c r="G3296" s="2847"/>
      <c r="H3296" s="2847"/>
      <c r="I3296" s="2847"/>
      <c r="J3296" s="3186"/>
      <c r="K3296" s="3186"/>
      <c r="L3296" s="3410"/>
      <c r="M3296" s="3273" t="s">
        <v>287</v>
      </c>
      <c r="N3296" s="3314"/>
      <c r="O3296" s="1220">
        <v>1785</v>
      </c>
      <c r="P3296" s="1220">
        <v>1785</v>
      </c>
      <c r="Q3296" s="1220">
        <v>1785</v>
      </c>
      <c r="R3296" s="1220">
        <v>1785</v>
      </c>
      <c r="S3296" s="1220">
        <v>1787</v>
      </c>
      <c r="T3296" s="1220">
        <v>1787</v>
      </c>
      <c r="U3296" s="1220">
        <v>1786</v>
      </c>
      <c r="V3296" s="1220">
        <v>1785</v>
      </c>
      <c r="W3296" s="1220">
        <v>1785</v>
      </c>
      <c r="X3296" s="1220">
        <v>1785</v>
      </c>
      <c r="Y3296" s="1220">
        <v>1785</v>
      </c>
      <c r="Z3296" s="1220">
        <v>1785</v>
      </c>
      <c r="AA3296" s="1221">
        <f>SUM(O3296:Z3296)</f>
        <v>21425</v>
      </c>
      <c r="AB3296" s="1210"/>
      <c r="AC3296" s="1199"/>
      <c r="AD3296" s="1211"/>
      <c r="AE3296" s="1211"/>
      <c r="AF3296" s="1211"/>
    </row>
    <row r="3297" spans="1:32" ht="12.75" x14ac:dyDescent="0.2">
      <c r="A3297" s="1422"/>
      <c r="B3297" s="2999"/>
      <c r="C3297" s="3016"/>
      <c r="D3297" s="2847"/>
      <c r="E3297" s="2847"/>
      <c r="F3297" s="2847"/>
      <c r="G3297" s="2847"/>
      <c r="H3297" s="2847"/>
      <c r="I3297" s="2847"/>
      <c r="J3297" s="3186"/>
      <c r="K3297" s="3186"/>
      <c r="L3297" s="3143"/>
      <c r="M3297" s="3273" t="s">
        <v>34</v>
      </c>
      <c r="N3297" s="3314"/>
      <c r="O3297" s="1220">
        <f>SUM(O3298)</f>
        <v>0</v>
      </c>
      <c r="P3297" s="1220">
        <f t="shared" ref="P3297:Z3297" si="517">SUM(P3298)</f>
        <v>0</v>
      </c>
      <c r="Q3297" s="1220">
        <f t="shared" si="517"/>
        <v>5000</v>
      </c>
      <c r="R3297" s="1220">
        <f t="shared" si="517"/>
        <v>0</v>
      </c>
      <c r="S3297" s="1220">
        <f t="shared" si="517"/>
        <v>0</v>
      </c>
      <c r="T3297" s="1220">
        <f t="shared" si="517"/>
        <v>0</v>
      </c>
      <c r="U3297" s="1220">
        <f t="shared" si="517"/>
        <v>5000</v>
      </c>
      <c r="V3297" s="1220">
        <f t="shared" si="517"/>
        <v>0</v>
      </c>
      <c r="W3297" s="1220">
        <f t="shared" si="517"/>
        <v>0</v>
      </c>
      <c r="X3297" s="1220">
        <f t="shared" si="517"/>
        <v>0</v>
      </c>
      <c r="Y3297" s="1220">
        <f t="shared" si="517"/>
        <v>0</v>
      </c>
      <c r="Z3297" s="1220">
        <f t="shared" si="517"/>
        <v>0</v>
      </c>
      <c r="AA3297" s="1221">
        <f t="shared" ref="AA3297:AA3298" si="518">SUM(O3297:Z3297)</f>
        <v>10000</v>
      </c>
      <c r="AB3297" s="1210"/>
      <c r="AC3297" s="1199"/>
      <c r="AD3297" s="1211"/>
      <c r="AE3297" s="1211"/>
      <c r="AF3297" s="1211"/>
    </row>
    <row r="3298" spans="1:32" ht="33.75" x14ac:dyDescent="0.2">
      <c r="A3298" s="1422"/>
      <c r="B3298" s="1430">
        <v>5002792</v>
      </c>
      <c r="C3298" s="1273" t="s">
        <v>926</v>
      </c>
      <c r="D3298" s="1044"/>
      <c r="E3298" s="1068" t="s">
        <v>860</v>
      </c>
      <c r="F3298" s="136" t="s">
        <v>386</v>
      </c>
      <c r="G3298" s="1073" t="s">
        <v>387</v>
      </c>
      <c r="H3298" s="1044"/>
      <c r="I3298" s="136" t="s">
        <v>457</v>
      </c>
      <c r="J3298" s="41">
        <v>21425</v>
      </c>
      <c r="K3298" s="41">
        <v>10000</v>
      </c>
      <c r="L3298" s="137"/>
      <c r="M3298" s="3287" t="s">
        <v>355</v>
      </c>
      <c r="N3298" s="3288"/>
      <c r="O3298" s="1220"/>
      <c r="P3298" s="1220"/>
      <c r="Q3298" s="1220">
        <f>$K3298/2</f>
        <v>5000</v>
      </c>
      <c r="R3298" s="1220"/>
      <c r="S3298" s="1220"/>
      <c r="T3298" s="1220"/>
      <c r="U3298" s="1220">
        <f>$K3298/2</f>
        <v>5000</v>
      </c>
      <c r="V3298" s="1220"/>
      <c r="W3298" s="1220"/>
      <c r="X3298" s="1220"/>
      <c r="Y3298" s="1220"/>
      <c r="Z3298" s="1220"/>
      <c r="AA3298" s="1220">
        <f t="shared" si="518"/>
        <v>10000</v>
      </c>
      <c r="AB3298" s="1210"/>
      <c r="AC3298" s="1199"/>
      <c r="AD3298" s="1211"/>
      <c r="AE3298" s="1211"/>
      <c r="AF3298" s="1211"/>
    </row>
    <row r="3299" spans="1:32" x14ac:dyDescent="0.2">
      <c r="A3299" s="1422"/>
      <c r="B3299" s="1427" t="s">
        <v>312</v>
      </c>
      <c r="C3299" s="1128"/>
      <c r="D3299" s="38"/>
      <c r="E3299" s="38"/>
      <c r="F3299" s="38"/>
      <c r="G3299" s="38"/>
      <c r="H3299" s="38"/>
      <c r="I3299" s="38"/>
      <c r="J3299" s="38"/>
      <c r="K3299" s="38"/>
      <c r="L3299" s="38"/>
      <c r="M3299" s="38"/>
      <c r="N3299" s="38"/>
      <c r="O3299" s="1234"/>
      <c r="P3299" s="1234"/>
      <c r="Q3299" s="1234"/>
      <c r="R3299" s="1234"/>
      <c r="S3299" s="1234"/>
      <c r="T3299" s="1234"/>
      <c r="U3299" s="1234"/>
      <c r="V3299" s="1234"/>
      <c r="W3299" s="1234"/>
      <c r="X3299" s="1234"/>
      <c r="Y3299" s="1234"/>
      <c r="Z3299" s="1234"/>
      <c r="AA3299" s="1225"/>
      <c r="AB3299" s="1210"/>
      <c r="AC3299" s="1199"/>
      <c r="AD3299" s="1211"/>
      <c r="AE3299" s="1211"/>
      <c r="AF3299" s="1211"/>
    </row>
    <row r="3300" spans="1:32" x14ac:dyDescent="0.2">
      <c r="A3300" s="1422"/>
      <c r="B3300" s="1433" t="s">
        <v>276</v>
      </c>
      <c r="C3300" s="1119"/>
      <c r="D3300" s="35">
        <v>3000686</v>
      </c>
      <c r="E3300" s="192" t="s">
        <v>927</v>
      </c>
      <c r="F3300" s="35"/>
      <c r="G3300" s="35"/>
      <c r="H3300" s="35"/>
      <c r="I3300" s="35"/>
      <c r="J3300" s="35"/>
      <c r="K3300" s="35"/>
      <c r="L3300" s="35"/>
      <c r="M3300" s="35"/>
      <c r="N3300" s="35"/>
      <c r="O3300" s="1210"/>
      <c r="P3300" s="1210"/>
      <c r="Q3300" s="1210"/>
      <c r="R3300" s="1210"/>
      <c r="S3300" s="1210"/>
      <c r="T3300" s="3377" t="s">
        <v>15</v>
      </c>
      <c r="U3300" s="3378"/>
      <c r="V3300" s="3378"/>
      <c r="W3300" s="3378"/>
      <c r="X3300" s="3378"/>
      <c r="Y3300" s="3379"/>
      <c r="Z3300" s="3417" t="s">
        <v>16</v>
      </c>
      <c r="AA3300" s="3417"/>
      <c r="AB3300" s="1210"/>
      <c r="AC3300" s="1199"/>
      <c r="AD3300" s="1211"/>
      <c r="AE3300" s="1211"/>
      <c r="AF3300" s="1211"/>
    </row>
    <row r="3301" spans="1:32" ht="12" thickBot="1" x14ac:dyDescent="0.25">
      <c r="A3301" s="1422"/>
      <c r="B3301" s="1433"/>
      <c r="C3301" s="1119"/>
      <c r="D3301" s="35"/>
      <c r="E3301" s="192"/>
      <c r="F3301" s="35"/>
      <c r="G3301" s="35"/>
      <c r="H3301" s="35"/>
      <c r="I3301" s="35"/>
      <c r="J3301" s="35"/>
      <c r="K3301" s="35"/>
      <c r="L3301" s="35"/>
      <c r="M3301" s="35"/>
      <c r="N3301" s="35"/>
      <c r="O3301" s="1210"/>
      <c r="P3301" s="1210"/>
      <c r="Q3301" s="1210"/>
      <c r="R3301" s="1210"/>
      <c r="S3301" s="1210"/>
      <c r="T3301" s="3417" t="s">
        <v>928</v>
      </c>
      <c r="U3301" s="3417"/>
      <c r="V3301" s="3417"/>
      <c r="W3301" s="3417"/>
      <c r="X3301" s="3417"/>
      <c r="Y3301" s="3417"/>
      <c r="Z3301" s="3392" t="s">
        <v>642</v>
      </c>
      <c r="AA3301" s="3394"/>
      <c r="AB3301" s="1210"/>
      <c r="AC3301" s="1199"/>
      <c r="AD3301" s="1211"/>
      <c r="AE3301" s="1211"/>
      <c r="AF3301" s="1211"/>
    </row>
    <row r="3302" spans="1:32" x14ac:dyDescent="0.2">
      <c r="A3302" s="1422"/>
      <c r="B3302" s="2999" t="s">
        <v>278</v>
      </c>
      <c r="C3302" s="3015" t="s">
        <v>21</v>
      </c>
      <c r="D3302" s="2847" t="s">
        <v>22</v>
      </c>
      <c r="E3302" s="2847" t="s">
        <v>23</v>
      </c>
      <c r="F3302" s="2847" t="s">
        <v>24</v>
      </c>
      <c r="G3302" s="2847" t="s">
        <v>25</v>
      </c>
      <c r="H3302" s="2847" t="s">
        <v>26</v>
      </c>
      <c r="I3302" s="2847" t="s">
        <v>27</v>
      </c>
      <c r="J3302" s="3416" t="s">
        <v>28</v>
      </c>
      <c r="K3302" s="3416"/>
      <c r="L3302" s="3409" t="s">
        <v>279</v>
      </c>
      <c r="M3302" s="3411" t="s">
        <v>280</v>
      </c>
      <c r="N3302" s="3412"/>
      <c r="O3302" s="3413" t="s">
        <v>281</v>
      </c>
      <c r="P3302" s="3320"/>
      <c r="Q3302" s="3320"/>
      <c r="R3302" s="3320"/>
      <c r="S3302" s="3320"/>
      <c r="T3302" s="3320"/>
      <c r="U3302" s="3320"/>
      <c r="V3302" s="3320"/>
      <c r="W3302" s="3320"/>
      <c r="X3302" s="3320"/>
      <c r="Y3302" s="3320"/>
      <c r="Z3302" s="3414"/>
      <c r="AA3302" s="3358" t="s">
        <v>32</v>
      </c>
      <c r="AB3302" s="1210"/>
      <c r="AC3302" s="1199"/>
      <c r="AD3302" s="1211"/>
      <c r="AE3302" s="1211"/>
      <c r="AF3302" s="1211"/>
    </row>
    <row r="3303" spans="1:32" x14ac:dyDescent="0.2">
      <c r="A3303" s="1422"/>
      <c r="B3303" s="2999"/>
      <c r="C3303" s="3359"/>
      <c r="D3303" s="2847"/>
      <c r="E3303" s="2847"/>
      <c r="F3303" s="2847"/>
      <c r="G3303" s="2847"/>
      <c r="H3303" s="2847"/>
      <c r="I3303" s="2847"/>
      <c r="J3303" s="2988" t="s">
        <v>33</v>
      </c>
      <c r="K3303" s="2988" t="s">
        <v>282</v>
      </c>
      <c r="L3303" s="3410"/>
      <c r="M3303" s="3275"/>
      <c r="N3303" s="3318"/>
      <c r="O3303" s="1229" t="s">
        <v>283</v>
      </c>
      <c r="P3303" s="1230" t="s">
        <v>284</v>
      </c>
      <c r="Q3303" s="1230" t="s">
        <v>285</v>
      </c>
      <c r="R3303" s="1230" t="s">
        <v>88</v>
      </c>
      <c r="S3303" s="1230" t="s">
        <v>89</v>
      </c>
      <c r="T3303" s="1230" t="s">
        <v>90</v>
      </c>
      <c r="U3303" s="1230" t="s">
        <v>91</v>
      </c>
      <c r="V3303" s="1230" t="s">
        <v>92</v>
      </c>
      <c r="W3303" s="1230" t="s">
        <v>286</v>
      </c>
      <c r="X3303" s="1230" t="s">
        <v>93</v>
      </c>
      <c r="Y3303" s="1230" t="s">
        <v>94</v>
      </c>
      <c r="Z3303" s="1231" t="s">
        <v>95</v>
      </c>
      <c r="AA3303" s="3358"/>
      <c r="AB3303" s="1210"/>
      <c r="AC3303" s="1199"/>
      <c r="AD3303" s="1211"/>
      <c r="AE3303" s="1211"/>
      <c r="AF3303" s="1211"/>
    </row>
    <row r="3304" spans="1:32" ht="12.75" x14ac:dyDescent="0.2">
      <c r="A3304" s="1422"/>
      <c r="B3304" s="2999"/>
      <c r="C3304" s="3359"/>
      <c r="D3304" s="2847"/>
      <c r="E3304" s="2847"/>
      <c r="F3304" s="2847"/>
      <c r="G3304" s="2847"/>
      <c r="H3304" s="2847"/>
      <c r="I3304" s="2847"/>
      <c r="J3304" s="3186"/>
      <c r="K3304" s="3186"/>
      <c r="L3304" s="3410"/>
      <c r="M3304" s="3273" t="s">
        <v>287</v>
      </c>
      <c r="N3304" s="3314"/>
      <c r="O3304" s="1220">
        <v>126</v>
      </c>
      <c r="P3304" s="1220">
        <v>127</v>
      </c>
      <c r="Q3304" s="1220">
        <v>129</v>
      </c>
      <c r="R3304" s="1220">
        <v>129</v>
      </c>
      <c r="S3304" s="1220">
        <v>129</v>
      </c>
      <c r="T3304" s="1220">
        <v>129</v>
      </c>
      <c r="U3304" s="1220">
        <v>129</v>
      </c>
      <c r="V3304" s="1220">
        <v>129</v>
      </c>
      <c r="W3304" s="1220">
        <v>129</v>
      </c>
      <c r="X3304" s="1220">
        <v>129</v>
      </c>
      <c r="Y3304" s="1220">
        <v>129</v>
      </c>
      <c r="Z3304" s="1220">
        <v>129</v>
      </c>
      <c r="AA3304" s="1221">
        <f>SUM(O3304:Z3304)</f>
        <v>1543</v>
      </c>
      <c r="AB3304" s="1210"/>
      <c r="AC3304" s="1199"/>
      <c r="AD3304" s="1211"/>
      <c r="AE3304" s="1211"/>
      <c r="AF3304" s="1211"/>
    </row>
    <row r="3305" spans="1:32" ht="12.75" x14ac:dyDescent="0.2">
      <c r="A3305" s="1422"/>
      <c r="B3305" s="2999"/>
      <c r="C3305" s="3016"/>
      <c r="D3305" s="2847"/>
      <c r="E3305" s="2847"/>
      <c r="F3305" s="2847"/>
      <c r="G3305" s="2847"/>
      <c r="H3305" s="2847"/>
      <c r="I3305" s="2847"/>
      <c r="J3305" s="3186"/>
      <c r="K3305" s="3186"/>
      <c r="L3305" s="3143"/>
      <c r="M3305" s="3273" t="s">
        <v>34</v>
      </c>
      <c r="N3305" s="3314"/>
      <c r="O3305" s="1217">
        <f>SUM(O3306:O3317)</f>
        <v>144214.58333333334</v>
      </c>
      <c r="P3305" s="1220">
        <f t="shared" ref="P3305:Z3305" si="519">SUM(P3306:P3317)</f>
        <v>130214.58333333334</v>
      </c>
      <c r="Q3305" s="1220">
        <f t="shared" si="519"/>
        <v>131214.58333333334</v>
      </c>
      <c r="R3305" s="1220">
        <f t="shared" si="519"/>
        <v>138214.58333333334</v>
      </c>
      <c r="S3305" s="1220">
        <f t="shared" si="519"/>
        <v>131214.58333333334</v>
      </c>
      <c r="T3305" s="1220">
        <f t="shared" si="519"/>
        <v>130214.58333333334</v>
      </c>
      <c r="U3305" s="1220">
        <f t="shared" si="519"/>
        <v>142308.58333333334</v>
      </c>
      <c r="V3305" s="1220">
        <f t="shared" si="519"/>
        <v>133214.58333333334</v>
      </c>
      <c r="W3305" s="1220">
        <f t="shared" si="519"/>
        <v>131214.58333333334</v>
      </c>
      <c r="X3305" s="1220">
        <f t="shared" si="519"/>
        <v>130214.58333333334</v>
      </c>
      <c r="Y3305" s="1220">
        <f t="shared" si="519"/>
        <v>131214.58333333334</v>
      </c>
      <c r="Z3305" s="1220">
        <f t="shared" si="519"/>
        <v>141308.58333333334</v>
      </c>
      <c r="AA3305" s="1221">
        <f t="shared" ref="AA3305:AA3317" si="520">SUM(O3305:Z3305)</f>
        <v>1614762.9999999998</v>
      </c>
      <c r="AB3305" s="1210"/>
      <c r="AC3305" s="1199"/>
      <c r="AD3305" s="1211"/>
      <c r="AE3305" s="1211"/>
      <c r="AF3305" s="1211"/>
    </row>
    <row r="3306" spans="1:32" x14ac:dyDescent="0.2">
      <c r="A3306" s="1422"/>
      <c r="B3306" s="2522">
        <v>5005142</v>
      </c>
      <c r="C3306" s="2438" t="s">
        <v>929</v>
      </c>
      <c r="D3306" s="2420">
        <v>108</v>
      </c>
      <c r="E3306" s="2420" t="s">
        <v>860</v>
      </c>
      <c r="F3306" s="2420" t="s">
        <v>386</v>
      </c>
      <c r="G3306" s="2420" t="s">
        <v>423</v>
      </c>
      <c r="H3306" s="3369"/>
      <c r="I3306" s="2514" t="s">
        <v>457</v>
      </c>
      <c r="J3306" s="3187">
        <v>1543</v>
      </c>
      <c r="K3306" s="41">
        <v>575022</v>
      </c>
      <c r="L3306" s="3406"/>
      <c r="M3306" s="3287" t="s">
        <v>293</v>
      </c>
      <c r="N3306" s="3288"/>
      <c r="O3306" s="1220">
        <f t="shared" ref="O3306:Z3311" si="521">$K3306/12</f>
        <v>47918.5</v>
      </c>
      <c r="P3306" s="1220">
        <f t="shared" si="521"/>
        <v>47918.5</v>
      </c>
      <c r="Q3306" s="1220">
        <f t="shared" si="521"/>
        <v>47918.5</v>
      </c>
      <c r="R3306" s="1220">
        <f t="shared" si="521"/>
        <v>47918.5</v>
      </c>
      <c r="S3306" s="1220">
        <f t="shared" si="521"/>
        <v>47918.5</v>
      </c>
      <c r="T3306" s="1220">
        <f t="shared" si="521"/>
        <v>47918.5</v>
      </c>
      <c r="U3306" s="1220">
        <f t="shared" si="521"/>
        <v>47918.5</v>
      </c>
      <c r="V3306" s="1220">
        <f t="shared" si="521"/>
        <v>47918.5</v>
      </c>
      <c r="W3306" s="1220">
        <f t="shared" si="521"/>
        <v>47918.5</v>
      </c>
      <c r="X3306" s="1220">
        <f t="shared" si="521"/>
        <v>47918.5</v>
      </c>
      <c r="Y3306" s="1220">
        <f t="shared" si="521"/>
        <v>47918.5</v>
      </c>
      <c r="Z3306" s="1220">
        <f t="shared" si="521"/>
        <v>47918.5</v>
      </c>
      <c r="AA3306" s="1220">
        <f t="shared" si="520"/>
        <v>575022</v>
      </c>
      <c r="AB3306" s="1210"/>
      <c r="AC3306" s="1199"/>
      <c r="AD3306" s="1211"/>
      <c r="AE3306" s="1211"/>
      <c r="AF3306" s="1211"/>
    </row>
    <row r="3307" spans="1:32" x14ac:dyDescent="0.2">
      <c r="A3307" s="1422"/>
      <c r="B3307" s="2522"/>
      <c r="C3307" s="2456"/>
      <c r="D3307" s="2420"/>
      <c r="E3307" s="2420"/>
      <c r="F3307" s="2420"/>
      <c r="G3307" s="2420"/>
      <c r="H3307" s="3369"/>
      <c r="I3307" s="2515"/>
      <c r="J3307" s="2955"/>
      <c r="K3307" s="41">
        <v>65442</v>
      </c>
      <c r="L3307" s="3407"/>
      <c r="M3307" s="3287" t="s">
        <v>321</v>
      </c>
      <c r="N3307" s="3288"/>
      <c r="O3307" s="1220">
        <f t="shared" si="521"/>
        <v>5453.5</v>
      </c>
      <c r="P3307" s="1220">
        <f t="shared" si="521"/>
        <v>5453.5</v>
      </c>
      <c r="Q3307" s="1220">
        <f t="shared" si="521"/>
        <v>5453.5</v>
      </c>
      <c r="R3307" s="1220">
        <f t="shared" si="521"/>
        <v>5453.5</v>
      </c>
      <c r="S3307" s="1220">
        <f t="shared" si="521"/>
        <v>5453.5</v>
      </c>
      <c r="T3307" s="1220">
        <f t="shared" si="521"/>
        <v>5453.5</v>
      </c>
      <c r="U3307" s="1220">
        <f t="shared" si="521"/>
        <v>5453.5</v>
      </c>
      <c r="V3307" s="1220">
        <f t="shared" si="521"/>
        <v>5453.5</v>
      </c>
      <c r="W3307" s="1220">
        <f t="shared" si="521"/>
        <v>5453.5</v>
      </c>
      <c r="X3307" s="1220">
        <f t="shared" si="521"/>
        <v>5453.5</v>
      </c>
      <c r="Y3307" s="1220">
        <f t="shared" si="521"/>
        <v>5453.5</v>
      </c>
      <c r="Z3307" s="1220">
        <f t="shared" si="521"/>
        <v>5453.5</v>
      </c>
      <c r="AA3307" s="1220">
        <f t="shared" si="520"/>
        <v>65442</v>
      </c>
      <c r="AB3307" s="1210"/>
      <c r="AC3307" s="1199"/>
      <c r="AD3307" s="1211"/>
      <c r="AE3307" s="1211"/>
      <c r="AF3307" s="1211"/>
    </row>
    <row r="3308" spans="1:32" x14ac:dyDescent="0.2">
      <c r="A3308" s="1422"/>
      <c r="B3308" s="2522"/>
      <c r="C3308" s="2456"/>
      <c r="D3308" s="2420"/>
      <c r="E3308" s="2420"/>
      <c r="F3308" s="2420"/>
      <c r="G3308" s="2420"/>
      <c r="H3308" s="3369"/>
      <c r="I3308" s="2515"/>
      <c r="J3308" s="2955"/>
      <c r="K3308" s="41">
        <v>320820</v>
      </c>
      <c r="L3308" s="3407"/>
      <c r="M3308" s="3287" t="s">
        <v>295</v>
      </c>
      <c r="N3308" s="3288"/>
      <c r="O3308" s="1220">
        <f t="shared" si="521"/>
        <v>26735</v>
      </c>
      <c r="P3308" s="1220">
        <f t="shared" si="521"/>
        <v>26735</v>
      </c>
      <c r="Q3308" s="1220">
        <f t="shared" si="521"/>
        <v>26735</v>
      </c>
      <c r="R3308" s="1220">
        <f t="shared" si="521"/>
        <v>26735</v>
      </c>
      <c r="S3308" s="1220">
        <f t="shared" si="521"/>
        <v>26735</v>
      </c>
      <c r="T3308" s="1220">
        <f t="shared" si="521"/>
        <v>26735</v>
      </c>
      <c r="U3308" s="1220">
        <f t="shared" si="521"/>
        <v>26735</v>
      </c>
      <c r="V3308" s="1220">
        <f t="shared" si="521"/>
        <v>26735</v>
      </c>
      <c r="W3308" s="1220">
        <f t="shared" si="521"/>
        <v>26735</v>
      </c>
      <c r="X3308" s="1220">
        <f t="shared" si="521"/>
        <v>26735</v>
      </c>
      <c r="Y3308" s="1220">
        <f t="shared" si="521"/>
        <v>26735</v>
      </c>
      <c r="Z3308" s="1220">
        <f t="shared" si="521"/>
        <v>26735</v>
      </c>
      <c r="AA3308" s="1220">
        <f t="shared" si="520"/>
        <v>320820</v>
      </c>
      <c r="AB3308" s="1210"/>
      <c r="AC3308" s="1199"/>
      <c r="AD3308" s="1211"/>
      <c r="AE3308" s="1211"/>
      <c r="AF3308" s="1211"/>
    </row>
    <row r="3309" spans="1:32" x14ac:dyDescent="0.2">
      <c r="A3309" s="1422"/>
      <c r="B3309" s="2522"/>
      <c r="C3309" s="2456"/>
      <c r="D3309" s="2420"/>
      <c r="E3309" s="2420"/>
      <c r="F3309" s="2420"/>
      <c r="G3309" s="2420"/>
      <c r="H3309" s="3369"/>
      <c r="I3309" s="2515"/>
      <c r="J3309" s="2955"/>
      <c r="K3309" s="41">
        <v>20688</v>
      </c>
      <c r="L3309" s="3407"/>
      <c r="M3309" s="3287" t="s">
        <v>332</v>
      </c>
      <c r="N3309" s="3288"/>
      <c r="O3309" s="1220">
        <f t="shared" si="521"/>
        <v>1724</v>
      </c>
      <c r="P3309" s="1220">
        <f t="shared" si="521"/>
        <v>1724</v>
      </c>
      <c r="Q3309" s="1220">
        <f t="shared" si="521"/>
        <v>1724</v>
      </c>
      <c r="R3309" s="1220">
        <f t="shared" si="521"/>
        <v>1724</v>
      </c>
      <c r="S3309" s="1220">
        <f t="shared" si="521"/>
        <v>1724</v>
      </c>
      <c r="T3309" s="1220">
        <f t="shared" si="521"/>
        <v>1724</v>
      </c>
      <c r="U3309" s="1220">
        <f t="shared" si="521"/>
        <v>1724</v>
      </c>
      <c r="V3309" s="1220">
        <f t="shared" si="521"/>
        <v>1724</v>
      </c>
      <c r="W3309" s="1220">
        <f t="shared" si="521"/>
        <v>1724</v>
      </c>
      <c r="X3309" s="1220">
        <f t="shared" si="521"/>
        <v>1724</v>
      </c>
      <c r="Y3309" s="1220">
        <f t="shared" si="521"/>
        <v>1724</v>
      </c>
      <c r="Z3309" s="1220">
        <f t="shared" si="521"/>
        <v>1724</v>
      </c>
      <c r="AA3309" s="1220">
        <f t="shared" si="520"/>
        <v>20688</v>
      </c>
      <c r="AB3309" s="1210"/>
      <c r="AC3309" s="1199"/>
      <c r="AD3309" s="1211"/>
      <c r="AE3309" s="1211"/>
      <c r="AF3309" s="1211"/>
    </row>
    <row r="3310" spans="1:32" x14ac:dyDescent="0.2">
      <c r="A3310" s="1422"/>
      <c r="B3310" s="2522"/>
      <c r="C3310" s="2456"/>
      <c r="D3310" s="2420"/>
      <c r="E3310" s="2420"/>
      <c r="F3310" s="2420"/>
      <c r="G3310" s="2420"/>
      <c r="H3310" s="3369"/>
      <c r="I3310" s="2515"/>
      <c r="J3310" s="2955"/>
      <c r="K3310" s="41">
        <v>405820</v>
      </c>
      <c r="L3310" s="3407"/>
      <c r="M3310" s="3287" t="s">
        <v>296</v>
      </c>
      <c r="N3310" s="3288"/>
      <c r="O3310" s="1220">
        <f t="shared" si="521"/>
        <v>33818.333333333336</v>
      </c>
      <c r="P3310" s="1220">
        <f t="shared" si="521"/>
        <v>33818.333333333336</v>
      </c>
      <c r="Q3310" s="1220">
        <f t="shared" si="521"/>
        <v>33818.333333333336</v>
      </c>
      <c r="R3310" s="1220">
        <f t="shared" si="521"/>
        <v>33818.333333333336</v>
      </c>
      <c r="S3310" s="1220">
        <f t="shared" si="521"/>
        <v>33818.333333333336</v>
      </c>
      <c r="T3310" s="1220">
        <f t="shared" si="521"/>
        <v>33818.333333333336</v>
      </c>
      <c r="U3310" s="1220">
        <f t="shared" si="521"/>
        <v>33818.333333333336</v>
      </c>
      <c r="V3310" s="1220">
        <f t="shared" si="521"/>
        <v>33818.333333333336</v>
      </c>
      <c r="W3310" s="1220">
        <f t="shared" si="521"/>
        <v>33818.333333333336</v>
      </c>
      <c r="X3310" s="1220">
        <f t="shared" si="521"/>
        <v>33818.333333333336</v>
      </c>
      <c r="Y3310" s="1220">
        <f t="shared" si="521"/>
        <v>33818.333333333336</v>
      </c>
      <c r="Z3310" s="1220">
        <f t="shared" si="521"/>
        <v>33818.333333333336</v>
      </c>
      <c r="AA3310" s="1220">
        <f t="shared" si="520"/>
        <v>405819.99999999994</v>
      </c>
      <c r="AB3310" s="1210"/>
      <c r="AC3310" s="1199"/>
      <c r="AD3310" s="1211"/>
      <c r="AE3310" s="1211"/>
      <c r="AF3310" s="1211"/>
    </row>
    <row r="3311" spans="1:32" x14ac:dyDescent="0.2">
      <c r="A3311" s="1422"/>
      <c r="B3311" s="2522"/>
      <c r="C3311" s="2456"/>
      <c r="D3311" s="2420"/>
      <c r="E3311" s="2420"/>
      <c r="F3311" s="2420"/>
      <c r="G3311" s="2420"/>
      <c r="H3311" s="3369"/>
      <c r="I3311" s="2515"/>
      <c r="J3311" s="2955"/>
      <c r="K3311" s="41">
        <v>115576</v>
      </c>
      <c r="L3311" s="3407"/>
      <c r="M3311" s="3287" t="s">
        <v>297</v>
      </c>
      <c r="N3311" s="3288"/>
      <c r="O3311" s="1220">
        <f t="shared" si="521"/>
        <v>9631.3333333333339</v>
      </c>
      <c r="P3311" s="1220">
        <f t="shared" si="521"/>
        <v>9631.3333333333339</v>
      </c>
      <c r="Q3311" s="1220">
        <f t="shared" si="521"/>
        <v>9631.3333333333339</v>
      </c>
      <c r="R3311" s="1220">
        <f t="shared" si="521"/>
        <v>9631.3333333333339</v>
      </c>
      <c r="S3311" s="1220">
        <f t="shared" si="521"/>
        <v>9631.3333333333339</v>
      </c>
      <c r="T3311" s="1220">
        <f t="shared" si="521"/>
        <v>9631.3333333333339</v>
      </c>
      <c r="U3311" s="1220">
        <f t="shared" si="521"/>
        <v>9631.3333333333339</v>
      </c>
      <c r="V3311" s="1220">
        <f t="shared" si="521"/>
        <v>9631.3333333333339</v>
      </c>
      <c r="W3311" s="1220">
        <f t="shared" si="521"/>
        <v>9631.3333333333339</v>
      </c>
      <c r="X3311" s="1220">
        <f t="shared" si="521"/>
        <v>9631.3333333333339</v>
      </c>
      <c r="Y3311" s="1220">
        <f t="shared" si="521"/>
        <v>9631.3333333333339</v>
      </c>
      <c r="Z3311" s="1220">
        <f t="shared" si="521"/>
        <v>9631.3333333333339</v>
      </c>
      <c r="AA3311" s="1220">
        <f t="shared" si="520"/>
        <v>115575.99999999999</v>
      </c>
      <c r="AB3311" s="1210"/>
      <c r="AC3311" s="1199"/>
      <c r="AD3311" s="1211"/>
      <c r="AE3311" s="1211"/>
      <c r="AF3311" s="1211"/>
    </row>
    <row r="3312" spans="1:32" x14ac:dyDescent="0.2">
      <c r="A3312" s="1422"/>
      <c r="B3312" s="2522"/>
      <c r="C3312" s="2456"/>
      <c r="D3312" s="2420"/>
      <c r="E3312" s="2420"/>
      <c r="F3312" s="2420"/>
      <c r="G3312" s="2420"/>
      <c r="H3312" s="3369"/>
      <c r="I3312" s="2515"/>
      <c r="J3312" s="2955"/>
      <c r="K3312" s="41">
        <v>22188</v>
      </c>
      <c r="L3312" s="3407"/>
      <c r="M3312" s="3287" t="s">
        <v>298</v>
      </c>
      <c r="N3312" s="3288"/>
      <c r="O3312" s="1220"/>
      <c r="P3312" s="1220"/>
      <c r="Q3312" s="1220"/>
      <c r="R3312" s="1220"/>
      <c r="S3312" s="1220"/>
      <c r="T3312" s="1220"/>
      <c r="U3312" s="1220">
        <f>K3312/2</f>
        <v>11094</v>
      </c>
      <c r="V3312" s="1220"/>
      <c r="W3312" s="1220"/>
      <c r="X3312" s="1220"/>
      <c r="Y3312" s="1220"/>
      <c r="Z3312" s="1220">
        <f>K3312/2</f>
        <v>11094</v>
      </c>
      <c r="AA3312" s="1220">
        <f t="shared" si="520"/>
        <v>22188</v>
      </c>
      <c r="AB3312" s="1210"/>
      <c r="AC3312" s="1199"/>
      <c r="AD3312" s="1211"/>
      <c r="AE3312" s="1211"/>
      <c r="AF3312" s="1211"/>
    </row>
    <row r="3313" spans="1:32" x14ac:dyDescent="0.2">
      <c r="A3313" s="1422"/>
      <c r="B3313" s="2522"/>
      <c r="C3313" s="2456"/>
      <c r="D3313" s="2420"/>
      <c r="E3313" s="2420"/>
      <c r="F3313" s="2420"/>
      <c r="G3313" s="2420"/>
      <c r="H3313" s="3369"/>
      <c r="I3313" s="2515"/>
      <c r="J3313" s="2955"/>
      <c r="K3313" s="41">
        <v>14000</v>
      </c>
      <c r="L3313" s="3407"/>
      <c r="M3313" s="3287" t="s">
        <v>299</v>
      </c>
      <c r="N3313" s="3288"/>
      <c r="O3313" s="1220">
        <f>K3313</f>
        <v>14000</v>
      </c>
      <c r="P3313" s="1220"/>
      <c r="Q3313" s="1220"/>
      <c r="R3313" s="1220"/>
      <c r="S3313" s="1220"/>
      <c r="T3313" s="1220"/>
      <c r="U3313" s="1220"/>
      <c r="V3313" s="1220"/>
      <c r="W3313" s="1220"/>
      <c r="X3313" s="1220"/>
      <c r="Y3313" s="1220"/>
      <c r="Z3313" s="1220"/>
      <c r="AA3313" s="1220">
        <f t="shared" si="520"/>
        <v>14000</v>
      </c>
      <c r="AB3313" s="1210"/>
      <c r="AC3313" s="1199"/>
      <c r="AD3313" s="1211"/>
      <c r="AE3313" s="1211"/>
      <c r="AF3313" s="1211"/>
    </row>
    <row r="3314" spans="1:32" x14ac:dyDescent="0.2">
      <c r="A3314" s="1422"/>
      <c r="B3314" s="2522"/>
      <c r="C3314" s="2456"/>
      <c r="D3314" s="2420"/>
      <c r="E3314" s="2420"/>
      <c r="F3314" s="2420"/>
      <c r="G3314" s="2420"/>
      <c r="H3314" s="3369"/>
      <c r="I3314" s="2515"/>
      <c r="J3314" s="2955"/>
      <c r="K3314" s="41">
        <v>59207</v>
      </c>
      <c r="L3314" s="3407"/>
      <c r="M3314" s="3287" t="s">
        <v>300</v>
      </c>
      <c r="N3314" s="3288"/>
      <c r="O3314" s="1220">
        <f>$K3314/12</f>
        <v>4933.916666666667</v>
      </c>
      <c r="P3314" s="1220">
        <f t="shared" ref="P3314:Z3314" si="522">$K3314/12</f>
        <v>4933.916666666667</v>
      </c>
      <c r="Q3314" s="1220">
        <f t="shared" si="522"/>
        <v>4933.916666666667</v>
      </c>
      <c r="R3314" s="1220">
        <f t="shared" si="522"/>
        <v>4933.916666666667</v>
      </c>
      <c r="S3314" s="1220">
        <f t="shared" si="522"/>
        <v>4933.916666666667</v>
      </c>
      <c r="T3314" s="1220">
        <f t="shared" si="522"/>
        <v>4933.916666666667</v>
      </c>
      <c r="U3314" s="1220">
        <f t="shared" si="522"/>
        <v>4933.916666666667</v>
      </c>
      <c r="V3314" s="1220">
        <f t="shared" si="522"/>
        <v>4933.916666666667</v>
      </c>
      <c r="W3314" s="1220">
        <f t="shared" si="522"/>
        <v>4933.916666666667</v>
      </c>
      <c r="X3314" s="1220">
        <f t="shared" si="522"/>
        <v>4933.916666666667</v>
      </c>
      <c r="Y3314" s="1220">
        <f t="shared" si="522"/>
        <v>4933.916666666667</v>
      </c>
      <c r="Z3314" s="1220">
        <f t="shared" si="522"/>
        <v>4933.916666666667</v>
      </c>
      <c r="AA3314" s="1220">
        <f t="shared" si="520"/>
        <v>59206.999999999993</v>
      </c>
      <c r="AB3314" s="1210"/>
      <c r="AC3314" s="1199"/>
      <c r="AD3314" s="1211"/>
      <c r="AE3314" s="1211"/>
      <c r="AF3314" s="1211"/>
    </row>
    <row r="3315" spans="1:32" x14ac:dyDescent="0.2">
      <c r="A3315" s="1422"/>
      <c r="B3315" s="2522"/>
      <c r="C3315" s="2456"/>
      <c r="D3315" s="2420"/>
      <c r="E3315" s="2420"/>
      <c r="F3315" s="2420"/>
      <c r="G3315" s="2420"/>
      <c r="H3315" s="3369"/>
      <c r="I3315" s="2515"/>
      <c r="J3315" s="2955"/>
      <c r="K3315" s="41">
        <v>5000</v>
      </c>
      <c r="L3315" s="3407"/>
      <c r="M3315" s="3287" t="s">
        <v>393</v>
      </c>
      <c r="N3315" s="3288"/>
      <c r="O3315" s="1220"/>
      <c r="P3315" s="1220"/>
      <c r="Q3315" s="1220"/>
      <c r="R3315" s="1220">
        <f>$K3315</f>
        <v>5000</v>
      </c>
      <c r="S3315" s="1220"/>
      <c r="T3315" s="1220"/>
      <c r="U3315" s="1220"/>
      <c r="V3315" s="1220"/>
      <c r="W3315" s="1220"/>
      <c r="X3315" s="1220"/>
      <c r="Y3315" s="1220"/>
      <c r="Z3315" s="1220"/>
      <c r="AA3315" s="1220">
        <f t="shared" si="520"/>
        <v>5000</v>
      </c>
      <c r="AB3315" s="1210"/>
      <c r="AC3315" s="1199"/>
      <c r="AD3315" s="1211"/>
      <c r="AE3315" s="1211"/>
      <c r="AF3315" s="1211"/>
    </row>
    <row r="3316" spans="1:32" x14ac:dyDescent="0.2">
      <c r="A3316" s="1422"/>
      <c r="B3316" s="2522"/>
      <c r="C3316" s="2456"/>
      <c r="D3316" s="2420"/>
      <c r="E3316" s="2420"/>
      <c r="F3316" s="2420"/>
      <c r="G3316" s="2420"/>
      <c r="H3316" s="3369"/>
      <c r="I3316" s="2515"/>
      <c r="J3316" s="2955"/>
      <c r="K3316" s="41">
        <v>6000</v>
      </c>
      <c r="L3316" s="3407"/>
      <c r="M3316" s="3287" t="s">
        <v>343</v>
      </c>
      <c r="N3316" s="3288"/>
      <c r="O3316" s="1220"/>
      <c r="P3316" s="1220"/>
      <c r="Q3316" s="1220"/>
      <c r="R3316" s="1220">
        <f>$K3316/2</f>
        <v>3000</v>
      </c>
      <c r="S3316" s="1220"/>
      <c r="T3316" s="1220"/>
      <c r="U3316" s="1220"/>
      <c r="V3316" s="1220">
        <f>$K3316/2</f>
        <v>3000</v>
      </c>
      <c r="W3316" s="1220"/>
      <c r="X3316" s="1220"/>
      <c r="Y3316" s="1220"/>
      <c r="Z3316" s="1220"/>
      <c r="AA3316" s="1220">
        <f t="shared" si="520"/>
        <v>6000</v>
      </c>
      <c r="AB3316" s="1210"/>
      <c r="AC3316" s="1199"/>
      <c r="AD3316" s="1211"/>
      <c r="AE3316" s="1211"/>
      <c r="AF3316" s="1211"/>
    </row>
    <row r="3317" spans="1:32" x14ac:dyDescent="0.2">
      <c r="A3317" s="1422"/>
      <c r="B3317" s="2522"/>
      <c r="C3317" s="2450"/>
      <c r="D3317" s="2420"/>
      <c r="E3317" s="2420"/>
      <c r="F3317" s="2420"/>
      <c r="G3317" s="2420"/>
      <c r="H3317" s="3369"/>
      <c r="I3317" s="2516"/>
      <c r="J3317" s="2956"/>
      <c r="K3317" s="41">
        <v>5000</v>
      </c>
      <c r="L3317" s="3408"/>
      <c r="M3317" s="3287" t="s">
        <v>309</v>
      </c>
      <c r="N3317" s="3288"/>
      <c r="O3317" s="1220"/>
      <c r="P3317" s="1220"/>
      <c r="Q3317" s="1220">
        <f>$K3317/5</f>
        <v>1000</v>
      </c>
      <c r="R3317" s="1220"/>
      <c r="S3317" s="1220">
        <f>$K3317/5</f>
        <v>1000</v>
      </c>
      <c r="T3317" s="1220"/>
      <c r="U3317" s="1220">
        <f>$K3317/5</f>
        <v>1000</v>
      </c>
      <c r="V3317" s="1220"/>
      <c r="W3317" s="1220">
        <f>$K3317/5</f>
        <v>1000</v>
      </c>
      <c r="X3317" s="1220"/>
      <c r="Y3317" s="1220">
        <f>$K3317/5</f>
        <v>1000</v>
      </c>
      <c r="Z3317" s="1220"/>
      <c r="AA3317" s="1220">
        <f t="shared" si="520"/>
        <v>5000</v>
      </c>
      <c r="AB3317" s="1210"/>
      <c r="AC3317" s="1199"/>
      <c r="AD3317" s="1211"/>
      <c r="AE3317" s="1211"/>
      <c r="AF3317" s="1211"/>
    </row>
    <row r="3318" spans="1:32" ht="12" thickBot="1" x14ac:dyDescent="0.25">
      <c r="A3318" s="1422"/>
      <c r="B3318" s="1429" t="s">
        <v>312</v>
      </c>
      <c r="C3318" s="1051"/>
      <c r="D3318" s="96"/>
      <c r="E3318" s="96"/>
      <c r="F3318" s="96"/>
      <c r="G3318" s="96"/>
      <c r="H3318" s="96"/>
      <c r="I3318" s="96"/>
      <c r="J3318" s="38"/>
      <c r="K3318" s="41">
        <f>SUM(K3306:K3317)</f>
        <v>1614763</v>
      </c>
      <c r="L3318" s="54"/>
      <c r="M3318" s="54"/>
      <c r="N3318" s="54"/>
      <c r="O3318" s="1234"/>
      <c r="P3318" s="1234"/>
      <c r="Q3318" s="1234"/>
      <c r="R3318" s="1234"/>
      <c r="S3318" s="1234"/>
      <c r="T3318" s="1234"/>
      <c r="U3318" s="1234"/>
      <c r="V3318" s="1234"/>
      <c r="W3318" s="1234"/>
      <c r="X3318" s="1234"/>
      <c r="Y3318" s="1234"/>
      <c r="Z3318" s="1234"/>
      <c r="AA3318" s="1225"/>
      <c r="AB3318" s="1210"/>
      <c r="AC3318" s="1199"/>
      <c r="AD3318" s="1211"/>
      <c r="AE3318" s="1211"/>
      <c r="AF3318" s="1211"/>
    </row>
    <row r="3319" spans="1:32" x14ac:dyDescent="0.2">
      <c r="A3319" s="1422"/>
      <c r="B3319" s="2999" t="s">
        <v>278</v>
      </c>
      <c r="C3319" s="3015" t="s">
        <v>21</v>
      </c>
      <c r="D3319" s="2847" t="s">
        <v>22</v>
      </c>
      <c r="E3319" s="2847" t="s">
        <v>23</v>
      </c>
      <c r="F3319" s="2847" t="s">
        <v>24</v>
      </c>
      <c r="G3319" s="2847" t="s">
        <v>25</v>
      </c>
      <c r="H3319" s="2847" t="s">
        <v>26</v>
      </c>
      <c r="I3319" s="2847" t="s">
        <v>27</v>
      </c>
      <c r="J3319" s="3416" t="s">
        <v>28</v>
      </c>
      <c r="K3319" s="3416"/>
      <c r="L3319" s="3409" t="s">
        <v>279</v>
      </c>
      <c r="M3319" s="3411" t="s">
        <v>280</v>
      </c>
      <c r="N3319" s="3412"/>
      <c r="O3319" s="3413" t="s">
        <v>281</v>
      </c>
      <c r="P3319" s="3320"/>
      <c r="Q3319" s="3320"/>
      <c r="R3319" s="3320"/>
      <c r="S3319" s="3320"/>
      <c r="T3319" s="3320"/>
      <c r="U3319" s="3320"/>
      <c r="V3319" s="3320"/>
      <c r="W3319" s="3320"/>
      <c r="X3319" s="3320"/>
      <c r="Y3319" s="3320"/>
      <c r="Z3319" s="3414"/>
      <c r="AA3319" s="3358" t="s">
        <v>32</v>
      </c>
      <c r="AB3319" s="1210"/>
      <c r="AC3319" s="1199"/>
      <c r="AD3319" s="1211"/>
      <c r="AE3319" s="1211"/>
      <c r="AF3319" s="1211"/>
    </row>
    <row r="3320" spans="1:32" x14ac:dyDescent="0.2">
      <c r="A3320" s="1422"/>
      <c r="B3320" s="2999"/>
      <c r="C3320" s="3359"/>
      <c r="D3320" s="2847"/>
      <c r="E3320" s="2847"/>
      <c r="F3320" s="2847"/>
      <c r="G3320" s="2847"/>
      <c r="H3320" s="2847"/>
      <c r="I3320" s="2847"/>
      <c r="J3320" s="2988" t="s">
        <v>33</v>
      </c>
      <c r="K3320" s="2988" t="s">
        <v>282</v>
      </c>
      <c r="L3320" s="3410"/>
      <c r="M3320" s="3275"/>
      <c r="N3320" s="3318"/>
      <c r="O3320" s="1229" t="s">
        <v>283</v>
      </c>
      <c r="P3320" s="1230" t="s">
        <v>284</v>
      </c>
      <c r="Q3320" s="1230" t="s">
        <v>285</v>
      </c>
      <c r="R3320" s="1230" t="s">
        <v>88</v>
      </c>
      <c r="S3320" s="1230" t="s">
        <v>89</v>
      </c>
      <c r="T3320" s="1230" t="s">
        <v>90</v>
      </c>
      <c r="U3320" s="1230" t="s">
        <v>91</v>
      </c>
      <c r="V3320" s="1230" t="s">
        <v>92</v>
      </c>
      <c r="W3320" s="1230" t="s">
        <v>286</v>
      </c>
      <c r="X3320" s="1230" t="s">
        <v>93</v>
      </c>
      <c r="Y3320" s="1230" t="s">
        <v>94</v>
      </c>
      <c r="Z3320" s="1231" t="s">
        <v>95</v>
      </c>
      <c r="AA3320" s="3358"/>
      <c r="AB3320" s="1210"/>
      <c r="AC3320" s="1199"/>
      <c r="AD3320" s="1211"/>
      <c r="AE3320" s="1211"/>
      <c r="AF3320" s="1211"/>
    </row>
    <row r="3321" spans="1:32" ht="12.75" x14ac:dyDescent="0.2">
      <c r="A3321" s="1422"/>
      <c r="B3321" s="2999"/>
      <c r="C3321" s="3359"/>
      <c r="D3321" s="2847"/>
      <c r="E3321" s="2847"/>
      <c r="F3321" s="2847"/>
      <c r="G3321" s="2847"/>
      <c r="H3321" s="2847"/>
      <c r="I3321" s="2847"/>
      <c r="J3321" s="3186"/>
      <c r="K3321" s="3186"/>
      <c r="L3321" s="3410"/>
      <c r="M3321" s="3273" t="s">
        <v>287</v>
      </c>
      <c r="N3321" s="3314"/>
      <c r="O3321" s="1220">
        <v>427</v>
      </c>
      <c r="P3321" s="1220">
        <v>428</v>
      </c>
      <c r="Q3321" s="1220">
        <v>428</v>
      </c>
      <c r="R3321" s="1220">
        <v>430</v>
      </c>
      <c r="S3321" s="1220">
        <v>430</v>
      </c>
      <c r="T3321" s="1220">
        <v>430</v>
      </c>
      <c r="U3321" s="1220">
        <v>428</v>
      </c>
      <c r="V3321" s="1220">
        <v>428</v>
      </c>
      <c r="W3321" s="1220">
        <v>428</v>
      </c>
      <c r="X3321" s="1220">
        <v>428</v>
      </c>
      <c r="Y3321" s="1220">
        <v>428</v>
      </c>
      <c r="Z3321" s="1220">
        <v>428</v>
      </c>
      <c r="AA3321" s="1221">
        <f t="shared" ref="AA3321:AA3334" si="523">SUM(O3321:Z3321)</f>
        <v>5141</v>
      </c>
      <c r="AB3321" s="1210"/>
      <c r="AC3321" s="1199"/>
      <c r="AD3321" s="1211"/>
      <c r="AE3321" s="1211"/>
      <c r="AF3321" s="1211"/>
    </row>
    <row r="3322" spans="1:32" ht="12.75" x14ac:dyDescent="0.2">
      <c r="A3322" s="1422"/>
      <c r="B3322" s="2999"/>
      <c r="C3322" s="3016"/>
      <c r="D3322" s="2847"/>
      <c r="E3322" s="2847"/>
      <c r="F3322" s="2847"/>
      <c r="G3322" s="2847"/>
      <c r="H3322" s="2847"/>
      <c r="I3322" s="2847"/>
      <c r="J3322" s="3186"/>
      <c r="K3322" s="3186"/>
      <c r="L3322" s="3143"/>
      <c r="M3322" s="3273" t="s">
        <v>34</v>
      </c>
      <c r="N3322" s="3314"/>
      <c r="O3322" s="1220">
        <f t="shared" ref="O3322:Z3322" si="524">SUM(O3323:O3334)</f>
        <v>284668.08333333331</v>
      </c>
      <c r="P3322" s="1220">
        <f t="shared" si="524"/>
        <v>246268.08333333337</v>
      </c>
      <c r="Q3322" s="1220">
        <f t="shared" si="524"/>
        <v>249968.02083333337</v>
      </c>
      <c r="R3322" s="1220">
        <f t="shared" si="524"/>
        <v>308317.83333333337</v>
      </c>
      <c r="S3322" s="1220">
        <f t="shared" si="524"/>
        <v>249968.02083333337</v>
      </c>
      <c r="T3322" s="1220">
        <f t="shared" si="524"/>
        <v>249968.02083333337</v>
      </c>
      <c r="U3322" s="1220">
        <f t="shared" si="524"/>
        <v>266632.02083333337</v>
      </c>
      <c r="V3322" s="1220">
        <f t="shared" si="524"/>
        <v>308317.83333333337</v>
      </c>
      <c r="W3322" s="1220">
        <f t="shared" si="524"/>
        <v>249968.02083333337</v>
      </c>
      <c r="X3322" s="1220">
        <f t="shared" si="524"/>
        <v>249968.02083333337</v>
      </c>
      <c r="Y3322" s="1220">
        <f t="shared" si="524"/>
        <v>249968.02083333337</v>
      </c>
      <c r="Z3322" s="1220">
        <f t="shared" si="524"/>
        <v>266632.02083333337</v>
      </c>
      <c r="AA3322" s="1221">
        <f t="shared" si="523"/>
        <v>3180644.0000000014</v>
      </c>
      <c r="AB3322" s="1210"/>
      <c r="AC3322" s="1199"/>
      <c r="AD3322" s="1211"/>
      <c r="AE3322" s="1211"/>
      <c r="AF3322" s="1211"/>
    </row>
    <row r="3323" spans="1:32" x14ac:dyDescent="0.2">
      <c r="A3323" s="1422"/>
      <c r="B3323" s="2522">
        <v>5005143</v>
      </c>
      <c r="C3323" s="2438" t="s">
        <v>930</v>
      </c>
      <c r="D3323" s="2420">
        <v>109</v>
      </c>
      <c r="E3323" s="2420" t="s">
        <v>860</v>
      </c>
      <c r="F3323" s="2420" t="s">
        <v>386</v>
      </c>
      <c r="G3323" s="2420" t="s">
        <v>423</v>
      </c>
      <c r="H3323" s="2420"/>
      <c r="I3323" s="2420" t="s">
        <v>457</v>
      </c>
      <c r="J3323" s="3187">
        <v>5141</v>
      </c>
      <c r="K3323" s="41">
        <v>1328978</v>
      </c>
      <c r="L3323" s="3406"/>
      <c r="M3323" s="3287" t="s">
        <v>293</v>
      </c>
      <c r="N3323" s="3288"/>
      <c r="O3323" s="1220">
        <f t="shared" ref="O3323:Z3329" si="525">$K3323/12</f>
        <v>110748.16666666667</v>
      </c>
      <c r="P3323" s="1220">
        <f t="shared" si="525"/>
        <v>110748.16666666667</v>
      </c>
      <c r="Q3323" s="1220">
        <f t="shared" si="525"/>
        <v>110748.16666666667</v>
      </c>
      <c r="R3323" s="1220">
        <f t="shared" si="525"/>
        <v>110748.16666666667</v>
      </c>
      <c r="S3323" s="1220">
        <f t="shared" si="525"/>
        <v>110748.16666666667</v>
      </c>
      <c r="T3323" s="1220">
        <f t="shared" si="525"/>
        <v>110748.16666666667</v>
      </c>
      <c r="U3323" s="1220">
        <f t="shared" si="525"/>
        <v>110748.16666666667</v>
      </c>
      <c r="V3323" s="1220">
        <f t="shared" si="525"/>
        <v>110748.16666666667</v>
      </c>
      <c r="W3323" s="1220">
        <f t="shared" si="525"/>
        <v>110748.16666666667</v>
      </c>
      <c r="X3323" s="1220">
        <f t="shared" si="525"/>
        <v>110748.16666666667</v>
      </c>
      <c r="Y3323" s="1220">
        <f t="shared" si="525"/>
        <v>110748.16666666667</v>
      </c>
      <c r="Z3323" s="1220">
        <f t="shared" si="525"/>
        <v>110748.16666666667</v>
      </c>
      <c r="AA3323" s="1220">
        <f t="shared" si="523"/>
        <v>1328978</v>
      </c>
      <c r="AB3323" s="1210"/>
      <c r="AC3323" s="1199"/>
      <c r="AD3323" s="1211"/>
      <c r="AE3323" s="1211"/>
      <c r="AF3323" s="1211"/>
    </row>
    <row r="3324" spans="1:32" x14ac:dyDescent="0.2">
      <c r="A3324" s="1422"/>
      <c r="B3324" s="2522"/>
      <c r="C3324" s="2456"/>
      <c r="D3324" s="2420"/>
      <c r="E3324" s="2420"/>
      <c r="F3324" s="2420"/>
      <c r="G3324" s="2420"/>
      <c r="H3324" s="2420"/>
      <c r="I3324" s="2420"/>
      <c r="J3324" s="2955"/>
      <c r="K3324" s="41">
        <v>218184</v>
      </c>
      <c r="L3324" s="3407"/>
      <c r="M3324" s="3287" t="s">
        <v>321</v>
      </c>
      <c r="N3324" s="3288"/>
      <c r="O3324" s="1220">
        <f t="shared" si="525"/>
        <v>18182</v>
      </c>
      <c r="P3324" s="1220">
        <f t="shared" si="525"/>
        <v>18182</v>
      </c>
      <c r="Q3324" s="1220">
        <f t="shared" si="525"/>
        <v>18182</v>
      </c>
      <c r="R3324" s="1220">
        <f t="shared" si="525"/>
        <v>18182</v>
      </c>
      <c r="S3324" s="1220">
        <f t="shared" si="525"/>
        <v>18182</v>
      </c>
      <c r="T3324" s="1220">
        <f t="shared" si="525"/>
        <v>18182</v>
      </c>
      <c r="U3324" s="1220">
        <f t="shared" si="525"/>
        <v>18182</v>
      </c>
      <c r="V3324" s="1220">
        <f t="shared" si="525"/>
        <v>18182</v>
      </c>
      <c r="W3324" s="1220">
        <f t="shared" si="525"/>
        <v>18182</v>
      </c>
      <c r="X3324" s="1220">
        <f t="shared" si="525"/>
        <v>18182</v>
      </c>
      <c r="Y3324" s="1220">
        <f t="shared" si="525"/>
        <v>18182</v>
      </c>
      <c r="Z3324" s="1220">
        <f t="shared" si="525"/>
        <v>18182</v>
      </c>
      <c r="AA3324" s="1220">
        <f t="shared" si="523"/>
        <v>218184</v>
      </c>
      <c r="AB3324" s="1210"/>
      <c r="AC3324" s="1199"/>
      <c r="AD3324" s="1211"/>
      <c r="AE3324" s="1211"/>
      <c r="AF3324" s="1211"/>
    </row>
    <row r="3325" spans="1:32" x14ac:dyDescent="0.2">
      <c r="A3325" s="1422"/>
      <c r="B3325" s="2522"/>
      <c r="C3325" s="2456"/>
      <c r="D3325" s="2420"/>
      <c r="E3325" s="2420"/>
      <c r="F3325" s="2420"/>
      <c r="G3325" s="2420"/>
      <c r="H3325" s="2420"/>
      <c r="I3325" s="2420"/>
      <c r="J3325" s="2955"/>
      <c r="K3325" s="41">
        <v>24000</v>
      </c>
      <c r="L3325" s="3407"/>
      <c r="M3325" s="3287" t="s">
        <v>604</v>
      </c>
      <c r="N3325" s="3288"/>
      <c r="O3325" s="1220">
        <f t="shared" si="525"/>
        <v>2000</v>
      </c>
      <c r="P3325" s="1220">
        <f t="shared" si="525"/>
        <v>2000</v>
      </c>
      <c r="Q3325" s="1220">
        <f t="shared" si="525"/>
        <v>2000</v>
      </c>
      <c r="R3325" s="1220">
        <f t="shared" si="525"/>
        <v>2000</v>
      </c>
      <c r="S3325" s="1220">
        <f t="shared" si="525"/>
        <v>2000</v>
      </c>
      <c r="T3325" s="1220">
        <f t="shared" si="525"/>
        <v>2000</v>
      </c>
      <c r="U3325" s="1220">
        <f t="shared" si="525"/>
        <v>2000</v>
      </c>
      <c r="V3325" s="1220">
        <f t="shared" si="525"/>
        <v>2000</v>
      </c>
      <c r="W3325" s="1220">
        <f t="shared" si="525"/>
        <v>2000</v>
      </c>
      <c r="X3325" s="1220">
        <f t="shared" si="525"/>
        <v>2000</v>
      </c>
      <c r="Y3325" s="1220">
        <f t="shared" si="525"/>
        <v>2000</v>
      </c>
      <c r="Z3325" s="1220">
        <f t="shared" si="525"/>
        <v>2000</v>
      </c>
      <c r="AA3325" s="1220">
        <f t="shared" si="523"/>
        <v>24000</v>
      </c>
      <c r="AB3325" s="1210"/>
      <c r="AC3325" s="1199"/>
      <c r="AD3325" s="1211"/>
      <c r="AE3325" s="1211"/>
      <c r="AF3325" s="1211"/>
    </row>
    <row r="3326" spans="1:32" x14ac:dyDescent="0.2">
      <c r="A3326" s="1422"/>
      <c r="B3326" s="2522"/>
      <c r="C3326" s="2456"/>
      <c r="D3326" s="2420"/>
      <c r="E3326" s="2420"/>
      <c r="F3326" s="2420"/>
      <c r="G3326" s="2420"/>
      <c r="H3326" s="2420"/>
      <c r="I3326" s="2420"/>
      <c r="J3326" s="2955"/>
      <c r="K3326" s="41">
        <v>487956</v>
      </c>
      <c r="L3326" s="3407"/>
      <c r="M3326" s="3287" t="s">
        <v>295</v>
      </c>
      <c r="N3326" s="3288"/>
      <c r="O3326" s="1220">
        <f t="shared" si="525"/>
        <v>40663</v>
      </c>
      <c r="P3326" s="1220">
        <f t="shared" si="525"/>
        <v>40663</v>
      </c>
      <c r="Q3326" s="1220">
        <f t="shared" si="525"/>
        <v>40663</v>
      </c>
      <c r="R3326" s="1220">
        <f t="shared" si="525"/>
        <v>40663</v>
      </c>
      <c r="S3326" s="1220">
        <f t="shared" si="525"/>
        <v>40663</v>
      </c>
      <c r="T3326" s="1220">
        <f t="shared" si="525"/>
        <v>40663</v>
      </c>
      <c r="U3326" s="1220">
        <f t="shared" si="525"/>
        <v>40663</v>
      </c>
      <c r="V3326" s="1220">
        <f t="shared" si="525"/>
        <v>40663</v>
      </c>
      <c r="W3326" s="1220">
        <f t="shared" si="525"/>
        <v>40663</v>
      </c>
      <c r="X3326" s="1220">
        <f t="shared" si="525"/>
        <v>40663</v>
      </c>
      <c r="Y3326" s="1220">
        <f t="shared" si="525"/>
        <v>40663</v>
      </c>
      <c r="Z3326" s="1220">
        <f t="shared" si="525"/>
        <v>40663</v>
      </c>
      <c r="AA3326" s="1220">
        <f t="shared" si="523"/>
        <v>487956</v>
      </c>
      <c r="AB3326" s="1210"/>
      <c r="AC3326" s="1199"/>
      <c r="AD3326" s="1211"/>
      <c r="AE3326" s="1211"/>
      <c r="AF3326" s="1211"/>
    </row>
    <row r="3327" spans="1:32" x14ac:dyDescent="0.2">
      <c r="A3327" s="1422"/>
      <c r="B3327" s="2522"/>
      <c r="C3327" s="2456"/>
      <c r="D3327" s="2420"/>
      <c r="E3327" s="2420"/>
      <c r="F3327" s="2420"/>
      <c r="G3327" s="2420"/>
      <c r="H3327" s="2420"/>
      <c r="I3327" s="2420"/>
      <c r="J3327" s="2955"/>
      <c r="K3327" s="41">
        <v>20688</v>
      </c>
      <c r="L3327" s="3407"/>
      <c r="M3327" s="3287" t="s">
        <v>332</v>
      </c>
      <c r="N3327" s="3288"/>
      <c r="O3327" s="1220">
        <f t="shared" si="525"/>
        <v>1724</v>
      </c>
      <c r="P3327" s="1220">
        <f t="shared" si="525"/>
        <v>1724</v>
      </c>
      <c r="Q3327" s="1220">
        <f t="shared" si="525"/>
        <v>1724</v>
      </c>
      <c r="R3327" s="1220">
        <f t="shared" si="525"/>
        <v>1724</v>
      </c>
      <c r="S3327" s="1220">
        <f t="shared" si="525"/>
        <v>1724</v>
      </c>
      <c r="T3327" s="1220">
        <f t="shared" si="525"/>
        <v>1724</v>
      </c>
      <c r="U3327" s="1220">
        <f t="shared" si="525"/>
        <v>1724</v>
      </c>
      <c r="V3327" s="1220">
        <f t="shared" si="525"/>
        <v>1724</v>
      </c>
      <c r="W3327" s="1220">
        <f t="shared" si="525"/>
        <v>1724</v>
      </c>
      <c r="X3327" s="1220">
        <f t="shared" si="525"/>
        <v>1724</v>
      </c>
      <c r="Y3327" s="1220">
        <f t="shared" si="525"/>
        <v>1724</v>
      </c>
      <c r="Z3327" s="1220">
        <f t="shared" si="525"/>
        <v>1724</v>
      </c>
      <c r="AA3327" s="1220">
        <f t="shared" si="523"/>
        <v>20688</v>
      </c>
      <c r="AB3327" s="1210"/>
      <c r="AC3327" s="1199"/>
      <c r="AD3327" s="1211"/>
      <c r="AE3327" s="1211"/>
      <c r="AF3327" s="1211"/>
    </row>
    <row r="3328" spans="1:32" x14ac:dyDescent="0.2">
      <c r="A3328" s="1422"/>
      <c r="B3328" s="2522"/>
      <c r="C3328" s="2456"/>
      <c r="D3328" s="2420"/>
      <c r="E3328" s="2420"/>
      <c r="F3328" s="2420"/>
      <c r="G3328" s="2420"/>
      <c r="H3328" s="2420"/>
      <c r="I3328" s="2420"/>
      <c r="J3328" s="2955"/>
      <c r="K3328" s="41">
        <v>600940</v>
      </c>
      <c r="L3328" s="3407"/>
      <c r="M3328" s="3287" t="s">
        <v>296</v>
      </c>
      <c r="N3328" s="3288"/>
      <c r="O3328" s="1220">
        <f t="shared" si="525"/>
        <v>50078.333333333336</v>
      </c>
      <c r="P3328" s="1220">
        <f t="shared" si="525"/>
        <v>50078.333333333336</v>
      </c>
      <c r="Q3328" s="1220">
        <f t="shared" si="525"/>
        <v>50078.333333333336</v>
      </c>
      <c r="R3328" s="1220">
        <f t="shared" si="525"/>
        <v>50078.333333333336</v>
      </c>
      <c r="S3328" s="1220">
        <f t="shared" si="525"/>
        <v>50078.333333333336</v>
      </c>
      <c r="T3328" s="1220">
        <f t="shared" si="525"/>
        <v>50078.333333333336</v>
      </c>
      <c r="U3328" s="1220">
        <f t="shared" si="525"/>
        <v>50078.333333333336</v>
      </c>
      <c r="V3328" s="1220">
        <f t="shared" si="525"/>
        <v>50078.333333333336</v>
      </c>
      <c r="W3328" s="1220">
        <f t="shared" si="525"/>
        <v>50078.333333333336</v>
      </c>
      <c r="X3328" s="1220">
        <f t="shared" si="525"/>
        <v>50078.333333333336</v>
      </c>
      <c r="Y3328" s="1220">
        <f t="shared" si="525"/>
        <v>50078.333333333336</v>
      </c>
      <c r="Z3328" s="1220">
        <f t="shared" si="525"/>
        <v>50078.333333333336</v>
      </c>
      <c r="AA3328" s="1220">
        <f t="shared" si="523"/>
        <v>600940</v>
      </c>
      <c r="AB3328" s="1210"/>
      <c r="AC3328" s="1199"/>
      <c r="AD3328" s="1211"/>
      <c r="AE3328" s="1211"/>
    </row>
    <row r="3329" spans="1:31" x14ac:dyDescent="0.2">
      <c r="A3329" s="1422"/>
      <c r="B3329" s="2522"/>
      <c r="C3329" s="2456"/>
      <c r="D3329" s="2420"/>
      <c r="E3329" s="2420"/>
      <c r="F3329" s="2420"/>
      <c r="G3329" s="2420"/>
      <c r="H3329" s="2420"/>
      <c r="I3329" s="2420"/>
      <c r="J3329" s="2955"/>
      <c r="K3329" s="41">
        <v>161748</v>
      </c>
      <c r="L3329" s="3407"/>
      <c r="M3329" s="3287" t="s">
        <v>297</v>
      </c>
      <c r="N3329" s="3288"/>
      <c r="O3329" s="1220">
        <f t="shared" si="525"/>
        <v>13479</v>
      </c>
      <c r="P3329" s="1220">
        <f t="shared" si="525"/>
        <v>13479</v>
      </c>
      <c r="Q3329" s="1220">
        <f t="shared" si="525"/>
        <v>13479</v>
      </c>
      <c r="R3329" s="1220">
        <f t="shared" si="525"/>
        <v>13479</v>
      </c>
      <c r="S3329" s="1220">
        <f t="shared" si="525"/>
        <v>13479</v>
      </c>
      <c r="T3329" s="1220">
        <f t="shared" si="525"/>
        <v>13479</v>
      </c>
      <c r="U3329" s="1220">
        <f t="shared" si="525"/>
        <v>13479</v>
      </c>
      <c r="V3329" s="1220">
        <f t="shared" si="525"/>
        <v>13479</v>
      </c>
      <c r="W3329" s="1220">
        <f t="shared" si="525"/>
        <v>13479</v>
      </c>
      <c r="X3329" s="1220">
        <f t="shared" si="525"/>
        <v>13479</v>
      </c>
      <c r="Y3329" s="1220">
        <f t="shared" si="525"/>
        <v>13479</v>
      </c>
      <c r="Z3329" s="1220">
        <f t="shared" si="525"/>
        <v>13479</v>
      </c>
      <c r="AA3329" s="1220">
        <f t="shared" si="523"/>
        <v>161748</v>
      </c>
      <c r="AB3329" s="1210"/>
      <c r="AC3329" s="1199"/>
      <c r="AD3329" s="1211"/>
      <c r="AE3329" s="1211"/>
    </row>
    <row r="3330" spans="1:31" x14ac:dyDescent="0.2">
      <c r="A3330" s="1422"/>
      <c r="B3330" s="2522"/>
      <c r="C3330" s="2456"/>
      <c r="D3330" s="2420"/>
      <c r="E3330" s="2420"/>
      <c r="F3330" s="2420"/>
      <c r="G3330" s="2420"/>
      <c r="H3330" s="2420"/>
      <c r="I3330" s="2420"/>
      <c r="J3330" s="2955"/>
      <c r="K3330" s="41">
        <v>33328</v>
      </c>
      <c r="L3330" s="3407"/>
      <c r="M3330" s="3287" t="s">
        <v>298</v>
      </c>
      <c r="N3330" s="3288"/>
      <c r="O3330" s="1220"/>
      <c r="P3330" s="1220"/>
      <c r="Q3330" s="1220"/>
      <c r="R3330" s="1220"/>
      <c r="S3330" s="1220"/>
      <c r="T3330" s="1220"/>
      <c r="U3330" s="1220">
        <f>K3330/2</f>
        <v>16664</v>
      </c>
      <c r="V3330" s="1220"/>
      <c r="W3330" s="1220"/>
      <c r="X3330" s="1220"/>
      <c r="Y3330" s="1220"/>
      <c r="Z3330" s="1220">
        <f>K3330/2</f>
        <v>16664</v>
      </c>
      <c r="AA3330" s="1220">
        <f t="shared" si="523"/>
        <v>33328</v>
      </c>
      <c r="AB3330" s="1210"/>
      <c r="AC3330" s="1199"/>
      <c r="AD3330" s="1211"/>
      <c r="AE3330" s="1211"/>
    </row>
    <row r="3331" spans="1:31" x14ac:dyDescent="0.2">
      <c r="A3331" s="1422"/>
      <c r="B3331" s="2522"/>
      <c r="C3331" s="2456"/>
      <c r="D3331" s="2420"/>
      <c r="E3331" s="2420"/>
      <c r="F3331" s="2420"/>
      <c r="G3331" s="2420"/>
      <c r="H3331" s="2420"/>
      <c r="I3331" s="2420"/>
      <c r="J3331" s="2955"/>
      <c r="K3331" s="41">
        <v>38400</v>
      </c>
      <c r="L3331" s="3407"/>
      <c r="M3331" s="3287" t="s">
        <v>299</v>
      </c>
      <c r="N3331" s="3288"/>
      <c r="O3331" s="1220">
        <f>K3331</f>
        <v>38400</v>
      </c>
      <c r="P3331" s="1220"/>
      <c r="Q3331" s="1220"/>
      <c r="R3331" s="1220"/>
      <c r="S3331" s="1220"/>
      <c r="T3331" s="1220"/>
      <c r="U3331" s="1220"/>
      <c r="V3331" s="1220"/>
      <c r="W3331" s="1220"/>
      <c r="X3331" s="1220"/>
      <c r="Y3331" s="1220"/>
      <c r="Z3331" s="1220"/>
      <c r="AA3331" s="1220">
        <f t="shared" si="523"/>
        <v>38400</v>
      </c>
      <c r="AB3331" s="1210"/>
      <c r="AC3331" s="1199"/>
      <c r="AD3331" s="1211"/>
      <c r="AE3331" s="1211"/>
    </row>
    <row r="3332" spans="1:31" x14ac:dyDescent="0.2">
      <c r="A3332" s="1422"/>
      <c r="B3332" s="2522"/>
      <c r="C3332" s="2456"/>
      <c r="D3332" s="2420"/>
      <c r="E3332" s="2420"/>
      <c r="F3332" s="2420"/>
      <c r="G3332" s="2420"/>
      <c r="H3332" s="2420"/>
      <c r="I3332" s="2420"/>
      <c r="J3332" s="2955"/>
      <c r="K3332" s="41">
        <v>112723</v>
      </c>
      <c r="L3332" s="3407"/>
      <c r="M3332" s="3287" t="s">
        <v>300</v>
      </c>
      <c r="N3332" s="3288"/>
      <c r="O3332" s="1220">
        <f>$K3332/12</f>
        <v>9393.5833333333339</v>
      </c>
      <c r="P3332" s="1220">
        <f t="shared" ref="P3332:Z3332" si="526">$K3332/12</f>
        <v>9393.5833333333339</v>
      </c>
      <c r="Q3332" s="1220">
        <f t="shared" si="526"/>
        <v>9393.5833333333339</v>
      </c>
      <c r="R3332" s="1220">
        <f t="shared" si="526"/>
        <v>9393.5833333333339</v>
      </c>
      <c r="S3332" s="1220">
        <f t="shared" si="526"/>
        <v>9393.5833333333339</v>
      </c>
      <c r="T3332" s="1220">
        <f t="shared" si="526"/>
        <v>9393.5833333333339</v>
      </c>
      <c r="U3332" s="1220">
        <f t="shared" si="526"/>
        <v>9393.5833333333339</v>
      </c>
      <c r="V3332" s="1220">
        <f t="shared" si="526"/>
        <v>9393.5833333333339</v>
      </c>
      <c r="W3332" s="1220">
        <f t="shared" si="526"/>
        <v>9393.5833333333339</v>
      </c>
      <c r="X3332" s="1220">
        <f t="shared" si="526"/>
        <v>9393.5833333333339</v>
      </c>
      <c r="Y3332" s="1220">
        <f t="shared" si="526"/>
        <v>9393.5833333333339</v>
      </c>
      <c r="Z3332" s="1220">
        <f t="shared" si="526"/>
        <v>9393.5833333333339</v>
      </c>
      <c r="AA3332" s="1220">
        <f t="shared" si="523"/>
        <v>112722.99999999999</v>
      </c>
      <c r="AB3332" s="1210"/>
      <c r="AC3332" s="1199"/>
      <c r="AD3332" s="1211"/>
      <c r="AE3332" s="1211"/>
    </row>
    <row r="3333" spans="1:31" x14ac:dyDescent="0.2">
      <c r="A3333" s="1422"/>
      <c r="B3333" s="2522"/>
      <c r="C3333" s="2456"/>
      <c r="D3333" s="2420"/>
      <c r="E3333" s="2420"/>
      <c r="F3333" s="2420"/>
      <c r="G3333" s="2420"/>
      <c r="H3333" s="2420"/>
      <c r="I3333" s="2420"/>
      <c r="J3333" s="2955"/>
      <c r="K3333" s="41">
        <v>94500</v>
      </c>
      <c r="L3333" s="3407"/>
      <c r="M3333" s="3287" t="s">
        <v>393</v>
      </c>
      <c r="N3333" s="3288"/>
      <c r="O3333" s="1220"/>
      <c r="P3333" s="1220"/>
      <c r="Q3333" s="1220"/>
      <c r="R3333" s="1220">
        <f>$K3333/2</f>
        <v>47250</v>
      </c>
      <c r="S3333" s="1220"/>
      <c r="T3333" s="1220"/>
      <c r="U3333" s="1220"/>
      <c r="V3333" s="1220">
        <f>$K3333/2</f>
        <v>47250</v>
      </c>
      <c r="W3333" s="1220"/>
      <c r="X3333" s="1220"/>
      <c r="Y3333" s="1220"/>
      <c r="Z3333" s="1220"/>
      <c r="AA3333" s="1220">
        <f t="shared" si="523"/>
        <v>94500</v>
      </c>
      <c r="AB3333" s="1210"/>
      <c r="AC3333" s="1199"/>
      <c r="AD3333" s="1211"/>
      <c r="AE3333" s="1211"/>
    </row>
    <row r="3334" spans="1:31" x14ac:dyDescent="0.2">
      <c r="A3334" s="1422"/>
      <c r="B3334" s="2522"/>
      <c r="C3334" s="2450"/>
      <c r="D3334" s="2420"/>
      <c r="E3334" s="2420"/>
      <c r="F3334" s="2420"/>
      <c r="G3334" s="2420"/>
      <c r="H3334" s="2420"/>
      <c r="I3334" s="2420"/>
      <c r="J3334" s="2956"/>
      <c r="K3334" s="41">
        <v>59199</v>
      </c>
      <c r="L3334" s="3408"/>
      <c r="M3334" s="3287" t="s">
        <v>343</v>
      </c>
      <c r="N3334" s="3288"/>
      <c r="O3334" s="1220"/>
      <c r="P3334" s="1220"/>
      <c r="Q3334" s="1220">
        <f>($K3334/2)*(1/8)</f>
        <v>3699.9375</v>
      </c>
      <c r="R3334" s="1220">
        <f>$K3334/4</f>
        <v>14799.75</v>
      </c>
      <c r="S3334" s="1220">
        <f>($K3334/2)*(1/8)</f>
        <v>3699.9375</v>
      </c>
      <c r="T3334" s="1220">
        <f>($K3334/2)*(1/8)</f>
        <v>3699.9375</v>
      </c>
      <c r="U3334" s="1220">
        <f>($K3334/2)*(1/8)</f>
        <v>3699.9375</v>
      </c>
      <c r="V3334" s="1220">
        <f>$K3334/4</f>
        <v>14799.75</v>
      </c>
      <c r="W3334" s="1220">
        <f>($K3334/2)*(1/8)</f>
        <v>3699.9375</v>
      </c>
      <c r="X3334" s="1220">
        <f>($K3334/2)*(1/8)</f>
        <v>3699.9375</v>
      </c>
      <c r="Y3334" s="1220">
        <f>($K3334/2)*(1/8)</f>
        <v>3699.9375</v>
      </c>
      <c r="Z3334" s="1220">
        <f>($K3334/2)*(1/8)</f>
        <v>3699.9375</v>
      </c>
      <c r="AA3334" s="1220">
        <f t="shared" si="523"/>
        <v>59199</v>
      </c>
      <c r="AB3334" s="1210"/>
      <c r="AC3334" s="1199"/>
      <c r="AD3334" s="1211"/>
      <c r="AE3334" s="1211"/>
    </row>
    <row r="3335" spans="1:31" x14ac:dyDescent="0.2">
      <c r="A3335" s="1422"/>
      <c r="B3335" s="1427" t="s">
        <v>312</v>
      </c>
      <c r="C3335" s="1128"/>
      <c r="D3335" s="38"/>
      <c r="E3335" s="38"/>
      <c r="F3335" s="38"/>
      <c r="G3335" s="38"/>
      <c r="H3335" s="38"/>
      <c r="I3335" s="38"/>
      <c r="J3335" s="38"/>
      <c r="K3335" s="41">
        <f>SUM(K3323:K3334)</f>
        <v>3180644</v>
      </c>
      <c r="L3335" s="54"/>
      <c r="M3335" s="54"/>
      <c r="N3335" s="54"/>
      <c r="O3335" s="1227"/>
      <c r="P3335" s="1227"/>
      <c r="Q3335" s="1227"/>
      <c r="R3335" s="1227"/>
      <c r="S3335" s="1227"/>
      <c r="T3335" s="1227"/>
      <c r="U3335" s="1227"/>
      <c r="V3335" s="1227"/>
      <c r="W3335" s="1227"/>
      <c r="X3335" s="1227"/>
      <c r="Y3335" s="1227"/>
      <c r="Z3335" s="1227"/>
      <c r="AA3335" s="1225"/>
      <c r="AB3335" s="1210"/>
      <c r="AC3335" s="1199"/>
      <c r="AD3335" s="1211"/>
      <c r="AE3335" s="1211"/>
    </row>
    <row r="3336" spans="1:31" x14ac:dyDescent="0.2">
      <c r="A3336" s="1422"/>
      <c r="B3336" s="1422"/>
      <c r="C3336" s="1124"/>
      <c r="D3336" s="35"/>
      <c r="E3336" s="35"/>
      <c r="F3336" s="35"/>
      <c r="G3336" s="35"/>
      <c r="H3336" s="35"/>
      <c r="I3336" s="35"/>
      <c r="J3336" s="35"/>
      <c r="K3336" s="35"/>
      <c r="L3336" s="35"/>
      <c r="M3336" s="35"/>
      <c r="N3336" s="35"/>
      <c r="O3336" s="1210"/>
      <c r="P3336" s="1210"/>
      <c r="Q3336" s="1210"/>
      <c r="R3336" s="1210"/>
      <c r="S3336" s="1210"/>
      <c r="T3336" s="1210"/>
      <c r="U3336" s="1210"/>
      <c r="V3336" s="1210"/>
      <c r="W3336" s="1210"/>
      <c r="X3336" s="1210"/>
      <c r="Y3336" s="1210"/>
      <c r="Z3336" s="1210"/>
      <c r="AA3336" s="1199"/>
      <c r="AB3336" s="1210"/>
      <c r="AC3336" s="1199"/>
      <c r="AD3336" s="1211"/>
      <c r="AE3336" s="1211"/>
    </row>
    <row r="3337" spans="1:31" x14ac:dyDescent="0.2">
      <c r="A3337" s="1422"/>
      <c r="B3337" s="3139" t="s">
        <v>269</v>
      </c>
      <c r="C3337" s="159"/>
      <c r="D3337" s="38" t="s">
        <v>270</v>
      </c>
      <c r="E3337" s="38"/>
      <c r="F3337" s="38"/>
      <c r="G3337" s="38"/>
      <c r="H3337" s="38"/>
      <c r="I3337" s="38"/>
      <c r="J3337" s="38"/>
      <c r="K3337" s="40"/>
      <c r="L3337" s="60"/>
      <c r="M3337" s="60"/>
      <c r="N3337" s="60"/>
      <c r="O3337" s="1232"/>
      <c r="P3337" s="1232"/>
      <c r="Q3337" s="1232"/>
      <c r="R3337" s="1232"/>
      <c r="S3337" s="1232"/>
      <c r="T3337" s="1210"/>
      <c r="U3337" s="1210"/>
      <c r="V3337" s="1210"/>
      <c r="W3337" s="1210"/>
      <c r="X3337" s="1210"/>
      <c r="Y3337" s="1210"/>
      <c r="Z3337" s="1210"/>
      <c r="AA3337" s="1233"/>
      <c r="AB3337" s="1210"/>
      <c r="AC3337" s="1199"/>
      <c r="AD3337" s="1211"/>
      <c r="AE3337" s="1211"/>
    </row>
    <row r="3338" spans="1:31" x14ac:dyDescent="0.2">
      <c r="A3338" s="1422"/>
      <c r="B3338" s="3139"/>
      <c r="C3338" s="159"/>
      <c r="D3338" s="38" t="s">
        <v>271</v>
      </c>
      <c r="E3338" s="38"/>
      <c r="F3338" s="38"/>
      <c r="G3338" s="38"/>
      <c r="H3338" s="38"/>
      <c r="I3338" s="38"/>
      <c r="J3338" s="38"/>
      <c r="K3338" s="40"/>
      <c r="L3338" s="60"/>
      <c r="M3338" s="60"/>
      <c r="N3338" s="60"/>
      <c r="O3338" s="1232"/>
      <c r="P3338" s="1232"/>
      <c r="Q3338" s="1232"/>
      <c r="R3338" s="1232"/>
      <c r="S3338" s="1232"/>
      <c r="T3338" s="1210"/>
      <c r="U3338" s="1210"/>
      <c r="V3338" s="1210"/>
      <c r="W3338" s="1210"/>
      <c r="X3338" s="1210"/>
      <c r="Y3338" s="1210"/>
      <c r="Z3338" s="1210"/>
      <c r="AA3338" s="1233"/>
      <c r="AB3338" s="1210"/>
      <c r="AC3338" s="1199"/>
      <c r="AD3338" s="1211"/>
      <c r="AE3338" s="1211"/>
    </row>
    <row r="3339" spans="1:31" ht="22.5" customHeight="1" x14ac:dyDescent="0.2">
      <c r="A3339" s="1422"/>
      <c r="B3339" s="1545" t="s">
        <v>8</v>
      </c>
      <c r="C3339" s="2126"/>
      <c r="D3339" s="2127" t="s">
        <v>639</v>
      </c>
      <c r="E3339" s="2127"/>
      <c r="F3339" s="2127"/>
      <c r="G3339" s="2127"/>
      <c r="H3339" s="2127"/>
      <c r="I3339" s="565"/>
      <c r="J3339" s="565"/>
      <c r="K3339" s="2128"/>
      <c r="L3339" s="2129"/>
      <c r="M3339" s="2129"/>
      <c r="N3339" s="2129"/>
      <c r="O3339" s="2130"/>
      <c r="P3339" s="2130"/>
      <c r="Q3339" s="2130"/>
      <c r="R3339" s="2130"/>
      <c r="S3339" s="2130"/>
      <c r="T3339" s="2131"/>
      <c r="U3339" s="2131"/>
      <c r="V3339" s="2131"/>
      <c r="W3339" s="2131"/>
      <c r="X3339" s="2131"/>
      <c r="Y3339" s="2131"/>
      <c r="Z3339" s="2131"/>
      <c r="AA3339" s="2132"/>
      <c r="AB3339" s="1210"/>
      <c r="AC3339" s="1199"/>
      <c r="AD3339" s="1211"/>
      <c r="AE3339" s="1211"/>
    </row>
    <row r="3340" spans="1:31" x14ac:dyDescent="0.2">
      <c r="A3340" s="1422"/>
      <c r="B3340" s="1424" t="s">
        <v>272</v>
      </c>
      <c r="C3340" s="159"/>
      <c r="D3340" s="38" t="s">
        <v>84</v>
      </c>
      <c r="E3340" s="38"/>
      <c r="F3340" s="38"/>
      <c r="G3340" s="38"/>
      <c r="H3340" s="38"/>
      <c r="I3340" s="38"/>
      <c r="J3340" s="38"/>
      <c r="K3340" s="40"/>
      <c r="L3340" s="60"/>
      <c r="M3340" s="60"/>
      <c r="N3340" s="60"/>
      <c r="O3340" s="1232"/>
      <c r="P3340" s="1232"/>
      <c r="Q3340" s="1232"/>
      <c r="R3340" s="1232"/>
      <c r="S3340" s="1232"/>
      <c r="T3340" s="3417" t="s">
        <v>15</v>
      </c>
      <c r="U3340" s="3417"/>
      <c r="V3340" s="3417"/>
      <c r="W3340" s="3417"/>
      <c r="X3340" s="3417"/>
      <c r="Y3340" s="3417"/>
      <c r="Z3340" s="3417" t="s">
        <v>16</v>
      </c>
      <c r="AA3340" s="3417"/>
      <c r="AB3340" s="1210"/>
      <c r="AC3340" s="1199"/>
      <c r="AD3340" s="1211"/>
      <c r="AE3340" s="1211"/>
    </row>
    <row r="3341" spans="1:31" x14ac:dyDescent="0.2">
      <c r="A3341" s="1422"/>
      <c r="B3341" s="1424" t="s">
        <v>13</v>
      </c>
      <c r="C3341" s="159"/>
      <c r="D3341" s="2125" t="s">
        <v>907</v>
      </c>
      <c r="E3341" s="159" t="s">
        <v>908</v>
      </c>
      <c r="F3341" s="38"/>
      <c r="G3341" s="38"/>
      <c r="H3341" s="38"/>
      <c r="I3341" s="38"/>
      <c r="J3341" s="38"/>
      <c r="K3341" s="40"/>
      <c r="L3341" s="60"/>
      <c r="M3341" s="60"/>
      <c r="N3341" s="60"/>
      <c r="O3341" s="1232"/>
      <c r="P3341" s="1232"/>
      <c r="Q3341" s="1232"/>
      <c r="R3341" s="1232"/>
      <c r="S3341" s="1232"/>
      <c r="T3341" s="3417" t="s">
        <v>909</v>
      </c>
      <c r="U3341" s="3417"/>
      <c r="V3341" s="3417"/>
      <c r="W3341" s="3417"/>
      <c r="X3341" s="3417"/>
      <c r="Y3341" s="3417"/>
      <c r="Z3341" s="3417" t="s">
        <v>642</v>
      </c>
      <c r="AA3341" s="3417"/>
      <c r="AB3341" s="1210"/>
      <c r="AC3341" s="1199"/>
      <c r="AD3341" s="1211"/>
      <c r="AE3341" s="1211"/>
    </row>
    <row r="3342" spans="1:31" ht="12" thickBot="1" x14ac:dyDescent="0.25">
      <c r="A3342" s="1422"/>
      <c r="B3342" s="1424" t="s">
        <v>276</v>
      </c>
      <c r="C3342" s="159"/>
      <c r="D3342" s="159">
        <v>3000001</v>
      </c>
      <c r="E3342" s="159" t="s">
        <v>277</v>
      </c>
      <c r="F3342" s="38"/>
      <c r="G3342" s="38"/>
      <c r="H3342" s="38"/>
      <c r="I3342" s="38"/>
      <c r="J3342" s="38"/>
      <c r="K3342" s="40"/>
      <c r="L3342" s="60"/>
      <c r="M3342" s="60"/>
      <c r="N3342" s="60"/>
      <c r="O3342" s="1232"/>
      <c r="P3342" s="1232"/>
      <c r="Q3342" s="1232"/>
      <c r="R3342" s="1232"/>
      <c r="S3342" s="1232"/>
      <c r="T3342" s="3425" t="s">
        <v>910</v>
      </c>
      <c r="U3342" s="3425"/>
      <c r="V3342" s="3425"/>
      <c r="W3342" s="3425"/>
      <c r="X3342" s="3425"/>
      <c r="Y3342" s="3425"/>
      <c r="Z3342" s="3426" t="s">
        <v>642</v>
      </c>
      <c r="AA3342" s="3426"/>
      <c r="AB3342" s="1210"/>
      <c r="AC3342" s="1199"/>
      <c r="AD3342" s="1211"/>
      <c r="AE3342" s="1211"/>
    </row>
    <row r="3343" spans="1:31" x14ac:dyDescent="0.2">
      <c r="A3343" s="1422"/>
      <c r="B3343" s="3016" t="s">
        <v>278</v>
      </c>
      <c r="C3343" s="3359" t="s">
        <v>21</v>
      </c>
      <c r="D3343" s="2989" t="s">
        <v>22</v>
      </c>
      <c r="E3343" s="2989" t="s">
        <v>23</v>
      </c>
      <c r="F3343" s="2989" t="s">
        <v>24</v>
      </c>
      <c r="G3343" s="2989" t="s">
        <v>25</v>
      </c>
      <c r="H3343" s="2989" t="s">
        <v>26</v>
      </c>
      <c r="I3343" s="2989" t="s">
        <v>27</v>
      </c>
      <c r="J3343" s="2989" t="s">
        <v>28</v>
      </c>
      <c r="K3343" s="2989"/>
      <c r="L3343" s="3409" t="s">
        <v>279</v>
      </c>
      <c r="M3343" s="3411" t="s">
        <v>280</v>
      </c>
      <c r="N3343" s="3412"/>
      <c r="O3343" s="3413" t="s">
        <v>281</v>
      </c>
      <c r="P3343" s="3320"/>
      <c r="Q3343" s="3320"/>
      <c r="R3343" s="3320"/>
      <c r="S3343" s="3320"/>
      <c r="T3343" s="3320"/>
      <c r="U3343" s="3320"/>
      <c r="V3343" s="3320"/>
      <c r="W3343" s="3320"/>
      <c r="X3343" s="3320"/>
      <c r="Y3343" s="3320"/>
      <c r="Z3343" s="3414"/>
      <c r="AA3343" s="3358" t="s">
        <v>32</v>
      </c>
      <c r="AB3343" s="1210"/>
      <c r="AC3343" s="1199"/>
      <c r="AD3343" s="1211"/>
      <c r="AE3343" s="1211"/>
    </row>
    <row r="3344" spans="1:31" x14ac:dyDescent="0.2">
      <c r="A3344" s="1422"/>
      <c r="B3344" s="2999"/>
      <c r="C3344" s="3359"/>
      <c r="D3344" s="2847"/>
      <c r="E3344" s="2847"/>
      <c r="F3344" s="2847"/>
      <c r="G3344" s="2847"/>
      <c r="H3344" s="2847"/>
      <c r="I3344" s="2847"/>
      <c r="J3344" s="2988" t="s">
        <v>33</v>
      </c>
      <c r="K3344" s="2988" t="s">
        <v>282</v>
      </c>
      <c r="L3344" s="3410"/>
      <c r="M3344" s="3275"/>
      <c r="N3344" s="3318"/>
      <c r="O3344" s="1229" t="s">
        <v>283</v>
      </c>
      <c r="P3344" s="1230" t="s">
        <v>284</v>
      </c>
      <c r="Q3344" s="1230" t="s">
        <v>285</v>
      </c>
      <c r="R3344" s="1230" t="s">
        <v>88</v>
      </c>
      <c r="S3344" s="1230" t="s">
        <v>89</v>
      </c>
      <c r="T3344" s="1230" t="s">
        <v>90</v>
      </c>
      <c r="U3344" s="1230" t="s">
        <v>91</v>
      </c>
      <c r="V3344" s="1230" t="s">
        <v>92</v>
      </c>
      <c r="W3344" s="1230" t="s">
        <v>286</v>
      </c>
      <c r="X3344" s="1230" t="s">
        <v>93</v>
      </c>
      <c r="Y3344" s="1230" t="s">
        <v>94</v>
      </c>
      <c r="Z3344" s="1231" t="s">
        <v>95</v>
      </c>
      <c r="AA3344" s="3358"/>
      <c r="AB3344" s="1210"/>
      <c r="AC3344" s="1199"/>
      <c r="AD3344" s="1211"/>
      <c r="AE3344" s="1211"/>
    </row>
    <row r="3345" spans="1:31" ht="12.75" x14ac:dyDescent="0.2">
      <c r="A3345" s="1422"/>
      <c r="B3345" s="2999"/>
      <c r="C3345" s="3359"/>
      <c r="D3345" s="2847"/>
      <c r="E3345" s="2847"/>
      <c r="F3345" s="2847"/>
      <c r="G3345" s="2847"/>
      <c r="H3345" s="2847"/>
      <c r="I3345" s="2847"/>
      <c r="J3345" s="3186"/>
      <c r="K3345" s="3186"/>
      <c r="L3345" s="3410"/>
      <c r="M3345" s="3273" t="s">
        <v>287</v>
      </c>
      <c r="N3345" s="3314"/>
      <c r="O3345" s="1220"/>
      <c r="P3345" s="1220"/>
      <c r="Q3345" s="1220">
        <v>2.4</v>
      </c>
      <c r="R3345" s="1220">
        <v>3</v>
      </c>
      <c r="S3345" s="1220">
        <v>3</v>
      </c>
      <c r="T3345" s="1220">
        <v>3</v>
      </c>
      <c r="U3345" s="1220">
        <v>2</v>
      </c>
      <c r="V3345" s="1220">
        <v>3</v>
      </c>
      <c r="W3345" s="1220">
        <v>2</v>
      </c>
      <c r="X3345" s="1220">
        <v>2</v>
      </c>
      <c r="Y3345" s="1220">
        <v>2</v>
      </c>
      <c r="Z3345" s="1220">
        <v>2</v>
      </c>
      <c r="AA3345" s="1221">
        <f>SUM(O3345:Z3345)</f>
        <v>24.4</v>
      </c>
      <c r="AB3345" s="1210"/>
      <c r="AC3345" s="1199"/>
      <c r="AD3345" s="1211"/>
      <c r="AE3345" s="1211"/>
    </row>
    <row r="3346" spans="1:31" ht="12.75" x14ac:dyDescent="0.2">
      <c r="A3346" s="1422"/>
      <c r="B3346" s="2999"/>
      <c r="C3346" s="3016"/>
      <c r="D3346" s="2847"/>
      <c r="E3346" s="2847"/>
      <c r="F3346" s="2847"/>
      <c r="G3346" s="2847"/>
      <c r="H3346" s="2847"/>
      <c r="I3346" s="2847"/>
      <c r="J3346" s="3186"/>
      <c r="K3346" s="3186"/>
      <c r="L3346" s="3143"/>
      <c r="M3346" s="3273" t="s">
        <v>34</v>
      </c>
      <c r="N3346" s="3314"/>
      <c r="O3346" s="1220">
        <f>SUM(O3347:O3352)</f>
        <v>2726.3333333333335</v>
      </c>
      <c r="P3346" s="1220">
        <f t="shared" ref="P3346:Z3346" si="527">SUM(P3347:P3352)</f>
        <v>2326.3333333333335</v>
      </c>
      <c r="Q3346" s="1220">
        <f t="shared" si="527"/>
        <v>2326.3333333333335</v>
      </c>
      <c r="R3346" s="1220">
        <f t="shared" si="527"/>
        <v>2326.3333333333335</v>
      </c>
      <c r="S3346" s="1220">
        <f t="shared" si="527"/>
        <v>2326.3333333333335</v>
      </c>
      <c r="T3346" s="1220">
        <f t="shared" si="527"/>
        <v>2326.3333333333335</v>
      </c>
      <c r="U3346" s="1220">
        <f t="shared" si="527"/>
        <v>2626.3333333333335</v>
      </c>
      <c r="V3346" s="1220">
        <f t="shared" si="527"/>
        <v>2326.3333333333335</v>
      </c>
      <c r="W3346" s="1220">
        <f t="shared" si="527"/>
        <v>2326.3333333333335</v>
      </c>
      <c r="X3346" s="1220">
        <f t="shared" si="527"/>
        <v>2326.3333333333335</v>
      </c>
      <c r="Y3346" s="1220">
        <f t="shared" si="527"/>
        <v>2326.3333333333335</v>
      </c>
      <c r="Z3346" s="1220">
        <f t="shared" si="527"/>
        <v>2626.3333333333335</v>
      </c>
      <c r="AA3346" s="1221">
        <f t="shared" ref="AA3346:AA3352" si="528">SUM(O3346:Z3346)</f>
        <v>28915.999999999996</v>
      </c>
      <c r="AB3346" s="1210"/>
      <c r="AC3346" s="1199"/>
      <c r="AD3346" s="1211"/>
      <c r="AE3346" s="1211"/>
    </row>
    <row r="3347" spans="1:31" x14ac:dyDescent="0.2">
      <c r="A3347" s="1422"/>
      <c r="B3347" s="2522">
        <v>5005138</v>
      </c>
      <c r="C3347" s="2438" t="s">
        <v>911</v>
      </c>
      <c r="D3347" s="3369"/>
      <c r="E3347" s="3369" t="s">
        <v>860</v>
      </c>
      <c r="F3347" s="2420" t="s">
        <v>289</v>
      </c>
      <c r="G3347" s="2420" t="s">
        <v>290</v>
      </c>
      <c r="H3347" s="3369"/>
      <c r="I3347" s="2420" t="s">
        <v>292</v>
      </c>
      <c r="J3347" s="3187">
        <v>24</v>
      </c>
      <c r="K3347" s="41">
        <v>21120</v>
      </c>
      <c r="L3347" s="3406"/>
      <c r="M3347" s="3287" t="s">
        <v>295</v>
      </c>
      <c r="N3347" s="3288"/>
      <c r="O3347" s="1220">
        <f>$K3347/12</f>
        <v>1760</v>
      </c>
      <c r="P3347" s="1220">
        <f t="shared" ref="P3347:Z3347" si="529">$K3347/12</f>
        <v>1760</v>
      </c>
      <c r="Q3347" s="1220">
        <f t="shared" si="529"/>
        <v>1760</v>
      </c>
      <c r="R3347" s="1220">
        <f t="shared" si="529"/>
        <v>1760</v>
      </c>
      <c r="S3347" s="1220">
        <f t="shared" si="529"/>
        <v>1760</v>
      </c>
      <c r="T3347" s="1220">
        <f t="shared" si="529"/>
        <v>1760</v>
      </c>
      <c r="U3347" s="1220">
        <f t="shared" si="529"/>
        <v>1760</v>
      </c>
      <c r="V3347" s="1220">
        <f t="shared" si="529"/>
        <v>1760</v>
      </c>
      <c r="W3347" s="1220">
        <f t="shared" si="529"/>
        <v>1760</v>
      </c>
      <c r="X3347" s="1220">
        <f t="shared" si="529"/>
        <v>1760</v>
      </c>
      <c r="Y3347" s="1220">
        <f t="shared" si="529"/>
        <v>1760</v>
      </c>
      <c r="Z3347" s="1220">
        <f t="shared" si="529"/>
        <v>1760</v>
      </c>
      <c r="AA3347" s="1220">
        <f t="shared" si="528"/>
        <v>21120</v>
      </c>
      <c r="AB3347" s="1210"/>
      <c r="AC3347" s="1199"/>
      <c r="AD3347" s="1211"/>
      <c r="AE3347" s="1211"/>
    </row>
    <row r="3348" spans="1:31" x14ac:dyDescent="0.2">
      <c r="A3348" s="1422"/>
      <c r="B3348" s="2522"/>
      <c r="C3348" s="2456"/>
      <c r="D3348" s="3369"/>
      <c r="E3348" s="3369"/>
      <c r="F3348" s="2420"/>
      <c r="G3348" s="2420"/>
      <c r="H3348" s="3369"/>
      <c r="I3348" s="2420"/>
      <c r="J3348" s="2955"/>
      <c r="K3348" s="41">
        <v>3610</v>
      </c>
      <c r="L3348" s="3407"/>
      <c r="M3348" s="3287" t="s">
        <v>296</v>
      </c>
      <c r="N3348" s="3288"/>
      <c r="O3348" s="1220">
        <f t="shared" ref="O3348:Z3349" si="530">$K3348/12</f>
        <v>300.83333333333331</v>
      </c>
      <c r="P3348" s="1220">
        <f t="shared" si="530"/>
        <v>300.83333333333331</v>
      </c>
      <c r="Q3348" s="1220">
        <f t="shared" si="530"/>
        <v>300.83333333333331</v>
      </c>
      <c r="R3348" s="1220">
        <f t="shared" si="530"/>
        <v>300.83333333333331</v>
      </c>
      <c r="S3348" s="1220">
        <f t="shared" si="530"/>
        <v>300.83333333333331</v>
      </c>
      <c r="T3348" s="1220">
        <f t="shared" si="530"/>
        <v>300.83333333333331</v>
      </c>
      <c r="U3348" s="1220">
        <f t="shared" si="530"/>
        <v>300.83333333333331</v>
      </c>
      <c r="V3348" s="1220">
        <f t="shared" si="530"/>
        <v>300.83333333333331</v>
      </c>
      <c r="W3348" s="1220">
        <f t="shared" si="530"/>
        <v>300.83333333333331</v>
      </c>
      <c r="X3348" s="1220">
        <f t="shared" si="530"/>
        <v>300.83333333333331</v>
      </c>
      <c r="Y3348" s="1220">
        <f t="shared" si="530"/>
        <v>300.83333333333331</v>
      </c>
      <c r="Z3348" s="1220">
        <f t="shared" si="530"/>
        <v>300.83333333333331</v>
      </c>
      <c r="AA3348" s="1220">
        <f t="shared" si="528"/>
        <v>3610.0000000000005</v>
      </c>
      <c r="AB3348" s="1210"/>
      <c r="AC3348" s="1199"/>
      <c r="AD3348" s="1211"/>
      <c r="AE3348" s="1211"/>
    </row>
    <row r="3349" spans="1:31" x14ac:dyDescent="0.2">
      <c r="A3349" s="1422"/>
      <c r="B3349" s="2522"/>
      <c r="C3349" s="2456"/>
      <c r="D3349" s="3369"/>
      <c r="E3349" s="3369"/>
      <c r="F3349" s="2420"/>
      <c r="G3349" s="2420"/>
      <c r="H3349" s="3369"/>
      <c r="I3349" s="2420"/>
      <c r="J3349" s="2955"/>
      <c r="K3349" s="41">
        <v>1896</v>
      </c>
      <c r="L3349" s="3407"/>
      <c r="M3349" s="3287" t="s">
        <v>297</v>
      </c>
      <c r="N3349" s="3288"/>
      <c r="O3349" s="1220">
        <f t="shared" si="530"/>
        <v>158</v>
      </c>
      <c r="P3349" s="1220">
        <f t="shared" si="530"/>
        <v>158</v>
      </c>
      <c r="Q3349" s="1220">
        <f t="shared" si="530"/>
        <v>158</v>
      </c>
      <c r="R3349" s="1220">
        <f t="shared" si="530"/>
        <v>158</v>
      </c>
      <c r="S3349" s="1220">
        <f t="shared" si="530"/>
        <v>158</v>
      </c>
      <c r="T3349" s="1220">
        <f t="shared" si="530"/>
        <v>158</v>
      </c>
      <c r="U3349" s="1220">
        <f t="shared" si="530"/>
        <v>158</v>
      </c>
      <c r="V3349" s="1220">
        <f t="shared" si="530"/>
        <v>158</v>
      </c>
      <c r="W3349" s="1220">
        <f t="shared" si="530"/>
        <v>158</v>
      </c>
      <c r="X3349" s="1220">
        <f t="shared" si="530"/>
        <v>158</v>
      </c>
      <c r="Y3349" s="1220">
        <f t="shared" si="530"/>
        <v>158</v>
      </c>
      <c r="Z3349" s="1220">
        <f t="shared" si="530"/>
        <v>158</v>
      </c>
      <c r="AA3349" s="1220">
        <f t="shared" si="528"/>
        <v>1896</v>
      </c>
      <c r="AB3349" s="1210"/>
      <c r="AC3349" s="1199"/>
      <c r="AD3349" s="1211"/>
      <c r="AE3349" s="1211"/>
    </row>
    <row r="3350" spans="1:31" x14ac:dyDescent="0.2">
      <c r="A3350" s="1422"/>
      <c r="B3350" s="2522"/>
      <c r="C3350" s="2456"/>
      <c r="D3350" s="3369"/>
      <c r="E3350" s="3369"/>
      <c r="F3350" s="2420"/>
      <c r="G3350" s="2420"/>
      <c r="H3350" s="3369"/>
      <c r="I3350" s="2420"/>
      <c r="J3350" s="2955"/>
      <c r="K3350" s="41">
        <v>600</v>
      </c>
      <c r="L3350" s="3407"/>
      <c r="M3350" s="3287" t="s">
        <v>298</v>
      </c>
      <c r="N3350" s="3288"/>
      <c r="O3350" s="1220"/>
      <c r="P3350" s="1220"/>
      <c r="Q3350" s="1220"/>
      <c r="R3350" s="1220"/>
      <c r="S3350" s="1220"/>
      <c r="T3350" s="1220"/>
      <c r="U3350" s="1220">
        <f>K3350/2</f>
        <v>300</v>
      </c>
      <c r="V3350" s="1220"/>
      <c r="W3350" s="1220"/>
      <c r="X3350" s="1220"/>
      <c r="Y3350" s="1220"/>
      <c r="Z3350" s="1220">
        <f>K3350/2</f>
        <v>300</v>
      </c>
      <c r="AA3350" s="1220">
        <f t="shared" si="528"/>
        <v>600</v>
      </c>
      <c r="AB3350" s="1210"/>
      <c r="AC3350" s="1199"/>
      <c r="AD3350" s="1211"/>
      <c r="AE3350" s="1211"/>
    </row>
    <row r="3351" spans="1:31" x14ac:dyDescent="0.2">
      <c r="A3351" s="1422"/>
      <c r="B3351" s="2522"/>
      <c r="C3351" s="2456"/>
      <c r="D3351" s="3369"/>
      <c r="E3351" s="3369"/>
      <c r="F3351" s="2420"/>
      <c r="G3351" s="2420"/>
      <c r="H3351" s="3369"/>
      <c r="I3351" s="2420"/>
      <c r="J3351" s="2955"/>
      <c r="K3351" s="41">
        <v>400</v>
      </c>
      <c r="L3351" s="3407"/>
      <c r="M3351" s="3287" t="s">
        <v>299</v>
      </c>
      <c r="N3351" s="3288"/>
      <c r="O3351" s="1220">
        <f>K3351</f>
        <v>400</v>
      </c>
      <c r="P3351" s="1220"/>
      <c r="Q3351" s="1220"/>
      <c r="R3351" s="1220"/>
      <c r="S3351" s="1220"/>
      <c r="T3351" s="1220"/>
      <c r="U3351" s="1220"/>
      <c r="V3351" s="1220"/>
      <c r="W3351" s="1220"/>
      <c r="X3351" s="1220"/>
      <c r="Y3351" s="1220"/>
      <c r="Z3351" s="1220"/>
      <c r="AA3351" s="1220">
        <f t="shared" si="528"/>
        <v>400</v>
      </c>
      <c r="AB3351" s="1210"/>
      <c r="AC3351" s="1199"/>
      <c r="AD3351" s="1211"/>
      <c r="AE3351" s="1211"/>
    </row>
    <row r="3352" spans="1:31" x14ac:dyDescent="0.2">
      <c r="A3352" s="1422"/>
      <c r="B3352" s="2522"/>
      <c r="C3352" s="2450"/>
      <c r="D3352" s="3369"/>
      <c r="E3352" s="3369"/>
      <c r="F3352" s="2420"/>
      <c r="G3352" s="2420"/>
      <c r="H3352" s="3369"/>
      <c r="I3352" s="2420"/>
      <c r="J3352" s="2956"/>
      <c r="K3352" s="41">
        <v>1290</v>
      </c>
      <c r="L3352" s="3408"/>
      <c r="M3352" s="3287" t="s">
        <v>300</v>
      </c>
      <c r="N3352" s="3288"/>
      <c r="O3352" s="1220">
        <f>$K3352/12</f>
        <v>107.5</v>
      </c>
      <c r="P3352" s="1220">
        <f t="shared" ref="P3352:Z3352" si="531">$K3352/12</f>
        <v>107.5</v>
      </c>
      <c r="Q3352" s="1220">
        <f t="shared" si="531"/>
        <v>107.5</v>
      </c>
      <c r="R3352" s="1220">
        <f t="shared" si="531"/>
        <v>107.5</v>
      </c>
      <c r="S3352" s="1220">
        <f t="shared" si="531"/>
        <v>107.5</v>
      </c>
      <c r="T3352" s="1220">
        <f t="shared" si="531"/>
        <v>107.5</v>
      </c>
      <c r="U3352" s="1220">
        <f t="shared" si="531"/>
        <v>107.5</v>
      </c>
      <c r="V3352" s="1220">
        <f t="shared" si="531"/>
        <v>107.5</v>
      </c>
      <c r="W3352" s="1220">
        <f t="shared" si="531"/>
        <v>107.5</v>
      </c>
      <c r="X3352" s="1220">
        <f t="shared" si="531"/>
        <v>107.5</v>
      </c>
      <c r="Y3352" s="1220">
        <f t="shared" si="531"/>
        <v>107.5</v>
      </c>
      <c r="Z3352" s="1220">
        <f t="shared" si="531"/>
        <v>107.5</v>
      </c>
      <c r="AA3352" s="1220">
        <f t="shared" si="528"/>
        <v>1290</v>
      </c>
      <c r="AB3352" s="1210"/>
      <c r="AC3352" s="1199"/>
      <c r="AD3352" s="1211"/>
      <c r="AE3352" s="1211"/>
    </row>
    <row r="3353" spans="1:31" x14ac:dyDescent="0.2">
      <c r="A3353" s="1422"/>
      <c r="B3353" s="1427" t="s">
        <v>312</v>
      </c>
      <c r="C3353" s="1128"/>
      <c r="D3353" s="38"/>
      <c r="E3353" s="38"/>
      <c r="F3353" s="38"/>
      <c r="G3353" s="38"/>
      <c r="H3353" s="38"/>
      <c r="I3353" s="38"/>
      <c r="J3353" s="38"/>
      <c r="K3353" s="41">
        <f>SUM(K3347:K3352)</f>
        <v>28916</v>
      </c>
      <c r="L3353" s="54"/>
      <c r="M3353" s="54"/>
      <c r="N3353" s="54"/>
      <c r="O3353" s="1234"/>
      <c r="P3353" s="1234"/>
      <c r="Q3353" s="1234"/>
      <c r="R3353" s="1234"/>
      <c r="S3353" s="1234"/>
      <c r="T3353" s="1234"/>
      <c r="U3353" s="1234"/>
      <c r="V3353" s="1234"/>
      <c r="W3353" s="1234"/>
      <c r="X3353" s="1234"/>
      <c r="Y3353" s="1234"/>
      <c r="Z3353" s="1234"/>
      <c r="AA3353" s="1225"/>
      <c r="AB3353" s="1210"/>
      <c r="AC3353" s="1199"/>
      <c r="AD3353" s="1211"/>
      <c r="AE3353" s="1211"/>
    </row>
    <row r="3354" spans="1:31" x14ac:dyDescent="0.2">
      <c r="A3354" s="1422"/>
      <c r="B3354" s="1433" t="s">
        <v>276</v>
      </c>
      <c r="C3354" s="1119"/>
      <c r="D3354" s="133">
        <v>3000283</v>
      </c>
      <c r="E3354" s="192" t="s">
        <v>912</v>
      </c>
      <c r="F3354" s="134"/>
      <c r="G3354" s="134"/>
      <c r="H3354" s="134"/>
      <c r="I3354" s="134"/>
      <c r="J3354" s="134"/>
      <c r="K3354" s="134"/>
      <c r="L3354" s="134"/>
      <c r="M3354" s="134"/>
      <c r="N3354" s="35"/>
      <c r="O3354" s="1210"/>
      <c r="P3354" s="1210"/>
      <c r="Q3354" s="1210"/>
      <c r="R3354" s="1210"/>
      <c r="S3354" s="1210"/>
      <c r="T3354" s="3377" t="s">
        <v>15</v>
      </c>
      <c r="U3354" s="3378"/>
      <c r="V3354" s="3378"/>
      <c r="W3354" s="3378"/>
      <c r="X3354" s="3378"/>
      <c r="Y3354" s="3379"/>
      <c r="Z3354" s="3417" t="s">
        <v>16</v>
      </c>
      <c r="AA3354" s="3417"/>
      <c r="AB3354" s="1210"/>
      <c r="AC3354" s="1199"/>
      <c r="AD3354" s="1211"/>
      <c r="AE3354" s="1211"/>
    </row>
    <row r="3355" spans="1:31" x14ac:dyDescent="0.2">
      <c r="A3355" s="1422"/>
      <c r="B3355" s="1436"/>
      <c r="C3355" s="1270"/>
      <c r="D3355" s="99"/>
      <c r="E3355" s="135"/>
      <c r="F3355" s="99"/>
      <c r="G3355" s="99"/>
      <c r="H3355" s="99"/>
      <c r="I3355" s="99"/>
      <c r="J3355" s="99"/>
      <c r="K3355" s="99"/>
      <c r="L3355" s="99"/>
      <c r="M3355" s="99"/>
      <c r="N3355" s="99"/>
      <c r="O3355" s="1235"/>
      <c r="P3355" s="1235"/>
      <c r="Q3355" s="1235"/>
      <c r="R3355" s="1235"/>
      <c r="S3355" s="1235"/>
      <c r="T3355" s="3377" t="s">
        <v>913</v>
      </c>
      <c r="U3355" s="3378"/>
      <c r="V3355" s="3378"/>
      <c r="W3355" s="3378"/>
      <c r="X3355" s="3378"/>
      <c r="Y3355" s="3379"/>
      <c r="Z3355" s="3333" t="s">
        <v>642</v>
      </c>
      <c r="AA3355" s="3333"/>
      <c r="AB3355" s="1210"/>
      <c r="AC3355" s="1199"/>
      <c r="AD3355" s="1211"/>
      <c r="AE3355" s="1211"/>
    </row>
    <row r="3356" spans="1:31" ht="12" thickBot="1" x14ac:dyDescent="0.25">
      <c r="A3356" s="1422"/>
      <c r="B3356" s="1436"/>
      <c r="C3356" s="1270"/>
      <c r="D3356" s="99"/>
      <c r="E3356" s="135"/>
      <c r="F3356" s="99"/>
      <c r="G3356" s="99"/>
      <c r="H3356" s="99"/>
      <c r="I3356" s="99"/>
      <c r="J3356" s="99"/>
      <c r="K3356" s="99"/>
      <c r="L3356" s="99"/>
      <c r="M3356" s="99"/>
      <c r="N3356" s="99"/>
      <c r="O3356" s="1235"/>
      <c r="P3356" s="1235"/>
      <c r="Q3356" s="1235"/>
      <c r="R3356" s="1235"/>
      <c r="S3356" s="1235"/>
      <c r="T3356" s="3427" t="s">
        <v>914</v>
      </c>
      <c r="U3356" s="3428"/>
      <c r="V3356" s="3428"/>
      <c r="W3356" s="3428"/>
      <c r="X3356" s="3428"/>
      <c r="Y3356" s="3429"/>
      <c r="Z3356" s="3333" t="s">
        <v>915</v>
      </c>
      <c r="AA3356" s="3333"/>
      <c r="AB3356" s="1210"/>
      <c r="AC3356" s="1199"/>
      <c r="AD3356" s="1211"/>
      <c r="AE3356" s="1211"/>
    </row>
    <row r="3357" spans="1:31" x14ac:dyDescent="0.2">
      <c r="A3357" s="1422"/>
      <c r="B3357" s="2999" t="s">
        <v>278</v>
      </c>
      <c r="C3357" s="3015" t="s">
        <v>21</v>
      </c>
      <c r="D3357" s="2847" t="s">
        <v>22</v>
      </c>
      <c r="E3357" s="2847" t="s">
        <v>23</v>
      </c>
      <c r="F3357" s="2847" t="s">
        <v>24</v>
      </c>
      <c r="G3357" s="2847" t="s">
        <v>25</v>
      </c>
      <c r="H3357" s="2847" t="s">
        <v>26</v>
      </c>
      <c r="I3357" s="2847" t="s">
        <v>27</v>
      </c>
      <c r="J3357" s="3416" t="s">
        <v>28</v>
      </c>
      <c r="K3357" s="3416"/>
      <c r="L3357" s="3409" t="s">
        <v>279</v>
      </c>
      <c r="M3357" s="3411" t="s">
        <v>280</v>
      </c>
      <c r="N3357" s="3412"/>
      <c r="O3357" s="3422" t="s">
        <v>281</v>
      </c>
      <c r="P3357" s="3423"/>
      <c r="Q3357" s="3423"/>
      <c r="R3357" s="3423"/>
      <c r="S3357" s="3423"/>
      <c r="T3357" s="3423"/>
      <c r="U3357" s="3423"/>
      <c r="V3357" s="3423"/>
      <c r="W3357" s="3423"/>
      <c r="X3357" s="3423"/>
      <c r="Y3357" s="3423"/>
      <c r="Z3357" s="3424"/>
      <c r="AA3357" s="3358" t="s">
        <v>32</v>
      </c>
      <c r="AB3357" s="1210"/>
      <c r="AC3357" s="1199"/>
      <c r="AD3357" s="1211"/>
      <c r="AE3357" s="1211"/>
    </row>
    <row r="3358" spans="1:31" x14ac:dyDescent="0.2">
      <c r="A3358" s="1422"/>
      <c r="B3358" s="2999"/>
      <c r="C3358" s="3359"/>
      <c r="D3358" s="2847"/>
      <c r="E3358" s="2847"/>
      <c r="F3358" s="2847"/>
      <c r="G3358" s="2847"/>
      <c r="H3358" s="2847"/>
      <c r="I3358" s="2847"/>
      <c r="J3358" s="2988" t="s">
        <v>33</v>
      </c>
      <c r="K3358" s="2988" t="s">
        <v>282</v>
      </c>
      <c r="L3358" s="3410"/>
      <c r="M3358" s="3275"/>
      <c r="N3358" s="3318"/>
      <c r="O3358" s="1229" t="s">
        <v>283</v>
      </c>
      <c r="P3358" s="1230" t="s">
        <v>284</v>
      </c>
      <c r="Q3358" s="1230" t="s">
        <v>285</v>
      </c>
      <c r="R3358" s="1230" t="s">
        <v>88</v>
      </c>
      <c r="S3358" s="1230" t="s">
        <v>89</v>
      </c>
      <c r="T3358" s="1230" t="s">
        <v>90</v>
      </c>
      <c r="U3358" s="1230" t="s">
        <v>91</v>
      </c>
      <c r="V3358" s="1230" t="s">
        <v>92</v>
      </c>
      <c r="W3358" s="1230" t="s">
        <v>286</v>
      </c>
      <c r="X3358" s="1230" t="s">
        <v>93</v>
      </c>
      <c r="Y3358" s="1230" t="s">
        <v>94</v>
      </c>
      <c r="Z3358" s="1231" t="s">
        <v>95</v>
      </c>
      <c r="AA3358" s="3358"/>
      <c r="AB3358" s="1210"/>
      <c r="AC3358" s="1199"/>
      <c r="AD3358" s="1211"/>
      <c r="AE3358" s="1211"/>
    </row>
    <row r="3359" spans="1:31" ht="12.75" x14ac:dyDescent="0.2">
      <c r="A3359" s="1422"/>
      <c r="B3359" s="2999"/>
      <c r="C3359" s="3359"/>
      <c r="D3359" s="2847"/>
      <c r="E3359" s="2847"/>
      <c r="F3359" s="2847"/>
      <c r="G3359" s="2847"/>
      <c r="H3359" s="2847"/>
      <c r="I3359" s="2847"/>
      <c r="J3359" s="3186"/>
      <c r="K3359" s="3186"/>
      <c r="L3359" s="3410"/>
      <c r="M3359" s="3273" t="s">
        <v>287</v>
      </c>
      <c r="N3359" s="3314"/>
      <c r="O3359" s="1220">
        <v>100.41666666666667</v>
      </c>
      <c r="P3359" s="1220">
        <v>100</v>
      </c>
      <c r="Q3359" s="1220">
        <v>102</v>
      </c>
      <c r="R3359" s="1220">
        <v>102</v>
      </c>
      <c r="S3359" s="1220">
        <v>101</v>
      </c>
      <c r="T3359" s="1220">
        <v>100</v>
      </c>
      <c r="U3359" s="1220">
        <v>100</v>
      </c>
      <c r="V3359" s="1220">
        <v>100</v>
      </c>
      <c r="W3359" s="1220">
        <v>100</v>
      </c>
      <c r="X3359" s="1220">
        <v>100</v>
      </c>
      <c r="Y3359" s="1220">
        <v>100</v>
      </c>
      <c r="Z3359" s="1220">
        <v>100</v>
      </c>
      <c r="AA3359" s="1221">
        <f>SUM(O3359:Z3359)</f>
        <v>1205.4166666666667</v>
      </c>
      <c r="AB3359" s="1210"/>
      <c r="AC3359" s="1199"/>
      <c r="AD3359" s="1211"/>
      <c r="AE3359" s="1211"/>
    </row>
    <row r="3360" spans="1:31" ht="12.75" x14ac:dyDescent="0.2">
      <c r="A3360" s="1422"/>
      <c r="B3360" s="2999"/>
      <c r="C3360" s="3016"/>
      <c r="D3360" s="2847"/>
      <c r="E3360" s="2847"/>
      <c r="F3360" s="2847"/>
      <c r="G3360" s="2847"/>
      <c r="H3360" s="2847"/>
      <c r="I3360" s="2847"/>
      <c r="J3360" s="3186"/>
      <c r="K3360" s="3186"/>
      <c r="L3360" s="3143"/>
      <c r="M3360" s="3273" t="s">
        <v>34</v>
      </c>
      <c r="N3360" s="3314"/>
      <c r="O3360" s="1220">
        <f>SUM(O3361:O3364)</f>
        <v>21228.416666666664</v>
      </c>
      <c r="P3360" s="1220">
        <f t="shared" ref="P3360:Z3360" si="532">SUM(P3361:P3364)</f>
        <v>21228.416666666664</v>
      </c>
      <c r="Q3360" s="1220">
        <f t="shared" si="532"/>
        <v>21228.416666666664</v>
      </c>
      <c r="R3360" s="1220">
        <f t="shared" si="532"/>
        <v>21228.416666666664</v>
      </c>
      <c r="S3360" s="1220">
        <f t="shared" si="532"/>
        <v>31228.416666666664</v>
      </c>
      <c r="T3360" s="1220">
        <f t="shared" si="532"/>
        <v>21228.416666666664</v>
      </c>
      <c r="U3360" s="1220">
        <f t="shared" si="532"/>
        <v>30228.416666666664</v>
      </c>
      <c r="V3360" s="1220">
        <f t="shared" si="532"/>
        <v>21228.416666666664</v>
      </c>
      <c r="W3360" s="1220">
        <f t="shared" si="532"/>
        <v>21228.416666666664</v>
      </c>
      <c r="X3360" s="1220">
        <f t="shared" si="532"/>
        <v>21228.416666666664</v>
      </c>
      <c r="Y3360" s="1220">
        <f t="shared" si="532"/>
        <v>21228.416666666664</v>
      </c>
      <c r="Z3360" s="1220">
        <f t="shared" si="532"/>
        <v>30228.416666666664</v>
      </c>
      <c r="AA3360" s="1221">
        <f t="shared" ref="AA3360:AA3364" si="533">SUM(O3360:Z3360)</f>
        <v>282740.99999999994</v>
      </c>
      <c r="AB3360" s="1210"/>
      <c r="AC3360" s="1199"/>
      <c r="AD3360" s="1211"/>
      <c r="AE3360" s="1211"/>
    </row>
    <row r="3361" spans="1:31" x14ac:dyDescent="0.2">
      <c r="A3361" s="1422"/>
      <c r="B3361" s="2522">
        <v>5002796</v>
      </c>
      <c r="C3361" s="2438" t="s">
        <v>916</v>
      </c>
      <c r="D3361" s="3369"/>
      <c r="E3361" s="3369" t="s">
        <v>860</v>
      </c>
      <c r="F3361" s="2420" t="s">
        <v>386</v>
      </c>
      <c r="G3361" s="2420" t="s">
        <v>387</v>
      </c>
      <c r="H3361" s="3369"/>
      <c r="I3361" s="2420" t="s">
        <v>917</v>
      </c>
      <c r="J3361" s="3187">
        <v>1205</v>
      </c>
      <c r="K3361" s="41">
        <v>135000</v>
      </c>
      <c r="L3361" s="3406"/>
      <c r="M3361" s="3287" t="s">
        <v>293</v>
      </c>
      <c r="N3361" s="3288"/>
      <c r="O3361" s="1220">
        <f>$K3361/12</f>
        <v>11250</v>
      </c>
      <c r="P3361" s="1220">
        <f t="shared" ref="P3361:Z3362" si="534">$K3361/12</f>
        <v>11250</v>
      </c>
      <c r="Q3361" s="1220">
        <f t="shared" si="534"/>
        <v>11250</v>
      </c>
      <c r="R3361" s="1220">
        <f t="shared" si="534"/>
        <v>11250</v>
      </c>
      <c r="S3361" s="1220">
        <f t="shared" si="534"/>
        <v>11250</v>
      </c>
      <c r="T3361" s="1220">
        <f t="shared" si="534"/>
        <v>11250</v>
      </c>
      <c r="U3361" s="1220">
        <f t="shared" si="534"/>
        <v>11250</v>
      </c>
      <c r="V3361" s="1220">
        <f t="shared" si="534"/>
        <v>11250</v>
      </c>
      <c r="W3361" s="1220">
        <f t="shared" si="534"/>
        <v>11250</v>
      </c>
      <c r="X3361" s="1220">
        <f t="shared" si="534"/>
        <v>11250</v>
      </c>
      <c r="Y3361" s="1220">
        <f t="shared" si="534"/>
        <v>11250</v>
      </c>
      <c r="Z3361" s="1220">
        <f t="shared" si="534"/>
        <v>11250</v>
      </c>
      <c r="AA3361" s="1220">
        <f t="shared" si="533"/>
        <v>135000</v>
      </c>
      <c r="AB3361" s="1210"/>
      <c r="AC3361" s="1199"/>
      <c r="AD3361" s="1211"/>
      <c r="AE3361" s="1211"/>
    </row>
    <row r="3362" spans="1:31" x14ac:dyDescent="0.2">
      <c r="A3362" s="1422"/>
      <c r="B3362" s="2522"/>
      <c r="C3362" s="2456"/>
      <c r="D3362" s="3369"/>
      <c r="E3362" s="3369"/>
      <c r="F3362" s="2420"/>
      <c r="G3362" s="2420"/>
      <c r="H3362" s="3369"/>
      <c r="I3362" s="2420"/>
      <c r="J3362" s="2955"/>
      <c r="K3362" s="41">
        <v>119741</v>
      </c>
      <c r="L3362" s="3407"/>
      <c r="M3362" s="3287" t="s">
        <v>295</v>
      </c>
      <c r="N3362" s="3288"/>
      <c r="O3362" s="1220">
        <f>$K3362/12</f>
        <v>9978.4166666666661</v>
      </c>
      <c r="P3362" s="1220">
        <f t="shared" si="534"/>
        <v>9978.4166666666661</v>
      </c>
      <c r="Q3362" s="1220">
        <f t="shared" si="534"/>
        <v>9978.4166666666661</v>
      </c>
      <c r="R3362" s="1220">
        <f t="shared" si="534"/>
        <v>9978.4166666666661</v>
      </c>
      <c r="S3362" s="1220">
        <f t="shared" si="534"/>
        <v>9978.4166666666661</v>
      </c>
      <c r="T3362" s="1220">
        <f t="shared" si="534"/>
        <v>9978.4166666666661</v>
      </c>
      <c r="U3362" s="1220">
        <f t="shared" si="534"/>
        <v>9978.4166666666661</v>
      </c>
      <c r="V3362" s="1220">
        <f t="shared" si="534"/>
        <v>9978.4166666666661</v>
      </c>
      <c r="W3362" s="1220">
        <f t="shared" si="534"/>
        <v>9978.4166666666661</v>
      </c>
      <c r="X3362" s="1220">
        <f t="shared" si="534"/>
        <v>9978.4166666666661</v>
      </c>
      <c r="Y3362" s="1220">
        <f t="shared" si="534"/>
        <v>9978.4166666666661</v>
      </c>
      <c r="Z3362" s="1220">
        <f t="shared" si="534"/>
        <v>9978.4166666666661</v>
      </c>
      <c r="AA3362" s="1220">
        <f t="shared" si="533"/>
        <v>119741.00000000001</v>
      </c>
      <c r="AB3362" s="1210"/>
      <c r="AC3362" s="1199"/>
      <c r="AD3362" s="1211"/>
      <c r="AE3362" s="1211"/>
    </row>
    <row r="3363" spans="1:31" x14ac:dyDescent="0.2">
      <c r="A3363" s="1422"/>
      <c r="B3363" s="2522"/>
      <c r="C3363" s="2456"/>
      <c r="D3363" s="3369"/>
      <c r="E3363" s="3369"/>
      <c r="F3363" s="2420"/>
      <c r="G3363" s="2420"/>
      <c r="H3363" s="3369"/>
      <c r="I3363" s="2420"/>
      <c r="J3363" s="2955"/>
      <c r="K3363" s="41">
        <v>18000</v>
      </c>
      <c r="L3363" s="3407"/>
      <c r="M3363" s="3287" t="s">
        <v>298</v>
      </c>
      <c r="N3363" s="3288"/>
      <c r="O3363" s="1220"/>
      <c r="P3363" s="1220"/>
      <c r="Q3363" s="1220"/>
      <c r="R3363" s="1220"/>
      <c r="S3363" s="1220"/>
      <c r="T3363" s="1220"/>
      <c r="U3363" s="1220">
        <f>K3363/2</f>
        <v>9000</v>
      </c>
      <c r="V3363" s="1220"/>
      <c r="W3363" s="1220"/>
      <c r="X3363" s="1220"/>
      <c r="Y3363" s="1220"/>
      <c r="Z3363" s="1220">
        <f>K3363/2</f>
        <v>9000</v>
      </c>
      <c r="AA3363" s="1220">
        <f t="shared" si="533"/>
        <v>18000</v>
      </c>
      <c r="AB3363" s="1210"/>
      <c r="AC3363" s="1199"/>
      <c r="AD3363" s="1211"/>
      <c r="AE3363" s="1211"/>
    </row>
    <row r="3364" spans="1:31" x14ac:dyDescent="0.2">
      <c r="A3364" s="1422"/>
      <c r="B3364" s="2522"/>
      <c r="C3364" s="2450"/>
      <c r="D3364" s="3369"/>
      <c r="E3364" s="3369"/>
      <c r="F3364" s="2420"/>
      <c r="G3364" s="2420"/>
      <c r="H3364" s="3369"/>
      <c r="I3364" s="2420"/>
      <c r="J3364" s="2956"/>
      <c r="K3364" s="41">
        <v>10000</v>
      </c>
      <c r="L3364" s="3408"/>
      <c r="M3364" s="3287" t="s">
        <v>302</v>
      </c>
      <c r="N3364" s="3288"/>
      <c r="O3364" s="1220"/>
      <c r="P3364" s="1220"/>
      <c r="Q3364" s="1220"/>
      <c r="R3364" s="1220"/>
      <c r="S3364" s="1220">
        <f>K3364</f>
        <v>10000</v>
      </c>
      <c r="T3364" s="1220"/>
      <c r="U3364" s="1220"/>
      <c r="V3364" s="1220"/>
      <c r="W3364" s="1220"/>
      <c r="X3364" s="1220"/>
      <c r="Y3364" s="1220"/>
      <c r="Z3364" s="1220"/>
      <c r="AA3364" s="1220">
        <f t="shared" si="533"/>
        <v>10000</v>
      </c>
      <c r="AB3364" s="1210"/>
      <c r="AC3364" s="1199"/>
      <c r="AD3364" s="1211"/>
      <c r="AE3364" s="1211"/>
    </row>
    <row r="3365" spans="1:31" x14ac:dyDescent="0.2">
      <c r="A3365" s="1422"/>
      <c r="B3365" s="1427" t="s">
        <v>312</v>
      </c>
      <c r="C3365" s="1128"/>
      <c r="D3365" s="38"/>
      <c r="E3365" s="38"/>
      <c r="F3365" s="38"/>
      <c r="G3365" s="38"/>
      <c r="H3365" s="38"/>
      <c r="I3365" s="38"/>
      <c r="J3365" s="38"/>
      <c r="K3365" s="41">
        <f>SUM(K3361:K3364)</f>
        <v>282741</v>
      </c>
      <c r="L3365" s="54"/>
      <c r="M3365" s="54"/>
      <c r="N3365" s="54"/>
      <c r="O3365" s="1234"/>
      <c r="P3365" s="1234"/>
      <c r="Q3365" s="1234"/>
      <c r="R3365" s="1234"/>
      <c r="S3365" s="1234"/>
      <c r="T3365" s="1234"/>
      <c r="U3365" s="1234"/>
      <c r="V3365" s="1234"/>
      <c r="W3365" s="1234"/>
      <c r="X3365" s="1234"/>
      <c r="Y3365" s="1234"/>
      <c r="Z3365" s="1234"/>
      <c r="AA3365" s="1225"/>
      <c r="AB3365" s="1210"/>
      <c r="AC3365" s="1199"/>
      <c r="AD3365" s="1211"/>
      <c r="AE3365" s="1211"/>
    </row>
    <row r="3366" spans="1:31" x14ac:dyDescent="0.2">
      <c r="A3366" s="1422"/>
      <c r="B3366" s="1433" t="s">
        <v>276</v>
      </c>
      <c r="C3366" s="1119"/>
      <c r="D3366" s="35">
        <v>3000285</v>
      </c>
      <c r="E3366" s="192" t="s">
        <v>918</v>
      </c>
      <c r="F3366" s="35"/>
      <c r="G3366" s="35"/>
      <c r="H3366" s="35"/>
      <c r="I3366" s="35"/>
      <c r="J3366" s="35"/>
      <c r="K3366" s="35"/>
      <c r="L3366" s="35"/>
      <c r="M3366" s="35"/>
      <c r="N3366" s="35"/>
      <c r="O3366" s="1210"/>
      <c r="P3366" s="1210"/>
      <c r="Q3366" s="1210"/>
      <c r="R3366" s="1210"/>
      <c r="S3366" s="1210"/>
      <c r="T3366" s="3377" t="s">
        <v>15</v>
      </c>
      <c r="U3366" s="3378"/>
      <c r="V3366" s="3378"/>
      <c r="W3366" s="3378"/>
      <c r="X3366" s="3378"/>
      <c r="Y3366" s="3379"/>
      <c r="Z3366" s="3377" t="s">
        <v>16</v>
      </c>
      <c r="AA3366" s="3379"/>
      <c r="AB3366" s="1210"/>
      <c r="AC3366" s="1199"/>
      <c r="AD3366" s="1211"/>
      <c r="AE3366" s="1211"/>
    </row>
    <row r="3367" spans="1:31" ht="12" thickBot="1" x14ac:dyDescent="0.25">
      <c r="A3367" s="1422"/>
      <c r="B3367" s="1433"/>
      <c r="C3367" s="1119"/>
      <c r="D3367" s="35"/>
      <c r="E3367" s="192"/>
      <c r="F3367" s="35"/>
      <c r="G3367" s="35"/>
      <c r="H3367" s="35"/>
      <c r="I3367" s="35"/>
      <c r="J3367" s="35"/>
      <c r="K3367" s="35"/>
      <c r="L3367" s="35"/>
      <c r="M3367" s="35"/>
      <c r="N3367" s="35"/>
      <c r="O3367" s="1210"/>
      <c r="P3367" s="1210"/>
      <c r="Q3367" s="1210"/>
      <c r="R3367" s="1210"/>
      <c r="S3367" s="1210"/>
      <c r="T3367" s="3427" t="s">
        <v>919</v>
      </c>
      <c r="U3367" s="3428"/>
      <c r="V3367" s="3428"/>
      <c r="W3367" s="3428"/>
      <c r="X3367" s="3428"/>
      <c r="Y3367" s="3429"/>
      <c r="Z3367" s="3392" t="s">
        <v>915</v>
      </c>
      <c r="AA3367" s="3394"/>
      <c r="AB3367" s="1210"/>
      <c r="AC3367" s="1199"/>
      <c r="AD3367" s="1211"/>
      <c r="AE3367" s="1211"/>
    </row>
    <row r="3368" spans="1:31" x14ac:dyDescent="0.2">
      <c r="A3368" s="1422"/>
      <c r="B3368" s="2999" t="s">
        <v>278</v>
      </c>
      <c r="C3368" s="3015" t="s">
        <v>21</v>
      </c>
      <c r="D3368" s="2847" t="s">
        <v>22</v>
      </c>
      <c r="E3368" s="2847" t="s">
        <v>23</v>
      </c>
      <c r="F3368" s="2847" t="s">
        <v>24</v>
      </c>
      <c r="G3368" s="2847" t="s">
        <v>25</v>
      </c>
      <c r="H3368" s="2847" t="s">
        <v>26</v>
      </c>
      <c r="I3368" s="2847" t="s">
        <v>27</v>
      </c>
      <c r="J3368" s="3416" t="s">
        <v>28</v>
      </c>
      <c r="K3368" s="3416"/>
      <c r="L3368" s="3409" t="s">
        <v>279</v>
      </c>
      <c r="M3368" s="3411" t="s">
        <v>280</v>
      </c>
      <c r="N3368" s="3412"/>
      <c r="O3368" s="3422" t="s">
        <v>281</v>
      </c>
      <c r="P3368" s="3423"/>
      <c r="Q3368" s="3423"/>
      <c r="R3368" s="3423"/>
      <c r="S3368" s="3423"/>
      <c r="T3368" s="3423"/>
      <c r="U3368" s="3423"/>
      <c r="V3368" s="3423"/>
      <c r="W3368" s="3423"/>
      <c r="X3368" s="3423"/>
      <c r="Y3368" s="3423"/>
      <c r="Z3368" s="3424"/>
      <c r="AA3368" s="3358" t="s">
        <v>32</v>
      </c>
      <c r="AB3368" s="1210"/>
      <c r="AC3368" s="1199"/>
      <c r="AD3368" s="1211"/>
      <c r="AE3368" s="1211"/>
    </row>
    <row r="3369" spans="1:31" x14ac:dyDescent="0.2">
      <c r="A3369" s="1422"/>
      <c r="B3369" s="2999"/>
      <c r="C3369" s="3359"/>
      <c r="D3369" s="2847"/>
      <c r="E3369" s="2847"/>
      <c r="F3369" s="2847"/>
      <c r="G3369" s="2847"/>
      <c r="H3369" s="2847"/>
      <c r="I3369" s="2847"/>
      <c r="J3369" s="2988" t="s">
        <v>33</v>
      </c>
      <c r="K3369" s="2988" t="s">
        <v>282</v>
      </c>
      <c r="L3369" s="3410"/>
      <c r="M3369" s="3275"/>
      <c r="N3369" s="3318"/>
      <c r="O3369" s="1229" t="s">
        <v>283</v>
      </c>
      <c r="P3369" s="1230" t="s">
        <v>284</v>
      </c>
      <c r="Q3369" s="1230" t="s">
        <v>285</v>
      </c>
      <c r="R3369" s="1230" t="s">
        <v>88</v>
      </c>
      <c r="S3369" s="1230" t="s">
        <v>89</v>
      </c>
      <c r="T3369" s="1230" t="s">
        <v>90</v>
      </c>
      <c r="U3369" s="1230" t="s">
        <v>91</v>
      </c>
      <c r="V3369" s="1230" t="s">
        <v>92</v>
      </c>
      <c r="W3369" s="1230" t="s">
        <v>286</v>
      </c>
      <c r="X3369" s="1230" t="s">
        <v>93</v>
      </c>
      <c r="Y3369" s="1230" t="s">
        <v>94</v>
      </c>
      <c r="Z3369" s="1231" t="s">
        <v>95</v>
      </c>
      <c r="AA3369" s="3358"/>
      <c r="AB3369" s="1210"/>
      <c r="AC3369" s="1199"/>
      <c r="AD3369" s="1211"/>
      <c r="AE3369" s="1211"/>
    </row>
    <row r="3370" spans="1:31" ht="12.75" x14ac:dyDescent="0.2">
      <c r="A3370" s="1422"/>
      <c r="B3370" s="2999"/>
      <c r="C3370" s="3359"/>
      <c r="D3370" s="2847"/>
      <c r="E3370" s="2847"/>
      <c r="F3370" s="2847"/>
      <c r="G3370" s="2847"/>
      <c r="H3370" s="2847"/>
      <c r="I3370" s="2847"/>
      <c r="J3370" s="3186"/>
      <c r="K3370" s="3186"/>
      <c r="L3370" s="3410"/>
      <c r="M3370" s="3273" t="s">
        <v>287</v>
      </c>
      <c r="N3370" s="3314"/>
      <c r="O3370" s="1220">
        <v>11</v>
      </c>
      <c r="P3370" s="1220">
        <v>11</v>
      </c>
      <c r="Q3370" s="1220">
        <v>11</v>
      </c>
      <c r="R3370" s="1220">
        <v>11</v>
      </c>
      <c r="S3370" s="1220">
        <v>11</v>
      </c>
      <c r="T3370" s="1220">
        <v>12</v>
      </c>
      <c r="U3370" s="1220">
        <v>12</v>
      </c>
      <c r="V3370" s="1220">
        <v>12</v>
      </c>
      <c r="W3370" s="1220">
        <v>12</v>
      </c>
      <c r="X3370" s="1220">
        <v>12</v>
      </c>
      <c r="Y3370" s="1220">
        <v>12</v>
      </c>
      <c r="Z3370" s="1220">
        <v>12</v>
      </c>
      <c r="AA3370" s="1221">
        <f>SUM(O3370:Z3370)</f>
        <v>139</v>
      </c>
      <c r="AB3370" s="1210"/>
      <c r="AC3370" s="1199"/>
      <c r="AD3370" s="1211"/>
      <c r="AE3370" s="1211"/>
    </row>
    <row r="3371" spans="1:31" ht="12.75" x14ac:dyDescent="0.2">
      <c r="A3371" s="1422"/>
      <c r="B3371" s="2999"/>
      <c r="C3371" s="3016"/>
      <c r="D3371" s="2847"/>
      <c r="E3371" s="2847"/>
      <c r="F3371" s="2847"/>
      <c r="G3371" s="2847"/>
      <c r="H3371" s="2847"/>
      <c r="I3371" s="2847"/>
      <c r="J3371" s="3186"/>
      <c r="K3371" s="3186"/>
      <c r="L3371" s="3143"/>
      <c r="M3371" s="3273" t="s">
        <v>34</v>
      </c>
      <c r="N3371" s="3314"/>
      <c r="O3371" s="1220">
        <f>SUM(O3372:O3373)</f>
        <v>15250</v>
      </c>
      <c r="P3371" s="1220">
        <f t="shared" ref="P3371:Z3371" si="535">SUM(P3372:P3373)</f>
        <v>15250</v>
      </c>
      <c r="Q3371" s="1220">
        <f t="shared" si="535"/>
        <v>15250</v>
      </c>
      <c r="R3371" s="1220">
        <f t="shared" si="535"/>
        <v>15250</v>
      </c>
      <c r="S3371" s="1220">
        <f t="shared" si="535"/>
        <v>15250</v>
      </c>
      <c r="T3371" s="1220">
        <f t="shared" si="535"/>
        <v>15250</v>
      </c>
      <c r="U3371" s="1220">
        <f t="shared" si="535"/>
        <v>15250</v>
      </c>
      <c r="V3371" s="1220">
        <f t="shared" si="535"/>
        <v>15250</v>
      </c>
      <c r="W3371" s="1220">
        <f t="shared" si="535"/>
        <v>15250</v>
      </c>
      <c r="X3371" s="1220">
        <f t="shared" si="535"/>
        <v>15250</v>
      </c>
      <c r="Y3371" s="1220">
        <f t="shared" si="535"/>
        <v>15250</v>
      </c>
      <c r="Z3371" s="1220">
        <f t="shared" si="535"/>
        <v>15250</v>
      </c>
      <c r="AA3371" s="1221">
        <f t="shared" ref="AA3371:AA3373" si="536">SUM(O3371:Z3371)</f>
        <v>183000</v>
      </c>
      <c r="AB3371" s="1210"/>
      <c r="AC3371" s="1199"/>
      <c r="AD3371" s="1211"/>
      <c r="AE3371" s="1211"/>
    </row>
    <row r="3372" spans="1:31" x14ac:dyDescent="0.2">
      <c r="A3372" s="1422"/>
      <c r="B3372" s="2522">
        <v>5002798</v>
      </c>
      <c r="C3372" s="2438" t="s">
        <v>920</v>
      </c>
      <c r="D3372" s="3369"/>
      <c r="E3372" s="3369" t="s">
        <v>860</v>
      </c>
      <c r="F3372" s="2420" t="s">
        <v>386</v>
      </c>
      <c r="G3372" s="2420" t="s">
        <v>387</v>
      </c>
      <c r="H3372" s="3369"/>
      <c r="I3372" s="2420" t="s">
        <v>917</v>
      </c>
      <c r="J3372" s="3369">
        <v>139</v>
      </c>
      <c r="K3372" s="41">
        <v>118000</v>
      </c>
      <c r="L3372" s="3406"/>
      <c r="M3372" s="3287" t="s">
        <v>293</v>
      </c>
      <c r="N3372" s="3288"/>
      <c r="O3372" s="1220">
        <f>$K3372/12</f>
        <v>9833.3333333333339</v>
      </c>
      <c r="P3372" s="1220">
        <f t="shared" ref="P3372:Z3373" si="537">$K3372/12</f>
        <v>9833.3333333333339</v>
      </c>
      <c r="Q3372" s="1220">
        <f t="shared" si="537"/>
        <v>9833.3333333333339</v>
      </c>
      <c r="R3372" s="1220">
        <f t="shared" si="537"/>
        <v>9833.3333333333339</v>
      </c>
      <c r="S3372" s="1220">
        <f t="shared" si="537"/>
        <v>9833.3333333333339</v>
      </c>
      <c r="T3372" s="1220">
        <f t="shared" si="537"/>
        <v>9833.3333333333339</v>
      </c>
      <c r="U3372" s="1220">
        <f t="shared" si="537"/>
        <v>9833.3333333333339</v>
      </c>
      <c r="V3372" s="1220">
        <f t="shared" si="537"/>
        <v>9833.3333333333339</v>
      </c>
      <c r="W3372" s="1220">
        <f t="shared" si="537"/>
        <v>9833.3333333333339</v>
      </c>
      <c r="X3372" s="1220">
        <f t="shared" si="537"/>
        <v>9833.3333333333339</v>
      </c>
      <c r="Y3372" s="1220">
        <f t="shared" si="537"/>
        <v>9833.3333333333339</v>
      </c>
      <c r="Z3372" s="1220">
        <f t="shared" si="537"/>
        <v>9833.3333333333339</v>
      </c>
      <c r="AA3372" s="1220">
        <f t="shared" si="536"/>
        <v>117999.99999999999</v>
      </c>
      <c r="AB3372" s="1210"/>
      <c r="AC3372" s="1199"/>
      <c r="AD3372" s="1211"/>
      <c r="AE3372" s="1211"/>
    </row>
    <row r="3373" spans="1:31" x14ac:dyDescent="0.2">
      <c r="A3373" s="1422"/>
      <c r="B3373" s="2522"/>
      <c r="C3373" s="2450"/>
      <c r="D3373" s="3369"/>
      <c r="E3373" s="3369"/>
      <c r="F3373" s="2420"/>
      <c r="G3373" s="2420"/>
      <c r="H3373" s="3369"/>
      <c r="I3373" s="2420"/>
      <c r="J3373" s="3369"/>
      <c r="K3373" s="41">
        <v>65000</v>
      </c>
      <c r="L3373" s="3408"/>
      <c r="M3373" s="3287" t="s">
        <v>295</v>
      </c>
      <c r="N3373" s="3288"/>
      <c r="O3373" s="1220">
        <f>$K3373/12</f>
        <v>5416.666666666667</v>
      </c>
      <c r="P3373" s="1220">
        <f t="shared" si="537"/>
        <v>5416.666666666667</v>
      </c>
      <c r="Q3373" s="1220">
        <f t="shared" si="537"/>
        <v>5416.666666666667</v>
      </c>
      <c r="R3373" s="1220">
        <f t="shared" si="537"/>
        <v>5416.666666666667</v>
      </c>
      <c r="S3373" s="1220">
        <f t="shared" si="537"/>
        <v>5416.666666666667</v>
      </c>
      <c r="T3373" s="1220">
        <f t="shared" si="537"/>
        <v>5416.666666666667</v>
      </c>
      <c r="U3373" s="1220">
        <f t="shared" si="537"/>
        <v>5416.666666666667</v>
      </c>
      <c r="V3373" s="1220">
        <f t="shared" si="537"/>
        <v>5416.666666666667</v>
      </c>
      <c r="W3373" s="1220">
        <f t="shared" si="537"/>
        <v>5416.666666666667</v>
      </c>
      <c r="X3373" s="1220">
        <f t="shared" si="537"/>
        <v>5416.666666666667</v>
      </c>
      <c r="Y3373" s="1220">
        <f t="shared" si="537"/>
        <v>5416.666666666667</v>
      </c>
      <c r="Z3373" s="1220">
        <f t="shared" si="537"/>
        <v>5416.666666666667</v>
      </c>
      <c r="AA3373" s="1220">
        <f t="shared" si="536"/>
        <v>64999.999999999993</v>
      </c>
      <c r="AB3373" s="1210"/>
      <c r="AC3373" s="1199"/>
      <c r="AD3373" s="1211"/>
      <c r="AE3373" s="1211"/>
    </row>
    <row r="3374" spans="1:31" x14ac:dyDescent="0.2">
      <c r="A3374" s="1422"/>
      <c r="B3374" s="1427" t="s">
        <v>312</v>
      </c>
      <c r="C3374" s="1128"/>
      <c r="D3374" s="38"/>
      <c r="E3374" s="38"/>
      <c r="F3374" s="38"/>
      <c r="G3374" s="38"/>
      <c r="H3374" s="38"/>
      <c r="I3374" s="38"/>
      <c r="J3374" s="38"/>
      <c r="K3374" s="41">
        <f>SUM(K3372:K3373)</f>
        <v>183000</v>
      </c>
      <c r="L3374" s="54"/>
      <c r="M3374" s="54"/>
      <c r="N3374" s="54"/>
      <c r="O3374" s="1227"/>
      <c r="P3374" s="1227"/>
      <c r="Q3374" s="1227"/>
      <c r="R3374" s="1227"/>
      <c r="S3374" s="1227"/>
      <c r="T3374" s="1227"/>
      <c r="U3374" s="1227"/>
      <c r="V3374" s="1227"/>
      <c r="W3374" s="1227"/>
      <c r="X3374" s="1227"/>
      <c r="Y3374" s="1227"/>
      <c r="Z3374" s="1227"/>
      <c r="AA3374" s="1225"/>
      <c r="AB3374" s="1210"/>
      <c r="AC3374" s="1199"/>
      <c r="AD3374" s="1211"/>
      <c r="AE3374" s="1211"/>
    </row>
    <row r="3375" spans="1:31" x14ac:dyDescent="0.2">
      <c r="A3375" s="1422"/>
      <c r="B3375" s="1433" t="s">
        <v>276</v>
      </c>
      <c r="C3375" s="1119"/>
      <c r="D3375" s="35">
        <v>3000286</v>
      </c>
      <c r="E3375" s="192" t="s">
        <v>921</v>
      </c>
      <c r="F3375" s="35"/>
      <c r="G3375" s="35"/>
      <c r="H3375" s="35"/>
      <c r="I3375" s="35"/>
      <c r="J3375" s="35"/>
      <c r="K3375" s="35"/>
      <c r="L3375" s="35"/>
      <c r="M3375" s="35"/>
      <c r="N3375" s="35"/>
      <c r="O3375" s="1210"/>
      <c r="P3375" s="1210"/>
      <c r="Q3375" s="1210"/>
      <c r="R3375" s="1210"/>
      <c r="S3375" s="1210"/>
      <c r="T3375" s="3333" t="s">
        <v>15</v>
      </c>
      <c r="U3375" s="3333"/>
      <c r="V3375" s="3333"/>
      <c r="W3375" s="3333"/>
      <c r="X3375" s="3333"/>
      <c r="Y3375" s="3333"/>
      <c r="Z3375" s="3333" t="s">
        <v>16</v>
      </c>
      <c r="AA3375" s="3333"/>
      <c r="AB3375" s="1210"/>
      <c r="AC3375" s="1199"/>
      <c r="AD3375" s="1211"/>
      <c r="AE3375" s="1211"/>
    </row>
    <row r="3376" spans="1:31" ht="12" thickBot="1" x14ac:dyDescent="0.25">
      <c r="A3376" s="1422"/>
      <c r="B3376" s="1433"/>
      <c r="C3376" s="1119"/>
      <c r="D3376" s="35"/>
      <c r="E3376" s="192"/>
      <c r="F3376" s="35"/>
      <c r="G3376" s="35"/>
      <c r="H3376" s="35"/>
      <c r="I3376" s="35"/>
      <c r="J3376" s="35"/>
      <c r="K3376" s="35"/>
      <c r="L3376" s="35"/>
      <c r="M3376" s="35"/>
      <c r="N3376" s="35"/>
      <c r="O3376" s="1210"/>
      <c r="P3376" s="1210"/>
      <c r="Q3376" s="1210"/>
      <c r="R3376" s="1210"/>
      <c r="S3376" s="1210"/>
      <c r="T3376" s="3390" t="s">
        <v>922</v>
      </c>
      <c r="U3376" s="3390"/>
      <c r="V3376" s="3390"/>
      <c r="W3376" s="3390"/>
      <c r="X3376" s="3390"/>
      <c r="Y3376" s="3390"/>
      <c r="Z3376" s="3390" t="s">
        <v>915</v>
      </c>
      <c r="AA3376" s="3390"/>
      <c r="AB3376" s="1210"/>
      <c r="AC3376" s="1199"/>
      <c r="AD3376" s="1211"/>
      <c r="AE3376" s="1211"/>
    </row>
    <row r="3377" spans="1:31" x14ac:dyDescent="0.2">
      <c r="A3377" s="1422"/>
      <c r="B3377" s="2999" t="s">
        <v>278</v>
      </c>
      <c r="C3377" s="3015" t="s">
        <v>21</v>
      </c>
      <c r="D3377" s="2847" t="s">
        <v>22</v>
      </c>
      <c r="E3377" s="2847" t="s">
        <v>23</v>
      </c>
      <c r="F3377" s="2847" t="s">
        <v>24</v>
      </c>
      <c r="G3377" s="2847" t="s">
        <v>25</v>
      </c>
      <c r="H3377" s="2847" t="s">
        <v>26</v>
      </c>
      <c r="I3377" s="2847" t="s">
        <v>27</v>
      </c>
      <c r="J3377" s="3416" t="s">
        <v>28</v>
      </c>
      <c r="K3377" s="3416"/>
      <c r="L3377" s="3409" t="s">
        <v>279</v>
      </c>
      <c r="M3377" s="3411" t="s">
        <v>280</v>
      </c>
      <c r="N3377" s="3412"/>
      <c r="O3377" s="3413" t="s">
        <v>3113</v>
      </c>
      <c r="P3377" s="3320"/>
      <c r="Q3377" s="3320"/>
      <c r="R3377" s="3320"/>
      <c r="S3377" s="3320"/>
      <c r="T3377" s="3320"/>
      <c r="U3377" s="3320"/>
      <c r="V3377" s="3320"/>
      <c r="W3377" s="3320"/>
      <c r="X3377" s="3320"/>
      <c r="Y3377" s="3320"/>
      <c r="Z3377" s="3414"/>
      <c r="AA3377" s="3358" t="s">
        <v>32</v>
      </c>
      <c r="AB3377" s="1210"/>
      <c r="AC3377" s="1199"/>
      <c r="AD3377" s="1211"/>
      <c r="AE3377" s="1211"/>
    </row>
    <row r="3378" spans="1:31" x14ac:dyDescent="0.2">
      <c r="A3378" s="1422"/>
      <c r="B3378" s="2999"/>
      <c r="C3378" s="3359"/>
      <c r="D3378" s="2847"/>
      <c r="E3378" s="2847"/>
      <c r="F3378" s="2847"/>
      <c r="G3378" s="2847"/>
      <c r="H3378" s="2847"/>
      <c r="I3378" s="2847"/>
      <c r="J3378" s="2988" t="s">
        <v>33</v>
      </c>
      <c r="K3378" s="2988" t="s">
        <v>282</v>
      </c>
      <c r="L3378" s="3410"/>
      <c r="M3378" s="3275"/>
      <c r="N3378" s="3318"/>
      <c r="O3378" s="1229" t="s">
        <v>283</v>
      </c>
      <c r="P3378" s="1230" t="s">
        <v>284</v>
      </c>
      <c r="Q3378" s="1230" t="s">
        <v>285</v>
      </c>
      <c r="R3378" s="1230" t="s">
        <v>88</v>
      </c>
      <c r="S3378" s="1230" t="s">
        <v>89</v>
      </c>
      <c r="T3378" s="1230" t="s">
        <v>90</v>
      </c>
      <c r="U3378" s="1230" t="s">
        <v>91</v>
      </c>
      <c r="V3378" s="1230" t="s">
        <v>92</v>
      </c>
      <c r="W3378" s="1230" t="s">
        <v>286</v>
      </c>
      <c r="X3378" s="1230" t="s">
        <v>93</v>
      </c>
      <c r="Y3378" s="1230" t="s">
        <v>94</v>
      </c>
      <c r="Z3378" s="1231" t="s">
        <v>95</v>
      </c>
      <c r="AA3378" s="3358"/>
      <c r="AB3378" s="1210"/>
      <c r="AC3378" s="1199"/>
      <c r="AD3378" s="1211"/>
      <c r="AE3378" s="1211"/>
    </row>
    <row r="3379" spans="1:31" ht="12.75" x14ac:dyDescent="0.2">
      <c r="A3379" s="1422"/>
      <c r="B3379" s="2999"/>
      <c r="C3379" s="3359"/>
      <c r="D3379" s="2847"/>
      <c r="E3379" s="2847"/>
      <c r="F3379" s="2847"/>
      <c r="G3379" s="2847"/>
      <c r="H3379" s="2847"/>
      <c r="I3379" s="2847"/>
      <c r="J3379" s="3186"/>
      <c r="K3379" s="3186"/>
      <c r="L3379" s="3410"/>
      <c r="M3379" s="3273" t="s">
        <v>287</v>
      </c>
      <c r="N3379" s="3314"/>
      <c r="O3379" s="1220">
        <v>33</v>
      </c>
      <c r="P3379" s="1220">
        <v>33</v>
      </c>
      <c r="Q3379" s="1220">
        <v>33</v>
      </c>
      <c r="R3379" s="1220">
        <v>34</v>
      </c>
      <c r="S3379" s="1220">
        <v>34</v>
      </c>
      <c r="T3379" s="1220">
        <v>34</v>
      </c>
      <c r="U3379" s="1220">
        <v>34</v>
      </c>
      <c r="V3379" s="1220">
        <v>34</v>
      </c>
      <c r="W3379" s="1220">
        <v>34</v>
      </c>
      <c r="X3379" s="1220">
        <v>34</v>
      </c>
      <c r="Y3379" s="1220">
        <v>34</v>
      </c>
      <c r="Z3379" s="1220">
        <v>34</v>
      </c>
      <c r="AA3379" s="1219">
        <f>SUM(O3379:Z3379)</f>
        <v>405</v>
      </c>
      <c r="AB3379" s="1210"/>
      <c r="AC3379" s="1199"/>
      <c r="AD3379" s="1211"/>
      <c r="AE3379" s="1211"/>
    </row>
    <row r="3380" spans="1:31" ht="12.75" x14ac:dyDescent="0.2">
      <c r="A3380" s="1422"/>
      <c r="B3380" s="2999"/>
      <c r="C3380" s="3016"/>
      <c r="D3380" s="2847"/>
      <c r="E3380" s="2847"/>
      <c r="F3380" s="2847"/>
      <c r="G3380" s="2847"/>
      <c r="H3380" s="2847"/>
      <c r="I3380" s="2847"/>
      <c r="J3380" s="3186"/>
      <c r="K3380" s="3186"/>
      <c r="L3380" s="3143"/>
      <c r="M3380" s="3273" t="s">
        <v>34</v>
      </c>
      <c r="N3380" s="3314"/>
      <c r="O3380" s="1220">
        <f>SUM(O3381:O3392)</f>
        <v>36482.749999999993</v>
      </c>
      <c r="P3380" s="1220">
        <f t="shared" ref="P3380:Z3380" si="538">SUM(P3381:P3392)</f>
        <v>32482.75</v>
      </c>
      <c r="Q3380" s="1220">
        <f t="shared" si="538"/>
        <v>37482.75</v>
      </c>
      <c r="R3380" s="1220">
        <f t="shared" si="538"/>
        <v>40982.75</v>
      </c>
      <c r="S3380" s="1220">
        <f t="shared" si="538"/>
        <v>35482.75</v>
      </c>
      <c r="T3380" s="1220">
        <f t="shared" si="538"/>
        <v>32482.75</v>
      </c>
      <c r="U3380" s="1220">
        <f t="shared" si="538"/>
        <v>35671.749999999993</v>
      </c>
      <c r="V3380" s="1220">
        <f t="shared" si="538"/>
        <v>35982.75</v>
      </c>
      <c r="W3380" s="1220">
        <f t="shared" si="538"/>
        <v>32482.75</v>
      </c>
      <c r="X3380" s="1220">
        <f t="shared" si="538"/>
        <v>32482.75</v>
      </c>
      <c r="Y3380" s="1220">
        <f t="shared" si="538"/>
        <v>32482.75</v>
      </c>
      <c r="Z3380" s="1220">
        <f t="shared" si="538"/>
        <v>35671.749999999993</v>
      </c>
      <c r="AA3380" s="1219">
        <f t="shared" ref="AA3380:AA3392" si="539">SUM(O3380:Z3380)</f>
        <v>420171</v>
      </c>
      <c r="AB3380" s="1210"/>
      <c r="AC3380" s="1199"/>
      <c r="AD3380" s="1211"/>
      <c r="AE3380" s="1211"/>
    </row>
    <row r="3381" spans="1:31" x14ac:dyDescent="0.2">
      <c r="A3381" s="1422"/>
      <c r="B3381" s="2522">
        <v>5002800</v>
      </c>
      <c r="C3381" s="2438" t="s">
        <v>923</v>
      </c>
      <c r="D3381" s="3369">
        <v>107</v>
      </c>
      <c r="E3381" s="3369" t="s">
        <v>860</v>
      </c>
      <c r="F3381" s="2420" t="s">
        <v>386</v>
      </c>
      <c r="G3381" s="2420" t="s">
        <v>423</v>
      </c>
      <c r="H3381" s="3369"/>
      <c r="I3381" s="2420" t="s">
        <v>917</v>
      </c>
      <c r="J3381" s="3187">
        <v>405</v>
      </c>
      <c r="K3381" s="41">
        <v>123330</v>
      </c>
      <c r="L3381" s="3406"/>
      <c r="M3381" s="3287" t="s">
        <v>293</v>
      </c>
      <c r="N3381" s="3288"/>
      <c r="O3381" s="1220">
        <f>$K3381/12</f>
        <v>10277.5</v>
      </c>
      <c r="P3381" s="1220">
        <f t="shared" ref="P3381:Z3385" si="540">$K3381/12</f>
        <v>10277.5</v>
      </c>
      <c r="Q3381" s="1220">
        <f t="shared" si="540"/>
        <v>10277.5</v>
      </c>
      <c r="R3381" s="1220">
        <f t="shared" si="540"/>
        <v>10277.5</v>
      </c>
      <c r="S3381" s="1220">
        <f t="shared" si="540"/>
        <v>10277.5</v>
      </c>
      <c r="T3381" s="1220">
        <f t="shared" si="540"/>
        <v>10277.5</v>
      </c>
      <c r="U3381" s="1220">
        <f t="shared" si="540"/>
        <v>10277.5</v>
      </c>
      <c r="V3381" s="1220">
        <f t="shared" si="540"/>
        <v>10277.5</v>
      </c>
      <c r="W3381" s="1220">
        <f t="shared" si="540"/>
        <v>10277.5</v>
      </c>
      <c r="X3381" s="1220">
        <f t="shared" si="540"/>
        <v>10277.5</v>
      </c>
      <c r="Y3381" s="1220">
        <f t="shared" si="540"/>
        <v>10277.5</v>
      </c>
      <c r="Z3381" s="1220">
        <f t="shared" si="540"/>
        <v>10277.5</v>
      </c>
      <c r="AA3381" s="1220">
        <f t="shared" si="539"/>
        <v>123330</v>
      </c>
      <c r="AB3381" s="1210"/>
      <c r="AC3381" s="1199"/>
      <c r="AD3381" s="1211"/>
    </row>
    <row r="3382" spans="1:31" x14ac:dyDescent="0.2">
      <c r="A3382" s="1422"/>
      <c r="B3382" s="2522"/>
      <c r="C3382" s="2456"/>
      <c r="D3382" s="3369"/>
      <c r="E3382" s="3369"/>
      <c r="F3382" s="2420"/>
      <c r="G3382" s="2420"/>
      <c r="H3382" s="3369"/>
      <c r="I3382" s="2420"/>
      <c r="J3382" s="2955"/>
      <c r="K3382" s="41">
        <v>125952</v>
      </c>
      <c r="L3382" s="3407"/>
      <c r="M3382" s="3287" t="s">
        <v>295</v>
      </c>
      <c r="N3382" s="3288"/>
      <c r="O3382" s="1220">
        <f>$K3382/12</f>
        <v>10496</v>
      </c>
      <c r="P3382" s="1220">
        <f t="shared" si="540"/>
        <v>10496</v>
      </c>
      <c r="Q3382" s="1220">
        <f t="shared" si="540"/>
        <v>10496</v>
      </c>
      <c r="R3382" s="1220">
        <f t="shared" si="540"/>
        <v>10496</v>
      </c>
      <c r="S3382" s="1220">
        <f t="shared" si="540"/>
        <v>10496</v>
      </c>
      <c r="T3382" s="1220">
        <f t="shared" si="540"/>
        <v>10496</v>
      </c>
      <c r="U3382" s="1220">
        <f t="shared" si="540"/>
        <v>10496</v>
      </c>
      <c r="V3382" s="1220">
        <f t="shared" si="540"/>
        <v>10496</v>
      </c>
      <c r="W3382" s="1220">
        <f t="shared" si="540"/>
        <v>10496</v>
      </c>
      <c r="X3382" s="1220">
        <f t="shared" si="540"/>
        <v>10496</v>
      </c>
      <c r="Y3382" s="1220">
        <f t="shared" si="540"/>
        <v>10496</v>
      </c>
      <c r="Z3382" s="1220">
        <f t="shared" si="540"/>
        <v>10496</v>
      </c>
      <c r="AA3382" s="1220">
        <f t="shared" si="539"/>
        <v>125952</v>
      </c>
      <c r="AB3382" s="1210"/>
      <c r="AC3382" s="1199"/>
      <c r="AD3382" s="1211"/>
    </row>
    <row r="3383" spans="1:31" x14ac:dyDescent="0.2">
      <c r="A3383" s="1422"/>
      <c r="B3383" s="2522"/>
      <c r="C3383" s="2456"/>
      <c r="D3383" s="3369"/>
      <c r="E3383" s="3369"/>
      <c r="F3383" s="2420"/>
      <c r="G3383" s="2420"/>
      <c r="H3383" s="3369"/>
      <c r="I3383" s="2420"/>
      <c r="J3383" s="2955"/>
      <c r="K3383" s="41">
        <v>10344</v>
      </c>
      <c r="L3383" s="3407"/>
      <c r="M3383" s="3287" t="s">
        <v>332</v>
      </c>
      <c r="N3383" s="3288"/>
      <c r="O3383" s="1220">
        <f>$K3383/12</f>
        <v>862</v>
      </c>
      <c r="P3383" s="1220">
        <f t="shared" si="540"/>
        <v>862</v>
      </c>
      <c r="Q3383" s="1220">
        <f t="shared" si="540"/>
        <v>862</v>
      </c>
      <c r="R3383" s="1220">
        <f t="shared" si="540"/>
        <v>862</v>
      </c>
      <c r="S3383" s="1220">
        <f t="shared" si="540"/>
        <v>862</v>
      </c>
      <c r="T3383" s="1220">
        <f t="shared" si="540"/>
        <v>862</v>
      </c>
      <c r="U3383" s="1220">
        <f t="shared" si="540"/>
        <v>862</v>
      </c>
      <c r="V3383" s="1220">
        <f t="shared" si="540"/>
        <v>862</v>
      </c>
      <c r="W3383" s="1220">
        <f t="shared" si="540"/>
        <v>862</v>
      </c>
      <c r="X3383" s="1220">
        <f t="shared" si="540"/>
        <v>862</v>
      </c>
      <c r="Y3383" s="1220">
        <f t="shared" si="540"/>
        <v>862</v>
      </c>
      <c r="Z3383" s="1220">
        <f t="shared" si="540"/>
        <v>862</v>
      </c>
      <c r="AA3383" s="1220">
        <f t="shared" si="539"/>
        <v>10344</v>
      </c>
      <c r="AB3383" s="1210"/>
      <c r="AC3383" s="1199"/>
      <c r="AD3383" s="1211"/>
    </row>
    <row r="3384" spans="1:31" x14ac:dyDescent="0.2">
      <c r="A3384" s="1422"/>
      <c r="B3384" s="2522"/>
      <c r="C3384" s="2456"/>
      <c r="D3384" s="3369"/>
      <c r="E3384" s="3369"/>
      <c r="F3384" s="2420"/>
      <c r="G3384" s="2420"/>
      <c r="H3384" s="3369"/>
      <c r="I3384" s="2420"/>
      <c r="J3384" s="2955"/>
      <c r="K3384" s="41">
        <v>87094</v>
      </c>
      <c r="L3384" s="3407"/>
      <c r="M3384" s="3287" t="s">
        <v>296</v>
      </c>
      <c r="N3384" s="3288"/>
      <c r="O3384" s="1220">
        <f>$K3384/12</f>
        <v>7257.833333333333</v>
      </c>
      <c r="P3384" s="1220">
        <f t="shared" si="540"/>
        <v>7257.833333333333</v>
      </c>
      <c r="Q3384" s="1220">
        <f t="shared" si="540"/>
        <v>7257.833333333333</v>
      </c>
      <c r="R3384" s="1220">
        <f t="shared" si="540"/>
        <v>7257.833333333333</v>
      </c>
      <c r="S3384" s="1220">
        <f t="shared" si="540"/>
        <v>7257.833333333333</v>
      </c>
      <c r="T3384" s="1220">
        <f t="shared" si="540"/>
        <v>7257.833333333333</v>
      </c>
      <c r="U3384" s="1220">
        <f t="shared" si="540"/>
        <v>7257.833333333333</v>
      </c>
      <c r="V3384" s="1220">
        <f t="shared" si="540"/>
        <v>7257.833333333333</v>
      </c>
      <c r="W3384" s="1220">
        <f t="shared" si="540"/>
        <v>7257.833333333333</v>
      </c>
      <c r="X3384" s="1220">
        <f t="shared" si="540"/>
        <v>7257.833333333333</v>
      </c>
      <c r="Y3384" s="1220">
        <f t="shared" si="540"/>
        <v>7257.833333333333</v>
      </c>
      <c r="Z3384" s="1220">
        <f t="shared" si="540"/>
        <v>7257.833333333333</v>
      </c>
      <c r="AA3384" s="1220">
        <f t="shared" si="539"/>
        <v>87094</v>
      </c>
      <c r="AB3384" s="1210"/>
      <c r="AC3384" s="1199"/>
      <c r="AD3384" s="1211"/>
    </row>
    <row r="3385" spans="1:31" x14ac:dyDescent="0.2">
      <c r="A3385" s="1422"/>
      <c r="B3385" s="2522"/>
      <c r="C3385" s="2456"/>
      <c r="D3385" s="3369"/>
      <c r="E3385" s="3369"/>
      <c r="F3385" s="2420"/>
      <c r="G3385" s="2420"/>
      <c r="H3385" s="3369"/>
      <c r="I3385" s="2420"/>
      <c r="J3385" s="2955"/>
      <c r="K3385" s="41">
        <v>26424</v>
      </c>
      <c r="L3385" s="3407"/>
      <c r="M3385" s="3287" t="s">
        <v>297</v>
      </c>
      <c r="N3385" s="3288"/>
      <c r="O3385" s="1220">
        <f>$K3385/12</f>
        <v>2202</v>
      </c>
      <c r="P3385" s="1220">
        <f t="shared" si="540"/>
        <v>2202</v>
      </c>
      <c r="Q3385" s="1220">
        <f t="shared" si="540"/>
        <v>2202</v>
      </c>
      <c r="R3385" s="1220">
        <f t="shared" si="540"/>
        <v>2202</v>
      </c>
      <c r="S3385" s="1220">
        <f t="shared" si="540"/>
        <v>2202</v>
      </c>
      <c r="T3385" s="1220">
        <f t="shared" si="540"/>
        <v>2202</v>
      </c>
      <c r="U3385" s="1220">
        <f t="shared" si="540"/>
        <v>2202</v>
      </c>
      <c r="V3385" s="1220">
        <f t="shared" si="540"/>
        <v>2202</v>
      </c>
      <c r="W3385" s="1220">
        <f t="shared" si="540"/>
        <v>2202</v>
      </c>
      <c r="X3385" s="1220">
        <f t="shared" si="540"/>
        <v>2202</v>
      </c>
      <c r="Y3385" s="1220">
        <f t="shared" si="540"/>
        <v>2202</v>
      </c>
      <c r="Z3385" s="1220">
        <f t="shared" si="540"/>
        <v>2202</v>
      </c>
      <c r="AA3385" s="1220">
        <f t="shared" si="539"/>
        <v>26424</v>
      </c>
      <c r="AB3385" s="1210"/>
      <c r="AC3385" s="1199"/>
      <c r="AD3385" s="1211"/>
    </row>
    <row r="3386" spans="1:31" x14ac:dyDescent="0.2">
      <c r="A3386" s="1422"/>
      <c r="B3386" s="2522"/>
      <c r="C3386" s="2456"/>
      <c r="D3386" s="3369"/>
      <c r="E3386" s="3369"/>
      <c r="F3386" s="2420"/>
      <c r="G3386" s="2420"/>
      <c r="H3386" s="3369"/>
      <c r="I3386" s="2420"/>
      <c r="J3386" s="2955"/>
      <c r="K3386" s="41">
        <v>6378</v>
      </c>
      <c r="L3386" s="3407"/>
      <c r="M3386" s="3287" t="s">
        <v>298</v>
      </c>
      <c r="N3386" s="3288"/>
      <c r="O3386" s="1220"/>
      <c r="P3386" s="1220"/>
      <c r="Q3386" s="1220"/>
      <c r="R3386" s="1220"/>
      <c r="S3386" s="1220"/>
      <c r="T3386" s="1220"/>
      <c r="U3386" s="1220">
        <f>K3386/2</f>
        <v>3189</v>
      </c>
      <c r="V3386" s="1220"/>
      <c r="W3386" s="1220"/>
      <c r="X3386" s="1220"/>
      <c r="Y3386" s="1220"/>
      <c r="Z3386" s="1220">
        <f>K3386/2</f>
        <v>3189</v>
      </c>
      <c r="AA3386" s="1220">
        <f t="shared" si="539"/>
        <v>6378</v>
      </c>
      <c r="AB3386" s="1210"/>
      <c r="AC3386" s="1199"/>
      <c r="AD3386" s="1211"/>
    </row>
    <row r="3387" spans="1:31" x14ac:dyDescent="0.2">
      <c r="A3387" s="1422"/>
      <c r="B3387" s="2522"/>
      <c r="C3387" s="2456"/>
      <c r="D3387" s="3369"/>
      <c r="E3387" s="3369"/>
      <c r="F3387" s="2420"/>
      <c r="G3387" s="2420"/>
      <c r="H3387" s="3369"/>
      <c r="I3387" s="2420"/>
      <c r="J3387" s="2955"/>
      <c r="K3387" s="41">
        <v>4000</v>
      </c>
      <c r="L3387" s="3407"/>
      <c r="M3387" s="3287" t="s">
        <v>299</v>
      </c>
      <c r="N3387" s="3288"/>
      <c r="O3387" s="1220">
        <f>K3387</f>
        <v>4000</v>
      </c>
      <c r="P3387" s="1220"/>
      <c r="Q3387" s="1220"/>
      <c r="R3387" s="1220"/>
      <c r="S3387" s="1220"/>
      <c r="T3387" s="1220"/>
      <c r="U3387" s="1220"/>
      <c r="V3387" s="1220"/>
      <c r="W3387" s="1220"/>
      <c r="X3387" s="1220"/>
      <c r="Y3387" s="1220"/>
      <c r="Z3387" s="1220"/>
      <c r="AA3387" s="1220">
        <f t="shared" si="539"/>
        <v>4000</v>
      </c>
      <c r="AB3387" s="1210"/>
      <c r="AC3387" s="1199"/>
      <c r="AD3387" s="1211"/>
    </row>
    <row r="3388" spans="1:31" x14ac:dyDescent="0.2">
      <c r="A3388" s="1422"/>
      <c r="B3388" s="2522"/>
      <c r="C3388" s="2456"/>
      <c r="D3388" s="3369"/>
      <c r="E3388" s="3369"/>
      <c r="F3388" s="2420"/>
      <c r="G3388" s="2420"/>
      <c r="H3388" s="3369"/>
      <c r="I3388" s="2420"/>
      <c r="J3388" s="2955"/>
      <c r="K3388" s="41">
        <v>16649</v>
      </c>
      <c r="L3388" s="3407"/>
      <c r="M3388" s="3287" t="s">
        <v>300</v>
      </c>
      <c r="N3388" s="3288"/>
      <c r="O3388" s="1220">
        <f>$K3388/12</f>
        <v>1387.4166666666667</v>
      </c>
      <c r="P3388" s="1220">
        <f t="shared" ref="P3388:Z3388" si="541">$K3388/12</f>
        <v>1387.4166666666667</v>
      </c>
      <c r="Q3388" s="1220">
        <f t="shared" si="541"/>
        <v>1387.4166666666667</v>
      </c>
      <c r="R3388" s="1220">
        <f t="shared" si="541"/>
        <v>1387.4166666666667</v>
      </c>
      <c r="S3388" s="1220">
        <f t="shared" si="541"/>
        <v>1387.4166666666667</v>
      </c>
      <c r="T3388" s="1220">
        <f t="shared" si="541"/>
        <v>1387.4166666666667</v>
      </c>
      <c r="U3388" s="1220">
        <f t="shared" si="541"/>
        <v>1387.4166666666667</v>
      </c>
      <c r="V3388" s="1220">
        <f t="shared" si="541"/>
        <v>1387.4166666666667</v>
      </c>
      <c r="W3388" s="1220">
        <f t="shared" si="541"/>
        <v>1387.4166666666667</v>
      </c>
      <c r="X3388" s="1220">
        <f t="shared" si="541"/>
        <v>1387.4166666666667</v>
      </c>
      <c r="Y3388" s="1220">
        <f t="shared" si="541"/>
        <v>1387.4166666666667</v>
      </c>
      <c r="Z3388" s="1220">
        <f t="shared" si="541"/>
        <v>1387.4166666666667</v>
      </c>
      <c r="AA3388" s="1220">
        <f t="shared" si="539"/>
        <v>16648.999999999996</v>
      </c>
      <c r="AB3388" s="1210"/>
      <c r="AC3388" s="1199"/>
      <c r="AD3388" s="1211"/>
    </row>
    <row r="3389" spans="1:31" x14ac:dyDescent="0.2">
      <c r="A3389" s="1422"/>
      <c r="B3389" s="2522"/>
      <c r="C3389" s="2456"/>
      <c r="D3389" s="3369"/>
      <c r="E3389" s="3369"/>
      <c r="F3389" s="2420"/>
      <c r="G3389" s="2420"/>
      <c r="H3389" s="3369"/>
      <c r="I3389" s="2420"/>
      <c r="J3389" s="2955"/>
      <c r="K3389" s="41">
        <v>3000</v>
      </c>
      <c r="L3389" s="3407"/>
      <c r="M3389" s="3287" t="s">
        <v>302</v>
      </c>
      <c r="N3389" s="3288"/>
      <c r="O3389" s="1220"/>
      <c r="P3389" s="1220"/>
      <c r="Q3389" s="1220"/>
      <c r="R3389" s="1220"/>
      <c r="S3389" s="1220">
        <f>K3389</f>
        <v>3000</v>
      </c>
      <c r="T3389" s="1220"/>
      <c r="U3389" s="1220"/>
      <c r="V3389" s="1220"/>
      <c r="W3389" s="1220"/>
      <c r="X3389" s="1220"/>
      <c r="Y3389" s="1220"/>
      <c r="Z3389" s="1220"/>
      <c r="AA3389" s="1220">
        <f t="shared" si="539"/>
        <v>3000</v>
      </c>
      <c r="AB3389" s="1210"/>
      <c r="AC3389" s="1199"/>
      <c r="AD3389" s="1211"/>
    </row>
    <row r="3390" spans="1:31" x14ac:dyDescent="0.2">
      <c r="A3390" s="1422"/>
      <c r="B3390" s="2522"/>
      <c r="C3390" s="2456"/>
      <c r="D3390" s="3369"/>
      <c r="E3390" s="3369"/>
      <c r="F3390" s="2420"/>
      <c r="G3390" s="2420"/>
      <c r="H3390" s="3369"/>
      <c r="I3390" s="2420"/>
      <c r="J3390" s="2955"/>
      <c r="K3390" s="41">
        <v>5000</v>
      </c>
      <c r="L3390" s="3407"/>
      <c r="M3390" s="3287" t="s">
        <v>390</v>
      </c>
      <c r="N3390" s="3288"/>
      <c r="O3390" s="1220"/>
      <c r="P3390" s="1220"/>
      <c r="Q3390" s="1220">
        <f>$K3390</f>
        <v>5000</v>
      </c>
      <c r="R3390" s="1220"/>
      <c r="S3390" s="1220"/>
      <c r="T3390" s="1220"/>
      <c r="U3390" s="1220"/>
      <c r="V3390" s="1220"/>
      <c r="W3390" s="1220"/>
      <c r="X3390" s="1220"/>
      <c r="Y3390" s="1220"/>
      <c r="Z3390" s="1220"/>
      <c r="AA3390" s="1220">
        <f t="shared" si="539"/>
        <v>5000</v>
      </c>
      <c r="AB3390" s="1210"/>
      <c r="AC3390" s="1199"/>
      <c r="AD3390" s="1211"/>
    </row>
    <row r="3391" spans="1:31" x14ac:dyDescent="0.2">
      <c r="A3391" s="1422"/>
      <c r="B3391" s="2522"/>
      <c r="C3391" s="2456"/>
      <c r="D3391" s="3369"/>
      <c r="E3391" s="3369"/>
      <c r="F3391" s="2420"/>
      <c r="G3391" s="2420"/>
      <c r="H3391" s="3369"/>
      <c r="I3391" s="2420"/>
      <c r="J3391" s="2955"/>
      <c r="K3391" s="41">
        <v>5000</v>
      </c>
      <c r="L3391" s="3407"/>
      <c r="M3391" s="3287" t="s">
        <v>393</v>
      </c>
      <c r="N3391" s="3288"/>
      <c r="O3391" s="1220"/>
      <c r="P3391" s="1220"/>
      <c r="Q3391" s="1220"/>
      <c r="R3391" s="1220">
        <f>$K3391</f>
        <v>5000</v>
      </c>
      <c r="S3391" s="1220"/>
      <c r="T3391" s="1220"/>
      <c r="U3391" s="1220"/>
      <c r="V3391" s="1220"/>
      <c r="W3391" s="1220"/>
      <c r="X3391" s="1220"/>
      <c r="Y3391" s="1220"/>
      <c r="Z3391" s="1220"/>
      <c r="AA3391" s="1220">
        <f t="shared" si="539"/>
        <v>5000</v>
      </c>
      <c r="AB3391" s="1210"/>
      <c r="AC3391" s="1199"/>
      <c r="AD3391" s="1211"/>
    </row>
    <row r="3392" spans="1:31" x14ac:dyDescent="0.2">
      <c r="A3392" s="1422"/>
      <c r="B3392" s="2522"/>
      <c r="C3392" s="2450"/>
      <c r="D3392" s="3369"/>
      <c r="E3392" s="3369"/>
      <c r="F3392" s="2420"/>
      <c r="G3392" s="2420"/>
      <c r="H3392" s="3369"/>
      <c r="I3392" s="2420"/>
      <c r="J3392" s="2956"/>
      <c r="K3392" s="41">
        <v>7000</v>
      </c>
      <c r="L3392" s="3408"/>
      <c r="M3392" s="3287" t="s">
        <v>343</v>
      </c>
      <c r="N3392" s="3288"/>
      <c r="O3392" s="1220"/>
      <c r="P3392" s="1220"/>
      <c r="Q3392" s="1220"/>
      <c r="R3392" s="1220">
        <f>$K3392/2</f>
        <v>3500</v>
      </c>
      <c r="S3392" s="1220"/>
      <c r="T3392" s="1220"/>
      <c r="U3392" s="1220"/>
      <c r="V3392" s="1220">
        <f>$K3392/2</f>
        <v>3500</v>
      </c>
      <c r="W3392" s="1220"/>
      <c r="X3392" s="1220"/>
      <c r="Y3392" s="1220"/>
      <c r="Z3392" s="1220"/>
      <c r="AA3392" s="1220">
        <f t="shared" si="539"/>
        <v>7000</v>
      </c>
      <c r="AB3392" s="1210"/>
      <c r="AC3392" s="1199"/>
      <c r="AD3392" s="1211"/>
    </row>
    <row r="3393" spans="1:30" x14ac:dyDescent="0.2">
      <c r="A3393" s="1422"/>
      <c r="B3393" s="1427" t="s">
        <v>312</v>
      </c>
      <c r="C3393" s="1128"/>
      <c r="D3393" s="38"/>
      <c r="E3393" s="38"/>
      <c r="F3393" s="38"/>
      <c r="G3393" s="38"/>
      <c r="H3393" s="38"/>
      <c r="I3393" s="38"/>
      <c r="J3393" s="38"/>
      <c r="K3393" s="41">
        <f>SUM(K3381:K3392)</f>
        <v>420171</v>
      </c>
      <c r="L3393" s="54"/>
      <c r="M3393" s="54"/>
      <c r="N3393" s="54"/>
      <c r="O3393" s="1234"/>
      <c r="P3393" s="1234"/>
      <c r="Q3393" s="1234"/>
      <c r="R3393" s="1234"/>
      <c r="S3393" s="1234"/>
      <c r="T3393" s="1234"/>
      <c r="U3393" s="1234"/>
      <c r="V3393" s="1234"/>
      <c r="W3393" s="1234"/>
      <c r="X3393" s="1234"/>
      <c r="Y3393" s="1234"/>
      <c r="Z3393" s="1234"/>
      <c r="AA3393" s="1225"/>
      <c r="AB3393" s="1210"/>
      <c r="AC3393" s="1199"/>
      <c r="AD3393" s="1211"/>
    </row>
    <row r="3394" spans="1:30" ht="15" customHeight="1" x14ac:dyDescent="0.2">
      <c r="A3394" s="1422"/>
      <c r="B3394" s="1433" t="s">
        <v>276</v>
      </c>
      <c r="C3394" s="1119"/>
      <c r="D3394" s="35">
        <v>3000684</v>
      </c>
      <c r="E3394" s="192" t="s">
        <v>924</v>
      </c>
      <c r="F3394" s="35"/>
      <c r="G3394" s="35"/>
      <c r="H3394" s="35"/>
      <c r="I3394" s="35"/>
      <c r="J3394" s="35"/>
      <c r="K3394" s="35"/>
      <c r="L3394" s="35"/>
      <c r="M3394" s="35"/>
      <c r="N3394" s="35"/>
      <c r="O3394" s="1210"/>
      <c r="P3394" s="1210"/>
      <c r="Q3394" s="1210"/>
      <c r="R3394" s="1210"/>
      <c r="S3394" s="1210"/>
      <c r="T3394" s="3333" t="s">
        <v>15</v>
      </c>
      <c r="U3394" s="3333"/>
      <c r="V3394" s="3333"/>
      <c r="W3394" s="3333"/>
      <c r="X3394" s="3333"/>
      <c r="Y3394" s="3333"/>
      <c r="Z3394" s="3430" t="s">
        <v>16</v>
      </c>
      <c r="AA3394" s="3430"/>
      <c r="AB3394" s="1210"/>
      <c r="AC3394" s="1199"/>
      <c r="AD3394" s="1211"/>
    </row>
    <row r="3395" spans="1:30" ht="12" thickBot="1" x14ac:dyDescent="0.25">
      <c r="A3395" s="1422"/>
      <c r="B3395" s="1433"/>
      <c r="C3395" s="1119"/>
      <c r="D3395" s="35"/>
      <c r="E3395" s="192"/>
      <c r="F3395" s="35"/>
      <c r="G3395" s="35"/>
      <c r="H3395" s="35"/>
      <c r="I3395" s="35"/>
      <c r="J3395" s="35"/>
      <c r="K3395" s="35"/>
      <c r="L3395" s="35"/>
      <c r="M3395" s="35"/>
      <c r="N3395" s="35"/>
      <c r="O3395" s="1210"/>
      <c r="P3395" s="1210"/>
      <c r="Q3395" s="1210"/>
      <c r="R3395" s="1210"/>
      <c r="S3395" s="1210"/>
      <c r="T3395" s="3333" t="s">
        <v>925</v>
      </c>
      <c r="U3395" s="3333"/>
      <c r="V3395" s="3333"/>
      <c r="W3395" s="3333"/>
      <c r="X3395" s="3333"/>
      <c r="Y3395" s="3333"/>
      <c r="Z3395" s="3431" t="s">
        <v>477</v>
      </c>
      <c r="AA3395" s="3431"/>
      <c r="AB3395" s="1210"/>
      <c r="AC3395" s="1199"/>
      <c r="AD3395" s="1211"/>
    </row>
    <row r="3396" spans="1:30" x14ac:dyDescent="0.2">
      <c r="A3396" s="1422"/>
      <c r="B3396" s="2999" t="s">
        <v>278</v>
      </c>
      <c r="C3396" s="3015" t="s">
        <v>21</v>
      </c>
      <c r="D3396" s="2847" t="s">
        <v>22</v>
      </c>
      <c r="E3396" s="2847" t="s">
        <v>23</v>
      </c>
      <c r="F3396" s="2847" t="s">
        <v>24</v>
      </c>
      <c r="G3396" s="2847" t="s">
        <v>25</v>
      </c>
      <c r="H3396" s="2847" t="s">
        <v>26</v>
      </c>
      <c r="I3396" s="2847" t="s">
        <v>27</v>
      </c>
      <c r="J3396" s="3416" t="s">
        <v>28</v>
      </c>
      <c r="K3396" s="3416"/>
      <c r="L3396" s="3409" t="s">
        <v>279</v>
      </c>
      <c r="M3396" s="3411" t="s">
        <v>280</v>
      </c>
      <c r="N3396" s="3412"/>
      <c r="O3396" s="3422" t="s">
        <v>281</v>
      </c>
      <c r="P3396" s="3423"/>
      <c r="Q3396" s="3423"/>
      <c r="R3396" s="3423"/>
      <c r="S3396" s="3423"/>
      <c r="T3396" s="3423"/>
      <c r="U3396" s="3423"/>
      <c r="V3396" s="3423"/>
      <c r="W3396" s="3423"/>
      <c r="X3396" s="3423"/>
      <c r="Y3396" s="3423"/>
      <c r="Z3396" s="3424"/>
      <c r="AA3396" s="3358" t="s">
        <v>32</v>
      </c>
      <c r="AB3396" s="1210"/>
      <c r="AC3396" s="1199"/>
      <c r="AD3396" s="1211"/>
    </row>
    <row r="3397" spans="1:30" x14ac:dyDescent="0.2">
      <c r="A3397" s="1422"/>
      <c r="B3397" s="2999"/>
      <c r="C3397" s="3359"/>
      <c r="D3397" s="2847"/>
      <c r="E3397" s="2847"/>
      <c r="F3397" s="2847"/>
      <c r="G3397" s="2847"/>
      <c r="H3397" s="2847"/>
      <c r="I3397" s="2847"/>
      <c r="J3397" s="2988" t="s">
        <v>33</v>
      </c>
      <c r="K3397" s="2988" t="s">
        <v>282</v>
      </c>
      <c r="L3397" s="3410"/>
      <c r="M3397" s="3275"/>
      <c r="N3397" s="3318"/>
      <c r="O3397" s="1229" t="s">
        <v>283</v>
      </c>
      <c r="P3397" s="1230" t="s">
        <v>284</v>
      </c>
      <c r="Q3397" s="1230" t="s">
        <v>285</v>
      </c>
      <c r="R3397" s="1230" t="s">
        <v>88</v>
      </c>
      <c r="S3397" s="1230" t="s">
        <v>89</v>
      </c>
      <c r="T3397" s="1230" t="s">
        <v>90</v>
      </c>
      <c r="U3397" s="1230" t="s">
        <v>91</v>
      </c>
      <c r="V3397" s="1230" t="s">
        <v>92</v>
      </c>
      <c r="W3397" s="1230" t="s">
        <v>286</v>
      </c>
      <c r="X3397" s="1230" t="s">
        <v>93</v>
      </c>
      <c r="Y3397" s="1230" t="s">
        <v>94</v>
      </c>
      <c r="Z3397" s="1231" t="s">
        <v>95</v>
      </c>
      <c r="AA3397" s="3358"/>
      <c r="AB3397" s="1210"/>
      <c r="AC3397" s="1199"/>
      <c r="AD3397" s="1211"/>
    </row>
    <row r="3398" spans="1:30" ht="12.75" x14ac:dyDescent="0.2">
      <c r="A3398" s="1422"/>
      <c r="B3398" s="2999"/>
      <c r="C3398" s="3359"/>
      <c r="D3398" s="2847"/>
      <c r="E3398" s="2847"/>
      <c r="F3398" s="2847"/>
      <c r="G3398" s="2847"/>
      <c r="H3398" s="2847"/>
      <c r="I3398" s="2847"/>
      <c r="J3398" s="3186"/>
      <c r="K3398" s="3186"/>
      <c r="L3398" s="3410"/>
      <c r="M3398" s="3273" t="s">
        <v>287</v>
      </c>
      <c r="N3398" s="3314"/>
      <c r="O3398" s="1220">
        <v>1785</v>
      </c>
      <c r="P3398" s="1220">
        <v>1785</v>
      </c>
      <c r="Q3398" s="1220">
        <v>1785</v>
      </c>
      <c r="R3398" s="1220">
        <v>1785</v>
      </c>
      <c r="S3398" s="1220">
        <v>1787</v>
      </c>
      <c r="T3398" s="1220">
        <v>1787</v>
      </c>
      <c r="U3398" s="1220">
        <v>1786</v>
      </c>
      <c r="V3398" s="1220">
        <v>1785</v>
      </c>
      <c r="W3398" s="1220">
        <v>1785</v>
      </c>
      <c r="X3398" s="1220">
        <v>1785</v>
      </c>
      <c r="Y3398" s="1220">
        <v>1785</v>
      </c>
      <c r="Z3398" s="1220">
        <v>1785</v>
      </c>
      <c r="AA3398" s="1219">
        <f>SUM(O3398:Z3398)</f>
        <v>21425</v>
      </c>
      <c r="AB3398" s="1210"/>
      <c r="AC3398" s="1199"/>
      <c r="AD3398" s="1211"/>
    </row>
    <row r="3399" spans="1:30" ht="12.75" x14ac:dyDescent="0.2">
      <c r="A3399" s="1422"/>
      <c r="B3399" s="2999"/>
      <c r="C3399" s="3016"/>
      <c r="D3399" s="2847"/>
      <c r="E3399" s="2847"/>
      <c r="F3399" s="2847"/>
      <c r="G3399" s="2847"/>
      <c r="H3399" s="2847"/>
      <c r="I3399" s="2847"/>
      <c r="J3399" s="3186"/>
      <c r="K3399" s="3186"/>
      <c r="L3399" s="3143"/>
      <c r="M3399" s="3273" t="s">
        <v>34</v>
      </c>
      <c r="N3399" s="3314"/>
      <c r="O3399" s="1220">
        <f>SUM(O3400)</f>
        <v>0</v>
      </c>
      <c r="P3399" s="1220">
        <f t="shared" ref="P3399:Z3399" si="542">SUM(P3400)</f>
        <v>0</v>
      </c>
      <c r="Q3399" s="1220">
        <f t="shared" si="542"/>
        <v>5000</v>
      </c>
      <c r="R3399" s="1220">
        <f t="shared" si="542"/>
        <v>0</v>
      </c>
      <c r="S3399" s="1220">
        <f t="shared" si="542"/>
        <v>0</v>
      </c>
      <c r="T3399" s="1220">
        <f t="shared" si="542"/>
        <v>0</v>
      </c>
      <c r="U3399" s="1220">
        <f t="shared" si="542"/>
        <v>5000</v>
      </c>
      <c r="V3399" s="1220">
        <f t="shared" si="542"/>
        <v>0</v>
      </c>
      <c r="W3399" s="1220">
        <f t="shared" si="542"/>
        <v>0</v>
      </c>
      <c r="X3399" s="1220">
        <f t="shared" si="542"/>
        <v>0</v>
      </c>
      <c r="Y3399" s="1220">
        <f t="shared" si="542"/>
        <v>0</v>
      </c>
      <c r="Z3399" s="1220">
        <f t="shared" si="542"/>
        <v>0</v>
      </c>
      <c r="AA3399" s="1219">
        <f t="shared" ref="AA3399:AA3400" si="543">SUM(O3399:Z3399)</f>
        <v>10000</v>
      </c>
      <c r="AB3399" s="1210"/>
      <c r="AC3399" s="1199"/>
      <c r="AD3399" s="1211"/>
    </row>
    <row r="3400" spans="1:30" ht="33.75" x14ac:dyDescent="0.2">
      <c r="A3400" s="1422"/>
      <c r="B3400" s="1923">
        <v>5002792</v>
      </c>
      <c r="C3400" s="1273" t="s">
        <v>926</v>
      </c>
      <c r="D3400" s="1044"/>
      <c r="E3400" s="1068" t="s">
        <v>860</v>
      </c>
      <c r="F3400" s="136" t="s">
        <v>386</v>
      </c>
      <c r="G3400" s="1073" t="s">
        <v>387</v>
      </c>
      <c r="H3400" s="1044"/>
      <c r="I3400" s="136" t="s">
        <v>457</v>
      </c>
      <c r="J3400" s="41">
        <v>21425</v>
      </c>
      <c r="K3400" s="41">
        <v>10000</v>
      </c>
      <c r="L3400" s="137"/>
      <c r="M3400" s="3287" t="s">
        <v>355</v>
      </c>
      <c r="N3400" s="3288"/>
      <c r="O3400" s="1220"/>
      <c r="P3400" s="1220"/>
      <c r="Q3400" s="1220">
        <f>$K3400/2</f>
        <v>5000</v>
      </c>
      <c r="R3400" s="1220"/>
      <c r="S3400" s="1220"/>
      <c r="T3400" s="1220"/>
      <c r="U3400" s="1220">
        <f>$K3400/2</f>
        <v>5000</v>
      </c>
      <c r="V3400" s="1220"/>
      <c r="W3400" s="1220"/>
      <c r="X3400" s="1220"/>
      <c r="Y3400" s="1220"/>
      <c r="Z3400" s="1220"/>
      <c r="AA3400" s="1220">
        <f t="shared" si="543"/>
        <v>10000</v>
      </c>
      <c r="AB3400" s="1210"/>
      <c r="AC3400" s="1199"/>
      <c r="AD3400" s="1211"/>
    </row>
    <row r="3401" spans="1:30" x14ac:dyDescent="0.2">
      <c r="A3401" s="1422"/>
      <c r="B3401" s="1427" t="s">
        <v>312</v>
      </c>
      <c r="C3401" s="1128"/>
      <c r="D3401" s="38"/>
      <c r="E3401" s="38"/>
      <c r="F3401" s="38"/>
      <c r="G3401" s="38"/>
      <c r="H3401" s="38"/>
      <c r="I3401" s="38"/>
      <c r="J3401" s="38"/>
      <c r="K3401" s="38"/>
      <c r="L3401" s="38"/>
      <c r="M3401" s="38"/>
      <c r="N3401" s="38"/>
      <c r="O3401" s="1234"/>
      <c r="P3401" s="1234"/>
      <c r="Q3401" s="1234"/>
      <c r="R3401" s="1234"/>
      <c r="S3401" s="1234"/>
      <c r="T3401" s="1234"/>
      <c r="U3401" s="1234"/>
      <c r="V3401" s="1234"/>
      <c r="W3401" s="1234"/>
      <c r="X3401" s="1234"/>
      <c r="Y3401" s="1234"/>
      <c r="Z3401" s="1234"/>
      <c r="AA3401" s="1225"/>
      <c r="AB3401" s="1210"/>
      <c r="AC3401" s="1199"/>
      <c r="AD3401" s="1211"/>
    </row>
    <row r="3402" spans="1:30" x14ac:dyDescent="0.2">
      <c r="A3402" s="1422"/>
      <c r="B3402" s="1433" t="s">
        <v>276</v>
      </c>
      <c r="C3402" s="1119"/>
      <c r="D3402" s="35">
        <v>3000686</v>
      </c>
      <c r="E3402" s="192" t="s">
        <v>927</v>
      </c>
      <c r="F3402" s="35"/>
      <c r="G3402" s="35"/>
      <c r="H3402" s="35"/>
      <c r="I3402" s="35"/>
      <c r="J3402" s="35"/>
      <c r="K3402" s="35"/>
      <c r="L3402" s="35"/>
      <c r="M3402" s="35"/>
      <c r="N3402" s="35"/>
      <c r="O3402" s="1210"/>
      <c r="P3402" s="1210"/>
      <c r="Q3402" s="1210"/>
      <c r="R3402" s="1210"/>
      <c r="S3402" s="1210"/>
      <c r="T3402" s="3333" t="s">
        <v>15</v>
      </c>
      <c r="U3402" s="3333"/>
      <c r="V3402" s="3333"/>
      <c r="W3402" s="3333"/>
      <c r="X3402" s="3333"/>
      <c r="Y3402" s="3333"/>
      <c r="Z3402" s="3333" t="s">
        <v>16</v>
      </c>
      <c r="AA3402" s="3333"/>
      <c r="AB3402" s="1210"/>
      <c r="AC3402" s="1199"/>
      <c r="AD3402" s="1211"/>
    </row>
    <row r="3403" spans="1:30" ht="12" thickBot="1" x14ac:dyDescent="0.25">
      <c r="A3403" s="1422"/>
      <c r="B3403" s="1433"/>
      <c r="C3403" s="1119"/>
      <c r="D3403" s="35"/>
      <c r="E3403" s="192"/>
      <c r="F3403" s="35"/>
      <c r="G3403" s="35"/>
      <c r="H3403" s="35"/>
      <c r="I3403" s="35"/>
      <c r="J3403" s="35"/>
      <c r="K3403" s="35"/>
      <c r="L3403" s="35"/>
      <c r="M3403" s="35"/>
      <c r="N3403" s="35"/>
      <c r="O3403" s="1210"/>
      <c r="P3403" s="1210"/>
      <c r="Q3403" s="1210"/>
      <c r="R3403" s="1210"/>
      <c r="S3403" s="1210"/>
      <c r="T3403" s="3333" t="s">
        <v>928</v>
      </c>
      <c r="U3403" s="3333"/>
      <c r="V3403" s="3333"/>
      <c r="W3403" s="3333"/>
      <c r="X3403" s="3333"/>
      <c r="Y3403" s="3333"/>
      <c r="Z3403" s="3333" t="s">
        <v>642</v>
      </c>
      <c r="AA3403" s="3333"/>
      <c r="AB3403" s="1210"/>
      <c r="AC3403" s="1199"/>
      <c r="AD3403" s="1211"/>
    </row>
    <row r="3404" spans="1:30" x14ac:dyDescent="0.2">
      <c r="A3404" s="1422"/>
      <c r="B3404" s="2999" t="s">
        <v>278</v>
      </c>
      <c r="C3404" s="3015" t="s">
        <v>21</v>
      </c>
      <c r="D3404" s="2847" t="s">
        <v>22</v>
      </c>
      <c r="E3404" s="2847" t="s">
        <v>23</v>
      </c>
      <c r="F3404" s="2847" t="s">
        <v>24</v>
      </c>
      <c r="G3404" s="2847" t="s">
        <v>25</v>
      </c>
      <c r="H3404" s="2847" t="s">
        <v>26</v>
      </c>
      <c r="I3404" s="2847" t="s">
        <v>27</v>
      </c>
      <c r="J3404" s="3416" t="s">
        <v>28</v>
      </c>
      <c r="K3404" s="3416"/>
      <c r="L3404" s="3409" t="s">
        <v>279</v>
      </c>
      <c r="M3404" s="3411" t="s">
        <v>280</v>
      </c>
      <c r="N3404" s="3412"/>
      <c r="O3404" s="3422" t="s">
        <v>281</v>
      </c>
      <c r="P3404" s="3423"/>
      <c r="Q3404" s="3423"/>
      <c r="R3404" s="3423"/>
      <c r="S3404" s="3423"/>
      <c r="T3404" s="3423"/>
      <c r="U3404" s="3423"/>
      <c r="V3404" s="3423"/>
      <c r="W3404" s="3423"/>
      <c r="X3404" s="3423"/>
      <c r="Y3404" s="3423"/>
      <c r="Z3404" s="3424"/>
      <c r="AA3404" s="3358" t="s">
        <v>32</v>
      </c>
      <c r="AB3404" s="1210"/>
      <c r="AC3404" s="1199"/>
      <c r="AD3404" s="1211"/>
    </row>
    <row r="3405" spans="1:30" x14ac:dyDescent="0.2">
      <c r="A3405" s="1422"/>
      <c r="B3405" s="2999"/>
      <c r="C3405" s="3359"/>
      <c r="D3405" s="2847"/>
      <c r="E3405" s="2847"/>
      <c r="F3405" s="2847"/>
      <c r="G3405" s="2847"/>
      <c r="H3405" s="2847"/>
      <c r="I3405" s="2847"/>
      <c r="J3405" s="2988" t="s">
        <v>33</v>
      </c>
      <c r="K3405" s="2988" t="s">
        <v>282</v>
      </c>
      <c r="L3405" s="3410"/>
      <c r="M3405" s="3275"/>
      <c r="N3405" s="3318"/>
      <c r="O3405" s="1229" t="s">
        <v>283</v>
      </c>
      <c r="P3405" s="1230" t="s">
        <v>284</v>
      </c>
      <c r="Q3405" s="1230" t="s">
        <v>285</v>
      </c>
      <c r="R3405" s="1230" t="s">
        <v>88</v>
      </c>
      <c r="S3405" s="1230" t="s">
        <v>89</v>
      </c>
      <c r="T3405" s="1230" t="s">
        <v>90</v>
      </c>
      <c r="U3405" s="1230" t="s">
        <v>91</v>
      </c>
      <c r="V3405" s="1230" t="s">
        <v>92</v>
      </c>
      <c r="W3405" s="1230" t="s">
        <v>286</v>
      </c>
      <c r="X3405" s="1230" t="s">
        <v>93</v>
      </c>
      <c r="Y3405" s="1230" t="s">
        <v>94</v>
      </c>
      <c r="Z3405" s="1231" t="s">
        <v>95</v>
      </c>
      <c r="AA3405" s="3358"/>
      <c r="AB3405" s="1210"/>
      <c r="AC3405" s="1199"/>
      <c r="AD3405" s="1211"/>
    </row>
    <row r="3406" spans="1:30" ht="12.75" x14ac:dyDescent="0.2">
      <c r="A3406" s="1422"/>
      <c r="B3406" s="2999"/>
      <c r="C3406" s="3359"/>
      <c r="D3406" s="2847"/>
      <c r="E3406" s="2847"/>
      <c r="F3406" s="2847"/>
      <c r="G3406" s="2847"/>
      <c r="H3406" s="2847"/>
      <c r="I3406" s="2847"/>
      <c r="J3406" s="3186"/>
      <c r="K3406" s="3186"/>
      <c r="L3406" s="3410"/>
      <c r="M3406" s="3273" t="s">
        <v>287</v>
      </c>
      <c r="N3406" s="3314"/>
      <c r="O3406" s="1220">
        <v>126</v>
      </c>
      <c r="P3406" s="1220">
        <v>127</v>
      </c>
      <c r="Q3406" s="1220">
        <v>129</v>
      </c>
      <c r="R3406" s="1220">
        <v>129</v>
      </c>
      <c r="S3406" s="1220">
        <v>129</v>
      </c>
      <c r="T3406" s="1220">
        <v>129</v>
      </c>
      <c r="U3406" s="1220">
        <v>129</v>
      </c>
      <c r="V3406" s="1220">
        <v>129</v>
      </c>
      <c r="W3406" s="1220">
        <v>129</v>
      </c>
      <c r="X3406" s="1220">
        <v>129</v>
      </c>
      <c r="Y3406" s="1220">
        <v>129</v>
      </c>
      <c r="Z3406" s="1220">
        <v>129</v>
      </c>
      <c r="AA3406" s="1219">
        <f>SUM(O3406:Z3406)</f>
        <v>1543</v>
      </c>
      <c r="AB3406" s="1210"/>
      <c r="AC3406" s="1199"/>
      <c r="AD3406" s="1211"/>
    </row>
    <row r="3407" spans="1:30" ht="12.75" x14ac:dyDescent="0.2">
      <c r="A3407" s="1422"/>
      <c r="B3407" s="2999"/>
      <c r="C3407" s="3016"/>
      <c r="D3407" s="2847"/>
      <c r="E3407" s="2847"/>
      <c r="F3407" s="2847"/>
      <c r="G3407" s="2847"/>
      <c r="H3407" s="2847"/>
      <c r="I3407" s="2847"/>
      <c r="J3407" s="3186"/>
      <c r="K3407" s="3186"/>
      <c r="L3407" s="3143"/>
      <c r="M3407" s="3273" t="s">
        <v>34</v>
      </c>
      <c r="N3407" s="3314"/>
      <c r="O3407" s="1220">
        <f>SUM(O3408:O3419)</f>
        <v>144214.58333333334</v>
      </c>
      <c r="P3407" s="1220">
        <f t="shared" ref="P3407:Z3407" si="544">SUM(P3408:P3419)</f>
        <v>130214.58333333334</v>
      </c>
      <c r="Q3407" s="1220">
        <f t="shared" si="544"/>
        <v>131214.58333333334</v>
      </c>
      <c r="R3407" s="1220">
        <f t="shared" si="544"/>
        <v>138214.58333333334</v>
      </c>
      <c r="S3407" s="1220">
        <f t="shared" si="544"/>
        <v>131214.58333333334</v>
      </c>
      <c r="T3407" s="1220">
        <f t="shared" si="544"/>
        <v>130214.58333333334</v>
      </c>
      <c r="U3407" s="1220">
        <f t="shared" si="544"/>
        <v>142308.58333333334</v>
      </c>
      <c r="V3407" s="1220">
        <f t="shared" si="544"/>
        <v>133214.58333333334</v>
      </c>
      <c r="W3407" s="1220">
        <f t="shared" si="544"/>
        <v>131214.58333333334</v>
      </c>
      <c r="X3407" s="1220">
        <f t="shared" si="544"/>
        <v>130214.58333333334</v>
      </c>
      <c r="Y3407" s="1220">
        <f t="shared" si="544"/>
        <v>131214.58333333334</v>
      </c>
      <c r="Z3407" s="1220">
        <f t="shared" si="544"/>
        <v>141308.58333333334</v>
      </c>
      <c r="AA3407" s="1219">
        <f t="shared" ref="AA3407:AA3419" si="545">SUM(O3407:Z3407)</f>
        <v>1614762.9999999998</v>
      </c>
      <c r="AB3407" s="1210"/>
      <c r="AC3407" s="1199"/>
      <c r="AD3407" s="1211"/>
    </row>
    <row r="3408" spans="1:30" x14ac:dyDescent="0.2">
      <c r="A3408" s="1422"/>
      <c r="B3408" s="2522">
        <v>5005142</v>
      </c>
      <c r="C3408" s="2438" t="s">
        <v>929</v>
      </c>
      <c r="D3408" s="2420">
        <v>108</v>
      </c>
      <c r="E3408" s="2420" t="s">
        <v>860</v>
      </c>
      <c r="F3408" s="2420" t="s">
        <v>386</v>
      </c>
      <c r="G3408" s="2420" t="s">
        <v>423</v>
      </c>
      <c r="H3408" s="3369"/>
      <c r="I3408" s="2514" t="s">
        <v>457</v>
      </c>
      <c r="J3408" s="3187">
        <v>1543</v>
      </c>
      <c r="K3408" s="41">
        <v>575022</v>
      </c>
      <c r="L3408" s="3406"/>
      <c r="M3408" s="3287" t="s">
        <v>293</v>
      </c>
      <c r="N3408" s="3288"/>
      <c r="O3408" s="1220">
        <f t="shared" ref="O3408:Z3413" si="546">$K3408/12</f>
        <v>47918.5</v>
      </c>
      <c r="P3408" s="1220">
        <f t="shared" si="546"/>
        <v>47918.5</v>
      </c>
      <c r="Q3408" s="1220">
        <f t="shared" si="546"/>
        <v>47918.5</v>
      </c>
      <c r="R3408" s="1220">
        <f t="shared" si="546"/>
        <v>47918.5</v>
      </c>
      <c r="S3408" s="1220">
        <f t="shared" si="546"/>
        <v>47918.5</v>
      </c>
      <c r="T3408" s="1220">
        <f t="shared" si="546"/>
        <v>47918.5</v>
      </c>
      <c r="U3408" s="1220">
        <f t="shared" si="546"/>
        <v>47918.5</v>
      </c>
      <c r="V3408" s="1220">
        <f t="shared" si="546"/>
        <v>47918.5</v>
      </c>
      <c r="W3408" s="1220">
        <f t="shared" si="546"/>
        <v>47918.5</v>
      </c>
      <c r="X3408" s="1220">
        <f t="shared" si="546"/>
        <v>47918.5</v>
      </c>
      <c r="Y3408" s="1220">
        <f t="shared" si="546"/>
        <v>47918.5</v>
      </c>
      <c r="Z3408" s="1220">
        <f t="shared" si="546"/>
        <v>47918.5</v>
      </c>
      <c r="AA3408" s="1220">
        <f t="shared" si="545"/>
        <v>575022</v>
      </c>
      <c r="AB3408" s="1210"/>
      <c r="AC3408" s="1199"/>
      <c r="AD3408" s="1211"/>
    </row>
    <row r="3409" spans="1:30" x14ac:dyDescent="0.2">
      <c r="A3409" s="1422"/>
      <c r="B3409" s="2522"/>
      <c r="C3409" s="2456"/>
      <c r="D3409" s="2420"/>
      <c r="E3409" s="2420"/>
      <c r="F3409" s="2420"/>
      <c r="G3409" s="2420"/>
      <c r="H3409" s="3369"/>
      <c r="I3409" s="2515"/>
      <c r="J3409" s="2955"/>
      <c r="K3409" s="41">
        <v>65442</v>
      </c>
      <c r="L3409" s="3407"/>
      <c r="M3409" s="3287" t="s">
        <v>321</v>
      </c>
      <c r="N3409" s="3288"/>
      <c r="O3409" s="1220">
        <f t="shared" si="546"/>
        <v>5453.5</v>
      </c>
      <c r="P3409" s="1220">
        <f t="shared" si="546"/>
        <v>5453.5</v>
      </c>
      <c r="Q3409" s="1220">
        <f t="shared" si="546"/>
        <v>5453.5</v>
      </c>
      <c r="R3409" s="1220">
        <f t="shared" si="546"/>
        <v>5453.5</v>
      </c>
      <c r="S3409" s="1220">
        <f t="shared" si="546"/>
        <v>5453.5</v>
      </c>
      <c r="T3409" s="1220">
        <f t="shared" si="546"/>
        <v>5453.5</v>
      </c>
      <c r="U3409" s="1220">
        <f t="shared" si="546"/>
        <v>5453.5</v>
      </c>
      <c r="V3409" s="1220">
        <f t="shared" si="546"/>
        <v>5453.5</v>
      </c>
      <c r="W3409" s="1220">
        <f t="shared" si="546"/>
        <v>5453.5</v>
      </c>
      <c r="X3409" s="1220">
        <f t="shared" si="546"/>
        <v>5453.5</v>
      </c>
      <c r="Y3409" s="1220">
        <f t="shared" si="546"/>
        <v>5453.5</v>
      </c>
      <c r="Z3409" s="1220">
        <f t="shared" si="546"/>
        <v>5453.5</v>
      </c>
      <c r="AA3409" s="1220">
        <f t="shared" si="545"/>
        <v>65442</v>
      </c>
      <c r="AB3409" s="1210"/>
      <c r="AC3409" s="1199"/>
      <c r="AD3409" s="1211"/>
    </row>
    <row r="3410" spans="1:30" x14ac:dyDescent="0.2">
      <c r="A3410" s="1422"/>
      <c r="B3410" s="2522"/>
      <c r="C3410" s="2456"/>
      <c r="D3410" s="2420"/>
      <c r="E3410" s="2420"/>
      <c r="F3410" s="2420"/>
      <c r="G3410" s="2420"/>
      <c r="H3410" s="3369"/>
      <c r="I3410" s="2515"/>
      <c r="J3410" s="2955"/>
      <c r="K3410" s="41">
        <v>320820</v>
      </c>
      <c r="L3410" s="3407"/>
      <c r="M3410" s="3287" t="s">
        <v>295</v>
      </c>
      <c r="N3410" s="3288"/>
      <c r="O3410" s="1220">
        <f t="shared" si="546"/>
        <v>26735</v>
      </c>
      <c r="P3410" s="1220">
        <f t="shared" si="546"/>
        <v>26735</v>
      </c>
      <c r="Q3410" s="1220">
        <f t="shared" si="546"/>
        <v>26735</v>
      </c>
      <c r="R3410" s="1220">
        <f t="shared" si="546"/>
        <v>26735</v>
      </c>
      <c r="S3410" s="1220">
        <f t="shared" si="546"/>
        <v>26735</v>
      </c>
      <c r="T3410" s="1220">
        <f t="shared" si="546"/>
        <v>26735</v>
      </c>
      <c r="U3410" s="1220">
        <f t="shared" si="546"/>
        <v>26735</v>
      </c>
      <c r="V3410" s="1220">
        <f t="shared" si="546"/>
        <v>26735</v>
      </c>
      <c r="W3410" s="1220">
        <f t="shared" si="546"/>
        <v>26735</v>
      </c>
      <c r="X3410" s="1220">
        <f t="shared" si="546"/>
        <v>26735</v>
      </c>
      <c r="Y3410" s="1220">
        <f t="shared" si="546"/>
        <v>26735</v>
      </c>
      <c r="Z3410" s="1220">
        <f t="shared" si="546"/>
        <v>26735</v>
      </c>
      <c r="AA3410" s="1220">
        <f t="shared" si="545"/>
        <v>320820</v>
      </c>
      <c r="AB3410" s="1210"/>
      <c r="AC3410" s="1199"/>
      <c r="AD3410" s="1211"/>
    </row>
    <row r="3411" spans="1:30" x14ac:dyDescent="0.2">
      <c r="A3411" s="1422"/>
      <c r="B3411" s="2522"/>
      <c r="C3411" s="2456"/>
      <c r="D3411" s="2420"/>
      <c r="E3411" s="2420"/>
      <c r="F3411" s="2420"/>
      <c r="G3411" s="2420"/>
      <c r="H3411" s="3369"/>
      <c r="I3411" s="2515"/>
      <c r="J3411" s="2955"/>
      <c r="K3411" s="41">
        <v>20688</v>
      </c>
      <c r="L3411" s="3407"/>
      <c r="M3411" s="3287" t="s">
        <v>332</v>
      </c>
      <c r="N3411" s="3288"/>
      <c r="O3411" s="1220">
        <f t="shared" si="546"/>
        <v>1724</v>
      </c>
      <c r="P3411" s="1220">
        <f t="shared" si="546"/>
        <v>1724</v>
      </c>
      <c r="Q3411" s="1220">
        <f t="shared" si="546"/>
        <v>1724</v>
      </c>
      <c r="R3411" s="1220">
        <f t="shared" si="546"/>
        <v>1724</v>
      </c>
      <c r="S3411" s="1220">
        <f t="shared" si="546"/>
        <v>1724</v>
      </c>
      <c r="T3411" s="1220">
        <f t="shared" si="546"/>
        <v>1724</v>
      </c>
      <c r="U3411" s="1220">
        <f t="shared" si="546"/>
        <v>1724</v>
      </c>
      <c r="V3411" s="1220">
        <f t="shared" si="546"/>
        <v>1724</v>
      </c>
      <c r="W3411" s="1220">
        <f t="shared" si="546"/>
        <v>1724</v>
      </c>
      <c r="X3411" s="1220">
        <f t="shared" si="546"/>
        <v>1724</v>
      </c>
      <c r="Y3411" s="1220">
        <f t="shared" si="546"/>
        <v>1724</v>
      </c>
      <c r="Z3411" s="1220">
        <f t="shared" si="546"/>
        <v>1724</v>
      </c>
      <c r="AA3411" s="1220">
        <f t="shared" si="545"/>
        <v>20688</v>
      </c>
      <c r="AB3411" s="1210"/>
      <c r="AC3411" s="1199"/>
      <c r="AD3411" s="1211"/>
    </row>
    <row r="3412" spans="1:30" x14ac:dyDescent="0.2">
      <c r="A3412" s="1422"/>
      <c r="B3412" s="2522"/>
      <c r="C3412" s="2456"/>
      <c r="D3412" s="2420"/>
      <c r="E3412" s="2420"/>
      <c r="F3412" s="2420"/>
      <c r="G3412" s="2420"/>
      <c r="H3412" s="3369"/>
      <c r="I3412" s="2515"/>
      <c r="J3412" s="2955"/>
      <c r="K3412" s="41">
        <v>405820</v>
      </c>
      <c r="L3412" s="3407"/>
      <c r="M3412" s="3287" t="s">
        <v>296</v>
      </c>
      <c r="N3412" s="3288"/>
      <c r="O3412" s="1220">
        <f t="shared" si="546"/>
        <v>33818.333333333336</v>
      </c>
      <c r="P3412" s="1220">
        <f t="shared" si="546"/>
        <v>33818.333333333336</v>
      </c>
      <c r="Q3412" s="1220">
        <f t="shared" si="546"/>
        <v>33818.333333333336</v>
      </c>
      <c r="R3412" s="1220">
        <f t="shared" si="546"/>
        <v>33818.333333333336</v>
      </c>
      <c r="S3412" s="1220">
        <f t="shared" si="546"/>
        <v>33818.333333333336</v>
      </c>
      <c r="T3412" s="1220">
        <f t="shared" si="546"/>
        <v>33818.333333333336</v>
      </c>
      <c r="U3412" s="1220">
        <f t="shared" si="546"/>
        <v>33818.333333333336</v>
      </c>
      <c r="V3412" s="1220">
        <f t="shared" si="546"/>
        <v>33818.333333333336</v>
      </c>
      <c r="W3412" s="1220">
        <f t="shared" si="546"/>
        <v>33818.333333333336</v>
      </c>
      <c r="X3412" s="1220">
        <f t="shared" si="546"/>
        <v>33818.333333333336</v>
      </c>
      <c r="Y3412" s="1220">
        <f t="shared" si="546"/>
        <v>33818.333333333336</v>
      </c>
      <c r="Z3412" s="1220">
        <f t="shared" si="546"/>
        <v>33818.333333333336</v>
      </c>
      <c r="AA3412" s="1220">
        <f t="shared" si="545"/>
        <v>405819.99999999994</v>
      </c>
      <c r="AB3412" s="1210"/>
      <c r="AC3412" s="1199"/>
      <c r="AD3412" s="1211"/>
    </row>
    <row r="3413" spans="1:30" x14ac:dyDescent="0.2">
      <c r="A3413" s="1422"/>
      <c r="B3413" s="2522"/>
      <c r="C3413" s="2456"/>
      <c r="D3413" s="2420"/>
      <c r="E3413" s="2420"/>
      <c r="F3413" s="2420"/>
      <c r="G3413" s="2420"/>
      <c r="H3413" s="3369"/>
      <c r="I3413" s="2515"/>
      <c r="J3413" s="2955"/>
      <c r="K3413" s="41">
        <v>115576</v>
      </c>
      <c r="L3413" s="3407"/>
      <c r="M3413" s="3287" t="s">
        <v>297</v>
      </c>
      <c r="N3413" s="3288"/>
      <c r="O3413" s="1220">
        <f t="shared" si="546"/>
        <v>9631.3333333333339</v>
      </c>
      <c r="P3413" s="1220">
        <f t="shared" si="546"/>
        <v>9631.3333333333339</v>
      </c>
      <c r="Q3413" s="1220">
        <f t="shared" si="546"/>
        <v>9631.3333333333339</v>
      </c>
      <c r="R3413" s="1220">
        <f t="shared" si="546"/>
        <v>9631.3333333333339</v>
      </c>
      <c r="S3413" s="1220">
        <f t="shared" si="546"/>
        <v>9631.3333333333339</v>
      </c>
      <c r="T3413" s="1220">
        <f t="shared" si="546"/>
        <v>9631.3333333333339</v>
      </c>
      <c r="U3413" s="1220">
        <f t="shared" si="546"/>
        <v>9631.3333333333339</v>
      </c>
      <c r="V3413" s="1220">
        <f t="shared" si="546"/>
        <v>9631.3333333333339</v>
      </c>
      <c r="W3413" s="1220">
        <f t="shared" si="546"/>
        <v>9631.3333333333339</v>
      </c>
      <c r="X3413" s="1220">
        <f t="shared" si="546"/>
        <v>9631.3333333333339</v>
      </c>
      <c r="Y3413" s="1220">
        <f t="shared" si="546"/>
        <v>9631.3333333333339</v>
      </c>
      <c r="Z3413" s="1220">
        <f t="shared" si="546"/>
        <v>9631.3333333333339</v>
      </c>
      <c r="AA3413" s="1220">
        <f t="shared" si="545"/>
        <v>115575.99999999999</v>
      </c>
      <c r="AB3413" s="1210"/>
      <c r="AC3413" s="1199"/>
      <c r="AD3413" s="1211"/>
    </row>
    <row r="3414" spans="1:30" x14ac:dyDescent="0.2">
      <c r="A3414" s="1422"/>
      <c r="B3414" s="2522"/>
      <c r="C3414" s="2456"/>
      <c r="D3414" s="2420"/>
      <c r="E3414" s="2420"/>
      <c r="F3414" s="2420"/>
      <c r="G3414" s="2420"/>
      <c r="H3414" s="3369"/>
      <c r="I3414" s="2515"/>
      <c r="J3414" s="2955"/>
      <c r="K3414" s="41">
        <v>22188</v>
      </c>
      <c r="L3414" s="3407"/>
      <c r="M3414" s="3287" t="s">
        <v>298</v>
      </c>
      <c r="N3414" s="3288"/>
      <c r="O3414" s="1220"/>
      <c r="P3414" s="1220"/>
      <c r="Q3414" s="1220"/>
      <c r="R3414" s="1220"/>
      <c r="S3414" s="1220"/>
      <c r="T3414" s="1220"/>
      <c r="U3414" s="1220">
        <f>K3414/2</f>
        <v>11094</v>
      </c>
      <c r="V3414" s="1220"/>
      <c r="W3414" s="1220"/>
      <c r="X3414" s="1220"/>
      <c r="Y3414" s="1220"/>
      <c r="Z3414" s="1220">
        <f>K3414/2</f>
        <v>11094</v>
      </c>
      <c r="AA3414" s="1220">
        <f t="shared" si="545"/>
        <v>22188</v>
      </c>
      <c r="AB3414" s="1210"/>
      <c r="AC3414" s="1199"/>
      <c r="AD3414" s="1211"/>
    </row>
    <row r="3415" spans="1:30" x14ac:dyDescent="0.2">
      <c r="A3415" s="1422"/>
      <c r="B3415" s="2522"/>
      <c r="C3415" s="2456"/>
      <c r="D3415" s="2420"/>
      <c r="E3415" s="2420"/>
      <c r="F3415" s="2420"/>
      <c r="G3415" s="2420"/>
      <c r="H3415" s="3369"/>
      <c r="I3415" s="2515"/>
      <c r="J3415" s="2955"/>
      <c r="K3415" s="41">
        <v>14000</v>
      </c>
      <c r="L3415" s="3407"/>
      <c r="M3415" s="3287" t="s">
        <v>299</v>
      </c>
      <c r="N3415" s="3288"/>
      <c r="O3415" s="1220">
        <f>K3415</f>
        <v>14000</v>
      </c>
      <c r="P3415" s="1220"/>
      <c r="Q3415" s="1220"/>
      <c r="R3415" s="1220"/>
      <c r="S3415" s="1220"/>
      <c r="T3415" s="1220"/>
      <c r="U3415" s="1220"/>
      <c r="V3415" s="1220"/>
      <c r="W3415" s="1220"/>
      <c r="X3415" s="1220"/>
      <c r="Y3415" s="1220"/>
      <c r="Z3415" s="1220"/>
      <c r="AA3415" s="1220">
        <f t="shared" si="545"/>
        <v>14000</v>
      </c>
      <c r="AB3415" s="1210"/>
      <c r="AC3415" s="1199"/>
      <c r="AD3415" s="1211"/>
    </row>
    <row r="3416" spans="1:30" x14ac:dyDescent="0.2">
      <c r="A3416" s="1422"/>
      <c r="B3416" s="2522"/>
      <c r="C3416" s="2456"/>
      <c r="D3416" s="2420"/>
      <c r="E3416" s="2420"/>
      <c r="F3416" s="2420"/>
      <c r="G3416" s="2420"/>
      <c r="H3416" s="3369"/>
      <c r="I3416" s="2515"/>
      <c r="J3416" s="2955"/>
      <c r="K3416" s="41">
        <v>59207</v>
      </c>
      <c r="L3416" s="3407"/>
      <c r="M3416" s="3287" t="s">
        <v>300</v>
      </c>
      <c r="N3416" s="3288"/>
      <c r="O3416" s="1220">
        <f>$K3416/12</f>
        <v>4933.916666666667</v>
      </c>
      <c r="P3416" s="1220">
        <f t="shared" ref="P3416:Z3416" si="547">$K3416/12</f>
        <v>4933.916666666667</v>
      </c>
      <c r="Q3416" s="1220">
        <f t="shared" si="547"/>
        <v>4933.916666666667</v>
      </c>
      <c r="R3416" s="1220">
        <f t="shared" si="547"/>
        <v>4933.916666666667</v>
      </c>
      <c r="S3416" s="1220">
        <f t="shared" si="547"/>
        <v>4933.916666666667</v>
      </c>
      <c r="T3416" s="1220">
        <f t="shared" si="547"/>
        <v>4933.916666666667</v>
      </c>
      <c r="U3416" s="1220">
        <f t="shared" si="547"/>
        <v>4933.916666666667</v>
      </c>
      <c r="V3416" s="1220">
        <f t="shared" si="547"/>
        <v>4933.916666666667</v>
      </c>
      <c r="W3416" s="1220">
        <f t="shared" si="547"/>
        <v>4933.916666666667</v>
      </c>
      <c r="X3416" s="1220">
        <f t="shared" si="547"/>
        <v>4933.916666666667</v>
      </c>
      <c r="Y3416" s="1220">
        <f t="shared" si="547"/>
        <v>4933.916666666667</v>
      </c>
      <c r="Z3416" s="1220">
        <f t="shared" si="547"/>
        <v>4933.916666666667</v>
      </c>
      <c r="AA3416" s="1220">
        <f t="shared" si="545"/>
        <v>59206.999999999993</v>
      </c>
      <c r="AB3416" s="1210"/>
      <c r="AC3416" s="1199"/>
      <c r="AD3416" s="1211"/>
    </row>
    <row r="3417" spans="1:30" x14ac:dyDescent="0.2">
      <c r="A3417" s="1422"/>
      <c r="B3417" s="2522"/>
      <c r="C3417" s="2456"/>
      <c r="D3417" s="2420"/>
      <c r="E3417" s="2420"/>
      <c r="F3417" s="2420"/>
      <c r="G3417" s="2420"/>
      <c r="H3417" s="3369"/>
      <c r="I3417" s="2515"/>
      <c r="J3417" s="2955"/>
      <c r="K3417" s="41">
        <v>5000</v>
      </c>
      <c r="L3417" s="3407"/>
      <c r="M3417" s="3287" t="s">
        <v>393</v>
      </c>
      <c r="N3417" s="3288"/>
      <c r="O3417" s="1220"/>
      <c r="P3417" s="1220"/>
      <c r="Q3417" s="1220"/>
      <c r="R3417" s="1220">
        <f>$K3417</f>
        <v>5000</v>
      </c>
      <c r="S3417" s="1220"/>
      <c r="T3417" s="1220"/>
      <c r="U3417" s="1220"/>
      <c r="V3417" s="1220"/>
      <c r="W3417" s="1220"/>
      <c r="X3417" s="1220"/>
      <c r="Y3417" s="1220"/>
      <c r="Z3417" s="1220"/>
      <c r="AA3417" s="1220">
        <f t="shared" si="545"/>
        <v>5000</v>
      </c>
      <c r="AB3417" s="1210"/>
      <c r="AC3417" s="1199"/>
      <c r="AD3417" s="1211"/>
    </row>
    <row r="3418" spans="1:30" x14ac:dyDescent="0.2">
      <c r="A3418" s="1422"/>
      <c r="B3418" s="2522"/>
      <c r="C3418" s="2456"/>
      <c r="D3418" s="2420"/>
      <c r="E3418" s="2420"/>
      <c r="F3418" s="2420"/>
      <c r="G3418" s="2420"/>
      <c r="H3418" s="3369"/>
      <c r="I3418" s="2515"/>
      <c r="J3418" s="2955"/>
      <c r="K3418" s="41">
        <v>6000</v>
      </c>
      <c r="L3418" s="3407"/>
      <c r="M3418" s="3287" t="s">
        <v>343</v>
      </c>
      <c r="N3418" s="3288"/>
      <c r="O3418" s="1220"/>
      <c r="P3418" s="1220"/>
      <c r="Q3418" s="1220"/>
      <c r="R3418" s="1220">
        <f>$K3418/2</f>
        <v>3000</v>
      </c>
      <c r="S3418" s="1220"/>
      <c r="T3418" s="1220"/>
      <c r="U3418" s="1220"/>
      <c r="V3418" s="1220">
        <f>$K3418/2</f>
        <v>3000</v>
      </c>
      <c r="W3418" s="1220"/>
      <c r="X3418" s="1220"/>
      <c r="Y3418" s="1220"/>
      <c r="Z3418" s="1220"/>
      <c r="AA3418" s="1220">
        <f t="shared" si="545"/>
        <v>6000</v>
      </c>
      <c r="AB3418" s="1210"/>
      <c r="AC3418" s="1199"/>
      <c r="AD3418" s="1211"/>
    </row>
    <row r="3419" spans="1:30" x14ac:dyDescent="0.2">
      <c r="A3419" s="1422"/>
      <c r="B3419" s="2522"/>
      <c r="C3419" s="2450"/>
      <c r="D3419" s="2420"/>
      <c r="E3419" s="2420"/>
      <c r="F3419" s="2420"/>
      <c r="G3419" s="2420"/>
      <c r="H3419" s="3369"/>
      <c r="I3419" s="2516"/>
      <c r="J3419" s="2956"/>
      <c r="K3419" s="41">
        <v>5000</v>
      </c>
      <c r="L3419" s="3408"/>
      <c r="M3419" s="3287" t="s">
        <v>309</v>
      </c>
      <c r="N3419" s="3288"/>
      <c r="O3419" s="1220"/>
      <c r="P3419" s="1220"/>
      <c r="Q3419" s="1220">
        <f>$K3419/5</f>
        <v>1000</v>
      </c>
      <c r="R3419" s="1220"/>
      <c r="S3419" s="1220">
        <f>$K3419/5</f>
        <v>1000</v>
      </c>
      <c r="T3419" s="1220"/>
      <c r="U3419" s="1220">
        <f>$K3419/5</f>
        <v>1000</v>
      </c>
      <c r="V3419" s="1220"/>
      <c r="W3419" s="1220">
        <f>$K3419/5</f>
        <v>1000</v>
      </c>
      <c r="X3419" s="1220"/>
      <c r="Y3419" s="1220">
        <f>$K3419/5</f>
        <v>1000</v>
      </c>
      <c r="Z3419" s="1220"/>
      <c r="AA3419" s="1220">
        <f t="shared" si="545"/>
        <v>5000</v>
      </c>
      <c r="AB3419" s="1210"/>
      <c r="AC3419" s="1199"/>
      <c r="AD3419" s="1211"/>
    </row>
    <row r="3420" spans="1:30" ht="12" thickBot="1" x14ac:dyDescent="0.25">
      <c r="A3420" s="1422"/>
      <c r="B3420" s="1429" t="s">
        <v>312</v>
      </c>
      <c r="C3420" s="1051"/>
      <c r="D3420" s="96"/>
      <c r="E3420" s="96"/>
      <c r="F3420" s="96"/>
      <c r="G3420" s="96"/>
      <c r="H3420" s="96"/>
      <c r="I3420" s="96"/>
      <c r="J3420" s="38"/>
      <c r="K3420" s="41">
        <f>SUM(K3408:K3419)</f>
        <v>1614763</v>
      </c>
      <c r="L3420" s="54"/>
      <c r="M3420" s="54"/>
      <c r="N3420" s="54"/>
      <c r="O3420" s="1234"/>
      <c r="P3420" s="1234"/>
      <c r="Q3420" s="1234"/>
      <c r="R3420" s="1234"/>
      <c r="S3420" s="1234"/>
      <c r="T3420" s="1234"/>
      <c r="U3420" s="1234"/>
      <c r="V3420" s="1234"/>
      <c r="W3420" s="1234"/>
      <c r="X3420" s="1234"/>
      <c r="Y3420" s="1234"/>
      <c r="Z3420" s="1234"/>
      <c r="AA3420" s="1225"/>
      <c r="AB3420" s="1210"/>
      <c r="AC3420" s="1199"/>
      <c r="AD3420" s="1211"/>
    </row>
    <row r="3421" spans="1:30" x14ac:dyDescent="0.2">
      <c r="A3421" s="1422"/>
      <c r="B3421" s="2999" t="s">
        <v>278</v>
      </c>
      <c r="C3421" s="3015" t="s">
        <v>21</v>
      </c>
      <c r="D3421" s="2847" t="s">
        <v>22</v>
      </c>
      <c r="E3421" s="2847" t="s">
        <v>23</v>
      </c>
      <c r="F3421" s="2847" t="s">
        <v>24</v>
      </c>
      <c r="G3421" s="2847" t="s">
        <v>25</v>
      </c>
      <c r="H3421" s="2847" t="s">
        <v>26</v>
      </c>
      <c r="I3421" s="2847" t="s">
        <v>27</v>
      </c>
      <c r="J3421" s="3416" t="s">
        <v>28</v>
      </c>
      <c r="K3421" s="3416"/>
      <c r="L3421" s="3409" t="s">
        <v>279</v>
      </c>
      <c r="M3421" s="3411" t="s">
        <v>280</v>
      </c>
      <c r="N3421" s="3412"/>
      <c r="O3421" s="3413" t="s">
        <v>281</v>
      </c>
      <c r="P3421" s="3320"/>
      <c r="Q3421" s="3320"/>
      <c r="R3421" s="3320"/>
      <c r="S3421" s="3320"/>
      <c r="T3421" s="3320"/>
      <c r="U3421" s="3320"/>
      <c r="V3421" s="3320"/>
      <c r="W3421" s="3320"/>
      <c r="X3421" s="3320"/>
      <c r="Y3421" s="3320"/>
      <c r="Z3421" s="3414"/>
      <c r="AA3421" s="3358" t="s">
        <v>32</v>
      </c>
      <c r="AB3421" s="1210"/>
      <c r="AC3421" s="1199"/>
      <c r="AD3421" s="1211"/>
    </row>
    <row r="3422" spans="1:30" x14ac:dyDescent="0.2">
      <c r="A3422" s="1422"/>
      <c r="B3422" s="2999"/>
      <c r="C3422" s="3359"/>
      <c r="D3422" s="2847"/>
      <c r="E3422" s="2847"/>
      <c r="F3422" s="2847"/>
      <c r="G3422" s="2847"/>
      <c r="H3422" s="2847"/>
      <c r="I3422" s="2847"/>
      <c r="J3422" s="2988" t="s">
        <v>33</v>
      </c>
      <c r="K3422" s="2988" t="s">
        <v>282</v>
      </c>
      <c r="L3422" s="3410"/>
      <c r="M3422" s="3275"/>
      <c r="N3422" s="3318"/>
      <c r="O3422" s="1229" t="s">
        <v>283</v>
      </c>
      <c r="P3422" s="1230" t="s">
        <v>284</v>
      </c>
      <c r="Q3422" s="1230" t="s">
        <v>285</v>
      </c>
      <c r="R3422" s="1230" t="s">
        <v>88</v>
      </c>
      <c r="S3422" s="1230" t="s">
        <v>89</v>
      </c>
      <c r="T3422" s="1230" t="s">
        <v>90</v>
      </c>
      <c r="U3422" s="1230" t="s">
        <v>91</v>
      </c>
      <c r="V3422" s="1230" t="s">
        <v>92</v>
      </c>
      <c r="W3422" s="1230" t="s">
        <v>286</v>
      </c>
      <c r="X3422" s="1230" t="s">
        <v>93</v>
      </c>
      <c r="Y3422" s="1230" t="s">
        <v>94</v>
      </c>
      <c r="Z3422" s="1231" t="s">
        <v>95</v>
      </c>
      <c r="AA3422" s="3358"/>
      <c r="AB3422" s="1210"/>
      <c r="AC3422" s="1199"/>
      <c r="AD3422" s="1211"/>
    </row>
    <row r="3423" spans="1:30" ht="12.75" x14ac:dyDescent="0.2">
      <c r="A3423" s="1422"/>
      <c r="B3423" s="2999"/>
      <c r="C3423" s="3359"/>
      <c r="D3423" s="2847"/>
      <c r="E3423" s="2847"/>
      <c r="F3423" s="2847"/>
      <c r="G3423" s="2847"/>
      <c r="H3423" s="2847"/>
      <c r="I3423" s="2847"/>
      <c r="J3423" s="3186"/>
      <c r="K3423" s="3186"/>
      <c r="L3423" s="3410"/>
      <c r="M3423" s="3273" t="s">
        <v>287</v>
      </c>
      <c r="N3423" s="3314"/>
      <c r="O3423" s="1220">
        <v>427</v>
      </c>
      <c r="P3423" s="1220">
        <v>428</v>
      </c>
      <c r="Q3423" s="1220">
        <v>428</v>
      </c>
      <c r="R3423" s="1220">
        <v>430</v>
      </c>
      <c r="S3423" s="1220">
        <v>430</v>
      </c>
      <c r="T3423" s="1220">
        <v>430</v>
      </c>
      <c r="U3423" s="1220">
        <v>428</v>
      </c>
      <c r="V3423" s="1220">
        <v>428</v>
      </c>
      <c r="W3423" s="1220">
        <v>428</v>
      </c>
      <c r="X3423" s="1220">
        <v>428</v>
      </c>
      <c r="Y3423" s="1220">
        <v>428</v>
      </c>
      <c r="Z3423" s="1220">
        <v>428</v>
      </c>
      <c r="AA3423" s="1219">
        <f t="shared" ref="AA3423:AA3436" si="548">SUM(O3423:Z3423)</f>
        <v>5141</v>
      </c>
      <c r="AB3423" s="1210"/>
      <c r="AC3423" s="1199"/>
      <c r="AD3423" s="1211"/>
    </row>
    <row r="3424" spans="1:30" ht="12.75" x14ac:dyDescent="0.2">
      <c r="A3424" s="1422"/>
      <c r="B3424" s="2999"/>
      <c r="C3424" s="3016"/>
      <c r="D3424" s="2847"/>
      <c r="E3424" s="2847"/>
      <c r="F3424" s="2847"/>
      <c r="G3424" s="2847"/>
      <c r="H3424" s="2847"/>
      <c r="I3424" s="2847"/>
      <c r="J3424" s="3186"/>
      <c r="K3424" s="3186"/>
      <c r="L3424" s="3143"/>
      <c r="M3424" s="3273" t="s">
        <v>34</v>
      </c>
      <c r="N3424" s="3314"/>
      <c r="O3424" s="1220">
        <f t="shared" ref="O3424:Z3424" si="549">SUM(O3425:O3436)</f>
        <v>284668.08333333331</v>
      </c>
      <c r="P3424" s="1220">
        <f t="shared" si="549"/>
        <v>246268.08333333337</v>
      </c>
      <c r="Q3424" s="1220">
        <f t="shared" si="549"/>
        <v>249968.02083333337</v>
      </c>
      <c r="R3424" s="1220">
        <f t="shared" si="549"/>
        <v>308317.83333333337</v>
      </c>
      <c r="S3424" s="1220">
        <f t="shared" si="549"/>
        <v>249968.02083333337</v>
      </c>
      <c r="T3424" s="1220">
        <f t="shared" si="549"/>
        <v>249968.02083333337</v>
      </c>
      <c r="U3424" s="1220">
        <f t="shared" si="549"/>
        <v>266632.02083333337</v>
      </c>
      <c r="V3424" s="1220">
        <f t="shared" si="549"/>
        <v>308317.83333333337</v>
      </c>
      <c r="W3424" s="1220">
        <f t="shared" si="549"/>
        <v>249968.02083333337</v>
      </c>
      <c r="X3424" s="1220">
        <f t="shared" si="549"/>
        <v>249968.02083333337</v>
      </c>
      <c r="Y3424" s="1220">
        <f t="shared" si="549"/>
        <v>249968.02083333337</v>
      </c>
      <c r="Z3424" s="1220">
        <f t="shared" si="549"/>
        <v>266632.02083333337</v>
      </c>
      <c r="AA3424" s="1219">
        <f t="shared" si="548"/>
        <v>3180644.0000000014</v>
      </c>
      <c r="AB3424" s="1210"/>
      <c r="AC3424" s="1199"/>
      <c r="AD3424" s="1211"/>
    </row>
    <row r="3425" spans="1:30" x14ac:dyDescent="0.2">
      <c r="A3425" s="1422"/>
      <c r="B3425" s="2522">
        <v>5005143</v>
      </c>
      <c r="C3425" s="2438" t="s">
        <v>930</v>
      </c>
      <c r="D3425" s="2420">
        <v>109</v>
      </c>
      <c r="E3425" s="2420" t="s">
        <v>860</v>
      </c>
      <c r="F3425" s="2420" t="s">
        <v>386</v>
      </c>
      <c r="G3425" s="2420" t="s">
        <v>423</v>
      </c>
      <c r="H3425" s="2420"/>
      <c r="I3425" s="2420" t="s">
        <v>457</v>
      </c>
      <c r="J3425" s="3187">
        <v>5141</v>
      </c>
      <c r="K3425" s="41">
        <v>1328978</v>
      </c>
      <c r="L3425" s="3406"/>
      <c r="M3425" s="3287" t="s">
        <v>293</v>
      </c>
      <c r="N3425" s="3288"/>
      <c r="O3425" s="1220">
        <f t="shared" ref="O3425:Z3431" si="550">$K3425/12</f>
        <v>110748.16666666667</v>
      </c>
      <c r="P3425" s="1220">
        <f t="shared" si="550"/>
        <v>110748.16666666667</v>
      </c>
      <c r="Q3425" s="1220">
        <f t="shared" si="550"/>
        <v>110748.16666666667</v>
      </c>
      <c r="R3425" s="1220">
        <f t="shared" si="550"/>
        <v>110748.16666666667</v>
      </c>
      <c r="S3425" s="1220">
        <f t="shared" si="550"/>
        <v>110748.16666666667</v>
      </c>
      <c r="T3425" s="1220">
        <f t="shared" si="550"/>
        <v>110748.16666666667</v>
      </c>
      <c r="U3425" s="1220">
        <f t="shared" si="550"/>
        <v>110748.16666666667</v>
      </c>
      <c r="V3425" s="1220">
        <f t="shared" si="550"/>
        <v>110748.16666666667</v>
      </c>
      <c r="W3425" s="1220">
        <f t="shared" si="550"/>
        <v>110748.16666666667</v>
      </c>
      <c r="X3425" s="1220">
        <f t="shared" si="550"/>
        <v>110748.16666666667</v>
      </c>
      <c r="Y3425" s="1220">
        <f t="shared" si="550"/>
        <v>110748.16666666667</v>
      </c>
      <c r="Z3425" s="1220">
        <f t="shared" si="550"/>
        <v>110748.16666666667</v>
      </c>
      <c r="AA3425" s="1220">
        <f t="shared" si="548"/>
        <v>1328978</v>
      </c>
      <c r="AB3425" s="1210"/>
      <c r="AC3425" s="1199"/>
      <c r="AD3425" s="1211"/>
    </row>
    <row r="3426" spans="1:30" x14ac:dyDescent="0.2">
      <c r="A3426" s="1422"/>
      <c r="B3426" s="2522"/>
      <c r="C3426" s="2456"/>
      <c r="D3426" s="2420"/>
      <c r="E3426" s="2420"/>
      <c r="F3426" s="2420"/>
      <c r="G3426" s="2420"/>
      <c r="H3426" s="2420"/>
      <c r="I3426" s="2420"/>
      <c r="J3426" s="2955"/>
      <c r="K3426" s="41">
        <v>218184</v>
      </c>
      <c r="L3426" s="3407"/>
      <c r="M3426" s="3287" t="s">
        <v>321</v>
      </c>
      <c r="N3426" s="3288"/>
      <c r="O3426" s="1220">
        <f t="shared" si="550"/>
        <v>18182</v>
      </c>
      <c r="P3426" s="1220">
        <f t="shared" si="550"/>
        <v>18182</v>
      </c>
      <c r="Q3426" s="1220">
        <f t="shared" si="550"/>
        <v>18182</v>
      </c>
      <c r="R3426" s="1220">
        <f t="shared" si="550"/>
        <v>18182</v>
      </c>
      <c r="S3426" s="1220">
        <f t="shared" si="550"/>
        <v>18182</v>
      </c>
      <c r="T3426" s="1220">
        <f t="shared" si="550"/>
        <v>18182</v>
      </c>
      <c r="U3426" s="1220">
        <f t="shared" si="550"/>
        <v>18182</v>
      </c>
      <c r="V3426" s="1220">
        <f t="shared" si="550"/>
        <v>18182</v>
      </c>
      <c r="W3426" s="1220">
        <f t="shared" si="550"/>
        <v>18182</v>
      </c>
      <c r="X3426" s="1220">
        <f t="shared" si="550"/>
        <v>18182</v>
      </c>
      <c r="Y3426" s="1220">
        <f t="shared" si="550"/>
        <v>18182</v>
      </c>
      <c r="Z3426" s="1220">
        <f t="shared" si="550"/>
        <v>18182</v>
      </c>
      <c r="AA3426" s="1220">
        <f t="shared" si="548"/>
        <v>218184</v>
      </c>
      <c r="AB3426" s="1210"/>
      <c r="AC3426" s="1199"/>
      <c r="AD3426" s="1211"/>
    </row>
    <row r="3427" spans="1:30" x14ac:dyDescent="0.2">
      <c r="A3427" s="1422"/>
      <c r="B3427" s="2522"/>
      <c r="C3427" s="2456"/>
      <c r="D3427" s="2420"/>
      <c r="E3427" s="2420"/>
      <c r="F3427" s="2420"/>
      <c r="G3427" s="2420"/>
      <c r="H3427" s="2420"/>
      <c r="I3427" s="2420"/>
      <c r="J3427" s="2955"/>
      <c r="K3427" s="41">
        <v>24000</v>
      </c>
      <c r="L3427" s="3407"/>
      <c r="M3427" s="3287" t="s">
        <v>604</v>
      </c>
      <c r="N3427" s="3288"/>
      <c r="O3427" s="1220">
        <f t="shared" si="550"/>
        <v>2000</v>
      </c>
      <c r="P3427" s="1220">
        <f t="shared" si="550"/>
        <v>2000</v>
      </c>
      <c r="Q3427" s="1220">
        <f t="shared" si="550"/>
        <v>2000</v>
      </c>
      <c r="R3427" s="1220">
        <f t="shared" si="550"/>
        <v>2000</v>
      </c>
      <c r="S3427" s="1220">
        <f t="shared" si="550"/>
        <v>2000</v>
      </c>
      <c r="T3427" s="1220">
        <f t="shared" si="550"/>
        <v>2000</v>
      </c>
      <c r="U3427" s="1220">
        <f t="shared" si="550"/>
        <v>2000</v>
      </c>
      <c r="V3427" s="1220">
        <f t="shared" si="550"/>
        <v>2000</v>
      </c>
      <c r="W3427" s="1220">
        <f t="shared" si="550"/>
        <v>2000</v>
      </c>
      <c r="X3427" s="1220">
        <f t="shared" si="550"/>
        <v>2000</v>
      </c>
      <c r="Y3427" s="1220">
        <f t="shared" si="550"/>
        <v>2000</v>
      </c>
      <c r="Z3427" s="1220">
        <f t="shared" si="550"/>
        <v>2000</v>
      </c>
      <c r="AA3427" s="1220">
        <f t="shared" si="548"/>
        <v>24000</v>
      </c>
      <c r="AB3427" s="1210"/>
      <c r="AC3427" s="1199"/>
      <c r="AD3427" s="1211"/>
    </row>
    <row r="3428" spans="1:30" x14ac:dyDescent="0.2">
      <c r="A3428" s="1422"/>
      <c r="B3428" s="2522"/>
      <c r="C3428" s="2456"/>
      <c r="D3428" s="2420"/>
      <c r="E3428" s="2420"/>
      <c r="F3428" s="2420"/>
      <c r="G3428" s="2420"/>
      <c r="H3428" s="2420"/>
      <c r="I3428" s="2420"/>
      <c r="J3428" s="2955"/>
      <c r="K3428" s="41">
        <v>487956</v>
      </c>
      <c r="L3428" s="3407"/>
      <c r="M3428" s="3287" t="s">
        <v>295</v>
      </c>
      <c r="N3428" s="3288"/>
      <c r="O3428" s="1220">
        <f t="shared" si="550"/>
        <v>40663</v>
      </c>
      <c r="P3428" s="1220">
        <f t="shared" si="550"/>
        <v>40663</v>
      </c>
      <c r="Q3428" s="1220">
        <f t="shared" si="550"/>
        <v>40663</v>
      </c>
      <c r="R3428" s="1220">
        <f t="shared" si="550"/>
        <v>40663</v>
      </c>
      <c r="S3428" s="1220">
        <f t="shared" si="550"/>
        <v>40663</v>
      </c>
      <c r="T3428" s="1220">
        <f t="shared" si="550"/>
        <v>40663</v>
      </c>
      <c r="U3428" s="1220">
        <f t="shared" si="550"/>
        <v>40663</v>
      </c>
      <c r="V3428" s="1220">
        <f t="shared" si="550"/>
        <v>40663</v>
      </c>
      <c r="W3428" s="1220">
        <f t="shared" si="550"/>
        <v>40663</v>
      </c>
      <c r="X3428" s="1220">
        <f t="shared" si="550"/>
        <v>40663</v>
      </c>
      <c r="Y3428" s="1220">
        <f t="shared" si="550"/>
        <v>40663</v>
      </c>
      <c r="Z3428" s="1220">
        <f t="shared" si="550"/>
        <v>40663</v>
      </c>
      <c r="AA3428" s="1220">
        <f t="shared" si="548"/>
        <v>487956</v>
      </c>
      <c r="AB3428" s="1210"/>
      <c r="AC3428" s="1199"/>
      <c r="AD3428" s="1211"/>
    </row>
    <row r="3429" spans="1:30" x14ac:dyDescent="0.2">
      <c r="A3429" s="1422"/>
      <c r="B3429" s="2522"/>
      <c r="C3429" s="2456"/>
      <c r="D3429" s="2420"/>
      <c r="E3429" s="2420"/>
      <c r="F3429" s="2420"/>
      <c r="G3429" s="2420"/>
      <c r="H3429" s="2420"/>
      <c r="I3429" s="2420"/>
      <c r="J3429" s="2955"/>
      <c r="K3429" s="41">
        <v>20688</v>
      </c>
      <c r="L3429" s="3407"/>
      <c r="M3429" s="3287" t="s">
        <v>332</v>
      </c>
      <c r="N3429" s="3288"/>
      <c r="O3429" s="1220">
        <f t="shared" si="550"/>
        <v>1724</v>
      </c>
      <c r="P3429" s="1220">
        <f t="shared" si="550"/>
        <v>1724</v>
      </c>
      <c r="Q3429" s="1220">
        <f t="shared" si="550"/>
        <v>1724</v>
      </c>
      <c r="R3429" s="1220">
        <f t="shared" si="550"/>
        <v>1724</v>
      </c>
      <c r="S3429" s="1220">
        <f t="shared" si="550"/>
        <v>1724</v>
      </c>
      <c r="T3429" s="1220">
        <f t="shared" si="550"/>
        <v>1724</v>
      </c>
      <c r="U3429" s="1220">
        <f t="shared" si="550"/>
        <v>1724</v>
      </c>
      <c r="V3429" s="1220">
        <f t="shared" si="550"/>
        <v>1724</v>
      </c>
      <c r="W3429" s="1220">
        <f t="shared" si="550"/>
        <v>1724</v>
      </c>
      <c r="X3429" s="1220">
        <f t="shared" si="550"/>
        <v>1724</v>
      </c>
      <c r="Y3429" s="1220">
        <f t="shared" si="550"/>
        <v>1724</v>
      </c>
      <c r="Z3429" s="1220">
        <f t="shared" si="550"/>
        <v>1724</v>
      </c>
      <c r="AA3429" s="1220">
        <f t="shared" si="548"/>
        <v>20688</v>
      </c>
      <c r="AB3429" s="1210"/>
      <c r="AC3429" s="1199"/>
      <c r="AD3429" s="1211"/>
    </row>
    <row r="3430" spans="1:30" x14ac:dyDescent="0.2">
      <c r="A3430" s="1422"/>
      <c r="B3430" s="2522"/>
      <c r="C3430" s="2456"/>
      <c r="D3430" s="2420"/>
      <c r="E3430" s="2420"/>
      <c r="F3430" s="2420"/>
      <c r="G3430" s="2420"/>
      <c r="H3430" s="2420"/>
      <c r="I3430" s="2420"/>
      <c r="J3430" s="2955"/>
      <c r="K3430" s="41">
        <v>600940</v>
      </c>
      <c r="L3430" s="3407"/>
      <c r="M3430" s="3287" t="s">
        <v>296</v>
      </c>
      <c r="N3430" s="3288"/>
      <c r="O3430" s="1220">
        <f t="shared" si="550"/>
        <v>50078.333333333336</v>
      </c>
      <c r="P3430" s="1220">
        <f t="shared" si="550"/>
        <v>50078.333333333336</v>
      </c>
      <c r="Q3430" s="1220">
        <f t="shared" si="550"/>
        <v>50078.333333333336</v>
      </c>
      <c r="R3430" s="1220">
        <f t="shared" si="550"/>
        <v>50078.333333333336</v>
      </c>
      <c r="S3430" s="1220">
        <f t="shared" si="550"/>
        <v>50078.333333333336</v>
      </c>
      <c r="T3430" s="1220">
        <f t="shared" si="550"/>
        <v>50078.333333333336</v>
      </c>
      <c r="U3430" s="1220">
        <f t="shared" si="550"/>
        <v>50078.333333333336</v>
      </c>
      <c r="V3430" s="1220">
        <f t="shared" si="550"/>
        <v>50078.333333333336</v>
      </c>
      <c r="W3430" s="1220">
        <f t="shared" si="550"/>
        <v>50078.333333333336</v>
      </c>
      <c r="X3430" s="1220">
        <f t="shared" si="550"/>
        <v>50078.333333333336</v>
      </c>
      <c r="Y3430" s="1220">
        <f t="shared" si="550"/>
        <v>50078.333333333336</v>
      </c>
      <c r="Z3430" s="1220">
        <f t="shared" si="550"/>
        <v>50078.333333333336</v>
      </c>
      <c r="AA3430" s="1220">
        <f t="shared" si="548"/>
        <v>600940</v>
      </c>
      <c r="AB3430" s="1210"/>
      <c r="AC3430" s="1199"/>
      <c r="AD3430" s="1211"/>
    </row>
    <row r="3431" spans="1:30" x14ac:dyDescent="0.2">
      <c r="A3431" s="1422"/>
      <c r="B3431" s="2522"/>
      <c r="C3431" s="2456"/>
      <c r="D3431" s="2420"/>
      <c r="E3431" s="2420"/>
      <c r="F3431" s="2420"/>
      <c r="G3431" s="2420"/>
      <c r="H3431" s="2420"/>
      <c r="I3431" s="2420"/>
      <c r="J3431" s="2955"/>
      <c r="K3431" s="41">
        <v>161748</v>
      </c>
      <c r="L3431" s="3407"/>
      <c r="M3431" s="3287" t="s">
        <v>297</v>
      </c>
      <c r="N3431" s="3288"/>
      <c r="O3431" s="1220">
        <f t="shared" si="550"/>
        <v>13479</v>
      </c>
      <c r="P3431" s="1220">
        <f t="shared" si="550"/>
        <v>13479</v>
      </c>
      <c r="Q3431" s="1220">
        <f t="shared" si="550"/>
        <v>13479</v>
      </c>
      <c r="R3431" s="1220">
        <f t="shared" si="550"/>
        <v>13479</v>
      </c>
      <c r="S3431" s="1220">
        <f t="shared" si="550"/>
        <v>13479</v>
      </c>
      <c r="T3431" s="1220">
        <f t="shared" si="550"/>
        <v>13479</v>
      </c>
      <c r="U3431" s="1220">
        <f t="shared" si="550"/>
        <v>13479</v>
      </c>
      <c r="V3431" s="1220">
        <f t="shared" si="550"/>
        <v>13479</v>
      </c>
      <c r="W3431" s="1220">
        <f t="shared" si="550"/>
        <v>13479</v>
      </c>
      <c r="X3431" s="1220">
        <f t="shared" si="550"/>
        <v>13479</v>
      </c>
      <c r="Y3431" s="1220">
        <f t="shared" si="550"/>
        <v>13479</v>
      </c>
      <c r="Z3431" s="1220">
        <f t="shared" si="550"/>
        <v>13479</v>
      </c>
      <c r="AA3431" s="1220">
        <f t="shared" si="548"/>
        <v>161748</v>
      </c>
      <c r="AB3431" s="1210"/>
      <c r="AC3431" s="1199"/>
      <c r="AD3431" s="1211"/>
    </row>
    <row r="3432" spans="1:30" x14ac:dyDescent="0.2">
      <c r="A3432" s="1422"/>
      <c r="B3432" s="2522"/>
      <c r="C3432" s="2456"/>
      <c r="D3432" s="2420"/>
      <c r="E3432" s="2420"/>
      <c r="F3432" s="2420"/>
      <c r="G3432" s="2420"/>
      <c r="H3432" s="2420"/>
      <c r="I3432" s="2420"/>
      <c r="J3432" s="2955"/>
      <c r="K3432" s="41">
        <v>33328</v>
      </c>
      <c r="L3432" s="3407"/>
      <c r="M3432" s="3287" t="s">
        <v>298</v>
      </c>
      <c r="N3432" s="3288"/>
      <c r="O3432" s="1220"/>
      <c r="P3432" s="1220"/>
      <c r="Q3432" s="1220"/>
      <c r="R3432" s="1220"/>
      <c r="S3432" s="1220"/>
      <c r="T3432" s="1220"/>
      <c r="U3432" s="1220">
        <f>K3432/2</f>
        <v>16664</v>
      </c>
      <c r="V3432" s="1220"/>
      <c r="W3432" s="1220"/>
      <c r="X3432" s="1220"/>
      <c r="Y3432" s="1220"/>
      <c r="Z3432" s="1220">
        <f>K3432/2</f>
        <v>16664</v>
      </c>
      <c r="AA3432" s="1220">
        <f t="shared" si="548"/>
        <v>33328</v>
      </c>
      <c r="AB3432" s="1210"/>
      <c r="AC3432" s="1199"/>
      <c r="AD3432" s="1211"/>
    </row>
    <row r="3433" spans="1:30" x14ac:dyDescent="0.2">
      <c r="A3433" s="1422"/>
      <c r="B3433" s="2522"/>
      <c r="C3433" s="2456"/>
      <c r="D3433" s="2420"/>
      <c r="E3433" s="2420"/>
      <c r="F3433" s="2420"/>
      <c r="G3433" s="2420"/>
      <c r="H3433" s="2420"/>
      <c r="I3433" s="2420"/>
      <c r="J3433" s="2955"/>
      <c r="K3433" s="41">
        <v>38400</v>
      </c>
      <c r="L3433" s="3407"/>
      <c r="M3433" s="3287" t="s">
        <v>299</v>
      </c>
      <c r="N3433" s="3288"/>
      <c r="O3433" s="1220">
        <f>K3433</f>
        <v>38400</v>
      </c>
      <c r="P3433" s="1220"/>
      <c r="Q3433" s="1220"/>
      <c r="R3433" s="1220"/>
      <c r="S3433" s="1220"/>
      <c r="T3433" s="1220"/>
      <c r="U3433" s="1220"/>
      <c r="V3433" s="1220"/>
      <c r="W3433" s="1220"/>
      <c r="X3433" s="1220"/>
      <c r="Y3433" s="1220"/>
      <c r="Z3433" s="1220"/>
      <c r="AA3433" s="1220">
        <f t="shared" si="548"/>
        <v>38400</v>
      </c>
      <c r="AB3433" s="1210"/>
      <c r="AC3433" s="1199"/>
      <c r="AD3433" s="1211"/>
    </row>
    <row r="3434" spans="1:30" x14ac:dyDescent="0.2">
      <c r="A3434" s="1422"/>
      <c r="B3434" s="2522"/>
      <c r="C3434" s="2456"/>
      <c r="D3434" s="2420"/>
      <c r="E3434" s="2420"/>
      <c r="F3434" s="2420"/>
      <c r="G3434" s="2420"/>
      <c r="H3434" s="2420"/>
      <c r="I3434" s="2420"/>
      <c r="J3434" s="2955"/>
      <c r="K3434" s="41">
        <v>112723</v>
      </c>
      <c r="L3434" s="3407"/>
      <c r="M3434" s="3287" t="s">
        <v>300</v>
      </c>
      <c r="N3434" s="3288"/>
      <c r="O3434" s="1220">
        <f>$K3434/12</f>
        <v>9393.5833333333339</v>
      </c>
      <c r="P3434" s="1220">
        <f t="shared" ref="P3434:Z3434" si="551">$K3434/12</f>
        <v>9393.5833333333339</v>
      </c>
      <c r="Q3434" s="1220">
        <f t="shared" si="551"/>
        <v>9393.5833333333339</v>
      </c>
      <c r="R3434" s="1220">
        <f t="shared" si="551"/>
        <v>9393.5833333333339</v>
      </c>
      <c r="S3434" s="1220">
        <f t="shared" si="551"/>
        <v>9393.5833333333339</v>
      </c>
      <c r="T3434" s="1220">
        <f t="shared" si="551"/>
        <v>9393.5833333333339</v>
      </c>
      <c r="U3434" s="1220">
        <f t="shared" si="551"/>
        <v>9393.5833333333339</v>
      </c>
      <c r="V3434" s="1220">
        <f t="shared" si="551"/>
        <v>9393.5833333333339</v>
      </c>
      <c r="W3434" s="1220">
        <f t="shared" si="551"/>
        <v>9393.5833333333339</v>
      </c>
      <c r="X3434" s="1220">
        <f t="shared" si="551"/>
        <v>9393.5833333333339</v>
      </c>
      <c r="Y3434" s="1220">
        <f t="shared" si="551"/>
        <v>9393.5833333333339</v>
      </c>
      <c r="Z3434" s="1220">
        <f t="shared" si="551"/>
        <v>9393.5833333333339</v>
      </c>
      <c r="AA3434" s="1220">
        <f t="shared" si="548"/>
        <v>112722.99999999999</v>
      </c>
      <c r="AB3434" s="1210"/>
      <c r="AC3434" s="1199"/>
      <c r="AD3434" s="1211"/>
    </row>
    <row r="3435" spans="1:30" x14ac:dyDescent="0.2">
      <c r="A3435" s="1422"/>
      <c r="B3435" s="2522"/>
      <c r="C3435" s="2456"/>
      <c r="D3435" s="2420"/>
      <c r="E3435" s="2420"/>
      <c r="F3435" s="2420"/>
      <c r="G3435" s="2420"/>
      <c r="H3435" s="2420"/>
      <c r="I3435" s="2420"/>
      <c r="J3435" s="2955"/>
      <c r="K3435" s="41">
        <v>94500</v>
      </c>
      <c r="L3435" s="3407"/>
      <c r="M3435" s="3287" t="s">
        <v>393</v>
      </c>
      <c r="N3435" s="3288"/>
      <c r="O3435" s="1220"/>
      <c r="P3435" s="1220"/>
      <c r="Q3435" s="1220"/>
      <c r="R3435" s="1220">
        <f>$K3435/2</f>
        <v>47250</v>
      </c>
      <c r="S3435" s="1220"/>
      <c r="T3435" s="1220"/>
      <c r="U3435" s="1220"/>
      <c r="V3435" s="1220">
        <f>$K3435/2</f>
        <v>47250</v>
      </c>
      <c r="W3435" s="1220"/>
      <c r="X3435" s="1220"/>
      <c r="Y3435" s="1220"/>
      <c r="Z3435" s="1220"/>
      <c r="AA3435" s="1220">
        <f t="shared" si="548"/>
        <v>94500</v>
      </c>
      <c r="AB3435" s="1210"/>
      <c r="AC3435" s="1199"/>
      <c r="AD3435" s="1211"/>
    </row>
    <row r="3436" spans="1:30" x14ac:dyDescent="0.2">
      <c r="A3436" s="1422"/>
      <c r="B3436" s="2522"/>
      <c r="C3436" s="2450"/>
      <c r="D3436" s="2420"/>
      <c r="E3436" s="2420"/>
      <c r="F3436" s="2420"/>
      <c r="G3436" s="2420"/>
      <c r="H3436" s="2420"/>
      <c r="I3436" s="2420"/>
      <c r="J3436" s="2956"/>
      <c r="K3436" s="41">
        <v>59199</v>
      </c>
      <c r="L3436" s="3408"/>
      <c r="M3436" s="3287" t="s">
        <v>343</v>
      </c>
      <c r="N3436" s="3288"/>
      <c r="O3436" s="1220"/>
      <c r="P3436" s="1220"/>
      <c r="Q3436" s="1220">
        <f>($K3436/2)*(1/8)</f>
        <v>3699.9375</v>
      </c>
      <c r="R3436" s="1220">
        <f>$K3436/4</f>
        <v>14799.75</v>
      </c>
      <c r="S3436" s="1220">
        <f>($K3436/2)*(1/8)</f>
        <v>3699.9375</v>
      </c>
      <c r="T3436" s="1220">
        <f>($K3436/2)*(1/8)</f>
        <v>3699.9375</v>
      </c>
      <c r="U3436" s="1220">
        <f>($K3436/2)*(1/8)</f>
        <v>3699.9375</v>
      </c>
      <c r="V3436" s="1220">
        <f>$K3436/4</f>
        <v>14799.75</v>
      </c>
      <c r="W3436" s="1220">
        <f>($K3436/2)*(1/8)</f>
        <v>3699.9375</v>
      </c>
      <c r="X3436" s="1220">
        <f>($K3436/2)*(1/8)</f>
        <v>3699.9375</v>
      </c>
      <c r="Y3436" s="1220">
        <f>($K3436/2)*(1/8)</f>
        <v>3699.9375</v>
      </c>
      <c r="Z3436" s="1220">
        <f>($K3436/2)*(1/8)</f>
        <v>3699.9375</v>
      </c>
      <c r="AA3436" s="1220">
        <f t="shared" si="548"/>
        <v>59199</v>
      </c>
      <c r="AB3436" s="1210"/>
      <c r="AC3436" s="1199"/>
      <c r="AD3436" s="1211"/>
    </row>
    <row r="3437" spans="1:30" x14ac:dyDescent="0.2">
      <c r="A3437" s="1422"/>
      <c r="B3437" s="1427" t="s">
        <v>312</v>
      </c>
      <c r="C3437" s="1128"/>
      <c r="D3437" s="38"/>
      <c r="E3437" s="38"/>
      <c r="F3437" s="38"/>
      <c r="G3437" s="38"/>
      <c r="H3437" s="38"/>
      <c r="I3437" s="38"/>
      <c r="J3437" s="38"/>
      <c r="K3437" s="41">
        <f>SUM(K3425:K3436)</f>
        <v>3180644</v>
      </c>
      <c r="L3437" s="54"/>
      <c r="M3437" s="54"/>
      <c r="N3437" s="54"/>
      <c r="O3437" s="1227"/>
      <c r="P3437" s="1227"/>
      <c r="Q3437" s="1227"/>
      <c r="R3437" s="1227"/>
      <c r="S3437" s="1227"/>
      <c r="T3437" s="1227"/>
      <c r="U3437" s="1227"/>
      <c r="V3437" s="1227"/>
      <c r="W3437" s="1227"/>
      <c r="X3437" s="1227"/>
      <c r="Y3437" s="1227"/>
      <c r="Z3437" s="1227"/>
      <c r="AA3437" s="1225"/>
      <c r="AB3437" s="1210"/>
      <c r="AC3437" s="1199"/>
      <c r="AD3437" s="1211"/>
    </row>
    <row r="3438" spans="1:30" x14ac:dyDescent="0.2">
      <c r="A3438" s="1422"/>
      <c r="B3438" s="1422"/>
      <c r="C3438" s="1124"/>
      <c r="D3438" s="35"/>
      <c r="E3438" s="35"/>
      <c r="F3438" s="35"/>
      <c r="G3438" s="35"/>
      <c r="H3438" s="35"/>
      <c r="I3438" s="35"/>
      <c r="J3438" s="35"/>
      <c r="K3438" s="35"/>
      <c r="L3438" s="35"/>
      <c r="M3438" s="35"/>
      <c r="N3438" s="35"/>
      <c r="O3438" s="1210"/>
      <c r="P3438" s="1210"/>
      <c r="Q3438" s="1210"/>
      <c r="R3438" s="1210"/>
      <c r="S3438" s="1210"/>
      <c r="T3438" s="1210"/>
      <c r="U3438" s="1210"/>
      <c r="V3438" s="1210"/>
      <c r="W3438" s="1210"/>
      <c r="X3438" s="1210"/>
      <c r="Y3438" s="1210"/>
      <c r="Z3438" s="1210"/>
      <c r="AA3438" s="1199"/>
      <c r="AB3438" s="1210"/>
      <c r="AC3438" s="1199"/>
      <c r="AD3438" s="1211"/>
    </row>
    <row r="3439" spans="1:30" x14ac:dyDescent="0.2">
      <c r="A3439" s="1422"/>
      <c r="B3439" s="3432" t="s">
        <v>269</v>
      </c>
      <c r="C3439" s="1119"/>
      <c r="D3439" s="35" t="s">
        <v>270</v>
      </c>
      <c r="E3439" s="35"/>
      <c r="F3439" s="35"/>
      <c r="G3439" s="35"/>
      <c r="H3439" s="35"/>
      <c r="I3439" s="35"/>
      <c r="J3439" s="35"/>
      <c r="K3439" s="60"/>
      <c r="L3439" s="60"/>
      <c r="M3439" s="60"/>
      <c r="N3439" s="60"/>
      <c r="O3439" s="1232"/>
      <c r="P3439" s="1232"/>
      <c r="Q3439" s="1232"/>
      <c r="R3439" s="1232"/>
      <c r="S3439" s="1232"/>
      <c r="T3439" s="1210"/>
      <c r="U3439" s="1210"/>
      <c r="V3439" s="1210"/>
      <c r="W3439" s="1210"/>
      <c r="X3439" s="1210"/>
      <c r="Y3439" s="1210"/>
      <c r="Z3439" s="1210"/>
      <c r="AA3439" s="1199"/>
      <c r="AB3439" s="1210"/>
      <c r="AC3439" s="1199"/>
      <c r="AD3439" s="1211"/>
    </row>
    <row r="3440" spans="1:30" x14ac:dyDescent="0.2">
      <c r="A3440" s="1422"/>
      <c r="B3440" s="3432"/>
      <c r="C3440" s="1119"/>
      <c r="D3440" s="35" t="s">
        <v>271</v>
      </c>
      <c r="E3440" s="35"/>
      <c r="F3440" s="35"/>
      <c r="G3440" s="35"/>
      <c r="H3440" s="35"/>
      <c r="I3440" s="35"/>
      <c r="J3440" s="35"/>
      <c r="K3440" s="60"/>
      <c r="L3440" s="60"/>
      <c r="M3440" s="60"/>
      <c r="N3440" s="60"/>
      <c r="O3440" s="1232"/>
      <c r="P3440" s="1232"/>
      <c r="Q3440" s="1232"/>
      <c r="R3440" s="1232"/>
      <c r="S3440" s="1232"/>
      <c r="T3440" s="1210"/>
      <c r="U3440" s="1210"/>
      <c r="V3440" s="1210"/>
      <c r="W3440" s="1210"/>
      <c r="X3440" s="1210"/>
      <c r="Y3440" s="1210"/>
      <c r="Z3440" s="1210"/>
      <c r="AA3440" s="1199"/>
      <c r="AB3440" s="1210"/>
      <c r="AC3440" s="1199"/>
      <c r="AD3440" s="1211"/>
    </row>
    <row r="3441" spans="1:30" x14ac:dyDescent="0.2">
      <c r="A3441" s="1422"/>
      <c r="B3441" s="1433" t="s">
        <v>8</v>
      </c>
      <c r="C3441" s="1119"/>
      <c r="D3441" s="35" t="s">
        <v>639</v>
      </c>
      <c r="E3441" s="35"/>
      <c r="F3441" s="35"/>
      <c r="G3441" s="35"/>
      <c r="H3441" s="35"/>
      <c r="I3441" s="35"/>
      <c r="J3441" s="35"/>
      <c r="K3441" s="60"/>
      <c r="L3441" s="60"/>
      <c r="M3441" s="60"/>
      <c r="N3441" s="60"/>
      <c r="O3441" s="1232"/>
      <c r="P3441" s="1232"/>
      <c r="Q3441" s="1232"/>
      <c r="R3441" s="1232"/>
      <c r="S3441" s="1232"/>
      <c r="T3441" s="1210"/>
      <c r="U3441" s="1210"/>
      <c r="V3441" s="1210"/>
      <c r="W3441" s="1210"/>
      <c r="X3441" s="1210"/>
      <c r="Y3441" s="1210"/>
      <c r="Z3441" s="1210"/>
      <c r="AA3441" s="1199"/>
      <c r="AB3441" s="1210"/>
      <c r="AC3441" s="1199"/>
      <c r="AD3441" s="1211"/>
    </row>
    <row r="3442" spans="1:30" ht="22.5" x14ac:dyDescent="0.2">
      <c r="A3442" s="1422"/>
      <c r="B3442" s="1433" t="s">
        <v>272</v>
      </c>
      <c r="C3442" s="1119"/>
      <c r="D3442" s="35" t="s">
        <v>84</v>
      </c>
      <c r="E3442" s="35"/>
      <c r="F3442" s="35"/>
      <c r="G3442" s="35"/>
      <c r="H3442" s="35"/>
      <c r="I3442" s="35"/>
      <c r="J3442" s="35"/>
      <c r="K3442" s="60"/>
      <c r="L3442" s="60"/>
      <c r="M3442" s="60"/>
      <c r="N3442" s="60"/>
      <c r="O3442" s="1232"/>
      <c r="P3442" s="1232"/>
      <c r="Q3442" s="1232"/>
      <c r="R3442" s="1232"/>
      <c r="S3442" s="1232"/>
      <c r="T3442" s="1210"/>
      <c r="U3442" s="3377" t="s">
        <v>15</v>
      </c>
      <c r="V3442" s="3378"/>
      <c r="W3442" s="3378"/>
      <c r="X3442" s="3378"/>
      <c r="Y3442" s="3378"/>
      <c r="Z3442" s="3379"/>
      <c r="AA3442" s="1228" t="s">
        <v>16</v>
      </c>
      <c r="AB3442" s="1210"/>
      <c r="AC3442" s="1199"/>
      <c r="AD3442" s="1211"/>
    </row>
    <row r="3443" spans="1:30" x14ac:dyDescent="0.2">
      <c r="A3443" s="1422"/>
      <c r="B3443" s="1433" t="s">
        <v>13</v>
      </c>
      <c r="C3443" s="1119"/>
      <c r="D3443" s="196" t="s">
        <v>931</v>
      </c>
      <c r="E3443" s="131" t="s">
        <v>932</v>
      </c>
      <c r="F3443" s="35"/>
      <c r="G3443" s="35"/>
      <c r="H3443" s="35"/>
      <c r="I3443" s="35"/>
      <c r="J3443" s="35"/>
      <c r="K3443" s="60"/>
      <c r="L3443" s="60"/>
      <c r="M3443" s="60"/>
      <c r="N3443" s="60"/>
      <c r="O3443" s="1232"/>
      <c r="P3443" s="1232"/>
      <c r="Q3443" s="1232"/>
      <c r="R3443" s="1232"/>
      <c r="S3443" s="1232"/>
      <c r="T3443" s="1210"/>
      <c r="U3443" s="3417" t="s">
        <v>933</v>
      </c>
      <c r="V3443" s="3417"/>
      <c r="W3443" s="3417"/>
      <c r="X3443" s="3417"/>
      <c r="Y3443" s="3417"/>
      <c r="Z3443" s="3417"/>
      <c r="AA3443" s="1228" t="s">
        <v>661</v>
      </c>
      <c r="AB3443" s="1210"/>
      <c r="AC3443" s="1199"/>
      <c r="AD3443" s="1211"/>
    </row>
    <row r="3444" spans="1:30" ht="12" thickBot="1" x14ac:dyDescent="0.25">
      <c r="A3444" s="1422"/>
      <c r="B3444" s="1433" t="s">
        <v>276</v>
      </c>
      <c r="C3444" s="1119"/>
      <c r="D3444" s="1119">
        <v>3000001</v>
      </c>
      <c r="E3444" s="1119" t="s">
        <v>277</v>
      </c>
      <c r="F3444" s="35"/>
      <c r="G3444" s="35"/>
      <c r="H3444" s="35"/>
      <c r="I3444" s="35"/>
      <c r="J3444" s="35"/>
      <c r="K3444" s="60"/>
      <c r="L3444" s="60"/>
      <c r="M3444" s="60"/>
      <c r="N3444" s="60"/>
      <c r="O3444" s="1232"/>
      <c r="P3444" s="1232"/>
      <c r="Q3444" s="1232"/>
      <c r="R3444" s="1232"/>
      <c r="S3444" s="1232"/>
      <c r="T3444" s="1210"/>
      <c r="U3444" s="2236"/>
      <c r="V3444" s="1210"/>
      <c r="W3444" s="1210"/>
      <c r="X3444" s="1210"/>
      <c r="Y3444" s="1210"/>
      <c r="Z3444" s="1210"/>
      <c r="AA3444" s="1199"/>
      <c r="AB3444" s="1210"/>
      <c r="AC3444" s="1199"/>
      <c r="AD3444" s="1211"/>
    </row>
    <row r="3445" spans="1:30" x14ac:dyDescent="0.2">
      <c r="A3445" s="1422"/>
      <c r="B3445" s="2999" t="s">
        <v>278</v>
      </c>
      <c r="C3445" s="2999" t="s">
        <v>21</v>
      </c>
      <c r="D3445" s="2847" t="s">
        <v>22</v>
      </c>
      <c r="E3445" s="2847" t="s">
        <v>23</v>
      </c>
      <c r="F3445" s="2847" t="s">
        <v>24</v>
      </c>
      <c r="G3445" s="2847" t="s">
        <v>25</v>
      </c>
      <c r="H3445" s="2847" t="s">
        <v>26</v>
      </c>
      <c r="I3445" s="2847" t="s">
        <v>27</v>
      </c>
      <c r="J3445" s="3416" t="s">
        <v>28</v>
      </c>
      <c r="K3445" s="3416"/>
      <c r="L3445" s="3409" t="s">
        <v>279</v>
      </c>
      <c r="M3445" s="3411" t="s">
        <v>280</v>
      </c>
      <c r="N3445" s="3412"/>
      <c r="O3445" s="3422" t="s">
        <v>281</v>
      </c>
      <c r="P3445" s="3423"/>
      <c r="Q3445" s="3423"/>
      <c r="R3445" s="3423"/>
      <c r="S3445" s="3423"/>
      <c r="T3445" s="3423"/>
      <c r="U3445" s="3423"/>
      <c r="V3445" s="3423"/>
      <c r="W3445" s="3423"/>
      <c r="X3445" s="3423"/>
      <c r="Y3445" s="3423"/>
      <c r="Z3445" s="3424"/>
      <c r="AA3445" s="3358" t="s">
        <v>32</v>
      </c>
      <c r="AB3445" s="1210"/>
      <c r="AC3445" s="1199"/>
      <c r="AD3445" s="1211"/>
    </row>
    <row r="3446" spans="1:30" x14ac:dyDescent="0.2">
      <c r="A3446" s="1422"/>
      <c r="B3446" s="2999"/>
      <c r="C3446" s="2999"/>
      <c r="D3446" s="2847"/>
      <c r="E3446" s="2847"/>
      <c r="F3446" s="2847"/>
      <c r="G3446" s="2847"/>
      <c r="H3446" s="2847"/>
      <c r="I3446" s="2847"/>
      <c r="J3446" s="2988" t="s">
        <v>33</v>
      </c>
      <c r="K3446" s="2988" t="s">
        <v>282</v>
      </c>
      <c r="L3446" s="3410"/>
      <c r="M3446" s="3275"/>
      <c r="N3446" s="3318"/>
      <c r="O3446" s="1229" t="s">
        <v>283</v>
      </c>
      <c r="P3446" s="1230" t="s">
        <v>284</v>
      </c>
      <c r="Q3446" s="1230" t="s">
        <v>285</v>
      </c>
      <c r="R3446" s="1230" t="s">
        <v>88</v>
      </c>
      <c r="S3446" s="1230" t="s">
        <v>89</v>
      </c>
      <c r="T3446" s="1230" t="s">
        <v>90</v>
      </c>
      <c r="U3446" s="1230" t="s">
        <v>91</v>
      </c>
      <c r="V3446" s="1230" t="s">
        <v>92</v>
      </c>
      <c r="W3446" s="1230" t="s">
        <v>286</v>
      </c>
      <c r="X3446" s="1230" t="s">
        <v>93</v>
      </c>
      <c r="Y3446" s="1230" t="s">
        <v>94</v>
      </c>
      <c r="Z3446" s="1231" t="s">
        <v>95</v>
      </c>
      <c r="AA3446" s="3358"/>
      <c r="AB3446" s="1210"/>
      <c r="AC3446" s="1199"/>
      <c r="AD3446" s="1211"/>
    </row>
    <row r="3447" spans="1:30" ht="12.75" x14ac:dyDescent="0.2">
      <c r="A3447" s="1422"/>
      <c r="B3447" s="2999"/>
      <c r="C3447" s="2999"/>
      <c r="D3447" s="2847"/>
      <c r="E3447" s="2847"/>
      <c r="F3447" s="2847"/>
      <c r="G3447" s="2847"/>
      <c r="H3447" s="2847"/>
      <c r="I3447" s="2847"/>
      <c r="J3447" s="3186"/>
      <c r="K3447" s="3186"/>
      <c r="L3447" s="3410"/>
      <c r="M3447" s="3273" t="s">
        <v>287</v>
      </c>
      <c r="N3447" s="3314"/>
      <c r="O3447" s="1220"/>
      <c r="P3447" s="1220"/>
      <c r="Q3447" s="1220">
        <v>4</v>
      </c>
      <c r="R3447" s="1220">
        <v>4</v>
      </c>
      <c r="S3447" s="1220">
        <v>5</v>
      </c>
      <c r="T3447" s="1220">
        <v>6</v>
      </c>
      <c r="U3447" s="1220">
        <v>6</v>
      </c>
      <c r="V3447" s="1220">
        <v>6</v>
      </c>
      <c r="W3447" s="1220">
        <v>6</v>
      </c>
      <c r="X3447" s="1220">
        <v>6</v>
      </c>
      <c r="Y3447" s="1220">
        <v>6</v>
      </c>
      <c r="Z3447" s="1220">
        <v>6</v>
      </c>
      <c r="AA3447" s="1219">
        <f>SUM(O3447:Z3447)</f>
        <v>55</v>
      </c>
      <c r="AB3447" s="1210"/>
      <c r="AC3447" s="1199"/>
      <c r="AD3447" s="1211"/>
    </row>
    <row r="3448" spans="1:30" ht="12.75" x14ac:dyDescent="0.2">
      <c r="A3448" s="1422"/>
      <c r="B3448" s="2999"/>
      <c r="C3448" s="2999"/>
      <c r="D3448" s="2847"/>
      <c r="E3448" s="2847"/>
      <c r="F3448" s="2847"/>
      <c r="G3448" s="2847"/>
      <c r="H3448" s="2847"/>
      <c r="I3448" s="2847"/>
      <c r="J3448" s="3186"/>
      <c r="K3448" s="3186"/>
      <c r="L3448" s="3143"/>
      <c r="M3448" s="3273" t="s">
        <v>34</v>
      </c>
      <c r="N3448" s="3314"/>
      <c r="O3448" s="1220">
        <f>SUM(O3449:O3467)</f>
        <v>28896.75</v>
      </c>
      <c r="P3448" s="1220">
        <f t="shared" ref="P3448:Z3448" si="552">SUM(P3449:P3467)</f>
        <v>29154.386363636364</v>
      </c>
      <c r="Q3448" s="1220">
        <f t="shared" si="552"/>
        <v>32534.386363636364</v>
      </c>
      <c r="R3448" s="1220">
        <f t="shared" si="552"/>
        <v>28354.386363636364</v>
      </c>
      <c r="S3448" s="1220">
        <f t="shared" si="552"/>
        <v>30694.386363636364</v>
      </c>
      <c r="T3448" s="1220">
        <f t="shared" si="552"/>
        <v>28954.386363636364</v>
      </c>
      <c r="U3448" s="1220">
        <f t="shared" si="552"/>
        <v>28694.386363636364</v>
      </c>
      <c r="V3448" s="1220">
        <f t="shared" si="552"/>
        <v>28854.386363636364</v>
      </c>
      <c r="W3448" s="1220">
        <f t="shared" si="552"/>
        <v>28694.386363636364</v>
      </c>
      <c r="X3448" s="1220">
        <f t="shared" si="552"/>
        <v>28054.386363636364</v>
      </c>
      <c r="Y3448" s="1220">
        <f t="shared" si="552"/>
        <v>28694.386363636364</v>
      </c>
      <c r="Z3448" s="1220">
        <f t="shared" si="552"/>
        <v>28954.386363636364</v>
      </c>
      <c r="AA3448" s="1219">
        <f>SUM(O3448:Z3448)</f>
        <v>350534.99999999994</v>
      </c>
      <c r="AB3448" s="1210"/>
      <c r="AC3448" s="1199"/>
      <c r="AD3448" s="1211"/>
    </row>
    <row r="3449" spans="1:30" x14ac:dyDescent="0.2">
      <c r="A3449" s="1422"/>
      <c r="B3449" s="2522">
        <v>5005183</v>
      </c>
      <c r="C3449" s="2438" t="s">
        <v>934</v>
      </c>
      <c r="D3449" s="3369">
        <v>110</v>
      </c>
      <c r="E3449" s="3369" t="s">
        <v>401</v>
      </c>
      <c r="F3449" s="2420" t="s">
        <v>289</v>
      </c>
      <c r="G3449" s="2420" t="s">
        <v>290</v>
      </c>
      <c r="H3449" s="2514" t="s">
        <v>935</v>
      </c>
      <c r="I3449" s="2420" t="s">
        <v>292</v>
      </c>
      <c r="J3449" s="3187">
        <v>55</v>
      </c>
      <c r="K3449" s="41">
        <v>9622</v>
      </c>
      <c r="L3449" s="115"/>
      <c r="M3449" s="3287" t="s">
        <v>319</v>
      </c>
      <c r="N3449" s="3288"/>
      <c r="O3449" s="1220">
        <f>$K3449/12</f>
        <v>801.83333333333337</v>
      </c>
      <c r="P3449" s="1220">
        <f t="shared" ref="P3449:Z3449" si="553">$K3449/12</f>
        <v>801.83333333333337</v>
      </c>
      <c r="Q3449" s="1220">
        <f t="shared" si="553"/>
        <v>801.83333333333337</v>
      </c>
      <c r="R3449" s="1220">
        <f t="shared" si="553"/>
        <v>801.83333333333337</v>
      </c>
      <c r="S3449" s="1220">
        <f t="shared" si="553"/>
        <v>801.83333333333337</v>
      </c>
      <c r="T3449" s="1220">
        <f t="shared" si="553"/>
        <v>801.83333333333337</v>
      </c>
      <c r="U3449" s="1220">
        <f t="shared" si="553"/>
        <v>801.83333333333337</v>
      </c>
      <c r="V3449" s="1220">
        <f t="shared" si="553"/>
        <v>801.83333333333337</v>
      </c>
      <c r="W3449" s="1220">
        <f t="shared" si="553"/>
        <v>801.83333333333337</v>
      </c>
      <c r="X3449" s="1220">
        <f t="shared" si="553"/>
        <v>801.83333333333337</v>
      </c>
      <c r="Y3449" s="1220">
        <f t="shared" si="553"/>
        <v>801.83333333333337</v>
      </c>
      <c r="Z3449" s="1220">
        <f t="shared" si="553"/>
        <v>801.83333333333337</v>
      </c>
      <c r="AA3449" s="1220">
        <f>SUM(O3449:Z3449)</f>
        <v>9622</v>
      </c>
      <c r="AB3449" s="1210"/>
      <c r="AC3449" s="1199"/>
      <c r="AD3449" s="1211"/>
    </row>
    <row r="3450" spans="1:30" x14ac:dyDescent="0.2">
      <c r="A3450" s="1422"/>
      <c r="B3450" s="2522"/>
      <c r="C3450" s="2456"/>
      <c r="D3450" s="3369"/>
      <c r="E3450" s="3369"/>
      <c r="F3450" s="2420"/>
      <c r="G3450" s="2420"/>
      <c r="H3450" s="2515"/>
      <c r="I3450" s="2420"/>
      <c r="J3450" s="2955"/>
      <c r="K3450" s="41">
        <v>225456</v>
      </c>
      <c r="L3450" s="115"/>
      <c r="M3450" s="3287" t="s">
        <v>293</v>
      </c>
      <c r="N3450" s="3288"/>
      <c r="O3450" s="1220">
        <f t="shared" ref="O3450:Z3452" si="554">$K3450/12</f>
        <v>18788</v>
      </c>
      <c r="P3450" s="1220">
        <f t="shared" si="554"/>
        <v>18788</v>
      </c>
      <c r="Q3450" s="1220">
        <f t="shared" si="554"/>
        <v>18788</v>
      </c>
      <c r="R3450" s="1220">
        <f t="shared" si="554"/>
        <v>18788</v>
      </c>
      <c r="S3450" s="1220">
        <f t="shared" si="554"/>
        <v>18788</v>
      </c>
      <c r="T3450" s="1220">
        <f t="shared" si="554"/>
        <v>18788</v>
      </c>
      <c r="U3450" s="1220">
        <f t="shared" si="554"/>
        <v>18788</v>
      </c>
      <c r="V3450" s="1220">
        <f t="shared" si="554"/>
        <v>18788</v>
      </c>
      <c r="W3450" s="1220">
        <f t="shared" si="554"/>
        <v>18788</v>
      </c>
      <c r="X3450" s="1220">
        <f t="shared" si="554"/>
        <v>18788</v>
      </c>
      <c r="Y3450" s="1220">
        <f t="shared" si="554"/>
        <v>18788</v>
      </c>
      <c r="Z3450" s="1220">
        <f t="shared" si="554"/>
        <v>18788</v>
      </c>
      <c r="AA3450" s="1220">
        <f t="shared" ref="AA3450:AA3467" si="555">SUM(O3450:Z3450)</f>
        <v>225456</v>
      </c>
      <c r="AB3450" s="1210"/>
      <c r="AC3450" s="1199"/>
      <c r="AD3450" s="1211"/>
    </row>
    <row r="3451" spans="1:30" x14ac:dyDescent="0.2">
      <c r="A3451" s="1422"/>
      <c r="B3451" s="2522"/>
      <c r="C3451" s="2456"/>
      <c r="D3451" s="3369"/>
      <c r="E3451" s="3369"/>
      <c r="F3451" s="2420"/>
      <c r="G3451" s="2420"/>
      <c r="H3451" s="2515"/>
      <c r="I3451" s="2420"/>
      <c r="J3451" s="2955"/>
      <c r="K3451" s="41">
        <v>75000</v>
      </c>
      <c r="L3451" s="115"/>
      <c r="M3451" s="3287" t="s">
        <v>295</v>
      </c>
      <c r="N3451" s="3288"/>
      <c r="O3451" s="1220">
        <f t="shared" si="554"/>
        <v>6250</v>
      </c>
      <c r="P3451" s="1220">
        <f t="shared" si="554"/>
        <v>6250</v>
      </c>
      <c r="Q3451" s="1220">
        <f t="shared" si="554"/>
        <v>6250</v>
      </c>
      <c r="R3451" s="1220">
        <f t="shared" si="554"/>
        <v>6250</v>
      </c>
      <c r="S3451" s="1220">
        <f t="shared" si="554"/>
        <v>6250</v>
      </c>
      <c r="T3451" s="1220">
        <f t="shared" si="554"/>
        <v>6250</v>
      </c>
      <c r="U3451" s="1220">
        <f t="shared" si="554"/>
        <v>6250</v>
      </c>
      <c r="V3451" s="1220">
        <f t="shared" si="554"/>
        <v>6250</v>
      </c>
      <c r="W3451" s="1220">
        <f t="shared" si="554"/>
        <v>6250</v>
      </c>
      <c r="X3451" s="1220">
        <f t="shared" si="554"/>
        <v>6250</v>
      </c>
      <c r="Y3451" s="1220">
        <f t="shared" si="554"/>
        <v>6250</v>
      </c>
      <c r="Z3451" s="1220">
        <f t="shared" si="554"/>
        <v>6250</v>
      </c>
      <c r="AA3451" s="1220">
        <f t="shared" si="555"/>
        <v>75000</v>
      </c>
      <c r="AB3451" s="1210"/>
      <c r="AC3451" s="1199"/>
      <c r="AD3451" s="1211"/>
    </row>
    <row r="3452" spans="1:30" x14ac:dyDescent="0.2">
      <c r="A3452" s="1422"/>
      <c r="B3452" s="2522"/>
      <c r="C3452" s="2456"/>
      <c r="D3452" s="3369"/>
      <c r="E3452" s="3369"/>
      <c r="F3452" s="2420"/>
      <c r="G3452" s="2420"/>
      <c r="H3452" s="2515"/>
      <c r="I3452" s="2420"/>
      <c r="J3452" s="2955"/>
      <c r="K3452" s="41">
        <v>10335</v>
      </c>
      <c r="L3452" s="115"/>
      <c r="M3452" s="3287" t="s">
        <v>296</v>
      </c>
      <c r="N3452" s="3288"/>
      <c r="O3452" s="1220">
        <f t="shared" si="554"/>
        <v>861.25</v>
      </c>
      <c r="P3452" s="1220">
        <f t="shared" si="554"/>
        <v>861.25</v>
      </c>
      <c r="Q3452" s="1220">
        <f t="shared" si="554"/>
        <v>861.25</v>
      </c>
      <c r="R3452" s="1220">
        <f t="shared" si="554"/>
        <v>861.25</v>
      </c>
      <c r="S3452" s="1220">
        <f t="shared" si="554"/>
        <v>861.25</v>
      </c>
      <c r="T3452" s="1220">
        <f t="shared" si="554"/>
        <v>861.25</v>
      </c>
      <c r="U3452" s="1220">
        <f t="shared" si="554"/>
        <v>861.25</v>
      </c>
      <c r="V3452" s="1220">
        <f t="shared" si="554"/>
        <v>861.25</v>
      </c>
      <c r="W3452" s="1220">
        <f t="shared" si="554"/>
        <v>861.25</v>
      </c>
      <c r="X3452" s="1220">
        <f t="shared" si="554"/>
        <v>861.25</v>
      </c>
      <c r="Y3452" s="1220">
        <f t="shared" si="554"/>
        <v>861.25</v>
      </c>
      <c r="Z3452" s="1220">
        <f t="shared" si="554"/>
        <v>861.25</v>
      </c>
      <c r="AA3452" s="1220">
        <f t="shared" si="555"/>
        <v>10335</v>
      </c>
      <c r="AB3452" s="1210"/>
      <c r="AC3452" s="1199"/>
      <c r="AD3452" s="1211"/>
    </row>
    <row r="3453" spans="1:30" x14ac:dyDescent="0.2">
      <c r="A3453" s="1422"/>
      <c r="B3453" s="2522"/>
      <c r="C3453" s="2456"/>
      <c r="D3453" s="3369"/>
      <c r="E3453" s="3369"/>
      <c r="F3453" s="2420"/>
      <c r="G3453" s="2420"/>
      <c r="H3453" s="2515"/>
      <c r="I3453" s="2420"/>
      <c r="J3453" s="2955"/>
      <c r="K3453" s="41">
        <v>1800</v>
      </c>
      <c r="L3453" s="115"/>
      <c r="M3453" s="3287" t="s">
        <v>298</v>
      </c>
      <c r="N3453" s="3288"/>
      <c r="O3453" s="1220"/>
      <c r="P3453" s="1220"/>
      <c r="Q3453" s="1220"/>
      <c r="R3453" s="1220"/>
      <c r="S3453" s="1220"/>
      <c r="T3453" s="1220">
        <f>K3453/2</f>
        <v>900</v>
      </c>
      <c r="U3453" s="1220"/>
      <c r="V3453" s="1220"/>
      <c r="W3453" s="1220"/>
      <c r="X3453" s="1220"/>
      <c r="Y3453" s="1220"/>
      <c r="Z3453" s="1220">
        <f>K3453/2</f>
        <v>900</v>
      </c>
      <c r="AA3453" s="1220">
        <f t="shared" si="555"/>
        <v>1800</v>
      </c>
      <c r="AB3453" s="1210"/>
      <c r="AC3453" s="1199"/>
      <c r="AD3453" s="1211"/>
    </row>
    <row r="3454" spans="1:30" x14ac:dyDescent="0.2">
      <c r="A3454" s="1422"/>
      <c r="B3454" s="2522"/>
      <c r="C3454" s="2456"/>
      <c r="D3454" s="3369"/>
      <c r="E3454" s="3369"/>
      <c r="F3454" s="2420"/>
      <c r="G3454" s="2420"/>
      <c r="H3454" s="2515"/>
      <c r="I3454" s="2420"/>
      <c r="J3454" s="2955"/>
      <c r="K3454" s="41">
        <v>1200</v>
      </c>
      <c r="L3454" s="115"/>
      <c r="M3454" s="3287" t="s">
        <v>299</v>
      </c>
      <c r="N3454" s="3288"/>
      <c r="O3454" s="1220">
        <f>K3454</f>
        <v>1200</v>
      </c>
      <c r="P3454" s="1220"/>
      <c r="Q3454" s="1220"/>
      <c r="R3454" s="1220"/>
      <c r="S3454" s="1220"/>
      <c r="T3454" s="1220"/>
      <c r="U3454" s="1220"/>
      <c r="V3454" s="1220"/>
      <c r="W3454" s="1220"/>
      <c r="X3454" s="1220"/>
      <c r="Y3454" s="1220"/>
      <c r="Z3454" s="1220"/>
      <c r="AA3454" s="1220">
        <f t="shared" si="555"/>
        <v>1200</v>
      </c>
      <c r="AB3454" s="1210"/>
      <c r="AC3454" s="1199"/>
      <c r="AD3454" s="1211"/>
    </row>
    <row r="3455" spans="1:30" x14ac:dyDescent="0.2">
      <c r="A3455" s="1422"/>
      <c r="B3455" s="2522"/>
      <c r="C3455" s="2456"/>
      <c r="D3455" s="3369"/>
      <c r="E3455" s="3369"/>
      <c r="F3455" s="2420"/>
      <c r="G3455" s="2420"/>
      <c r="H3455" s="2515"/>
      <c r="I3455" s="2420"/>
      <c r="J3455" s="2955"/>
      <c r="K3455" s="41">
        <v>5661</v>
      </c>
      <c r="L3455" s="115"/>
      <c r="M3455" s="3287" t="s">
        <v>300</v>
      </c>
      <c r="N3455" s="3288"/>
      <c r="O3455" s="1220">
        <f>$K3455/12</f>
        <v>471.75</v>
      </c>
      <c r="P3455" s="1220">
        <f t="shared" ref="P3455:Z3456" si="556">$K3455/12</f>
        <v>471.75</v>
      </c>
      <c r="Q3455" s="1220">
        <f t="shared" si="556"/>
        <v>471.75</v>
      </c>
      <c r="R3455" s="1220">
        <f t="shared" si="556"/>
        <v>471.75</v>
      </c>
      <c r="S3455" s="1220">
        <f t="shared" si="556"/>
        <v>471.75</v>
      </c>
      <c r="T3455" s="1220">
        <f t="shared" si="556"/>
        <v>471.75</v>
      </c>
      <c r="U3455" s="1220">
        <f t="shared" si="556"/>
        <v>471.75</v>
      </c>
      <c r="V3455" s="1220">
        <f t="shared" si="556"/>
        <v>471.75</v>
      </c>
      <c r="W3455" s="1220">
        <f t="shared" si="556"/>
        <v>471.75</v>
      </c>
      <c r="X3455" s="1220">
        <f t="shared" si="556"/>
        <v>471.75</v>
      </c>
      <c r="Y3455" s="1220">
        <f t="shared" si="556"/>
        <v>471.75</v>
      </c>
      <c r="Z3455" s="1220">
        <f t="shared" si="556"/>
        <v>471.75</v>
      </c>
      <c r="AA3455" s="1220">
        <f t="shared" si="555"/>
        <v>5661</v>
      </c>
      <c r="AB3455" s="1210"/>
      <c r="AC3455" s="1199"/>
      <c r="AD3455" s="1211"/>
    </row>
    <row r="3456" spans="1:30" x14ac:dyDescent="0.2">
      <c r="A3456" s="1422"/>
      <c r="B3456" s="2522"/>
      <c r="C3456" s="2456"/>
      <c r="D3456" s="3369"/>
      <c r="E3456" s="3369"/>
      <c r="F3456" s="2420"/>
      <c r="G3456" s="2420"/>
      <c r="H3456" s="2515"/>
      <c r="I3456" s="2420"/>
      <c r="J3456" s="2955"/>
      <c r="K3456" s="41">
        <v>287</v>
      </c>
      <c r="L3456" s="115"/>
      <c r="M3456" s="3287" t="s">
        <v>301</v>
      </c>
      <c r="N3456" s="3288"/>
      <c r="O3456" s="1220">
        <f>$K3456/12</f>
        <v>23.916666666666668</v>
      </c>
      <c r="P3456" s="1220">
        <f t="shared" si="556"/>
        <v>23.916666666666668</v>
      </c>
      <c r="Q3456" s="1220">
        <f t="shared" si="556"/>
        <v>23.916666666666668</v>
      </c>
      <c r="R3456" s="1220">
        <f t="shared" si="556"/>
        <v>23.916666666666668</v>
      </c>
      <c r="S3456" s="1220">
        <f t="shared" si="556"/>
        <v>23.916666666666668</v>
      </c>
      <c r="T3456" s="1220">
        <f t="shared" si="556"/>
        <v>23.916666666666668</v>
      </c>
      <c r="U3456" s="1220">
        <f t="shared" si="556"/>
        <v>23.916666666666668</v>
      </c>
      <c r="V3456" s="1220">
        <f t="shared" si="556"/>
        <v>23.916666666666668</v>
      </c>
      <c r="W3456" s="1220">
        <f t="shared" si="556"/>
        <v>23.916666666666668</v>
      </c>
      <c r="X3456" s="1220">
        <f t="shared" si="556"/>
        <v>23.916666666666668</v>
      </c>
      <c r="Y3456" s="1220">
        <f t="shared" si="556"/>
        <v>23.916666666666668</v>
      </c>
      <c r="Z3456" s="1220">
        <f t="shared" si="556"/>
        <v>23.916666666666668</v>
      </c>
      <c r="AA3456" s="1220">
        <f t="shared" si="555"/>
        <v>287</v>
      </c>
      <c r="AB3456" s="1210"/>
      <c r="AC3456" s="1199"/>
      <c r="AD3456" s="1211"/>
    </row>
    <row r="3457" spans="1:30" x14ac:dyDescent="0.2">
      <c r="A3457" s="1422"/>
      <c r="B3457" s="2522"/>
      <c r="C3457" s="2456"/>
      <c r="D3457" s="3369"/>
      <c r="E3457" s="3369"/>
      <c r="F3457" s="2420"/>
      <c r="G3457" s="2420"/>
      <c r="H3457" s="2515"/>
      <c r="I3457" s="2420"/>
      <c r="J3457" s="2955"/>
      <c r="K3457" s="41">
        <v>500</v>
      </c>
      <c r="L3457" s="115"/>
      <c r="M3457" s="3287" t="s">
        <v>380</v>
      </c>
      <c r="N3457" s="3288"/>
      <c r="O3457" s="1220">
        <f>$K3457</f>
        <v>500</v>
      </c>
      <c r="P3457" s="1220"/>
      <c r="Q3457" s="1220"/>
      <c r="R3457" s="1220"/>
      <c r="S3457" s="1220"/>
      <c r="T3457" s="1220"/>
      <c r="U3457" s="1220"/>
      <c r="V3457" s="1220"/>
      <c r="W3457" s="1220"/>
      <c r="X3457" s="1220"/>
      <c r="Y3457" s="1220"/>
      <c r="Z3457" s="1220"/>
      <c r="AA3457" s="1220">
        <f t="shared" si="555"/>
        <v>500</v>
      </c>
      <c r="AB3457" s="1210"/>
      <c r="AC3457" s="1199"/>
      <c r="AD3457" s="1211"/>
    </row>
    <row r="3458" spans="1:30" x14ac:dyDescent="0.2">
      <c r="A3458" s="1422"/>
      <c r="B3458" s="2522"/>
      <c r="C3458" s="2456"/>
      <c r="D3458" s="3369"/>
      <c r="E3458" s="3369"/>
      <c r="F3458" s="2420"/>
      <c r="G3458" s="2420"/>
      <c r="H3458" s="2515"/>
      <c r="I3458" s="2420"/>
      <c r="J3458" s="2955"/>
      <c r="K3458" s="41">
        <v>2000</v>
      </c>
      <c r="L3458" s="115"/>
      <c r="M3458" s="3287" t="s">
        <v>302</v>
      </c>
      <c r="N3458" s="3288"/>
      <c r="O3458" s="1220"/>
      <c r="P3458" s="1220"/>
      <c r="Q3458" s="1220"/>
      <c r="R3458" s="1220"/>
      <c r="S3458" s="1220">
        <f>K3458</f>
        <v>2000</v>
      </c>
      <c r="T3458" s="1220"/>
      <c r="U3458" s="1220"/>
      <c r="V3458" s="1220"/>
      <c r="W3458" s="1220"/>
      <c r="X3458" s="1220"/>
      <c r="Y3458" s="1220"/>
      <c r="Z3458" s="1220"/>
      <c r="AA3458" s="1220">
        <f t="shared" si="555"/>
        <v>2000</v>
      </c>
      <c r="AB3458" s="1210"/>
      <c r="AC3458" s="1199"/>
      <c r="AD3458" s="1211"/>
    </row>
    <row r="3459" spans="1:30" x14ac:dyDescent="0.2">
      <c r="A3459" s="1422"/>
      <c r="B3459" s="2522"/>
      <c r="C3459" s="2456"/>
      <c r="D3459" s="3369"/>
      <c r="E3459" s="3369"/>
      <c r="F3459" s="2420"/>
      <c r="G3459" s="2420"/>
      <c r="H3459" s="2515"/>
      <c r="I3459" s="2420"/>
      <c r="J3459" s="2955"/>
      <c r="K3459" s="41">
        <v>1400</v>
      </c>
      <c r="L3459" s="115"/>
      <c r="M3459" s="3287" t="s">
        <v>303</v>
      </c>
      <c r="N3459" s="3288"/>
      <c r="O3459" s="1220"/>
      <c r="P3459" s="1220"/>
      <c r="Q3459" s="1220">
        <f>$K3459</f>
        <v>1400</v>
      </c>
      <c r="R3459" s="1220"/>
      <c r="S3459" s="1220"/>
      <c r="T3459" s="1220"/>
      <c r="U3459" s="1220"/>
      <c r="V3459" s="1220"/>
      <c r="W3459" s="1220"/>
      <c r="X3459" s="1220"/>
      <c r="Y3459" s="1220"/>
      <c r="Z3459" s="1220"/>
      <c r="AA3459" s="1220">
        <f t="shared" si="555"/>
        <v>1400</v>
      </c>
      <c r="AB3459" s="1210"/>
      <c r="AC3459" s="1199"/>
      <c r="AD3459" s="1211"/>
    </row>
    <row r="3460" spans="1:30" x14ac:dyDescent="0.2">
      <c r="A3460" s="1422"/>
      <c r="B3460" s="2522"/>
      <c r="C3460" s="2456"/>
      <c r="D3460" s="3369"/>
      <c r="E3460" s="3369"/>
      <c r="F3460" s="2420"/>
      <c r="G3460" s="2420"/>
      <c r="H3460" s="2515"/>
      <c r="I3460" s="2420"/>
      <c r="J3460" s="2955"/>
      <c r="K3460" s="41">
        <v>300</v>
      </c>
      <c r="L3460" s="115"/>
      <c r="M3460" s="3287" t="s">
        <v>324</v>
      </c>
      <c r="N3460" s="3288"/>
      <c r="O3460" s="1220"/>
      <c r="P3460" s="1220">
        <f>$K3460</f>
        <v>300</v>
      </c>
      <c r="Q3460" s="1220"/>
      <c r="R3460" s="1220"/>
      <c r="S3460" s="1220"/>
      <c r="T3460" s="1220"/>
      <c r="U3460" s="1220"/>
      <c r="V3460" s="1220"/>
      <c r="W3460" s="1220"/>
      <c r="X3460" s="1220"/>
      <c r="Y3460" s="1220"/>
      <c r="Z3460" s="1220"/>
      <c r="AA3460" s="1220">
        <f t="shared" si="555"/>
        <v>300</v>
      </c>
      <c r="AB3460" s="1210"/>
      <c r="AC3460" s="1199"/>
      <c r="AD3460" s="1211"/>
    </row>
    <row r="3461" spans="1:30" x14ac:dyDescent="0.2">
      <c r="A3461" s="1422"/>
      <c r="B3461" s="2522"/>
      <c r="C3461" s="2456"/>
      <c r="D3461" s="3369"/>
      <c r="E3461" s="3369"/>
      <c r="F3461" s="2420"/>
      <c r="G3461" s="2420"/>
      <c r="H3461" s="2515"/>
      <c r="I3461" s="2420"/>
      <c r="J3461" s="2955"/>
      <c r="K3461" s="41">
        <v>1940</v>
      </c>
      <c r="L3461" s="115"/>
      <c r="M3461" s="3287" t="s">
        <v>304</v>
      </c>
      <c r="N3461" s="3288"/>
      <c r="O3461" s="1220"/>
      <c r="P3461" s="1220"/>
      <c r="Q3461" s="1220">
        <f>$K3461</f>
        <v>1940</v>
      </c>
      <c r="R3461" s="1220"/>
      <c r="S3461" s="1220"/>
      <c r="T3461" s="1220"/>
      <c r="U3461" s="1220"/>
      <c r="V3461" s="1220"/>
      <c r="W3461" s="1220"/>
      <c r="X3461" s="1220"/>
      <c r="Y3461" s="1220"/>
      <c r="Z3461" s="1220"/>
      <c r="AA3461" s="1220">
        <f t="shared" si="555"/>
        <v>1940</v>
      </c>
      <c r="AB3461" s="1210"/>
      <c r="AC3461" s="1199"/>
      <c r="AD3461" s="1211"/>
    </row>
    <row r="3462" spans="1:30" x14ac:dyDescent="0.2">
      <c r="A3462" s="1422"/>
      <c r="B3462" s="2522"/>
      <c r="C3462" s="2456"/>
      <c r="D3462" s="3369"/>
      <c r="E3462" s="3369"/>
      <c r="F3462" s="2420"/>
      <c r="G3462" s="2420"/>
      <c r="H3462" s="2515"/>
      <c r="I3462" s="2420"/>
      <c r="J3462" s="2955"/>
      <c r="K3462" s="41">
        <v>1600</v>
      </c>
      <c r="L3462" s="115"/>
      <c r="M3462" s="3287" t="s">
        <v>305</v>
      </c>
      <c r="N3462" s="3288"/>
      <c r="O3462" s="1220"/>
      <c r="P3462" s="1220">
        <f>$K3462/2</f>
        <v>800</v>
      </c>
      <c r="Q3462" s="1220"/>
      <c r="R3462" s="1220"/>
      <c r="S3462" s="1220"/>
      <c r="T3462" s="1220"/>
      <c r="U3462" s="1220"/>
      <c r="V3462" s="1220">
        <f>$K3462/2</f>
        <v>800</v>
      </c>
      <c r="W3462" s="1220"/>
      <c r="X3462" s="1220"/>
      <c r="Y3462" s="1220"/>
      <c r="Z3462" s="1220"/>
      <c r="AA3462" s="1220">
        <f t="shared" si="555"/>
        <v>1600</v>
      </c>
      <c r="AB3462" s="1210"/>
      <c r="AC3462" s="1199"/>
      <c r="AD3462" s="1211"/>
    </row>
    <row r="3463" spans="1:30" x14ac:dyDescent="0.2">
      <c r="A3463" s="1422"/>
      <c r="B3463" s="2522"/>
      <c r="C3463" s="2456"/>
      <c r="D3463" s="3369"/>
      <c r="E3463" s="3369"/>
      <c r="F3463" s="2420"/>
      <c r="G3463" s="2420"/>
      <c r="H3463" s="2515"/>
      <c r="I3463" s="2420"/>
      <c r="J3463" s="2955"/>
      <c r="K3463" s="41">
        <v>8434</v>
      </c>
      <c r="L3463" s="115"/>
      <c r="M3463" s="3287" t="s">
        <v>306</v>
      </c>
      <c r="N3463" s="3288"/>
      <c r="O3463" s="1220"/>
      <c r="P3463" s="1220">
        <f>$K3463/11</f>
        <v>766.72727272727275</v>
      </c>
      <c r="Q3463" s="1220">
        <f t="shared" ref="Q3463:Z3464" si="557">$K3463/11</f>
        <v>766.72727272727275</v>
      </c>
      <c r="R3463" s="1220">
        <f t="shared" si="557"/>
        <v>766.72727272727275</v>
      </c>
      <c r="S3463" s="1220">
        <f t="shared" si="557"/>
        <v>766.72727272727275</v>
      </c>
      <c r="T3463" s="1220">
        <f t="shared" si="557"/>
        <v>766.72727272727275</v>
      </c>
      <c r="U3463" s="1220">
        <f t="shared" si="557"/>
        <v>766.72727272727275</v>
      </c>
      <c r="V3463" s="1220">
        <f t="shared" si="557"/>
        <v>766.72727272727275</v>
      </c>
      <c r="W3463" s="1220">
        <f t="shared" si="557"/>
        <v>766.72727272727275</v>
      </c>
      <c r="X3463" s="1220">
        <f t="shared" si="557"/>
        <v>766.72727272727275</v>
      </c>
      <c r="Y3463" s="1220">
        <f t="shared" si="557"/>
        <v>766.72727272727275</v>
      </c>
      <c r="Z3463" s="1220">
        <f>$K3463/11</f>
        <v>766.72727272727275</v>
      </c>
      <c r="AA3463" s="1220">
        <f t="shared" si="555"/>
        <v>8434.0000000000018</v>
      </c>
      <c r="AB3463" s="1210"/>
      <c r="AC3463" s="1199"/>
      <c r="AD3463" s="1211"/>
    </row>
    <row r="3464" spans="1:30" x14ac:dyDescent="0.2">
      <c r="A3464" s="1422"/>
      <c r="B3464" s="2522"/>
      <c r="C3464" s="2456"/>
      <c r="D3464" s="3369"/>
      <c r="E3464" s="3369"/>
      <c r="F3464" s="2420"/>
      <c r="G3464" s="2420"/>
      <c r="H3464" s="2515"/>
      <c r="I3464" s="2420"/>
      <c r="J3464" s="2955"/>
      <c r="K3464" s="41">
        <v>1000</v>
      </c>
      <c r="L3464" s="115"/>
      <c r="M3464" s="3287" t="s">
        <v>307</v>
      </c>
      <c r="N3464" s="3288"/>
      <c r="O3464" s="1220"/>
      <c r="P3464" s="1220">
        <f>$K3464/11</f>
        <v>90.909090909090907</v>
      </c>
      <c r="Q3464" s="1220">
        <f t="shared" si="557"/>
        <v>90.909090909090907</v>
      </c>
      <c r="R3464" s="1220">
        <f t="shared" si="557"/>
        <v>90.909090909090907</v>
      </c>
      <c r="S3464" s="1220">
        <f t="shared" si="557"/>
        <v>90.909090909090907</v>
      </c>
      <c r="T3464" s="1220">
        <f t="shared" si="557"/>
        <v>90.909090909090907</v>
      </c>
      <c r="U3464" s="1220">
        <f t="shared" si="557"/>
        <v>90.909090909090907</v>
      </c>
      <c r="V3464" s="1220">
        <f t="shared" si="557"/>
        <v>90.909090909090907</v>
      </c>
      <c r="W3464" s="1220">
        <f t="shared" si="557"/>
        <v>90.909090909090907</v>
      </c>
      <c r="X3464" s="1220">
        <f t="shared" si="557"/>
        <v>90.909090909090907</v>
      </c>
      <c r="Y3464" s="1220">
        <f t="shared" si="557"/>
        <v>90.909090909090907</v>
      </c>
      <c r="Z3464" s="1220">
        <f t="shared" si="557"/>
        <v>90.909090909090907</v>
      </c>
      <c r="AA3464" s="1220">
        <f t="shared" si="555"/>
        <v>999.99999999999977</v>
      </c>
      <c r="AB3464" s="1210"/>
      <c r="AC3464" s="1199"/>
      <c r="AD3464" s="1211"/>
    </row>
    <row r="3465" spans="1:30" x14ac:dyDescent="0.2">
      <c r="A3465" s="1422"/>
      <c r="B3465" s="2522"/>
      <c r="C3465" s="2456"/>
      <c r="D3465" s="3369"/>
      <c r="E3465" s="3369"/>
      <c r="F3465" s="2420"/>
      <c r="G3465" s="2420"/>
      <c r="H3465" s="2515"/>
      <c r="I3465" s="2420"/>
      <c r="J3465" s="2955"/>
      <c r="K3465" s="41">
        <v>300</v>
      </c>
      <c r="L3465" s="115"/>
      <c r="M3465" s="3287" t="s">
        <v>355</v>
      </c>
      <c r="N3465" s="3288"/>
      <c r="O3465" s="1220"/>
      <c r="P3465" s="1220"/>
      <c r="Q3465" s="1220"/>
      <c r="R3465" s="1220">
        <f>$K3465</f>
        <v>300</v>
      </c>
      <c r="S3465" s="1220"/>
      <c r="T3465" s="1220"/>
      <c r="U3465" s="1220"/>
      <c r="V3465" s="1220"/>
      <c r="W3465" s="1220"/>
      <c r="X3465" s="1220"/>
      <c r="Y3465" s="1220"/>
      <c r="Z3465" s="1220"/>
      <c r="AA3465" s="1220">
        <f t="shared" si="555"/>
        <v>300</v>
      </c>
      <c r="AB3465" s="1210"/>
      <c r="AC3465" s="1199"/>
      <c r="AD3465" s="1211"/>
    </row>
    <row r="3466" spans="1:30" x14ac:dyDescent="0.2">
      <c r="A3466" s="1422"/>
      <c r="B3466" s="2522"/>
      <c r="C3466" s="2456"/>
      <c r="D3466" s="3369"/>
      <c r="E3466" s="3369"/>
      <c r="F3466" s="2420"/>
      <c r="G3466" s="2420"/>
      <c r="H3466" s="2515"/>
      <c r="I3466" s="2420"/>
      <c r="J3466" s="2955"/>
      <c r="K3466" s="41">
        <v>500</v>
      </c>
      <c r="L3466" s="115"/>
      <c r="M3466" s="3287" t="s">
        <v>308</v>
      </c>
      <c r="N3466" s="3288"/>
      <c r="O3466" s="1220"/>
      <c r="P3466" s="1220"/>
      <c r="Q3466" s="1220">
        <f>$K3466</f>
        <v>500</v>
      </c>
      <c r="R3466" s="1220"/>
      <c r="S3466" s="1220"/>
      <c r="T3466" s="1220"/>
      <c r="U3466" s="1220"/>
      <c r="V3466" s="1220"/>
      <c r="W3466" s="1220"/>
      <c r="X3466" s="1220"/>
      <c r="Y3466" s="1220"/>
      <c r="Z3466" s="1220"/>
      <c r="AA3466" s="1220">
        <f t="shared" si="555"/>
        <v>500</v>
      </c>
      <c r="AB3466" s="1210"/>
      <c r="AC3466" s="1199"/>
      <c r="AD3466" s="1211"/>
    </row>
    <row r="3467" spans="1:30" x14ac:dyDescent="0.2">
      <c r="A3467" s="1422"/>
      <c r="B3467" s="2522"/>
      <c r="C3467" s="2450"/>
      <c r="D3467" s="3369"/>
      <c r="E3467" s="3369"/>
      <c r="F3467" s="2420"/>
      <c r="G3467" s="2420"/>
      <c r="H3467" s="2516"/>
      <c r="I3467" s="2420"/>
      <c r="J3467" s="2956"/>
      <c r="K3467" s="41">
        <v>3200</v>
      </c>
      <c r="L3467" s="115"/>
      <c r="M3467" s="3287" t="s">
        <v>309</v>
      </c>
      <c r="N3467" s="3288"/>
      <c r="O3467" s="1220"/>
      <c r="P3467" s="1220"/>
      <c r="Q3467" s="1220">
        <f>$K3467/5</f>
        <v>640</v>
      </c>
      <c r="R3467" s="1220"/>
      <c r="S3467" s="1220">
        <f>$K3467/5</f>
        <v>640</v>
      </c>
      <c r="T3467" s="1220"/>
      <c r="U3467" s="1220">
        <f>$K3467/5</f>
        <v>640</v>
      </c>
      <c r="V3467" s="1220"/>
      <c r="W3467" s="1220">
        <f>$K3467/5</f>
        <v>640</v>
      </c>
      <c r="X3467" s="1220"/>
      <c r="Y3467" s="1220">
        <f>$K3467/5</f>
        <v>640</v>
      </c>
      <c r="Z3467" s="1220"/>
      <c r="AA3467" s="1220">
        <f t="shared" si="555"/>
        <v>3200</v>
      </c>
      <c r="AB3467" s="1210"/>
      <c r="AC3467" s="1199"/>
      <c r="AD3467" s="1211"/>
    </row>
    <row r="3468" spans="1:30" ht="12" thickBot="1" x14ac:dyDescent="0.25">
      <c r="A3468" s="1422"/>
      <c r="B3468" s="1427" t="s">
        <v>312</v>
      </c>
      <c r="C3468" s="38"/>
      <c r="D3468" s="38"/>
      <c r="E3468" s="38"/>
      <c r="F3468" s="38"/>
      <c r="G3468" s="38"/>
      <c r="H3468" s="38"/>
      <c r="I3468" s="38"/>
      <c r="J3468" s="38"/>
      <c r="K3468" s="41">
        <f>SUM(K3449:K3467)</f>
        <v>350535</v>
      </c>
      <c r="L3468" s="38"/>
      <c r="M3468" s="38"/>
      <c r="N3468" s="38"/>
      <c r="O3468" s="1234"/>
      <c r="P3468" s="1234"/>
      <c r="Q3468" s="1234"/>
      <c r="R3468" s="1234"/>
      <c r="S3468" s="1234"/>
      <c r="T3468" s="1234"/>
      <c r="U3468" s="1234"/>
      <c r="V3468" s="1234"/>
      <c r="W3468" s="1234"/>
      <c r="X3468" s="1234"/>
      <c r="Y3468" s="1234"/>
      <c r="Z3468" s="1234"/>
      <c r="AA3468" s="1234"/>
      <c r="AB3468" s="1210"/>
      <c r="AC3468" s="1199"/>
      <c r="AD3468" s="1211"/>
    </row>
    <row r="3469" spans="1:30" x14ac:dyDescent="0.2">
      <c r="A3469" s="1422"/>
      <c r="B3469" s="2999" t="s">
        <v>278</v>
      </c>
      <c r="C3469" s="2847" t="s">
        <v>21</v>
      </c>
      <c r="D3469" s="2847" t="s">
        <v>22</v>
      </c>
      <c r="E3469" s="2847" t="s">
        <v>23</v>
      </c>
      <c r="F3469" s="2847" t="s">
        <v>24</v>
      </c>
      <c r="G3469" s="2847" t="s">
        <v>25</v>
      </c>
      <c r="H3469" s="2847" t="s">
        <v>26</v>
      </c>
      <c r="I3469" s="2847" t="s">
        <v>27</v>
      </c>
      <c r="J3469" s="3416" t="s">
        <v>28</v>
      </c>
      <c r="K3469" s="3416"/>
      <c r="L3469" s="3409" t="s">
        <v>279</v>
      </c>
      <c r="M3469" s="3411" t="s">
        <v>280</v>
      </c>
      <c r="N3469" s="3412"/>
      <c r="O3469" s="3413" t="s">
        <v>281</v>
      </c>
      <c r="P3469" s="3320"/>
      <c r="Q3469" s="3320"/>
      <c r="R3469" s="3320"/>
      <c r="S3469" s="3320"/>
      <c r="T3469" s="3320"/>
      <c r="U3469" s="3320"/>
      <c r="V3469" s="3320"/>
      <c r="W3469" s="3320"/>
      <c r="X3469" s="3320"/>
      <c r="Y3469" s="3320"/>
      <c r="Z3469" s="3414"/>
      <c r="AA3469" s="2847" t="s">
        <v>32</v>
      </c>
      <c r="AB3469" s="35"/>
      <c r="AC3469" s="183"/>
    </row>
    <row r="3470" spans="1:30" x14ac:dyDescent="0.2">
      <c r="A3470" s="1422"/>
      <c r="B3470" s="2999"/>
      <c r="C3470" s="2847"/>
      <c r="D3470" s="2847"/>
      <c r="E3470" s="2847"/>
      <c r="F3470" s="2847"/>
      <c r="G3470" s="2847"/>
      <c r="H3470" s="2847"/>
      <c r="I3470" s="2847"/>
      <c r="J3470" s="2988" t="s">
        <v>33</v>
      </c>
      <c r="K3470" s="2988" t="s">
        <v>282</v>
      </c>
      <c r="L3470" s="3410"/>
      <c r="M3470" s="3275"/>
      <c r="N3470" s="3318"/>
      <c r="O3470" s="72" t="s">
        <v>283</v>
      </c>
      <c r="P3470" s="1009" t="s">
        <v>284</v>
      </c>
      <c r="Q3470" s="1009" t="s">
        <v>285</v>
      </c>
      <c r="R3470" s="1009" t="s">
        <v>88</v>
      </c>
      <c r="S3470" s="1009" t="s">
        <v>89</v>
      </c>
      <c r="T3470" s="1009" t="s">
        <v>90</v>
      </c>
      <c r="U3470" s="1009" t="s">
        <v>91</v>
      </c>
      <c r="V3470" s="1009" t="s">
        <v>92</v>
      </c>
      <c r="W3470" s="1009" t="s">
        <v>286</v>
      </c>
      <c r="X3470" s="1009" t="s">
        <v>93</v>
      </c>
      <c r="Y3470" s="1009" t="s">
        <v>94</v>
      </c>
      <c r="Z3470" s="73" t="s">
        <v>95</v>
      </c>
      <c r="AA3470" s="2847"/>
      <c r="AB3470" s="35"/>
      <c r="AC3470" s="183"/>
    </row>
    <row r="3471" spans="1:30" ht="13.5" thickBot="1" x14ac:dyDescent="0.25">
      <c r="A3471" s="1422"/>
      <c r="B3471" s="2999"/>
      <c r="C3471" s="2847"/>
      <c r="D3471" s="2847"/>
      <c r="E3471" s="2847"/>
      <c r="F3471" s="2847"/>
      <c r="G3471" s="2847"/>
      <c r="H3471" s="2847"/>
      <c r="I3471" s="2847"/>
      <c r="J3471" s="3186"/>
      <c r="K3471" s="3186"/>
      <c r="L3471" s="3410"/>
      <c r="M3471" s="3273" t="s">
        <v>287</v>
      </c>
      <c r="N3471" s="3314"/>
      <c r="O3471" s="138"/>
      <c r="P3471" s="139"/>
      <c r="Q3471" s="139"/>
      <c r="R3471" s="139">
        <v>1</v>
      </c>
      <c r="S3471" s="139"/>
      <c r="T3471" s="139"/>
      <c r="U3471" s="139"/>
      <c r="V3471" s="139"/>
      <c r="W3471" s="139"/>
      <c r="X3471" s="139"/>
      <c r="Y3471" s="139"/>
      <c r="Z3471" s="140"/>
      <c r="AA3471" s="1219">
        <f>SUM(O3471:Z3471)</f>
        <v>1</v>
      </c>
      <c r="AB3471" s="1210"/>
      <c r="AC3471" s="1199"/>
      <c r="AD3471" s="1211"/>
    </row>
    <row r="3472" spans="1:30" ht="12.75" x14ac:dyDescent="0.2">
      <c r="A3472" s="1422"/>
      <c r="B3472" s="2999"/>
      <c r="C3472" s="2847"/>
      <c r="D3472" s="2847"/>
      <c r="E3472" s="2847"/>
      <c r="F3472" s="2847"/>
      <c r="G3472" s="2847"/>
      <c r="H3472" s="2847"/>
      <c r="I3472" s="2847"/>
      <c r="J3472" s="3186"/>
      <c r="K3472" s="3186"/>
      <c r="L3472" s="3143"/>
      <c r="M3472" s="3273" t="s">
        <v>34</v>
      </c>
      <c r="N3472" s="3314"/>
      <c r="O3472" s="141">
        <f>SUM(O3473:O3475)</f>
        <v>0</v>
      </c>
      <c r="P3472" s="141">
        <f t="shared" ref="P3472:Z3472" si="558">SUM(P3473:P3475)</f>
        <v>258.18181818181819</v>
      </c>
      <c r="Q3472" s="141">
        <f t="shared" si="558"/>
        <v>18.181818181818183</v>
      </c>
      <c r="R3472" s="141">
        <f t="shared" si="558"/>
        <v>3368.181818181818</v>
      </c>
      <c r="S3472" s="141">
        <f t="shared" si="558"/>
        <v>18.181818181818183</v>
      </c>
      <c r="T3472" s="141">
        <f t="shared" si="558"/>
        <v>18.181818181818183</v>
      </c>
      <c r="U3472" s="141">
        <f t="shared" si="558"/>
        <v>18.181818181818183</v>
      </c>
      <c r="V3472" s="141">
        <f t="shared" si="558"/>
        <v>18.181818181818183</v>
      </c>
      <c r="W3472" s="141">
        <f t="shared" si="558"/>
        <v>18.181818181818183</v>
      </c>
      <c r="X3472" s="141">
        <f t="shared" si="558"/>
        <v>18.181818181818183</v>
      </c>
      <c r="Y3472" s="141">
        <f t="shared" si="558"/>
        <v>18.181818181818183</v>
      </c>
      <c r="Z3472" s="141">
        <f t="shared" si="558"/>
        <v>18.181818181818183</v>
      </c>
      <c r="AA3472" s="1219">
        <f>SUM(O3472:Z3472)</f>
        <v>3789.9999999999986</v>
      </c>
      <c r="AB3472" s="1210"/>
      <c r="AC3472" s="1199"/>
      <c r="AD3472" s="1211"/>
    </row>
    <row r="3473" spans="1:30" x14ac:dyDescent="0.2">
      <c r="A3473" s="1422"/>
      <c r="B3473" s="2522">
        <v>5005184</v>
      </c>
      <c r="C3473" s="2438" t="s">
        <v>936</v>
      </c>
      <c r="D3473" s="3369">
        <v>111</v>
      </c>
      <c r="E3473" s="3369" t="s">
        <v>401</v>
      </c>
      <c r="F3473" s="2522" t="s">
        <v>313</v>
      </c>
      <c r="G3473" s="2522" t="s">
        <v>314</v>
      </c>
      <c r="H3473" s="2438" t="s">
        <v>937</v>
      </c>
      <c r="I3473" s="2522" t="s">
        <v>316</v>
      </c>
      <c r="J3473" s="3369">
        <v>1</v>
      </c>
      <c r="K3473" s="41">
        <v>3350</v>
      </c>
      <c r="L3473" s="115"/>
      <c r="M3473" s="3287" t="s">
        <v>304</v>
      </c>
      <c r="N3473" s="3288"/>
      <c r="O3473" s="38"/>
      <c r="P3473" s="38"/>
      <c r="Q3473" s="40"/>
      <c r="R3473" s="40">
        <f>$K3473</f>
        <v>3350</v>
      </c>
      <c r="S3473" s="38"/>
      <c r="T3473" s="38"/>
      <c r="U3473" s="38"/>
      <c r="V3473" s="38"/>
      <c r="W3473" s="38"/>
      <c r="X3473" s="38"/>
      <c r="Y3473" s="38"/>
      <c r="Z3473" s="38"/>
      <c r="AA3473" s="1220">
        <f>SUM(O3473:Z3473)</f>
        <v>3350</v>
      </c>
      <c r="AB3473" s="1210"/>
      <c r="AC3473" s="1199"/>
      <c r="AD3473" s="1211"/>
    </row>
    <row r="3474" spans="1:30" x14ac:dyDescent="0.2">
      <c r="A3474" s="1422"/>
      <c r="B3474" s="2522"/>
      <c r="C3474" s="2456"/>
      <c r="D3474" s="3369"/>
      <c r="E3474" s="3369"/>
      <c r="F3474" s="2522"/>
      <c r="G3474" s="2522"/>
      <c r="H3474" s="2456"/>
      <c r="I3474" s="2522"/>
      <c r="J3474" s="3369"/>
      <c r="K3474" s="41">
        <v>240</v>
      </c>
      <c r="L3474" s="115"/>
      <c r="M3474" s="3287" t="s">
        <v>306</v>
      </c>
      <c r="N3474" s="3288"/>
      <c r="O3474" s="38"/>
      <c r="P3474" s="67">
        <f>$K3474</f>
        <v>240</v>
      </c>
      <c r="Q3474" s="67"/>
      <c r="R3474" s="67"/>
      <c r="S3474" s="67"/>
      <c r="T3474" s="67"/>
      <c r="U3474" s="67"/>
      <c r="V3474" s="67"/>
      <c r="W3474" s="67"/>
      <c r="X3474" s="67"/>
      <c r="Y3474" s="67"/>
      <c r="Z3474" s="67"/>
      <c r="AA3474" s="1220">
        <f t="shared" ref="AA3474:AA3475" si="559">SUM(O3474:Z3474)</f>
        <v>240</v>
      </c>
      <c r="AB3474" s="1210"/>
      <c r="AC3474" s="1199"/>
      <c r="AD3474" s="1211"/>
    </row>
    <row r="3475" spans="1:30" x14ac:dyDescent="0.2">
      <c r="A3475" s="1422"/>
      <c r="B3475" s="2522"/>
      <c r="C3475" s="2450"/>
      <c r="D3475" s="3369"/>
      <c r="E3475" s="3369"/>
      <c r="F3475" s="2522"/>
      <c r="G3475" s="2522"/>
      <c r="H3475" s="2450"/>
      <c r="I3475" s="2522"/>
      <c r="J3475" s="3369"/>
      <c r="K3475" s="41">
        <v>200</v>
      </c>
      <c r="L3475" s="115"/>
      <c r="M3475" s="3287" t="s">
        <v>307</v>
      </c>
      <c r="N3475" s="3288"/>
      <c r="O3475" s="38"/>
      <c r="P3475" s="42">
        <f>$K3475/11</f>
        <v>18.181818181818183</v>
      </c>
      <c r="Q3475" s="42">
        <f t="shared" ref="Q3475:Z3475" si="560">$K3475/11</f>
        <v>18.181818181818183</v>
      </c>
      <c r="R3475" s="42">
        <f t="shared" si="560"/>
        <v>18.181818181818183</v>
      </c>
      <c r="S3475" s="42">
        <f t="shared" si="560"/>
        <v>18.181818181818183</v>
      </c>
      <c r="T3475" s="42">
        <f t="shared" si="560"/>
        <v>18.181818181818183</v>
      </c>
      <c r="U3475" s="42">
        <f t="shared" si="560"/>
        <v>18.181818181818183</v>
      </c>
      <c r="V3475" s="42">
        <f t="shared" si="560"/>
        <v>18.181818181818183</v>
      </c>
      <c r="W3475" s="42">
        <f t="shared" si="560"/>
        <v>18.181818181818183</v>
      </c>
      <c r="X3475" s="42">
        <f t="shared" si="560"/>
        <v>18.181818181818183</v>
      </c>
      <c r="Y3475" s="42">
        <f t="shared" si="560"/>
        <v>18.181818181818183</v>
      </c>
      <c r="Z3475" s="42">
        <f t="shared" si="560"/>
        <v>18.181818181818183</v>
      </c>
      <c r="AA3475" s="1220">
        <f t="shared" si="559"/>
        <v>200.00000000000003</v>
      </c>
      <c r="AB3475" s="1210"/>
      <c r="AC3475" s="1199"/>
      <c r="AD3475" s="1211"/>
    </row>
    <row r="3476" spans="1:30" ht="12" thickBot="1" x14ac:dyDescent="0.25">
      <c r="A3476" s="1422"/>
      <c r="B3476" s="1427" t="s">
        <v>312</v>
      </c>
      <c r="C3476" s="1128"/>
      <c r="D3476" s="38"/>
      <c r="E3476" s="38"/>
      <c r="F3476" s="38"/>
      <c r="G3476" s="38"/>
      <c r="H3476" s="38"/>
      <c r="I3476" s="38"/>
      <c r="J3476" s="38"/>
      <c r="K3476" s="41">
        <f>SUM(K3473:K3475)</f>
        <v>3790</v>
      </c>
      <c r="L3476" s="38"/>
      <c r="M3476" s="38"/>
      <c r="N3476" s="38"/>
      <c r="O3476" s="38"/>
      <c r="P3476" s="38"/>
      <c r="Q3476" s="38"/>
      <c r="R3476" s="38"/>
      <c r="S3476" s="38"/>
      <c r="T3476" s="38"/>
      <c r="U3476" s="38"/>
      <c r="V3476" s="38"/>
      <c r="W3476" s="38"/>
      <c r="X3476" s="38"/>
      <c r="Y3476" s="38"/>
      <c r="Z3476" s="38"/>
      <c r="AA3476" s="1234"/>
      <c r="AB3476" s="1210"/>
      <c r="AC3476" s="1199"/>
      <c r="AD3476" s="1211"/>
    </row>
    <row r="3477" spans="1:30" x14ac:dyDescent="0.2">
      <c r="A3477" s="1422"/>
      <c r="B3477" s="2999" t="s">
        <v>278</v>
      </c>
      <c r="C3477" s="2999" t="s">
        <v>21</v>
      </c>
      <c r="D3477" s="2847" t="s">
        <v>22</v>
      </c>
      <c r="E3477" s="2847" t="s">
        <v>23</v>
      </c>
      <c r="F3477" s="2847" t="s">
        <v>24</v>
      </c>
      <c r="G3477" s="2847" t="s">
        <v>25</v>
      </c>
      <c r="H3477" s="2847" t="s">
        <v>26</v>
      </c>
      <c r="I3477" s="2847" t="s">
        <v>27</v>
      </c>
      <c r="J3477" s="3416" t="s">
        <v>28</v>
      </c>
      <c r="K3477" s="3416"/>
      <c r="L3477" s="3409" t="s">
        <v>279</v>
      </c>
      <c r="M3477" s="3411" t="s">
        <v>280</v>
      </c>
      <c r="N3477" s="3412"/>
      <c r="O3477" s="3413" t="s">
        <v>281</v>
      </c>
      <c r="P3477" s="3320"/>
      <c r="Q3477" s="3320"/>
      <c r="R3477" s="3320"/>
      <c r="S3477" s="3320"/>
      <c r="T3477" s="3320"/>
      <c r="U3477" s="3320"/>
      <c r="V3477" s="3320"/>
      <c r="W3477" s="3320"/>
      <c r="X3477" s="3320"/>
      <c r="Y3477" s="3320"/>
      <c r="Z3477" s="3414"/>
      <c r="AA3477" s="3358" t="s">
        <v>32</v>
      </c>
      <c r="AB3477" s="1210"/>
      <c r="AC3477" s="1199"/>
      <c r="AD3477" s="1211"/>
    </row>
    <row r="3478" spans="1:30" x14ac:dyDescent="0.2">
      <c r="A3478" s="1422"/>
      <c r="B3478" s="2999"/>
      <c r="C3478" s="2999"/>
      <c r="D3478" s="2847"/>
      <c r="E3478" s="2847"/>
      <c r="F3478" s="2847"/>
      <c r="G3478" s="2847"/>
      <c r="H3478" s="2847"/>
      <c r="I3478" s="2847"/>
      <c r="J3478" s="2988" t="s">
        <v>33</v>
      </c>
      <c r="K3478" s="2988" t="s">
        <v>282</v>
      </c>
      <c r="L3478" s="3410"/>
      <c r="M3478" s="3275"/>
      <c r="N3478" s="3318"/>
      <c r="O3478" s="72" t="s">
        <v>283</v>
      </c>
      <c r="P3478" s="1009" t="s">
        <v>284</v>
      </c>
      <c r="Q3478" s="1009" t="s">
        <v>285</v>
      </c>
      <c r="R3478" s="1009" t="s">
        <v>88</v>
      </c>
      <c r="S3478" s="1009" t="s">
        <v>89</v>
      </c>
      <c r="T3478" s="1009" t="s">
        <v>90</v>
      </c>
      <c r="U3478" s="1009" t="s">
        <v>91</v>
      </c>
      <c r="V3478" s="1009" t="s">
        <v>92</v>
      </c>
      <c r="W3478" s="1009" t="s">
        <v>286</v>
      </c>
      <c r="X3478" s="1009" t="s">
        <v>93</v>
      </c>
      <c r="Y3478" s="1009" t="s">
        <v>94</v>
      </c>
      <c r="Z3478" s="73" t="s">
        <v>95</v>
      </c>
      <c r="AA3478" s="3358"/>
      <c r="AB3478" s="1210"/>
      <c r="AC3478" s="1199"/>
      <c r="AD3478" s="1211"/>
    </row>
    <row r="3479" spans="1:30" ht="13.5" thickBot="1" x14ac:dyDescent="0.25">
      <c r="A3479" s="1422"/>
      <c r="B3479" s="2999"/>
      <c r="C3479" s="2999"/>
      <c r="D3479" s="2847"/>
      <c r="E3479" s="2847"/>
      <c r="F3479" s="2847"/>
      <c r="G3479" s="2847"/>
      <c r="H3479" s="2847"/>
      <c r="I3479" s="2847"/>
      <c r="J3479" s="3186"/>
      <c r="K3479" s="3186"/>
      <c r="L3479" s="3410"/>
      <c r="M3479" s="3273" t="s">
        <v>287</v>
      </c>
      <c r="N3479" s="3314"/>
      <c r="O3479" s="142">
        <v>4.25</v>
      </c>
      <c r="P3479" s="139">
        <v>4</v>
      </c>
      <c r="Q3479" s="139">
        <v>4</v>
      </c>
      <c r="R3479" s="139">
        <v>5</v>
      </c>
      <c r="S3479" s="139">
        <v>5</v>
      </c>
      <c r="T3479" s="139">
        <v>5</v>
      </c>
      <c r="U3479" s="139">
        <v>4</v>
      </c>
      <c r="V3479" s="139">
        <v>4</v>
      </c>
      <c r="W3479" s="139">
        <v>4</v>
      </c>
      <c r="X3479" s="139">
        <v>4</v>
      </c>
      <c r="Y3479" s="139">
        <v>4</v>
      </c>
      <c r="Z3479" s="140">
        <v>4</v>
      </c>
      <c r="AA3479" s="1221">
        <f>SUM(O3479:Z3479)</f>
        <v>51.25</v>
      </c>
      <c r="AB3479" s="1210"/>
      <c r="AC3479" s="1199"/>
      <c r="AD3479" s="1211"/>
    </row>
    <row r="3480" spans="1:30" ht="12.75" x14ac:dyDescent="0.2">
      <c r="A3480" s="1422"/>
      <c r="B3480" s="2999"/>
      <c r="C3480" s="2999"/>
      <c r="D3480" s="2847"/>
      <c r="E3480" s="2847"/>
      <c r="F3480" s="2847"/>
      <c r="G3480" s="2847"/>
      <c r="H3480" s="2847"/>
      <c r="I3480" s="2847"/>
      <c r="J3480" s="3186"/>
      <c r="K3480" s="3186"/>
      <c r="L3480" s="3143"/>
      <c r="M3480" s="3273" t="s">
        <v>34</v>
      </c>
      <c r="N3480" s="3314"/>
      <c r="O3480" s="141">
        <f>SUM(O3481)</f>
        <v>0</v>
      </c>
      <c r="P3480" s="141">
        <f t="shared" ref="P3480:Z3480" si="561">SUM(P3481)</f>
        <v>454.54545454545456</v>
      </c>
      <c r="Q3480" s="141">
        <f t="shared" si="561"/>
        <v>454.54545454545456</v>
      </c>
      <c r="R3480" s="141">
        <f t="shared" si="561"/>
        <v>454.54545454545456</v>
      </c>
      <c r="S3480" s="141">
        <f t="shared" si="561"/>
        <v>454.54545454545456</v>
      </c>
      <c r="T3480" s="141">
        <f t="shared" si="561"/>
        <v>454.54545454545456</v>
      </c>
      <c r="U3480" s="141">
        <f t="shared" si="561"/>
        <v>454.54545454545456</v>
      </c>
      <c r="V3480" s="141">
        <f t="shared" si="561"/>
        <v>454.54545454545456</v>
      </c>
      <c r="W3480" s="141">
        <f t="shared" si="561"/>
        <v>454.54545454545456</v>
      </c>
      <c r="X3480" s="141">
        <f t="shared" si="561"/>
        <v>454.54545454545456</v>
      </c>
      <c r="Y3480" s="141">
        <f t="shared" si="561"/>
        <v>454.54545454545456</v>
      </c>
      <c r="Z3480" s="141">
        <f t="shared" si="561"/>
        <v>454.54545454545456</v>
      </c>
      <c r="AA3480" s="1221">
        <f>SUM(O3480:Z3480)</f>
        <v>5000.0000000000009</v>
      </c>
      <c r="AB3480" s="1210"/>
      <c r="AC3480" s="1199"/>
      <c r="AD3480" s="1211"/>
    </row>
    <row r="3481" spans="1:30" ht="33.75" x14ac:dyDescent="0.2">
      <c r="A3481" s="1422"/>
      <c r="B3481" s="1018">
        <v>5005185</v>
      </c>
      <c r="C3481" s="1096" t="s">
        <v>938</v>
      </c>
      <c r="D3481" s="38"/>
      <c r="E3481" s="1068" t="s">
        <v>401</v>
      </c>
      <c r="F3481" s="1116" t="s">
        <v>313</v>
      </c>
      <c r="G3481" s="1096" t="s">
        <v>329</v>
      </c>
      <c r="H3481" s="1080"/>
      <c r="I3481" s="1116" t="s">
        <v>939</v>
      </c>
      <c r="J3481" s="1118">
        <v>51</v>
      </c>
      <c r="K3481" s="41">
        <v>5000</v>
      </c>
      <c r="L3481" s="143"/>
      <c r="M3481" s="913" t="s">
        <v>306</v>
      </c>
      <c r="N3481" s="913"/>
      <c r="O3481" s="38"/>
      <c r="P3481" s="144">
        <f>$K3481/11</f>
        <v>454.54545454545456</v>
      </c>
      <c r="Q3481" s="144">
        <f t="shared" ref="Q3481:Y3481" si="562">$K3481/11</f>
        <v>454.54545454545456</v>
      </c>
      <c r="R3481" s="144">
        <f t="shared" si="562"/>
        <v>454.54545454545456</v>
      </c>
      <c r="S3481" s="144">
        <f t="shared" si="562"/>
        <v>454.54545454545456</v>
      </c>
      <c r="T3481" s="144">
        <f t="shared" si="562"/>
        <v>454.54545454545456</v>
      </c>
      <c r="U3481" s="144">
        <f t="shared" si="562"/>
        <v>454.54545454545456</v>
      </c>
      <c r="V3481" s="144">
        <f t="shared" si="562"/>
        <v>454.54545454545456</v>
      </c>
      <c r="W3481" s="144">
        <f t="shared" si="562"/>
        <v>454.54545454545456</v>
      </c>
      <c r="X3481" s="144">
        <f t="shared" si="562"/>
        <v>454.54545454545456</v>
      </c>
      <c r="Y3481" s="144">
        <f t="shared" si="562"/>
        <v>454.54545454545456</v>
      </c>
      <c r="Z3481" s="144">
        <f>$K3481/11</f>
        <v>454.54545454545456</v>
      </c>
      <c r="AA3481" s="1220">
        <f>SUM(O3481:Z3481)</f>
        <v>5000.0000000000009</v>
      </c>
      <c r="AB3481" s="1210"/>
      <c r="AC3481" s="1199"/>
      <c r="AD3481" s="1211"/>
    </row>
    <row r="3482" spans="1:30" x14ac:dyDescent="0.2">
      <c r="A3482" s="1422"/>
      <c r="B3482" s="1427" t="s">
        <v>312</v>
      </c>
      <c r="C3482" s="1128"/>
      <c r="D3482" s="38"/>
      <c r="E3482" s="38"/>
      <c r="F3482" s="38"/>
      <c r="G3482" s="38"/>
      <c r="H3482" s="38"/>
      <c r="I3482" s="38"/>
      <c r="J3482" s="38"/>
      <c r="K3482" s="38">
        <f>SUM(K3481)</f>
        <v>5000</v>
      </c>
      <c r="L3482" s="38"/>
      <c r="M3482" s="38"/>
      <c r="N3482" s="38"/>
      <c r="O3482" s="38"/>
      <c r="P3482" s="38"/>
      <c r="Q3482" s="38"/>
      <c r="R3482" s="38"/>
      <c r="S3482" s="38"/>
      <c r="T3482" s="38"/>
      <c r="U3482" s="38"/>
      <c r="V3482" s="38"/>
      <c r="W3482" s="38"/>
      <c r="X3482" s="38"/>
      <c r="Y3482" s="38"/>
      <c r="Z3482" s="38"/>
      <c r="AA3482" s="1220"/>
      <c r="AB3482" s="1210"/>
      <c r="AC3482" s="1199"/>
      <c r="AD3482" s="1211"/>
    </row>
    <row r="3483" spans="1:30" ht="22.5" x14ac:dyDescent="0.2">
      <c r="A3483" s="1422"/>
      <c r="B3483" s="1433" t="s">
        <v>276</v>
      </c>
      <c r="C3483" s="1119"/>
      <c r="D3483" s="35">
        <v>3000698</v>
      </c>
      <c r="E3483" s="192" t="s">
        <v>940</v>
      </c>
      <c r="F3483" s="35"/>
      <c r="G3483" s="35"/>
      <c r="H3483" s="35"/>
      <c r="I3483" s="35"/>
      <c r="J3483" s="35"/>
      <c r="K3483" s="35"/>
      <c r="L3483" s="35"/>
      <c r="M3483" s="35"/>
      <c r="N3483" s="35"/>
      <c r="O3483" s="35"/>
      <c r="P3483" s="35"/>
      <c r="Q3483" s="35"/>
      <c r="R3483" s="35"/>
      <c r="S3483" s="35"/>
      <c r="T3483" s="35"/>
      <c r="U3483" s="3333" t="s">
        <v>15</v>
      </c>
      <c r="V3483" s="3333"/>
      <c r="W3483" s="3333"/>
      <c r="X3483" s="3333"/>
      <c r="Y3483" s="3333"/>
      <c r="Z3483" s="3333"/>
      <c r="AA3483" s="1228" t="s">
        <v>16</v>
      </c>
      <c r="AB3483" s="1210"/>
      <c r="AC3483" s="1199"/>
      <c r="AD3483" s="1211"/>
    </row>
    <row r="3484" spans="1:30" ht="17.25" customHeight="1" thickBot="1" x14ac:dyDescent="0.25">
      <c r="A3484" s="1422"/>
      <c r="B3484" s="1433"/>
      <c r="C3484" s="1119"/>
      <c r="D3484" s="35"/>
      <c r="E3484" s="192"/>
      <c r="F3484" s="35"/>
      <c r="G3484" s="35"/>
      <c r="H3484" s="35"/>
      <c r="I3484" s="35"/>
      <c r="J3484" s="35"/>
      <c r="K3484" s="35"/>
      <c r="L3484" s="35"/>
      <c r="M3484" s="35"/>
      <c r="N3484" s="35"/>
      <c r="O3484" s="35"/>
      <c r="P3484" s="35"/>
      <c r="Q3484" s="35"/>
      <c r="R3484" s="35"/>
      <c r="S3484" s="35"/>
      <c r="T3484" s="35"/>
      <c r="U3484" s="3333" t="s">
        <v>941</v>
      </c>
      <c r="V3484" s="3333"/>
      <c r="W3484" s="3333"/>
      <c r="X3484" s="3333"/>
      <c r="Y3484" s="3333"/>
      <c r="Z3484" s="3333"/>
      <c r="AA3484" s="1228" t="s">
        <v>942</v>
      </c>
      <c r="AB3484" s="1210"/>
      <c r="AC3484" s="1199"/>
      <c r="AD3484" s="1211"/>
    </row>
    <row r="3485" spans="1:30" ht="14.25" customHeight="1" x14ac:dyDescent="0.2">
      <c r="A3485" s="1422"/>
      <c r="B3485" s="2999" t="s">
        <v>278</v>
      </c>
      <c r="C3485" s="2999" t="s">
        <v>21</v>
      </c>
      <c r="D3485" s="2847" t="s">
        <v>22</v>
      </c>
      <c r="E3485" s="2847" t="s">
        <v>23</v>
      </c>
      <c r="F3485" s="2847" t="s">
        <v>24</v>
      </c>
      <c r="G3485" s="2847" t="s">
        <v>25</v>
      </c>
      <c r="H3485" s="2847" t="s">
        <v>26</v>
      </c>
      <c r="I3485" s="2847" t="s">
        <v>27</v>
      </c>
      <c r="J3485" s="3416" t="s">
        <v>28</v>
      </c>
      <c r="K3485" s="3416"/>
      <c r="L3485" s="3409" t="s">
        <v>279</v>
      </c>
      <c r="M3485" s="3411" t="s">
        <v>280</v>
      </c>
      <c r="N3485" s="3412"/>
      <c r="O3485" s="3413" t="s">
        <v>281</v>
      </c>
      <c r="P3485" s="3320"/>
      <c r="Q3485" s="3320"/>
      <c r="R3485" s="3320"/>
      <c r="S3485" s="3320"/>
      <c r="T3485" s="3320"/>
      <c r="U3485" s="3320"/>
      <c r="V3485" s="3320"/>
      <c r="W3485" s="3320"/>
      <c r="X3485" s="3320"/>
      <c r="Y3485" s="3320"/>
      <c r="Z3485" s="3414"/>
      <c r="AA3485" s="3358" t="s">
        <v>32</v>
      </c>
      <c r="AB3485" s="1210"/>
      <c r="AC3485" s="1199"/>
      <c r="AD3485" s="1211"/>
    </row>
    <row r="3486" spans="1:30" x14ac:dyDescent="0.2">
      <c r="A3486" s="1422"/>
      <c r="B3486" s="2999"/>
      <c r="C3486" s="2999"/>
      <c r="D3486" s="2847"/>
      <c r="E3486" s="2847"/>
      <c r="F3486" s="2847"/>
      <c r="G3486" s="2847"/>
      <c r="H3486" s="2847"/>
      <c r="I3486" s="2847"/>
      <c r="J3486" s="2988" t="s">
        <v>33</v>
      </c>
      <c r="K3486" s="2988" t="s">
        <v>282</v>
      </c>
      <c r="L3486" s="3410"/>
      <c r="M3486" s="3275"/>
      <c r="N3486" s="3318"/>
      <c r="O3486" s="72" t="s">
        <v>283</v>
      </c>
      <c r="P3486" s="1009" t="s">
        <v>284</v>
      </c>
      <c r="Q3486" s="1009" t="s">
        <v>285</v>
      </c>
      <c r="R3486" s="1009" t="s">
        <v>88</v>
      </c>
      <c r="S3486" s="1009" t="s">
        <v>89</v>
      </c>
      <c r="T3486" s="1009" t="s">
        <v>90</v>
      </c>
      <c r="U3486" s="1009" t="s">
        <v>91</v>
      </c>
      <c r="V3486" s="1009" t="s">
        <v>92</v>
      </c>
      <c r="W3486" s="1009" t="s">
        <v>286</v>
      </c>
      <c r="X3486" s="1009" t="s">
        <v>93</v>
      </c>
      <c r="Y3486" s="1009" t="s">
        <v>94</v>
      </c>
      <c r="Z3486" s="73" t="s">
        <v>95</v>
      </c>
      <c r="AA3486" s="3358"/>
      <c r="AB3486" s="1210"/>
      <c r="AC3486" s="1199"/>
      <c r="AD3486" s="1211"/>
    </row>
    <row r="3487" spans="1:30" ht="13.5" thickBot="1" x14ac:dyDescent="0.25">
      <c r="A3487" s="1422"/>
      <c r="B3487" s="2999"/>
      <c r="C3487" s="2999"/>
      <c r="D3487" s="2847"/>
      <c r="E3487" s="2847"/>
      <c r="F3487" s="2847"/>
      <c r="G3487" s="2847"/>
      <c r="H3487" s="2847"/>
      <c r="I3487" s="2847"/>
      <c r="J3487" s="3186"/>
      <c r="K3487" s="3186"/>
      <c r="L3487" s="3410"/>
      <c r="M3487" s="3273" t="s">
        <v>287</v>
      </c>
      <c r="N3487" s="3314"/>
      <c r="O3487" s="74"/>
      <c r="P3487" s="75">
        <v>4822</v>
      </c>
      <c r="Q3487" s="75">
        <v>4822</v>
      </c>
      <c r="R3487" s="75">
        <v>4822</v>
      </c>
      <c r="S3487" s="75">
        <v>4822</v>
      </c>
      <c r="T3487" s="75">
        <v>4822</v>
      </c>
      <c r="U3487" s="75">
        <v>4822</v>
      </c>
      <c r="V3487" s="75">
        <v>4822</v>
      </c>
      <c r="W3487" s="75">
        <v>4822</v>
      </c>
      <c r="X3487" s="75">
        <v>4822</v>
      </c>
      <c r="Y3487" s="75">
        <v>4822</v>
      </c>
      <c r="Z3487" s="76">
        <v>4822</v>
      </c>
      <c r="AA3487" s="1221">
        <f>SUM(O3487:Z3487)</f>
        <v>53042</v>
      </c>
      <c r="AB3487" s="1210"/>
      <c r="AC3487" s="1199"/>
      <c r="AD3487" s="1211"/>
    </row>
    <row r="3488" spans="1:30" ht="12.75" x14ac:dyDescent="0.2">
      <c r="A3488" s="1422"/>
      <c r="B3488" s="2999"/>
      <c r="C3488" s="2999"/>
      <c r="D3488" s="2847"/>
      <c r="E3488" s="2847"/>
      <c r="F3488" s="2847"/>
      <c r="G3488" s="2847"/>
      <c r="H3488" s="2847"/>
      <c r="I3488" s="2847"/>
      <c r="J3488" s="3186"/>
      <c r="K3488" s="3186"/>
      <c r="L3488" s="3143"/>
      <c r="M3488" s="3273" t="s">
        <v>34</v>
      </c>
      <c r="N3488" s="3314"/>
      <c r="O3488" s="145">
        <f>SUM(O3489:O3494)</f>
        <v>8077.583333333333</v>
      </c>
      <c r="P3488" s="145">
        <f t="shared" ref="P3488:Z3488" si="563">SUM(P3489:P3494)</f>
        <v>7277.583333333333</v>
      </c>
      <c r="Q3488" s="145">
        <f t="shared" si="563"/>
        <v>11464.083333333332</v>
      </c>
      <c r="R3488" s="145">
        <f t="shared" si="563"/>
        <v>7277.583333333333</v>
      </c>
      <c r="S3488" s="145">
        <f t="shared" si="563"/>
        <v>7277.583333333333</v>
      </c>
      <c r="T3488" s="145">
        <f t="shared" si="563"/>
        <v>7877.583333333333</v>
      </c>
      <c r="U3488" s="145">
        <f t="shared" si="563"/>
        <v>11464.083333333332</v>
      </c>
      <c r="V3488" s="145">
        <f t="shared" si="563"/>
        <v>7277.583333333333</v>
      </c>
      <c r="W3488" s="145">
        <f t="shared" si="563"/>
        <v>7277.583333333333</v>
      </c>
      <c r="X3488" s="145">
        <f t="shared" si="563"/>
        <v>7277.583333333333</v>
      </c>
      <c r="Y3488" s="145">
        <f t="shared" si="563"/>
        <v>7277.583333333333</v>
      </c>
      <c r="Z3488" s="145">
        <f t="shared" si="563"/>
        <v>7877.583333333333</v>
      </c>
      <c r="AA3488" s="1221">
        <f>SUM(O3488:Z3488)</f>
        <v>97703.999999999985</v>
      </c>
      <c r="AB3488" s="1210"/>
      <c r="AC3488" s="1199"/>
      <c r="AD3488" s="1211"/>
    </row>
    <row r="3489" spans="1:30" x14ac:dyDescent="0.2">
      <c r="A3489" s="1422"/>
      <c r="B3489" s="2522">
        <v>5005186</v>
      </c>
      <c r="C3489" s="2438" t="s">
        <v>943</v>
      </c>
      <c r="D3489" s="3369"/>
      <c r="E3489" s="3369" t="s">
        <v>401</v>
      </c>
      <c r="F3489" s="2420" t="s">
        <v>386</v>
      </c>
      <c r="G3489" s="2420" t="s">
        <v>387</v>
      </c>
      <c r="H3489" s="2514" t="s">
        <v>944</v>
      </c>
      <c r="I3489" s="2420" t="s">
        <v>695</v>
      </c>
      <c r="J3489" s="3369">
        <v>53042</v>
      </c>
      <c r="K3489" s="41">
        <v>67176</v>
      </c>
      <c r="L3489" s="115"/>
      <c r="M3489" s="3287" t="s">
        <v>293</v>
      </c>
      <c r="N3489" s="3288"/>
      <c r="O3489" s="42">
        <f>$K3489/12</f>
        <v>5598</v>
      </c>
      <c r="P3489" s="42">
        <f t="shared" ref="P3489:Z3490" si="564">$K3489/12</f>
        <v>5598</v>
      </c>
      <c r="Q3489" s="42">
        <f t="shared" si="564"/>
        <v>5598</v>
      </c>
      <c r="R3489" s="42">
        <f t="shared" si="564"/>
        <v>5598</v>
      </c>
      <c r="S3489" s="42">
        <f t="shared" si="564"/>
        <v>5598</v>
      </c>
      <c r="T3489" s="42">
        <f t="shared" si="564"/>
        <v>5598</v>
      </c>
      <c r="U3489" s="42">
        <f t="shared" si="564"/>
        <v>5598</v>
      </c>
      <c r="V3489" s="42">
        <f t="shared" si="564"/>
        <v>5598</v>
      </c>
      <c r="W3489" s="42">
        <f t="shared" si="564"/>
        <v>5598</v>
      </c>
      <c r="X3489" s="42">
        <f t="shared" si="564"/>
        <v>5598</v>
      </c>
      <c r="Y3489" s="42">
        <f t="shared" si="564"/>
        <v>5598</v>
      </c>
      <c r="Z3489" s="42">
        <f t="shared" si="564"/>
        <v>5598</v>
      </c>
      <c r="AA3489" s="1220">
        <f>SUM(O3489:Z3489)</f>
        <v>67176</v>
      </c>
      <c r="AB3489" s="1210"/>
      <c r="AC3489" s="1199"/>
      <c r="AD3489" s="1211"/>
    </row>
    <row r="3490" spans="1:30" x14ac:dyDescent="0.2">
      <c r="A3490" s="1422"/>
      <c r="B3490" s="2522"/>
      <c r="C3490" s="2456"/>
      <c r="D3490" s="3369"/>
      <c r="E3490" s="3369"/>
      <c r="F3490" s="2420"/>
      <c r="G3490" s="2420"/>
      <c r="H3490" s="2515"/>
      <c r="I3490" s="2420"/>
      <c r="J3490" s="3369"/>
      <c r="K3490" s="41">
        <v>16117</v>
      </c>
      <c r="L3490" s="115"/>
      <c r="M3490" s="3287" t="s">
        <v>296</v>
      </c>
      <c r="N3490" s="3288"/>
      <c r="O3490" s="42">
        <f>$K3490/12</f>
        <v>1343.0833333333333</v>
      </c>
      <c r="P3490" s="42">
        <f t="shared" si="564"/>
        <v>1343.0833333333333</v>
      </c>
      <c r="Q3490" s="42">
        <f t="shared" si="564"/>
        <v>1343.0833333333333</v>
      </c>
      <c r="R3490" s="42">
        <f t="shared" si="564"/>
        <v>1343.0833333333333</v>
      </c>
      <c r="S3490" s="42">
        <f t="shared" si="564"/>
        <v>1343.0833333333333</v>
      </c>
      <c r="T3490" s="42">
        <f t="shared" si="564"/>
        <v>1343.0833333333333</v>
      </c>
      <c r="U3490" s="42">
        <f t="shared" si="564"/>
        <v>1343.0833333333333</v>
      </c>
      <c r="V3490" s="42">
        <f t="shared" si="564"/>
        <v>1343.0833333333333</v>
      </c>
      <c r="W3490" s="42">
        <f t="shared" si="564"/>
        <v>1343.0833333333333</v>
      </c>
      <c r="X3490" s="42">
        <f t="shared" si="564"/>
        <v>1343.0833333333333</v>
      </c>
      <c r="Y3490" s="42">
        <f t="shared" si="564"/>
        <v>1343.0833333333333</v>
      </c>
      <c r="Z3490" s="42">
        <f t="shared" si="564"/>
        <v>1343.0833333333333</v>
      </c>
      <c r="AA3490" s="1220">
        <f t="shared" ref="AA3490:AA3494" si="565">SUM(O3490:Z3490)</f>
        <v>16117.000000000002</v>
      </c>
      <c r="AB3490" s="1210"/>
      <c r="AC3490" s="1199"/>
      <c r="AD3490" s="1211"/>
    </row>
    <row r="3491" spans="1:30" x14ac:dyDescent="0.2">
      <c r="A3491" s="1422"/>
      <c r="B3491" s="2522"/>
      <c r="C3491" s="2456"/>
      <c r="D3491" s="3369"/>
      <c r="E3491" s="3369"/>
      <c r="F3491" s="2420"/>
      <c r="G3491" s="2420"/>
      <c r="H3491" s="2515"/>
      <c r="I3491" s="2420"/>
      <c r="J3491" s="3369"/>
      <c r="K3491" s="41">
        <v>1200</v>
      </c>
      <c r="L3491" s="115"/>
      <c r="M3491" s="3287" t="s">
        <v>298</v>
      </c>
      <c r="N3491" s="3288"/>
      <c r="O3491" s="38"/>
      <c r="P3491" s="38"/>
      <c r="Q3491" s="38"/>
      <c r="R3491" s="38"/>
      <c r="S3491" s="38"/>
      <c r="T3491" s="38">
        <f>K3491/2</f>
        <v>600</v>
      </c>
      <c r="U3491" s="38"/>
      <c r="V3491" s="38"/>
      <c r="W3491" s="38"/>
      <c r="X3491" s="38"/>
      <c r="Y3491" s="38"/>
      <c r="Z3491" s="38">
        <f>K3491/2</f>
        <v>600</v>
      </c>
      <c r="AA3491" s="1220">
        <f t="shared" si="565"/>
        <v>1200</v>
      </c>
      <c r="AB3491" s="1210"/>
      <c r="AC3491" s="1199"/>
      <c r="AD3491" s="1211"/>
    </row>
    <row r="3492" spans="1:30" x14ac:dyDescent="0.2">
      <c r="A3492" s="1422"/>
      <c r="B3492" s="2522"/>
      <c r="C3492" s="2456"/>
      <c r="D3492" s="3369"/>
      <c r="E3492" s="3369"/>
      <c r="F3492" s="2420"/>
      <c r="G3492" s="2420"/>
      <c r="H3492" s="2515"/>
      <c r="I3492" s="2420"/>
      <c r="J3492" s="3369"/>
      <c r="K3492" s="41">
        <v>800</v>
      </c>
      <c r="L3492" s="115"/>
      <c r="M3492" s="3287" t="s">
        <v>299</v>
      </c>
      <c r="N3492" s="3288"/>
      <c r="O3492" s="38">
        <f>K3492</f>
        <v>800</v>
      </c>
      <c r="P3492" s="38"/>
      <c r="Q3492" s="38"/>
      <c r="R3492" s="38"/>
      <c r="S3492" s="38"/>
      <c r="T3492" s="38"/>
      <c r="U3492" s="38"/>
      <c r="V3492" s="38"/>
      <c r="W3492" s="38"/>
      <c r="X3492" s="38"/>
      <c r="Y3492" s="38"/>
      <c r="Z3492" s="38"/>
      <c r="AA3492" s="1220">
        <f t="shared" si="565"/>
        <v>800</v>
      </c>
      <c r="AB3492" s="1210"/>
      <c r="AC3492" s="1199"/>
      <c r="AD3492" s="1211"/>
    </row>
    <row r="3493" spans="1:30" x14ac:dyDescent="0.2">
      <c r="A3493" s="1422"/>
      <c r="B3493" s="2522"/>
      <c r="C3493" s="2456"/>
      <c r="D3493" s="3369"/>
      <c r="E3493" s="3369"/>
      <c r="F3493" s="2420"/>
      <c r="G3493" s="2420"/>
      <c r="H3493" s="2515"/>
      <c r="I3493" s="2420"/>
      <c r="J3493" s="3369"/>
      <c r="K3493" s="41">
        <v>4038</v>
      </c>
      <c r="L3493" s="115"/>
      <c r="M3493" s="3287" t="s">
        <v>300</v>
      </c>
      <c r="N3493" s="3288"/>
      <c r="O3493" s="42">
        <f>$K3493/12</f>
        <v>336.5</v>
      </c>
      <c r="P3493" s="42">
        <f t="shared" ref="P3493:Z3493" si="566">$K3493/12</f>
        <v>336.5</v>
      </c>
      <c r="Q3493" s="42">
        <f t="shared" si="566"/>
        <v>336.5</v>
      </c>
      <c r="R3493" s="42">
        <f t="shared" si="566"/>
        <v>336.5</v>
      </c>
      <c r="S3493" s="42">
        <f t="shared" si="566"/>
        <v>336.5</v>
      </c>
      <c r="T3493" s="42">
        <f t="shared" si="566"/>
        <v>336.5</v>
      </c>
      <c r="U3493" s="42">
        <f t="shared" si="566"/>
        <v>336.5</v>
      </c>
      <c r="V3493" s="42">
        <f t="shared" si="566"/>
        <v>336.5</v>
      </c>
      <c r="W3493" s="42">
        <f t="shared" si="566"/>
        <v>336.5</v>
      </c>
      <c r="X3493" s="42">
        <f t="shared" si="566"/>
        <v>336.5</v>
      </c>
      <c r="Y3493" s="42">
        <f t="shared" si="566"/>
        <v>336.5</v>
      </c>
      <c r="Z3493" s="42">
        <f t="shared" si="566"/>
        <v>336.5</v>
      </c>
      <c r="AA3493" s="1220">
        <f t="shared" si="565"/>
        <v>4038</v>
      </c>
      <c r="AB3493" s="1210"/>
      <c r="AC3493" s="1199"/>
      <c r="AD3493" s="1211"/>
    </row>
    <row r="3494" spans="1:30" x14ac:dyDescent="0.2">
      <c r="A3494" s="1422"/>
      <c r="B3494" s="2522"/>
      <c r="C3494" s="2450"/>
      <c r="D3494" s="3369"/>
      <c r="E3494" s="3369"/>
      <c r="F3494" s="2420"/>
      <c r="G3494" s="2420"/>
      <c r="H3494" s="2516"/>
      <c r="I3494" s="2420"/>
      <c r="J3494" s="3369"/>
      <c r="K3494" s="41">
        <v>8373</v>
      </c>
      <c r="L3494" s="115"/>
      <c r="M3494" s="3287" t="s">
        <v>304</v>
      </c>
      <c r="N3494" s="3288"/>
      <c r="O3494" s="38"/>
      <c r="P3494" s="38"/>
      <c r="Q3494" s="40">
        <f>$K3494/2</f>
        <v>4186.5</v>
      </c>
      <c r="R3494" s="38"/>
      <c r="S3494" s="38"/>
      <c r="T3494" s="38"/>
      <c r="U3494" s="40">
        <f>$K3494/2</f>
        <v>4186.5</v>
      </c>
      <c r="V3494" s="38"/>
      <c r="W3494" s="38"/>
      <c r="X3494" s="38"/>
      <c r="Y3494" s="38"/>
      <c r="Z3494" s="38"/>
      <c r="AA3494" s="1220">
        <f t="shared" si="565"/>
        <v>8373</v>
      </c>
      <c r="AB3494" s="1210"/>
      <c r="AC3494" s="1199"/>
      <c r="AD3494" s="1211"/>
    </row>
    <row r="3495" spans="1:30" ht="12" thickBot="1" x14ac:dyDescent="0.25">
      <c r="A3495" s="1422"/>
      <c r="B3495" s="1427" t="s">
        <v>312</v>
      </c>
      <c r="C3495" s="1128"/>
      <c r="D3495" s="38"/>
      <c r="E3495" s="38"/>
      <c r="F3495" s="38"/>
      <c r="G3495" s="38"/>
      <c r="H3495" s="38"/>
      <c r="I3495" s="38"/>
      <c r="J3495" s="38"/>
      <c r="K3495" s="41">
        <f>SUM(K3489:K3494)</f>
        <v>97704</v>
      </c>
      <c r="L3495" s="38"/>
      <c r="M3495" s="38"/>
      <c r="N3495" s="38"/>
      <c r="O3495" s="38"/>
      <c r="P3495" s="38"/>
      <c r="Q3495" s="38"/>
      <c r="R3495" s="38"/>
      <c r="S3495" s="38"/>
      <c r="T3495" s="38"/>
      <c r="U3495" s="38"/>
      <c r="V3495" s="38"/>
      <c r="W3495" s="38"/>
      <c r="X3495" s="38"/>
      <c r="Y3495" s="38"/>
      <c r="Z3495" s="38"/>
      <c r="AA3495" s="1234"/>
      <c r="AB3495" s="1210"/>
      <c r="AC3495" s="1199"/>
      <c r="AD3495" s="1211"/>
    </row>
    <row r="3496" spans="1:30" x14ac:dyDescent="0.2">
      <c r="A3496" s="1422"/>
      <c r="B3496" s="2999" t="s">
        <v>278</v>
      </c>
      <c r="C3496" s="2999" t="s">
        <v>21</v>
      </c>
      <c r="D3496" s="2847" t="s">
        <v>22</v>
      </c>
      <c r="E3496" s="2847" t="s">
        <v>23</v>
      </c>
      <c r="F3496" s="2847" t="s">
        <v>24</v>
      </c>
      <c r="G3496" s="2847" t="s">
        <v>25</v>
      </c>
      <c r="H3496" s="2847" t="s">
        <v>26</v>
      </c>
      <c r="I3496" s="2847" t="s">
        <v>27</v>
      </c>
      <c r="J3496" s="3416" t="s">
        <v>28</v>
      </c>
      <c r="K3496" s="3416"/>
      <c r="L3496" s="3409" t="s">
        <v>279</v>
      </c>
      <c r="M3496" s="3411" t="s">
        <v>280</v>
      </c>
      <c r="N3496" s="3412"/>
      <c r="O3496" s="3413" t="s">
        <v>281</v>
      </c>
      <c r="P3496" s="3320"/>
      <c r="Q3496" s="3320"/>
      <c r="R3496" s="3320"/>
      <c r="S3496" s="3320"/>
      <c r="T3496" s="3320"/>
      <c r="U3496" s="3320"/>
      <c r="V3496" s="3320"/>
      <c r="W3496" s="3320"/>
      <c r="X3496" s="3320"/>
      <c r="Y3496" s="3320"/>
      <c r="Z3496" s="3414"/>
      <c r="AA3496" s="3358" t="s">
        <v>32</v>
      </c>
      <c r="AB3496" s="1210"/>
      <c r="AC3496" s="1199"/>
      <c r="AD3496" s="1211"/>
    </row>
    <row r="3497" spans="1:30" x14ac:dyDescent="0.2">
      <c r="A3497" s="1422"/>
      <c r="B3497" s="2999"/>
      <c r="C3497" s="2999"/>
      <c r="D3497" s="2847"/>
      <c r="E3497" s="2847"/>
      <c r="F3497" s="2847"/>
      <c r="G3497" s="2847"/>
      <c r="H3497" s="2847"/>
      <c r="I3497" s="2847"/>
      <c r="J3497" s="2988" t="s">
        <v>33</v>
      </c>
      <c r="K3497" s="2988" t="s">
        <v>282</v>
      </c>
      <c r="L3497" s="3410"/>
      <c r="M3497" s="3275"/>
      <c r="N3497" s="3318"/>
      <c r="O3497" s="72" t="s">
        <v>283</v>
      </c>
      <c r="P3497" s="1009" t="s">
        <v>284</v>
      </c>
      <c r="Q3497" s="1009" t="s">
        <v>285</v>
      </c>
      <c r="R3497" s="1009" t="s">
        <v>88</v>
      </c>
      <c r="S3497" s="1009" t="s">
        <v>89</v>
      </c>
      <c r="T3497" s="1009" t="s">
        <v>90</v>
      </c>
      <c r="U3497" s="1009" t="s">
        <v>91</v>
      </c>
      <c r="V3497" s="1009" t="s">
        <v>92</v>
      </c>
      <c r="W3497" s="1009" t="s">
        <v>286</v>
      </c>
      <c r="X3497" s="1009" t="s">
        <v>93</v>
      </c>
      <c r="Y3497" s="1009" t="s">
        <v>94</v>
      </c>
      <c r="Z3497" s="73" t="s">
        <v>95</v>
      </c>
      <c r="AA3497" s="3358"/>
      <c r="AB3497" s="1210"/>
      <c r="AC3497" s="1199"/>
      <c r="AD3497" s="1211"/>
    </row>
    <row r="3498" spans="1:30" ht="12.75" x14ac:dyDescent="0.2">
      <c r="A3498" s="1422"/>
      <c r="B3498" s="2999"/>
      <c r="C3498" s="2999"/>
      <c r="D3498" s="2847"/>
      <c r="E3498" s="2847"/>
      <c r="F3498" s="2847"/>
      <c r="G3498" s="2847"/>
      <c r="H3498" s="2847"/>
      <c r="I3498" s="2847"/>
      <c r="J3498" s="3186"/>
      <c r="K3498" s="3186"/>
      <c r="L3498" s="3410"/>
      <c r="M3498" s="3273" t="s">
        <v>287</v>
      </c>
      <c r="N3498" s="3314"/>
      <c r="O3498" s="41"/>
      <c r="P3498" s="41"/>
      <c r="Q3498" s="41">
        <v>215</v>
      </c>
      <c r="R3498" s="41">
        <v>215</v>
      </c>
      <c r="S3498" s="41">
        <v>215</v>
      </c>
      <c r="T3498" s="41">
        <v>215</v>
      </c>
      <c r="U3498" s="41">
        <v>215</v>
      </c>
      <c r="V3498" s="41">
        <v>215</v>
      </c>
      <c r="W3498" s="41">
        <v>215</v>
      </c>
      <c r="X3498" s="41">
        <v>215</v>
      </c>
      <c r="Y3498" s="41">
        <v>215</v>
      </c>
      <c r="Z3498" s="41">
        <v>215</v>
      </c>
      <c r="AA3498" s="1221">
        <f>SUM(O3498:Z3498)</f>
        <v>2150</v>
      </c>
      <c r="AB3498" s="1210"/>
      <c r="AC3498" s="1199"/>
      <c r="AD3498" s="1211"/>
    </row>
    <row r="3499" spans="1:30" ht="12.75" x14ac:dyDescent="0.2">
      <c r="A3499" s="1422"/>
      <c r="B3499" s="2999"/>
      <c r="C3499" s="2999"/>
      <c r="D3499" s="2847"/>
      <c r="E3499" s="2847"/>
      <c r="F3499" s="2847"/>
      <c r="G3499" s="2847"/>
      <c r="H3499" s="2847"/>
      <c r="I3499" s="2847"/>
      <c r="J3499" s="3186"/>
      <c r="K3499" s="3186"/>
      <c r="L3499" s="3143"/>
      <c r="M3499" s="3273" t="s">
        <v>34</v>
      </c>
      <c r="N3499" s="3314"/>
      <c r="O3499" s="41">
        <f>SUM(O3500:O3505)</f>
        <v>8077.583333333333</v>
      </c>
      <c r="P3499" s="41">
        <f t="shared" ref="P3499:Z3499" si="567">SUM(P3500:P3505)</f>
        <v>7277.583333333333</v>
      </c>
      <c r="Q3499" s="41">
        <f t="shared" si="567"/>
        <v>8277.5833333333321</v>
      </c>
      <c r="R3499" s="41">
        <f t="shared" si="567"/>
        <v>7277.583333333333</v>
      </c>
      <c r="S3499" s="41">
        <f t="shared" si="567"/>
        <v>8277.5833333333321</v>
      </c>
      <c r="T3499" s="41">
        <f t="shared" si="567"/>
        <v>7877.583333333333</v>
      </c>
      <c r="U3499" s="41">
        <f t="shared" si="567"/>
        <v>8277.5833333333321</v>
      </c>
      <c r="V3499" s="41">
        <f t="shared" si="567"/>
        <v>7277.583333333333</v>
      </c>
      <c r="W3499" s="41">
        <f t="shared" si="567"/>
        <v>8277.5833333333321</v>
      </c>
      <c r="X3499" s="41">
        <f t="shared" si="567"/>
        <v>7277.583333333333</v>
      </c>
      <c r="Y3499" s="41">
        <f t="shared" si="567"/>
        <v>8277.5833333333321</v>
      </c>
      <c r="Z3499" s="41">
        <f t="shared" si="567"/>
        <v>7877.583333333333</v>
      </c>
      <c r="AA3499" s="1221">
        <f>SUM(O3499:Z3499)</f>
        <v>94330.999999999985</v>
      </c>
      <c r="AB3499" s="1210"/>
      <c r="AC3499" s="1199"/>
      <c r="AD3499" s="1211"/>
    </row>
    <row r="3500" spans="1:30" x14ac:dyDescent="0.2">
      <c r="A3500" s="1422"/>
      <c r="B3500" s="2522">
        <v>5005187</v>
      </c>
      <c r="C3500" s="2438" t="s">
        <v>945</v>
      </c>
      <c r="D3500" s="2420"/>
      <c r="E3500" s="2420" t="s">
        <v>401</v>
      </c>
      <c r="F3500" s="2420" t="s">
        <v>386</v>
      </c>
      <c r="G3500" s="2420" t="s">
        <v>387</v>
      </c>
      <c r="H3500" s="2514" t="s">
        <v>946</v>
      </c>
      <c r="I3500" s="2420" t="s">
        <v>695</v>
      </c>
      <c r="J3500" s="3187">
        <v>2150</v>
      </c>
      <c r="K3500" s="41">
        <v>67176</v>
      </c>
      <c r="L3500" s="113"/>
      <c r="M3500" s="3287" t="s">
        <v>293</v>
      </c>
      <c r="N3500" s="3288"/>
      <c r="O3500" s="41">
        <f t="shared" ref="O3500:Z3501" si="568">$K3500/12</f>
        <v>5598</v>
      </c>
      <c r="P3500" s="41">
        <f t="shared" si="568"/>
        <v>5598</v>
      </c>
      <c r="Q3500" s="41">
        <f t="shared" si="568"/>
        <v>5598</v>
      </c>
      <c r="R3500" s="41">
        <f t="shared" si="568"/>
        <v>5598</v>
      </c>
      <c r="S3500" s="41">
        <f t="shared" si="568"/>
        <v>5598</v>
      </c>
      <c r="T3500" s="41">
        <f t="shared" si="568"/>
        <v>5598</v>
      </c>
      <c r="U3500" s="41">
        <f t="shared" si="568"/>
        <v>5598</v>
      </c>
      <c r="V3500" s="41">
        <f t="shared" si="568"/>
        <v>5598</v>
      </c>
      <c r="W3500" s="41">
        <f t="shared" si="568"/>
        <v>5598</v>
      </c>
      <c r="X3500" s="41">
        <f t="shared" si="568"/>
        <v>5598</v>
      </c>
      <c r="Y3500" s="41">
        <f t="shared" si="568"/>
        <v>5598</v>
      </c>
      <c r="Z3500" s="41">
        <f t="shared" si="568"/>
        <v>5598</v>
      </c>
      <c r="AA3500" s="1220">
        <f>SUM(O3500:Z3500)</f>
        <v>67176</v>
      </c>
      <c r="AB3500" s="1210"/>
      <c r="AC3500" s="1199"/>
      <c r="AD3500" s="1211"/>
    </row>
    <row r="3501" spans="1:30" x14ac:dyDescent="0.2">
      <c r="A3501" s="1422"/>
      <c r="B3501" s="2522"/>
      <c r="C3501" s="2456"/>
      <c r="D3501" s="2420"/>
      <c r="E3501" s="2420"/>
      <c r="F3501" s="2420"/>
      <c r="G3501" s="2420"/>
      <c r="H3501" s="2515"/>
      <c r="I3501" s="2420"/>
      <c r="J3501" s="2955"/>
      <c r="K3501" s="41">
        <v>16117</v>
      </c>
      <c r="L3501" s="113"/>
      <c r="M3501" s="3287" t="s">
        <v>296</v>
      </c>
      <c r="N3501" s="3288"/>
      <c r="O3501" s="41">
        <f t="shared" si="568"/>
        <v>1343.0833333333333</v>
      </c>
      <c r="P3501" s="41">
        <f t="shared" si="568"/>
        <v>1343.0833333333333</v>
      </c>
      <c r="Q3501" s="41">
        <f t="shared" si="568"/>
        <v>1343.0833333333333</v>
      </c>
      <c r="R3501" s="41">
        <f t="shared" si="568"/>
        <v>1343.0833333333333</v>
      </c>
      <c r="S3501" s="41">
        <f t="shared" si="568"/>
        <v>1343.0833333333333</v>
      </c>
      <c r="T3501" s="41">
        <f t="shared" si="568"/>
        <v>1343.0833333333333</v>
      </c>
      <c r="U3501" s="41">
        <f t="shared" si="568"/>
        <v>1343.0833333333333</v>
      </c>
      <c r="V3501" s="41">
        <f t="shared" si="568"/>
        <v>1343.0833333333333</v>
      </c>
      <c r="W3501" s="41">
        <f t="shared" si="568"/>
        <v>1343.0833333333333</v>
      </c>
      <c r="X3501" s="41">
        <f t="shared" si="568"/>
        <v>1343.0833333333333</v>
      </c>
      <c r="Y3501" s="41">
        <f t="shared" si="568"/>
        <v>1343.0833333333333</v>
      </c>
      <c r="Z3501" s="41">
        <f t="shared" si="568"/>
        <v>1343.0833333333333</v>
      </c>
      <c r="AA3501" s="1220">
        <f t="shared" ref="AA3501:AA3505" si="569">SUM(O3501:Z3501)</f>
        <v>16117.000000000002</v>
      </c>
      <c r="AB3501" s="1210"/>
      <c r="AC3501" s="1199"/>
      <c r="AD3501" s="1211"/>
    </row>
    <row r="3502" spans="1:30" x14ac:dyDescent="0.2">
      <c r="A3502" s="1422"/>
      <c r="B3502" s="2522"/>
      <c r="C3502" s="2456"/>
      <c r="D3502" s="2420"/>
      <c r="E3502" s="2420"/>
      <c r="F3502" s="2420"/>
      <c r="G3502" s="2420"/>
      <c r="H3502" s="2515"/>
      <c r="I3502" s="2420"/>
      <c r="J3502" s="2955"/>
      <c r="K3502" s="41">
        <v>1200</v>
      </c>
      <c r="L3502" s="113"/>
      <c r="M3502" s="3287" t="s">
        <v>298</v>
      </c>
      <c r="N3502" s="3288"/>
      <c r="O3502" s="41"/>
      <c r="P3502" s="41"/>
      <c r="Q3502" s="41"/>
      <c r="R3502" s="41"/>
      <c r="S3502" s="41"/>
      <c r="T3502" s="41">
        <f>K3502/2</f>
        <v>600</v>
      </c>
      <c r="U3502" s="41"/>
      <c r="V3502" s="41"/>
      <c r="W3502" s="41"/>
      <c r="X3502" s="41"/>
      <c r="Y3502" s="41"/>
      <c r="Z3502" s="41">
        <f>K3502/2</f>
        <v>600</v>
      </c>
      <c r="AA3502" s="1220">
        <f t="shared" si="569"/>
        <v>1200</v>
      </c>
      <c r="AB3502" s="1210"/>
      <c r="AC3502" s="1199"/>
      <c r="AD3502" s="1211"/>
    </row>
    <row r="3503" spans="1:30" x14ac:dyDescent="0.2">
      <c r="A3503" s="1422"/>
      <c r="B3503" s="2522"/>
      <c r="C3503" s="2456"/>
      <c r="D3503" s="2420"/>
      <c r="E3503" s="2420"/>
      <c r="F3503" s="2420"/>
      <c r="G3503" s="2420"/>
      <c r="H3503" s="2515"/>
      <c r="I3503" s="2420"/>
      <c r="J3503" s="2955"/>
      <c r="K3503" s="41">
        <v>800</v>
      </c>
      <c r="L3503" s="113"/>
      <c r="M3503" s="3287" t="s">
        <v>299</v>
      </c>
      <c r="N3503" s="3288"/>
      <c r="O3503" s="41">
        <f>K3503</f>
        <v>800</v>
      </c>
      <c r="P3503" s="41"/>
      <c r="Q3503" s="41"/>
      <c r="R3503" s="41"/>
      <c r="S3503" s="41"/>
      <c r="T3503" s="41"/>
      <c r="U3503" s="41"/>
      <c r="V3503" s="41"/>
      <c r="W3503" s="41"/>
      <c r="X3503" s="41"/>
      <c r="Y3503" s="41"/>
      <c r="Z3503" s="41"/>
      <c r="AA3503" s="1220">
        <f t="shared" si="569"/>
        <v>800</v>
      </c>
      <c r="AB3503" s="1210"/>
      <c r="AC3503" s="1199"/>
      <c r="AD3503" s="1211"/>
    </row>
    <row r="3504" spans="1:30" x14ac:dyDescent="0.2">
      <c r="A3504" s="1422"/>
      <c r="B3504" s="2522"/>
      <c r="C3504" s="2456"/>
      <c r="D3504" s="2420"/>
      <c r="E3504" s="2420"/>
      <c r="F3504" s="2420"/>
      <c r="G3504" s="2420"/>
      <c r="H3504" s="2515"/>
      <c r="I3504" s="2420"/>
      <c r="J3504" s="2955"/>
      <c r="K3504" s="41">
        <v>4038</v>
      </c>
      <c r="L3504" s="113"/>
      <c r="M3504" s="3287" t="s">
        <v>300</v>
      </c>
      <c r="N3504" s="3288"/>
      <c r="O3504" s="41">
        <f>$K3504/12</f>
        <v>336.5</v>
      </c>
      <c r="P3504" s="41">
        <f t="shared" ref="P3504:Z3504" si="570">$K3504/12</f>
        <v>336.5</v>
      </c>
      <c r="Q3504" s="41">
        <f t="shared" si="570"/>
        <v>336.5</v>
      </c>
      <c r="R3504" s="41">
        <f t="shared" si="570"/>
        <v>336.5</v>
      </c>
      <c r="S3504" s="41">
        <f t="shared" si="570"/>
        <v>336.5</v>
      </c>
      <c r="T3504" s="41">
        <f t="shared" si="570"/>
        <v>336.5</v>
      </c>
      <c r="U3504" s="41">
        <f t="shared" si="570"/>
        <v>336.5</v>
      </c>
      <c r="V3504" s="41">
        <f t="shared" si="570"/>
        <v>336.5</v>
      </c>
      <c r="W3504" s="41">
        <f t="shared" si="570"/>
        <v>336.5</v>
      </c>
      <c r="X3504" s="41">
        <f t="shared" si="570"/>
        <v>336.5</v>
      </c>
      <c r="Y3504" s="41">
        <f t="shared" si="570"/>
        <v>336.5</v>
      </c>
      <c r="Z3504" s="41">
        <f t="shared" si="570"/>
        <v>336.5</v>
      </c>
      <c r="AA3504" s="1220">
        <f t="shared" si="569"/>
        <v>4038</v>
      </c>
      <c r="AB3504" s="1210"/>
      <c r="AC3504" s="1199"/>
      <c r="AD3504" s="1211"/>
    </row>
    <row r="3505" spans="1:30" x14ac:dyDescent="0.2">
      <c r="A3505" s="1422"/>
      <c r="B3505" s="2522"/>
      <c r="C3505" s="2450"/>
      <c r="D3505" s="2420"/>
      <c r="E3505" s="2420"/>
      <c r="F3505" s="2420"/>
      <c r="G3505" s="2420"/>
      <c r="H3505" s="2516"/>
      <c r="I3505" s="2420"/>
      <c r="J3505" s="2956"/>
      <c r="K3505" s="41">
        <v>5000</v>
      </c>
      <c r="L3505" s="113"/>
      <c r="M3505" s="3287" t="s">
        <v>309</v>
      </c>
      <c r="N3505" s="3288"/>
      <c r="O3505" s="41"/>
      <c r="P3505" s="41"/>
      <c r="Q3505" s="41">
        <f>$K3505/5</f>
        <v>1000</v>
      </c>
      <c r="R3505" s="41"/>
      <c r="S3505" s="41">
        <f>$K3505/5</f>
        <v>1000</v>
      </c>
      <c r="T3505" s="41"/>
      <c r="U3505" s="41">
        <f>$K3505/5</f>
        <v>1000</v>
      </c>
      <c r="V3505" s="41"/>
      <c r="W3505" s="41">
        <f>$K3505/5</f>
        <v>1000</v>
      </c>
      <c r="X3505" s="41"/>
      <c r="Y3505" s="41">
        <f>$K3505/5</f>
        <v>1000</v>
      </c>
      <c r="Z3505" s="41"/>
      <c r="AA3505" s="1220">
        <f t="shared" si="569"/>
        <v>5000</v>
      </c>
      <c r="AB3505" s="1210"/>
      <c r="AC3505" s="1199"/>
      <c r="AD3505" s="1211"/>
    </row>
    <row r="3506" spans="1:30" ht="12" thickBot="1" x14ac:dyDescent="0.25">
      <c r="A3506" s="1422"/>
      <c r="B3506" s="1427" t="s">
        <v>312</v>
      </c>
      <c r="C3506" s="38"/>
      <c r="D3506" s="38"/>
      <c r="E3506" s="38"/>
      <c r="F3506" s="38"/>
      <c r="G3506" s="38"/>
      <c r="H3506" s="38"/>
      <c r="I3506" s="38"/>
      <c r="J3506" s="38"/>
      <c r="K3506" s="41">
        <f>SUM(K3500:K3505)</f>
        <v>94331</v>
      </c>
      <c r="L3506" s="38"/>
      <c r="M3506" s="38"/>
      <c r="N3506" s="38"/>
      <c r="O3506" s="38"/>
      <c r="P3506" s="38"/>
      <c r="Q3506" s="38"/>
      <c r="R3506" s="38"/>
      <c r="S3506" s="38"/>
      <c r="T3506" s="38"/>
      <c r="U3506" s="38"/>
      <c r="V3506" s="38"/>
      <c r="W3506" s="38"/>
      <c r="X3506" s="38"/>
      <c r="Y3506" s="38"/>
      <c r="Z3506" s="38"/>
      <c r="AA3506" s="1234"/>
      <c r="AB3506" s="1210"/>
      <c r="AC3506" s="1199"/>
      <c r="AD3506" s="1211"/>
    </row>
    <row r="3507" spans="1:30" x14ac:dyDescent="0.2">
      <c r="A3507" s="1422"/>
      <c r="B3507" s="2999" t="s">
        <v>278</v>
      </c>
      <c r="C3507" s="2847" t="s">
        <v>21</v>
      </c>
      <c r="D3507" s="2847" t="s">
        <v>22</v>
      </c>
      <c r="E3507" s="2847" t="s">
        <v>23</v>
      </c>
      <c r="F3507" s="2847" t="s">
        <v>24</v>
      </c>
      <c r="G3507" s="2847" t="s">
        <v>25</v>
      </c>
      <c r="H3507" s="2847" t="s">
        <v>26</v>
      </c>
      <c r="I3507" s="2847" t="s">
        <v>27</v>
      </c>
      <c r="J3507" s="3416" t="s">
        <v>28</v>
      </c>
      <c r="K3507" s="3416"/>
      <c r="L3507" s="3409" t="s">
        <v>279</v>
      </c>
      <c r="M3507" s="3411" t="s">
        <v>280</v>
      </c>
      <c r="N3507" s="3412"/>
      <c r="O3507" s="3413" t="s">
        <v>281</v>
      </c>
      <c r="P3507" s="3320"/>
      <c r="Q3507" s="3320"/>
      <c r="R3507" s="3320"/>
      <c r="S3507" s="3320"/>
      <c r="T3507" s="3320"/>
      <c r="U3507" s="3320"/>
      <c r="V3507" s="3320"/>
      <c r="W3507" s="3320"/>
      <c r="X3507" s="3320"/>
      <c r="Y3507" s="3320"/>
      <c r="Z3507" s="3414"/>
      <c r="AA3507" s="3358" t="s">
        <v>32</v>
      </c>
      <c r="AB3507" s="1210"/>
      <c r="AC3507" s="1199"/>
      <c r="AD3507" s="1211"/>
    </row>
    <row r="3508" spans="1:30" x14ac:dyDescent="0.2">
      <c r="A3508" s="1422"/>
      <c r="B3508" s="2999"/>
      <c r="C3508" s="2847"/>
      <c r="D3508" s="2847"/>
      <c r="E3508" s="2847"/>
      <c r="F3508" s="2847"/>
      <c r="G3508" s="2847"/>
      <c r="H3508" s="2847"/>
      <c r="I3508" s="2847"/>
      <c r="J3508" s="2988" t="s">
        <v>33</v>
      </c>
      <c r="K3508" s="2988" t="s">
        <v>282</v>
      </c>
      <c r="L3508" s="3410"/>
      <c r="M3508" s="3275"/>
      <c r="N3508" s="3318"/>
      <c r="O3508" s="72" t="s">
        <v>283</v>
      </c>
      <c r="P3508" s="1009" t="s">
        <v>284</v>
      </c>
      <c r="Q3508" s="1009" t="s">
        <v>285</v>
      </c>
      <c r="R3508" s="1009" t="s">
        <v>88</v>
      </c>
      <c r="S3508" s="1009" t="s">
        <v>89</v>
      </c>
      <c r="T3508" s="1009" t="s">
        <v>90</v>
      </c>
      <c r="U3508" s="1009" t="s">
        <v>91</v>
      </c>
      <c r="V3508" s="1009" t="s">
        <v>92</v>
      </c>
      <c r="W3508" s="1009" t="s">
        <v>286</v>
      </c>
      <c r="X3508" s="1009" t="s">
        <v>93</v>
      </c>
      <c r="Y3508" s="1009" t="s">
        <v>94</v>
      </c>
      <c r="Z3508" s="73" t="s">
        <v>95</v>
      </c>
      <c r="AA3508" s="3358"/>
      <c r="AB3508" s="1210"/>
      <c r="AC3508" s="1199"/>
      <c r="AD3508" s="1211"/>
    </row>
    <row r="3509" spans="1:30" ht="13.5" thickBot="1" x14ac:dyDescent="0.25">
      <c r="A3509" s="1422"/>
      <c r="B3509" s="2999"/>
      <c r="C3509" s="2847"/>
      <c r="D3509" s="2847"/>
      <c r="E3509" s="2847"/>
      <c r="F3509" s="2847"/>
      <c r="G3509" s="2847"/>
      <c r="H3509" s="2847"/>
      <c r="I3509" s="2847"/>
      <c r="J3509" s="3186"/>
      <c r="K3509" s="3186"/>
      <c r="L3509" s="3410"/>
      <c r="M3509" s="3273" t="s">
        <v>287</v>
      </c>
      <c r="N3509" s="3314"/>
      <c r="O3509" s="74">
        <v>19730</v>
      </c>
      <c r="P3509" s="75">
        <v>19730</v>
      </c>
      <c r="Q3509" s="75">
        <v>19730</v>
      </c>
      <c r="R3509" s="75">
        <v>19730</v>
      </c>
      <c r="S3509" s="75">
        <v>19730</v>
      </c>
      <c r="T3509" s="75">
        <v>19730</v>
      </c>
      <c r="U3509" s="75">
        <v>19730</v>
      </c>
      <c r="V3509" s="75">
        <v>19730</v>
      </c>
      <c r="W3509" s="75">
        <v>19730</v>
      </c>
      <c r="X3509" s="75">
        <v>19730</v>
      </c>
      <c r="Y3509" s="75">
        <v>19730</v>
      </c>
      <c r="Z3509" s="76">
        <v>19730</v>
      </c>
      <c r="AA3509" s="1221">
        <f>SUM(O3509:Z3509)</f>
        <v>236760</v>
      </c>
      <c r="AB3509" s="1210"/>
      <c r="AC3509" s="1199"/>
      <c r="AD3509" s="1211"/>
    </row>
    <row r="3510" spans="1:30" ht="12.75" x14ac:dyDescent="0.2">
      <c r="A3510" s="1422"/>
      <c r="B3510" s="2999"/>
      <c r="C3510" s="2847"/>
      <c r="D3510" s="2847"/>
      <c r="E3510" s="2847"/>
      <c r="F3510" s="2847"/>
      <c r="G3510" s="2847"/>
      <c r="H3510" s="2847"/>
      <c r="I3510" s="2847"/>
      <c r="J3510" s="3186"/>
      <c r="K3510" s="3186"/>
      <c r="L3510" s="3143"/>
      <c r="M3510" s="3273" t="s">
        <v>34</v>
      </c>
      <c r="N3510" s="3314"/>
      <c r="O3510" s="145">
        <f>SUM(O3511:O3532)</f>
        <v>79352.333333333328</v>
      </c>
      <c r="P3510" s="145">
        <f t="shared" ref="P3510:Z3510" si="571">SUM(P3511:P3532)</f>
        <v>74275.060606060593</v>
      </c>
      <c r="Q3510" s="145">
        <f t="shared" si="571"/>
        <v>80575.060606060593</v>
      </c>
      <c r="R3510" s="145">
        <f t="shared" si="571"/>
        <v>88875.060606060593</v>
      </c>
      <c r="S3510" s="145">
        <f t="shared" si="571"/>
        <v>80375.060606060593</v>
      </c>
      <c r="T3510" s="145">
        <f t="shared" si="571"/>
        <v>85810.060606060593</v>
      </c>
      <c r="U3510" s="145">
        <f t="shared" si="571"/>
        <v>73175.060606060593</v>
      </c>
      <c r="V3510" s="145">
        <f t="shared" si="571"/>
        <v>84725.060606060593</v>
      </c>
      <c r="W3510" s="145">
        <f t="shared" si="571"/>
        <v>73175.060606060593</v>
      </c>
      <c r="X3510" s="145">
        <f t="shared" si="571"/>
        <v>76575.060606060593</v>
      </c>
      <c r="Y3510" s="145">
        <f t="shared" si="571"/>
        <v>73175.060606060593</v>
      </c>
      <c r="Z3510" s="145">
        <f t="shared" si="571"/>
        <v>85810.060606060593</v>
      </c>
      <c r="AA3510" s="1221">
        <f>SUM(O3510:Z3510)</f>
        <v>955897.99999999965</v>
      </c>
      <c r="AB3510" s="1210"/>
      <c r="AC3510" s="1199"/>
      <c r="AD3510" s="1211"/>
    </row>
    <row r="3511" spans="1:30" x14ac:dyDescent="0.2">
      <c r="A3511" s="1422"/>
      <c r="B3511" s="2438">
        <v>5005188</v>
      </c>
      <c r="C3511" s="2438" t="s">
        <v>947</v>
      </c>
      <c r="D3511" s="3369">
        <v>112</v>
      </c>
      <c r="E3511" s="3369" t="s">
        <v>401</v>
      </c>
      <c r="F3511" s="2420" t="s">
        <v>386</v>
      </c>
      <c r="G3511" s="2420" t="s">
        <v>387</v>
      </c>
      <c r="H3511" s="2514" t="s">
        <v>948</v>
      </c>
      <c r="I3511" s="2420" t="s">
        <v>695</v>
      </c>
      <c r="J3511" s="3187">
        <v>236760</v>
      </c>
      <c r="K3511" s="41">
        <v>227349</v>
      </c>
      <c r="L3511" s="113"/>
      <c r="M3511" s="3287" t="s">
        <v>293</v>
      </c>
      <c r="N3511" s="3288"/>
      <c r="O3511" s="42">
        <f t="shared" ref="O3511:Z3515" si="572">$K3511/12</f>
        <v>18945.75</v>
      </c>
      <c r="P3511" s="42">
        <f t="shared" si="572"/>
        <v>18945.75</v>
      </c>
      <c r="Q3511" s="42">
        <f t="shared" si="572"/>
        <v>18945.75</v>
      </c>
      <c r="R3511" s="42">
        <f t="shared" si="572"/>
        <v>18945.75</v>
      </c>
      <c r="S3511" s="42">
        <f t="shared" si="572"/>
        <v>18945.75</v>
      </c>
      <c r="T3511" s="42">
        <f t="shared" si="572"/>
        <v>18945.75</v>
      </c>
      <c r="U3511" s="42">
        <f t="shared" si="572"/>
        <v>18945.75</v>
      </c>
      <c r="V3511" s="42">
        <f t="shared" si="572"/>
        <v>18945.75</v>
      </c>
      <c r="W3511" s="42">
        <f t="shared" si="572"/>
        <v>18945.75</v>
      </c>
      <c r="X3511" s="42">
        <f t="shared" si="572"/>
        <v>18945.75</v>
      </c>
      <c r="Y3511" s="42">
        <f t="shared" si="572"/>
        <v>18945.75</v>
      </c>
      <c r="Z3511" s="42">
        <f t="shared" si="572"/>
        <v>18945.75</v>
      </c>
      <c r="AA3511" s="1220">
        <f>SUM(O3511:Z3511)</f>
        <v>227349</v>
      </c>
      <c r="AB3511" s="1210"/>
      <c r="AC3511" s="1199"/>
      <c r="AD3511" s="1211"/>
    </row>
    <row r="3512" spans="1:30" x14ac:dyDescent="0.2">
      <c r="A3512" s="1422"/>
      <c r="B3512" s="2456"/>
      <c r="C3512" s="2456"/>
      <c r="D3512" s="3369"/>
      <c r="E3512" s="3369"/>
      <c r="F3512" s="2420"/>
      <c r="G3512" s="2420"/>
      <c r="H3512" s="2515"/>
      <c r="I3512" s="2420"/>
      <c r="J3512" s="2955"/>
      <c r="K3512" s="41">
        <v>26868</v>
      </c>
      <c r="L3512" s="113"/>
      <c r="M3512" s="3287" t="s">
        <v>294</v>
      </c>
      <c r="N3512" s="3288"/>
      <c r="O3512" s="42">
        <f t="shared" si="572"/>
        <v>2239</v>
      </c>
      <c r="P3512" s="42">
        <f t="shared" si="572"/>
        <v>2239</v>
      </c>
      <c r="Q3512" s="42">
        <f t="shared" si="572"/>
        <v>2239</v>
      </c>
      <c r="R3512" s="42">
        <f t="shared" si="572"/>
        <v>2239</v>
      </c>
      <c r="S3512" s="42">
        <f t="shared" si="572"/>
        <v>2239</v>
      </c>
      <c r="T3512" s="42">
        <f t="shared" si="572"/>
        <v>2239</v>
      </c>
      <c r="U3512" s="42">
        <f t="shared" si="572"/>
        <v>2239</v>
      </c>
      <c r="V3512" s="42">
        <f t="shared" si="572"/>
        <v>2239</v>
      </c>
      <c r="W3512" s="42">
        <f t="shared" si="572"/>
        <v>2239</v>
      </c>
      <c r="X3512" s="42">
        <f t="shared" si="572"/>
        <v>2239</v>
      </c>
      <c r="Y3512" s="42">
        <f t="shared" si="572"/>
        <v>2239</v>
      </c>
      <c r="Z3512" s="42">
        <f t="shared" si="572"/>
        <v>2239</v>
      </c>
      <c r="AA3512" s="1220">
        <f t="shared" ref="AA3512:AA3532" si="573">SUM(O3512:Z3512)</f>
        <v>26868</v>
      </c>
      <c r="AB3512" s="1210"/>
      <c r="AC3512" s="1199"/>
      <c r="AD3512" s="1211"/>
    </row>
    <row r="3513" spans="1:30" x14ac:dyDescent="0.2">
      <c r="A3513" s="1422"/>
      <c r="B3513" s="2456"/>
      <c r="C3513" s="2456"/>
      <c r="D3513" s="3369"/>
      <c r="E3513" s="3369"/>
      <c r="F3513" s="2420"/>
      <c r="G3513" s="2420"/>
      <c r="H3513" s="2515"/>
      <c r="I3513" s="2420"/>
      <c r="J3513" s="2955"/>
      <c r="K3513" s="41">
        <v>164336</v>
      </c>
      <c r="L3513" s="113"/>
      <c r="M3513" s="3287" t="s">
        <v>295</v>
      </c>
      <c r="N3513" s="3288"/>
      <c r="O3513" s="42">
        <f t="shared" si="572"/>
        <v>13694.666666666666</v>
      </c>
      <c r="P3513" s="42">
        <f t="shared" si="572"/>
        <v>13694.666666666666</v>
      </c>
      <c r="Q3513" s="42">
        <f t="shared" si="572"/>
        <v>13694.666666666666</v>
      </c>
      <c r="R3513" s="42">
        <f t="shared" si="572"/>
        <v>13694.666666666666</v>
      </c>
      <c r="S3513" s="42">
        <f t="shared" si="572"/>
        <v>13694.666666666666</v>
      </c>
      <c r="T3513" s="42">
        <f t="shared" si="572"/>
        <v>13694.666666666666</v>
      </c>
      <c r="U3513" s="42">
        <f t="shared" si="572"/>
        <v>13694.666666666666</v>
      </c>
      <c r="V3513" s="42">
        <f t="shared" si="572"/>
        <v>13694.666666666666</v>
      </c>
      <c r="W3513" s="42">
        <f t="shared" si="572"/>
        <v>13694.666666666666</v>
      </c>
      <c r="X3513" s="42">
        <f t="shared" si="572"/>
        <v>13694.666666666666</v>
      </c>
      <c r="Y3513" s="42">
        <f t="shared" si="572"/>
        <v>13694.666666666666</v>
      </c>
      <c r="Z3513" s="42">
        <f t="shared" si="572"/>
        <v>13694.666666666666</v>
      </c>
      <c r="AA3513" s="1220">
        <f t="shared" si="573"/>
        <v>164336</v>
      </c>
      <c r="AB3513" s="1210"/>
      <c r="AC3513" s="1199"/>
      <c r="AD3513" s="1211"/>
    </row>
    <row r="3514" spans="1:30" x14ac:dyDescent="0.2">
      <c r="A3514" s="1422"/>
      <c r="B3514" s="2456"/>
      <c r="C3514" s="2456"/>
      <c r="D3514" s="3369"/>
      <c r="E3514" s="3369"/>
      <c r="F3514" s="2420"/>
      <c r="G3514" s="2420"/>
      <c r="H3514" s="2515"/>
      <c r="I3514" s="2420"/>
      <c r="J3514" s="2955"/>
      <c r="K3514" s="41">
        <v>90836</v>
      </c>
      <c r="L3514" s="113"/>
      <c r="M3514" s="3287" t="s">
        <v>296</v>
      </c>
      <c r="N3514" s="3288"/>
      <c r="O3514" s="42">
        <f t="shared" si="572"/>
        <v>7569.666666666667</v>
      </c>
      <c r="P3514" s="42">
        <f t="shared" si="572"/>
        <v>7569.666666666667</v>
      </c>
      <c r="Q3514" s="42">
        <f t="shared" si="572"/>
        <v>7569.666666666667</v>
      </c>
      <c r="R3514" s="42">
        <f t="shared" si="572"/>
        <v>7569.666666666667</v>
      </c>
      <c r="S3514" s="42">
        <f t="shared" si="572"/>
        <v>7569.666666666667</v>
      </c>
      <c r="T3514" s="42">
        <f t="shared" si="572"/>
        <v>7569.666666666667</v>
      </c>
      <c r="U3514" s="42">
        <f t="shared" si="572"/>
        <v>7569.666666666667</v>
      </c>
      <c r="V3514" s="42">
        <f t="shared" si="572"/>
        <v>7569.666666666667</v>
      </c>
      <c r="W3514" s="42">
        <f t="shared" si="572"/>
        <v>7569.666666666667</v>
      </c>
      <c r="X3514" s="42">
        <f t="shared" si="572"/>
        <v>7569.666666666667</v>
      </c>
      <c r="Y3514" s="42">
        <f t="shared" si="572"/>
        <v>7569.666666666667</v>
      </c>
      <c r="Z3514" s="42">
        <f t="shared" si="572"/>
        <v>7569.666666666667</v>
      </c>
      <c r="AA3514" s="1220">
        <f t="shared" si="573"/>
        <v>90836.000000000015</v>
      </c>
      <c r="AB3514" s="1210"/>
      <c r="AC3514" s="1199"/>
      <c r="AD3514" s="1211"/>
    </row>
    <row r="3515" spans="1:30" x14ac:dyDescent="0.2">
      <c r="A3515" s="1422"/>
      <c r="B3515" s="2456"/>
      <c r="C3515" s="2456"/>
      <c r="D3515" s="3369"/>
      <c r="E3515" s="3369"/>
      <c r="F3515" s="2420"/>
      <c r="G3515" s="2420"/>
      <c r="H3515" s="2515"/>
      <c r="I3515" s="2420"/>
      <c r="J3515" s="2955"/>
      <c r="K3515" s="41">
        <v>15203</v>
      </c>
      <c r="L3515" s="113"/>
      <c r="M3515" s="3287" t="s">
        <v>297</v>
      </c>
      <c r="N3515" s="3288"/>
      <c r="O3515" s="42">
        <f t="shared" si="572"/>
        <v>1266.9166666666667</v>
      </c>
      <c r="P3515" s="42">
        <f t="shared" si="572"/>
        <v>1266.9166666666667</v>
      </c>
      <c r="Q3515" s="42">
        <f t="shared" si="572"/>
        <v>1266.9166666666667</v>
      </c>
      <c r="R3515" s="42">
        <f t="shared" si="572"/>
        <v>1266.9166666666667</v>
      </c>
      <c r="S3515" s="42">
        <f t="shared" si="572"/>
        <v>1266.9166666666667</v>
      </c>
      <c r="T3515" s="42">
        <f t="shared" si="572"/>
        <v>1266.9166666666667</v>
      </c>
      <c r="U3515" s="42">
        <f t="shared" si="572"/>
        <v>1266.9166666666667</v>
      </c>
      <c r="V3515" s="42">
        <f t="shared" si="572"/>
        <v>1266.9166666666667</v>
      </c>
      <c r="W3515" s="42">
        <f t="shared" si="572"/>
        <v>1266.9166666666667</v>
      </c>
      <c r="X3515" s="42">
        <f t="shared" si="572"/>
        <v>1266.9166666666667</v>
      </c>
      <c r="Y3515" s="42">
        <f t="shared" si="572"/>
        <v>1266.9166666666667</v>
      </c>
      <c r="Z3515" s="42">
        <f t="shared" si="572"/>
        <v>1266.9166666666667</v>
      </c>
      <c r="AA3515" s="1220">
        <f t="shared" si="573"/>
        <v>15202.999999999998</v>
      </c>
      <c r="AB3515" s="1210"/>
      <c r="AC3515" s="1199"/>
      <c r="AD3515" s="1211"/>
    </row>
    <row r="3516" spans="1:30" x14ac:dyDescent="0.2">
      <c r="A3516" s="1422"/>
      <c r="B3516" s="2456"/>
      <c r="C3516" s="2456"/>
      <c r="D3516" s="3369"/>
      <c r="E3516" s="3369"/>
      <c r="F3516" s="2420"/>
      <c r="G3516" s="2420"/>
      <c r="H3516" s="2515"/>
      <c r="I3516" s="2420"/>
      <c r="J3516" s="2955"/>
      <c r="K3516" s="41">
        <v>18470</v>
      </c>
      <c r="L3516" s="113"/>
      <c r="M3516" s="3287" t="s">
        <v>298</v>
      </c>
      <c r="N3516" s="3288"/>
      <c r="O3516" s="38"/>
      <c r="P3516" s="38"/>
      <c r="Q3516" s="38"/>
      <c r="R3516" s="38"/>
      <c r="S3516" s="38"/>
      <c r="T3516" s="38">
        <f>K3516/2</f>
        <v>9235</v>
      </c>
      <c r="U3516" s="38"/>
      <c r="V3516" s="38"/>
      <c r="W3516" s="38"/>
      <c r="X3516" s="38"/>
      <c r="Y3516" s="38"/>
      <c r="Z3516" s="38">
        <f>K3516/2</f>
        <v>9235</v>
      </c>
      <c r="AA3516" s="1220">
        <f t="shared" si="573"/>
        <v>18470</v>
      </c>
      <c r="AB3516" s="1210"/>
      <c r="AC3516" s="1199"/>
      <c r="AD3516" s="1211"/>
    </row>
    <row r="3517" spans="1:30" x14ac:dyDescent="0.2">
      <c r="A3517" s="1422"/>
      <c r="B3517" s="2456"/>
      <c r="C3517" s="2456"/>
      <c r="D3517" s="3369"/>
      <c r="E3517" s="3369"/>
      <c r="F3517" s="2420"/>
      <c r="G3517" s="2420"/>
      <c r="H3517" s="2515"/>
      <c r="I3517" s="2420"/>
      <c r="J3517" s="2955"/>
      <c r="K3517" s="41">
        <v>6800</v>
      </c>
      <c r="L3517" s="113"/>
      <c r="M3517" s="3287" t="s">
        <v>299</v>
      </c>
      <c r="N3517" s="3288"/>
      <c r="O3517" s="38">
        <f>K3517</f>
        <v>6800</v>
      </c>
      <c r="P3517" s="38"/>
      <c r="Q3517" s="38"/>
      <c r="R3517" s="38"/>
      <c r="S3517" s="38"/>
      <c r="T3517" s="38"/>
      <c r="U3517" s="38"/>
      <c r="V3517" s="38"/>
      <c r="W3517" s="38"/>
      <c r="X3517" s="38"/>
      <c r="Y3517" s="38"/>
      <c r="Z3517" s="38"/>
      <c r="AA3517" s="1220">
        <f t="shared" si="573"/>
        <v>6800</v>
      </c>
      <c r="AB3517" s="1210"/>
      <c r="AC3517" s="1199"/>
      <c r="AD3517" s="1211"/>
    </row>
    <row r="3518" spans="1:30" x14ac:dyDescent="0.2">
      <c r="A3518" s="1422"/>
      <c r="B3518" s="2456"/>
      <c r="C3518" s="2456"/>
      <c r="D3518" s="3369"/>
      <c r="E3518" s="3369"/>
      <c r="F3518" s="2420"/>
      <c r="G3518" s="2420"/>
      <c r="H3518" s="2515"/>
      <c r="I3518" s="2420"/>
      <c r="J3518" s="2955"/>
      <c r="K3518" s="41">
        <v>23186</v>
      </c>
      <c r="L3518" s="113"/>
      <c r="M3518" s="3287" t="s">
        <v>300</v>
      </c>
      <c r="N3518" s="3288"/>
      <c r="O3518" s="42">
        <f t="shared" ref="O3518:Z3519" si="574">$K3518/12</f>
        <v>1932.1666666666667</v>
      </c>
      <c r="P3518" s="42">
        <f t="shared" si="574"/>
        <v>1932.1666666666667</v>
      </c>
      <c r="Q3518" s="42">
        <f t="shared" si="574"/>
        <v>1932.1666666666667</v>
      </c>
      <c r="R3518" s="42">
        <f t="shared" si="574"/>
        <v>1932.1666666666667</v>
      </c>
      <c r="S3518" s="42">
        <f t="shared" si="574"/>
        <v>1932.1666666666667</v>
      </c>
      <c r="T3518" s="42">
        <f t="shared" si="574"/>
        <v>1932.1666666666667</v>
      </c>
      <c r="U3518" s="42">
        <f t="shared" si="574"/>
        <v>1932.1666666666667</v>
      </c>
      <c r="V3518" s="42">
        <f t="shared" si="574"/>
        <v>1932.1666666666667</v>
      </c>
      <c r="W3518" s="42">
        <f t="shared" si="574"/>
        <v>1932.1666666666667</v>
      </c>
      <c r="X3518" s="42">
        <f t="shared" si="574"/>
        <v>1932.1666666666667</v>
      </c>
      <c r="Y3518" s="42">
        <f t="shared" si="574"/>
        <v>1932.1666666666667</v>
      </c>
      <c r="Z3518" s="42">
        <f t="shared" si="574"/>
        <v>1932.1666666666667</v>
      </c>
      <c r="AA3518" s="1220">
        <f t="shared" si="573"/>
        <v>23186.000000000004</v>
      </c>
      <c r="AB3518" s="1210"/>
      <c r="AC3518" s="1199"/>
      <c r="AD3518" s="1211"/>
    </row>
    <row r="3519" spans="1:30" x14ac:dyDescent="0.2">
      <c r="A3519" s="1422"/>
      <c r="B3519" s="2456"/>
      <c r="C3519" s="2456"/>
      <c r="D3519" s="3369"/>
      <c r="E3519" s="3369"/>
      <c r="F3519" s="2420"/>
      <c r="G3519" s="2420"/>
      <c r="H3519" s="2515"/>
      <c r="I3519" s="2420"/>
      <c r="J3519" s="2955"/>
      <c r="K3519" s="41">
        <v>103</v>
      </c>
      <c r="L3519" s="113"/>
      <c r="M3519" s="3287" t="s">
        <v>301</v>
      </c>
      <c r="N3519" s="3288"/>
      <c r="O3519" s="42">
        <f t="shared" si="574"/>
        <v>8.5833333333333339</v>
      </c>
      <c r="P3519" s="42">
        <f t="shared" si="574"/>
        <v>8.5833333333333339</v>
      </c>
      <c r="Q3519" s="42">
        <f t="shared" si="574"/>
        <v>8.5833333333333339</v>
      </c>
      <c r="R3519" s="42">
        <f t="shared" si="574"/>
        <v>8.5833333333333339</v>
      </c>
      <c r="S3519" s="42">
        <f t="shared" si="574"/>
        <v>8.5833333333333339</v>
      </c>
      <c r="T3519" s="42">
        <f t="shared" si="574"/>
        <v>8.5833333333333339</v>
      </c>
      <c r="U3519" s="42">
        <f t="shared" si="574"/>
        <v>8.5833333333333339</v>
      </c>
      <c r="V3519" s="42">
        <f t="shared" si="574"/>
        <v>8.5833333333333339</v>
      </c>
      <c r="W3519" s="42">
        <f t="shared" si="574"/>
        <v>8.5833333333333339</v>
      </c>
      <c r="X3519" s="42">
        <f t="shared" si="574"/>
        <v>8.5833333333333339</v>
      </c>
      <c r="Y3519" s="42">
        <f t="shared" si="574"/>
        <v>8.5833333333333339</v>
      </c>
      <c r="Z3519" s="42">
        <f t="shared" si="574"/>
        <v>8.5833333333333339</v>
      </c>
      <c r="AA3519" s="1220">
        <f t="shared" si="573"/>
        <v>102.99999999999999</v>
      </c>
      <c r="AB3519" s="1210"/>
      <c r="AC3519" s="1199"/>
      <c r="AD3519" s="1211"/>
    </row>
    <row r="3520" spans="1:30" x14ac:dyDescent="0.2">
      <c r="A3520" s="1422"/>
      <c r="B3520" s="2456"/>
      <c r="C3520" s="2456"/>
      <c r="D3520" s="3369"/>
      <c r="E3520" s="3369"/>
      <c r="F3520" s="2420"/>
      <c r="G3520" s="2420"/>
      <c r="H3520" s="2515"/>
      <c r="I3520" s="2420"/>
      <c r="J3520" s="2955"/>
      <c r="K3520" s="41">
        <v>7200</v>
      </c>
      <c r="L3520" s="113"/>
      <c r="M3520" s="3287" t="s">
        <v>302</v>
      </c>
      <c r="N3520" s="3288"/>
      <c r="O3520" s="38"/>
      <c r="P3520" s="38"/>
      <c r="Q3520" s="38"/>
      <c r="R3520" s="38"/>
      <c r="S3520" s="38">
        <f>K3520</f>
        <v>7200</v>
      </c>
      <c r="T3520" s="38"/>
      <c r="U3520" s="38"/>
      <c r="V3520" s="38"/>
      <c r="W3520" s="38"/>
      <c r="X3520" s="38"/>
      <c r="Y3520" s="38"/>
      <c r="Z3520" s="38"/>
      <c r="AA3520" s="1220">
        <f t="shared" si="573"/>
        <v>7200</v>
      </c>
      <c r="AB3520" s="1210"/>
      <c r="AC3520" s="1199"/>
      <c r="AD3520" s="1211"/>
    </row>
    <row r="3521" spans="1:30" x14ac:dyDescent="0.2">
      <c r="A3521" s="1422"/>
      <c r="B3521" s="2456"/>
      <c r="C3521" s="2456"/>
      <c r="D3521" s="3369"/>
      <c r="E3521" s="3369"/>
      <c r="F3521" s="2420"/>
      <c r="G3521" s="2420"/>
      <c r="H3521" s="2515"/>
      <c r="I3521" s="2420"/>
      <c r="J3521" s="2955"/>
      <c r="K3521" s="41">
        <v>4800</v>
      </c>
      <c r="L3521" s="113"/>
      <c r="M3521" s="3287" t="s">
        <v>303</v>
      </c>
      <c r="N3521" s="3288"/>
      <c r="O3521" s="38"/>
      <c r="P3521" s="38"/>
      <c r="Q3521" s="40">
        <f>$K3521/2</f>
        <v>2400</v>
      </c>
      <c r="R3521" s="38"/>
      <c r="S3521" s="38"/>
      <c r="T3521" s="38"/>
      <c r="U3521" s="40"/>
      <c r="V3521" s="40">
        <f>$K3521/2</f>
        <v>2400</v>
      </c>
      <c r="W3521" s="38"/>
      <c r="X3521" s="38"/>
      <c r="Y3521" s="38"/>
      <c r="Z3521" s="38"/>
      <c r="AA3521" s="1220">
        <f t="shared" si="573"/>
        <v>4800</v>
      </c>
      <c r="AB3521" s="1210"/>
      <c r="AC3521" s="1199"/>
      <c r="AD3521" s="1211"/>
    </row>
    <row r="3522" spans="1:30" x14ac:dyDescent="0.2">
      <c r="A3522" s="1422"/>
      <c r="B3522" s="2456"/>
      <c r="C3522" s="2456"/>
      <c r="D3522" s="3369"/>
      <c r="E3522" s="3369"/>
      <c r="F3522" s="2420"/>
      <c r="G3522" s="2420"/>
      <c r="H3522" s="2515"/>
      <c r="I3522" s="2420"/>
      <c r="J3522" s="2955"/>
      <c r="K3522" s="41">
        <v>1500</v>
      </c>
      <c r="L3522" s="113"/>
      <c r="M3522" s="3287" t="s">
        <v>324</v>
      </c>
      <c r="N3522" s="3288"/>
      <c r="O3522" s="38"/>
      <c r="P3522" s="38">
        <f>$K3522/2</f>
        <v>750</v>
      </c>
      <c r="Q3522" s="38"/>
      <c r="R3522" s="38"/>
      <c r="S3522" s="38"/>
      <c r="T3522" s="38"/>
      <c r="U3522" s="38"/>
      <c r="V3522" s="38">
        <f>$K3522/2</f>
        <v>750</v>
      </c>
      <c r="W3522" s="38"/>
      <c r="X3522" s="38"/>
      <c r="Y3522" s="38"/>
      <c r="Z3522" s="38"/>
      <c r="AA3522" s="1220">
        <f t="shared" si="573"/>
        <v>1500</v>
      </c>
      <c r="AB3522" s="1210"/>
      <c r="AC3522" s="1199"/>
      <c r="AD3522" s="1211"/>
    </row>
    <row r="3523" spans="1:30" x14ac:dyDescent="0.2">
      <c r="A3523" s="1422"/>
      <c r="B3523" s="2456"/>
      <c r="C3523" s="2456"/>
      <c r="D3523" s="3369"/>
      <c r="E3523" s="3369"/>
      <c r="F3523" s="2420"/>
      <c r="G3523" s="2420"/>
      <c r="H3523" s="2515"/>
      <c r="I3523" s="2420"/>
      <c r="J3523" s="2955"/>
      <c r="K3523" s="41">
        <v>11400</v>
      </c>
      <c r="L3523" s="113"/>
      <c r="M3523" s="3287" t="s">
        <v>393</v>
      </c>
      <c r="N3523" s="3288"/>
      <c r="O3523" s="38"/>
      <c r="P3523" s="38"/>
      <c r="Q3523" s="38"/>
      <c r="R3523" s="40">
        <f>$K3523</f>
        <v>11400</v>
      </c>
      <c r="S3523" s="38"/>
      <c r="T3523" s="38"/>
      <c r="U3523" s="38"/>
      <c r="V3523" s="40"/>
      <c r="W3523" s="38"/>
      <c r="X3523" s="38"/>
      <c r="Y3523" s="38"/>
      <c r="Z3523" s="38"/>
      <c r="AA3523" s="1220">
        <f t="shared" si="573"/>
        <v>11400</v>
      </c>
      <c r="AB3523" s="1210"/>
      <c r="AC3523" s="1199"/>
      <c r="AD3523" s="1211"/>
    </row>
    <row r="3524" spans="1:30" x14ac:dyDescent="0.2">
      <c r="A3524" s="1422"/>
      <c r="B3524" s="2456"/>
      <c r="C3524" s="2456"/>
      <c r="D3524" s="3369"/>
      <c r="E3524" s="3369"/>
      <c r="F3524" s="2420"/>
      <c r="G3524" s="2420"/>
      <c r="H3524" s="2515"/>
      <c r="I3524" s="2420"/>
      <c r="J3524" s="2955"/>
      <c r="K3524" s="41">
        <v>600</v>
      </c>
      <c r="L3524" s="113"/>
      <c r="M3524" s="3287" t="s">
        <v>343</v>
      </c>
      <c r="N3524" s="3288"/>
      <c r="O3524" s="38"/>
      <c r="P3524" s="38"/>
      <c r="Q3524" s="38"/>
      <c r="R3524" s="38">
        <f>$K3524</f>
        <v>600</v>
      </c>
      <c r="S3524" s="38"/>
      <c r="T3524" s="38"/>
      <c r="U3524" s="38"/>
      <c r="V3524" s="38"/>
      <c r="W3524" s="38"/>
      <c r="X3524" s="38"/>
      <c r="Y3524" s="38"/>
      <c r="Z3524" s="38"/>
      <c r="AA3524" s="1220">
        <f t="shared" si="573"/>
        <v>600</v>
      </c>
      <c r="AB3524" s="1210"/>
      <c r="AC3524" s="1199"/>
      <c r="AD3524" s="1211"/>
    </row>
    <row r="3525" spans="1:30" x14ac:dyDescent="0.2">
      <c r="A3525" s="1422"/>
      <c r="B3525" s="2456"/>
      <c r="C3525" s="2456"/>
      <c r="D3525" s="3369"/>
      <c r="E3525" s="3369"/>
      <c r="F3525" s="2420"/>
      <c r="G3525" s="2420"/>
      <c r="H3525" s="2515"/>
      <c r="I3525" s="2420"/>
      <c r="J3525" s="2955"/>
      <c r="K3525" s="41">
        <v>10000</v>
      </c>
      <c r="L3525" s="113"/>
      <c r="M3525" s="3287" t="s">
        <v>304</v>
      </c>
      <c r="N3525" s="3288"/>
      <c r="O3525" s="38"/>
      <c r="P3525" s="38"/>
      <c r="Q3525" s="40">
        <f>$K3525/2</f>
        <v>5000</v>
      </c>
      <c r="R3525" s="38"/>
      <c r="S3525" s="38"/>
      <c r="T3525" s="38"/>
      <c r="U3525" s="40"/>
      <c r="V3525" s="40">
        <f>$K3525/2</f>
        <v>5000</v>
      </c>
      <c r="W3525" s="38"/>
      <c r="X3525" s="38"/>
      <c r="Y3525" s="38"/>
      <c r="Z3525" s="38"/>
      <c r="AA3525" s="1220">
        <f t="shared" si="573"/>
        <v>10000</v>
      </c>
      <c r="AB3525" s="1210"/>
      <c r="AC3525" s="1199"/>
      <c r="AD3525" s="1211"/>
    </row>
    <row r="3526" spans="1:30" x14ac:dyDescent="0.2">
      <c r="A3526" s="1422"/>
      <c r="B3526" s="2456"/>
      <c r="C3526" s="2456"/>
      <c r="D3526" s="3369"/>
      <c r="E3526" s="3369"/>
      <c r="F3526" s="2420"/>
      <c r="G3526" s="2420"/>
      <c r="H3526" s="2515"/>
      <c r="I3526" s="2420"/>
      <c r="J3526" s="2955"/>
      <c r="K3526" s="41">
        <v>350</v>
      </c>
      <c r="L3526" s="113"/>
      <c r="M3526" s="3287" t="s">
        <v>305</v>
      </c>
      <c r="N3526" s="3288"/>
      <c r="O3526" s="38"/>
      <c r="P3526" s="38">
        <f>$K3526</f>
        <v>350</v>
      </c>
      <c r="Q3526" s="38"/>
      <c r="R3526" s="38"/>
      <c r="S3526" s="38"/>
      <c r="T3526" s="38"/>
      <c r="U3526" s="38"/>
      <c r="V3526" s="38"/>
      <c r="W3526" s="38"/>
      <c r="X3526" s="38"/>
      <c r="Y3526" s="38"/>
      <c r="Z3526" s="38"/>
      <c r="AA3526" s="1220">
        <f t="shared" si="573"/>
        <v>350</v>
      </c>
      <c r="AB3526" s="1210"/>
      <c r="AC3526" s="1199"/>
      <c r="AD3526" s="1211"/>
    </row>
    <row r="3527" spans="1:30" x14ac:dyDescent="0.2">
      <c r="A3527" s="1422"/>
      <c r="B3527" s="2456"/>
      <c r="C3527" s="2456"/>
      <c r="D3527" s="3369"/>
      <c r="E3527" s="3369"/>
      <c r="F3527" s="2420"/>
      <c r="G3527" s="2420"/>
      <c r="H3527" s="2515"/>
      <c r="I3527" s="2420"/>
      <c r="J3527" s="2955"/>
      <c r="K3527" s="41">
        <v>5650</v>
      </c>
      <c r="L3527" s="113"/>
      <c r="M3527" s="3287" t="s">
        <v>306</v>
      </c>
      <c r="N3527" s="3288"/>
      <c r="O3527" s="38"/>
      <c r="P3527" s="67">
        <f>$K3527/11</f>
        <v>513.63636363636363</v>
      </c>
      <c r="Q3527" s="67">
        <f t="shared" ref="Q3527:Z3528" si="575">$K3527/11</f>
        <v>513.63636363636363</v>
      </c>
      <c r="R3527" s="67">
        <f t="shared" si="575"/>
        <v>513.63636363636363</v>
      </c>
      <c r="S3527" s="67">
        <f t="shared" si="575"/>
        <v>513.63636363636363</v>
      </c>
      <c r="T3527" s="67">
        <f t="shared" si="575"/>
        <v>513.63636363636363</v>
      </c>
      <c r="U3527" s="67">
        <f t="shared" si="575"/>
        <v>513.63636363636363</v>
      </c>
      <c r="V3527" s="67">
        <f t="shared" si="575"/>
        <v>513.63636363636363</v>
      </c>
      <c r="W3527" s="67">
        <f t="shared" si="575"/>
        <v>513.63636363636363</v>
      </c>
      <c r="X3527" s="67">
        <f t="shared" si="575"/>
        <v>513.63636363636363</v>
      </c>
      <c r="Y3527" s="67">
        <f t="shared" si="575"/>
        <v>513.63636363636363</v>
      </c>
      <c r="Z3527" s="67">
        <f>$K3527/11</f>
        <v>513.63636363636363</v>
      </c>
      <c r="AA3527" s="1220">
        <f t="shared" si="573"/>
        <v>5650.0000000000009</v>
      </c>
      <c r="AB3527" s="1210"/>
      <c r="AC3527" s="1199"/>
      <c r="AD3527" s="1211"/>
    </row>
    <row r="3528" spans="1:30" x14ac:dyDescent="0.2">
      <c r="A3528" s="1422"/>
      <c r="B3528" s="2456"/>
      <c r="C3528" s="2456"/>
      <c r="D3528" s="3369"/>
      <c r="E3528" s="3369"/>
      <c r="F3528" s="2420"/>
      <c r="G3528" s="2420"/>
      <c r="H3528" s="2515"/>
      <c r="I3528" s="2420"/>
      <c r="J3528" s="2955"/>
      <c r="K3528" s="41">
        <v>1200</v>
      </c>
      <c r="L3528" s="113"/>
      <c r="M3528" s="3287" t="s">
        <v>307</v>
      </c>
      <c r="N3528" s="3288"/>
      <c r="O3528" s="38"/>
      <c r="P3528" s="42">
        <f>$K3528/11</f>
        <v>109.09090909090909</v>
      </c>
      <c r="Q3528" s="42">
        <f t="shared" si="575"/>
        <v>109.09090909090909</v>
      </c>
      <c r="R3528" s="42">
        <f t="shared" si="575"/>
        <v>109.09090909090909</v>
      </c>
      <c r="S3528" s="42">
        <f t="shared" si="575"/>
        <v>109.09090909090909</v>
      </c>
      <c r="T3528" s="42">
        <f t="shared" si="575"/>
        <v>109.09090909090909</v>
      </c>
      <c r="U3528" s="42">
        <f t="shared" si="575"/>
        <v>109.09090909090909</v>
      </c>
      <c r="V3528" s="42">
        <f t="shared" si="575"/>
        <v>109.09090909090909</v>
      </c>
      <c r="W3528" s="42">
        <f t="shared" si="575"/>
        <v>109.09090909090909</v>
      </c>
      <c r="X3528" s="42">
        <f t="shared" si="575"/>
        <v>109.09090909090909</v>
      </c>
      <c r="Y3528" s="42">
        <f t="shared" si="575"/>
        <v>109.09090909090909</v>
      </c>
      <c r="Z3528" s="42">
        <f t="shared" si="575"/>
        <v>109.09090909090909</v>
      </c>
      <c r="AA3528" s="1220">
        <f t="shared" si="573"/>
        <v>1200</v>
      </c>
      <c r="AB3528" s="1210"/>
      <c r="AC3528" s="1199"/>
      <c r="AD3528" s="1211"/>
    </row>
    <row r="3529" spans="1:30" x14ac:dyDescent="0.2">
      <c r="A3529" s="1422"/>
      <c r="B3529" s="2456"/>
      <c r="C3529" s="2456"/>
      <c r="D3529" s="3369"/>
      <c r="E3529" s="3369"/>
      <c r="F3529" s="2420"/>
      <c r="G3529" s="2420"/>
      <c r="H3529" s="2515"/>
      <c r="I3529" s="2420"/>
      <c r="J3529" s="2955"/>
      <c r="K3529" s="41">
        <v>300</v>
      </c>
      <c r="L3529" s="113"/>
      <c r="M3529" s="3287" t="s">
        <v>308</v>
      </c>
      <c r="N3529" s="3288"/>
      <c r="O3529" s="38"/>
      <c r="P3529" s="38"/>
      <c r="Q3529" s="40"/>
      <c r="R3529" s="40">
        <f>$K3529</f>
        <v>300</v>
      </c>
      <c r="S3529" s="38"/>
      <c r="T3529" s="38"/>
      <c r="U3529" s="38"/>
      <c r="V3529" s="38"/>
      <c r="W3529" s="38"/>
      <c r="X3529" s="38"/>
      <c r="Y3529" s="38"/>
      <c r="Z3529" s="38"/>
      <c r="AA3529" s="1220">
        <f t="shared" si="573"/>
        <v>300</v>
      </c>
      <c r="AB3529" s="1210"/>
      <c r="AC3529" s="1199"/>
      <c r="AD3529" s="1211"/>
    </row>
    <row r="3530" spans="1:30" x14ac:dyDescent="0.2">
      <c r="A3530" s="1422"/>
      <c r="B3530" s="2456"/>
      <c r="C3530" s="2456"/>
      <c r="D3530" s="3369"/>
      <c r="E3530" s="3369"/>
      <c r="F3530" s="2420"/>
      <c r="G3530" s="2420"/>
      <c r="H3530" s="2515"/>
      <c r="I3530" s="2420"/>
      <c r="J3530" s="2955"/>
      <c r="K3530" s="41">
        <v>17000</v>
      </c>
      <c r="L3530" s="113"/>
      <c r="M3530" s="3287" t="s">
        <v>309</v>
      </c>
      <c r="N3530" s="3288"/>
      <c r="O3530" s="38"/>
      <c r="P3530" s="38"/>
      <c r="Q3530" s="38"/>
      <c r="R3530" s="40">
        <f>$K3530/5</f>
        <v>3400</v>
      </c>
      <c r="S3530" s="40"/>
      <c r="T3530" s="40">
        <f>$K3530/5</f>
        <v>3400</v>
      </c>
      <c r="U3530" s="38"/>
      <c r="V3530" s="40">
        <f>$K3530/5</f>
        <v>3400</v>
      </c>
      <c r="W3530" s="38"/>
      <c r="X3530" s="40">
        <f>$K3530/5</f>
        <v>3400</v>
      </c>
      <c r="Y3530" s="38"/>
      <c r="Z3530" s="40">
        <f>$K3530/5</f>
        <v>3400</v>
      </c>
      <c r="AA3530" s="1220">
        <f t="shared" si="573"/>
        <v>17000</v>
      </c>
      <c r="AB3530" s="1210"/>
      <c r="AC3530" s="1199"/>
      <c r="AD3530" s="1211"/>
    </row>
    <row r="3531" spans="1:30" x14ac:dyDescent="0.2">
      <c r="A3531" s="1422"/>
      <c r="B3531" s="2456"/>
      <c r="C3531" s="2456"/>
      <c r="D3531" s="3369"/>
      <c r="E3531" s="3369"/>
      <c r="F3531" s="2420"/>
      <c r="G3531" s="2420"/>
      <c r="H3531" s="2515"/>
      <c r="I3531" s="2420"/>
      <c r="J3531" s="2955"/>
      <c r="K3531" s="41">
        <v>304254</v>
      </c>
      <c r="L3531" s="113"/>
      <c r="M3531" s="3287" t="s">
        <v>310</v>
      </c>
      <c r="N3531" s="3288"/>
      <c r="O3531" s="42">
        <f>$K3531/12</f>
        <v>25354.5</v>
      </c>
      <c r="P3531" s="42">
        <f t="shared" ref="P3531:Z3532" si="576">$K3531/12</f>
        <v>25354.5</v>
      </c>
      <c r="Q3531" s="42">
        <f t="shared" si="576"/>
        <v>25354.5</v>
      </c>
      <c r="R3531" s="42">
        <f t="shared" si="576"/>
        <v>25354.5</v>
      </c>
      <c r="S3531" s="42">
        <f t="shared" si="576"/>
        <v>25354.5</v>
      </c>
      <c r="T3531" s="42">
        <f t="shared" si="576"/>
        <v>25354.5</v>
      </c>
      <c r="U3531" s="42">
        <f t="shared" si="576"/>
        <v>25354.5</v>
      </c>
      <c r="V3531" s="42">
        <f t="shared" si="576"/>
        <v>25354.5</v>
      </c>
      <c r="W3531" s="42">
        <f t="shared" si="576"/>
        <v>25354.5</v>
      </c>
      <c r="X3531" s="42">
        <f t="shared" si="576"/>
        <v>25354.5</v>
      </c>
      <c r="Y3531" s="42">
        <f t="shared" si="576"/>
        <v>25354.5</v>
      </c>
      <c r="Z3531" s="42">
        <f t="shared" si="576"/>
        <v>25354.5</v>
      </c>
      <c r="AA3531" s="1220">
        <f t="shared" si="573"/>
        <v>304254</v>
      </c>
      <c r="AB3531" s="1210"/>
      <c r="AC3531" s="1199"/>
      <c r="AD3531" s="1211"/>
    </row>
    <row r="3532" spans="1:30" x14ac:dyDescent="0.2">
      <c r="A3532" s="1422"/>
      <c r="B3532" s="2450"/>
      <c r="C3532" s="2450"/>
      <c r="D3532" s="3369"/>
      <c r="E3532" s="3369"/>
      <c r="F3532" s="2420"/>
      <c r="G3532" s="2420"/>
      <c r="H3532" s="2516"/>
      <c r="I3532" s="2420"/>
      <c r="J3532" s="2956"/>
      <c r="K3532" s="41">
        <v>18493</v>
      </c>
      <c r="L3532" s="113"/>
      <c r="M3532" s="3287" t="s">
        <v>311</v>
      </c>
      <c r="N3532" s="3288"/>
      <c r="O3532" s="42">
        <f>$K3532/12</f>
        <v>1541.0833333333333</v>
      </c>
      <c r="P3532" s="42">
        <f t="shared" si="576"/>
        <v>1541.0833333333333</v>
      </c>
      <c r="Q3532" s="42">
        <f t="shared" si="576"/>
        <v>1541.0833333333333</v>
      </c>
      <c r="R3532" s="42">
        <f t="shared" si="576"/>
        <v>1541.0833333333333</v>
      </c>
      <c r="S3532" s="42">
        <f t="shared" si="576"/>
        <v>1541.0833333333333</v>
      </c>
      <c r="T3532" s="42">
        <f t="shared" si="576"/>
        <v>1541.0833333333333</v>
      </c>
      <c r="U3532" s="42">
        <f t="shared" si="576"/>
        <v>1541.0833333333333</v>
      </c>
      <c r="V3532" s="42">
        <f t="shared" si="576"/>
        <v>1541.0833333333333</v>
      </c>
      <c r="W3532" s="42">
        <f t="shared" si="576"/>
        <v>1541.0833333333333</v>
      </c>
      <c r="X3532" s="42">
        <f t="shared" si="576"/>
        <v>1541.0833333333333</v>
      </c>
      <c r="Y3532" s="42">
        <f t="shared" si="576"/>
        <v>1541.0833333333333</v>
      </c>
      <c r="Z3532" s="42">
        <f t="shared" si="576"/>
        <v>1541.0833333333333</v>
      </c>
      <c r="AA3532" s="1220">
        <f t="shared" si="573"/>
        <v>18493</v>
      </c>
      <c r="AB3532" s="1210"/>
      <c r="AC3532" s="1199"/>
      <c r="AD3532" s="1211"/>
    </row>
    <row r="3533" spans="1:30" x14ac:dyDescent="0.2">
      <c r="A3533" s="1422"/>
      <c r="B3533" s="1427" t="s">
        <v>312</v>
      </c>
      <c r="C3533" s="1128"/>
      <c r="D3533" s="38"/>
      <c r="E3533" s="38"/>
      <c r="F3533" s="38"/>
      <c r="G3533" s="38"/>
      <c r="H3533" s="38"/>
      <c r="I3533" s="38"/>
      <c r="J3533" s="38"/>
      <c r="K3533" s="41">
        <f>SUM(K3511:K3532)</f>
        <v>955898</v>
      </c>
      <c r="L3533" s="38"/>
      <c r="M3533" s="111"/>
      <c r="N3533" s="111"/>
      <c r="O3533" s="38"/>
      <c r="P3533" s="38"/>
      <c r="Q3533" s="38"/>
      <c r="R3533" s="38"/>
      <c r="S3533" s="38"/>
      <c r="T3533" s="38"/>
      <c r="U3533" s="38"/>
      <c r="V3533" s="38"/>
      <c r="W3533" s="38"/>
      <c r="X3533" s="38"/>
      <c r="Y3533" s="38"/>
      <c r="Z3533" s="38"/>
      <c r="AA3533" s="1234"/>
      <c r="AB3533" s="1210"/>
      <c r="AC3533" s="1199"/>
      <c r="AD3533" s="1211"/>
    </row>
    <row r="3534" spans="1:30" ht="22.5" x14ac:dyDescent="0.2">
      <c r="A3534" s="1422"/>
      <c r="B3534" s="1433" t="s">
        <v>276</v>
      </c>
      <c r="C3534" s="1119"/>
      <c r="D3534" s="35">
        <v>3000700</v>
      </c>
      <c r="E3534" s="192" t="s">
        <v>949</v>
      </c>
      <c r="F3534" s="35"/>
      <c r="G3534" s="35"/>
      <c r="H3534" s="35"/>
      <c r="I3534" s="35"/>
      <c r="J3534" s="35"/>
      <c r="K3534" s="35"/>
      <c r="L3534" s="35"/>
      <c r="M3534" s="35"/>
      <c r="N3534" s="35"/>
      <c r="O3534" s="35"/>
      <c r="P3534" s="35"/>
      <c r="Q3534" s="35"/>
      <c r="R3534" s="35"/>
      <c r="S3534" s="35"/>
      <c r="T3534" s="35"/>
      <c r="U3534" s="3333" t="s">
        <v>15</v>
      </c>
      <c r="V3534" s="3333"/>
      <c r="W3534" s="3333"/>
      <c r="X3534" s="3333"/>
      <c r="Y3534" s="3333"/>
      <c r="Z3534" s="3333"/>
      <c r="AA3534" s="1228" t="s">
        <v>16</v>
      </c>
      <c r="AB3534" s="1210"/>
      <c r="AC3534" s="1199"/>
      <c r="AD3534" s="1211"/>
    </row>
    <row r="3535" spans="1:30" ht="20.25" customHeight="1" thickBot="1" x14ac:dyDescent="0.25">
      <c r="A3535" s="1422"/>
      <c r="B3535" s="1433"/>
      <c r="C3535" s="1119"/>
      <c r="D3535" s="35"/>
      <c r="E3535" s="192"/>
      <c r="F3535" s="35"/>
      <c r="G3535" s="35"/>
      <c r="H3535" s="35"/>
      <c r="I3535" s="35"/>
      <c r="J3535" s="35"/>
      <c r="K3535" s="35"/>
      <c r="L3535" s="35"/>
      <c r="M3535" s="35"/>
      <c r="N3535" s="35"/>
      <c r="O3535" s="35"/>
      <c r="P3535" s="35"/>
      <c r="Q3535" s="35"/>
      <c r="R3535" s="35"/>
      <c r="S3535" s="35"/>
      <c r="T3535" s="35"/>
      <c r="U3535" s="3333" t="s">
        <v>3731</v>
      </c>
      <c r="V3535" s="3333"/>
      <c r="W3535" s="3333"/>
      <c r="X3535" s="3333"/>
      <c r="Y3535" s="3333"/>
      <c r="Z3535" s="3333"/>
      <c r="AA3535" s="1228" t="s">
        <v>950</v>
      </c>
      <c r="AB3535" s="1210"/>
      <c r="AC3535" s="1199"/>
      <c r="AD3535" s="1211"/>
    </row>
    <row r="3536" spans="1:30" x14ac:dyDescent="0.2">
      <c r="A3536" s="1422"/>
      <c r="B3536" s="2999" t="s">
        <v>278</v>
      </c>
      <c r="C3536" s="2999" t="s">
        <v>21</v>
      </c>
      <c r="D3536" s="2847" t="s">
        <v>22</v>
      </c>
      <c r="E3536" s="2847" t="s">
        <v>23</v>
      </c>
      <c r="F3536" s="2847" t="s">
        <v>24</v>
      </c>
      <c r="G3536" s="2847" t="s">
        <v>25</v>
      </c>
      <c r="H3536" s="2847" t="s">
        <v>26</v>
      </c>
      <c r="I3536" s="2847" t="s">
        <v>27</v>
      </c>
      <c r="J3536" s="3416" t="s">
        <v>28</v>
      </c>
      <c r="K3536" s="3416"/>
      <c r="L3536" s="3409" t="s">
        <v>279</v>
      </c>
      <c r="M3536" s="3411" t="s">
        <v>280</v>
      </c>
      <c r="N3536" s="3412"/>
      <c r="O3536" s="3413" t="s">
        <v>281</v>
      </c>
      <c r="P3536" s="3320"/>
      <c r="Q3536" s="3320"/>
      <c r="R3536" s="3320"/>
      <c r="S3536" s="3320"/>
      <c r="T3536" s="3320"/>
      <c r="U3536" s="3320"/>
      <c r="V3536" s="3320"/>
      <c r="W3536" s="3320"/>
      <c r="X3536" s="3320"/>
      <c r="Y3536" s="3320"/>
      <c r="Z3536" s="3414"/>
      <c r="AA3536" s="3358" t="s">
        <v>32</v>
      </c>
      <c r="AB3536" s="1210"/>
      <c r="AC3536" s="1199"/>
      <c r="AD3536" s="1211"/>
    </row>
    <row r="3537" spans="1:30" x14ac:dyDescent="0.2">
      <c r="A3537" s="1422"/>
      <c r="B3537" s="2999"/>
      <c r="C3537" s="2999"/>
      <c r="D3537" s="2847"/>
      <c r="E3537" s="2847"/>
      <c r="F3537" s="2847"/>
      <c r="G3537" s="2847"/>
      <c r="H3537" s="2847"/>
      <c r="I3537" s="2847"/>
      <c r="J3537" s="2988" t="s">
        <v>33</v>
      </c>
      <c r="K3537" s="2988" t="s">
        <v>282</v>
      </c>
      <c r="L3537" s="3410"/>
      <c r="M3537" s="3275"/>
      <c r="N3537" s="3318"/>
      <c r="O3537" s="72" t="s">
        <v>283</v>
      </c>
      <c r="P3537" s="1009" t="s">
        <v>284</v>
      </c>
      <c r="Q3537" s="1009" t="s">
        <v>285</v>
      </c>
      <c r="R3537" s="1009" t="s">
        <v>88</v>
      </c>
      <c r="S3537" s="1009" t="s">
        <v>89</v>
      </c>
      <c r="T3537" s="1009" t="s">
        <v>90</v>
      </c>
      <c r="U3537" s="1009" t="s">
        <v>91</v>
      </c>
      <c r="V3537" s="1009" t="s">
        <v>92</v>
      </c>
      <c r="W3537" s="1009" t="s">
        <v>286</v>
      </c>
      <c r="X3537" s="1009" t="s">
        <v>93</v>
      </c>
      <c r="Y3537" s="1009" t="s">
        <v>94</v>
      </c>
      <c r="Z3537" s="73" t="s">
        <v>95</v>
      </c>
      <c r="AA3537" s="3358"/>
      <c r="AB3537" s="1210"/>
      <c r="AC3537" s="1199"/>
      <c r="AD3537" s="1211"/>
    </row>
    <row r="3538" spans="1:30" ht="12.75" x14ac:dyDescent="0.2">
      <c r="A3538" s="1422"/>
      <c r="B3538" s="2999"/>
      <c r="C3538" s="2999"/>
      <c r="D3538" s="2847"/>
      <c r="E3538" s="2847"/>
      <c r="F3538" s="2847"/>
      <c r="G3538" s="2847"/>
      <c r="H3538" s="2847"/>
      <c r="I3538" s="2847"/>
      <c r="J3538" s="3186"/>
      <c r="K3538" s="3186"/>
      <c r="L3538" s="3410"/>
      <c r="M3538" s="3273" t="s">
        <v>287</v>
      </c>
      <c r="N3538" s="3314"/>
      <c r="O3538" s="42">
        <v>200</v>
      </c>
      <c r="P3538" s="42">
        <v>200</v>
      </c>
      <c r="Q3538" s="42">
        <v>200</v>
      </c>
      <c r="R3538" s="42">
        <v>200</v>
      </c>
      <c r="S3538" s="42">
        <v>201</v>
      </c>
      <c r="T3538" s="42">
        <v>201</v>
      </c>
      <c r="U3538" s="42">
        <v>201</v>
      </c>
      <c r="V3538" s="42">
        <v>201</v>
      </c>
      <c r="W3538" s="42">
        <v>201</v>
      </c>
      <c r="X3538" s="42">
        <v>201</v>
      </c>
      <c r="Y3538" s="42">
        <v>201</v>
      </c>
      <c r="Z3538" s="42">
        <v>201</v>
      </c>
      <c r="AA3538" s="1236">
        <f>SUM(O3538:Z3538)</f>
        <v>2408</v>
      </c>
      <c r="AB3538" s="1210"/>
      <c r="AC3538" s="1199"/>
      <c r="AD3538" s="1211"/>
    </row>
    <row r="3539" spans="1:30" ht="12.75" x14ac:dyDescent="0.2">
      <c r="A3539" s="1422"/>
      <c r="B3539" s="2999"/>
      <c r="C3539" s="2999"/>
      <c r="D3539" s="2847"/>
      <c r="E3539" s="2847"/>
      <c r="F3539" s="2847"/>
      <c r="G3539" s="2847"/>
      <c r="H3539" s="2847"/>
      <c r="I3539" s="2847"/>
      <c r="J3539" s="3186"/>
      <c r="K3539" s="3186"/>
      <c r="L3539" s="3143"/>
      <c r="M3539" s="3273" t="s">
        <v>34</v>
      </c>
      <c r="N3539" s="3314"/>
      <c r="O3539" s="42">
        <f>SUM(O3540:O3545)</f>
        <v>0</v>
      </c>
      <c r="P3539" s="42">
        <f t="shared" ref="P3539:Z3539" si="577">SUM(P3540:P3545)</f>
        <v>1068.1818181818182</v>
      </c>
      <c r="Q3539" s="42">
        <f t="shared" si="577"/>
        <v>1018.1818181818181</v>
      </c>
      <c r="R3539" s="42">
        <f t="shared" si="577"/>
        <v>2118.181818181818</v>
      </c>
      <c r="S3539" s="42">
        <f t="shared" si="577"/>
        <v>18.181818181818183</v>
      </c>
      <c r="T3539" s="42">
        <f t="shared" si="577"/>
        <v>18.181818181818183</v>
      </c>
      <c r="U3539" s="42">
        <f t="shared" si="577"/>
        <v>18.181818181818183</v>
      </c>
      <c r="V3539" s="42">
        <f t="shared" si="577"/>
        <v>18.181818181818183</v>
      </c>
      <c r="W3539" s="42">
        <f t="shared" si="577"/>
        <v>18.181818181818183</v>
      </c>
      <c r="X3539" s="42">
        <f t="shared" si="577"/>
        <v>18.181818181818183</v>
      </c>
      <c r="Y3539" s="42">
        <f t="shared" si="577"/>
        <v>18.181818181818183</v>
      </c>
      <c r="Z3539" s="42">
        <f t="shared" si="577"/>
        <v>18.181818181818183</v>
      </c>
      <c r="AA3539" s="1236">
        <f>SUM(O3539:Z3539)</f>
        <v>4349.9999999999982</v>
      </c>
      <c r="AB3539" s="1210"/>
      <c r="AC3539" s="1199"/>
      <c r="AD3539" s="1211"/>
    </row>
    <row r="3540" spans="1:30" x14ac:dyDescent="0.2">
      <c r="A3540" s="1422"/>
      <c r="B3540" s="2522">
        <v>5005190</v>
      </c>
      <c r="C3540" s="2438" t="s">
        <v>951</v>
      </c>
      <c r="D3540" s="3369">
        <v>113</v>
      </c>
      <c r="E3540" s="3369" t="s">
        <v>401</v>
      </c>
      <c r="F3540" s="2420" t="s">
        <v>386</v>
      </c>
      <c r="G3540" s="2420" t="s">
        <v>423</v>
      </c>
      <c r="H3540" s="2514" t="s">
        <v>952</v>
      </c>
      <c r="I3540" s="2420" t="s">
        <v>573</v>
      </c>
      <c r="J3540" s="3187">
        <v>2408</v>
      </c>
      <c r="K3540" s="41">
        <v>500</v>
      </c>
      <c r="L3540" s="115"/>
      <c r="M3540" s="3287" t="s">
        <v>303</v>
      </c>
      <c r="N3540" s="3288"/>
      <c r="O3540" s="42"/>
      <c r="P3540" s="42"/>
      <c r="Q3540" s="42">
        <f>$K3540</f>
        <v>500</v>
      </c>
      <c r="R3540" s="42"/>
      <c r="S3540" s="42"/>
      <c r="T3540" s="42"/>
      <c r="U3540" s="42"/>
      <c r="V3540" s="42"/>
      <c r="W3540" s="42"/>
      <c r="X3540" s="42"/>
      <c r="Y3540" s="42"/>
      <c r="Z3540" s="42"/>
      <c r="AA3540" s="1237">
        <f>SUM(O3540:Z3540)</f>
        <v>500</v>
      </c>
      <c r="AB3540" s="1210"/>
      <c r="AC3540" s="1199"/>
      <c r="AD3540" s="1211"/>
    </row>
    <row r="3541" spans="1:30" x14ac:dyDescent="0.2">
      <c r="A3541" s="1422"/>
      <c r="B3541" s="2522"/>
      <c r="C3541" s="2456"/>
      <c r="D3541" s="3369"/>
      <c r="E3541" s="3369"/>
      <c r="F3541" s="2420"/>
      <c r="G3541" s="2420"/>
      <c r="H3541" s="2515"/>
      <c r="I3541" s="2420"/>
      <c r="J3541" s="2955"/>
      <c r="K3541" s="41">
        <v>1600</v>
      </c>
      <c r="L3541" s="115"/>
      <c r="M3541" s="3287" t="s">
        <v>304</v>
      </c>
      <c r="N3541" s="3288"/>
      <c r="O3541" s="42"/>
      <c r="P3541" s="42"/>
      <c r="Q3541" s="42"/>
      <c r="R3541" s="42">
        <f>$K3541</f>
        <v>1600</v>
      </c>
      <c r="S3541" s="42"/>
      <c r="T3541" s="42"/>
      <c r="U3541" s="42"/>
      <c r="V3541" s="42"/>
      <c r="W3541" s="42"/>
      <c r="X3541" s="42"/>
      <c r="Y3541" s="42"/>
      <c r="Z3541" s="42"/>
      <c r="AA3541" s="1237"/>
      <c r="AB3541" s="1210"/>
      <c r="AC3541" s="1199"/>
      <c r="AD3541" s="1211"/>
    </row>
    <row r="3542" spans="1:30" x14ac:dyDescent="0.2">
      <c r="A3542" s="1422"/>
      <c r="B3542" s="2522"/>
      <c r="C3542" s="2456"/>
      <c r="D3542" s="3369"/>
      <c r="E3542" s="3369"/>
      <c r="F3542" s="2420"/>
      <c r="G3542" s="2420"/>
      <c r="H3542" s="2515"/>
      <c r="I3542" s="2420"/>
      <c r="J3542" s="2955"/>
      <c r="K3542" s="41">
        <v>1050</v>
      </c>
      <c r="L3542" s="115"/>
      <c r="M3542" s="3287" t="s">
        <v>306</v>
      </c>
      <c r="N3542" s="3288"/>
      <c r="O3542" s="42"/>
      <c r="P3542" s="42">
        <f>$K3542</f>
        <v>1050</v>
      </c>
      <c r="Q3542" s="42"/>
      <c r="R3542" s="42"/>
      <c r="S3542" s="42"/>
      <c r="T3542" s="42"/>
      <c r="U3542" s="42"/>
      <c r="V3542" s="42"/>
      <c r="W3542" s="42"/>
      <c r="X3542" s="42"/>
      <c r="Y3542" s="42"/>
      <c r="Z3542" s="42"/>
      <c r="AA3542" s="1237"/>
      <c r="AB3542" s="1210"/>
      <c r="AC3542" s="1199"/>
      <c r="AD3542" s="1211"/>
    </row>
    <row r="3543" spans="1:30" x14ac:dyDescent="0.2">
      <c r="A3543" s="1422"/>
      <c r="B3543" s="2522"/>
      <c r="C3543" s="2456"/>
      <c r="D3543" s="3369"/>
      <c r="E3543" s="3369"/>
      <c r="F3543" s="2420"/>
      <c r="G3543" s="2420"/>
      <c r="H3543" s="2515"/>
      <c r="I3543" s="2420"/>
      <c r="J3543" s="2955"/>
      <c r="K3543" s="41">
        <v>200</v>
      </c>
      <c r="L3543" s="115"/>
      <c r="M3543" s="3287" t="s">
        <v>307</v>
      </c>
      <c r="N3543" s="3288"/>
      <c r="O3543" s="42"/>
      <c r="P3543" s="42">
        <f>$K3543/11</f>
        <v>18.181818181818183</v>
      </c>
      <c r="Q3543" s="42">
        <f t="shared" ref="Q3543:Z3543" si="578">$K3543/11</f>
        <v>18.181818181818183</v>
      </c>
      <c r="R3543" s="42">
        <f t="shared" si="578"/>
        <v>18.181818181818183</v>
      </c>
      <c r="S3543" s="42">
        <f t="shared" si="578"/>
        <v>18.181818181818183</v>
      </c>
      <c r="T3543" s="42">
        <f t="shared" si="578"/>
        <v>18.181818181818183</v>
      </c>
      <c r="U3543" s="42">
        <f t="shared" si="578"/>
        <v>18.181818181818183</v>
      </c>
      <c r="V3543" s="42">
        <f t="shared" si="578"/>
        <v>18.181818181818183</v>
      </c>
      <c r="W3543" s="42">
        <f t="shared" si="578"/>
        <v>18.181818181818183</v>
      </c>
      <c r="X3543" s="42">
        <f t="shared" si="578"/>
        <v>18.181818181818183</v>
      </c>
      <c r="Y3543" s="42">
        <f t="shared" si="578"/>
        <v>18.181818181818183</v>
      </c>
      <c r="Z3543" s="42">
        <f t="shared" si="578"/>
        <v>18.181818181818183</v>
      </c>
      <c r="AA3543" s="1237"/>
      <c r="AB3543" s="1210"/>
      <c r="AC3543" s="1199"/>
      <c r="AD3543" s="1211"/>
    </row>
    <row r="3544" spans="1:30" x14ac:dyDescent="0.2">
      <c r="A3544" s="1422"/>
      <c r="B3544" s="2522"/>
      <c r="C3544" s="2456"/>
      <c r="D3544" s="3369"/>
      <c r="E3544" s="3369"/>
      <c r="F3544" s="2420"/>
      <c r="G3544" s="2420"/>
      <c r="H3544" s="2515"/>
      <c r="I3544" s="2420"/>
      <c r="J3544" s="2955"/>
      <c r="K3544" s="41">
        <v>500</v>
      </c>
      <c r="L3544" s="115"/>
      <c r="M3544" s="3287" t="s">
        <v>308</v>
      </c>
      <c r="N3544" s="3288"/>
      <c r="O3544" s="42"/>
      <c r="P3544" s="42"/>
      <c r="Q3544" s="42"/>
      <c r="R3544" s="42">
        <f>$K3544</f>
        <v>500</v>
      </c>
      <c r="S3544" s="42"/>
      <c r="T3544" s="42"/>
      <c r="U3544" s="42"/>
      <c r="V3544" s="42"/>
      <c r="W3544" s="42"/>
      <c r="X3544" s="42"/>
      <c r="Y3544" s="42"/>
      <c r="Z3544" s="42"/>
      <c r="AA3544" s="1237"/>
      <c r="AB3544" s="1210"/>
      <c r="AC3544" s="1199"/>
      <c r="AD3544" s="1211"/>
    </row>
    <row r="3545" spans="1:30" x14ac:dyDescent="0.2">
      <c r="A3545" s="1422"/>
      <c r="B3545" s="2522"/>
      <c r="C3545" s="2450"/>
      <c r="D3545" s="3369"/>
      <c r="E3545" s="3369"/>
      <c r="F3545" s="2420"/>
      <c r="G3545" s="2420"/>
      <c r="H3545" s="2516"/>
      <c r="I3545" s="2420"/>
      <c r="J3545" s="2956"/>
      <c r="K3545" s="41">
        <v>500</v>
      </c>
      <c r="L3545" s="115"/>
      <c r="M3545" s="3287" t="s">
        <v>309</v>
      </c>
      <c r="N3545" s="3288"/>
      <c r="O3545" s="42"/>
      <c r="P3545" s="42"/>
      <c r="Q3545" s="42">
        <f>$K3545/1</f>
        <v>500</v>
      </c>
      <c r="R3545" s="42"/>
      <c r="S3545" s="42"/>
      <c r="T3545" s="42"/>
      <c r="U3545" s="42"/>
      <c r="V3545" s="42"/>
      <c r="W3545" s="42"/>
      <c r="X3545" s="42"/>
      <c r="Y3545" s="42"/>
      <c r="Z3545" s="42"/>
      <c r="AA3545" s="1237"/>
      <c r="AB3545" s="1210"/>
      <c r="AC3545" s="1199"/>
      <c r="AD3545" s="1211"/>
    </row>
    <row r="3546" spans="1:30" x14ac:dyDescent="0.2">
      <c r="A3546" s="1422"/>
      <c r="B3546" s="1427" t="s">
        <v>312</v>
      </c>
      <c r="C3546" s="38"/>
      <c r="D3546" s="38"/>
      <c r="E3546" s="38"/>
      <c r="F3546" s="38"/>
      <c r="G3546" s="38"/>
      <c r="H3546" s="38"/>
      <c r="I3546" s="38"/>
      <c r="J3546" s="38"/>
      <c r="K3546" s="41">
        <f>SUM(K3540:K3545)</f>
        <v>4350</v>
      </c>
      <c r="L3546" s="38"/>
      <c r="M3546" s="38"/>
      <c r="N3546" s="38"/>
      <c r="O3546" s="38"/>
      <c r="P3546" s="38"/>
      <c r="Q3546" s="38"/>
      <c r="R3546" s="38"/>
      <c r="S3546" s="38"/>
      <c r="T3546" s="38"/>
      <c r="U3546" s="38"/>
      <c r="V3546" s="38"/>
      <c r="W3546" s="38"/>
      <c r="X3546" s="38"/>
      <c r="Y3546" s="38"/>
      <c r="Z3546" s="38"/>
      <c r="AA3546" s="1234"/>
      <c r="AB3546" s="1210"/>
      <c r="AC3546" s="1199"/>
      <c r="AD3546" s="1211"/>
    </row>
    <row r="3547" spans="1:30" ht="22.5" x14ac:dyDescent="0.2">
      <c r="A3547" s="1422"/>
      <c r="B3547" s="1433" t="s">
        <v>276</v>
      </c>
      <c r="C3547" s="108"/>
      <c r="D3547" s="35">
        <v>3000705</v>
      </c>
      <c r="E3547" s="192" t="s">
        <v>953</v>
      </c>
      <c r="F3547" s="35"/>
      <c r="G3547" s="35"/>
      <c r="H3547" s="35"/>
      <c r="I3547" s="35"/>
      <c r="J3547" s="35"/>
      <c r="K3547" s="35"/>
      <c r="L3547" s="35"/>
      <c r="M3547" s="35"/>
      <c r="N3547" s="35"/>
      <c r="O3547" s="35"/>
      <c r="P3547" s="35"/>
      <c r="Q3547" s="35"/>
      <c r="R3547" s="35"/>
      <c r="S3547" s="35"/>
      <c r="T3547" s="35"/>
      <c r="U3547" s="3333" t="s">
        <v>15</v>
      </c>
      <c r="V3547" s="3333"/>
      <c r="W3547" s="3333"/>
      <c r="X3547" s="3333"/>
      <c r="Y3547" s="3333"/>
      <c r="Z3547" s="3333"/>
      <c r="AA3547" s="1228" t="s">
        <v>16</v>
      </c>
      <c r="AB3547" s="1210"/>
      <c r="AC3547" s="1199"/>
      <c r="AD3547" s="1211"/>
    </row>
    <row r="3548" spans="1:30" x14ac:dyDescent="0.2">
      <c r="A3548" s="1422"/>
      <c r="B3548" s="1433"/>
      <c r="C3548" s="108"/>
      <c r="D3548" s="35"/>
      <c r="E3548" s="192"/>
      <c r="F3548" s="35"/>
      <c r="G3548" s="35"/>
      <c r="H3548" s="35"/>
      <c r="I3548" s="35"/>
      <c r="J3548" s="35"/>
      <c r="K3548" s="35"/>
      <c r="L3548" s="35"/>
      <c r="M3548" s="35"/>
      <c r="N3548" s="35"/>
      <c r="O3548" s="35"/>
      <c r="P3548" s="35"/>
      <c r="Q3548" s="35"/>
      <c r="R3548" s="35"/>
      <c r="S3548" s="35"/>
      <c r="T3548" s="35"/>
      <c r="U3548" s="3377" t="s">
        <v>954</v>
      </c>
      <c r="V3548" s="3378"/>
      <c r="W3548" s="3378"/>
      <c r="X3548" s="3378"/>
      <c r="Y3548" s="3378"/>
      <c r="Z3548" s="3379"/>
      <c r="AA3548" s="1228" t="s">
        <v>661</v>
      </c>
      <c r="AB3548" s="1210"/>
      <c r="AC3548" s="1199"/>
      <c r="AD3548" s="1211"/>
    </row>
    <row r="3549" spans="1:30" ht="12" thickBot="1" x14ac:dyDescent="0.25">
      <c r="A3549" s="1422"/>
      <c r="B3549" s="1433"/>
      <c r="C3549" s="108"/>
      <c r="D3549" s="35"/>
      <c r="E3549" s="192"/>
      <c r="F3549" s="35"/>
      <c r="G3549" s="35"/>
      <c r="H3549" s="35"/>
      <c r="I3549" s="35"/>
      <c r="J3549" s="35"/>
      <c r="K3549" s="35"/>
      <c r="L3549" s="35"/>
      <c r="M3549" s="35"/>
      <c r="N3549" s="35"/>
      <c r="O3549" s="35"/>
      <c r="P3549" s="35"/>
      <c r="Q3549" s="35"/>
      <c r="R3549" s="35"/>
      <c r="S3549" s="35"/>
      <c r="T3549" s="35"/>
      <c r="U3549" s="3333" t="s">
        <v>955</v>
      </c>
      <c r="V3549" s="3333"/>
      <c r="W3549" s="3333"/>
      <c r="X3549" s="3333"/>
      <c r="Y3549" s="3333"/>
      <c r="Z3549" s="3333"/>
      <c r="AA3549" s="2179" t="s">
        <v>661</v>
      </c>
      <c r="AB3549" s="1210"/>
      <c r="AC3549" s="1199"/>
      <c r="AD3549" s="1211"/>
    </row>
    <row r="3550" spans="1:30" x14ac:dyDescent="0.2">
      <c r="A3550" s="1422"/>
      <c r="B3550" s="2999" t="s">
        <v>278</v>
      </c>
      <c r="C3550" s="2847" t="s">
        <v>21</v>
      </c>
      <c r="D3550" s="2847" t="s">
        <v>22</v>
      </c>
      <c r="E3550" s="2847" t="s">
        <v>23</v>
      </c>
      <c r="F3550" s="2847" t="s">
        <v>24</v>
      </c>
      <c r="G3550" s="2847" t="s">
        <v>25</v>
      </c>
      <c r="H3550" s="2847" t="s">
        <v>26</v>
      </c>
      <c r="I3550" s="2847" t="s">
        <v>27</v>
      </c>
      <c r="J3550" s="3416" t="s">
        <v>28</v>
      </c>
      <c r="K3550" s="3416"/>
      <c r="L3550" s="3409" t="s">
        <v>279</v>
      </c>
      <c r="M3550" s="3411" t="s">
        <v>280</v>
      </c>
      <c r="N3550" s="3412"/>
      <c r="O3550" s="3413" t="s">
        <v>281</v>
      </c>
      <c r="P3550" s="3320"/>
      <c r="Q3550" s="3320"/>
      <c r="R3550" s="3320"/>
      <c r="S3550" s="3320"/>
      <c r="T3550" s="3320"/>
      <c r="U3550" s="3320"/>
      <c r="V3550" s="3320"/>
      <c r="W3550" s="3320"/>
      <c r="X3550" s="3320"/>
      <c r="Y3550" s="3320"/>
      <c r="Z3550" s="3414"/>
      <c r="AA3550" s="3358" t="s">
        <v>32</v>
      </c>
      <c r="AB3550" s="1210"/>
      <c r="AC3550" s="1199"/>
      <c r="AD3550" s="1211"/>
    </row>
    <row r="3551" spans="1:30" x14ac:dyDescent="0.2">
      <c r="A3551" s="1422"/>
      <c r="B3551" s="2999"/>
      <c r="C3551" s="2847"/>
      <c r="D3551" s="2847"/>
      <c r="E3551" s="2847"/>
      <c r="F3551" s="2847"/>
      <c r="G3551" s="2847"/>
      <c r="H3551" s="2847"/>
      <c r="I3551" s="2847"/>
      <c r="J3551" s="2988" t="s">
        <v>33</v>
      </c>
      <c r="K3551" s="2988" t="s">
        <v>282</v>
      </c>
      <c r="L3551" s="3410"/>
      <c r="M3551" s="3275"/>
      <c r="N3551" s="3318"/>
      <c r="O3551" s="72" t="s">
        <v>283</v>
      </c>
      <c r="P3551" s="1009" t="s">
        <v>284</v>
      </c>
      <c r="Q3551" s="1009" t="s">
        <v>285</v>
      </c>
      <c r="R3551" s="1009" t="s">
        <v>88</v>
      </c>
      <c r="S3551" s="1009" t="s">
        <v>89</v>
      </c>
      <c r="T3551" s="1009" t="s">
        <v>90</v>
      </c>
      <c r="U3551" s="1009" t="s">
        <v>91</v>
      </c>
      <c r="V3551" s="1009" t="s">
        <v>92</v>
      </c>
      <c r="W3551" s="1009" t="s">
        <v>286</v>
      </c>
      <c r="X3551" s="1009" t="s">
        <v>93</v>
      </c>
      <c r="Y3551" s="1009" t="s">
        <v>94</v>
      </c>
      <c r="Z3551" s="73" t="s">
        <v>95</v>
      </c>
      <c r="AA3551" s="3358"/>
      <c r="AB3551" s="1210"/>
      <c r="AC3551" s="1199"/>
      <c r="AD3551" s="1211"/>
    </row>
    <row r="3552" spans="1:30" ht="13.5" thickBot="1" x14ac:dyDescent="0.25">
      <c r="A3552" s="1422"/>
      <c r="B3552" s="2999"/>
      <c r="C3552" s="2847"/>
      <c r="D3552" s="2847"/>
      <c r="E3552" s="2847"/>
      <c r="F3552" s="2847"/>
      <c r="G3552" s="2847"/>
      <c r="H3552" s="2847"/>
      <c r="I3552" s="2847"/>
      <c r="J3552" s="3186"/>
      <c r="K3552" s="3186"/>
      <c r="L3552" s="3410"/>
      <c r="M3552" s="3273" t="s">
        <v>287</v>
      </c>
      <c r="N3552" s="3314"/>
      <c r="O3552" s="146">
        <v>122.33333333333333</v>
      </c>
      <c r="P3552" s="75">
        <v>122</v>
      </c>
      <c r="Q3552" s="75">
        <v>122</v>
      </c>
      <c r="R3552" s="75">
        <v>124</v>
      </c>
      <c r="S3552" s="75">
        <v>124</v>
      </c>
      <c r="T3552" s="75">
        <v>122</v>
      </c>
      <c r="U3552" s="75">
        <v>122</v>
      </c>
      <c r="V3552" s="75">
        <v>122</v>
      </c>
      <c r="W3552" s="75">
        <v>122</v>
      </c>
      <c r="X3552" s="75">
        <v>122</v>
      </c>
      <c r="Y3552" s="75">
        <v>122</v>
      </c>
      <c r="Z3552" s="76">
        <v>122</v>
      </c>
      <c r="AA3552" s="1221">
        <f>SUM(O3552:Z3552)</f>
        <v>1468.3333333333333</v>
      </c>
      <c r="AB3552" s="1210"/>
      <c r="AC3552" s="1199"/>
      <c r="AD3552" s="1211"/>
    </row>
    <row r="3553" spans="1:30" ht="12.75" x14ac:dyDescent="0.2">
      <c r="A3553" s="1422"/>
      <c r="B3553" s="2999"/>
      <c r="C3553" s="2847"/>
      <c r="D3553" s="2847"/>
      <c r="E3553" s="2847"/>
      <c r="F3553" s="2847"/>
      <c r="G3553" s="2847"/>
      <c r="H3553" s="2847"/>
      <c r="I3553" s="2847"/>
      <c r="J3553" s="3186"/>
      <c r="K3553" s="3186"/>
      <c r="L3553" s="3143"/>
      <c r="M3553" s="3273" t="s">
        <v>34</v>
      </c>
      <c r="N3553" s="3314"/>
      <c r="O3553" s="147">
        <f>SUM(O3554:O3567)</f>
        <v>8234.6666666666679</v>
      </c>
      <c r="P3553" s="147">
        <f t="shared" ref="P3553:Z3553" si="579">SUM(P3554:P3567)</f>
        <v>9343.3030303030318</v>
      </c>
      <c r="Q3553" s="147">
        <f t="shared" si="579"/>
        <v>10153.303030303032</v>
      </c>
      <c r="R3553" s="147">
        <f t="shared" si="579"/>
        <v>7898.3030303030309</v>
      </c>
      <c r="S3553" s="147">
        <f t="shared" si="579"/>
        <v>7898.3030303030309</v>
      </c>
      <c r="T3553" s="147">
        <f t="shared" si="579"/>
        <v>8198.30303030303</v>
      </c>
      <c r="U3553" s="147">
        <f t="shared" si="579"/>
        <v>8453.3030303030318</v>
      </c>
      <c r="V3553" s="147">
        <f t="shared" si="579"/>
        <v>7898.3030303030309</v>
      </c>
      <c r="W3553" s="147">
        <f t="shared" si="579"/>
        <v>7898.3030303030309</v>
      </c>
      <c r="X3553" s="147">
        <f t="shared" si="579"/>
        <v>7898.3030303030309</v>
      </c>
      <c r="Y3553" s="147">
        <f t="shared" si="579"/>
        <v>7898.3030303030309</v>
      </c>
      <c r="Z3553" s="147">
        <f t="shared" si="579"/>
        <v>8198.30303030303</v>
      </c>
      <c r="AA3553" s="1221">
        <f>SUM(O3553:Z3553)</f>
        <v>99970.999999999985</v>
      </c>
      <c r="AB3553" s="1210"/>
      <c r="AC3553" s="1199"/>
      <c r="AD3553" s="1211"/>
    </row>
    <row r="3554" spans="1:30" x14ac:dyDescent="0.2">
      <c r="A3554" s="1422"/>
      <c r="B3554" s="2522">
        <v>5005200</v>
      </c>
      <c r="C3554" s="2438" t="s">
        <v>956</v>
      </c>
      <c r="D3554" s="3369">
        <v>114</v>
      </c>
      <c r="E3554" s="3369" t="s">
        <v>401</v>
      </c>
      <c r="F3554" s="2420" t="s">
        <v>386</v>
      </c>
      <c r="G3554" s="2420" t="s">
        <v>387</v>
      </c>
      <c r="H3554" s="3369"/>
      <c r="I3554" s="2420" t="s">
        <v>570</v>
      </c>
      <c r="J3554" s="3187">
        <v>1468</v>
      </c>
      <c r="K3554" s="41">
        <v>30500</v>
      </c>
      <c r="L3554" s="113"/>
      <c r="M3554" s="3287" t="s">
        <v>293</v>
      </c>
      <c r="N3554" s="3288"/>
      <c r="O3554" s="42">
        <f t="shared" ref="O3554:Z3557" si="580">$K3554/12</f>
        <v>2541.6666666666665</v>
      </c>
      <c r="P3554" s="42">
        <f t="shared" si="580"/>
        <v>2541.6666666666665</v>
      </c>
      <c r="Q3554" s="42">
        <f t="shared" si="580"/>
        <v>2541.6666666666665</v>
      </c>
      <c r="R3554" s="42">
        <f t="shared" si="580"/>
        <v>2541.6666666666665</v>
      </c>
      <c r="S3554" s="42">
        <f t="shared" si="580"/>
        <v>2541.6666666666665</v>
      </c>
      <c r="T3554" s="42">
        <f t="shared" si="580"/>
        <v>2541.6666666666665</v>
      </c>
      <c r="U3554" s="42">
        <f t="shared" si="580"/>
        <v>2541.6666666666665</v>
      </c>
      <c r="V3554" s="42">
        <f t="shared" si="580"/>
        <v>2541.6666666666665</v>
      </c>
      <c r="W3554" s="42">
        <f t="shared" si="580"/>
        <v>2541.6666666666665</v>
      </c>
      <c r="X3554" s="42">
        <f t="shared" si="580"/>
        <v>2541.6666666666665</v>
      </c>
      <c r="Y3554" s="42">
        <f t="shared" si="580"/>
        <v>2541.6666666666665</v>
      </c>
      <c r="Z3554" s="42">
        <f t="shared" si="580"/>
        <v>2541.6666666666665</v>
      </c>
      <c r="AA3554" s="1220">
        <f>SUM(O3554:Z3554)</f>
        <v>30500.000000000004</v>
      </c>
      <c r="AB3554" s="1210"/>
      <c r="AC3554" s="1199"/>
      <c r="AD3554" s="1211"/>
    </row>
    <row r="3555" spans="1:30" x14ac:dyDescent="0.2">
      <c r="A3555" s="1422"/>
      <c r="B3555" s="2522"/>
      <c r="C3555" s="2456"/>
      <c r="D3555" s="3369"/>
      <c r="E3555" s="3369"/>
      <c r="F3555" s="2420"/>
      <c r="G3555" s="2420"/>
      <c r="H3555" s="3369"/>
      <c r="I3555" s="2420"/>
      <c r="J3555" s="2955"/>
      <c r="K3555" s="41">
        <v>56720</v>
      </c>
      <c r="L3555" s="113"/>
      <c r="M3555" s="3287" t="s">
        <v>295</v>
      </c>
      <c r="N3555" s="3288"/>
      <c r="O3555" s="42">
        <f t="shared" si="580"/>
        <v>4726.666666666667</v>
      </c>
      <c r="P3555" s="42">
        <f t="shared" si="580"/>
        <v>4726.666666666667</v>
      </c>
      <c r="Q3555" s="42">
        <f t="shared" si="580"/>
        <v>4726.666666666667</v>
      </c>
      <c r="R3555" s="42">
        <f t="shared" si="580"/>
        <v>4726.666666666667</v>
      </c>
      <c r="S3555" s="42">
        <f t="shared" si="580"/>
        <v>4726.666666666667</v>
      </c>
      <c r="T3555" s="42">
        <f t="shared" si="580"/>
        <v>4726.666666666667</v>
      </c>
      <c r="U3555" s="42">
        <f t="shared" si="580"/>
        <v>4726.666666666667</v>
      </c>
      <c r="V3555" s="42">
        <f t="shared" si="580"/>
        <v>4726.666666666667</v>
      </c>
      <c r="W3555" s="42">
        <f t="shared" si="580"/>
        <v>4726.666666666667</v>
      </c>
      <c r="X3555" s="42">
        <f t="shared" si="580"/>
        <v>4726.666666666667</v>
      </c>
      <c r="Y3555" s="42">
        <f t="shared" si="580"/>
        <v>4726.666666666667</v>
      </c>
      <c r="Z3555" s="42">
        <f t="shared" si="580"/>
        <v>4726.666666666667</v>
      </c>
      <c r="AA3555" s="1220">
        <f t="shared" ref="AA3555:AA3567" si="581">SUM(O3555:Z3555)</f>
        <v>56719.999999999993</v>
      </c>
      <c r="AB3555" s="1210"/>
      <c r="AC3555" s="1199"/>
      <c r="AD3555" s="1211"/>
    </row>
    <row r="3556" spans="1:30" x14ac:dyDescent="0.2">
      <c r="A3556" s="1422"/>
      <c r="B3556" s="2522"/>
      <c r="C3556" s="2456"/>
      <c r="D3556" s="3369"/>
      <c r="E3556" s="3369"/>
      <c r="F3556" s="2420"/>
      <c r="G3556" s="2420"/>
      <c r="H3556" s="3369"/>
      <c r="I3556" s="2420"/>
      <c r="J3556" s="2955"/>
      <c r="K3556" s="41">
        <v>3610</v>
      </c>
      <c r="L3556" s="113"/>
      <c r="M3556" s="3287" t="s">
        <v>296</v>
      </c>
      <c r="N3556" s="3288"/>
      <c r="O3556" s="42">
        <f t="shared" si="580"/>
        <v>300.83333333333331</v>
      </c>
      <c r="P3556" s="42">
        <f t="shared" si="580"/>
        <v>300.83333333333331</v>
      </c>
      <c r="Q3556" s="42">
        <f t="shared" si="580"/>
        <v>300.83333333333331</v>
      </c>
      <c r="R3556" s="42">
        <f t="shared" si="580"/>
        <v>300.83333333333331</v>
      </c>
      <c r="S3556" s="42">
        <f t="shared" si="580"/>
        <v>300.83333333333331</v>
      </c>
      <c r="T3556" s="42">
        <f t="shared" si="580"/>
        <v>300.83333333333331</v>
      </c>
      <c r="U3556" s="42">
        <f t="shared" si="580"/>
        <v>300.83333333333331</v>
      </c>
      <c r="V3556" s="42">
        <f t="shared" si="580"/>
        <v>300.83333333333331</v>
      </c>
      <c r="W3556" s="42">
        <f t="shared" si="580"/>
        <v>300.83333333333331</v>
      </c>
      <c r="X3556" s="42">
        <f t="shared" si="580"/>
        <v>300.83333333333331</v>
      </c>
      <c r="Y3556" s="42">
        <f t="shared" si="580"/>
        <v>300.83333333333331</v>
      </c>
      <c r="Z3556" s="42">
        <f t="shared" si="580"/>
        <v>300.83333333333331</v>
      </c>
      <c r="AA3556" s="1220">
        <f t="shared" si="581"/>
        <v>3610.0000000000005</v>
      </c>
      <c r="AB3556" s="1210"/>
      <c r="AC3556" s="1199"/>
      <c r="AD3556" s="1211"/>
    </row>
    <row r="3557" spans="1:30" x14ac:dyDescent="0.2">
      <c r="A3557" s="1422"/>
      <c r="B3557" s="2522"/>
      <c r="C3557" s="2456"/>
      <c r="D3557" s="3369"/>
      <c r="E3557" s="3369"/>
      <c r="F3557" s="2420"/>
      <c r="G3557" s="2420"/>
      <c r="H3557" s="3369"/>
      <c r="I3557" s="2420"/>
      <c r="J3557" s="2955"/>
      <c r="K3557" s="41">
        <v>1896</v>
      </c>
      <c r="L3557" s="113"/>
      <c r="M3557" s="3287" t="s">
        <v>297</v>
      </c>
      <c r="N3557" s="3288"/>
      <c r="O3557" s="42">
        <f t="shared" si="580"/>
        <v>158</v>
      </c>
      <c r="P3557" s="42">
        <f t="shared" si="580"/>
        <v>158</v>
      </c>
      <c r="Q3557" s="42">
        <f t="shared" si="580"/>
        <v>158</v>
      </c>
      <c r="R3557" s="42">
        <f t="shared" si="580"/>
        <v>158</v>
      </c>
      <c r="S3557" s="42">
        <f t="shared" si="580"/>
        <v>158</v>
      </c>
      <c r="T3557" s="42">
        <f t="shared" si="580"/>
        <v>158</v>
      </c>
      <c r="U3557" s="42">
        <f t="shared" si="580"/>
        <v>158</v>
      </c>
      <c r="V3557" s="42">
        <f t="shared" si="580"/>
        <v>158</v>
      </c>
      <c r="W3557" s="42">
        <f t="shared" si="580"/>
        <v>158</v>
      </c>
      <c r="X3557" s="42">
        <f t="shared" si="580"/>
        <v>158</v>
      </c>
      <c r="Y3557" s="42">
        <f t="shared" si="580"/>
        <v>158</v>
      </c>
      <c r="Z3557" s="42">
        <f t="shared" si="580"/>
        <v>158</v>
      </c>
      <c r="AA3557" s="1220">
        <f t="shared" si="581"/>
        <v>1896</v>
      </c>
      <c r="AB3557" s="1210"/>
      <c r="AC3557" s="1199"/>
      <c r="AD3557" s="1211"/>
    </row>
    <row r="3558" spans="1:30" x14ac:dyDescent="0.2">
      <c r="A3558" s="1422"/>
      <c r="B3558" s="2522"/>
      <c r="C3558" s="2456"/>
      <c r="D3558" s="3369"/>
      <c r="E3558" s="3369"/>
      <c r="F3558" s="2420"/>
      <c r="G3558" s="2420"/>
      <c r="H3558" s="3369"/>
      <c r="I3558" s="2420"/>
      <c r="J3558" s="2955"/>
      <c r="K3558" s="41">
        <v>600</v>
      </c>
      <c r="L3558" s="113"/>
      <c r="M3558" s="3287" t="s">
        <v>298</v>
      </c>
      <c r="N3558" s="3288"/>
      <c r="O3558" s="38"/>
      <c r="P3558" s="38"/>
      <c r="Q3558" s="38"/>
      <c r="R3558" s="38"/>
      <c r="S3558" s="38"/>
      <c r="T3558" s="38">
        <f>K3558/2</f>
        <v>300</v>
      </c>
      <c r="U3558" s="38"/>
      <c r="V3558" s="38"/>
      <c r="W3558" s="38"/>
      <c r="X3558" s="38"/>
      <c r="Y3558" s="38"/>
      <c r="Z3558" s="38">
        <f>K3558/2</f>
        <v>300</v>
      </c>
      <c r="AA3558" s="1220">
        <f t="shared" si="581"/>
        <v>600</v>
      </c>
      <c r="AB3558" s="1210"/>
      <c r="AC3558" s="1199"/>
      <c r="AD3558" s="1211"/>
    </row>
    <row r="3559" spans="1:30" x14ac:dyDescent="0.2">
      <c r="A3559" s="1422"/>
      <c r="B3559" s="2522"/>
      <c r="C3559" s="2456"/>
      <c r="D3559" s="3369"/>
      <c r="E3559" s="3369"/>
      <c r="F3559" s="2420"/>
      <c r="G3559" s="2420"/>
      <c r="H3559" s="3369"/>
      <c r="I3559" s="2420"/>
      <c r="J3559" s="2955"/>
      <c r="K3559" s="41">
        <v>400</v>
      </c>
      <c r="L3559" s="113"/>
      <c r="M3559" s="3287" t="s">
        <v>299</v>
      </c>
      <c r="N3559" s="3288"/>
      <c r="O3559" s="38">
        <f>K3559</f>
        <v>400</v>
      </c>
      <c r="P3559" s="38"/>
      <c r="Q3559" s="38"/>
      <c r="R3559" s="38"/>
      <c r="S3559" s="38"/>
      <c r="T3559" s="38"/>
      <c r="U3559" s="38"/>
      <c r="V3559" s="38"/>
      <c r="W3559" s="38"/>
      <c r="X3559" s="38"/>
      <c r="Y3559" s="38"/>
      <c r="Z3559" s="38"/>
      <c r="AA3559" s="1220">
        <f t="shared" si="581"/>
        <v>400</v>
      </c>
      <c r="AB3559" s="1210"/>
      <c r="AC3559" s="1199"/>
      <c r="AD3559" s="1211"/>
    </row>
    <row r="3560" spans="1:30" x14ac:dyDescent="0.2">
      <c r="A3560" s="1422"/>
      <c r="B3560" s="2522"/>
      <c r="C3560" s="2456"/>
      <c r="D3560" s="3369"/>
      <c r="E3560" s="3369"/>
      <c r="F3560" s="2420"/>
      <c r="G3560" s="2420"/>
      <c r="H3560" s="3369"/>
      <c r="I3560" s="2420"/>
      <c r="J3560" s="2955"/>
      <c r="K3560" s="41">
        <v>1290</v>
      </c>
      <c r="L3560" s="113"/>
      <c r="M3560" s="3287" t="s">
        <v>300</v>
      </c>
      <c r="N3560" s="3288"/>
      <c r="O3560" s="42">
        <f>$K3560/12</f>
        <v>107.5</v>
      </c>
      <c r="P3560" s="42">
        <f t="shared" ref="P3560:Z3560" si="582">$K3560/12</f>
        <v>107.5</v>
      </c>
      <c r="Q3560" s="42">
        <f t="shared" si="582"/>
        <v>107.5</v>
      </c>
      <c r="R3560" s="42">
        <f t="shared" si="582"/>
        <v>107.5</v>
      </c>
      <c r="S3560" s="42">
        <f t="shared" si="582"/>
        <v>107.5</v>
      </c>
      <c r="T3560" s="42">
        <f t="shared" si="582"/>
        <v>107.5</v>
      </c>
      <c r="U3560" s="42">
        <f t="shared" si="582"/>
        <v>107.5</v>
      </c>
      <c r="V3560" s="42">
        <f t="shared" si="582"/>
        <v>107.5</v>
      </c>
      <c r="W3560" s="42">
        <f t="shared" si="582"/>
        <v>107.5</v>
      </c>
      <c r="X3560" s="42">
        <f t="shared" si="582"/>
        <v>107.5</v>
      </c>
      <c r="Y3560" s="42">
        <f t="shared" si="582"/>
        <v>107.5</v>
      </c>
      <c r="Z3560" s="42">
        <f t="shared" si="582"/>
        <v>107.5</v>
      </c>
      <c r="AA3560" s="1220">
        <f t="shared" si="581"/>
        <v>1290</v>
      </c>
      <c r="AB3560" s="1210"/>
      <c r="AC3560" s="1199"/>
      <c r="AD3560" s="1211"/>
    </row>
    <row r="3561" spans="1:30" x14ac:dyDescent="0.2">
      <c r="A3561" s="1422"/>
      <c r="B3561" s="2522"/>
      <c r="C3561" s="2456"/>
      <c r="D3561" s="3369"/>
      <c r="E3561" s="3369"/>
      <c r="F3561" s="2420"/>
      <c r="G3561" s="2420"/>
      <c r="H3561" s="3369"/>
      <c r="I3561" s="2420"/>
      <c r="J3561" s="2955"/>
      <c r="K3561" s="41">
        <v>1100</v>
      </c>
      <c r="L3561" s="113"/>
      <c r="M3561" s="3287" t="s">
        <v>303</v>
      </c>
      <c r="N3561" s="3288"/>
      <c r="O3561" s="38"/>
      <c r="P3561" s="38"/>
      <c r="Q3561" s="40">
        <f>$K3561</f>
        <v>1100</v>
      </c>
      <c r="R3561" s="38"/>
      <c r="S3561" s="38"/>
      <c r="T3561" s="38"/>
      <c r="U3561" s="38"/>
      <c r="V3561" s="38"/>
      <c r="W3561" s="38"/>
      <c r="X3561" s="38"/>
      <c r="Y3561" s="38"/>
      <c r="Z3561" s="38"/>
      <c r="AA3561" s="1220">
        <f t="shared" si="581"/>
        <v>1100</v>
      </c>
      <c r="AB3561" s="1210"/>
      <c r="AC3561" s="1199"/>
      <c r="AD3561" s="1211"/>
    </row>
    <row r="3562" spans="1:30" x14ac:dyDescent="0.2">
      <c r="A3562" s="1422"/>
      <c r="B3562" s="2522"/>
      <c r="C3562" s="2456"/>
      <c r="D3562" s="3369"/>
      <c r="E3562" s="3369"/>
      <c r="F3562" s="2420"/>
      <c r="G3562" s="2420"/>
      <c r="H3562" s="3369"/>
      <c r="I3562" s="2420"/>
      <c r="J3562" s="2955"/>
      <c r="K3562" s="41">
        <v>100</v>
      </c>
      <c r="L3562" s="113"/>
      <c r="M3562" s="3287" t="s">
        <v>304</v>
      </c>
      <c r="N3562" s="3288"/>
      <c r="O3562" s="38"/>
      <c r="P3562" s="38"/>
      <c r="Q3562" s="40">
        <f>$K3562</f>
        <v>100</v>
      </c>
      <c r="R3562" s="38"/>
      <c r="S3562" s="38"/>
      <c r="T3562" s="38"/>
      <c r="U3562" s="38"/>
      <c r="V3562" s="38"/>
      <c r="W3562" s="38"/>
      <c r="X3562" s="38"/>
      <c r="Y3562" s="38"/>
      <c r="Z3562" s="38"/>
      <c r="AA3562" s="1220">
        <f t="shared" si="581"/>
        <v>100</v>
      </c>
      <c r="AB3562" s="1210"/>
      <c r="AC3562" s="1199"/>
      <c r="AD3562" s="1211"/>
    </row>
    <row r="3563" spans="1:30" x14ac:dyDescent="0.2">
      <c r="A3563" s="1422"/>
      <c r="B3563" s="2522"/>
      <c r="C3563" s="2456"/>
      <c r="D3563" s="3369"/>
      <c r="E3563" s="3369"/>
      <c r="F3563" s="2420"/>
      <c r="G3563" s="2420"/>
      <c r="H3563" s="3369"/>
      <c r="I3563" s="2420"/>
      <c r="J3563" s="2955"/>
      <c r="K3563" s="41">
        <v>125</v>
      </c>
      <c r="L3563" s="113"/>
      <c r="M3563" s="3287" t="s">
        <v>305</v>
      </c>
      <c r="N3563" s="3288"/>
      <c r="O3563" s="38"/>
      <c r="P3563" s="38">
        <f>$K3563</f>
        <v>125</v>
      </c>
      <c r="Q3563" s="38"/>
      <c r="R3563" s="38"/>
      <c r="S3563" s="38"/>
      <c r="T3563" s="38"/>
      <c r="U3563" s="38"/>
      <c r="V3563" s="38"/>
      <c r="W3563" s="38"/>
      <c r="X3563" s="38"/>
      <c r="Y3563" s="38"/>
      <c r="Z3563" s="38"/>
      <c r="AA3563" s="1220">
        <f t="shared" si="581"/>
        <v>125</v>
      </c>
      <c r="AB3563" s="1210"/>
      <c r="AC3563" s="1199"/>
      <c r="AD3563" s="1211"/>
    </row>
    <row r="3564" spans="1:30" x14ac:dyDescent="0.2">
      <c r="A3564" s="1422"/>
      <c r="B3564" s="2522"/>
      <c r="C3564" s="2456"/>
      <c r="D3564" s="3369"/>
      <c r="E3564" s="3369"/>
      <c r="F3564" s="2420"/>
      <c r="G3564" s="2420"/>
      <c r="H3564" s="3369"/>
      <c r="I3564" s="2420"/>
      <c r="J3564" s="2955"/>
      <c r="K3564" s="41">
        <v>1320</v>
      </c>
      <c r="L3564" s="113"/>
      <c r="M3564" s="3287" t="s">
        <v>306</v>
      </c>
      <c r="N3564" s="3288"/>
      <c r="O3564" s="38"/>
      <c r="P3564" s="67">
        <f>$K3564</f>
        <v>1320</v>
      </c>
      <c r="Q3564" s="67"/>
      <c r="R3564" s="67"/>
      <c r="S3564" s="67"/>
      <c r="T3564" s="67"/>
      <c r="U3564" s="67"/>
      <c r="V3564" s="67"/>
      <c r="W3564" s="67"/>
      <c r="X3564" s="67"/>
      <c r="Y3564" s="67"/>
      <c r="Z3564" s="67"/>
      <c r="AA3564" s="1220">
        <f t="shared" si="581"/>
        <v>1320</v>
      </c>
      <c r="AB3564" s="1210"/>
      <c r="AC3564" s="1199"/>
      <c r="AD3564" s="1211"/>
    </row>
    <row r="3565" spans="1:30" x14ac:dyDescent="0.2">
      <c r="A3565" s="1422"/>
      <c r="B3565" s="2522"/>
      <c r="C3565" s="2456"/>
      <c r="D3565" s="3369"/>
      <c r="E3565" s="3369"/>
      <c r="F3565" s="2420"/>
      <c r="G3565" s="2420"/>
      <c r="H3565" s="3369"/>
      <c r="I3565" s="2420"/>
      <c r="J3565" s="2955"/>
      <c r="K3565" s="41">
        <v>700</v>
      </c>
      <c r="L3565" s="113"/>
      <c r="M3565" s="3287" t="s">
        <v>307</v>
      </c>
      <c r="N3565" s="3288"/>
      <c r="O3565" s="38"/>
      <c r="P3565" s="42">
        <f>$K3565/11</f>
        <v>63.636363636363633</v>
      </c>
      <c r="Q3565" s="42">
        <f t="shared" ref="Q3565:Z3565" si="583">$K3565/11</f>
        <v>63.636363636363633</v>
      </c>
      <c r="R3565" s="42">
        <f t="shared" si="583"/>
        <v>63.636363636363633</v>
      </c>
      <c r="S3565" s="42">
        <f t="shared" si="583"/>
        <v>63.636363636363633</v>
      </c>
      <c r="T3565" s="42">
        <f t="shared" si="583"/>
        <v>63.636363636363633</v>
      </c>
      <c r="U3565" s="42">
        <f t="shared" si="583"/>
        <v>63.636363636363633</v>
      </c>
      <c r="V3565" s="42">
        <f t="shared" si="583"/>
        <v>63.636363636363633</v>
      </c>
      <c r="W3565" s="42">
        <f t="shared" si="583"/>
        <v>63.636363636363633</v>
      </c>
      <c r="X3565" s="42">
        <f t="shared" si="583"/>
        <v>63.636363636363633</v>
      </c>
      <c r="Y3565" s="42">
        <f t="shared" si="583"/>
        <v>63.636363636363633</v>
      </c>
      <c r="Z3565" s="42">
        <f t="shared" si="583"/>
        <v>63.636363636363633</v>
      </c>
      <c r="AA3565" s="1220">
        <f t="shared" si="581"/>
        <v>700</v>
      </c>
      <c r="AB3565" s="1210"/>
      <c r="AC3565" s="1199"/>
      <c r="AD3565" s="1211"/>
    </row>
    <row r="3566" spans="1:30" x14ac:dyDescent="0.2">
      <c r="A3566" s="1422"/>
      <c r="B3566" s="2522"/>
      <c r="C3566" s="2456"/>
      <c r="D3566" s="3369"/>
      <c r="E3566" s="3369"/>
      <c r="F3566" s="2420"/>
      <c r="G3566" s="2420"/>
      <c r="H3566" s="3369"/>
      <c r="I3566" s="2420"/>
      <c r="J3566" s="2955"/>
      <c r="K3566" s="41">
        <v>500</v>
      </c>
      <c r="L3566" s="113"/>
      <c r="M3566" s="3287" t="s">
        <v>308</v>
      </c>
      <c r="N3566" s="3288"/>
      <c r="O3566" s="38"/>
      <c r="P3566" s="38"/>
      <c r="Q3566" s="40">
        <f>$K3566</f>
        <v>500</v>
      </c>
      <c r="R3566" s="38"/>
      <c r="S3566" s="38"/>
      <c r="T3566" s="38"/>
      <c r="U3566" s="38"/>
      <c r="V3566" s="38"/>
      <c r="W3566" s="38"/>
      <c r="X3566" s="38"/>
      <c r="Y3566" s="38"/>
      <c r="Z3566" s="38"/>
      <c r="AA3566" s="1220">
        <f t="shared" si="581"/>
        <v>500</v>
      </c>
      <c r="AB3566" s="1210"/>
      <c r="AC3566" s="1199"/>
      <c r="AD3566" s="1211"/>
    </row>
    <row r="3567" spans="1:30" x14ac:dyDescent="0.2">
      <c r="A3567" s="1422"/>
      <c r="B3567" s="2522"/>
      <c r="C3567" s="2450"/>
      <c r="D3567" s="3369"/>
      <c r="E3567" s="3369"/>
      <c r="F3567" s="2420"/>
      <c r="G3567" s="2420"/>
      <c r="H3567" s="3369"/>
      <c r="I3567" s="2420"/>
      <c r="J3567" s="2956"/>
      <c r="K3567" s="41">
        <v>1110</v>
      </c>
      <c r="L3567" s="113"/>
      <c r="M3567" s="3287" t="s">
        <v>309</v>
      </c>
      <c r="N3567" s="3288"/>
      <c r="O3567" s="38"/>
      <c r="P3567" s="38"/>
      <c r="Q3567" s="40">
        <f>$K3567/2</f>
        <v>555</v>
      </c>
      <c r="R3567" s="40"/>
      <c r="S3567" s="40"/>
      <c r="T3567" s="38"/>
      <c r="U3567" s="40">
        <f>$K3567/2</f>
        <v>555</v>
      </c>
      <c r="V3567" s="38"/>
      <c r="W3567" s="40"/>
      <c r="X3567" s="38"/>
      <c r="Y3567" s="40"/>
      <c r="Z3567" s="38"/>
      <c r="AA3567" s="1220">
        <f t="shared" si="581"/>
        <v>1110</v>
      </c>
      <c r="AB3567" s="1210"/>
      <c r="AC3567" s="1199"/>
      <c r="AD3567" s="1211"/>
    </row>
    <row r="3568" spans="1:30" ht="12" thickBot="1" x14ac:dyDescent="0.25">
      <c r="A3568" s="1422"/>
      <c r="B3568" s="1427" t="s">
        <v>312</v>
      </c>
      <c r="C3568" s="38"/>
      <c r="D3568" s="38"/>
      <c r="E3568" s="38"/>
      <c r="F3568" s="38"/>
      <c r="G3568" s="38"/>
      <c r="H3568" s="38"/>
      <c r="I3568" s="38"/>
      <c r="J3568" s="38"/>
      <c r="K3568" s="41">
        <f>SUM(K3554:K3567)</f>
        <v>99971</v>
      </c>
      <c r="L3568" s="38"/>
      <c r="M3568" s="38"/>
      <c r="N3568" s="38"/>
      <c r="O3568" s="38"/>
      <c r="P3568" s="38"/>
      <c r="Q3568" s="38"/>
      <c r="R3568" s="38"/>
      <c r="S3568" s="38"/>
      <c r="T3568" s="38"/>
      <c r="U3568" s="38"/>
      <c r="V3568" s="38"/>
      <c r="W3568" s="38"/>
      <c r="X3568" s="38"/>
      <c r="Y3568" s="38"/>
      <c r="Z3568" s="38"/>
      <c r="AA3568" s="1234"/>
      <c r="AB3568" s="1210"/>
      <c r="AC3568" s="1199"/>
      <c r="AD3568" s="1211"/>
    </row>
    <row r="3569" spans="1:30" x14ac:dyDescent="0.2">
      <c r="A3569" s="1422"/>
      <c r="B3569" s="2999" t="s">
        <v>278</v>
      </c>
      <c r="C3569" s="2847" t="s">
        <v>21</v>
      </c>
      <c r="D3569" s="2847" t="s">
        <v>22</v>
      </c>
      <c r="E3569" s="2847" t="s">
        <v>23</v>
      </c>
      <c r="F3569" s="2847" t="s">
        <v>24</v>
      </c>
      <c r="G3569" s="2847" t="s">
        <v>25</v>
      </c>
      <c r="H3569" s="2847" t="s">
        <v>26</v>
      </c>
      <c r="I3569" s="2847" t="s">
        <v>27</v>
      </c>
      <c r="J3569" s="3416" t="s">
        <v>28</v>
      </c>
      <c r="K3569" s="3416"/>
      <c r="L3569" s="3409" t="s">
        <v>279</v>
      </c>
      <c r="M3569" s="3411" t="s">
        <v>280</v>
      </c>
      <c r="N3569" s="3412"/>
      <c r="O3569" s="3413" t="s">
        <v>281</v>
      </c>
      <c r="P3569" s="3320"/>
      <c r="Q3569" s="3320"/>
      <c r="R3569" s="3320"/>
      <c r="S3569" s="3320"/>
      <c r="T3569" s="3320"/>
      <c r="U3569" s="3320"/>
      <c r="V3569" s="3320"/>
      <c r="W3569" s="3320"/>
      <c r="X3569" s="3320"/>
      <c r="Y3569" s="3320"/>
      <c r="Z3569" s="3414"/>
      <c r="AA3569" s="3358" t="s">
        <v>32</v>
      </c>
      <c r="AB3569" s="1210"/>
      <c r="AC3569" s="1199"/>
      <c r="AD3569" s="1211"/>
    </row>
    <row r="3570" spans="1:30" x14ac:dyDescent="0.2">
      <c r="A3570" s="1422"/>
      <c r="B3570" s="2999"/>
      <c r="C3570" s="2847"/>
      <c r="D3570" s="2847"/>
      <c r="E3570" s="2847"/>
      <c r="F3570" s="2847"/>
      <c r="G3570" s="2847"/>
      <c r="H3570" s="2847"/>
      <c r="I3570" s="2847"/>
      <c r="J3570" s="2988" t="s">
        <v>33</v>
      </c>
      <c r="K3570" s="2988" t="s">
        <v>282</v>
      </c>
      <c r="L3570" s="3410"/>
      <c r="M3570" s="3275"/>
      <c r="N3570" s="3318"/>
      <c r="O3570" s="72" t="s">
        <v>283</v>
      </c>
      <c r="P3570" s="1009" t="s">
        <v>284</v>
      </c>
      <c r="Q3570" s="1009" t="s">
        <v>285</v>
      </c>
      <c r="R3570" s="1009" t="s">
        <v>88</v>
      </c>
      <c r="S3570" s="1009" t="s">
        <v>89</v>
      </c>
      <c r="T3570" s="1009" t="s">
        <v>90</v>
      </c>
      <c r="U3570" s="1009" t="s">
        <v>91</v>
      </c>
      <c r="V3570" s="1009" t="s">
        <v>92</v>
      </c>
      <c r="W3570" s="1009" t="s">
        <v>286</v>
      </c>
      <c r="X3570" s="1009" t="s">
        <v>93</v>
      </c>
      <c r="Y3570" s="1009" t="s">
        <v>94</v>
      </c>
      <c r="Z3570" s="73" t="s">
        <v>95</v>
      </c>
      <c r="AA3570" s="3358"/>
      <c r="AB3570" s="1210"/>
      <c r="AC3570" s="1199"/>
      <c r="AD3570" s="1211"/>
    </row>
    <row r="3571" spans="1:30" ht="13.5" thickBot="1" x14ac:dyDescent="0.25">
      <c r="A3571" s="1422"/>
      <c r="B3571" s="2999"/>
      <c r="C3571" s="2847"/>
      <c r="D3571" s="2847"/>
      <c r="E3571" s="2847"/>
      <c r="F3571" s="2847"/>
      <c r="G3571" s="2847"/>
      <c r="H3571" s="2847"/>
      <c r="I3571" s="2847"/>
      <c r="J3571" s="3186"/>
      <c r="K3571" s="3186"/>
      <c r="L3571" s="3410"/>
      <c r="M3571" s="3273" t="s">
        <v>287</v>
      </c>
      <c r="N3571" s="3314"/>
      <c r="O3571" s="74"/>
      <c r="P3571" s="75">
        <v>39</v>
      </c>
      <c r="Q3571" s="75">
        <v>39</v>
      </c>
      <c r="R3571" s="75">
        <v>39</v>
      </c>
      <c r="S3571" s="75">
        <v>39</v>
      </c>
      <c r="T3571" s="75">
        <v>39</v>
      </c>
      <c r="U3571" s="75">
        <v>39</v>
      </c>
      <c r="V3571" s="75">
        <v>39</v>
      </c>
      <c r="W3571" s="75">
        <v>39</v>
      </c>
      <c r="X3571" s="75">
        <v>39</v>
      </c>
      <c r="Y3571" s="75">
        <v>39</v>
      </c>
      <c r="Z3571" s="76">
        <v>39</v>
      </c>
      <c r="AA3571" s="1221">
        <f>SUM(O3571:Z3571)</f>
        <v>429</v>
      </c>
      <c r="AB3571" s="1210"/>
      <c r="AC3571" s="1199"/>
      <c r="AD3571" s="1211"/>
    </row>
    <row r="3572" spans="1:30" ht="12.75" x14ac:dyDescent="0.2">
      <c r="A3572" s="1422"/>
      <c r="B3572" s="2999"/>
      <c r="C3572" s="2847"/>
      <c r="D3572" s="2847"/>
      <c r="E3572" s="2847"/>
      <c r="F3572" s="2847"/>
      <c r="G3572" s="2847"/>
      <c r="H3572" s="2847"/>
      <c r="I3572" s="2847"/>
      <c r="J3572" s="3186"/>
      <c r="K3572" s="3186"/>
      <c r="L3572" s="3143"/>
      <c r="M3572" s="3273" t="s">
        <v>34</v>
      </c>
      <c r="N3572" s="3314"/>
      <c r="O3572" s="148"/>
      <c r="P3572" s="1126"/>
      <c r="Q3572" s="1126"/>
      <c r="R3572" s="1126"/>
      <c r="S3572" s="1126"/>
      <c r="T3572" s="1126"/>
      <c r="U3572" s="1126"/>
      <c r="V3572" s="1126"/>
      <c r="W3572" s="1126"/>
      <c r="X3572" s="1126"/>
      <c r="Y3572" s="1126"/>
      <c r="Z3572" s="1132"/>
      <c r="AA3572" s="1221">
        <f>SUM(O3572:Z3572)</f>
        <v>0</v>
      </c>
      <c r="AB3572" s="1210"/>
      <c r="AC3572" s="1199"/>
      <c r="AD3572" s="1211"/>
    </row>
    <row r="3573" spans="1:30" x14ac:dyDescent="0.2">
      <c r="A3573" s="1422"/>
      <c r="B3573" s="2522">
        <v>5005201</v>
      </c>
      <c r="C3573" s="2438" t="s">
        <v>957</v>
      </c>
      <c r="D3573" s="2420"/>
      <c r="E3573" s="2420" t="s">
        <v>401</v>
      </c>
      <c r="F3573" s="2420" t="s">
        <v>386</v>
      </c>
      <c r="G3573" s="2420" t="s">
        <v>387</v>
      </c>
      <c r="H3573" s="2420"/>
      <c r="I3573" s="2420" t="s">
        <v>570</v>
      </c>
      <c r="J3573" s="3187">
        <v>429</v>
      </c>
      <c r="K3573" s="41">
        <v>116880</v>
      </c>
      <c r="L3573" s="115"/>
      <c r="M3573" s="3287" t="s">
        <v>293</v>
      </c>
      <c r="N3573" s="3288"/>
      <c r="O3573" s="42">
        <f t="shared" ref="O3573:Z3576" si="584">$K3573/12</f>
        <v>9740</v>
      </c>
      <c r="P3573" s="42">
        <f t="shared" si="584"/>
        <v>9740</v>
      </c>
      <c r="Q3573" s="42">
        <f t="shared" si="584"/>
        <v>9740</v>
      </c>
      <c r="R3573" s="42">
        <f t="shared" si="584"/>
        <v>9740</v>
      </c>
      <c r="S3573" s="42">
        <f t="shared" si="584"/>
        <v>9740</v>
      </c>
      <c r="T3573" s="42">
        <f t="shared" si="584"/>
        <v>9740</v>
      </c>
      <c r="U3573" s="42">
        <f t="shared" si="584"/>
        <v>9740</v>
      </c>
      <c r="V3573" s="42">
        <f t="shared" si="584"/>
        <v>9740</v>
      </c>
      <c r="W3573" s="42">
        <f t="shared" si="584"/>
        <v>9740</v>
      </c>
      <c r="X3573" s="42">
        <f t="shared" si="584"/>
        <v>9740</v>
      </c>
      <c r="Y3573" s="42">
        <f t="shared" si="584"/>
        <v>9740</v>
      </c>
      <c r="Z3573" s="42">
        <f t="shared" si="584"/>
        <v>9740</v>
      </c>
      <c r="AA3573" s="1220">
        <f>SUM(O3573:Z3573)</f>
        <v>116880</v>
      </c>
      <c r="AB3573" s="1210"/>
      <c r="AC3573" s="1199"/>
      <c r="AD3573" s="1211"/>
    </row>
    <row r="3574" spans="1:30" x14ac:dyDescent="0.2">
      <c r="A3574" s="1422"/>
      <c r="B3574" s="2522"/>
      <c r="C3574" s="2456"/>
      <c r="D3574" s="2420"/>
      <c r="E3574" s="2420"/>
      <c r="F3574" s="2420"/>
      <c r="G3574" s="2420"/>
      <c r="H3574" s="2420"/>
      <c r="I3574" s="2420"/>
      <c r="J3574" s="2955"/>
      <c r="K3574" s="41">
        <v>42240</v>
      </c>
      <c r="L3574" s="115"/>
      <c r="M3574" s="3287" t="s">
        <v>295</v>
      </c>
      <c r="N3574" s="3288"/>
      <c r="O3574" s="42">
        <f t="shared" si="584"/>
        <v>3520</v>
      </c>
      <c r="P3574" s="42">
        <f t="shared" si="584"/>
        <v>3520</v>
      </c>
      <c r="Q3574" s="42">
        <f t="shared" si="584"/>
        <v>3520</v>
      </c>
      <c r="R3574" s="42">
        <f t="shared" si="584"/>
        <v>3520</v>
      </c>
      <c r="S3574" s="42">
        <f t="shared" si="584"/>
        <v>3520</v>
      </c>
      <c r="T3574" s="42">
        <f t="shared" si="584"/>
        <v>3520</v>
      </c>
      <c r="U3574" s="42">
        <f t="shared" si="584"/>
        <v>3520</v>
      </c>
      <c r="V3574" s="42">
        <f t="shared" si="584"/>
        <v>3520</v>
      </c>
      <c r="W3574" s="42">
        <f t="shared" si="584"/>
        <v>3520</v>
      </c>
      <c r="X3574" s="42">
        <f t="shared" si="584"/>
        <v>3520</v>
      </c>
      <c r="Y3574" s="42">
        <f t="shared" si="584"/>
        <v>3520</v>
      </c>
      <c r="Z3574" s="42">
        <f t="shared" si="584"/>
        <v>3520</v>
      </c>
      <c r="AA3574" s="1220">
        <f t="shared" ref="AA3574:AA3583" si="585">SUM(O3574:Z3574)</f>
        <v>42240</v>
      </c>
      <c r="AB3574" s="1210"/>
      <c r="AC3574" s="1199"/>
      <c r="AD3574" s="1211"/>
    </row>
    <row r="3575" spans="1:30" x14ac:dyDescent="0.2">
      <c r="A3575" s="1422"/>
      <c r="B3575" s="2522"/>
      <c r="C3575" s="2456"/>
      <c r="D3575" s="2420"/>
      <c r="E3575" s="2420"/>
      <c r="F3575" s="2420"/>
      <c r="G3575" s="2420"/>
      <c r="H3575" s="2420"/>
      <c r="I3575" s="2420"/>
      <c r="J3575" s="2955"/>
      <c r="K3575" s="41">
        <v>38807</v>
      </c>
      <c r="L3575" s="115"/>
      <c r="M3575" s="3287" t="s">
        <v>296</v>
      </c>
      <c r="N3575" s="3288"/>
      <c r="O3575" s="42">
        <f t="shared" si="584"/>
        <v>3233.9166666666665</v>
      </c>
      <c r="P3575" s="42">
        <f t="shared" si="584"/>
        <v>3233.9166666666665</v>
      </c>
      <c r="Q3575" s="42">
        <f t="shared" si="584"/>
        <v>3233.9166666666665</v>
      </c>
      <c r="R3575" s="42">
        <f t="shared" si="584"/>
        <v>3233.9166666666665</v>
      </c>
      <c r="S3575" s="42">
        <f t="shared" si="584"/>
        <v>3233.9166666666665</v>
      </c>
      <c r="T3575" s="42">
        <f t="shared" si="584"/>
        <v>3233.9166666666665</v>
      </c>
      <c r="U3575" s="42">
        <f t="shared" si="584"/>
        <v>3233.9166666666665</v>
      </c>
      <c r="V3575" s="42">
        <f t="shared" si="584"/>
        <v>3233.9166666666665</v>
      </c>
      <c r="W3575" s="42">
        <f t="shared" si="584"/>
        <v>3233.9166666666665</v>
      </c>
      <c r="X3575" s="42">
        <f t="shared" si="584"/>
        <v>3233.9166666666665</v>
      </c>
      <c r="Y3575" s="42">
        <f t="shared" si="584"/>
        <v>3233.9166666666665</v>
      </c>
      <c r="Z3575" s="42">
        <f t="shared" si="584"/>
        <v>3233.9166666666665</v>
      </c>
      <c r="AA3575" s="1220">
        <f t="shared" si="585"/>
        <v>38807</v>
      </c>
      <c r="AB3575" s="1210"/>
      <c r="AC3575" s="1199"/>
      <c r="AD3575" s="1211"/>
    </row>
    <row r="3576" spans="1:30" x14ac:dyDescent="0.2">
      <c r="A3576" s="1422"/>
      <c r="B3576" s="2522"/>
      <c r="C3576" s="2456"/>
      <c r="D3576" s="2420"/>
      <c r="E3576" s="2420"/>
      <c r="F3576" s="2420"/>
      <c r="G3576" s="2420"/>
      <c r="H3576" s="2420"/>
      <c r="I3576" s="2420"/>
      <c r="J3576" s="2955"/>
      <c r="K3576" s="41">
        <v>10992</v>
      </c>
      <c r="L3576" s="115"/>
      <c r="M3576" s="3287" t="s">
        <v>297</v>
      </c>
      <c r="N3576" s="3288"/>
      <c r="O3576" s="42">
        <f t="shared" si="584"/>
        <v>916</v>
      </c>
      <c r="P3576" s="42">
        <f t="shared" si="584"/>
        <v>916</v>
      </c>
      <c r="Q3576" s="42">
        <f t="shared" si="584"/>
        <v>916</v>
      </c>
      <c r="R3576" s="42">
        <f t="shared" si="584"/>
        <v>916</v>
      </c>
      <c r="S3576" s="42">
        <f t="shared" si="584"/>
        <v>916</v>
      </c>
      <c r="T3576" s="42">
        <f t="shared" si="584"/>
        <v>916</v>
      </c>
      <c r="U3576" s="42">
        <f t="shared" si="584"/>
        <v>916</v>
      </c>
      <c r="V3576" s="42">
        <f t="shared" si="584"/>
        <v>916</v>
      </c>
      <c r="W3576" s="42">
        <f t="shared" si="584"/>
        <v>916</v>
      </c>
      <c r="X3576" s="42">
        <f t="shared" si="584"/>
        <v>916</v>
      </c>
      <c r="Y3576" s="42">
        <f t="shared" si="584"/>
        <v>916</v>
      </c>
      <c r="Z3576" s="42">
        <f t="shared" si="584"/>
        <v>916</v>
      </c>
      <c r="AA3576" s="1220">
        <f t="shared" si="585"/>
        <v>10992</v>
      </c>
      <c r="AB3576" s="1210"/>
      <c r="AC3576" s="1199"/>
      <c r="AD3576" s="1211"/>
    </row>
    <row r="3577" spans="1:30" x14ac:dyDescent="0.2">
      <c r="A3577" s="1422"/>
      <c r="B3577" s="2522"/>
      <c r="C3577" s="2456"/>
      <c r="D3577" s="2420"/>
      <c r="E3577" s="2420"/>
      <c r="F3577" s="2420"/>
      <c r="G3577" s="2420"/>
      <c r="H3577" s="2420"/>
      <c r="I3577" s="2420"/>
      <c r="J3577" s="2955"/>
      <c r="K3577" s="41">
        <v>3600</v>
      </c>
      <c r="L3577" s="115"/>
      <c r="M3577" s="3287" t="s">
        <v>298</v>
      </c>
      <c r="N3577" s="3288"/>
      <c r="O3577" s="38"/>
      <c r="P3577" s="38"/>
      <c r="Q3577" s="38"/>
      <c r="R3577" s="38"/>
      <c r="S3577" s="38"/>
      <c r="T3577" s="38">
        <f>K3577/2</f>
        <v>1800</v>
      </c>
      <c r="U3577" s="38"/>
      <c r="V3577" s="38"/>
      <c r="W3577" s="38"/>
      <c r="X3577" s="38"/>
      <c r="Y3577" s="38"/>
      <c r="Z3577" s="38">
        <f>K3577/2</f>
        <v>1800</v>
      </c>
      <c r="AA3577" s="1220">
        <f t="shared" si="585"/>
        <v>3600</v>
      </c>
      <c r="AB3577" s="1210"/>
      <c r="AC3577" s="1199"/>
      <c r="AD3577" s="1211"/>
    </row>
    <row r="3578" spans="1:30" x14ac:dyDescent="0.2">
      <c r="A3578" s="1422"/>
      <c r="B3578" s="2522"/>
      <c r="C3578" s="2456"/>
      <c r="D3578" s="2420"/>
      <c r="E3578" s="2420"/>
      <c r="F3578" s="2420"/>
      <c r="G3578" s="2420"/>
      <c r="H3578" s="2420"/>
      <c r="I3578" s="2420"/>
      <c r="J3578" s="2955"/>
      <c r="K3578" s="41">
        <v>2400</v>
      </c>
      <c r="L3578" s="115"/>
      <c r="M3578" s="3287" t="s">
        <v>299</v>
      </c>
      <c r="N3578" s="3288"/>
      <c r="O3578" s="38">
        <f>K3578</f>
        <v>2400</v>
      </c>
      <c r="P3578" s="38"/>
      <c r="Q3578" s="38"/>
      <c r="R3578" s="38"/>
      <c r="S3578" s="38"/>
      <c r="T3578" s="38"/>
      <c r="U3578" s="38"/>
      <c r="V3578" s="38"/>
      <c r="W3578" s="38"/>
      <c r="X3578" s="38"/>
      <c r="Y3578" s="38"/>
      <c r="Z3578" s="38"/>
      <c r="AA3578" s="1220">
        <f t="shared" si="585"/>
        <v>2400</v>
      </c>
      <c r="AB3578" s="1210"/>
      <c r="AC3578" s="1199"/>
      <c r="AD3578" s="1211"/>
    </row>
    <row r="3579" spans="1:30" x14ac:dyDescent="0.2">
      <c r="A3579" s="1422"/>
      <c r="B3579" s="2522"/>
      <c r="C3579" s="2456"/>
      <c r="D3579" s="2420"/>
      <c r="E3579" s="2420"/>
      <c r="F3579" s="2420"/>
      <c r="G3579" s="2420"/>
      <c r="H3579" s="2420"/>
      <c r="I3579" s="2420"/>
      <c r="J3579" s="2955"/>
      <c r="K3579" s="41">
        <v>6987</v>
      </c>
      <c r="L3579" s="115"/>
      <c r="M3579" s="3287" t="s">
        <v>300</v>
      </c>
      <c r="N3579" s="3288"/>
      <c r="O3579" s="42">
        <f>$K3579/12</f>
        <v>582.25</v>
      </c>
      <c r="P3579" s="42">
        <f t="shared" ref="P3579:Z3579" si="586">$K3579/12</f>
        <v>582.25</v>
      </c>
      <c r="Q3579" s="42">
        <f t="shared" si="586"/>
        <v>582.25</v>
      </c>
      <c r="R3579" s="42">
        <f t="shared" si="586"/>
        <v>582.25</v>
      </c>
      <c r="S3579" s="42">
        <f t="shared" si="586"/>
        <v>582.25</v>
      </c>
      <c r="T3579" s="42">
        <f t="shared" si="586"/>
        <v>582.25</v>
      </c>
      <c r="U3579" s="42">
        <f t="shared" si="586"/>
        <v>582.25</v>
      </c>
      <c r="V3579" s="42">
        <f t="shared" si="586"/>
        <v>582.25</v>
      </c>
      <c r="W3579" s="42">
        <f t="shared" si="586"/>
        <v>582.25</v>
      </c>
      <c r="X3579" s="42">
        <f t="shared" si="586"/>
        <v>582.25</v>
      </c>
      <c r="Y3579" s="42">
        <f t="shared" si="586"/>
        <v>582.25</v>
      </c>
      <c r="Z3579" s="42">
        <f t="shared" si="586"/>
        <v>582.25</v>
      </c>
      <c r="AA3579" s="1220">
        <f t="shared" si="585"/>
        <v>6987</v>
      </c>
      <c r="AB3579" s="1210"/>
      <c r="AC3579" s="1199"/>
      <c r="AD3579" s="1211"/>
    </row>
    <row r="3580" spans="1:30" x14ac:dyDescent="0.2">
      <c r="A3580" s="1422"/>
      <c r="B3580" s="2522"/>
      <c r="C3580" s="2456"/>
      <c r="D3580" s="2420"/>
      <c r="E3580" s="2420"/>
      <c r="F3580" s="2420"/>
      <c r="G3580" s="2420"/>
      <c r="H3580" s="2420"/>
      <c r="I3580" s="2420"/>
      <c r="J3580" s="2955"/>
      <c r="K3580" s="41">
        <v>300</v>
      </c>
      <c r="L3580" s="115"/>
      <c r="M3580" s="3287" t="s">
        <v>303</v>
      </c>
      <c r="N3580" s="3288"/>
      <c r="O3580" s="38"/>
      <c r="P3580" s="38"/>
      <c r="Q3580" s="40">
        <f>$K3580</f>
        <v>300</v>
      </c>
      <c r="R3580" s="38"/>
      <c r="S3580" s="38"/>
      <c r="T3580" s="38"/>
      <c r="U3580" s="38"/>
      <c r="V3580" s="38"/>
      <c r="W3580" s="38"/>
      <c r="X3580" s="38"/>
      <c r="Y3580" s="38"/>
      <c r="Z3580" s="38"/>
      <c r="AA3580" s="1220">
        <f t="shared" si="585"/>
        <v>300</v>
      </c>
      <c r="AB3580" s="1210"/>
      <c r="AC3580" s="1199"/>
      <c r="AD3580" s="1211"/>
    </row>
    <row r="3581" spans="1:30" x14ac:dyDescent="0.2">
      <c r="A3581" s="1422"/>
      <c r="B3581" s="2522"/>
      <c r="C3581" s="2456"/>
      <c r="D3581" s="2420"/>
      <c r="E3581" s="2420"/>
      <c r="F3581" s="2420"/>
      <c r="G3581" s="2420"/>
      <c r="H3581" s="2420"/>
      <c r="I3581" s="2420"/>
      <c r="J3581" s="2955"/>
      <c r="K3581" s="41">
        <v>400</v>
      </c>
      <c r="L3581" s="115"/>
      <c r="M3581" s="3287" t="s">
        <v>324</v>
      </c>
      <c r="N3581" s="3288"/>
      <c r="O3581" s="38"/>
      <c r="P3581" s="38"/>
      <c r="Q3581" s="38">
        <f>$K3581</f>
        <v>400</v>
      </c>
      <c r="R3581" s="38"/>
      <c r="S3581" s="38"/>
      <c r="T3581" s="38"/>
      <c r="U3581" s="38"/>
      <c r="V3581" s="38"/>
      <c r="W3581" s="38"/>
      <c r="X3581" s="38"/>
      <c r="Y3581" s="38"/>
      <c r="Z3581" s="38"/>
      <c r="AA3581" s="1220">
        <f t="shared" si="585"/>
        <v>400</v>
      </c>
      <c r="AB3581" s="1210"/>
      <c r="AC3581" s="1199"/>
      <c r="AD3581" s="1211"/>
    </row>
    <row r="3582" spans="1:30" x14ac:dyDescent="0.2">
      <c r="A3582" s="1422"/>
      <c r="B3582" s="2522"/>
      <c r="C3582" s="2456"/>
      <c r="D3582" s="2420"/>
      <c r="E3582" s="2420"/>
      <c r="F3582" s="2420"/>
      <c r="G3582" s="2420"/>
      <c r="H3582" s="2420"/>
      <c r="I3582" s="2420"/>
      <c r="J3582" s="2955"/>
      <c r="K3582" s="41">
        <v>1400</v>
      </c>
      <c r="L3582" s="115"/>
      <c r="M3582" s="3287" t="s">
        <v>343</v>
      </c>
      <c r="N3582" s="3288"/>
      <c r="O3582" s="38"/>
      <c r="P3582" s="38"/>
      <c r="Q3582" s="38"/>
      <c r="R3582" s="38">
        <f>$K3582</f>
        <v>1400</v>
      </c>
      <c r="S3582" s="38"/>
      <c r="T3582" s="38"/>
      <c r="U3582" s="38"/>
      <c r="V3582" s="38"/>
      <c r="W3582" s="38"/>
      <c r="X3582" s="38"/>
      <c r="Y3582" s="38"/>
      <c r="Z3582" s="38"/>
      <c r="AA3582" s="1220">
        <f t="shared" si="585"/>
        <v>1400</v>
      </c>
      <c r="AB3582" s="1210"/>
      <c r="AC3582" s="1199"/>
      <c r="AD3582" s="1211"/>
    </row>
    <row r="3583" spans="1:30" x14ac:dyDescent="0.2">
      <c r="A3583" s="1422"/>
      <c r="B3583" s="2522"/>
      <c r="C3583" s="2450"/>
      <c r="D3583" s="2420"/>
      <c r="E3583" s="2420"/>
      <c r="F3583" s="2420"/>
      <c r="G3583" s="2420"/>
      <c r="H3583" s="2420"/>
      <c r="I3583" s="2420"/>
      <c r="J3583" s="2956"/>
      <c r="K3583" s="41">
        <v>300</v>
      </c>
      <c r="L3583" s="115"/>
      <c r="M3583" s="3287" t="s">
        <v>307</v>
      </c>
      <c r="N3583" s="3288"/>
      <c r="O3583" s="38"/>
      <c r="P3583" s="42">
        <f>$K3583/11</f>
        <v>27.272727272727273</v>
      </c>
      <c r="Q3583" s="42">
        <f t="shared" ref="Q3583:Z3583" si="587">$K3583/11</f>
        <v>27.272727272727273</v>
      </c>
      <c r="R3583" s="42">
        <f t="shared" si="587"/>
        <v>27.272727272727273</v>
      </c>
      <c r="S3583" s="42">
        <f t="shared" si="587"/>
        <v>27.272727272727273</v>
      </c>
      <c r="T3583" s="42">
        <f t="shared" si="587"/>
        <v>27.272727272727273</v>
      </c>
      <c r="U3583" s="42">
        <f t="shared" si="587"/>
        <v>27.272727272727273</v>
      </c>
      <c r="V3583" s="42">
        <f t="shared" si="587"/>
        <v>27.272727272727273</v>
      </c>
      <c r="W3583" s="42">
        <f t="shared" si="587"/>
        <v>27.272727272727273</v>
      </c>
      <c r="X3583" s="42">
        <f t="shared" si="587"/>
        <v>27.272727272727273</v>
      </c>
      <c r="Y3583" s="42">
        <f t="shared" si="587"/>
        <v>27.272727272727273</v>
      </c>
      <c r="Z3583" s="42">
        <f t="shared" si="587"/>
        <v>27.272727272727273</v>
      </c>
      <c r="AA3583" s="1220">
        <f t="shared" si="585"/>
        <v>300</v>
      </c>
      <c r="AB3583" s="1210"/>
      <c r="AC3583" s="1199"/>
      <c r="AD3583" s="1211"/>
    </row>
    <row r="3584" spans="1:30" ht="12" thickBot="1" x14ac:dyDescent="0.25">
      <c r="A3584" s="1422"/>
      <c r="B3584" s="1427" t="s">
        <v>312</v>
      </c>
      <c r="C3584" s="1128"/>
      <c r="D3584" s="38"/>
      <c r="E3584" s="38"/>
      <c r="F3584" s="38"/>
      <c r="G3584" s="38"/>
      <c r="H3584" s="38"/>
      <c r="I3584" s="38"/>
      <c r="J3584" s="38"/>
      <c r="K3584" s="41">
        <f>SUM(K3573:K3583)</f>
        <v>224306</v>
      </c>
      <c r="L3584" s="38"/>
      <c r="M3584" s="38"/>
      <c r="N3584" s="38"/>
      <c r="O3584" s="38"/>
      <c r="P3584" s="38"/>
      <c r="Q3584" s="38"/>
      <c r="R3584" s="38"/>
      <c r="S3584" s="38"/>
      <c r="T3584" s="38"/>
      <c r="U3584" s="38"/>
      <c r="V3584" s="38"/>
      <c r="W3584" s="38"/>
      <c r="X3584" s="38"/>
      <c r="Y3584" s="38"/>
      <c r="Z3584" s="38"/>
      <c r="AA3584" s="1234"/>
      <c r="AB3584" s="1210"/>
      <c r="AC3584" s="1199"/>
      <c r="AD3584" s="1211"/>
    </row>
    <row r="3585" spans="1:31" x14ac:dyDescent="0.2">
      <c r="A3585" s="1422"/>
      <c r="B3585" s="2999" t="s">
        <v>278</v>
      </c>
      <c r="C3585" s="2999" t="s">
        <v>21</v>
      </c>
      <c r="D3585" s="2847" t="s">
        <v>22</v>
      </c>
      <c r="E3585" s="2847" t="s">
        <v>23</v>
      </c>
      <c r="F3585" s="2847" t="s">
        <v>24</v>
      </c>
      <c r="G3585" s="2847" t="s">
        <v>25</v>
      </c>
      <c r="H3585" s="2847" t="s">
        <v>26</v>
      </c>
      <c r="I3585" s="2847" t="s">
        <v>27</v>
      </c>
      <c r="J3585" s="3416" t="s">
        <v>28</v>
      </c>
      <c r="K3585" s="3416"/>
      <c r="L3585" s="3409" t="s">
        <v>279</v>
      </c>
      <c r="M3585" s="3411" t="s">
        <v>280</v>
      </c>
      <c r="N3585" s="3412"/>
      <c r="O3585" s="3413" t="s">
        <v>281</v>
      </c>
      <c r="P3585" s="3320"/>
      <c r="Q3585" s="3320"/>
      <c r="R3585" s="3320"/>
      <c r="S3585" s="3320"/>
      <c r="T3585" s="3320"/>
      <c r="U3585" s="3320"/>
      <c r="V3585" s="3320"/>
      <c r="W3585" s="3320"/>
      <c r="X3585" s="3320"/>
      <c r="Y3585" s="3320"/>
      <c r="Z3585" s="3414"/>
      <c r="AA3585" s="3358" t="s">
        <v>32</v>
      </c>
      <c r="AB3585" s="1210"/>
      <c r="AC3585" s="1199"/>
      <c r="AD3585" s="1211"/>
    </row>
    <row r="3586" spans="1:31" x14ac:dyDescent="0.2">
      <c r="A3586" s="1422"/>
      <c r="B3586" s="2999"/>
      <c r="C3586" s="2999"/>
      <c r="D3586" s="2847"/>
      <c r="E3586" s="2847"/>
      <c r="F3586" s="2847"/>
      <c r="G3586" s="2847"/>
      <c r="H3586" s="2847"/>
      <c r="I3586" s="2847"/>
      <c r="J3586" s="2988" t="s">
        <v>33</v>
      </c>
      <c r="K3586" s="2988" t="s">
        <v>282</v>
      </c>
      <c r="L3586" s="3410"/>
      <c r="M3586" s="3275"/>
      <c r="N3586" s="3318"/>
      <c r="O3586" s="72" t="s">
        <v>283</v>
      </c>
      <c r="P3586" s="1009" t="s">
        <v>284</v>
      </c>
      <c r="Q3586" s="1009" t="s">
        <v>285</v>
      </c>
      <c r="R3586" s="1009" t="s">
        <v>88</v>
      </c>
      <c r="S3586" s="1009" t="s">
        <v>89</v>
      </c>
      <c r="T3586" s="1009" t="s">
        <v>90</v>
      </c>
      <c r="U3586" s="1009" t="s">
        <v>91</v>
      </c>
      <c r="V3586" s="1009" t="s">
        <v>92</v>
      </c>
      <c r="W3586" s="1009" t="s">
        <v>286</v>
      </c>
      <c r="X3586" s="1009" t="s">
        <v>93</v>
      </c>
      <c r="Y3586" s="1009" t="s">
        <v>94</v>
      </c>
      <c r="Z3586" s="73" t="s">
        <v>95</v>
      </c>
      <c r="AA3586" s="3358"/>
      <c r="AB3586" s="1210"/>
      <c r="AC3586" s="1199"/>
      <c r="AD3586" s="1211"/>
    </row>
    <row r="3587" spans="1:31" ht="13.5" thickBot="1" x14ac:dyDescent="0.25">
      <c r="A3587" s="1422"/>
      <c r="B3587" s="2999"/>
      <c r="C3587" s="2999"/>
      <c r="D3587" s="2847"/>
      <c r="E3587" s="2847"/>
      <c r="F3587" s="2847"/>
      <c r="G3587" s="2847"/>
      <c r="H3587" s="2847"/>
      <c r="I3587" s="2847"/>
      <c r="J3587" s="3186"/>
      <c r="K3587" s="3186"/>
      <c r="L3587" s="3410"/>
      <c r="M3587" s="3273" t="s">
        <v>287</v>
      </c>
      <c r="N3587" s="3314"/>
      <c r="O3587" s="74"/>
      <c r="P3587" s="75"/>
      <c r="Q3587" s="75">
        <v>49</v>
      </c>
      <c r="R3587" s="75">
        <v>50</v>
      </c>
      <c r="S3587" s="75">
        <v>50</v>
      </c>
      <c r="T3587" s="75">
        <v>50</v>
      </c>
      <c r="U3587" s="75">
        <v>50</v>
      </c>
      <c r="V3587" s="75">
        <v>50</v>
      </c>
      <c r="W3587" s="75">
        <v>50</v>
      </c>
      <c r="X3587" s="75">
        <v>50</v>
      </c>
      <c r="Y3587" s="75">
        <v>50</v>
      </c>
      <c r="Z3587" s="76">
        <v>50</v>
      </c>
      <c r="AA3587" s="1221">
        <f>SUM(O3587:Z3587)</f>
        <v>499</v>
      </c>
      <c r="AB3587" s="1210"/>
      <c r="AC3587" s="1199"/>
      <c r="AD3587" s="1211"/>
    </row>
    <row r="3588" spans="1:31" ht="12.75" x14ac:dyDescent="0.2">
      <c r="A3588" s="1422"/>
      <c r="B3588" s="2999"/>
      <c r="C3588" s="2999"/>
      <c r="D3588" s="2847"/>
      <c r="E3588" s="2847"/>
      <c r="F3588" s="2847"/>
      <c r="G3588" s="2847"/>
      <c r="H3588" s="2847"/>
      <c r="I3588" s="2847"/>
      <c r="J3588" s="3186"/>
      <c r="K3588" s="3186"/>
      <c r="L3588" s="3143"/>
      <c r="M3588" s="3273" t="s">
        <v>34</v>
      </c>
      <c r="N3588" s="3314"/>
      <c r="O3588" s="145">
        <f>SUM(O3589:O3597)</f>
        <v>8817.1666666666661</v>
      </c>
      <c r="P3588" s="145">
        <f t="shared" ref="P3588:Z3588" si="588">SUM(P3589:P3597)</f>
        <v>8017.166666666667</v>
      </c>
      <c r="Q3588" s="145">
        <f t="shared" si="588"/>
        <v>8017.166666666667</v>
      </c>
      <c r="R3588" s="145">
        <f t="shared" si="588"/>
        <v>9317.1666666666679</v>
      </c>
      <c r="S3588" s="145">
        <f t="shared" si="588"/>
        <v>7617.166666666667</v>
      </c>
      <c r="T3588" s="145">
        <f t="shared" si="588"/>
        <v>8517.1666666666661</v>
      </c>
      <c r="U3588" s="145">
        <f t="shared" si="588"/>
        <v>7617.166666666667</v>
      </c>
      <c r="V3588" s="145">
        <f t="shared" si="588"/>
        <v>7617.166666666667</v>
      </c>
      <c r="W3588" s="145">
        <f t="shared" si="588"/>
        <v>7617.166666666667</v>
      </c>
      <c r="X3588" s="145">
        <f t="shared" si="588"/>
        <v>7617.166666666667</v>
      </c>
      <c r="Y3588" s="145">
        <f t="shared" si="588"/>
        <v>7617.166666666667</v>
      </c>
      <c r="Z3588" s="145">
        <f t="shared" si="588"/>
        <v>8517.1666666666661</v>
      </c>
      <c r="AA3588" s="1221">
        <f>SUM(O3588:Z3588)</f>
        <v>96906.000000000015</v>
      </c>
      <c r="AB3588" s="1210"/>
      <c r="AC3588" s="1199"/>
      <c r="AD3588" s="1211"/>
    </row>
    <row r="3589" spans="1:31" x14ac:dyDescent="0.2">
      <c r="A3589" s="1422"/>
      <c r="B3589" s="2438">
        <v>5005202</v>
      </c>
      <c r="C3589" s="2743" t="s">
        <v>958</v>
      </c>
      <c r="D3589" s="3369"/>
      <c r="E3589" s="3369" t="s">
        <v>401</v>
      </c>
      <c r="F3589" s="3369" t="s">
        <v>386</v>
      </c>
      <c r="G3589" s="3369" t="s">
        <v>387</v>
      </c>
      <c r="H3589" s="3369"/>
      <c r="I3589" s="3369" t="s">
        <v>570</v>
      </c>
      <c r="J3589" s="3187">
        <v>499</v>
      </c>
      <c r="K3589" s="41">
        <v>64202</v>
      </c>
      <c r="L3589" s="115"/>
      <c r="M3589" s="3287" t="s">
        <v>295</v>
      </c>
      <c r="N3589" s="3288"/>
      <c r="O3589" s="42">
        <f t="shared" ref="O3589:Z3591" si="589">$K3589/12</f>
        <v>5350.166666666667</v>
      </c>
      <c r="P3589" s="42">
        <f t="shared" si="589"/>
        <v>5350.166666666667</v>
      </c>
      <c r="Q3589" s="42">
        <f t="shared" si="589"/>
        <v>5350.166666666667</v>
      </c>
      <c r="R3589" s="42">
        <f t="shared" si="589"/>
        <v>5350.166666666667</v>
      </c>
      <c r="S3589" s="42">
        <f t="shared" si="589"/>
        <v>5350.166666666667</v>
      </c>
      <c r="T3589" s="42">
        <f t="shared" si="589"/>
        <v>5350.166666666667</v>
      </c>
      <c r="U3589" s="42">
        <f t="shared" si="589"/>
        <v>5350.166666666667</v>
      </c>
      <c r="V3589" s="42">
        <f t="shared" si="589"/>
        <v>5350.166666666667</v>
      </c>
      <c r="W3589" s="42">
        <f t="shared" si="589"/>
        <v>5350.166666666667</v>
      </c>
      <c r="X3589" s="42">
        <f t="shared" si="589"/>
        <v>5350.166666666667</v>
      </c>
      <c r="Y3589" s="42">
        <f t="shared" si="589"/>
        <v>5350.166666666667</v>
      </c>
      <c r="Z3589" s="42">
        <f t="shared" si="589"/>
        <v>5350.166666666667</v>
      </c>
      <c r="AA3589" s="1220">
        <f>SUM(O3589:Z3589)</f>
        <v>64201.999999999993</v>
      </c>
      <c r="AB3589" s="1210"/>
      <c r="AC3589" s="1199"/>
      <c r="AD3589" s="1211"/>
    </row>
    <row r="3590" spans="1:31" x14ac:dyDescent="0.2">
      <c r="A3590" s="1422"/>
      <c r="B3590" s="2456"/>
      <c r="C3590" s="2743"/>
      <c r="D3590" s="3369"/>
      <c r="E3590" s="3369"/>
      <c r="F3590" s="3369"/>
      <c r="G3590" s="3369"/>
      <c r="H3590" s="3369"/>
      <c r="I3590" s="3369"/>
      <c r="J3590" s="2955"/>
      <c r="K3590" s="41">
        <v>19630</v>
      </c>
      <c r="L3590" s="115"/>
      <c r="M3590" s="3287" t="s">
        <v>296</v>
      </c>
      <c r="N3590" s="3288"/>
      <c r="O3590" s="42">
        <f t="shared" si="589"/>
        <v>1635.8333333333333</v>
      </c>
      <c r="P3590" s="42">
        <f t="shared" si="589"/>
        <v>1635.8333333333333</v>
      </c>
      <c r="Q3590" s="42">
        <f t="shared" si="589"/>
        <v>1635.8333333333333</v>
      </c>
      <c r="R3590" s="42">
        <f t="shared" si="589"/>
        <v>1635.8333333333333</v>
      </c>
      <c r="S3590" s="42">
        <f t="shared" si="589"/>
        <v>1635.8333333333333</v>
      </c>
      <c r="T3590" s="42">
        <f t="shared" si="589"/>
        <v>1635.8333333333333</v>
      </c>
      <c r="U3590" s="42">
        <f t="shared" si="589"/>
        <v>1635.8333333333333</v>
      </c>
      <c r="V3590" s="42">
        <f t="shared" si="589"/>
        <v>1635.8333333333333</v>
      </c>
      <c r="W3590" s="42">
        <f t="shared" si="589"/>
        <v>1635.8333333333333</v>
      </c>
      <c r="X3590" s="42">
        <f t="shared" si="589"/>
        <v>1635.8333333333333</v>
      </c>
      <c r="Y3590" s="42">
        <f t="shared" si="589"/>
        <v>1635.8333333333333</v>
      </c>
      <c r="Z3590" s="42">
        <f t="shared" si="589"/>
        <v>1635.8333333333333</v>
      </c>
      <c r="AA3590" s="1220">
        <f t="shared" ref="AA3590:AA3597" si="590">SUM(O3590:Z3590)</f>
        <v>19630</v>
      </c>
      <c r="AB3590" s="1210"/>
      <c r="AC3590" s="1199"/>
      <c r="AD3590" s="1211"/>
    </row>
    <row r="3591" spans="1:31" x14ac:dyDescent="0.2">
      <c r="A3591" s="1422"/>
      <c r="B3591" s="2456"/>
      <c r="C3591" s="2743"/>
      <c r="D3591" s="3369"/>
      <c r="E3591" s="3369"/>
      <c r="F3591" s="3369"/>
      <c r="G3591" s="3369"/>
      <c r="H3591" s="3369"/>
      <c r="I3591" s="3369"/>
      <c r="J3591" s="2955"/>
      <c r="K3591" s="41">
        <v>3792</v>
      </c>
      <c r="L3591" s="115"/>
      <c r="M3591" s="3287" t="s">
        <v>297</v>
      </c>
      <c r="N3591" s="3288"/>
      <c r="O3591" s="42">
        <f t="shared" si="589"/>
        <v>316</v>
      </c>
      <c r="P3591" s="42">
        <f t="shared" si="589"/>
        <v>316</v>
      </c>
      <c r="Q3591" s="42">
        <f t="shared" si="589"/>
        <v>316</v>
      </c>
      <c r="R3591" s="42">
        <f t="shared" si="589"/>
        <v>316</v>
      </c>
      <c r="S3591" s="42">
        <f t="shared" si="589"/>
        <v>316</v>
      </c>
      <c r="T3591" s="42">
        <f t="shared" si="589"/>
        <v>316</v>
      </c>
      <c r="U3591" s="42">
        <f t="shared" si="589"/>
        <v>316</v>
      </c>
      <c r="V3591" s="42">
        <f t="shared" si="589"/>
        <v>316</v>
      </c>
      <c r="W3591" s="42">
        <f t="shared" si="589"/>
        <v>316</v>
      </c>
      <c r="X3591" s="42">
        <f t="shared" si="589"/>
        <v>316</v>
      </c>
      <c r="Y3591" s="42">
        <f t="shared" si="589"/>
        <v>316</v>
      </c>
      <c r="Z3591" s="42">
        <f t="shared" si="589"/>
        <v>316</v>
      </c>
      <c r="AA3591" s="1220">
        <f t="shared" si="590"/>
        <v>3792</v>
      </c>
      <c r="AB3591" s="1210"/>
      <c r="AC3591" s="1199"/>
      <c r="AD3591" s="1211"/>
    </row>
    <row r="3592" spans="1:31" x14ac:dyDescent="0.2">
      <c r="A3592" s="1422"/>
      <c r="B3592" s="2456"/>
      <c r="C3592" s="2743"/>
      <c r="D3592" s="3369"/>
      <c r="E3592" s="3369"/>
      <c r="F3592" s="3369"/>
      <c r="G3592" s="3369"/>
      <c r="H3592" s="3369"/>
      <c r="I3592" s="3369"/>
      <c r="J3592" s="2955"/>
      <c r="K3592" s="41">
        <v>1800</v>
      </c>
      <c r="L3592" s="115"/>
      <c r="M3592" s="3287" t="s">
        <v>298</v>
      </c>
      <c r="N3592" s="3288"/>
      <c r="O3592" s="38"/>
      <c r="P3592" s="38"/>
      <c r="Q3592" s="38"/>
      <c r="R3592" s="38"/>
      <c r="S3592" s="38"/>
      <c r="T3592" s="38">
        <f>K3592/2</f>
        <v>900</v>
      </c>
      <c r="U3592" s="38"/>
      <c r="V3592" s="38"/>
      <c r="W3592" s="38"/>
      <c r="X3592" s="38"/>
      <c r="Y3592" s="38"/>
      <c r="Z3592" s="38">
        <f>K3592/2</f>
        <v>900</v>
      </c>
      <c r="AA3592" s="1220">
        <f t="shared" si="590"/>
        <v>1800</v>
      </c>
      <c r="AB3592" s="1210"/>
      <c r="AC3592" s="1199"/>
      <c r="AD3592" s="1211"/>
    </row>
    <row r="3593" spans="1:31" x14ac:dyDescent="0.2">
      <c r="A3593" s="1422"/>
      <c r="B3593" s="2456"/>
      <c r="C3593" s="2743"/>
      <c r="D3593" s="3369"/>
      <c r="E3593" s="3369"/>
      <c r="F3593" s="3369"/>
      <c r="G3593" s="3369"/>
      <c r="H3593" s="3369"/>
      <c r="I3593" s="3369"/>
      <c r="J3593" s="2955"/>
      <c r="K3593" s="41">
        <v>1200</v>
      </c>
      <c r="L3593" s="115"/>
      <c r="M3593" s="3287" t="s">
        <v>299</v>
      </c>
      <c r="N3593" s="3288"/>
      <c r="O3593" s="38">
        <f>K3593</f>
        <v>1200</v>
      </c>
      <c r="P3593" s="38"/>
      <c r="Q3593" s="38"/>
      <c r="R3593" s="38"/>
      <c r="S3593" s="38"/>
      <c r="T3593" s="38"/>
      <c r="U3593" s="38"/>
      <c r="V3593" s="38"/>
      <c r="W3593" s="38"/>
      <c r="X3593" s="38"/>
      <c r="Y3593" s="38"/>
      <c r="Z3593" s="38"/>
      <c r="AA3593" s="1220">
        <f t="shared" si="590"/>
        <v>1200</v>
      </c>
      <c r="AB3593" s="1210"/>
      <c r="AC3593" s="1199"/>
      <c r="AD3593" s="1211"/>
    </row>
    <row r="3594" spans="1:31" x14ac:dyDescent="0.2">
      <c r="A3594" s="1422"/>
      <c r="B3594" s="2456"/>
      <c r="C3594" s="2743"/>
      <c r="D3594" s="3369"/>
      <c r="E3594" s="3369"/>
      <c r="F3594" s="3369"/>
      <c r="G3594" s="3369"/>
      <c r="H3594" s="3369"/>
      <c r="I3594" s="3369"/>
      <c r="J3594" s="2955"/>
      <c r="K3594" s="41">
        <v>3782</v>
      </c>
      <c r="L3594" s="115"/>
      <c r="M3594" s="3287" t="s">
        <v>300</v>
      </c>
      <c r="N3594" s="3288"/>
      <c r="O3594" s="42">
        <f>$K3594/12</f>
        <v>315.16666666666669</v>
      </c>
      <c r="P3594" s="42">
        <f t="shared" ref="P3594:Z3594" si="591">$K3594/12</f>
        <v>315.16666666666669</v>
      </c>
      <c r="Q3594" s="42">
        <f t="shared" si="591"/>
        <v>315.16666666666669</v>
      </c>
      <c r="R3594" s="42">
        <f t="shared" si="591"/>
        <v>315.16666666666669</v>
      </c>
      <c r="S3594" s="42">
        <f t="shared" si="591"/>
        <v>315.16666666666669</v>
      </c>
      <c r="T3594" s="42">
        <f t="shared" si="591"/>
        <v>315.16666666666669</v>
      </c>
      <c r="U3594" s="42">
        <f t="shared" si="591"/>
        <v>315.16666666666669</v>
      </c>
      <c r="V3594" s="42">
        <f t="shared" si="591"/>
        <v>315.16666666666669</v>
      </c>
      <c r="W3594" s="42">
        <f t="shared" si="591"/>
        <v>315.16666666666669</v>
      </c>
      <c r="X3594" s="42">
        <f t="shared" si="591"/>
        <v>315.16666666666669</v>
      </c>
      <c r="Y3594" s="42">
        <f t="shared" si="591"/>
        <v>315.16666666666669</v>
      </c>
      <c r="Z3594" s="42">
        <f t="shared" si="591"/>
        <v>315.16666666666669</v>
      </c>
      <c r="AA3594" s="1220">
        <f t="shared" si="590"/>
        <v>3781.9999999999995</v>
      </c>
      <c r="AB3594" s="1210"/>
      <c r="AC3594" s="1199"/>
      <c r="AD3594" s="1211"/>
    </row>
    <row r="3595" spans="1:31" x14ac:dyDescent="0.2">
      <c r="A3595" s="1422"/>
      <c r="B3595" s="2456"/>
      <c r="C3595" s="2743"/>
      <c r="D3595" s="3369"/>
      <c r="E3595" s="3369"/>
      <c r="F3595" s="3369"/>
      <c r="G3595" s="3369"/>
      <c r="H3595" s="3369"/>
      <c r="I3595" s="3369"/>
      <c r="J3595" s="2955"/>
      <c r="K3595" s="41">
        <v>400</v>
      </c>
      <c r="L3595" s="115"/>
      <c r="M3595" s="3287" t="s">
        <v>303</v>
      </c>
      <c r="N3595" s="3288"/>
      <c r="O3595" s="38"/>
      <c r="P3595" s="38"/>
      <c r="Q3595" s="40">
        <f>$K3595</f>
        <v>400</v>
      </c>
      <c r="R3595" s="38"/>
      <c r="S3595" s="38"/>
      <c r="T3595" s="38"/>
      <c r="U3595" s="38"/>
      <c r="V3595" s="38"/>
      <c r="W3595" s="38"/>
      <c r="X3595" s="38"/>
      <c r="Y3595" s="38"/>
      <c r="Z3595" s="38"/>
      <c r="AA3595" s="1220">
        <f t="shared" si="590"/>
        <v>400</v>
      </c>
      <c r="AB3595" s="1210"/>
      <c r="AC3595" s="1199"/>
      <c r="AD3595" s="1211"/>
    </row>
    <row r="3596" spans="1:31" x14ac:dyDescent="0.2">
      <c r="A3596" s="1422"/>
      <c r="B3596" s="2456"/>
      <c r="C3596" s="2743"/>
      <c r="D3596" s="3369"/>
      <c r="E3596" s="3369"/>
      <c r="F3596" s="3369"/>
      <c r="G3596" s="3369"/>
      <c r="H3596" s="3369"/>
      <c r="I3596" s="3369"/>
      <c r="J3596" s="2955"/>
      <c r="K3596" s="41">
        <v>400</v>
      </c>
      <c r="L3596" s="115"/>
      <c r="M3596" s="3287" t="s">
        <v>324</v>
      </c>
      <c r="N3596" s="3288"/>
      <c r="O3596" s="38"/>
      <c r="P3596" s="38">
        <f>$K3596</f>
        <v>400</v>
      </c>
      <c r="Q3596" s="38"/>
      <c r="R3596" s="38"/>
      <c r="S3596" s="38"/>
      <c r="T3596" s="38"/>
      <c r="U3596" s="38"/>
      <c r="V3596" s="38"/>
      <c r="W3596" s="38"/>
      <c r="X3596" s="38"/>
      <c r="Y3596" s="38"/>
      <c r="Z3596" s="38"/>
      <c r="AA3596" s="1220">
        <f t="shared" si="590"/>
        <v>400</v>
      </c>
      <c r="AB3596" s="1210"/>
      <c r="AC3596" s="1199"/>
      <c r="AD3596" s="1211"/>
    </row>
    <row r="3597" spans="1:31" x14ac:dyDescent="0.2">
      <c r="A3597" s="1421"/>
      <c r="B3597" s="2450"/>
      <c r="C3597" s="2628"/>
      <c r="D3597" s="3369"/>
      <c r="E3597" s="3369"/>
      <c r="F3597" s="3369"/>
      <c r="G3597" s="3369"/>
      <c r="H3597" s="3369"/>
      <c r="I3597" s="3369"/>
      <c r="J3597" s="2956"/>
      <c r="K3597" s="41">
        <v>1700</v>
      </c>
      <c r="L3597" s="115"/>
      <c r="M3597" s="3287" t="s">
        <v>343</v>
      </c>
      <c r="N3597" s="3288"/>
      <c r="O3597" s="38"/>
      <c r="P3597" s="38"/>
      <c r="Q3597" s="38"/>
      <c r="R3597" s="38">
        <f>$K3597</f>
        <v>1700</v>
      </c>
      <c r="S3597" s="38"/>
      <c r="T3597" s="38"/>
      <c r="U3597" s="38"/>
      <c r="V3597" s="38"/>
      <c r="W3597" s="38"/>
      <c r="X3597" s="38"/>
      <c r="Y3597" s="38"/>
      <c r="Z3597" s="38"/>
      <c r="AA3597" s="1220">
        <f t="shared" si="590"/>
        <v>1700</v>
      </c>
      <c r="AB3597" s="1210"/>
      <c r="AC3597" s="1199"/>
      <c r="AD3597" s="1211"/>
    </row>
    <row r="3598" spans="1:31" x14ac:dyDescent="0.2">
      <c r="A3598" s="201"/>
      <c r="B3598" s="96" t="s">
        <v>312</v>
      </c>
      <c r="C3598" s="96"/>
      <c r="D3598" s="96"/>
      <c r="E3598" s="96"/>
      <c r="F3598" s="96"/>
      <c r="G3598" s="96"/>
      <c r="H3598" s="96"/>
      <c r="I3598" s="96"/>
      <c r="J3598" s="96"/>
      <c r="K3598" s="1274">
        <f>SUM(K3589:K3597)</f>
        <v>96906</v>
      </c>
      <c r="L3598" s="96"/>
      <c r="M3598" s="96"/>
      <c r="N3598" s="96"/>
      <c r="O3598" s="96"/>
      <c r="P3598" s="96"/>
      <c r="Q3598" s="96"/>
      <c r="R3598" s="96"/>
      <c r="S3598" s="96"/>
      <c r="T3598" s="96"/>
      <c r="U3598" s="96"/>
      <c r="V3598" s="96"/>
      <c r="W3598" s="96"/>
      <c r="X3598" s="96"/>
      <c r="Y3598" s="96"/>
      <c r="Z3598" s="96"/>
      <c r="AA3598" s="1275"/>
      <c r="AB3598" s="1210"/>
      <c r="AC3598" s="1199"/>
      <c r="AD3598" s="2237"/>
      <c r="AE3598" s="571"/>
    </row>
    <row r="3599" spans="1:31" ht="12" x14ac:dyDescent="0.2">
      <c r="A3599" s="179"/>
      <c r="B3599" s="179"/>
      <c r="C3599" s="35"/>
      <c r="D3599" s="35"/>
      <c r="E3599" s="35"/>
      <c r="F3599" s="35"/>
      <c r="G3599" s="35"/>
      <c r="H3599" s="35"/>
      <c r="I3599" s="35"/>
      <c r="J3599" s="35"/>
      <c r="K3599" s="768"/>
      <c r="L3599" s="35"/>
      <c r="M3599" s="35"/>
      <c r="N3599" s="35"/>
      <c r="O3599" s="35"/>
      <c r="P3599" s="35"/>
      <c r="Q3599" s="35"/>
      <c r="R3599" s="35"/>
      <c r="S3599" s="35"/>
      <c r="T3599" s="35"/>
      <c r="U3599" s="35"/>
      <c r="V3599" s="35"/>
      <c r="W3599" s="35"/>
      <c r="X3599" s="35"/>
      <c r="Y3599" s="35"/>
      <c r="Z3599" s="35"/>
      <c r="AA3599" s="1210"/>
      <c r="AB3599" s="1210"/>
      <c r="AC3599" s="1199"/>
      <c r="AD3599" s="1211"/>
    </row>
    <row r="3600" spans="1:31" ht="38.25" x14ac:dyDescent="0.2">
      <c r="A3600" s="179"/>
      <c r="B3600" s="234" t="s">
        <v>6</v>
      </c>
      <c r="C3600" s="2681" t="s">
        <v>1510</v>
      </c>
      <c r="D3600" s="2682"/>
      <c r="E3600" s="2682"/>
      <c r="F3600" s="2682"/>
      <c r="G3600" s="2682"/>
      <c r="H3600" s="2682"/>
      <c r="I3600" s="2682"/>
      <c r="J3600" s="2682"/>
      <c r="K3600" s="2682"/>
      <c r="L3600" s="2682"/>
      <c r="M3600" s="235"/>
      <c r="N3600" s="235"/>
      <c r="O3600" s="231"/>
      <c r="P3600" s="231"/>
      <c r="Q3600" s="231"/>
      <c r="R3600" s="231"/>
      <c r="S3600" s="203"/>
      <c r="T3600" s="203"/>
      <c r="U3600" s="203"/>
      <c r="V3600" s="203"/>
      <c r="W3600" s="203"/>
      <c r="X3600" s="231"/>
      <c r="Y3600" s="231"/>
      <c r="Z3600" s="231"/>
      <c r="AA3600" s="231"/>
      <c r="AB3600" s="231"/>
      <c r="AC3600" s="232"/>
    </row>
    <row r="3601" spans="1:29" ht="13.5" x14ac:dyDescent="0.2">
      <c r="A3601" s="179"/>
      <c r="B3601" s="1046" t="s">
        <v>8</v>
      </c>
      <c r="C3601" s="1090" t="s">
        <v>1511</v>
      </c>
      <c r="D3601" s="19"/>
      <c r="E3601" s="20"/>
      <c r="F3601" s="20"/>
      <c r="G3601" s="20"/>
      <c r="H3601" s="20"/>
      <c r="I3601" s="1138"/>
      <c r="J3601" s="236"/>
      <c r="K3601" s="236"/>
      <c r="L3601" s="20"/>
      <c r="M3601" s="237"/>
      <c r="N3601" s="237"/>
      <c r="O3601" s="202"/>
      <c r="P3601" s="202"/>
      <c r="Q3601" s="202"/>
      <c r="R3601" s="202"/>
      <c r="S3601" s="203"/>
      <c r="T3601" s="203"/>
      <c r="U3601" s="203"/>
      <c r="V3601" s="203"/>
      <c r="W3601" s="203"/>
      <c r="X3601" s="202"/>
      <c r="Y3601" s="202"/>
      <c r="Z3601" s="202"/>
      <c r="AA3601" s="202"/>
      <c r="AB3601" s="202"/>
      <c r="AC3601" s="224"/>
    </row>
    <row r="3602" spans="1:29" ht="22.5" x14ac:dyDescent="0.2">
      <c r="A3602" s="179"/>
      <c r="B3602" s="1046" t="s">
        <v>11</v>
      </c>
      <c r="C3602" s="1137" t="s">
        <v>230</v>
      </c>
      <c r="D3602" s="20"/>
      <c r="E3602" s="20"/>
      <c r="F3602" s="20"/>
      <c r="G3602" s="20"/>
      <c r="H3602" s="20"/>
      <c r="I3602" s="1138"/>
      <c r="J3602" s="236"/>
      <c r="K3602" s="236"/>
      <c r="L3602" s="20"/>
      <c r="M3602" s="237"/>
      <c r="N3602" s="237"/>
      <c r="O3602" s="202"/>
      <c r="P3602" s="202"/>
      <c r="Q3602" s="202"/>
      <c r="R3602" s="202"/>
      <c r="S3602" s="203"/>
      <c r="T3602" s="203"/>
      <c r="U3602" s="203"/>
      <c r="V3602" s="203"/>
      <c r="W3602" s="203"/>
      <c r="X3602" s="202"/>
      <c r="Y3602" s="202"/>
      <c r="Z3602" s="202"/>
      <c r="AA3602" s="202"/>
      <c r="AB3602" s="202"/>
      <c r="AC3602" s="224"/>
    </row>
    <row r="3603" spans="1:29" ht="13.5" x14ac:dyDescent="0.2">
      <c r="A3603" s="179"/>
      <c r="B3603" s="3436" t="s">
        <v>13</v>
      </c>
      <c r="C3603" s="3140">
        <v>9001</v>
      </c>
      <c r="D3603" s="2980" t="s">
        <v>160</v>
      </c>
      <c r="E3603" s="2981"/>
      <c r="F3603" s="2981"/>
      <c r="G3603" s="2981"/>
      <c r="H3603" s="2981"/>
      <c r="I3603" s="1139"/>
      <c r="J3603" s="238"/>
      <c r="K3603" s="238"/>
      <c r="L3603" s="28"/>
      <c r="M3603" s="239"/>
      <c r="N3603" s="239"/>
      <c r="O3603" s="204"/>
      <c r="P3603" s="204"/>
      <c r="Q3603" s="204"/>
      <c r="R3603" s="204"/>
      <c r="S3603" s="205"/>
      <c r="T3603" s="205"/>
      <c r="U3603" s="205"/>
      <c r="V3603" s="205"/>
      <c r="W3603" s="205"/>
      <c r="X3603" s="2305" t="s">
        <v>15</v>
      </c>
      <c r="Y3603" s="2305"/>
      <c r="Z3603" s="2305"/>
      <c r="AA3603" s="2305"/>
      <c r="AB3603" s="2314" t="s">
        <v>16</v>
      </c>
      <c r="AC3603" s="2316"/>
    </row>
    <row r="3604" spans="1:29" ht="13.5" x14ac:dyDescent="0.2">
      <c r="A3604" s="179"/>
      <c r="B3604" s="3436"/>
      <c r="C3604" s="3018"/>
      <c r="D3604" s="3437"/>
      <c r="E3604" s="3438"/>
      <c r="F3604" s="3438"/>
      <c r="G3604" s="3438"/>
      <c r="H3604" s="3438"/>
      <c r="I3604" s="460"/>
      <c r="J3604" s="240"/>
      <c r="K3604" s="240"/>
      <c r="L3604" s="84"/>
      <c r="M3604" s="241"/>
      <c r="N3604" s="241"/>
      <c r="O3604" s="206"/>
      <c r="P3604" s="206"/>
      <c r="Q3604" s="206"/>
      <c r="R3604" s="206"/>
      <c r="S3604" s="207"/>
      <c r="T3604" s="207"/>
      <c r="U3604" s="207"/>
      <c r="V3604" s="207"/>
      <c r="W3604" s="207"/>
      <c r="X3604" s="2306" t="s">
        <v>1213</v>
      </c>
      <c r="Y3604" s="2962"/>
      <c r="Z3604" s="2962"/>
      <c r="AA3604" s="2307"/>
      <c r="AB3604" s="2306" t="s">
        <v>1213</v>
      </c>
      <c r="AC3604" s="2307"/>
    </row>
    <row r="3605" spans="1:29" ht="13.5" x14ac:dyDescent="0.2">
      <c r="A3605" s="179"/>
      <c r="B3605" s="3436"/>
      <c r="C3605" s="3141"/>
      <c r="D3605" s="2982"/>
      <c r="E3605" s="2983"/>
      <c r="F3605" s="2983"/>
      <c r="G3605" s="2983"/>
      <c r="H3605" s="2983"/>
      <c r="I3605" s="1155"/>
      <c r="J3605" s="242"/>
      <c r="K3605" s="242"/>
      <c r="L3605" s="31"/>
      <c r="M3605" s="243"/>
      <c r="N3605" s="243"/>
      <c r="O3605" s="208"/>
      <c r="P3605" s="208"/>
      <c r="Q3605" s="208"/>
      <c r="R3605" s="208"/>
      <c r="S3605" s="209"/>
      <c r="T3605" s="209"/>
      <c r="U3605" s="209"/>
      <c r="V3605" s="209"/>
      <c r="W3605" s="209"/>
      <c r="X3605" s="2963"/>
      <c r="Y3605" s="2964"/>
      <c r="Z3605" s="2964"/>
      <c r="AA3605" s="2965"/>
      <c r="AB3605" s="2963"/>
      <c r="AC3605" s="2965"/>
    </row>
    <row r="3606" spans="1:29" ht="12.75" x14ac:dyDescent="0.2">
      <c r="A3606" s="179"/>
      <c r="B3606" s="3436" t="s">
        <v>18</v>
      </c>
      <c r="C3606" s="2993">
        <v>3.9999989999999999</v>
      </c>
      <c r="D3606" s="2840" t="s">
        <v>163</v>
      </c>
      <c r="E3606" s="2840"/>
      <c r="F3606" s="244"/>
      <c r="G3606" s="244"/>
      <c r="H3606" s="244"/>
      <c r="I3606" s="245"/>
      <c r="J3606" s="246"/>
      <c r="K3606" s="246"/>
      <c r="L3606" s="244"/>
      <c r="M3606" s="247"/>
      <c r="N3606" s="247"/>
      <c r="O3606" s="244"/>
      <c r="P3606" s="244"/>
      <c r="Q3606" s="244"/>
      <c r="R3606" s="244"/>
      <c r="S3606" s="28"/>
      <c r="T3606" s="28"/>
      <c r="U3606" s="28"/>
      <c r="V3606" s="28"/>
      <c r="W3606" s="29"/>
      <c r="X3606" s="2840" t="s">
        <v>15</v>
      </c>
      <c r="Y3606" s="2840"/>
      <c r="Z3606" s="2840"/>
      <c r="AA3606" s="2840"/>
      <c r="AB3606" s="2922" t="s">
        <v>16</v>
      </c>
      <c r="AC3606" s="2922"/>
    </row>
    <row r="3607" spans="1:29" ht="12.75" x14ac:dyDescent="0.2">
      <c r="A3607" s="179"/>
      <c r="B3607" s="3436"/>
      <c r="C3607" s="2994"/>
      <c r="D3607" s="2840"/>
      <c r="E3607" s="2840"/>
      <c r="F3607" s="248"/>
      <c r="G3607" s="248"/>
      <c r="H3607" s="248"/>
      <c r="I3607" s="249"/>
      <c r="J3607" s="250"/>
      <c r="K3607" s="250"/>
      <c r="L3607" s="248"/>
      <c r="M3607" s="251"/>
      <c r="N3607" s="251"/>
      <c r="O3607" s="248"/>
      <c r="P3607" s="248"/>
      <c r="Q3607" s="248"/>
      <c r="R3607" s="248"/>
      <c r="S3607" s="31"/>
      <c r="T3607" s="31"/>
      <c r="U3607" s="31"/>
      <c r="V3607" s="31"/>
      <c r="W3607" s="22"/>
      <c r="X3607" s="2671" t="s">
        <v>1213</v>
      </c>
      <c r="Y3607" s="2672"/>
      <c r="Z3607" s="2672"/>
      <c r="AA3607" s="3002"/>
      <c r="AB3607" s="2922" t="s">
        <v>1213</v>
      </c>
      <c r="AC3607" s="2922"/>
    </row>
    <row r="3608" spans="1:29" x14ac:dyDescent="0.2">
      <c r="A3608" s="179"/>
      <c r="B3608" s="3435" t="s">
        <v>20</v>
      </c>
      <c r="C3608" s="2847" t="s">
        <v>21</v>
      </c>
      <c r="D3608" s="2847" t="s">
        <v>22</v>
      </c>
      <c r="E3608" s="2847" t="s">
        <v>23</v>
      </c>
      <c r="F3608" s="2847" t="s">
        <v>164</v>
      </c>
      <c r="G3608" s="2847" t="s">
        <v>25</v>
      </c>
      <c r="H3608" s="2847" t="s">
        <v>26</v>
      </c>
      <c r="I3608" s="2847" t="s">
        <v>27</v>
      </c>
      <c r="J3608" s="3433" t="s">
        <v>28</v>
      </c>
      <c r="K3608" s="3433"/>
      <c r="L3608" s="2847" t="s">
        <v>29</v>
      </c>
      <c r="M3608" s="3433" t="s">
        <v>1512</v>
      </c>
      <c r="N3608" s="3433"/>
      <c r="O3608" s="2847" t="s">
        <v>30</v>
      </c>
      <c r="P3608" s="2847"/>
      <c r="Q3608" s="2916" t="s">
        <v>31</v>
      </c>
      <c r="R3608" s="2916"/>
      <c r="S3608" s="2916"/>
      <c r="T3608" s="2916"/>
      <c r="U3608" s="2916"/>
      <c r="V3608" s="2916"/>
      <c r="W3608" s="2916"/>
      <c r="X3608" s="2916"/>
      <c r="Y3608" s="2916"/>
      <c r="Z3608" s="2916"/>
      <c r="AA3608" s="2916"/>
      <c r="AB3608" s="2916"/>
      <c r="AC3608" s="2916" t="s">
        <v>32</v>
      </c>
    </row>
    <row r="3609" spans="1:29" x14ac:dyDescent="0.2">
      <c r="A3609" s="179"/>
      <c r="B3609" s="3435"/>
      <c r="C3609" s="2847"/>
      <c r="D3609" s="2847"/>
      <c r="E3609" s="2847"/>
      <c r="F3609" s="2847"/>
      <c r="G3609" s="2847"/>
      <c r="H3609" s="2847"/>
      <c r="I3609" s="2847"/>
      <c r="J3609" s="1117" t="s">
        <v>33</v>
      </c>
      <c r="K3609" s="1117" t="s">
        <v>34</v>
      </c>
      <c r="L3609" s="2847"/>
      <c r="M3609" s="1117" t="s">
        <v>1513</v>
      </c>
      <c r="N3609" s="1371" t="s">
        <v>1514</v>
      </c>
      <c r="O3609" s="2847"/>
      <c r="P3609" s="2847"/>
      <c r="Q3609" s="1094" t="s">
        <v>35</v>
      </c>
      <c r="R3609" s="1094" t="s">
        <v>36</v>
      </c>
      <c r="S3609" s="1094" t="s">
        <v>37</v>
      </c>
      <c r="T3609" s="1094" t="s">
        <v>38</v>
      </c>
      <c r="U3609" s="1094" t="s">
        <v>39</v>
      </c>
      <c r="V3609" s="1094" t="s">
        <v>40</v>
      </c>
      <c r="W3609" s="1094" t="s">
        <v>41</v>
      </c>
      <c r="X3609" s="1094" t="s">
        <v>42</v>
      </c>
      <c r="Y3609" s="1094" t="s">
        <v>43</v>
      </c>
      <c r="Z3609" s="1094" t="s">
        <v>44</v>
      </c>
      <c r="AA3609" s="1094" t="s">
        <v>45</v>
      </c>
      <c r="AB3609" s="1094" t="s">
        <v>46</v>
      </c>
      <c r="AC3609" s="2916"/>
    </row>
    <row r="3610" spans="1:29" x14ac:dyDescent="0.2">
      <c r="A3610" s="179"/>
      <c r="B3610" s="3434" t="s">
        <v>1515</v>
      </c>
      <c r="C3610" s="3208" t="s">
        <v>1516</v>
      </c>
      <c r="D3610" s="2943"/>
      <c r="E3610" s="2943" t="s">
        <v>1517</v>
      </c>
      <c r="F3610" s="2943" t="s">
        <v>148</v>
      </c>
      <c r="G3610" s="2943" t="s">
        <v>149</v>
      </c>
      <c r="H3610" s="3454" t="s">
        <v>1518</v>
      </c>
      <c r="I3610" s="3434" t="s">
        <v>1519</v>
      </c>
      <c r="J3610" s="2942">
        <v>64432.000000000007</v>
      </c>
      <c r="K3610" s="2942">
        <v>7296665</v>
      </c>
      <c r="L3610" s="3454" t="s">
        <v>1520</v>
      </c>
      <c r="M3610" s="252"/>
      <c r="N3610" s="252"/>
      <c r="O3610" s="3451" t="s">
        <v>51</v>
      </c>
      <c r="P3610" s="3452"/>
      <c r="Q3610" s="253">
        <f>+J3610/12</f>
        <v>5369.3333333333339</v>
      </c>
      <c r="R3610" s="253">
        <v>5369.333333333333</v>
      </c>
      <c r="S3610" s="253">
        <v>5369.333333333333</v>
      </c>
      <c r="T3610" s="253">
        <v>5369.333333333333</v>
      </c>
      <c r="U3610" s="253">
        <v>5369.333333333333</v>
      </c>
      <c r="V3610" s="253">
        <v>5369.333333333333</v>
      </c>
      <c r="W3610" s="253">
        <v>5369.333333333333</v>
      </c>
      <c r="X3610" s="253">
        <v>5369.333333333333</v>
      </c>
      <c r="Y3610" s="253">
        <v>5369.333333333333</v>
      </c>
      <c r="Z3610" s="253">
        <v>5369.333333333333</v>
      </c>
      <c r="AA3610" s="253">
        <v>5369.333333333333</v>
      </c>
      <c r="AB3610" s="253">
        <v>5369.333333333333</v>
      </c>
      <c r="AC3610" s="253">
        <f>SUM(Q3610:AB3610)</f>
        <v>64432.000000000007</v>
      </c>
    </row>
    <row r="3611" spans="1:29" x14ac:dyDescent="0.2">
      <c r="A3611" s="179"/>
      <c r="B3611" s="3434"/>
      <c r="C3611" s="3208"/>
      <c r="D3611" s="2943"/>
      <c r="E3611" s="2943"/>
      <c r="F3611" s="2943"/>
      <c r="G3611" s="2943"/>
      <c r="H3611" s="3454"/>
      <c r="I3611" s="3434"/>
      <c r="J3611" s="3455"/>
      <c r="K3611" s="2942"/>
      <c r="L3611" s="3454"/>
      <c r="M3611" s="252"/>
      <c r="N3611" s="252"/>
      <c r="O3611" s="3453" t="s">
        <v>111</v>
      </c>
      <c r="P3611" s="3453"/>
      <c r="Q3611" s="253">
        <f t="shared" ref="Q3611:AC3611" si="592">SUM(Q3612:Q3634)</f>
        <v>15348.999999999998</v>
      </c>
      <c r="R3611" s="253">
        <f t="shared" si="592"/>
        <v>24439.181818181823</v>
      </c>
      <c r="S3611" s="253">
        <f t="shared" si="592"/>
        <v>34467.181818181823</v>
      </c>
      <c r="T3611" s="253">
        <f t="shared" si="592"/>
        <v>37633.848484848473</v>
      </c>
      <c r="U3611" s="253">
        <f t="shared" si="592"/>
        <v>33717.181818181823</v>
      </c>
      <c r="V3611" s="253">
        <f t="shared" si="592"/>
        <v>36383.848484848488</v>
      </c>
      <c r="W3611" s="253">
        <f t="shared" si="592"/>
        <v>35198.181818181823</v>
      </c>
      <c r="X3611" s="253">
        <f t="shared" si="592"/>
        <v>33717.181818181823</v>
      </c>
      <c r="Y3611" s="253">
        <f t="shared" si="592"/>
        <v>35633.848484848488</v>
      </c>
      <c r="Z3611" s="253">
        <f t="shared" si="592"/>
        <v>33717.181818181823</v>
      </c>
      <c r="AA3611" s="253">
        <f t="shared" si="592"/>
        <v>33717.181818181823</v>
      </c>
      <c r="AB3611" s="253">
        <f t="shared" si="592"/>
        <v>34698.181818181823</v>
      </c>
      <c r="AC3611" s="253">
        <f t="shared" si="592"/>
        <v>388672</v>
      </c>
    </row>
    <row r="3612" spans="1:29" x14ac:dyDescent="0.2">
      <c r="A3612" s="179"/>
      <c r="B3612" s="3434"/>
      <c r="C3612" s="3208"/>
      <c r="D3612" s="2943"/>
      <c r="E3612" s="2943"/>
      <c r="F3612" s="2943"/>
      <c r="G3612" s="2943"/>
      <c r="H3612" s="3454"/>
      <c r="I3612" s="3434"/>
      <c r="J3612" s="3455"/>
      <c r="K3612" s="2942"/>
      <c r="L3612" s="3454"/>
      <c r="M3612" s="115">
        <v>28740</v>
      </c>
      <c r="N3612" s="1109"/>
      <c r="O3612" s="38" t="s">
        <v>1314</v>
      </c>
      <c r="P3612" s="38" t="s">
        <v>1315</v>
      </c>
      <c r="Q3612" s="118">
        <f>SUM(M3612/12)</f>
        <v>2395</v>
      </c>
      <c r="R3612" s="118">
        <v>2395</v>
      </c>
      <c r="S3612" s="118">
        <v>2395</v>
      </c>
      <c r="T3612" s="118">
        <v>2395</v>
      </c>
      <c r="U3612" s="118">
        <v>2395</v>
      </c>
      <c r="V3612" s="118">
        <v>2395</v>
      </c>
      <c r="W3612" s="118">
        <v>2395</v>
      </c>
      <c r="X3612" s="118">
        <v>2395</v>
      </c>
      <c r="Y3612" s="118">
        <v>2395</v>
      </c>
      <c r="Z3612" s="118">
        <v>2395</v>
      </c>
      <c r="AA3612" s="118">
        <v>2395</v>
      </c>
      <c r="AB3612" s="118">
        <v>2395</v>
      </c>
      <c r="AC3612" s="118">
        <f>SUM(Q3612:AB3612)</f>
        <v>28740</v>
      </c>
    </row>
    <row r="3613" spans="1:29" x14ac:dyDescent="0.2">
      <c r="A3613" s="179"/>
      <c r="B3613" s="3434"/>
      <c r="C3613" s="3208"/>
      <c r="D3613" s="2943"/>
      <c r="E3613" s="2943"/>
      <c r="F3613" s="2943"/>
      <c r="G3613" s="2943"/>
      <c r="H3613" s="3454"/>
      <c r="I3613" s="3434"/>
      <c r="J3613" s="3455"/>
      <c r="K3613" s="2942"/>
      <c r="L3613" s="3454"/>
      <c r="M3613" s="115">
        <v>9622</v>
      </c>
      <c r="N3613" s="1109"/>
      <c r="O3613" s="38" t="s">
        <v>1316</v>
      </c>
      <c r="P3613" s="38" t="s">
        <v>1317</v>
      </c>
      <c r="Q3613" s="118">
        <f>SUM(M3613/12)</f>
        <v>801.83333333333337</v>
      </c>
      <c r="R3613" s="118">
        <v>801.83333333333337</v>
      </c>
      <c r="S3613" s="118">
        <v>801.83333333333337</v>
      </c>
      <c r="T3613" s="118">
        <v>801.83333333333337</v>
      </c>
      <c r="U3613" s="118">
        <v>801.83333333333337</v>
      </c>
      <c r="V3613" s="118">
        <v>801.83333333333337</v>
      </c>
      <c r="W3613" s="118">
        <v>801.83333333333337</v>
      </c>
      <c r="X3613" s="118">
        <v>801.83333333333337</v>
      </c>
      <c r="Y3613" s="118">
        <v>801.83333333333337</v>
      </c>
      <c r="Z3613" s="118">
        <v>801.83333333333337</v>
      </c>
      <c r="AA3613" s="118">
        <v>801.83333333333337</v>
      </c>
      <c r="AB3613" s="118">
        <v>801.83333333333337</v>
      </c>
      <c r="AC3613" s="118">
        <f t="shared" ref="AC3613:AC3640" si="593">SUM(Q3613:AB3613)</f>
        <v>9622</v>
      </c>
    </row>
    <row r="3614" spans="1:29" x14ac:dyDescent="0.2">
      <c r="A3614" s="179"/>
      <c r="B3614" s="3434"/>
      <c r="C3614" s="3208"/>
      <c r="D3614" s="2943"/>
      <c r="E3614" s="2943"/>
      <c r="F3614" s="2943"/>
      <c r="G3614" s="2943"/>
      <c r="H3614" s="3454"/>
      <c r="I3614" s="3434"/>
      <c r="J3614" s="3455"/>
      <c r="K3614" s="2942"/>
      <c r="L3614" s="3454"/>
      <c r="M3614" s="115">
        <v>80522</v>
      </c>
      <c r="N3614" s="1109"/>
      <c r="O3614" s="38" t="s">
        <v>1318</v>
      </c>
      <c r="P3614" s="38" t="s">
        <v>1319</v>
      </c>
      <c r="Q3614" s="118">
        <f>SUM(M3614/12)</f>
        <v>6710.166666666667</v>
      </c>
      <c r="R3614" s="118">
        <v>6710.166666666667</v>
      </c>
      <c r="S3614" s="118">
        <v>6710.166666666667</v>
      </c>
      <c r="T3614" s="118">
        <v>6710.166666666667</v>
      </c>
      <c r="U3614" s="118">
        <v>6710.166666666667</v>
      </c>
      <c r="V3614" s="118">
        <v>6710.166666666667</v>
      </c>
      <c r="W3614" s="118">
        <v>6710.166666666667</v>
      </c>
      <c r="X3614" s="118">
        <v>6710.166666666667</v>
      </c>
      <c r="Y3614" s="118">
        <v>6710.166666666667</v>
      </c>
      <c r="Z3614" s="118">
        <v>6710.166666666667</v>
      </c>
      <c r="AA3614" s="118">
        <v>6710.166666666667</v>
      </c>
      <c r="AB3614" s="118">
        <v>6710.166666666667</v>
      </c>
      <c r="AC3614" s="118">
        <f t="shared" si="593"/>
        <v>80522</v>
      </c>
    </row>
    <row r="3615" spans="1:29" x14ac:dyDescent="0.2">
      <c r="A3615" s="179"/>
      <c r="B3615" s="3434"/>
      <c r="C3615" s="3208"/>
      <c r="D3615" s="2943"/>
      <c r="E3615" s="2943"/>
      <c r="F3615" s="2943"/>
      <c r="G3615" s="2943"/>
      <c r="H3615" s="3454"/>
      <c r="I3615" s="3434"/>
      <c r="J3615" s="3455"/>
      <c r="K3615" s="2942"/>
      <c r="L3615" s="3454"/>
      <c r="M3615" s="115">
        <v>1962</v>
      </c>
      <c r="N3615" s="1109"/>
      <c r="O3615" s="38" t="s">
        <v>1320</v>
      </c>
      <c r="P3615" s="38" t="s">
        <v>1321</v>
      </c>
      <c r="Q3615" s="118"/>
      <c r="R3615" s="118"/>
      <c r="S3615" s="118"/>
      <c r="T3615" s="118"/>
      <c r="U3615" s="118"/>
      <c r="V3615" s="118"/>
      <c r="W3615" s="118">
        <f>SUM(M3615/2)</f>
        <v>981</v>
      </c>
      <c r="X3615" s="118"/>
      <c r="Y3615" s="118"/>
      <c r="Z3615" s="118"/>
      <c r="AA3615" s="118"/>
      <c r="AB3615" s="118">
        <v>981</v>
      </c>
      <c r="AC3615" s="118">
        <f>SUM(W3615+AB3615)</f>
        <v>1962</v>
      </c>
    </row>
    <row r="3616" spans="1:29" x14ac:dyDescent="0.2">
      <c r="A3616" s="179"/>
      <c r="B3616" s="3434"/>
      <c r="C3616" s="3208"/>
      <c r="D3616" s="2943"/>
      <c r="E3616" s="2943"/>
      <c r="F3616" s="2943"/>
      <c r="G3616" s="2943"/>
      <c r="H3616" s="3454"/>
      <c r="I3616" s="3434"/>
      <c r="J3616" s="3455"/>
      <c r="K3616" s="2942"/>
      <c r="L3616" s="3454"/>
      <c r="M3616" s="115">
        <v>1200</v>
      </c>
      <c r="N3616" s="1109"/>
      <c r="O3616" s="38" t="s">
        <v>1322</v>
      </c>
      <c r="P3616" s="38" t="s">
        <v>1323</v>
      </c>
      <c r="Q3616" s="118">
        <v>1200</v>
      </c>
      <c r="R3616" s="118"/>
      <c r="S3616" s="118"/>
      <c r="T3616" s="118"/>
      <c r="U3616" s="118"/>
      <c r="V3616" s="118"/>
      <c r="W3616" s="118"/>
      <c r="X3616" s="118"/>
      <c r="Y3616" s="118"/>
      <c r="Z3616" s="118"/>
      <c r="AA3616" s="118"/>
      <c r="AB3616" s="118"/>
      <c r="AC3616" s="118">
        <f t="shared" si="593"/>
        <v>1200</v>
      </c>
    </row>
    <row r="3617" spans="1:29" x14ac:dyDescent="0.2">
      <c r="A3617" s="179"/>
      <c r="B3617" s="3434"/>
      <c r="C3617" s="3208"/>
      <c r="D3617" s="2943"/>
      <c r="E3617" s="2943"/>
      <c r="F3617" s="2943"/>
      <c r="G3617" s="2943"/>
      <c r="H3617" s="3454"/>
      <c r="I3617" s="3434"/>
      <c r="J3617" s="3455"/>
      <c r="K3617" s="2942"/>
      <c r="L3617" s="3454"/>
      <c r="M3617" s="115">
        <v>3609</v>
      </c>
      <c r="N3617" s="1109"/>
      <c r="O3617" s="38" t="s">
        <v>1328</v>
      </c>
      <c r="P3617" s="38" t="s">
        <v>1329</v>
      </c>
      <c r="Q3617" s="118">
        <f>SUM(M3617/12)</f>
        <v>300.75</v>
      </c>
      <c r="R3617" s="118">
        <v>300.75</v>
      </c>
      <c r="S3617" s="118">
        <v>300.75</v>
      </c>
      <c r="T3617" s="118">
        <v>300.75</v>
      </c>
      <c r="U3617" s="118">
        <v>300.75</v>
      </c>
      <c r="V3617" s="118">
        <v>300.75</v>
      </c>
      <c r="W3617" s="118">
        <v>300.75</v>
      </c>
      <c r="X3617" s="118">
        <v>300.75</v>
      </c>
      <c r="Y3617" s="118">
        <v>300.75</v>
      </c>
      <c r="Z3617" s="118">
        <v>300.75</v>
      </c>
      <c r="AA3617" s="118">
        <v>300.75</v>
      </c>
      <c r="AB3617" s="118">
        <v>300.75</v>
      </c>
      <c r="AC3617" s="118">
        <f t="shared" si="593"/>
        <v>3609</v>
      </c>
    </row>
    <row r="3618" spans="1:29" x14ac:dyDescent="0.2">
      <c r="A3618" s="179"/>
      <c r="B3618" s="3434"/>
      <c r="C3618" s="3208"/>
      <c r="D3618" s="2943"/>
      <c r="E3618" s="2943"/>
      <c r="F3618" s="2943"/>
      <c r="G3618" s="2943"/>
      <c r="H3618" s="3454"/>
      <c r="I3618" s="3434"/>
      <c r="J3618" s="3455"/>
      <c r="K3618" s="2942"/>
      <c r="L3618" s="3454"/>
      <c r="M3618" s="115">
        <v>3812</v>
      </c>
      <c r="N3618" s="115"/>
      <c r="O3618" s="38" t="s">
        <v>1219</v>
      </c>
      <c r="P3618" s="38" t="s">
        <v>1220</v>
      </c>
      <c r="Q3618" s="118"/>
      <c r="R3618" s="118">
        <f>SUM(M3618+N3618)/11</f>
        <v>346.54545454545456</v>
      </c>
      <c r="S3618" s="118">
        <v>346.54545454545456</v>
      </c>
      <c r="T3618" s="118">
        <v>346.54545454545456</v>
      </c>
      <c r="U3618" s="118">
        <v>346.54545454545456</v>
      </c>
      <c r="V3618" s="118">
        <v>346.54545454545456</v>
      </c>
      <c r="W3618" s="118">
        <v>346.54545454545456</v>
      </c>
      <c r="X3618" s="118">
        <v>346.54545454545456</v>
      </c>
      <c r="Y3618" s="118">
        <v>346.54545454545456</v>
      </c>
      <c r="Z3618" s="118">
        <v>346.54545454545456</v>
      </c>
      <c r="AA3618" s="118">
        <v>346.54545454545456</v>
      </c>
      <c r="AB3618" s="118">
        <v>346.54545454545456</v>
      </c>
      <c r="AC3618" s="118">
        <f t="shared" si="593"/>
        <v>3812</v>
      </c>
    </row>
    <row r="3619" spans="1:29" x14ac:dyDescent="0.2">
      <c r="A3619" s="179"/>
      <c r="B3619" s="3434"/>
      <c r="C3619" s="3208"/>
      <c r="D3619" s="2943"/>
      <c r="E3619" s="2943"/>
      <c r="F3619" s="2943"/>
      <c r="G3619" s="2943"/>
      <c r="H3619" s="3454"/>
      <c r="I3619" s="3434"/>
      <c r="J3619" s="3455"/>
      <c r="K3619" s="2942"/>
      <c r="L3619" s="3454"/>
      <c r="M3619" s="115">
        <v>3500</v>
      </c>
      <c r="N3619" s="1109"/>
      <c r="O3619" s="38" t="s">
        <v>1245</v>
      </c>
      <c r="P3619" s="38" t="s">
        <v>1246</v>
      </c>
      <c r="Q3619" s="118"/>
      <c r="R3619" s="118"/>
      <c r="S3619" s="118">
        <f>SUM(M3619/10)</f>
        <v>350</v>
      </c>
      <c r="T3619" s="118">
        <v>350</v>
      </c>
      <c r="U3619" s="118">
        <v>350</v>
      </c>
      <c r="V3619" s="118">
        <v>350</v>
      </c>
      <c r="W3619" s="118">
        <v>350</v>
      </c>
      <c r="X3619" s="118">
        <v>350</v>
      </c>
      <c r="Y3619" s="118">
        <v>350</v>
      </c>
      <c r="Z3619" s="118">
        <v>350</v>
      </c>
      <c r="AA3619" s="118">
        <v>350</v>
      </c>
      <c r="AB3619" s="118">
        <v>350</v>
      </c>
      <c r="AC3619" s="118">
        <f t="shared" si="593"/>
        <v>3500</v>
      </c>
    </row>
    <row r="3620" spans="1:29" x14ac:dyDescent="0.2">
      <c r="A3620" s="179"/>
      <c r="B3620" s="3434"/>
      <c r="C3620" s="3208"/>
      <c r="D3620" s="2943"/>
      <c r="E3620" s="2943"/>
      <c r="F3620" s="2943"/>
      <c r="G3620" s="2943"/>
      <c r="H3620" s="3454"/>
      <c r="I3620" s="3434"/>
      <c r="J3620" s="3455"/>
      <c r="K3620" s="2942"/>
      <c r="L3620" s="3454"/>
      <c r="M3620" s="115">
        <v>10240</v>
      </c>
      <c r="N3620" s="1109"/>
      <c r="O3620" s="38" t="s">
        <v>1235</v>
      </c>
      <c r="P3620" s="38" t="s">
        <v>1236</v>
      </c>
      <c r="Q3620" s="118"/>
      <c r="R3620" s="118"/>
      <c r="S3620" s="118">
        <f>SUM(M3620/10)</f>
        <v>1024</v>
      </c>
      <c r="T3620" s="118">
        <v>1024</v>
      </c>
      <c r="U3620" s="118">
        <v>1024</v>
      </c>
      <c r="V3620" s="118">
        <v>1024</v>
      </c>
      <c r="W3620" s="118">
        <v>1024</v>
      </c>
      <c r="X3620" s="118">
        <v>1024</v>
      </c>
      <c r="Y3620" s="118">
        <v>1024</v>
      </c>
      <c r="Z3620" s="118">
        <v>1024</v>
      </c>
      <c r="AA3620" s="118">
        <v>1024</v>
      </c>
      <c r="AB3620" s="118">
        <v>1024</v>
      </c>
      <c r="AC3620" s="118">
        <f t="shared" si="593"/>
        <v>10240</v>
      </c>
    </row>
    <row r="3621" spans="1:29" x14ac:dyDescent="0.2">
      <c r="A3621" s="179"/>
      <c r="B3621" s="3434"/>
      <c r="C3621" s="3208"/>
      <c r="D3621" s="2943"/>
      <c r="E3621" s="2943"/>
      <c r="F3621" s="2943"/>
      <c r="G3621" s="2943"/>
      <c r="H3621" s="3454"/>
      <c r="I3621" s="3434"/>
      <c r="J3621" s="3455"/>
      <c r="K3621" s="2942"/>
      <c r="L3621" s="3454"/>
      <c r="M3621" s="115">
        <v>500</v>
      </c>
      <c r="N3621" s="1109"/>
      <c r="O3621" s="38" t="s">
        <v>1267</v>
      </c>
      <c r="P3621" s="38" t="s">
        <v>1268</v>
      </c>
      <c r="Q3621" s="118"/>
      <c r="R3621" s="118"/>
      <c r="S3621" s="118">
        <f>SUM(M3621/2)</f>
        <v>250</v>
      </c>
      <c r="T3621" s="118">
        <v>250</v>
      </c>
      <c r="U3621" s="118"/>
      <c r="V3621" s="118"/>
      <c r="W3621" s="118"/>
      <c r="X3621" s="118"/>
      <c r="Y3621" s="118"/>
      <c r="Z3621" s="118"/>
      <c r="AA3621" s="118"/>
      <c r="AB3621" s="118"/>
      <c r="AC3621" s="118">
        <f t="shared" si="593"/>
        <v>500</v>
      </c>
    </row>
    <row r="3622" spans="1:29" x14ac:dyDescent="0.2">
      <c r="A3622" s="179"/>
      <c r="B3622" s="3434"/>
      <c r="C3622" s="3208"/>
      <c r="D3622" s="2943"/>
      <c r="E3622" s="2943"/>
      <c r="F3622" s="2943"/>
      <c r="G3622" s="2943"/>
      <c r="H3622" s="3454"/>
      <c r="I3622" s="3434"/>
      <c r="J3622" s="3455"/>
      <c r="K3622" s="2942"/>
      <c r="L3622" s="3454"/>
      <c r="M3622" s="115">
        <v>2500</v>
      </c>
      <c r="N3622" s="1109"/>
      <c r="O3622" s="38" t="s">
        <v>1269</v>
      </c>
      <c r="P3622" s="38" t="s">
        <v>1270</v>
      </c>
      <c r="Q3622" s="118"/>
      <c r="R3622" s="118"/>
      <c r="S3622" s="118"/>
      <c r="T3622" s="118">
        <f>SUM(M3622/2)</f>
        <v>1250</v>
      </c>
      <c r="U3622" s="118"/>
      <c r="V3622" s="118">
        <v>1250</v>
      </c>
      <c r="W3622" s="118"/>
      <c r="X3622" s="118"/>
      <c r="Y3622" s="118"/>
      <c r="Z3622" s="118"/>
      <c r="AA3622" s="118"/>
      <c r="AB3622" s="118"/>
      <c r="AC3622" s="118">
        <f t="shared" si="593"/>
        <v>2500</v>
      </c>
    </row>
    <row r="3623" spans="1:29" x14ac:dyDescent="0.2">
      <c r="A3623" s="179"/>
      <c r="B3623" s="3434"/>
      <c r="C3623" s="3208"/>
      <c r="D3623" s="2943"/>
      <c r="E3623" s="2943"/>
      <c r="F3623" s="2943"/>
      <c r="G3623" s="2943"/>
      <c r="H3623" s="3454"/>
      <c r="I3623" s="3434"/>
      <c r="J3623" s="3455"/>
      <c r="K3623" s="2942"/>
      <c r="L3623" s="3454"/>
      <c r="M3623" s="115">
        <v>1000</v>
      </c>
      <c r="N3623" s="1109"/>
      <c r="O3623" s="38" t="s">
        <v>1521</v>
      </c>
      <c r="P3623" s="38" t="s">
        <v>1522</v>
      </c>
      <c r="Q3623" s="118"/>
      <c r="R3623" s="118"/>
      <c r="S3623" s="118">
        <v>500</v>
      </c>
      <c r="T3623" s="118"/>
      <c r="U3623" s="118"/>
      <c r="V3623" s="118"/>
      <c r="W3623" s="118">
        <v>500</v>
      </c>
      <c r="X3623" s="118"/>
      <c r="Y3623" s="118"/>
      <c r="Z3623" s="118"/>
      <c r="AA3623" s="118"/>
      <c r="AB3623" s="118"/>
      <c r="AC3623" s="118">
        <f t="shared" si="593"/>
        <v>1000</v>
      </c>
    </row>
    <row r="3624" spans="1:29" x14ac:dyDescent="0.2">
      <c r="A3624" s="179"/>
      <c r="B3624" s="3434"/>
      <c r="C3624" s="3208"/>
      <c r="D3624" s="2943"/>
      <c r="E3624" s="2943"/>
      <c r="F3624" s="2943"/>
      <c r="G3624" s="2943"/>
      <c r="H3624" s="3454"/>
      <c r="I3624" s="3434"/>
      <c r="J3624" s="3455"/>
      <c r="K3624" s="2942"/>
      <c r="L3624" s="3454"/>
      <c r="M3624" s="115">
        <v>1500</v>
      </c>
      <c r="N3624" s="1109"/>
      <c r="O3624" s="38" t="s">
        <v>1523</v>
      </c>
      <c r="P3624" s="38" t="s">
        <v>1524</v>
      </c>
      <c r="Q3624" s="118"/>
      <c r="R3624" s="118"/>
      <c r="S3624" s="118"/>
      <c r="T3624" s="118">
        <v>1000</v>
      </c>
      <c r="U3624" s="118"/>
      <c r="V3624" s="118"/>
      <c r="W3624" s="118"/>
      <c r="X3624" s="118"/>
      <c r="Y3624" s="118">
        <v>500</v>
      </c>
      <c r="Z3624" s="118"/>
      <c r="AA3624" s="118"/>
      <c r="AB3624" s="118"/>
      <c r="AC3624" s="118">
        <f t="shared" si="593"/>
        <v>1500</v>
      </c>
    </row>
    <row r="3625" spans="1:29" x14ac:dyDescent="0.2">
      <c r="A3625" s="179"/>
      <c r="B3625" s="3434"/>
      <c r="C3625" s="3208"/>
      <c r="D3625" s="2943"/>
      <c r="E3625" s="2943"/>
      <c r="F3625" s="2943"/>
      <c r="G3625" s="2943"/>
      <c r="H3625" s="3454"/>
      <c r="I3625" s="3434"/>
      <c r="J3625" s="3455"/>
      <c r="K3625" s="2942"/>
      <c r="L3625" s="3454"/>
      <c r="M3625" s="115">
        <v>4250</v>
      </c>
      <c r="N3625" s="1109"/>
      <c r="O3625" s="38" t="s">
        <v>1249</v>
      </c>
      <c r="P3625" s="38" t="s">
        <v>1250</v>
      </c>
      <c r="Q3625" s="118"/>
      <c r="R3625" s="118"/>
      <c r="S3625" s="118"/>
      <c r="T3625" s="118">
        <f>SUM(M3625/3)</f>
        <v>1416.6666666666667</v>
      </c>
      <c r="U3625" s="118"/>
      <c r="V3625" s="118">
        <v>1416.6666666666667</v>
      </c>
      <c r="W3625" s="118"/>
      <c r="X3625" s="118"/>
      <c r="Y3625" s="118">
        <v>1416.6666666666667</v>
      </c>
      <c r="Z3625" s="118"/>
      <c r="AA3625" s="118"/>
      <c r="AB3625" s="118"/>
      <c r="AC3625" s="118">
        <f t="shared" si="593"/>
        <v>4250</v>
      </c>
    </row>
    <row r="3626" spans="1:29" x14ac:dyDescent="0.2">
      <c r="A3626" s="179"/>
      <c r="B3626" s="3434"/>
      <c r="C3626" s="3208"/>
      <c r="D3626" s="2943"/>
      <c r="E3626" s="2943"/>
      <c r="F3626" s="2943"/>
      <c r="G3626" s="2943"/>
      <c r="H3626" s="3454"/>
      <c r="I3626" s="3434"/>
      <c r="J3626" s="3455"/>
      <c r="K3626" s="2942"/>
      <c r="L3626" s="3454"/>
      <c r="M3626" s="115">
        <v>12130</v>
      </c>
      <c r="N3626" s="115"/>
      <c r="O3626" s="38" t="s">
        <v>1237</v>
      </c>
      <c r="P3626" s="38" t="s">
        <v>1238</v>
      </c>
      <c r="Q3626" s="118"/>
      <c r="R3626" s="118"/>
      <c r="S3626" s="118">
        <f>SUM(M3626+N3626)/10</f>
        <v>1213</v>
      </c>
      <c r="T3626" s="118">
        <v>1213</v>
      </c>
      <c r="U3626" s="118">
        <v>1213</v>
      </c>
      <c r="V3626" s="118">
        <v>1213</v>
      </c>
      <c r="W3626" s="118">
        <v>1213</v>
      </c>
      <c r="X3626" s="118">
        <v>1213</v>
      </c>
      <c r="Y3626" s="118">
        <v>1213</v>
      </c>
      <c r="Z3626" s="118">
        <v>1213</v>
      </c>
      <c r="AA3626" s="118">
        <v>1213</v>
      </c>
      <c r="AB3626" s="118">
        <v>1213</v>
      </c>
      <c r="AC3626" s="118">
        <f t="shared" si="593"/>
        <v>12130</v>
      </c>
    </row>
    <row r="3627" spans="1:29" x14ac:dyDescent="0.2">
      <c r="A3627" s="179"/>
      <c r="B3627" s="3434"/>
      <c r="C3627" s="3208"/>
      <c r="D3627" s="2943"/>
      <c r="E3627" s="2943"/>
      <c r="F3627" s="2943"/>
      <c r="G3627" s="2943"/>
      <c r="H3627" s="3454"/>
      <c r="I3627" s="3434"/>
      <c r="J3627" s="3455"/>
      <c r="K3627" s="2942"/>
      <c r="L3627" s="3454"/>
      <c r="M3627" s="115">
        <v>66550</v>
      </c>
      <c r="N3627" s="115"/>
      <c r="O3627" s="38" t="s">
        <v>1239</v>
      </c>
      <c r="P3627" s="38" t="s">
        <v>1240</v>
      </c>
      <c r="Q3627" s="118"/>
      <c r="R3627" s="118"/>
      <c r="S3627" s="118">
        <f>SUM(M3627+N3627)/10</f>
        <v>6655</v>
      </c>
      <c r="T3627" s="118">
        <v>6655</v>
      </c>
      <c r="U3627" s="118">
        <v>6655</v>
      </c>
      <c r="V3627" s="118">
        <v>6655</v>
      </c>
      <c r="W3627" s="118">
        <v>6655</v>
      </c>
      <c r="X3627" s="118">
        <v>6655</v>
      </c>
      <c r="Y3627" s="118">
        <v>6655</v>
      </c>
      <c r="Z3627" s="118">
        <v>6655</v>
      </c>
      <c r="AA3627" s="118">
        <v>6655</v>
      </c>
      <c r="AB3627" s="118">
        <v>6655</v>
      </c>
      <c r="AC3627" s="118">
        <f t="shared" si="593"/>
        <v>66550</v>
      </c>
    </row>
    <row r="3628" spans="1:29" x14ac:dyDescent="0.2">
      <c r="A3628" s="179"/>
      <c r="B3628" s="3434"/>
      <c r="C3628" s="3208"/>
      <c r="D3628" s="2943"/>
      <c r="E3628" s="2943"/>
      <c r="F3628" s="2943"/>
      <c r="G3628" s="2943"/>
      <c r="H3628" s="3454"/>
      <c r="I3628" s="3434"/>
      <c r="J3628" s="3455"/>
      <c r="K3628" s="2942"/>
      <c r="L3628" s="3454"/>
      <c r="M3628" s="115">
        <v>103400</v>
      </c>
      <c r="N3628" s="1109"/>
      <c r="O3628" s="38" t="s">
        <v>1280</v>
      </c>
      <c r="P3628" s="38" t="s">
        <v>1281</v>
      </c>
      <c r="Q3628" s="118"/>
      <c r="R3628" s="118">
        <f>SUM(M3628/11)</f>
        <v>9400</v>
      </c>
      <c r="S3628" s="118">
        <v>9400</v>
      </c>
      <c r="T3628" s="118">
        <v>9400</v>
      </c>
      <c r="U3628" s="118">
        <v>9400</v>
      </c>
      <c r="V3628" s="118">
        <v>9400</v>
      </c>
      <c r="W3628" s="118">
        <v>9400</v>
      </c>
      <c r="X3628" s="118">
        <v>9400</v>
      </c>
      <c r="Y3628" s="118">
        <v>9400</v>
      </c>
      <c r="Z3628" s="118">
        <v>9400</v>
      </c>
      <c r="AA3628" s="118">
        <v>9400</v>
      </c>
      <c r="AB3628" s="118">
        <v>9400</v>
      </c>
      <c r="AC3628" s="118">
        <f t="shared" si="593"/>
        <v>103400</v>
      </c>
    </row>
    <row r="3629" spans="1:29" x14ac:dyDescent="0.2">
      <c r="A3629" s="179"/>
      <c r="B3629" s="3434"/>
      <c r="C3629" s="3208"/>
      <c r="D3629" s="2943"/>
      <c r="E3629" s="2943"/>
      <c r="F3629" s="2943"/>
      <c r="G3629" s="2943"/>
      <c r="H3629" s="3454"/>
      <c r="I3629" s="3434"/>
      <c r="J3629" s="3455"/>
      <c r="K3629" s="2942"/>
      <c r="L3629" s="3454"/>
      <c r="M3629" s="115">
        <v>1400</v>
      </c>
      <c r="N3629" s="1109"/>
      <c r="O3629" s="38" t="s">
        <v>1288</v>
      </c>
      <c r="P3629" s="38" t="s">
        <v>1289</v>
      </c>
      <c r="Q3629" s="118">
        <f>SUM(M3629/12)</f>
        <v>116.66666666666667</v>
      </c>
      <c r="R3629" s="118">
        <v>116.66666666666667</v>
      </c>
      <c r="S3629" s="118">
        <v>116.66666666666667</v>
      </c>
      <c r="T3629" s="118">
        <v>116.66666666666667</v>
      </c>
      <c r="U3629" s="118">
        <v>116.66666666666667</v>
      </c>
      <c r="V3629" s="118">
        <v>116.66666666666667</v>
      </c>
      <c r="W3629" s="118">
        <v>116.66666666666667</v>
      </c>
      <c r="X3629" s="118">
        <v>116.66666666666667</v>
      </c>
      <c r="Y3629" s="118">
        <v>116.66666666666667</v>
      </c>
      <c r="Z3629" s="118">
        <v>116.66666666666667</v>
      </c>
      <c r="AA3629" s="118">
        <v>116.66666666666667</v>
      </c>
      <c r="AB3629" s="118">
        <v>116.66666666666667</v>
      </c>
      <c r="AC3629" s="118">
        <f t="shared" si="593"/>
        <v>1400.0000000000002</v>
      </c>
    </row>
    <row r="3630" spans="1:29" x14ac:dyDescent="0.2">
      <c r="A3630" s="179"/>
      <c r="B3630" s="3434"/>
      <c r="C3630" s="3208"/>
      <c r="D3630" s="2943"/>
      <c r="E3630" s="2943"/>
      <c r="F3630" s="2943"/>
      <c r="G3630" s="2943"/>
      <c r="H3630" s="3454"/>
      <c r="I3630" s="3434"/>
      <c r="J3630" s="3455"/>
      <c r="K3630" s="2942"/>
      <c r="L3630" s="3454"/>
      <c r="M3630" s="115">
        <v>360</v>
      </c>
      <c r="N3630" s="1109"/>
      <c r="O3630" s="38" t="s">
        <v>1241</v>
      </c>
      <c r="P3630" s="38" t="s">
        <v>1242</v>
      </c>
      <c r="Q3630" s="118"/>
      <c r="R3630" s="118"/>
      <c r="S3630" s="118">
        <f>SUM(M3630/10)</f>
        <v>36</v>
      </c>
      <c r="T3630" s="118">
        <v>36</v>
      </c>
      <c r="U3630" s="118">
        <v>36</v>
      </c>
      <c r="V3630" s="118">
        <v>36</v>
      </c>
      <c r="W3630" s="118">
        <v>36</v>
      </c>
      <c r="X3630" s="118">
        <v>36</v>
      </c>
      <c r="Y3630" s="118">
        <v>36</v>
      </c>
      <c r="Z3630" s="118">
        <v>36</v>
      </c>
      <c r="AA3630" s="118">
        <v>36</v>
      </c>
      <c r="AB3630" s="118">
        <v>36</v>
      </c>
      <c r="AC3630" s="118">
        <f t="shared" si="593"/>
        <v>360</v>
      </c>
    </row>
    <row r="3631" spans="1:29" x14ac:dyDescent="0.2">
      <c r="A3631" s="179"/>
      <c r="B3631" s="3434"/>
      <c r="C3631" s="3208"/>
      <c r="D3631" s="2943"/>
      <c r="E3631" s="2943"/>
      <c r="F3631" s="2943"/>
      <c r="G3631" s="2943"/>
      <c r="H3631" s="3454"/>
      <c r="I3631" s="3434"/>
      <c r="J3631" s="3455"/>
      <c r="K3631" s="2942"/>
      <c r="L3631" s="3454"/>
      <c r="M3631" s="115">
        <v>5980</v>
      </c>
      <c r="N3631" s="1109"/>
      <c r="O3631" s="38" t="s">
        <v>1307</v>
      </c>
      <c r="P3631" s="38" t="s">
        <v>1308</v>
      </c>
      <c r="Q3631" s="118"/>
      <c r="R3631" s="118">
        <f>SUM(M3631/11)</f>
        <v>543.63636363636363</v>
      </c>
      <c r="S3631" s="118">
        <v>543.63636363636363</v>
      </c>
      <c r="T3631" s="118">
        <v>543.63636363636363</v>
      </c>
      <c r="U3631" s="118">
        <v>543.63636363636363</v>
      </c>
      <c r="V3631" s="118">
        <v>543.63636363636363</v>
      </c>
      <c r="W3631" s="118">
        <v>543.63636363636363</v>
      </c>
      <c r="X3631" s="118">
        <v>543.63636363636363</v>
      </c>
      <c r="Y3631" s="118">
        <v>543.63636363636363</v>
      </c>
      <c r="Z3631" s="118">
        <v>543.63636363636363</v>
      </c>
      <c r="AA3631" s="118">
        <v>543.63636363636363</v>
      </c>
      <c r="AB3631" s="118">
        <v>543.63636363636363</v>
      </c>
      <c r="AC3631" s="118">
        <f t="shared" si="593"/>
        <v>5980.0000000000009</v>
      </c>
    </row>
    <row r="3632" spans="1:29" x14ac:dyDescent="0.2">
      <c r="A3632" s="179"/>
      <c r="B3632" s="3434"/>
      <c r="C3632" s="3208"/>
      <c r="D3632" s="2943"/>
      <c r="E3632" s="2943"/>
      <c r="F3632" s="2943"/>
      <c r="G3632" s="2943"/>
      <c r="H3632" s="3454"/>
      <c r="I3632" s="3434"/>
      <c r="J3632" s="3455"/>
      <c r="K3632" s="2942"/>
      <c r="L3632" s="3454"/>
      <c r="M3632" s="115">
        <v>230</v>
      </c>
      <c r="N3632" s="115"/>
      <c r="O3632" s="38" t="s">
        <v>1261</v>
      </c>
      <c r="P3632" s="38" t="s">
        <v>1262</v>
      </c>
      <c r="Q3632" s="118">
        <f>SUM(M3632+N3632)/12</f>
        <v>19.166666666666668</v>
      </c>
      <c r="R3632" s="118">
        <v>19.166666666666668</v>
      </c>
      <c r="S3632" s="118">
        <v>19.166666666666668</v>
      </c>
      <c r="T3632" s="118">
        <v>19.166666666666668</v>
      </c>
      <c r="U3632" s="118">
        <v>19.166666666666668</v>
      </c>
      <c r="V3632" s="118">
        <v>19.166666666666668</v>
      </c>
      <c r="W3632" s="118">
        <v>19.166666666666668</v>
      </c>
      <c r="X3632" s="118">
        <v>19.166666666666668</v>
      </c>
      <c r="Y3632" s="118">
        <v>19.166666666666668</v>
      </c>
      <c r="Z3632" s="118">
        <v>19.166666666666668</v>
      </c>
      <c r="AA3632" s="118">
        <v>19.166666666666668</v>
      </c>
      <c r="AB3632" s="118">
        <v>19.166666666666668</v>
      </c>
      <c r="AC3632" s="118">
        <f t="shared" si="593"/>
        <v>229.99999999999997</v>
      </c>
    </row>
    <row r="3633" spans="1:29" x14ac:dyDescent="0.2">
      <c r="A3633" s="179"/>
      <c r="B3633" s="3434"/>
      <c r="C3633" s="3208"/>
      <c r="D3633" s="2943"/>
      <c r="E3633" s="2943"/>
      <c r="F3633" s="2943"/>
      <c r="G3633" s="2943"/>
      <c r="H3633" s="3454"/>
      <c r="I3633" s="3434"/>
      <c r="J3633" s="3455"/>
      <c r="K3633" s="2942"/>
      <c r="L3633" s="3454"/>
      <c r="M3633" s="115">
        <v>39437</v>
      </c>
      <c r="N3633" s="1109"/>
      <c r="O3633" s="38" t="s">
        <v>1330</v>
      </c>
      <c r="P3633" s="38" t="s">
        <v>1331</v>
      </c>
      <c r="Q3633" s="118">
        <f>SUM(M3633/12)</f>
        <v>3286.4166666666665</v>
      </c>
      <c r="R3633" s="118">
        <v>3286.4166666666665</v>
      </c>
      <c r="S3633" s="118">
        <v>3286.4166666666665</v>
      </c>
      <c r="T3633" s="118">
        <v>3286.4166666666665</v>
      </c>
      <c r="U3633" s="118">
        <v>3286.4166666666665</v>
      </c>
      <c r="V3633" s="118">
        <v>3286.4166666666665</v>
      </c>
      <c r="W3633" s="118">
        <v>3286.4166666666665</v>
      </c>
      <c r="X3633" s="118">
        <v>3286.4166666666665</v>
      </c>
      <c r="Y3633" s="118">
        <v>3286.4166666666665</v>
      </c>
      <c r="Z3633" s="118">
        <v>3286.4166666666665</v>
      </c>
      <c r="AA3633" s="118">
        <v>3286.4166666666665</v>
      </c>
      <c r="AB3633" s="118">
        <v>3286.4166666666665</v>
      </c>
      <c r="AC3633" s="118">
        <f t="shared" si="593"/>
        <v>39437</v>
      </c>
    </row>
    <row r="3634" spans="1:29" x14ac:dyDescent="0.2">
      <c r="A3634" s="179"/>
      <c r="B3634" s="3434"/>
      <c r="C3634" s="3208"/>
      <c r="D3634" s="2943"/>
      <c r="E3634" s="2943"/>
      <c r="F3634" s="2943"/>
      <c r="G3634" s="2943"/>
      <c r="H3634" s="3454"/>
      <c r="I3634" s="3434"/>
      <c r="J3634" s="3455"/>
      <c r="K3634" s="2942"/>
      <c r="L3634" s="3454"/>
      <c r="M3634" s="115">
        <v>6228</v>
      </c>
      <c r="N3634" s="1109"/>
      <c r="O3634" s="38" t="s">
        <v>1332</v>
      </c>
      <c r="P3634" s="38" t="s">
        <v>1333</v>
      </c>
      <c r="Q3634" s="118">
        <f>SUM(M3634/12)</f>
        <v>519</v>
      </c>
      <c r="R3634" s="118">
        <v>519</v>
      </c>
      <c r="S3634" s="118">
        <v>519</v>
      </c>
      <c r="T3634" s="118">
        <v>519</v>
      </c>
      <c r="U3634" s="118">
        <v>519</v>
      </c>
      <c r="V3634" s="118">
        <v>519</v>
      </c>
      <c r="W3634" s="118">
        <v>519</v>
      </c>
      <c r="X3634" s="118">
        <v>519</v>
      </c>
      <c r="Y3634" s="118">
        <v>519</v>
      </c>
      <c r="Z3634" s="118">
        <v>519</v>
      </c>
      <c r="AA3634" s="118">
        <v>519</v>
      </c>
      <c r="AB3634" s="118">
        <v>519</v>
      </c>
      <c r="AC3634" s="118">
        <f t="shared" si="593"/>
        <v>6228</v>
      </c>
    </row>
    <row r="3635" spans="1:29" x14ac:dyDescent="0.2">
      <c r="A3635" s="179"/>
      <c r="B3635" s="3442" t="s">
        <v>1525</v>
      </c>
      <c r="C3635" s="3442"/>
      <c r="D3635" s="3442"/>
      <c r="E3635" s="3442"/>
      <c r="F3635" s="3442"/>
      <c r="G3635" s="3442"/>
      <c r="H3635" s="3442"/>
      <c r="I3635" s="3442"/>
      <c r="J3635" s="3442"/>
      <c r="K3635" s="3442"/>
      <c r="L3635" s="3442"/>
      <c r="M3635" s="254">
        <f>SUM(M3612:M3634)</f>
        <v>388672</v>
      </c>
      <c r="N3635" s="255">
        <f>SUM(N3612:N3634)</f>
        <v>0</v>
      </c>
      <c r="O3635" s="256"/>
      <c r="P3635" s="257"/>
      <c r="Q3635" s="255"/>
      <c r="R3635" s="255"/>
      <c r="S3635" s="255"/>
      <c r="T3635" s="255"/>
      <c r="U3635" s="255"/>
      <c r="V3635" s="255"/>
      <c r="W3635" s="255"/>
      <c r="X3635" s="255"/>
      <c r="Y3635" s="255"/>
      <c r="Z3635" s="255"/>
      <c r="AA3635" s="255"/>
      <c r="AB3635" s="255"/>
      <c r="AC3635" s="255"/>
    </row>
    <row r="3636" spans="1:29" x14ac:dyDescent="0.2">
      <c r="A3636" s="179"/>
      <c r="B3636" s="3446" t="s">
        <v>1526</v>
      </c>
      <c r="C3636" s="3447" t="s">
        <v>1527</v>
      </c>
      <c r="D3636" s="3446"/>
      <c r="E3636" s="3446" t="s">
        <v>1517</v>
      </c>
      <c r="F3636" s="3446" t="s">
        <v>165</v>
      </c>
      <c r="G3636" s="3446" t="s">
        <v>1528</v>
      </c>
      <c r="H3636" s="3450" t="s">
        <v>1518</v>
      </c>
      <c r="I3636" s="3446" t="s">
        <v>1519</v>
      </c>
      <c r="J3636" s="3449">
        <v>36</v>
      </c>
      <c r="K3636" s="3449">
        <v>626086</v>
      </c>
      <c r="L3636" s="3450" t="s">
        <v>1529</v>
      </c>
      <c r="M3636" s="258"/>
      <c r="N3636" s="259"/>
      <c r="O3636" s="3441" t="s">
        <v>51</v>
      </c>
      <c r="P3636" s="3441"/>
      <c r="Q3636" s="255">
        <v>3</v>
      </c>
      <c r="R3636" s="255">
        <v>3</v>
      </c>
      <c r="S3636" s="255">
        <v>3</v>
      </c>
      <c r="T3636" s="255">
        <v>3</v>
      </c>
      <c r="U3636" s="255">
        <v>3</v>
      </c>
      <c r="V3636" s="255">
        <v>3</v>
      </c>
      <c r="W3636" s="255">
        <v>3</v>
      </c>
      <c r="X3636" s="255">
        <v>3</v>
      </c>
      <c r="Y3636" s="255">
        <v>3</v>
      </c>
      <c r="Z3636" s="255">
        <v>3</v>
      </c>
      <c r="AA3636" s="255">
        <v>3</v>
      </c>
      <c r="AB3636" s="255">
        <v>3</v>
      </c>
      <c r="AC3636" s="255">
        <f>SUM(Q3636:AB3636)</f>
        <v>36</v>
      </c>
    </row>
    <row r="3637" spans="1:29" x14ac:dyDescent="0.2">
      <c r="A3637" s="179"/>
      <c r="B3637" s="3446"/>
      <c r="C3637" s="3447"/>
      <c r="D3637" s="3446"/>
      <c r="E3637" s="3446"/>
      <c r="F3637" s="3446"/>
      <c r="G3637" s="3446"/>
      <c r="H3637" s="3450"/>
      <c r="I3637" s="3446"/>
      <c r="J3637" s="3449"/>
      <c r="K3637" s="3449"/>
      <c r="L3637" s="3450"/>
      <c r="M3637" s="258"/>
      <c r="N3637" s="259"/>
      <c r="O3637" s="3441" t="s">
        <v>111</v>
      </c>
      <c r="P3637" s="3441"/>
      <c r="Q3637" s="255">
        <f t="shared" ref="Q3637:AC3637" si="594">SUM(Q3638:Q3640)</f>
        <v>0</v>
      </c>
      <c r="R3637" s="255">
        <f t="shared" si="594"/>
        <v>1454.5454545454545</v>
      </c>
      <c r="S3637" s="255">
        <f t="shared" si="594"/>
        <v>2204.5454545454545</v>
      </c>
      <c r="T3637" s="255">
        <f t="shared" si="594"/>
        <v>2204.5454545454545</v>
      </c>
      <c r="U3637" s="255">
        <f t="shared" si="594"/>
        <v>2204.5454545454545</v>
      </c>
      <c r="V3637" s="255">
        <f t="shared" si="594"/>
        <v>2204.5454545454545</v>
      </c>
      <c r="W3637" s="255">
        <f t="shared" si="594"/>
        <v>2204.5454545454545</v>
      </c>
      <c r="X3637" s="255">
        <f t="shared" si="594"/>
        <v>2204.5454545454545</v>
      </c>
      <c r="Y3637" s="255">
        <f t="shared" si="594"/>
        <v>2204.5454545454545</v>
      </c>
      <c r="Z3637" s="255">
        <f t="shared" si="594"/>
        <v>2204.5454545454545</v>
      </c>
      <c r="AA3637" s="255">
        <f t="shared" si="594"/>
        <v>2204.5454545454545</v>
      </c>
      <c r="AB3637" s="255">
        <f t="shared" si="594"/>
        <v>2204.5454545454545</v>
      </c>
      <c r="AC3637" s="255">
        <f t="shared" si="594"/>
        <v>23499.999999999996</v>
      </c>
    </row>
    <row r="3638" spans="1:29" x14ac:dyDescent="0.2">
      <c r="A3638" s="179"/>
      <c r="B3638" s="3446"/>
      <c r="C3638" s="3447"/>
      <c r="D3638" s="3446"/>
      <c r="E3638" s="3446"/>
      <c r="F3638" s="3446"/>
      <c r="G3638" s="3446"/>
      <c r="H3638" s="3450"/>
      <c r="I3638" s="3446"/>
      <c r="J3638" s="3449"/>
      <c r="K3638" s="3449"/>
      <c r="L3638" s="3450"/>
      <c r="M3638" s="258">
        <v>2500</v>
      </c>
      <c r="N3638" s="260"/>
      <c r="O3638" s="256" t="s">
        <v>1235</v>
      </c>
      <c r="P3638" s="256" t="s">
        <v>1236</v>
      </c>
      <c r="Q3638" s="261"/>
      <c r="R3638" s="261"/>
      <c r="S3638" s="261">
        <f>SUM(M3638/10)</f>
        <v>250</v>
      </c>
      <c r="T3638" s="261">
        <v>250</v>
      </c>
      <c r="U3638" s="261">
        <v>250</v>
      </c>
      <c r="V3638" s="261">
        <v>250</v>
      </c>
      <c r="W3638" s="261">
        <v>250</v>
      </c>
      <c r="X3638" s="261">
        <v>250</v>
      </c>
      <c r="Y3638" s="261">
        <v>250</v>
      </c>
      <c r="Z3638" s="261">
        <v>250</v>
      </c>
      <c r="AA3638" s="261">
        <v>250</v>
      </c>
      <c r="AB3638" s="261">
        <v>250</v>
      </c>
      <c r="AC3638" s="261">
        <f t="shared" si="593"/>
        <v>2500</v>
      </c>
    </row>
    <row r="3639" spans="1:29" x14ac:dyDescent="0.2">
      <c r="A3639" s="179"/>
      <c r="B3639" s="3446"/>
      <c r="C3639" s="3447"/>
      <c r="D3639" s="3446"/>
      <c r="E3639" s="3446"/>
      <c r="F3639" s="3446"/>
      <c r="G3639" s="3446"/>
      <c r="H3639" s="3450"/>
      <c r="I3639" s="3446"/>
      <c r="J3639" s="3449"/>
      <c r="K3639" s="3449"/>
      <c r="L3639" s="3450"/>
      <c r="M3639" s="258">
        <v>5000</v>
      </c>
      <c r="N3639" s="260"/>
      <c r="O3639" s="256" t="s">
        <v>1237</v>
      </c>
      <c r="P3639" s="256" t="s">
        <v>1238</v>
      </c>
      <c r="Q3639" s="261"/>
      <c r="R3639" s="261"/>
      <c r="S3639" s="261">
        <f>SUM(M3639/10)</f>
        <v>500</v>
      </c>
      <c r="T3639" s="261">
        <v>500</v>
      </c>
      <c r="U3639" s="261">
        <v>500</v>
      </c>
      <c r="V3639" s="261">
        <v>500</v>
      </c>
      <c r="W3639" s="261">
        <v>500</v>
      </c>
      <c r="X3639" s="261">
        <v>500</v>
      </c>
      <c r="Y3639" s="261">
        <v>500</v>
      </c>
      <c r="Z3639" s="261">
        <v>500</v>
      </c>
      <c r="AA3639" s="261">
        <v>500</v>
      </c>
      <c r="AB3639" s="261">
        <v>500</v>
      </c>
      <c r="AC3639" s="261">
        <f t="shared" si="593"/>
        <v>5000</v>
      </c>
    </row>
    <row r="3640" spans="1:29" x14ac:dyDescent="0.2">
      <c r="A3640" s="179"/>
      <c r="B3640" s="3446"/>
      <c r="C3640" s="3447"/>
      <c r="D3640" s="3446"/>
      <c r="E3640" s="3446"/>
      <c r="F3640" s="3446"/>
      <c r="G3640" s="3446"/>
      <c r="H3640" s="3450"/>
      <c r="I3640" s="3446"/>
      <c r="J3640" s="3449"/>
      <c r="K3640" s="3449"/>
      <c r="L3640" s="3450"/>
      <c r="M3640" s="258">
        <v>16000</v>
      </c>
      <c r="N3640" s="260"/>
      <c r="O3640" s="256" t="s">
        <v>1239</v>
      </c>
      <c r="P3640" s="256" t="s">
        <v>1240</v>
      </c>
      <c r="Q3640" s="261"/>
      <c r="R3640" s="261">
        <f>SUM(M3640/11)</f>
        <v>1454.5454545454545</v>
      </c>
      <c r="S3640" s="261">
        <v>1454.5454545454545</v>
      </c>
      <c r="T3640" s="261">
        <v>1454.5454545454545</v>
      </c>
      <c r="U3640" s="261">
        <v>1454.5454545454545</v>
      </c>
      <c r="V3640" s="261">
        <v>1454.5454545454545</v>
      </c>
      <c r="W3640" s="261">
        <v>1454.5454545454545</v>
      </c>
      <c r="X3640" s="261">
        <v>1454.5454545454545</v>
      </c>
      <c r="Y3640" s="261">
        <v>1454.5454545454545</v>
      </c>
      <c r="Z3640" s="261">
        <v>1454.5454545454545</v>
      </c>
      <c r="AA3640" s="261">
        <v>1454.5454545454545</v>
      </c>
      <c r="AB3640" s="261">
        <v>1454.5454545454545</v>
      </c>
      <c r="AC3640" s="261">
        <f t="shared" si="593"/>
        <v>15999.999999999996</v>
      </c>
    </row>
    <row r="3641" spans="1:29" x14ac:dyDescent="0.2">
      <c r="A3641" s="179"/>
      <c r="B3641" s="3442" t="s">
        <v>1530</v>
      </c>
      <c r="C3641" s="3442"/>
      <c r="D3641" s="3442"/>
      <c r="E3641" s="3442"/>
      <c r="F3641" s="3442"/>
      <c r="G3641" s="3442"/>
      <c r="H3641" s="3442"/>
      <c r="I3641" s="3442"/>
      <c r="J3641" s="3442"/>
      <c r="K3641" s="3442"/>
      <c r="L3641" s="3442"/>
      <c r="M3641" s="255">
        <f>SUM(M3638:M3640)</f>
        <v>23500</v>
      </c>
      <c r="N3641" s="255">
        <f>SUM(N3638:N3640)</f>
        <v>0</v>
      </c>
      <c r="O3641" s="1140"/>
      <c r="P3641" s="262"/>
      <c r="Q3641" s="255">
        <f t="shared" ref="Q3641:AC3641" si="595">SUM(Q3638:Q3640)</f>
        <v>0</v>
      </c>
      <c r="R3641" s="255">
        <f t="shared" si="595"/>
        <v>1454.5454545454545</v>
      </c>
      <c r="S3641" s="255">
        <f t="shared" si="595"/>
        <v>2204.5454545454545</v>
      </c>
      <c r="T3641" s="255">
        <f t="shared" si="595"/>
        <v>2204.5454545454545</v>
      </c>
      <c r="U3641" s="255">
        <f t="shared" si="595"/>
        <v>2204.5454545454545</v>
      </c>
      <c r="V3641" s="255">
        <f t="shared" si="595"/>
        <v>2204.5454545454545</v>
      </c>
      <c r="W3641" s="255">
        <f t="shared" si="595"/>
        <v>2204.5454545454545</v>
      </c>
      <c r="X3641" s="255">
        <f t="shared" si="595"/>
        <v>2204.5454545454545</v>
      </c>
      <c r="Y3641" s="255">
        <f t="shared" si="595"/>
        <v>2204.5454545454545</v>
      </c>
      <c r="Z3641" s="255">
        <f t="shared" si="595"/>
        <v>2204.5454545454545</v>
      </c>
      <c r="AA3641" s="255">
        <f t="shared" si="595"/>
        <v>2204.5454545454545</v>
      </c>
      <c r="AB3641" s="255">
        <f t="shared" si="595"/>
        <v>2204.5454545454545</v>
      </c>
      <c r="AC3641" s="255">
        <f t="shared" si="595"/>
        <v>23499.999999999996</v>
      </c>
    </row>
    <row r="3642" spans="1:29" x14ac:dyDescent="0.2">
      <c r="A3642" s="179"/>
      <c r="B3642" s="3446" t="s">
        <v>1350</v>
      </c>
      <c r="C3642" s="3447" t="s">
        <v>1215</v>
      </c>
      <c r="D3642" s="3439"/>
      <c r="E3642" s="3439" t="s">
        <v>1517</v>
      </c>
      <c r="F3642" s="3439" t="s">
        <v>165</v>
      </c>
      <c r="G3642" s="3439" t="s">
        <v>166</v>
      </c>
      <c r="H3642" s="3448" t="s">
        <v>1531</v>
      </c>
      <c r="I3642" s="3439" t="s">
        <v>1532</v>
      </c>
      <c r="J3642" s="3439">
        <v>7400.0000000000009</v>
      </c>
      <c r="K3642" s="3439">
        <v>29268457.449999992</v>
      </c>
      <c r="L3642" s="3440" t="s">
        <v>1533</v>
      </c>
      <c r="M3642" s="5"/>
      <c r="N3642" s="5"/>
      <c r="O3642" s="3441" t="s">
        <v>51</v>
      </c>
      <c r="P3642" s="3441"/>
      <c r="Q3642" s="255">
        <v>616.66666666666663</v>
      </c>
      <c r="R3642" s="255">
        <v>616.66666666666663</v>
      </c>
      <c r="S3642" s="255">
        <v>616.66666666666663</v>
      </c>
      <c r="T3642" s="255">
        <v>616.66666666666663</v>
      </c>
      <c r="U3642" s="255">
        <v>616.66666666666663</v>
      </c>
      <c r="V3642" s="255">
        <v>616.66666666666663</v>
      </c>
      <c r="W3642" s="255">
        <v>616.66666666666663</v>
      </c>
      <c r="X3642" s="255">
        <v>616.66666666666663</v>
      </c>
      <c r="Y3642" s="255">
        <v>616.66666666666663</v>
      </c>
      <c r="Z3642" s="255">
        <v>616.66666666666663</v>
      </c>
      <c r="AA3642" s="255">
        <v>616.66666666666663</v>
      </c>
      <c r="AB3642" s="255">
        <v>616.66666666666663</v>
      </c>
      <c r="AC3642" s="255">
        <f>SUM(Q3642:AB3642)</f>
        <v>7400.0000000000009</v>
      </c>
    </row>
    <row r="3643" spans="1:29" x14ac:dyDescent="0.2">
      <c r="A3643" s="179"/>
      <c r="B3643" s="3446"/>
      <c r="C3643" s="3447"/>
      <c r="D3643" s="3439"/>
      <c r="E3643" s="3439"/>
      <c r="F3643" s="3439"/>
      <c r="G3643" s="3439"/>
      <c r="H3643" s="3448"/>
      <c r="I3643" s="3439"/>
      <c r="J3643" s="3439"/>
      <c r="K3643" s="3439"/>
      <c r="L3643" s="3440"/>
      <c r="M3643" s="5"/>
      <c r="N3643" s="5"/>
      <c r="O3643" s="3441" t="s">
        <v>111</v>
      </c>
      <c r="P3643" s="3441"/>
      <c r="Q3643" s="255">
        <f t="shared" ref="Q3643:AC3643" si="596">SUM(Q3644:Q3732)</f>
        <v>2030702.583333334</v>
      </c>
      <c r="R3643" s="255">
        <f t="shared" si="596"/>
        <v>2494450.0530303032</v>
      </c>
      <c r="S3643" s="255">
        <f t="shared" si="596"/>
        <v>2489336.7196969697</v>
      </c>
      <c r="T3643" s="255">
        <f t="shared" si="596"/>
        <v>2510116.9196969699</v>
      </c>
      <c r="U3643" s="255">
        <f t="shared" si="596"/>
        <v>2506704.2530303034</v>
      </c>
      <c r="V3643" s="255">
        <f t="shared" si="596"/>
        <v>2487820.9196969699</v>
      </c>
      <c r="W3643" s="255">
        <f t="shared" si="596"/>
        <v>2490836.9196969699</v>
      </c>
      <c r="X3643" s="255">
        <f t="shared" si="596"/>
        <v>2510116.9196969699</v>
      </c>
      <c r="Y3643" s="255">
        <f t="shared" si="596"/>
        <v>2488116.9196969699</v>
      </c>
      <c r="Z3643" s="255">
        <f t="shared" si="596"/>
        <v>2506204.2530303034</v>
      </c>
      <c r="AA3643" s="255">
        <f t="shared" si="596"/>
        <v>2487616.9196969699</v>
      </c>
      <c r="AB3643" s="255">
        <f t="shared" si="596"/>
        <v>2487616.9196969699</v>
      </c>
      <c r="AC3643" s="255">
        <f t="shared" si="596"/>
        <v>28860783.133333325</v>
      </c>
    </row>
    <row r="3644" spans="1:29" x14ac:dyDescent="0.2">
      <c r="A3644" s="179"/>
      <c r="B3644" s="3446"/>
      <c r="C3644" s="3447"/>
      <c r="D3644" s="3439"/>
      <c r="E3644" s="3439"/>
      <c r="F3644" s="3439"/>
      <c r="G3644" s="3439"/>
      <c r="H3644" s="3448"/>
      <c r="I3644" s="3439"/>
      <c r="J3644" s="3439"/>
      <c r="K3644" s="3439"/>
      <c r="L3644" s="3440"/>
      <c r="M3644" s="263">
        <v>4387120</v>
      </c>
      <c r="N3644" s="263"/>
      <c r="O3644" s="263" t="s">
        <v>1314</v>
      </c>
      <c r="P3644" s="263" t="s">
        <v>1315</v>
      </c>
      <c r="Q3644" s="263">
        <f>SUM(M3644/12)</f>
        <v>365593.33333333331</v>
      </c>
      <c r="R3644" s="263">
        <v>365593.33333333331</v>
      </c>
      <c r="S3644" s="263">
        <v>365593.33333333331</v>
      </c>
      <c r="T3644" s="263">
        <v>365593.33333333331</v>
      </c>
      <c r="U3644" s="263">
        <v>365593.33333333331</v>
      </c>
      <c r="V3644" s="263">
        <v>365593.33333333331</v>
      </c>
      <c r="W3644" s="263">
        <v>365593.33333333331</v>
      </c>
      <c r="X3644" s="263">
        <v>365593.33333333331</v>
      </c>
      <c r="Y3644" s="263">
        <v>365593.33333333331</v>
      </c>
      <c r="Z3644" s="263">
        <v>365593.33333333331</v>
      </c>
      <c r="AA3644" s="263">
        <v>365593.33333333331</v>
      </c>
      <c r="AB3644" s="263">
        <v>365593.33333333331</v>
      </c>
      <c r="AC3644" s="263">
        <f t="shared" ref="AC3644:AC3707" si="597">SUM(Q3644:AB3644)</f>
        <v>4387120.0000000009</v>
      </c>
    </row>
    <row r="3645" spans="1:29" x14ac:dyDescent="0.2">
      <c r="A3645" s="179"/>
      <c r="B3645" s="3446"/>
      <c r="C3645" s="3447"/>
      <c r="D3645" s="3439"/>
      <c r="E3645" s="3439"/>
      <c r="F3645" s="3439"/>
      <c r="G3645" s="3439"/>
      <c r="H3645" s="3448"/>
      <c r="I3645" s="3439"/>
      <c r="J3645" s="3439"/>
      <c r="K3645" s="3439"/>
      <c r="L3645" s="3440"/>
      <c r="M3645" s="263">
        <v>482613</v>
      </c>
      <c r="N3645" s="263"/>
      <c r="O3645" s="263" t="s">
        <v>1316</v>
      </c>
      <c r="P3645" s="263" t="s">
        <v>1317</v>
      </c>
      <c r="Q3645" s="263">
        <f>SUM(M3645/12)</f>
        <v>40217.75</v>
      </c>
      <c r="R3645" s="263">
        <v>40217.75</v>
      </c>
      <c r="S3645" s="263">
        <v>40217.75</v>
      </c>
      <c r="T3645" s="263">
        <v>40217.75</v>
      </c>
      <c r="U3645" s="263">
        <v>40217.75</v>
      </c>
      <c r="V3645" s="263">
        <v>40217.75</v>
      </c>
      <c r="W3645" s="263">
        <v>40217.75</v>
      </c>
      <c r="X3645" s="263">
        <v>40217.75</v>
      </c>
      <c r="Y3645" s="263">
        <v>40217.75</v>
      </c>
      <c r="Z3645" s="263">
        <v>40217.75</v>
      </c>
      <c r="AA3645" s="263">
        <v>40217.75</v>
      </c>
      <c r="AB3645" s="263">
        <v>40217.75</v>
      </c>
      <c r="AC3645" s="263">
        <f t="shared" si="597"/>
        <v>482613</v>
      </c>
    </row>
    <row r="3646" spans="1:29" x14ac:dyDescent="0.2">
      <c r="A3646" s="179"/>
      <c r="B3646" s="3446"/>
      <c r="C3646" s="3447"/>
      <c r="D3646" s="3439"/>
      <c r="E3646" s="3439"/>
      <c r="F3646" s="3439"/>
      <c r="G3646" s="3439"/>
      <c r="H3646" s="3448"/>
      <c r="I3646" s="3439"/>
      <c r="J3646" s="3439"/>
      <c r="K3646" s="3439"/>
      <c r="L3646" s="3440"/>
      <c r="M3646" s="263">
        <v>10669460</v>
      </c>
      <c r="N3646" s="263"/>
      <c r="O3646" s="263" t="s">
        <v>1318</v>
      </c>
      <c r="P3646" s="263" t="s">
        <v>1319</v>
      </c>
      <c r="Q3646" s="263">
        <f>SUM(M3646/12)</f>
        <v>889121.66666666663</v>
      </c>
      <c r="R3646" s="263">
        <v>889121.66666666663</v>
      </c>
      <c r="S3646" s="263">
        <v>889121.66666666663</v>
      </c>
      <c r="T3646" s="263">
        <v>889121.66666666663</v>
      </c>
      <c r="U3646" s="263">
        <v>889121.66666666663</v>
      </c>
      <c r="V3646" s="263">
        <v>889121.66666666663</v>
      </c>
      <c r="W3646" s="263">
        <v>889121.66666666663</v>
      </c>
      <c r="X3646" s="263">
        <v>889121.66666666663</v>
      </c>
      <c r="Y3646" s="263">
        <v>889121.66666666663</v>
      </c>
      <c r="Z3646" s="263">
        <v>889121.66666666663</v>
      </c>
      <c r="AA3646" s="263">
        <v>889121.66666666663</v>
      </c>
      <c r="AB3646" s="263">
        <v>889121.66666666663</v>
      </c>
      <c r="AC3646" s="263">
        <f t="shared" si="597"/>
        <v>10669460</v>
      </c>
    </row>
    <row r="3647" spans="1:29" x14ac:dyDescent="0.2">
      <c r="A3647" s="179"/>
      <c r="B3647" s="3446"/>
      <c r="C3647" s="3447"/>
      <c r="D3647" s="3439"/>
      <c r="E3647" s="3439"/>
      <c r="F3647" s="3439"/>
      <c r="G3647" s="3439"/>
      <c r="H3647" s="3448"/>
      <c r="I3647" s="3439"/>
      <c r="J3647" s="3439"/>
      <c r="K3647" s="3439"/>
      <c r="L3647" s="3440"/>
      <c r="M3647" s="263">
        <v>36664</v>
      </c>
      <c r="N3647" s="263"/>
      <c r="O3647" s="263" t="s">
        <v>1534</v>
      </c>
      <c r="P3647" s="263" t="s">
        <v>1535</v>
      </c>
      <c r="Q3647" s="263">
        <f t="shared" ref="Q3647:Q3653" si="598">SUM(M3647/12)</f>
        <v>3055.3333333333335</v>
      </c>
      <c r="R3647" s="263">
        <v>3055.3333333333335</v>
      </c>
      <c r="S3647" s="263">
        <v>3055.3333333333335</v>
      </c>
      <c r="T3647" s="263">
        <v>3055.3333333333335</v>
      </c>
      <c r="U3647" s="263">
        <v>3055.3333333333335</v>
      </c>
      <c r="V3647" s="263">
        <v>3055.3333333333335</v>
      </c>
      <c r="W3647" s="263">
        <v>3055.3333333333335</v>
      </c>
      <c r="X3647" s="263">
        <v>3055.3333333333335</v>
      </c>
      <c r="Y3647" s="263">
        <v>3055.3333333333335</v>
      </c>
      <c r="Z3647" s="263">
        <v>3055.3333333333335</v>
      </c>
      <c r="AA3647" s="263">
        <v>3055.3333333333335</v>
      </c>
      <c r="AB3647" s="263">
        <v>3055.3333333333335</v>
      </c>
      <c r="AC3647" s="263">
        <f t="shared" si="597"/>
        <v>36664</v>
      </c>
    </row>
    <row r="3648" spans="1:29" x14ac:dyDescent="0.2">
      <c r="A3648" s="179"/>
      <c r="B3648" s="3446"/>
      <c r="C3648" s="3447"/>
      <c r="D3648" s="3439"/>
      <c r="E3648" s="3439"/>
      <c r="F3648" s="3439"/>
      <c r="G3648" s="3439"/>
      <c r="H3648" s="3448"/>
      <c r="I3648" s="3439"/>
      <c r="J3648" s="3439"/>
      <c r="K3648" s="3439"/>
      <c r="L3648" s="3440"/>
      <c r="M3648" s="263">
        <v>96984</v>
      </c>
      <c r="N3648" s="263"/>
      <c r="O3648" s="263" t="s">
        <v>1536</v>
      </c>
      <c r="P3648" s="263" t="s">
        <v>1535</v>
      </c>
      <c r="Q3648" s="263">
        <f t="shared" si="598"/>
        <v>8082</v>
      </c>
      <c r="R3648" s="263">
        <v>8082</v>
      </c>
      <c r="S3648" s="263">
        <v>8082</v>
      </c>
      <c r="T3648" s="263">
        <v>8082</v>
      </c>
      <c r="U3648" s="263">
        <v>8082</v>
      </c>
      <c r="V3648" s="263">
        <v>8082</v>
      </c>
      <c r="W3648" s="263">
        <v>8082</v>
      </c>
      <c r="X3648" s="263">
        <v>8082</v>
      </c>
      <c r="Y3648" s="263">
        <v>8082</v>
      </c>
      <c r="Z3648" s="263">
        <v>8082</v>
      </c>
      <c r="AA3648" s="263">
        <v>8082</v>
      </c>
      <c r="AB3648" s="263">
        <v>8082</v>
      </c>
      <c r="AC3648" s="263">
        <f t="shared" si="597"/>
        <v>96984</v>
      </c>
    </row>
    <row r="3649" spans="1:29" x14ac:dyDescent="0.2">
      <c r="A3649" s="179"/>
      <c r="B3649" s="3446"/>
      <c r="C3649" s="3447"/>
      <c r="D3649" s="3439"/>
      <c r="E3649" s="3439"/>
      <c r="F3649" s="3439"/>
      <c r="G3649" s="3439"/>
      <c r="H3649" s="3448"/>
      <c r="I3649" s="3439"/>
      <c r="J3649" s="3439"/>
      <c r="K3649" s="3439"/>
      <c r="L3649" s="3440"/>
      <c r="M3649" s="263">
        <v>83958</v>
      </c>
      <c r="N3649" s="263"/>
      <c r="O3649" s="263" t="s">
        <v>1537</v>
      </c>
      <c r="P3649" s="263" t="s">
        <v>1538</v>
      </c>
      <c r="Q3649" s="263">
        <f t="shared" si="598"/>
        <v>6996.5</v>
      </c>
      <c r="R3649" s="263">
        <v>6996.5</v>
      </c>
      <c r="S3649" s="263">
        <v>6996.5</v>
      </c>
      <c r="T3649" s="263">
        <v>6996.5</v>
      </c>
      <c r="U3649" s="263">
        <v>6996.5</v>
      </c>
      <c r="V3649" s="263">
        <v>6996.5</v>
      </c>
      <c r="W3649" s="263">
        <v>6996.5</v>
      </c>
      <c r="X3649" s="263">
        <v>6996.5</v>
      </c>
      <c r="Y3649" s="263">
        <v>6996.5</v>
      </c>
      <c r="Z3649" s="263">
        <v>6996.5</v>
      </c>
      <c r="AA3649" s="263">
        <v>6996.5</v>
      </c>
      <c r="AB3649" s="263">
        <v>6996.5</v>
      </c>
      <c r="AC3649" s="263">
        <f t="shared" si="597"/>
        <v>83958</v>
      </c>
    </row>
    <row r="3650" spans="1:29" x14ac:dyDescent="0.2">
      <c r="A3650" s="179"/>
      <c r="B3650" s="3446"/>
      <c r="C3650" s="3447"/>
      <c r="D3650" s="3439"/>
      <c r="E3650" s="3439"/>
      <c r="F3650" s="3439"/>
      <c r="G3650" s="3439"/>
      <c r="H3650" s="3448"/>
      <c r="I3650" s="3439"/>
      <c r="J3650" s="3439"/>
      <c r="K3650" s="3439"/>
      <c r="L3650" s="3440"/>
      <c r="M3650" s="263">
        <v>275492</v>
      </c>
      <c r="N3650" s="263"/>
      <c r="O3650" s="263" t="s">
        <v>1320</v>
      </c>
      <c r="P3650" s="263" t="s">
        <v>1321</v>
      </c>
      <c r="Q3650" s="263">
        <f t="shared" si="598"/>
        <v>22957.666666666668</v>
      </c>
      <c r="R3650" s="263">
        <v>22957.666666666668</v>
      </c>
      <c r="S3650" s="263">
        <v>22957.666666666668</v>
      </c>
      <c r="T3650" s="263">
        <v>22957.666666666668</v>
      </c>
      <c r="U3650" s="263">
        <v>22957.666666666668</v>
      </c>
      <c r="V3650" s="263">
        <v>22957.666666666668</v>
      </c>
      <c r="W3650" s="263">
        <v>22957.666666666668</v>
      </c>
      <c r="X3650" s="263">
        <v>22957.666666666668</v>
      </c>
      <c r="Y3650" s="263">
        <v>22957.666666666668</v>
      </c>
      <c r="Z3650" s="263">
        <v>22957.666666666668</v>
      </c>
      <c r="AA3650" s="263">
        <v>22957.666666666668</v>
      </c>
      <c r="AB3650" s="263">
        <v>22957.666666666668</v>
      </c>
      <c r="AC3650" s="263">
        <f t="shared" si="597"/>
        <v>275491.99999999994</v>
      </c>
    </row>
    <row r="3651" spans="1:29" x14ac:dyDescent="0.2">
      <c r="A3651" s="179"/>
      <c r="B3651" s="3446"/>
      <c r="C3651" s="3447"/>
      <c r="D3651" s="3439"/>
      <c r="E3651" s="3439"/>
      <c r="F3651" s="3439"/>
      <c r="G3651" s="3439"/>
      <c r="H3651" s="3448"/>
      <c r="I3651" s="3439"/>
      <c r="J3651" s="3439"/>
      <c r="K3651" s="3439"/>
      <c r="L3651" s="3440"/>
      <c r="M3651" s="263">
        <v>179600</v>
      </c>
      <c r="N3651" s="263"/>
      <c r="O3651" s="263" t="s">
        <v>1322</v>
      </c>
      <c r="P3651" s="263" t="s">
        <v>1323</v>
      </c>
      <c r="Q3651" s="263">
        <f>SUM(M3651/12)</f>
        <v>14966.666666666666</v>
      </c>
      <c r="R3651" s="263">
        <v>14966.666666666666</v>
      </c>
      <c r="S3651" s="263">
        <v>14966.666666666666</v>
      </c>
      <c r="T3651" s="263">
        <v>14966.666666666666</v>
      </c>
      <c r="U3651" s="263">
        <v>14966.666666666666</v>
      </c>
      <c r="V3651" s="263">
        <v>14966.666666666666</v>
      </c>
      <c r="W3651" s="263">
        <v>14966.666666666666</v>
      </c>
      <c r="X3651" s="263">
        <v>14966.666666666666</v>
      </c>
      <c r="Y3651" s="263">
        <v>14966.666666666666</v>
      </c>
      <c r="Z3651" s="263">
        <v>14966.666666666666</v>
      </c>
      <c r="AA3651" s="263">
        <v>14966.666666666666</v>
      </c>
      <c r="AB3651" s="263">
        <v>14966.666666666666</v>
      </c>
      <c r="AC3651" s="263">
        <v>14966.666666666666</v>
      </c>
    </row>
    <row r="3652" spans="1:29" x14ac:dyDescent="0.2">
      <c r="A3652" s="179"/>
      <c r="B3652" s="3446"/>
      <c r="C3652" s="3447"/>
      <c r="D3652" s="3439"/>
      <c r="E3652" s="3439"/>
      <c r="F3652" s="3439"/>
      <c r="G3652" s="3439"/>
      <c r="H3652" s="3448"/>
      <c r="I3652" s="3439"/>
      <c r="J3652" s="3439"/>
      <c r="K3652" s="3439"/>
      <c r="L3652" s="3440"/>
      <c r="M3652" s="263">
        <v>99209</v>
      </c>
      <c r="N3652" s="263"/>
      <c r="O3652" s="263" t="s">
        <v>1325</v>
      </c>
      <c r="P3652" s="263" t="s">
        <v>1326</v>
      </c>
      <c r="Q3652" s="263">
        <f t="shared" si="598"/>
        <v>8267.4166666666661</v>
      </c>
      <c r="R3652" s="263">
        <v>8267.4166666666661</v>
      </c>
      <c r="S3652" s="263">
        <v>8267.4166666666661</v>
      </c>
      <c r="T3652" s="263">
        <v>8267.4166666666661</v>
      </c>
      <c r="U3652" s="263">
        <v>8267.4166666666661</v>
      </c>
      <c r="V3652" s="263">
        <v>8267.4166666666661</v>
      </c>
      <c r="W3652" s="263">
        <v>8267.4166666666661</v>
      </c>
      <c r="X3652" s="263">
        <v>8267.4166666666661</v>
      </c>
      <c r="Y3652" s="263">
        <v>8267.4166666666661</v>
      </c>
      <c r="Z3652" s="263">
        <v>8267.4166666666661</v>
      </c>
      <c r="AA3652" s="263">
        <v>8267.4166666666661</v>
      </c>
      <c r="AB3652" s="263">
        <v>8267.4166666666661</v>
      </c>
      <c r="AC3652" s="263">
        <f t="shared" si="597"/>
        <v>99209.000000000015</v>
      </c>
    </row>
    <row r="3653" spans="1:29" x14ac:dyDescent="0.2">
      <c r="A3653" s="179"/>
      <c r="B3653" s="3446"/>
      <c r="C3653" s="3447"/>
      <c r="D3653" s="3439"/>
      <c r="E3653" s="3439"/>
      <c r="F3653" s="3439"/>
      <c r="G3653" s="3439"/>
      <c r="H3653" s="3448"/>
      <c r="I3653" s="3439"/>
      <c r="J3653" s="3439"/>
      <c r="K3653" s="3439"/>
      <c r="L3653" s="3440"/>
      <c r="M3653" s="264">
        <v>55600</v>
      </c>
      <c r="N3653" s="264"/>
      <c r="O3653" s="264" t="s">
        <v>1539</v>
      </c>
      <c r="P3653" s="264" t="s">
        <v>1540</v>
      </c>
      <c r="Q3653" s="270">
        <f t="shared" si="598"/>
        <v>4633.333333333333</v>
      </c>
      <c r="R3653" s="270">
        <v>4633.333333333333</v>
      </c>
      <c r="S3653" s="270">
        <v>4633.333333333333</v>
      </c>
      <c r="T3653" s="270">
        <v>4633.333333333333</v>
      </c>
      <c r="U3653" s="270">
        <v>4633.333333333333</v>
      </c>
      <c r="V3653" s="270">
        <v>4633.333333333333</v>
      </c>
      <c r="W3653" s="270">
        <v>4633.333333333333</v>
      </c>
      <c r="X3653" s="270">
        <v>4633.333333333333</v>
      </c>
      <c r="Y3653" s="270">
        <v>4633.333333333333</v>
      </c>
      <c r="Z3653" s="270">
        <v>4633.333333333333</v>
      </c>
      <c r="AA3653" s="270">
        <v>4633.333333333333</v>
      </c>
      <c r="AB3653" s="270">
        <v>4633.333333333333</v>
      </c>
      <c r="AC3653" s="263">
        <f t="shared" si="597"/>
        <v>55600.000000000007</v>
      </c>
    </row>
    <row r="3654" spans="1:29" x14ac:dyDescent="0.2">
      <c r="A3654" s="179"/>
      <c r="B3654" s="3446"/>
      <c r="C3654" s="3447"/>
      <c r="D3654" s="3439"/>
      <c r="E3654" s="3439"/>
      <c r="F3654" s="3439"/>
      <c r="G3654" s="3439"/>
      <c r="H3654" s="3448"/>
      <c r="I3654" s="3439"/>
      <c r="J3654" s="3439"/>
      <c r="K3654" s="3439"/>
      <c r="L3654" s="3440"/>
      <c r="M3654" s="264">
        <v>506426</v>
      </c>
      <c r="N3654" s="264"/>
      <c r="O3654" s="264" t="s">
        <v>1328</v>
      </c>
      <c r="P3654" s="264" t="s">
        <v>1329</v>
      </c>
      <c r="Q3654" s="270">
        <f>SUM(M3654/12)</f>
        <v>42202.166666666664</v>
      </c>
      <c r="R3654" s="270">
        <v>42202.166666666664</v>
      </c>
      <c r="S3654" s="270">
        <v>42202.166666666664</v>
      </c>
      <c r="T3654" s="270">
        <v>42202.166666666664</v>
      </c>
      <c r="U3654" s="270">
        <v>42202.166666666664</v>
      </c>
      <c r="V3654" s="270">
        <v>42202.166666666664</v>
      </c>
      <c r="W3654" s="270">
        <v>42202.166666666664</v>
      </c>
      <c r="X3654" s="270">
        <v>42202.166666666664</v>
      </c>
      <c r="Y3654" s="270">
        <v>42202.166666666664</v>
      </c>
      <c r="Z3654" s="270">
        <v>42202.166666666664</v>
      </c>
      <c r="AA3654" s="270">
        <v>42202.166666666664</v>
      </c>
      <c r="AB3654" s="270">
        <v>42202.166666666664</v>
      </c>
      <c r="AC3654" s="270">
        <v>42202.166666666664</v>
      </c>
    </row>
    <row r="3655" spans="1:29" x14ac:dyDescent="0.2">
      <c r="A3655" s="179"/>
      <c r="B3655" s="3446"/>
      <c r="C3655" s="3447"/>
      <c r="D3655" s="3439"/>
      <c r="E3655" s="3439"/>
      <c r="F3655" s="3439"/>
      <c r="G3655" s="3439"/>
      <c r="H3655" s="3448"/>
      <c r="I3655" s="3439"/>
      <c r="J3655" s="3439"/>
      <c r="K3655" s="3439"/>
      <c r="L3655" s="3440"/>
      <c r="M3655" s="264">
        <v>13884</v>
      </c>
      <c r="N3655" s="264"/>
      <c r="O3655" s="264" t="s">
        <v>1541</v>
      </c>
      <c r="P3655" s="264" t="s">
        <v>1542</v>
      </c>
      <c r="Q3655" s="270">
        <f>SUM(M3655/12)</f>
        <v>1157</v>
      </c>
      <c r="R3655" s="270">
        <v>1157</v>
      </c>
      <c r="S3655" s="270">
        <v>1157</v>
      </c>
      <c r="T3655" s="270">
        <v>1157</v>
      </c>
      <c r="U3655" s="270">
        <v>1157</v>
      </c>
      <c r="V3655" s="270">
        <v>1157</v>
      </c>
      <c r="W3655" s="270">
        <v>1157</v>
      </c>
      <c r="X3655" s="270">
        <v>1157</v>
      </c>
      <c r="Y3655" s="270">
        <v>1157</v>
      </c>
      <c r="Z3655" s="270">
        <v>1157</v>
      </c>
      <c r="AA3655" s="270">
        <v>1157</v>
      </c>
      <c r="AB3655" s="270">
        <v>1157</v>
      </c>
      <c r="AC3655" s="263">
        <f t="shared" si="597"/>
        <v>13884</v>
      </c>
    </row>
    <row r="3656" spans="1:29" x14ac:dyDescent="0.2">
      <c r="A3656" s="179"/>
      <c r="B3656" s="3446"/>
      <c r="C3656" s="3447"/>
      <c r="D3656" s="3439"/>
      <c r="E3656" s="3439"/>
      <c r="F3656" s="3439"/>
      <c r="G3656" s="3439"/>
      <c r="H3656" s="3448"/>
      <c r="I3656" s="3439"/>
      <c r="J3656" s="3439"/>
      <c r="K3656" s="3439"/>
      <c r="L3656" s="3440"/>
      <c r="M3656" s="264">
        <v>6440</v>
      </c>
      <c r="N3656" s="264"/>
      <c r="O3656" s="264" t="s">
        <v>1341</v>
      </c>
      <c r="P3656" s="264" t="s">
        <v>1342</v>
      </c>
      <c r="Q3656" s="270"/>
      <c r="R3656" s="270"/>
      <c r="S3656" s="270">
        <f>SUM(M3656/2)</f>
        <v>3220</v>
      </c>
      <c r="T3656" s="270"/>
      <c r="U3656" s="270"/>
      <c r="V3656" s="270"/>
      <c r="W3656" s="270">
        <v>3220</v>
      </c>
      <c r="X3656" s="270"/>
      <c r="Y3656" s="270"/>
      <c r="Z3656" s="270"/>
      <c r="AA3656" s="270"/>
      <c r="AB3656" s="270"/>
      <c r="AC3656" s="263">
        <f t="shared" si="597"/>
        <v>6440</v>
      </c>
    </row>
    <row r="3657" spans="1:29" x14ac:dyDescent="0.2">
      <c r="A3657" s="179"/>
      <c r="B3657" s="3446"/>
      <c r="C3657" s="3447"/>
      <c r="D3657" s="3439"/>
      <c r="E3657" s="3439"/>
      <c r="F3657" s="3439"/>
      <c r="G3657" s="3439"/>
      <c r="H3657" s="3448"/>
      <c r="I3657" s="3439"/>
      <c r="J3657" s="3439"/>
      <c r="K3657" s="3439"/>
      <c r="L3657" s="3440"/>
      <c r="M3657" s="264">
        <v>236933</v>
      </c>
      <c r="N3657" s="264">
        <v>344100</v>
      </c>
      <c r="O3657" s="264" t="s">
        <v>1305</v>
      </c>
      <c r="P3657" s="264" t="s">
        <v>1306</v>
      </c>
      <c r="Q3657" s="270">
        <f>SUM(M3657:N3657)/12</f>
        <v>48419.416666666664</v>
      </c>
      <c r="R3657" s="270">
        <v>48419.416666666664</v>
      </c>
      <c r="S3657" s="270">
        <v>48419.416666666664</v>
      </c>
      <c r="T3657" s="270">
        <v>48419.416666666664</v>
      </c>
      <c r="U3657" s="270">
        <v>48419.416666666664</v>
      </c>
      <c r="V3657" s="270">
        <v>48419.416666666664</v>
      </c>
      <c r="W3657" s="270">
        <v>48419.416666666664</v>
      </c>
      <c r="X3657" s="270">
        <v>48419.416666666664</v>
      </c>
      <c r="Y3657" s="270">
        <v>48419.416666666664</v>
      </c>
      <c r="Z3657" s="270">
        <v>48419.416666666664</v>
      </c>
      <c r="AA3657" s="270">
        <v>48419.416666666664</v>
      </c>
      <c r="AB3657" s="270">
        <v>48419.416666666664</v>
      </c>
      <c r="AC3657" s="263">
        <f t="shared" si="597"/>
        <v>581033</v>
      </c>
    </row>
    <row r="3658" spans="1:29" x14ac:dyDescent="0.2">
      <c r="A3658" s="179"/>
      <c r="B3658" s="3446"/>
      <c r="C3658" s="3447"/>
      <c r="D3658" s="3439"/>
      <c r="E3658" s="3439"/>
      <c r="F3658" s="3439"/>
      <c r="G3658" s="3439"/>
      <c r="H3658" s="3448"/>
      <c r="I3658" s="3439"/>
      <c r="J3658" s="3439"/>
      <c r="K3658" s="3439"/>
      <c r="L3658" s="3440"/>
      <c r="M3658" s="264">
        <v>15000</v>
      </c>
      <c r="N3658" s="264">
        <v>14000</v>
      </c>
      <c r="O3658" s="264" t="s">
        <v>1543</v>
      </c>
      <c r="P3658" s="264" t="s">
        <v>1544</v>
      </c>
      <c r="Q3658" s="270">
        <f>SUM(M3658+N3658)/12</f>
        <v>2416.6666666666665</v>
      </c>
      <c r="R3658" s="270">
        <v>2416.6666666666665</v>
      </c>
      <c r="S3658" s="270">
        <v>2416.6666666666665</v>
      </c>
      <c r="T3658" s="270">
        <v>2416.6666666666665</v>
      </c>
      <c r="U3658" s="270">
        <v>2416.6666666666665</v>
      </c>
      <c r="V3658" s="270">
        <v>2416.6666666666665</v>
      </c>
      <c r="W3658" s="270">
        <v>2416.6666666666665</v>
      </c>
      <c r="X3658" s="270">
        <v>2416.6666666666665</v>
      </c>
      <c r="Y3658" s="270">
        <v>2416.6666666666665</v>
      </c>
      <c r="Z3658" s="270">
        <v>2416.6666666666665</v>
      </c>
      <c r="AA3658" s="270">
        <v>2416.6666666666665</v>
      </c>
      <c r="AB3658" s="270">
        <v>2416.6666666666665</v>
      </c>
      <c r="AC3658" s="263">
        <f t="shared" si="597"/>
        <v>29000.000000000004</v>
      </c>
    </row>
    <row r="3659" spans="1:29" x14ac:dyDescent="0.2">
      <c r="A3659" s="179"/>
      <c r="B3659" s="3446"/>
      <c r="C3659" s="3447"/>
      <c r="D3659" s="3439"/>
      <c r="E3659" s="3439"/>
      <c r="F3659" s="3439"/>
      <c r="G3659" s="3439"/>
      <c r="H3659" s="3448"/>
      <c r="I3659" s="3439"/>
      <c r="J3659" s="3439"/>
      <c r="K3659" s="3439"/>
      <c r="L3659" s="3440"/>
      <c r="M3659" s="264">
        <v>14584</v>
      </c>
      <c r="N3659" s="264">
        <v>1800</v>
      </c>
      <c r="O3659" s="264" t="s">
        <v>1217</v>
      </c>
      <c r="P3659" s="264" t="s">
        <v>1218</v>
      </c>
      <c r="Q3659" s="270">
        <f>SUM(M3659+N3659)/12</f>
        <v>1365.3333333333333</v>
      </c>
      <c r="R3659" s="270">
        <v>1365.3333333333333</v>
      </c>
      <c r="S3659" s="270">
        <v>1365.3333333333333</v>
      </c>
      <c r="T3659" s="270">
        <v>1365.3333333333333</v>
      </c>
      <c r="U3659" s="270">
        <v>1365.3333333333333</v>
      </c>
      <c r="V3659" s="270">
        <v>1365.3333333333333</v>
      </c>
      <c r="W3659" s="270">
        <v>1365.3333333333333</v>
      </c>
      <c r="X3659" s="270">
        <v>1365.3333333333333</v>
      </c>
      <c r="Y3659" s="270">
        <v>1365.3333333333333</v>
      </c>
      <c r="Z3659" s="270">
        <v>1365.3333333333333</v>
      </c>
      <c r="AA3659" s="270">
        <v>1365.3333333333333</v>
      </c>
      <c r="AB3659" s="270">
        <v>1365.3333333333333</v>
      </c>
      <c r="AC3659" s="263">
        <f t="shared" si="597"/>
        <v>16384</v>
      </c>
    </row>
    <row r="3660" spans="1:29" x14ac:dyDescent="0.2">
      <c r="A3660" s="179"/>
      <c r="B3660" s="3446"/>
      <c r="C3660" s="3447"/>
      <c r="D3660" s="3439"/>
      <c r="E3660" s="3439"/>
      <c r="F3660" s="3439"/>
      <c r="G3660" s="3439"/>
      <c r="H3660" s="3448"/>
      <c r="I3660" s="3439"/>
      <c r="J3660" s="3439"/>
      <c r="K3660" s="3439"/>
      <c r="L3660" s="3440"/>
      <c r="M3660" s="264">
        <v>13700</v>
      </c>
      <c r="N3660" s="264">
        <v>9180</v>
      </c>
      <c r="O3660" s="264" t="s">
        <v>1545</v>
      </c>
      <c r="P3660" s="264" t="s">
        <v>1546</v>
      </c>
      <c r="Q3660" s="270">
        <f>SUM(M3660+N3660)/12</f>
        <v>1906.6666666666667</v>
      </c>
      <c r="R3660" s="270">
        <v>1906.6666666666667</v>
      </c>
      <c r="S3660" s="270">
        <v>1906.6666666666667</v>
      </c>
      <c r="T3660" s="270">
        <v>1906.6666666666667</v>
      </c>
      <c r="U3660" s="270">
        <v>1906.6666666666667</v>
      </c>
      <c r="V3660" s="270">
        <v>1906.6666666666667</v>
      </c>
      <c r="W3660" s="270">
        <v>1906.6666666666667</v>
      </c>
      <c r="X3660" s="270">
        <v>1906.6666666666667</v>
      </c>
      <c r="Y3660" s="270">
        <v>1906.6666666666667</v>
      </c>
      <c r="Z3660" s="270">
        <v>1906.6666666666667</v>
      </c>
      <c r="AA3660" s="270">
        <v>1906.6666666666667</v>
      </c>
      <c r="AB3660" s="270">
        <v>1906.6666666666667</v>
      </c>
      <c r="AC3660" s="263">
        <f t="shared" si="597"/>
        <v>22880.000000000004</v>
      </c>
    </row>
    <row r="3661" spans="1:29" x14ac:dyDescent="0.2">
      <c r="A3661" s="179"/>
      <c r="B3661" s="3446"/>
      <c r="C3661" s="3447"/>
      <c r="D3661" s="3439"/>
      <c r="E3661" s="3439"/>
      <c r="F3661" s="3439"/>
      <c r="G3661" s="3439"/>
      <c r="H3661" s="3448"/>
      <c r="I3661" s="3439"/>
      <c r="J3661" s="3439"/>
      <c r="K3661" s="3439"/>
      <c r="L3661" s="3440"/>
      <c r="M3661" s="264"/>
      <c r="N3661" s="264">
        <v>500</v>
      </c>
      <c r="O3661" s="264" t="s">
        <v>1547</v>
      </c>
      <c r="P3661" s="264" t="s">
        <v>1548</v>
      </c>
      <c r="Q3661" s="270">
        <f>SUM(N3661/12)</f>
        <v>41.666666666666664</v>
      </c>
      <c r="R3661" s="270">
        <v>41.666666666666664</v>
      </c>
      <c r="S3661" s="270">
        <v>41.666666666666664</v>
      </c>
      <c r="T3661" s="270">
        <v>41.666666666666664</v>
      </c>
      <c r="U3661" s="270">
        <v>41.666666666666664</v>
      </c>
      <c r="V3661" s="270">
        <v>41.666666666666664</v>
      </c>
      <c r="W3661" s="270">
        <v>41.666666666666664</v>
      </c>
      <c r="X3661" s="270">
        <v>41.666666666666664</v>
      </c>
      <c r="Y3661" s="270">
        <v>41.666666666666664</v>
      </c>
      <c r="Z3661" s="270">
        <v>41.666666666666664</v>
      </c>
      <c r="AA3661" s="270">
        <v>41.666666666666664</v>
      </c>
      <c r="AB3661" s="270">
        <v>41.666666666666664</v>
      </c>
      <c r="AC3661" s="263">
        <f t="shared" si="597"/>
        <v>500.00000000000006</v>
      </c>
    </row>
    <row r="3662" spans="1:29" x14ac:dyDescent="0.2">
      <c r="A3662" s="179"/>
      <c r="B3662" s="3446"/>
      <c r="C3662" s="3447"/>
      <c r="D3662" s="3439"/>
      <c r="E3662" s="3439"/>
      <c r="F3662" s="3439"/>
      <c r="G3662" s="3439"/>
      <c r="H3662" s="3448"/>
      <c r="I3662" s="3439"/>
      <c r="J3662" s="3439"/>
      <c r="K3662" s="3439"/>
      <c r="L3662" s="3440"/>
      <c r="M3662" s="264">
        <v>1500</v>
      </c>
      <c r="N3662" s="264"/>
      <c r="O3662" s="264" t="s">
        <v>1549</v>
      </c>
      <c r="P3662" s="264" t="s">
        <v>1550</v>
      </c>
      <c r="Q3662" s="270"/>
      <c r="R3662" s="270">
        <v>500</v>
      </c>
      <c r="S3662" s="270"/>
      <c r="T3662" s="270"/>
      <c r="U3662" s="270">
        <v>500</v>
      </c>
      <c r="V3662" s="270"/>
      <c r="W3662" s="270"/>
      <c r="X3662" s="270"/>
      <c r="Y3662" s="270">
        <v>500</v>
      </c>
      <c r="Z3662" s="270"/>
      <c r="AA3662" s="270"/>
      <c r="AB3662" s="270"/>
      <c r="AC3662" s="263">
        <f t="shared" si="597"/>
        <v>1500</v>
      </c>
    </row>
    <row r="3663" spans="1:29" x14ac:dyDescent="0.2">
      <c r="A3663" s="179"/>
      <c r="B3663" s="3446"/>
      <c r="C3663" s="3447"/>
      <c r="D3663" s="3439"/>
      <c r="E3663" s="3439"/>
      <c r="F3663" s="3439"/>
      <c r="G3663" s="3439"/>
      <c r="H3663" s="3448"/>
      <c r="I3663" s="3439"/>
      <c r="J3663" s="3439"/>
      <c r="K3663" s="3439"/>
      <c r="L3663" s="3440"/>
      <c r="M3663" s="264">
        <v>11000</v>
      </c>
      <c r="N3663" s="264">
        <v>5000</v>
      </c>
      <c r="O3663" s="264" t="s">
        <v>1551</v>
      </c>
      <c r="P3663" s="264" t="s">
        <v>1552</v>
      </c>
      <c r="Q3663" s="270">
        <f>SUM(M3663:N3663)/12</f>
        <v>1333.3333333333333</v>
      </c>
      <c r="R3663" s="270">
        <v>1333.3333333333333</v>
      </c>
      <c r="S3663" s="270">
        <v>1333.3333333333333</v>
      </c>
      <c r="T3663" s="270">
        <v>1333.3333333333333</v>
      </c>
      <c r="U3663" s="270">
        <v>1333.3333333333333</v>
      </c>
      <c r="V3663" s="270">
        <v>1333.3333333333333</v>
      </c>
      <c r="W3663" s="270">
        <v>1333.3333333333333</v>
      </c>
      <c r="X3663" s="270">
        <v>1333.3333333333333</v>
      </c>
      <c r="Y3663" s="270">
        <v>1333.3333333333333</v>
      </c>
      <c r="Z3663" s="270">
        <v>1333.3333333333333</v>
      </c>
      <c r="AA3663" s="270">
        <v>1333.3333333333333</v>
      </c>
      <c r="AB3663" s="270">
        <v>1333.3333333333333</v>
      </c>
      <c r="AC3663" s="263">
        <f t="shared" si="597"/>
        <v>16000.000000000002</v>
      </c>
    </row>
    <row r="3664" spans="1:29" x14ac:dyDescent="0.2">
      <c r="A3664" s="179"/>
      <c r="B3664" s="3446"/>
      <c r="C3664" s="3447"/>
      <c r="D3664" s="3439"/>
      <c r="E3664" s="3439"/>
      <c r="F3664" s="3439"/>
      <c r="G3664" s="3439"/>
      <c r="H3664" s="3448"/>
      <c r="I3664" s="3439"/>
      <c r="J3664" s="3439"/>
      <c r="K3664" s="3439"/>
      <c r="L3664" s="3440"/>
      <c r="M3664" s="264"/>
      <c r="N3664" s="264">
        <v>112500</v>
      </c>
      <c r="O3664" s="264" t="s">
        <v>1553</v>
      </c>
      <c r="P3664" s="264" t="s">
        <v>1554</v>
      </c>
      <c r="Q3664" s="270">
        <f>SUM(M3664:N3664)/12</f>
        <v>9375</v>
      </c>
      <c r="R3664" s="270">
        <v>9375</v>
      </c>
      <c r="S3664" s="270">
        <v>9375</v>
      </c>
      <c r="T3664" s="270">
        <v>9375</v>
      </c>
      <c r="U3664" s="270">
        <v>9375</v>
      </c>
      <c r="V3664" s="270">
        <v>9375</v>
      </c>
      <c r="W3664" s="270">
        <v>9375</v>
      </c>
      <c r="X3664" s="270">
        <v>9375</v>
      </c>
      <c r="Y3664" s="270">
        <v>9375</v>
      </c>
      <c r="Z3664" s="270">
        <v>9375</v>
      </c>
      <c r="AA3664" s="270">
        <v>9375</v>
      </c>
      <c r="AB3664" s="270">
        <v>9375</v>
      </c>
      <c r="AC3664" s="263">
        <f t="shared" si="597"/>
        <v>112500</v>
      </c>
    </row>
    <row r="3665" spans="1:29" x14ac:dyDescent="0.2">
      <c r="A3665" s="179"/>
      <c r="B3665" s="3446"/>
      <c r="C3665" s="3447"/>
      <c r="D3665" s="3439"/>
      <c r="E3665" s="3439"/>
      <c r="F3665" s="3439"/>
      <c r="G3665" s="3439"/>
      <c r="H3665" s="3448"/>
      <c r="I3665" s="3439"/>
      <c r="J3665" s="3439"/>
      <c r="K3665" s="3439"/>
      <c r="L3665" s="3440"/>
      <c r="M3665" s="264">
        <v>28000</v>
      </c>
      <c r="N3665" s="264"/>
      <c r="O3665" s="264" t="s">
        <v>1555</v>
      </c>
      <c r="P3665" s="264" t="s">
        <v>1556</v>
      </c>
      <c r="Q3665" s="270">
        <f>SUM(M3665:N3665)/12</f>
        <v>2333.3333333333335</v>
      </c>
      <c r="R3665" s="270">
        <v>2333.3333333333335</v>
      </c>
      <c r="S3665" s="270">
        <v>2333.3333333333335</v>
      </c>
      <c r="T3665" s="270">
        <v>2333.3333333333335</v>
      </c>
      <c r="U3665" s="270">
        <v>2333.3333333333335</v>
      </c>
      <c r="V3665" s="270">
        <v>2333.3333333333335</v>
      </c>
      <c r="W3665" s="270">
        <v>2333.3333333333335</v>
      </c>
      <c r="X3665" s="270">
        <v>2333.3333333333335</v>
      </c>
      <c r="Y3665" s="270">
        <v>2333.3333333333335</v>
      </c>
      <c r="Z3665" s="270">
        <v>2333.3333333333335</v>
      </c>
      <c r="AA3665" s="270">
        <v>2333.3333333333335</v>
      </c>
      <c r="AB3665" s="270">
        <v>2333.3333333333335</v>
      </c>
      <c r="AC3665" s="263">
        <f t="shared" si="597"/>
        <v>27999.999999999996</v>
      </c>
    </row>
    <row r="3666" spans="1:29" x14ac:dyDescent="0.2">
      <c r="A3666" s="179"/>
      <c r="B3666" s="3446"/>
      <c r="C3666" s="3447"/>
      <c r="D3666" s="3439"/>
      <c r="E3666" s="3439"/>
      <c r="F3666" s="3439"/>
      <c r="G3666" s="3439"/>
      <c r="H3666" s="3448"/>
      <c r="I3666" s="3439"/>
      <c r="J3666" s="3439"/>
      <c r="K3666" s="3439"/>
      <c r="L3666" s="3440"/>
      <c r="M3666" s="264">
        <v>202143</v>
      </c>
      <c r="N3666" s="264">
        <v>36800</v>
      </c>
      <c r="O3666" s="264" t="s">
        <v>1219</v>
      </c>
      <c r="P3666" s="264" t="s">
        <v>1220</v>
      </c>
      <c r="Q3666" s="270">
        <f t="shared" ref="Q3666:Q3671" si="599">SUM(M3666:N3666)/12</f>
        <v>19911.916666666668</v>
      </c>
      <c r="R3666" s="270">
        <v>19911.916666666668</v>
      </c>
      <c r="S3666" s="270">
        <v>19911.916666666668</v>
      </c>
      <c r="T3666" s="270">
        <v>19911.916666666668</v>
      </c>
      <c r="U3666" s="270">
        <v>19911.916666666668</v>
      </c>
      <c r="V3666" s="270">
        <v>19911.916666666668</v>
      </c>
      <c r="W3666" s="270">
        <v>19911.916666666668</v>
      </c>
      <c r="X3666" s="270">
        <v>19911.916666666668</v>
      </c>
      <c r="Y3666" s="270">
        <v>19911.916666666668</v>
      </c>
      <c r="Z3666" s="270">
        <v>19911.916666666668</v>
      </c>
      <c r="AA3666" s="270">
        <v>19911.916666666668</v>
      </c>
      <c r="AB3666" s="270">
        <v>19911.916666666668</v>
      </c>
      <c r="AC3666" s="263">
        <f t="shared" si="597"/>
        <v>238942.99999999997</v>
      </c>
    </row>
    <row r="3667" spans="1:29" x14ac:dyDescent="0.2">
      <c r="A3667" s="179"/>
      <c r="B3667" s="3446"/>
      <c r="C3667" s="3447"/>
      <c r="D3667" s="3439"/>
      <c r="E3667" s="3439"/>
      <c r="F3667" s="3439"/>
      <c r="G3667" s="3439"/>
      <c r="H3667" s="3448"/>
      <c r="I3667" s="3439"/>
      <c r="J3667" s="3439"/>
      <c r="K3667" s="3439"/>
      <c r="L3667" s="3440"/>
      <c r="M3667" s="264">
        <v>1000</v>
      </c>
      <c r="N3667" s="264">
        <v>4000</v>
      </c>
      <c r="O3667" s="264" t="s">
        <v>1557</v>
      </c>
      <c r="P3667" s="264" t="s">
        <v>1558</v>
      </c>
      <c r="Q3667" s="270">
        <f>SUM(M3667:N3667)/12</f>
        <v>416.66666666666669</v>
      </c>
      <c r="R3667" s="270">
        <v>416.66666666666669</v>
      </c>
      <c r="S3667" s="270">
        <v>416.66666666666669</v>
      </c>
      <c r="T3667" s="270">
        <v>416.66666666666669</v>
      </c>
      <c r="U3667" s="270">
        <v>416.66666666666669</v>
      </c>
      <c r="V3667" s="270">
        <v>416.66666666666669</v>
      </c>
      <c r="W3667" s="270">
        <v>416.66666666666669</v>
      </c>
      <c r="X3667" s="270">
        <v>416.66666666666669</v>
      </c>
      <c r="Y3667" s="270">
        <v>416.66666666666669</v>
      </c>
      <c r="Z3667" s="270">
        <v>416.66666666666669</v>
      </c>
      <c r="AA3667" s="270">
        <v>416.66666666666669</v>
      </c>
      <c r="AB3667" s="270">
        <v>416.66666666666669</v>
      </c>
      <c r="AC3667" s="263">
        <f t="shared" si="597"/>
        <v>5000</v>
      </c>
    </row>
    <row r="3668" spans="1:29" x14ac:dyDescent="0.2">
      <c r="A3668" s="179"/>
      <c r="B3668" s="3446"/>
      <c r="C3668" s="3447"/>
      <c r="D3668" s="3439"/>
      <c r="E3668" s="3439"/>
      <c r="F3668" s="3439"/>
      <c r="G3668" s="3439"/>
      <c r="H3668" s="3448"/>
      <c r="I3668" s="3439"/>
      <c r="J3668" s="3439"/>
      <c r="K3668" s="3439"/>
      <c r="L3668" s="3440"/>
      <c r="M3668" s="264">
        <v>5684</v>
      </c>
      <c r="N3668" s="264">
        <v>800</v>
      </c>
      <c r="O3668" s="264" t="s">
        <v>1221</v>
      </c>
      <c r="P3668" s="264" t="s">
        <v>1222</v>
      </c>
      <c r="Q3668" s="270">
        <f t="shared" si="599"/>
        <v>540.33333333333337</v>
      </c>
      <c r="R3668" s="270">
        <v>540.33333333333337</v>
      </c>
      <c r="S3668" s="270">
        <v>540.33333333333337</v>
      </c>
      <c r="T3668" s="270">
        <v>540.33333333333337</v>
      </c>
      <c r="U3668" s="270">
        <v>540.33333333333337</v>
      </c>
      <c r="V3668" s="270">
        <v>540.33333333333337</v>
      </c>
      <c r="W3668" s="270">
        <v>540.33333333333337</v>
      </c>
      <c r="X3668" s="270">
        <v>540.33333333333337</v>
      </c>
      <c r="Y3668" s="270">
        <v>540.33333333333337</v>
      </c>
      <c r="Z3668" s="270">
        <v>540.33333333333337</v>
      </c>
      <c r="AA3668" s="270">
        <v>540.33333333333337</v>
      </c>
      <c r="AB3668" s="270">
        <v>540.33333333333337</v>
      </c>
      <c r="AC3668" s="263">
        <f t="shared" si="597"/>
        <v>6483.9999999999991</v>
      </c>
    </row>
    <row r="3669" spans="1:29" x14ac:dyDescent="0.2">
      <c r="A3669" s="179"/>
      <c r="B3669" s="3446"/>
      <c r="C3669" s="3447"/>
      <c r="D3669" s="3439"/>
      <c r="E3669" s="3439"/>
      <c r="F3669" s="3439"/>
      <c r="G3669" s="3439"/>
      <c r="H3669" s="3448"/>
      <c r="I3669" s="3439"/>
      <c r="J3669" s="3439"/>
      <c r="K3669" s="3439"/>
      <c r="L3669" s="3440"/>
      <c r="M3669" s="264">
        <v>54323</v>
      </c>
      <c r="N3669" s="264">
        <v>10300</v>
      </c>
      <c r="O3669" s="264" t="s">
        <v>1245</v>
      </c>
      <c r="P3669" s="264" t="s">
        <v>1246</v>
      </c>
      <c r="Q3669" s="270">
        <f t="shared" si="599"/>
        <v>5385.25</v>
      </c>
      <c r="R3669" s="270">
        <v>5385.25</v>
      </c>
      <c r="S3669" s="270">
        <v>5385.25</v>
      </c>
      <c r="T3669" s="270">
        <v>5385.25</v>
      </c>
      <c r="U3669" s="270">
        <v>5385.25</v>
      </c>
      <c r="V3669" s="270">
        <v>5385.25</v>
      </c>
      <c r="W3669" s="270">
        <v>5385.25</v>
      </c>
      <c r="X3669" s="270">
        <v>5385.25</v>
      </c>
      <c r="Y3669" s="270">
        <v>5385.25</v>
      </c>
      <c r="Z3669" s="270">
        <v>5385.25</v>
      </c>
      <c r="AA3669" s="270">
        <v>5385.25</v>
      </c>
      <c r="AB3669" s="270">
        <v>5385.25</v>
      </c>
      <c r="AC3669" s="263">
        <f t="shared" si="597"/>
        <v>64623</v>
      </c>
    </row>
    <row r="3670" spans="1:29" x14ac:dyDescent="0.2">
      <c r="A3670" s="179"/>
      <c r="B3670" s="3446"/>
      <c r="C3670" s="3447"/>
      <c r="D3670" s="3439"/>
      <c r="E3670" s="3439"/>
      <c r="F3670" s="3439"/>
      <c r="G3670" s="3439"/>
      <c r="H3670" s="3448"/>
      <c r="I3670" s="3439"/>
      <c r="J3670" s="3439"/>
      <c r="K3670" s="3439"/>
      <c r="L3670" s="3440"/>
      <c r="M3670" s="264">
        <v>223181</v>
      </c>
      <c r="N3670" s="264">
        <v>62100</v>
      </c>
      <c r="O3670" s="264" t="s">
        <v>1235</v>
      </c>
      <c r="P3670" s="264" t="s">
        <v>1236</v>
      </c>
      <c r="Q3670" s="270">
        <f>SUM(M3670:N3670)/12</f>
        <v>23773.416666666668</v>
      </c>
      <c r="R3670" s="270">
        <v>23773.416666666668</v>
      </c>
      <c r="S3670" s="270">
        <v>23773.416666666668</v>
      </c>
      <c r="T3670" s="270">
        <v>23773.416666666668</v>
      </c>
      <c r="U3670" s="270">
        <v>23773.416666666668</v>
      </c>
      <c r="V3670" s="270">
        <v>23773.416666666668</v>
      </c>
      <c r="W3670" s="270">
        <v>23773.416666666668</v>
      </c>
      <c r="X3670" s="270">
        <v>23773.416666666668</v>
      </c>
      <c r="Y3670" s="270">
        <v>23773.416666666668</v>
      </c>
      <c r="Z3670" s="270">
        <v>23773.416666666668</v>
      </c>
      <c r="AA3670" s="270">
        <v>23773.416666666668</v>
      </c>
      <c r="AB3670" s="270">
        <v>23773.416666666668</v>
      </c>
      <c r="AC3670" s="263">
        <f t="shared" si="597"/>
        <v>285280.99999999994</v>
      </c>
    </row>
    <row r="3671" spans="1:29" x14ac:dyDescent="0.2">
      <c r="A3671" s="179"/>
      <c r="B3671" s="3446"/>
      <c r="C3671" s="3447"/>
      <c r="D3671" s="3439"/>
      <c r="E3671" s="3439"/>
      <c r="F3671" s="3439"/>
      <c r="G3671" s="3439"/>
      <c r="H3671" s="3448"/>
      <c r="I3671" s="3439"/>
      <c r="J3671" s="3439"/>
      <c r="K3671" s="3439"/>
      <c r="L3671" s="3440"/>
      <c r="M3671" s="264">
        <v>115735</v>
      </c>
      <c r="N3671" s="264">
        <v>43400</v>
      </c>
      <c r="O3671" s="264" t="s">
        <v>1267</v>
      </c>
      <c r="P3671" s="264" t="s">
        <v>1268</v>
      </c>
      <c r="Q3671" s="270">
        <f t="shared" si="599"/>
        <v>13261.25</v>
      </c>
      <c r="R3671" s="270">
        <v>13261.25</v>
      </c>
      <c r="S3671" s="270">
        <v>13261.25</v>
      </c>
      <c r="T3671" s="270">
        <v>13261.25</v>
      </c>
      <c r="U3671" s="270">
        <v>13261.25</v>
      </c>
      <c r="V3671" s="270">
        <v>13261.25</v>
      </c>
      <c r="W3671" s="270">
        <v>13261.25</v>
      </c>
      <c r="X3671" s="270">
        <v>13261.25</v>
      </c>
      <c r="Y3671" s="270">
        <v>13261.25</v>
      </c>
      <c r="Z3671" s="270">
        <v>13261.25</v>
      </c>
      <c r="AA3671" s="270">
        <v>13261.25</v>
      </c>
      <c r="AB3671" s="270">
        <v>13261.25</v>
      </c>
      <c r="AC3671" s="263">
        <f t="shared" si="597"/>
        <v>159135</v>
      </c>
    </row>
    <row r="3672" spans="1:29" x14ac:dyDescent="0.2">
      <c r="A3672" s="179"/>
      <c r="B3672" s="3446"/>
      <c r="C3672" s="3447"/>
      <c r="D3672" s="3439"/>
      <c r="E3672" s="3439"/>
      <c r="F3672" s="3439"/>
      <c r="G3672" s="3439"/>
      <c r="H3672" s="3448"/>
      <c r="I3672" s="3439"/>
      <c r="J3672" s="3439"/>
      <c r="K3672" s="3439"/>
      <c r="L3672" s="3440"/>
      <c r="M3672" s="264">
        <v>51900</v>
      </c>
      <c r="N3672" s="264">
        <v>16000</v>
      </c>
      <c r="O3672" s="264" t="s">
        <v>1269</v>
      </c>
      <c r="P3672" s="264" t="s">
        <v>1270</v>
      </c>
      <c r="Q3672" s="270">
        <f>SUM(M3672:N3672)/12</f>
        <v>5658.333333333333</v>
      </c>
      <c r="R3672" s="270">
        <v>5658.333333333333</v>
      </c>
      <c r="S3672" s="270">
        <v>5658.333333333333</v>
      </c>
      <c r="T3672" s="270">
        <v>5658.333333333333</v>
      </c>
      <c r="U3672" s="270">
        <v>5658.333333333333</v>
      </c>
      <c r="V3672" s="270">
        <v>5658.333333333333</v>
      </c>
      <c r="W3672" s="270">
        <v>5658.333333333333</v>
      </c>
      <c r="X3672" s="270">
        <v>5658.333333333333</v>
      </c>
      <c r="Y3672" s="270">
        <v>5658.333333333333</v>
      </c>
      <c r="Z3672" s="270">
        <v>5658.333333333333</v>
      </c>
      <c r="AA3672" s="270">
        <v>5658.333333333333</v>
      </c>
      <c r="AB3672" s="270">
        <v>5658.333333333333</v>
      </c>
      <c r="AC3672" s="263">
        <f t="shared" si="597"/>
        <v>67900.000000000015</v>
      </c>
    </row>
    <row r="3673" spans="1:29" x14ac:dyDescent="0.2">
      <c r="A3673" s="179"/>
      <c r="B3673" s="3446"/>
      <c r="C3673" s="3447"/>
      <c r="D3673" s="3439"/>
      <c r="E3673" s="3439"/>
      <c r="F3673" s="3439"/>
      <c r="G3673" s="3439"/>
      <c r="H3673" s="3448"/>
      <c r="I3673" s="3439"/>
      <c r="J3673" s="3439"/>
      <c r="K3673" s="3439"/>
      <c r="L3673" s="3440"/>
      <c r="M3673" s="264">
        <v>29600</v>
      </c>
      <c r="N3673" s="264">
        <v>13600</v>
      </c>
      <c r="O3673" s="264" t="s">
        <v>1271</v>
      </c>
      <c r="P3673" s="264" t="s">
        <v>1224</v>
      </c>
      <c r="Q3673" s="270">
        <f t="shared" ref="Q3673:Q3677" si="600">SUM(M3673:N3673)/12</f>
        <v>3600</v>
      </c>
      <c r="R3673" s="270">
        <v>3600</v>
      </c>
      <c r="S3673" s="270">
        <v>3600</v>
      </c>
      <c r="T3673" s="270">
        <v>3600</v>
      </c>
      <c r="U3673" s="270">
        <v>3600</v>
      </c>
      <c r="V3673" s="270">
        <v>3600</v>
      </c>
      <c r="W3673" s="270">
        <v>3600</v>
      </c>
      <c r="X3673" s="270">
        <v>3600</v>
      </c>
      <c r="Y3673" s="270">
        <v>3600</v>
      </c>
      <c r="Z3673" s="270">
        <v>3600</v>
      </c>
      <c r="AA3673" s="270">
        <v>3600</v>
      </c>
      <c r="AB3673" s="270">
        <v>3600</v>
      </c>
      <c r="AC3673" s="263">
        <f t="shared" si="597"/>
        <v>43200</v>
      </c>
    </row>
    <row r="3674" spans="1:29" x14ac:dyDescent="0.2">
      <c r="A3674" s="179"/>
      <c r="B3674" s="3446"/>
      <c r="C3674" s="3447"/>
      <c r="D3674" s="3439"/>
      <c r="E3674" s="3439"/>
      <c r="F3674" s="3439"/>
      <c r="G3674" s="3439"/>
      <c r="H3674" s="3448"/>
      <c r="I3674" s="3439"/>
      <c r="J3674" s="3439"/>
      <c r="K3674" s="3439"/>
      <c r="L3674" s="3440"/>
      <c r="M3674" s="264">
        <v>15500</v>
      </c>
      <c r="N3674" s="264">
        <v>4500</v>
      </c>
      <c r="O3674" s="264" t="s">
        <v>1272</v>
      </c>
      <c r="P3674" s="264" t="s">
        <v>1273</v>
      </c>
      <c r="Q3674" s="270">
        <f t="shared" si="600"/>
        <v>1666.6666666666667</v>
      </c>
      <c r="R3674" s="270">
        <v>1666.6666666666667</v>
      </c>
      <c r="S3674" s="270">
        <v>1666.6666666666667</v>
      </c>
      <c r="T3674" s="270">
        <v>1666.6666666666667</v>
      </c>
      <c r="U3674" s="270">
        <v>1666.6666666666667</v>
      </c>
      <c r="V3674" s="270">
        <v>1666.6666666666667</v>
      </c>
      <c r="W3674" s="270">
        <v>1666.6666666666667</v>
      </c>
      <c r="X3674" s="270">
        <v>1666.6666666666667</v>
      </c>
      <c r="Y3674" s="270">
        <v>1666.6666666666667</v>
      </c>
      <c r="Z3674" s="270">
        <v>1666.6666666666667</v>
      </c>
      <c r="AA3674" s="270">
        <v>1666.6666666666667</v>
      </c>
      <c r="AB3674" s="270">
        <v>1666.6666666666667</v>
      </c>
      <c r="AC3674" s="263">
        <f t="shared" si="597"/>
        <v>20000</v>
      </c>
    </row>
    <row r="3675" spans="1:29" x14ac:dyDescent="0.2">
      <c r="A3675" s="179"/>
      <c r="B3675" s="3446"/>
      <c r="C3675" s="3447"/>
      <c r="D3675" s="3439"/>
      <c r="E3675" s="3439"/>
      <c r="F3675" s="3439"/>
      <c r="G3675" s="3439"/>
      <c r="H3675" s="3448"/>
      <c r="I3675" s="3439"/>
      <c r="J3675" s="3439"/>
      <c r="K3675" s="3439"/>
      <c r="L3675" s="3440"/>
      <c r="M3675" s="264">
        <v>7540</v>
      </c>
      <c r="N3675" s="264">
        <v>7500</v>
      </c>
      <c r="O3675" s="264" t="s">
        <v>1559</v>
      </c>
      <c r="P3675" s="264" t="s">
        <v>1560</v>
      </c>
      <c r="Q3675" s="270">
        <f t="shared" si="600"/>
        <v>1253.3333333333333</v>
      </c>
      <c r="R3675" s="270">
        <v>1253.3333333333333</v>
      </c>
      <c r="S3675" s="270">
        <v>1253.3333333333333</v>
      </c>
      <c r="T3675" s="270">
        <v>1253.3333333333333</v>
      </c>
      <c r="U3675" s="270">
        <v>1253.3333333333333</v>
      </c>
      <c r="V3675" s="270">
        <v>1253.3333333333333</v>
      </c>
      <c r="W3675" s="270">
        <v>1253.3333333333333</v>
      </c>
      <c r="X3675" s="270">
        <v>1253.3333333333333</v>
      </c>
      <c r="Y3675" s="270">
        <v>1253.3333333333333</v>
      </c>
      <c r="Z3675" s="270">
        <v>1253.3333333333333</v>
      </c>
      <c r="AA3675" s="270">
        <v>1253.3333333333333</v>
      </c>
      <c r="AB3675" s="270">
        <v>1253.3333333333333</v>
      </c>
      <c r="AC3675" s="263">
        <f t="shared" si="597"/>
        <v>15040.000000000002</v>
      </c>
    </row>
    <row r="3676" spans="1:29" x14ac:dyDescent="0.2">
      <c r="A3676" s="179"/>
      <c r="B3676" s="3446"/>
      <c r="C3676" s="3447"/>
      <c r="D3676" s="3439"/>
      <c r="E3676" s="3439"/>
      <c r="F3676" s="3439"/>
      <c r="G3676" s="3439"/>
      <c r="H3676" s="3448"/>
      <c r="I3676" s="3439"/>
      <c r="J3676" s="3439"/>
      <c r="K3676" s="3439"/>
      <c r="L3676" s="3440"/>
      <c r="M3676" s="264">
        <v>7143</v>
      </c>
      <c r="N3676" s="264">
        <v>2450</v>
      </c>
      <c r="O3676" s="264" t="s">
        <v>1561</v>
      </c>
      <c r="P3676" s="264" t="s">
        <v>1562</v>
      </c>
      <c r="Q3676" s="270">
        <f t="shared" si="600"/>
        <v>799.41666666666663</v>
      </c>
      <c r="R3676" s="270">
        <v>799.41666666666663</v>
      </c>
      <c r="S3676" s="270">
        <v>799.41666666666663</v>
      </c>
      <c r="T3676" s="270">
        <v>799.41666666666663</v>
      </c>
      <c r="U3676" s="270">
        <v>799.41666666666663</v>
      </c>
      <c r="V3676" s="270">
        <v>799.41666666666663</v>
      </c>
      <c r="W3676" s="270">
        <v>799.41666666666663</v>
      </c>
      <c r="X3676" s="270">
        <v>799.41666666666663</v>
      </c>
      <c r="Y3676" s="270">
        <v>799.41666666666663</v>
      </c>
      <c r="Z3676" s="270">
        <v>799.41666666666663</v>
      </c>
      <c r="AA3676" s="270">
        <v>799.41666666666663</v>
      </c>
      <c r="AB3676" s="270">
        <v>799.41666666666663</v>
      </c>
      <c r="AC3676" s="263">
        <f t="shared" si="597"/>
        <v>9593</v>
      </c>
    </row>
    <row r="3677" spans="1:29" x14ac:dyDescent="0.2">
      <c r="A3677" s="179"/>
      <c r="B3677" s="3446"/>
      <c r="C3677" s="3447"/>
      <c r="D3677" s="3439"/>
      <c r="E3677" s="3439"/>
      <c r="F3677" s="3439"/>
      <c r="G3677" s="3439"/>
      <c r="H3677" s="3448"/>
      <c r="I3677" s="3439"/>
      <c r="J3677" s="3439"/>
      <c r="K3677" s="3439"/>
      <c r="L3677" s="3440"/>
      <c r="M3677" s="264">
        <v>2812</v>
      </c>
      <c r="N3677" s="264">
        <v>11700</v>
      </c>
      <c r="O3677" s="264" t="s">
        <v>1274</v>
      </c>
      <c r="P3677" s="264" t="s">
        <v>1275</v>
      </c>
      <c r="Q3677" s="270">
        <f t="shared" si="600"/>
        <v>1209.3333333333333</v>
      </c>
      <c r="R3677" s="270">
        <v>1209.3333333333333</v>
      </c>
      <c r="S3677" s="270">
        <v>1209.3333333333333</v>
      </c>
      <c r="T3677" s="270">
        <v>1209.3333333333333</v>
      </c>
      <c r="U3677" s="270">
        <v>1209.3333333333333</v>
      </c>
      <c r="V3677" s="270">
        <v>1209.3333333333333</v>
      </c>
      <c r="W3677" s="270">
        <v>1209.3333333333333</v>
      </c>
      <c r="X3677" s="270">
        <v>1209.3333333333333</v>
      </c>
      <c r="Y3677" s="270">
        <v>1209.3333333333333</v>
      </c>
      <c r="Z3677" s="270">
        <v>1209.3333333333333</v>
      </c>
      <c r="AA3677" s="270">
        <v>1209.3333333333333</v>
      </c>
      <c r="AB3677" s="270">
        <v>1209.3333333333333</v>
      </c>
      <c r="AC3677" s="263">
        <f t="shared" si="597"/>
        <v>14512.000000000002</v>
      </c>
    </row>
    <row r="3678" spans="1:29" x14ac:dyDescent="0.2">
      <c r="A3678" s="179"/>
      <c r="B3678" s="3446"/>
      <c r="C3678" s="3447"/>
      <c r="D3678" s="3439"/>
      <c r="E3678" s="3439"/>
      <c r="F3678" s="3439"/>
      <c r="G3678" s="3439"/>
      <c r="H3678" s="3448"/>
      <c r="I3678" s="3439"/>
      <c r="J3678" s="3439"/>
      <c r="K3678" s="3439"/>
      <c r="L3678" s="3440"/>
      <c r="M3678" s="264"/>
      <c r="N3678" s="264">
        <v>45000</v>
      </c>
      <c r="O3678" s="264" t="s">
        <v>1563</v>
      </c>
      <c r="P3678" s="264" t="s">
        <v>1564</v>
      </c>
      <c r="Q3678" s="270"/>
      <c r="R3678" s="270"/>
      <c r="S3678" s="270"/>
      <c r="T3678" s="270">
        <f>SUM(N3678/2)</f>
        <v>22500</v>
      </c>
      <c r="U3678" s="270"/>
      <c r="V3678" s="270"/>
      <c r="W3678" s="270"/>
      <c r="X3678" s="270">
        <v>22500</v>
      </c>
      <c r="Y3678" s="270"/>
      <c r="Z3678" s="270"/>
      <c r="AA3678" s="270"/>
      <c r="AB3678" s="270"/>
      <c r="AC3678" s="263">
        <f t="shared" si="597"/>
        <v>45000</v>
      </c>
    </row>
    <row r="3679" spans="1:29" x14ac:dyDescent="0.2">
      <c r="A3679" s="179"/>
      <c r="B3679" s="3446"/>
      <c r="C3679" s="3447"/>
      <c r="D3679" s="3439"/>
      <c r="E3679" s="3439"/>
      <c r="F3679" s="3439"/>
      <c r="G3679" s="3439"/>
      <c r="H3679" s="3448"/>
      <c r="I3679" s="3439"/>
      <c r="J3679" s="3439"/>
      <c r="K3679" s="3439"/>
      <c r="L3679" s="3440"/>
      <c r="M3679" s="264"/>
      <c r="N3679" s="264">
        <v>43500</v>
      </c>
      <c r="O3679" s="264" t="s">
        <v>1565</v>
      </c>
      <c r="P3679" s="264" t="s">
        <v>1566</v>
      </c>
      <c r="Q3679" s="270">
        <f>SUM(N3679/12)</f>
        <v>3625</v>
      </c>
      <c r="R3679" s="270">
        <v>3625</v>
      </c>
      <c r="S3679" s="270">
        <v>3625</v>
      </c>
      <c r="T3679" s="270">
        <v>3625</v>
      </c>
      <c r="U3679" s="270">
        <v>3625</v>
      </c>
      <c r="V3679" s="270">
        <v>3625</v>
      </c>
      <c r="W3679" s="270">
        <v>3625</v>
      </c>
      <c r="X3679" s="270">
        <v>3625</v>
      </c>
      <c r="Y3679" s="270">
        <v>3625</v>
      </c>
      <c r="Z3679" s="270">
        <v>3625</v>
      </c>
      <c r="AA3679" s="270">
        <v>3625</v>
      </c>
      <c r="AB3679" s="270">
        <v>3625</v>
      </c>
      <c r="AC3679" s="263">
        <f t="shared" si="597"/>
        <v>43500</v>
      </c>
    </row>
    <row r="3680" spans="1:29" x14ac:dyDescent="0.2">
      <c r="A3680" s="179"/>
      <c r="B3680" s="3446"/>
      <c r="C3680" s="3447"/>
      <c r="D3680" s="3439"/>
      <c r="E3680" s="3439"/>
      <c r="F3680" s="3439"/>
      <c r="G3680" s="3439"/>
      <c r="H3680" s="3448"/>
      <c r="I3680" s="3439"/>
      <c r="J3680" s="3439"/>
      <c r="K3680" s="3439"/>
      <c r="L3680" s="3440"/>
      <c r="M3680" s="264"/>
      <c r="N3680" s="264">
        <v>4500</v>
      </c>
      <c r="O3680" s="264" t="s">
        <v>1567</v>
      </c>
      <c r="P3680" s="264" t="s">
        <v>1568</v>
      </c>
      <c r="Q3680" s="270">
        <f t="shared" ref="Q3680:Q3686" si="601">SUM(M3680:N3680)/12</f>
        <v>375</v>
      </c>
      <c r="R3680" s="270">
        <v>391.66666666666669</v>
      </c>
      <c r="S3680" s="270">
        <v>391.66666666666669</v>
      </c>
      <c r="T3680" s="270">
        <v>391.66666666666669</v>
      </c>
      <c r="U3680" s="270">
        <v>391.66666666666669</v>
      </c>
      <c r="V3680" s="270">
        <v>391.66666666666669</v>
      </c>
      <c r="W3680" s="270">
        <v>391.66666666666669</v>
      </c>
      <c r="X3680" s="270">
        <v>391.66666666666669</v>
      </c>
      <c r="Y3680" s="270">
        <v>391.66666666666669</v>
      </c>
      <c r="Z3680" s="270">
        <v>391.66666666666669</v>
      </c>
      <c r="AA3680" s="270">
        <v>391.66666666666669</v>
      </c>
      <c r="AB3680" s="270">
        <v>391.66666666666669</v>
      </c>
      <c r="AC3680" s="263">
        <f t="shared" si="597"/>
        <v>4683.333333333333</v>
      </c>
    </row>
    <row r="3681" spans="1:29" x14ac:dyDescent="0.2">
      <c r="A3681" s="179"/>
      <c r="B3681" s="3446"/>
      <c r="C3681" s="3447"/>
      <c r="D3681" s="3439"/>
      <c r="E3681" s="3439"/>
      <c r="F3681" s="3439"/>
      <c r="G3681" s="3439"/>
      <c r="H3681" s="3448"/>
      <c r="I3681" s="3439"/>
      <c r="J3681" s="3439"/>
      <c r="K3681" s="3439"/>
      <c r="L3681" s="3440"/>
      <c r="M3681" s="264">
        <v>8000</v>
      </c>
      <c r="N3681" s="264">
        <v>1500</v>
      </c>
      <c r="O3681" s="264" t="s">
        <v>1569</v>
      </c>
      <c r="P3681" s="264" t="s">
        <v>1570</v>
      </c>
      <c r="Q3681" s="270">
        <f t="shared" si="601"/>
        <v>791.66666666666663</v>
      </c>
      <c r="R3681" s="270">
        <v>1266.6666666666667</v>
      </c>
      <c r="S3681" s="270">
        <v>1266.6666666666667</v>
      </c>
      <c r="T3681" s="270">
        <v>1266.6666666666667</v>
      </c>
      <c r="U3681" s="270">
        <v>1266.6666666666667</v>
      </c>
      <c r="V3681" s="270">
        <v>1266.6666666666667</v>
      </c>
      <c r="W3681" s="270">
        <v>1266.6666666666667</v>
      </c>
      <c r="X3681" s="270">
        <v>1266.6666666666667</v>
      </c>
      <c r="Y3681" s="270">
        <v>1266.6666666666667</v>
      </c>
      <c r="Z3681" s="270">
        <v>1266.6666666666667</v>
      </c>
      <c r="AA3681" s="270">
        <v>1266.6666666666667</v>
      </c>
      <c r="AB3681" s="270">
        <v>1266.6666666666667</v>
      </c>
      <c r="AC3681" s="263">
        <f t="shared" si="597"/>
        <v>14724.999999999998</v>
      </c>
    </row>
    <row r="3682" spans="1:29" x14ac:dyDescent="0.2">
      <c r="A3682" s="179"/>
      <c r="B3682" s="3446"/>
      <c r="C3682" s="3447"/>
      <c r="D3682" s="3439"/>
      <c r="E3682" s="3439"/>
      <c r="F3682" s="3439"/>
      <c r="G3682" s="3439"/>
      <c r="H3682" s="3448"/>
      <c r="I3682" s="3439"/>
      <c r="J3682" s="3439"/>
      <c r="K3682" s="3439"/>
      <c r="L3682" s="3440"/>
      <c r="M3682" s="264">
        <v>2500</v>
      </c>
      <c r="N3682" s="264">
        <v>11500</v>
      </c>
      <c r="O3682" s="264" t="s">
        <v>1521</v>
      </c>
      <c r="P3682" s="264" t="s">
        <v>1522</v>
      </c>
      <c r="Q3682" s="270">
        <f t="shared" si="601"/>
        <v>1166.6666666666667</v>
      </c>
      <c r="R3682" s="270">
        <v>1373.9166666666667</v>
      </c>
      <c r="S3682" s="270">
        <v>1373.9166666666667</v>
      </c>
      <c r="T3682" s="270">
        <v>1373.9166666666667</v>
      </c>
      <c r="U3682" s="270">
        <v>1373.9166666666667</v>
      </c>
      <c r="V3682" s="270">
        <v>1373.9166666666667</v>
      </c>
      <c r="W3682" s="270">
        <v>1373.9166666666667</v>
      </c>
      <c r="X3682" s="270">
        <v>1373.9166666666667</v>
      </c>
      <c r="Y3682" s="270">
        <v>1373.9166666666667</v>
      </c>
      <c r="Z3682" s="270">
        <v>1373.9166666666667</v>
      </c>
      <c r="AA3682" s="270">
        <v>1373.9166666666667</v>
      </c>
      <c r="AB3682" s="270">
        <v>1373.9166666666667</v>
      </c>
      <c r="AC3682" s="263">
        <f t="shared" si="597"/>
        <v>16279.749999999998</v>
      </c>
    </row>
    <row r="3683" spans="1:29" x14ac:dyDescent="0.2">
      <c r="A3683" s="179"/>
      <c r="B3683" s="3446"/>
      <c r="C3683" s="3447"/>
      <c r="D3683" s="3439"/>
      <c r="E3683" s="3439"/>
      <c r="F3683" s="3439"/>
      <c r="G3683" s="3439"/>
      <c r="H3683" s="3448"/>
      <c r="I3683" s="3439"/>
      <c r="J3683" s="3439"/>
      <c r="K3683" s="3439"/>
      <c r="L3683" s="3440"/>
      <c r="M3683" s="264"/>
      <c r="N3683" s="264">
        <v>3500</v>
      </c>
      <c r="O3683" s="264" t="s">
        <v>1523</v>
      </c>
      <c r="P3683" s="264" t="s">
        <v>1524</v>
      </c>
      <c r="Q3683" s="270">
        <f t="shared" si="601"/>
        <v>291.66666666666669</v>
      </c>
      <c r="R3683" s="270">
        <v>1666.6666666666667</v>
      </c>
      <c r="S3683" s="270">
        <v>1666.6666666666667</v>
      </c>
      <c r="T3683" s="270">
        <v>1666.6666666666667</v>
      </c>
      <c r="U3683" s="270">
        <v>1666.6666666666667</v>
      </c>
      <c r="V3683" s="270">
        <v>1666.6666666666667</v>
      </c>
      <c r="W3683" s="270">
        <v>1666.6666666666667</v>
      </c>
      <c r="X3683" s="270">
        <v>1666.6666666666667</v>
      </c>
      <c r="Y3683" s="270">
        <v>1666.6666666666667</v>
      </c>
      <c r="Z3683" s="270">
        <v>1666.6666666666667</v>
      </c>
      <c r="AA3683" s="270">
        <v>1666.6666666666667</v>
      </c>
      <c r="AB3683" s="270">
        <v>1666.6666666666667</v>
      </c>
      <c r="AC3683" s="263">
        <f t="shared" si="597"/>
        <v>18625</v>
      </c>
    </row>
    <row r="3684" spans="1:29" x14ac:dyDescent="0.2">
      <c r="A3684" s="179"/>
      <c r="B3684" s="3446"/>
      <c r="C3684" s="3447"/>
      <c r="D3684" s="3439"/>
      <c r="E3684" s="3439"/>
      <c r="F3684" s="3439"/>
      <c r="G3684" s="3439"/>
      <c r="H3684" s="3448"/>
      <c r="I3684" s="3439"/>
      <c r="J3684" s="3439"/>
      <c r="K3684" s="3439"/>
      <c r="L3684" s="3440"/>
      <c r="M3684" s="264">
        <v>3180</v>
      </c>
      <c r="N3684" s="264"/>
      <c r="O3684" s="264" t="s">
        <v>1571</v>
      </c>
      <c r="P3684" s="264" t="s">
        <v>1572</v>
      </c>
      <c r="Q3684" s="270">
        <f t="shared" si="601"/>
        <v>265</v>
      </c>
      <c r="R3684" s="270">
        <v>1331.5</v>
      </c>
      <c r="S3684" s="270">
        <v>1331.5</v>
      </c>
      <c r="T3684" s="270">
        <v>1331.5</v>
      </c>
      <c r="U3684" s="270">
        <v>1331.5</v>
      </c>
      <c r="V3684" s="270">
        <v>1331.5</v>
      </c>
      <c r="W3684" s="270">
        <v>1331.5</v>
      </c>
      <c r="X3684" s="270">
        <v>1331.5</v>
      </c>
      <c r="Y3684" s="270">
        <v>1331.5</v>
      </c>
      <c r="Z3684" s="270">
        <v>1331.5</v>
      </c>
      <c r="AA3684" s="270">
        <v>1331.5</v>
      </c>
      <c r="AB3684" s="270">
        <v>1331.5</v>
      </c>
      <c r="AC3684" s="263">
        <f t="shared" si="597"/>
        <v>14911.5</v>
      </c>
    </row>
    <row r="3685" spans="1:29" x14ac:dyDescent="0.2">
      <c r="A3685" s="179"/>
      <c r="B3685" s="3446"/>
      <c r="C3685" s="3447"/>
      <c r="D3685" s="3439"/>
      <c r="E3685" s="3439"/>
      <c r="F3685" s="3439"/>
      <c r="G3685" s="3439"/>
      <c r="H3685" s="3448"/>
      <c r="I3685" s="3439"/>
      <c r="J3685" s="3439"/>
      <c r="K3685" s="3439"/>
      <c r="L3685" s="3440"/>
      <c r="M3685" s="264">
        <v>14118</v>
      </c>
      <c r="N3685" s="264">
        <v>45660</v>
      </c>
      <c r="O3685" s="264" t="s">
        <v>1249</v>
      </c>
      <c r="P3685" s="264" t="s">
        <v>1250</v>
      </c>
      <c r="Q3685" s="270">
        <f t="shared" si="601"/>
        <v>4981.5</v>
      </c>
      <c r="R3685" s="270">
        <v>7749.75</v>
      </c>
      <c r="S3685" s="270">
        <v>7749.75</v>
      </c>
      <c r="T3685" s="270">
        <v>7749.75</v>
      </c>
      <c r="U3685" s="270">
        <v>7749.75</v>
      </c>
      <c r="V3685" s="270">
        <v>7749.75</v>
      </c>
      <c r="W3685" s="270">
        <v>7749.75</v>
      </c>
      <c r="X3685" s="270">
        <v>7749.75</v>
      </c>
      <c r="Y3685" s="270">
        <v>7749.75</v>
      </c>
      <c r="Z3685" s="270">
        <v>7749.75</v>
      </c>
      <c r="AA3685" s="270">
        <v>7749.75</v>
      </c>
      <c r="AB3685" s="270">
        <v>7749.75</v>
      </c>
      <c r="AC3685" s="263">
        <f t="shared" si="597"/>
        <v>90228.75</v>
      </c>
    </row>
    <row r="3686" spans="1:29" x14ac:dyDescent="0.2">
      <c r="A3686" s="179"/>
      <c r="B3686" s="3446"/>
      <c r="C3686" s="3447"/>
      <c r="D3686" s="3439"/>
      <c r="E3686" s="3439"/>
      <c r="F3686" s="3439"/>
      <c r="G3686" s="3439"/>
      <c r="H3686" s="3448"/>
      <c r="I3686" s="3439"/>
      <c r="J3686" s="3439"/>
      <c r="K3686" s="3439"/>
      <c r="L3686" s="3440"/>
      <c r="M3686" s="264">
        <v>45767</v>
      </c>
      <c r="N3686" s="264"/>
      <c r="O3686" s="264" t="s">
        <v>1276</v>
      </c>
      <c r="P3686" s="264" t="s">
        <v>1277</v>
      </c>
      <c r="Q3686" s="270">
        <f t="shared" si="601"/>
        <v>3813.9166666666665</v>
      </c>
      <c r="R3686" s="270">
        <v>22080.25</v>
      </c>
      <c r="S3686" s="270">
        <v>22080.25</v>
      </c>
      <c r="T3686" s="270">
        <v>22080.25</v>
      </c>
      <c r="U3686" s="270">
        <v>22080.25</v>
      </c>
      <c r="V3686" s="270">
        <v>22080.25</v>
      </c>
      <c r="W3686" s="270">
        <v>22080.25</v>
      </c>
      <c r="X3686" s="270">
        <v>22080.25</v>
      </c>
      <c r="Y3686" s="270">
        <v>22080.25</v>
      </c>
      <c r="Z3686" s="270">
        <v>22080.25</v>
      </c>
      <c r="AA3686" s="270">
        <v>22080.25</v>
      </c>
      <c r="AB3686" s="270">
        <v>22080.25</v>
      </c>
      <c r="AC3686" s="263">
        <f t="shared" si="597"/>
        <v>246696.66666666669</v>
      </c>
    </row>
    <row r="3687" spans="1:29" x14ac:dyDescent="0.2">
      <c r="A3687" s="179"/>
      <c r="B3687" s="3446"/>
      <c r="C3687" s="3447"/>
      <c r="D3687" s="3439"/>
      <c r="E3687" s="3439"/>
      <c r="F3687" s="3439"/>
      <c r="G3687" s="3439"/>
      <c r="H3687" s="3448"/>
      <c r="I3687" s="3439"/>
      <c r="J3687" s="3439"/>
      <c r="K3687" s="3439"/>
      <c r="L3687" s="3440"/>
      <c r="M3687" s="264">
        <v>109932</v>
      </c>
      <c r="N3687" s="264">
        <v>8800</v>
      </c>
      <c r="O3687" s="264" t="s">
        <v>1237</v>
      </c>
      <c r="P3687" s="264" t="s">
        <v>1238</v>
      </c>
      <c r="Q3687" s="270">
        <f>SUM(M3687:N3687)/12</f>
        <v>9894.3333333333339</v>
      </c>
      <c r="R3687" s="270">
        <v>41100.166666666664</v>
      </c>
      <c r="S3687" s="270">
        <v>41100.166666666664</v>
      </c>
      <c r="T3687" s="270">
        <v>41100.166666666664</v>
      </c>
      <c r="U3687" s="270">
        <v>41100.166666666664</v>
      </c>
      <c r="V3687" s="270">
        <v>41100.166666666664</v>
      </c>
      <c r="W3687" s="270">
        <v>41100.166666666664</v>
      </c>
      <c r="X3687" s="270">
        <v>41100.166666666664</v>
      </c>
      <c r="Y3687" s="270">
        <v>41100.166666666664</v>
      </c>
      <c r="Z3687" s="270">
        <v>41100.166666666664</v>
      </c>
      <c r="AA3687" s="270">
        <v>41100.166666666664</v>
      </c>
      <c r="AB3687" s="270">
        <v>41100.166666666664</v>
      </c>
      <c r="AC3687" s="263">
        <f t="shared" si="597"/>
        <v>461996.16666666669</v>
      </c>
    </row>
    <row r="3688" spans="1:29" x14ac:dyDescent="0.2">
      <c r="A3688" s="179"/>
      <c r="B3688" s="3446"/>
      <c r="C3688" s="3447"/>
      <c r="D3688" s="3439"/>
      <c r="E3688" s="3439"/>
      <c r="F3688" s="3439"/>
      <c r="G3688" s="3439"/>
      <c r="H3688" s="3448"/>
      <c r="I3688" s="3439"/>
      <c r="J3688" s="3439"/>
      <c r="K3688" s="3439"/>
      <c r="L3688" s="3440"/>
      <c r="M3688" s="264">
        <v>475050</v>
      </c>
      <c r="N3688" s="264">
        <v>42000</v>
      </c>
      <c r="O3688" s="264" t="s">
        <v>1239</v>
      </c>
      <c r="P3688" s="264" t="s">
        <v>1240</v>
      </c>
      <c r="Q3688" s="270">
        <f>SUM(M3688:N3688)/12</f>
        <v>43087.5</v>
      </c>
      <c r="R3688" s="270">
        <v>150252.25</v>
      </c>
      <c r="S3688" s="270">
        <v>150252.25</v>
      </c>
      <c r="T3688" s="270">
        <v>150252.25</v>
      </c>
      <c r="U3688" s="270">
        <v>150252.25</v>
      </c>
      <c r="V3688" s="270">
        <v>150252.25</v>
      </c>
      <c r="W3688" s="270">
        <v>150252.25</v>
      </c>
      <c r="X3688" s="270">
        <v>150252.25</v>
      </c>
      <c r="Y3688" s="270">
        <v>150252.25</v>
      </c>
      <c r="Z3688" s="270">
        <v>150252.25</v>
      </c>
      <c r="AA3688" s="270">
        <v>150252.25</v>
      </c>
      <c r="AB3688" s="270">
        <v>150252.25</v>
      </c>
      <c r="AC3688" s="263">
        <f t="shared" si="597"/>
        <v>1695862.25</v>
      </c>
    </row>
    <row r="3689" spans="1:29" x14ac:dyDescent="0.2">
      <c r="A3689" s="179"/>
      <c r="B3689" s="3446"/>
      <c r="C3689" s="3447"/>
      <c r="D3689" s="3439"/>
      <c r="E3689" s="3439"/>
      <c r="F3689" s="3439"/>
      <c r="G3689" s="3439"/>
      <c r="H3689" s="3448"/>
      <c r="I3689" s="3439"/>
      <c r="J3689" s="3439"/>
      <c r="K3689" s="3439"/>
      <c r="L3689" s="3440"/>
      <c r="M3689" s="264">
        <v>35897</v>
      </c>
      <c r="N3689" s="264"/>
      <c r="O3689" s="264" t="s">
        <v>1573</v>
      </c>
      <c r="P3689" s="264" t="s">
        <v>1574</v>
      </c>
      <c r="Q3689" s="270">
        <f>SUM(M3689/12)</f>
        <v>2991.4166666666665</v>
      </c>
      <c r="R3689" s="270">
        <v>2991.4166666666665</v>
      </c>
      <c r="S3689" s="270">
        <v>2991.4166666666665</v>
      </c>
      <c r="T3689" s="270">
        <v>2991.4166666666665</v>
      </c>
      <c r="U3689" s="270">
        <v>2991.4166666666665</v>
      </c>
      <c r="V3689" s="270">
        <v>2991.4166666666665</v>
      </c>
      <c r="W3689" s="270">
        <v>2991.4166666666665</v>
      </c>
      <c r="X3689" s="270">
        <v>2991.4166666666665</v>
      </c>
      <c r="Y3689" s="270">
        <v>2991.4166666666665</v>
      </c>
      <c r="Z3689" s="270">
        <v>2991.4166666666665</v>
      </c>
      <c r="AA3689" s="270">
        <v>2991.4166666666665</v>
      </c>
      <c r="AB3689" s="270">
        <v>2991.4166666666665</v>
      </c>
      <c r="AC3689" s="263">
        <f t="shared" si="597"/>
        <v>35897</v>
      </c>
    </row>
    <row r="3690" spans="1:29" x14ac:dyDescent="0.2">
      <c r="A3690" s="179"/>
      <c r="B3690" s="3446"/>
      <c r="C3690" s="3447"/>
      <c r="D3690" s="3439"/>
      <c r="E3690" s="3439"/>
      <c r="F3690" s="3439"/>
      <c r="G3690" s="3439"/>
      <c r="H3690" s="3448"/>
      <c r="I3690" s="3439"/>
      <c r="J3690" s="3439"/>
      <c r="K3690" s="3439"/>
      <c r="L3690" s="3440"/>
      <c r="M3690" s="264">
        <v>53258</v>
      </c>
      <c r="N3690" s="264">
        <v>11330</v>
      </c>
      <c r="O3690" s="264" t="s">
        <v>1278</v>
      </c>
      <c r="P3690" s="264" t="s">
        <v>1279</v>
      </c>
      <c r="Q3690" s="270">
        <f t="shared" ref="Q3690:Q3704" si="602">SUM(M3690:N3690)/12</f>
        <v>5382.333333333333</v>
      </c>
      <c r="R3690" s="270">
        <v>7914.75</v>
      </c>
      <c r="S3690" s="270">
        <v>7914.75</v>
      </c>
      <c r="T3690" s="270">
        <v>7914.75</v>
      </c>
      <c r="U3690" s="270">
        <v>7914.75</v>
      </c>
      <c r="V3690" s="270">
        <v>7914.75</v>
      </c>
      <c r="W3690" s="270">
        <v>7914.75</v>
      </c>
      <c r="X3690" s="270">
        <v>7914.75</v>
      </c>
      <c r="Y3690" s="270">
        <v>7914.75</v>
      </c>
      <c r="Z3690" s="270">
        <v>7914.75</v>
      </c>
      <c r="AA3690" s="270">
        <v>7914.75</v>
      </c>
      <c r="AB3690" s="270">
        <v>7914.75</v>
      </c>
      <c r="AC3690" s="263">
        <f t="shared" si="597"/>
        <v>92444.583333333328</v>
      </c>
    </row>
    <row r="3691" spans="1:29" x14ac:dyDescent="0.2">
      <c r="A3691" s="179"/>
      <c r="B3691" s="3446"/>
      <c r="C3691" s="3447"/>
      <c r="D3691" s="3439"/>
      <c r="E3691" s="3439"/>
      <c r="F3691" s="3439"/>
      <c r="G3691" s="3439"/>
      <c r="H3691" s="3448"/>
      <c r="I3691" s="3439"/>
      <c r="J3691" s="3439"/>
      <c r="K3691" s="3439"/>
      <c r="L3691" s="3440"/>
      <c r="M3691" s="264">
        <v>279403</v>
      </c>
      <c r="N3691" s="264">
        <v>19800</v>
      </c>
      <c r="O3691" s="264" t="s">
        <v>1280</v>
      </c>
      <c r="P3691" s="264" t="s">
        <v>1281</v>
      </c>
      <c r="Q3691" s="270">
        <f t="shared" si="602"/>
        <v>24933.583333333332</v>
      </c>
      <c r="R3691" s="270">
        <v>42473.166666666664</v>
      </c>
      <c r="S3691" s="270">
        <v>42473.166666666664</v>
      </c>
      <c r="T3691" s="270">
        <v>42473.166666666664</v>
      </c>
      <c r="U3691" s="270">
        <v>42473.166666666664</v>
      </c>
      <c r="V3691" s="270">
        <v>42473.166666666664</v>
      </c>
      <c r="W3691" s="270">
        <v>42473.166666666664</v>
      </c>
      <c r="X3691" s="270">
        <v>42473.166666666664</v>
      </c>
      <c r="Y3691" s="270">
        <v>42473.166666666664</v>
      </c>
      <c r="Z3691" s="270">
        <v>42473.166666666664</v>
      </c>
      <c r="AA3691" s="270">
        <v>42473.166666666664</v>
      </c>
      <c r="AB3691" s="270">
        <v>42473.166666666664</v>
      </c>
      <c r="AC3691" s="263">
        <f t="shared" si="597"/>
        <v>492138.41666666674</v>
      </c>
    </row>
    <row r="3692" spans="1:29" x14ac:dyDescent="0.2">
      <c r="A3692" s="179"/>
      <c r="B3692" s="3446"/>
      <c r="C3692" s="3447"/>
      <c r="D3692" s="3439"/>
      <c r="E3692" s="3439"/>
      <c r="F3692" s="3439"/>
      <c r="G3692" s="3439"/>
      <c r="H3692" s="3448"/>
      <c r="I3692" s="3439"/>
      <c r="J3692" s="3439"/>
      <c r="K3692" s="3439"/>
      <c r="L3692" s="3440"/>
      <c r="M3692" s="264">
        <v>33203</v>
      </c>
      <c r="N3692" s="264">
        <v>450</v>
      </c>
      <c r="O3692" s="264" t="s">
        <v>1282</v>
      </c>
      <c r="P3692" s="264" t="s">
        <v>1283</v>
      </c>
      <c r="Q3692" s="270">
        <f t="shared" si="602"/>
        <v>2804.4166666666665</v>
      </c>
      <c r="R3692" s="270">
        <v>9171.3333333333339</v>
      </c>
      <c r="S3692" s="270">
        <v>9171.3333333333339</v>
      </c>
      <c r="T3692" s="270">
        <v>9171.3333333333339</v>
      </c>
      <c r="U3692" s="270">
        <v>9171.3333333333339</v>
      </c>
      <c r="V3692" s="270">
        <v>9171.3333333333339</v>
      </c>
      <c r="W3692" s="270">
        <v>9171.3333333333339</v>
      </c>
      <c r="X3692" s="270">
        <v>9171.3333333333339</v>
      </c>
      <c r="Y3692" s="270">
        <v>9171.3333333333339</v>
      </c>
      <c r="Z3692" s="270">
        <v>9171.3333333333339</v>
      </c>
      <c r="AA3692" s="270">
        <v>9171.3333333333339</v>
      </c>
      <c r="AB3692" s="270">
        <v>9171.3333333333339</v>
      </c>
      <c r="AC3692" s="263">
        <f t="shared" si="597"/>
        <v>103689.08333333333</v>
      </c>
    </row>
    <row r="3693" spans="1:29" x14ac:dyDescent="0.2">
      <c r="A3693" s="179"/>
      <c r="B3693" s="3446"/>
      <c r="C3693" s="3447"/>
      <c r="D3693" s="3439"/>
      <c r="E3693" s="3439"/>
      <c r="F3693" s="3439"/>
      <c r="G3693" s="3439"/>
      <c r="H3693" s="3448"/>
      <c r="I3693" s="3439"/>
      <c r="J3693" s="3439"/>
      <c r="K3693" s="3439"/>
      <c r="L3693" s="3440"/>
      <c r="M3693" s="264">
        <v>19700</v>
      </c>
      <c r="N3693" s="264">
        <v>5000</v>
      </c>
      <c r="O3693" s="264" t="s">
        <v>1284</v>
      </c>
      <c r="P3693" s="264" t="s">
        <v>1285</v>
      </c>
      <c r="Q3693" s="270">
        <f t="shared" si="602"/>
        <v>2058.3333333333335</v>
      </c>
      <c r="R3693" s="270">
        <v>6292</v>
      </c>
      <c r="S3693" s="270">
        <v>6292</v>
      </c>
      <c r="T3693" s="270">
        <v>6292</v>
      </c>
      <c r="U3693" s="270">
        <v>6292</v>
      </c>
      <c r="V3693" s="270">
        <v>6292</v>
      </c>
      <c r="W3693" s="270">
        <v>6292</v>
      </c>
      <c r="X3693" s="270">
        <v>6292</v>
      </c>
      <c r="Y3693" s="270">
        <v>6292</v>
      </c>
      <c r="Z3693" s="270">
        <v>6292</v>
      </c>
      <c r="AA3693" s="270">
        <v>6292</v>
      </c>
      <c r="AB3693" s="270">
        <v>6292</v>
      </c>
      <c r="AC3693" s="263">
        <f t="shared" si="597"/>
        <v>71270.333333333343</v>
      </c>
    </row>
    <row r="3694" spans="1:29" x14ac:dyDescent="0.2">
      <c r="A3694" s="179"/>
      <c r="B3694" s="3446"/>
      <c r="C3694" s="3447"/>
      <c r="D3694" s="3439"/>
      <c r="E3694" s="3439"/>
      <c r="F3694" s="3439"/>
      <c r="G3694" s="3439"/>
      <c r="H3694" s="3448"/>
      <c r="I3694" s="3439"/>
      <c r="J3694" s="3439"/>
      <c r="K3694" s="3439"/>
      <c r="L3694" s="3440"/>
      <c r="M3694" s="264">
        <v>130687</v>
      </c>
      <c r="N3694" s="264"/>
      <c r="O3694" s="264" t="s">
        <v>1286</v>
      </c>
      <c r="P3694" s="264" t="s">
        <v>1287</v>
      </c>
      <c r="Q3694" s="270">
        <f t="shared" si="602"/>
        <v>10890.583333333334</v>
      </c>
      <c r="R3694" s="270">
        <v>24392.416666666668</v>
      </c>
      <c r="S3694" s="270">
        <v>24392.416666666668</v>
      </c>
      <c r="T3694" s="270">
        <v>24392.416666666668</v>
      </c>
      <c r="U3694" s="270">
        <v>24392.416666666668</v>
      </c>
      <c r="V3694" s="270">
        <v>24392.416666666668</v>
      </c>
      <c r="W3694" s="270">
        <v>24392.416666666668</v>
      </c>
      <c r="X3694" s="270">
        <v>24392.416666666668</v>
      </c>
      <c r="Y3694" s="270">
        <v>24392.416666666668</v>
      </c>
      <c r="Z3694" s="270">
        <v>24392.416666666668</v>
      </c>
      <c r="AA3694" s="270">
        <v>24392.416666666668</v>
      </c>
      <c r="AB3694" s="270">
        <v>24392.416666666668</v>
      </c>
      <c r="AC3694" s="263">
        <f t="shared" si="597"/>
        <v>279207.16666666663</v>
      </c>
    </row>
    <row r="3695" spans="1:29" x14ac:dyDescent="0.2">
      <c r="A3695" s="179"/>
      <c r="B3695" s="3446"/>
      <c r="C3695" s="3447"/>
      <c r="D3695" s="3439"/>
      <c r="E3695" s="3439"/>
      <c r="F3695" s="3439"/>
      <c r="G3695" s="3439"/>
      <c r="H3695" s="3448"/>
      <c r="I3695" s="3439"/>
      <c r="J3695" s="3439"/>
      <c r="K3695" s="3439"/>
      <c r="L3695" s="3440"/>
      <c r="M3695" s="264">
        <v>120980</v>
      </c>
      <c r="N3695" s="264">
        <v>3000</v>
      </c>
      <c r="O3695" s="264" t="s">
        <v>1288</v>
      </c>
      <c r="P3695" s="264" t="s">
        <v>1289</v>
      </c>
      <c r="Q3695" s="270">
        <f t="shared" si="602"/>
        <v>10331.666666666666</v>
      </c>
      <c r="R3695" s="270">
        <v>16767.333333333332</v>
      </c>
      <c r="S3695" s="270">
        <v>16767.333333333332</v>
      </c>
      <c r="T3695" s="270">
        <v>16767.333333333332</v>
      </c>
      <c r="U3695" s="270">
        <v>16767.333333333332</v>
      </c>
      <c r="V3695" s="270">
        <v>16767.333333333332</v>
      </c>
      <c r="W3695" s="270">
        <v>16767.333333333332</v>
      </c>
      <c r="X3695" s="270">
        <v>16767.333333333332</v>
      </c>
      <c r="Y3695" s="270">
        <v>16767.333333333332</v>
      </c>
      <c r="Z3695" s="270">
        <v>16767.333333333332</v>
      </c>
      <c r="AA3695" s="270">
        <v>16767.333333333332</v>
      </c>
      <c r="AB3695" s="270">
        <v>16767.333333333332</v>
      </c>
      <c r="AC3695" s="263">
        <f t="shared" si="597"/>
        <v>194772.33333333334</v>
      </c>
    </row>
    <row r="3696" spans="1:29" x14ac:dyDescent="0.2">
      <c r="A3696" s="179"/>
      <c r="B3696" s="3446"/>
      <c r="C3696" s="3447"/>
      <c r="D3696" s="3439"/>
      <c r="E3696" s="3439"/>
      <c r="F3696" s="3439"/>
      <c r="G3696" s="3439"/>
      <c r="H3696" s="3448"/>
      <c r="I3696" s="3439"/>
      <c r="J3696" s="3439"/>
      <c r="K3696" s="3439"/>
      <c r="L3696" s="3440"/>
      <c r="M3696" s="264">
        <v>50751</v>
      </c>
      <c r="N3696" s="264">
        <v>1100</v>
      </c>
      <c r="O3696" s="264" t="s">
        <v>1290</v>
      </c>
      <c r="P3696" s="264" t="s">
        <v>1291</v>
      </c>
      <c r="Q3696" s="270">
        <f t="shared" si="602"/>
        <v>4320.916666666667</v>
      </c>
      <c r="R3696" s="270">
        <v>16770</v>
      </c>
      <c r="S3696" s="270">
        <v>16770</v>
      </c>
      <c r="T3696" s="270">
        <v>16770</v>
      </c>
      <c r="U3696" s="270">
        <v>16770</v>
      </c>
      <c r="V3696" s="270">
        <v>16770</v>
      </c>
      <c r="W3696" s="270">
        <v>16770</v>
      </c>
      <c r="X3696" s="270">
        <v>16770</v>
      </c>
      <c r="Y3696" s="270">
        <v>16770</v>
      </c>
      <c r="Z3696" s="270">
        <v>16770</v>
      </c>
      <c r="AA3696" s="270">
        <v>16770</v>
      </c>
      <c r="AB3696" s="270">
        <v>16770</v>
      </c>
      <c r="AC3696" s="263">
        <f t="shared" si="597"/>
        <v>188790.91666666669</v>
      </c>
    </row>
    <row r="3697" spans="1:29" x14ac:dyDescent="0.2">
      <c r="A3697" s="179"/>
      <c r="B3697" s="3446"/>
      <c r="C3697" s="3447"/>
      <c r="D3697" s="3439"/>
      <c r="E3697" s="3439"/>
      <c r="F3697" s="3439"/>
      <c r="G3697" s="3439"/>
      <c r="H3697" s="3448"/>
      <c r="I3697" s="3439"/>
      <c r="J3697" s="3439"/>
      <c r="K3697" s="3439"/>
      <c r="L3697" s="3440"/>
      <c r="M3697" s="264">
        <v>6500</v>
      </c>
      <c r="N3697" s="264">
        <v>1100</v>
      </c>
      <c r="O3697" s="264" t="s">
        <v>1251</v>
      </c>
      <c r="P3697" s="264" t="s">
        <v>1252</v>
      </c>
      <c r="Q3697" s="270">
        <f t="shared" si="602"/>
        <v>633.33333333333337</v>
      </c>
      <c r="R3697" s="270">
        <v>9912.75</v>
      </c>
      <c r="S3697" s="270">
        <v>9912.75</v>
      </c>
      <c r="T3697" s="270">
        <v>9912.75</v>
      </c>
      <c r="U3697" s="270">
        <v>9912.75</v>
      </c>
      <c r="V3697" s="270">
        <v>9912.75</v>
      </c>
      <c r="W3697" s="270">
        <v>9912.75</v>
      </c>
      <c r="X3697" s="270">
        <v>9912.75</v>
      </c>
      <c r="Y3697" s="270">
        <v>9912.75</v>
      </c>
      <c r="Z3697" s="270">
        <v>9912.75</v>
      </c>
      <c r="AA3697" s="270">
        <v>9912.75</v>
      </c>
      <c r="AB3697" s="270">
        <v>9912.75</v>
      </c>
      <c r="AC3697" s="263">
        <f t="shared" si="597"/>
        <v>109673.58333333334</v>
      </c>
    </row>
    <row r="3698" spans="1:29" x14ac:dyDescent="0.2">
      <c r="A3698" s="179"/>
      <c r="B3698" s="3446"/>
      <c r="C3698" s="3447"/>
      <c r="D3698" s="3439"/>
      <c r="E3698" s="3439"/>
      <c r="F3698" s="3439"/>
      <c r="G3698" s="3439"/>
      <c r="H3698" s="3448"/>
      <c r="I3698" s="3439"/>
      <c r="J3698" s="3439"/>
      <c r="K3698" s="3439"/>
      <c r="L3698" s="3440"/>
      <c r="M3698" s="264">
        <v>4000</v>
      </c>
      <c r="N3698" s="264">
        <v>3500</v>
      </c>
      <c r="O3698" s="264" t="s">
        <v>1292</v>
      </c>
      <c r="P3698" s="264" t="s">
        <v>1293</v>
      </c>
      <c r="Q3698" s="270">
        <f t="shared" si="602"/>
        <v>625</v>
      </c>
      <c r="R3698" s="270">
        <v>4631.333333333333</v>
      </c>
      <c r="S3698" s="270">
        <v>4631.333333333333</v>
      </c>
      <c r="T3698" s="270">
        <v>4631.333333333333</v>
      </c>
      <c r="U3698" s="270">
        <v>4631.333333333333</v>
      </c>
      <c r="V3698" s="270">
        <v>4631.333333333333</v>
      </c>
      <c r="W3698" s="270">
        <v>4631.333333333333</v>
      </c>
      <c r="X3698" s="270">
        <v>4631.333333333333</v>
      </c>
      <c r="Y3698" s="270">
        <v>4631.333333333333</v>
      </c>
      <c r="Z3698" s="270">
        <v>4631.333333333333</v>
      </c>
      <c r="AA3698" s="270">
        <v>4631.333333333333</v>
      </c>
      <c r="AB3698" s="270">
        <v>4631.333333333333</v>
      </c>
      <c r="AC3698" s="263">
        <f t="shared" si="597"/>
        <v>51569.666666666672</v>
      </c>
    </row>
    <row r="3699" spans="1:29" x14ac:dyDescent="0.2">
      <c r="A3699" s="179"/>
      <c r="B3699" s="3446"/>
      <c r="C3699" s="3447"/>
      <c r="D3699" s="3439"/>
      <c r="E3699" s="3439"/>
      <c r="F3699" s="3439"/>
      <c r="G3699" s="3439"/>
      <c r="H3699" s="3448"/>
      <c r="I3699" s="3439"/>
      <c r="J3699" s="3439"/>
      <c r="K3699" s="3439"/>
      <c r="L3699" s="3440"/>
      <c r="M3699" s="264">
        <v>16016</v>
      </c>
      <c r="N3699" s="264"/>
      <c r="O3699" s="264" t="s">
        <v>1575</v>
      </c>
      <c r="P3699" s="264" t="s">
        <v>1576</v>
      </c>
      <c r="Q3699" s="270">
        <f t="shared" si="602"/>
        <v>1334.6666666666667</v>
      </c>
      <c r="R3699" s="270">
        <v>2451.8333333333335</v>
      </c>
      <c r="S3699" s="270">
        <v>2451.8333333333335</v>
      </c>
      <c r="T3699" s="270">
        <v>2451.8333333333335</v>
      </c>
      <c r="U3699" s="270">
        <v>2451.8333333333335</v>
      </c>
      <c r="V3699" s="270">
        <v>2451.8333333333335</v>
      </c>
      <c r="W3699" s="270">
        <v>2451.8333333333335</v>
      </c>
      <c r="X3699" s="270">
        <v>2451.8333333333335</v>
      </c>
      <c r="Y3699" s="270">
        <v>2451.8333333333335</v>
      </c>
      <c r="Z3699" s="270">
        <v>2451.8333333333335</v>
      </c>
      <c r="AA3699" s="270">
        <v>2451.8333333333335</v>
      </c>
      <c r="AB3699" s="270">
        <v>2451.8333333333335</v>
      </c>
      <c r="AC3699" s="263">
        <f t="shared" si="597"/>
        <v>28304.833333333332</v>
      </c>
    </row>
    <row r="3700" spans="1:29" x14ac:dyDescent="0.2">
      <c r="A3700" s="179"/>
      <c r="B3700" s="3446"/>
      <c r="C3700" s="3447"/>
      <c r="D3700" s="3439"/>
      <c r="E3700" s="3439"/>
      <c r="F3700" s="3439"/>
      <c r="G3700" s="3439"/>
      <c r="H3700" s="3448"/>
      <c r="I3700" s="3439"/>
      <c r="J3700" s="3439"/>
      <c r="K3700" s="3439"/>
      <c r="L3700" s="3440"/>
      <c r="M3700" s="264">
        <v>85108</v>
      </c>
      <c r="N3700" s="264">
        <v>92097</v>
      </c>
      <c r="O3700" s="264" t="s">
        <v>1241</v>
      </c>
      <c r="P3700" s="264" t="s">
        <v>1242</v>
      </c>
      <c r="Q3700" s="270">
        <f t="shared" si="602"/>
        <v>14767.083333333334</v>
      </c>
      <c r="R3700" s="270">
        <v>31265.75</v>
      </c>
      <c r="S3700" s="270">
        <v>31265.75</v>
      </c>
      <c r="T3700" s="270">
        <v>31265.75</v>
      </c>
      <c r="U3700" s="270">
        <v>31265.75</v>
      </c>
      <c r="V3700" s="270">
        <v>31265.75</v>
      </c>
      <c r="W3700" s="270">
        <v>31265.75</v>
      </c>
      <c r="X3700" s="270">
        <v>31265.75</v>
      </c>
      <c r="Y3700" s="270">
        <v>31265.75</v>
      </c>
      <c r="Z3700" s="270">
        <v>31265.75</v>
      </c>
      <c r="AA3700" s="270">
        <v>31265.75</v>
      </c>
      <c r="AB3700" s="270">
        <v>31265.75</v>
      </c>
      <c r="AC3700" s="263">
        <f t="shared" si="597"/>
        <v>358690.33333333337</v>
      </c>
    </row>
    <row r="3701" spans="1:29" x14ac:dyDescent="0.2">
      <c r="A3701" s="179"/>
      <c r="B3701" s="3446"/>
      <c r="C3701" s="3447"/>
      <c r="D3701" s="3439"/>
      <c r="E3701" s="3439"/>
      <c r="F3701" s="3439"/>
      <c r="G3701" s="3439"/>
      <c r="H3701" s="3448"/>
      <c r="I3701" s="3439"/>
      <c r="J3701" s="3439"/>
      <c r="K3701" s="3439"/>
      <c r="L3701" s="3440"/>
      <c r="M3701" s="264"/>
      <c r="N3701" s="264">
        <v>17000</v>
      </c>
      <c r="O3701" s="264" t="s">
        <v>1577</v>
      </c>
      <c r="P3701" s="264" t="s">
        <v>1578</v>
      </c>
      <c r="Q3701" s="270">
        <f t="shared" si="602"/>
        <v>1416.6666666666667</v>
      </c>
      <c r="R3701" s="270">
        <v>3793.0833333333335</v>
      </c>
      <c r="S3701" s="270">
        <v>3793.0833333333335</v>
      </c>
      <c r="T3701" s="270">
        <v>3793.0833333333335</v>
      </c>
      <c r="U3701" s="270">
        <v>3793.0833333333335</v>
      </c>
      <c r="V3701" s="270">
        <v>3793.0833333333335</v>
      </c>
      <c r="W3701" s="270">
        <v>3793.0833333333335</v>
      </c>
      <c r="X3701" s="270">
        <v>3793.0833333333335</v>
      </c>
      <c r="Y3701" s="270">
        <v>3793.0833333333335</v>
      </c>
      <c r="Z3701" s="270">
        <v>3793.0833333333335</v>
      </c>
      <c r="AA3701" s="270">
        <v>3793.0833333333335</v>
      </c>
      <c r="AB3701" s="270">
        <v>3793.0833333333335</v>
      </c>
      <c r="AC3701" s="263">
        <f t="shared" si="597"/>
        <v>43140.583333333336</v>
      </c>
    </row>
    <row r="3702" spans="1:29" x14ac:dyDescent="0.2">
      <c r="A3702" s="179"/>
      <c r="B3702" s="3446"/>
      <c r="C3702" s="3447"/>
      <c r="D3702" s="3439"/>
      <c r="E3702" s="3439"/>
      <c r="F3702" s="3439"/>
      <c r="G3702" s="3439"/>
      <c r="H3702" s="3448"/>
      <c r="I3702" s="3439"/>
      <c r="J3702" s="3439"/>
      <c r="K3702" s="3439"/>
      <c r="L3702" s="3440"/>
      <c r="M3702" s="264">
        <v>183791</v>
      </c>
      <c r="N3702" s="264">
        <v>3500</v>
      </c>
      <c r="O3702" s="264" t="s">
        <v>1579</v>
      </c>
      <c r="P3702" s="264" t="s">
        <v>1580</v>
      </c>
      <c r="Q3702" s="270">
        <f t="shared" si="602"/>
        <v>15607.583333333334</v>
      </c>
      <c r="R3702" s="270">
        <v>28052.333333333332</v>
      </c>
      <c r="S3702" s="270">
        <v>28052.333333333332</v>
      </c>
      <c r="T3702" s="270">
        <v>28052.333333333332</v>
      </c>
      <c r="U3702" s="270">
        <v>28052.333333333332</v>
      </c>
      <c r="V3702" s="270">
        <v>28052.333333333332</v>
      </c>
      <c r="W3702" s="270">
        <v>28052.333333333332</v>
      </c>
      <c r="X3702" s="270">
        <v>28052.333333333332</v>
      </c>
      <c r="Y3702" s="270">
        <v>28052.333333333332</v>
      </c>
      <c r="Z3702" s="270">
        <v>28052.333333333332</v>
      </c>
      <c r="AA3702" s="270">
        <v>28052.333333333332</v>
      </c>
      <c r="AB3702" s="270">
        <v>28052.333333333332</v>
      </c>
      <c r="AC3702" s="263">
        <f t="shared" si="597"/>
        <v>324183.25</v>
      </c>
    </row>
    <row r="3703" spans="1:29" x14ac:dyDescent="0.2">
      <c r="A3703" s="179"/>
      <c r="B3703" s="3446"/>
      <c r="C3703" s="3447"/>
      <c r="D3703" s="3439"/>
      <c r="E3703" s="3439"/>
      <c r="F3703" s="3439"/>
      <c r="G3703" s="3439"/>
      <c r="H3703" s="3448"/>
      <c r="I3703" s="3439"/>
      <c r="J3703" s="3439"/>
      <c r="K3703" s="3439"/>
      <c r="L3703" s="3440"/>
      <c r="M3703" s="264">
        <v>36159</v>
      </c>
      <c r="N3703" s="264">
        <v>20600</v>
      </c>
      <c r="O3703" s="264" t="s">
        <v>1294</v>
      </c>
      <c r="P3703" s="264" t="s">
        <v>1295</v>
      </c>
      <c r="Q3703" s="270">
        <f t="shared" si="602"/>
        <v>4729.916666666667</v>
      </c>
      <c r="R3703" s="270">
        <v>12929.583333333334</v>
      </c>
      <c r="S3703" s="270">
        <v>12929.583333333334</v>
      </c>
      <c r="T3703" s="270">
        <v>12929.583333333334</v>
      </c>
      <c r="U3703" s="270">
        <v>12929.583333333334</v>
      </c>
      <c r="V3703" s="270">
        <v>12929.583333333334</v>
      </c>
      <c r="W3703" s="270">
        <v>12929.583333333334</v>
      </c>
      <c r="X3703" s="270">
        <v>12929.583333333334</v>
      </c>
      <c r="Y3703" s="270">
        <v>12929.583333333334</v>
      </c>
      <c r="Z3703" s="270">
        <v>12929.583333333334</v>
      </c>
      <c r="AA3703" s="270">
        <v>12929.583333333334</v>
      </c>
      <c r="AB3703" s="270">
        <v>12929.583333333334</v>
      </c>
      <c r="AC3703" s="263">
        <f t="shared" si="597"/>
        <v>146955.33333333334</v>
      </c>
    </row>
    <row r="3704" spans="1:29" x14ac:dyDescent="0.2">
      <c r="A3704" s="179"/>
      <c r="B3704" s="3446"/>
      <c r="C3704" s="3447"/>
      <c r="D3704" s="3439"/>
      <c r="E3704" s="3439"/>
      <c r="F3704" s="3439"/>
      <c r="G3704" s="3439"/>
      <c r="H3704" s="3448"/>
      <c r="I3704" s="3439"/>
      <c r="J3704" s="3439"/>
      <c r="K3704" s="3439"/>
      <c r="L3704" s="3440"/>
      <c r="M3704" s="264">
        <v>63430</v>
      </c>
      <c r="N3704" s="264">
        <v>16800</v>
      </c>
      <c r="O3704" s="264" t="s">
        <v>1223</v>
      </c>
      <c r="P3704" s="264" t="s">
        <v>1224</v>
      </c>
      <c r="Q3704" s="270">
        <f t="shared" si="602"/>
        <v>6685.833333333333</v>
      </c>
      <c r="R3704" s="270">
        <v>17248.833333333332</v>
      </c>
      <c r="S3704" s="270">
        <v>17248.833333333332</v>
      </c>
      <c r="T3704" s="270">
        <v>17248.833333333332</v>
      </c>
      <c r="U3704" s="270">
        <v>17248.833333333332</v>
      </c>
      <c r="V3704" s="270">
        <v>17248.833333333332</v>
      </c>
      <c r="W3704" s="270">
        <v>17248.833333333332</v>
      </c>
      <c r="X3704" s="270">
        <v>17248.833333333332</v>
      </c>
      <c r="Y3704" s="270">
        <v>17248.833333333332</v>
      </c>
      <c r="Z3704" s="270">
        <v>17248.833333333332</v>
      </c>
      <c r="AA3704" s="270">
        <v>17248.833333333332</v>
      </c>
      <c r="AB3704" s="270">
        <v>17248.833333333332</v>
      </c>
      <c r="AC3704" s="263">
        <f t="shared" si="597"/>
        <v>196423</v>
      </c>
    </row>
    <row r="3705" spans="1:29" x14ac:dyDescent="0.2">
      <c r="A3705" s="179"/>
      <c r="B3705" s="3446"/>
      <c r="C3705" s="3447"/>
      <c r="D3705" s="3439"/>
      <c r="E3705" s="3439"/>
      <c r="F3705" s="3439"/>
      <c r="G3705" s="3439"/>
      <c r="H3705" s="3448"/>
      <c r="I3705" s="3439"/>
      <c r="J3705" s="3439"/>
      <c r="K3705" s="3439"/>
      <c r="L3705" s="3440"/>
      <c r="M3705" s="264">
        <v>14450</v>
      </c>
      <c r="N3705" s="264"/>
      <c r="O3705" s="264" t="s">
        <v>1581</v>
      </c>
      <c r="P3705" s="264" t="s">
        <v>1582</v>
      </c>
      <c r="Q3705" s="270">
        <f>SUM(M3705/12)</f>
        <v>1204.1666666666667</v>
      </c>
      <c r="R3705" s="270">
        <v>2237.5</v>
      </c>
      <c r="S3705" s="270">
        <v>2237.5</v>
      </c>
      <c r="T3705" s="270">
        <v>2237.5</v>
      </c>
      <c r="U3705" s="270">
        <v>2237.5</v>
      </c>
      <c r="V3705" s="270">
        <v>2237.5</v>
      </c>
      <c r="W3705" s="270">
        <v>2237.5</v>
      </c>
      <c r="X3705" s="270">
        <v>2237.5</v>
      </c>
      <c r="Y3705" s="270">
        <v>2237.5</v>
      </c>
      <c r="Z3705" s="270">
        <v>2237.5</v>
      </c>
      <c r="AA3705" s="270">
        <v>2237.5</v>
      </c>
      <c r="AB3705" s="270">
        <v>2237.5</v>
      </c>
      <c r="AC3705" s="263">
        <f t="shared" si="597"/>
        <v>25816.666666666668</v>
      </c>
    </row>
    <row r="3706" spans="1:29" x14ac:dyDescent="0.2">
      <c r="A3706" s="179"/>
      <c r="B3706" s="3446"/>
      <c r="C3706" s="3447"/>
      <c r="D3706" s="3439"/>
      <c r="E3706" s="3439"/>
      <c r="F3706" s="3439"/>
      <c r="G3706" s="3439"/>
      <c r="H3706" s="3448"/>
      <c r="I3706" s="3439"/>
      <c r="J3706" s="3439"/>
      <c r="K3706" s="3439"/>
      <c r="L3706" s="3440"/>
      <c r="M3706" s="264">
        <v>51320</v>
      </c>
      <c r="N3706" s="264">
        <v>1250</v>
      </c>
      <c r="O3706" s="264" t="s">
        <v>1253</v>
      </c>
      <c r="P3706" s="264" t="s">
        <v>1254</v>
      </c>
      <c r="Q3706" s="270">
        <f>SUM(M3706:N3706)/12</f>
        <v>4380.833333333333</v>
      </c>
      <c r="R3706" s="270">
        <v>22624.5</v>
      </c>
      <c r="S3706" s="270">
        <v>22624.5</v>
      </c>
      <c r="T3706" s="270">
        <v>22624.5</v>
      </c>
      <c r="U3706" s="270">
        <v>22624.5</v>
      </c>
      <c r="V3706" s="270">
        <v>22624.5</v>
      </c>
      <c r="W3706" s="270">
        <v>22624.5</v>
      </c>
      <c r="X3706" s="270">
        <v>22624.5</v>
      </c>
      <c r="Y3706" s="270">
        <v>22624.5</v>
      </c>
      <c r="Z3706" s="270">
        <v>22624.5</v>
      </c>
      <c r="AA3706" s="270">
        <v>22624.5</v>
      </c>
      <c r="AB3706" s="270">
        <v>22624.5</v>
      </c>
      <c r="AC3706" s="263">
        <f t="shared" si="597"/>
        <v>253250.33333333331</v>
      </c>
    </row>
    <row r="3707" spans="1:29" x14ac:dyDescent="0.2">
      <c r="A3707" s="179"/>
      <c r="B3707" s="3446"/>
      <c r="C3707" s="3447"/>
      <c r="D3707" s="3439"/>
      <c r="E3707" s="3439"/>
      <c r="F3707" s="3439"/>
      <c r="G3707" s="3439"/>
      <c r="H3707" s="3448"/>
      <c r="I3707" s="3439"/>
      <c r="J3707" s="3439"/>
      <c r="K3707" s="3439"/>
      <c r="L3707" s="3440"/>
      <c r="M3707" s="264"/>
      <c r="N3707" s="264"/>
      <c r="O3707" s="264" t="s">
        <v>1583</v>
      </c>
      <c r="P3707" s="264" t="s">
        <v>1584</v>
      </c>
      <c r="Q3707" s="270">
        <f>SUM(M3707/12)</f>
        <v>0</v>
      </c>
      <c r="R3707" s="270">
        <v>247.5</v>
      </c>
      <c r="S3707" s="270">
        <v>247.5</v>
      </c>
      <c r="T3707" s="270">
        <v>247.5</v>
      </c>
      <c r="U3707" s="270">
        <v>247.5</v>
      </c>
      <c r="V3707" s="270">
        <v>247.5</v>
      </c>
      <c r="W3707" s="270">
        <v>247.5</v>
      </c>
      <c r="X3707" s="270">
        <v>247.5</v>
      </c>
      <c r="Y3707" s="270">
        <v>247.5</v>
      </c>
      <c r="Z3707" s="270">
        <v>247.5</v>
      </c>
      <c r="AA3707" s="270">
        <v>247.5</v>
      </c>
      <c r="AB3707" s="270">
        <v>247.5</v>
      </c>
      <c r="AC3707" s="263">
        <f t="shared" si="597"/>
        <v>2722.5</v>
      </c>
    </row>
    <row r="3708" spans="1:29" x14ac:dyDescent="0.2">
      <c r="A3708" s="179"/>
      <c r="B3708" s="3446"/>
      <c r="C3708" s="3447"/>
      <c r="D3708" s="3439"/>
      <c r="E3708" s="3439"/>
      <c r="F3708" s="3439"/>
      <c r="G3708" s="3439"/>
      <c r="H3708" s="3448"/>
      <c r="I3708" s="3439"/>
      <c r="J3708" s="3439"/>
      <c r="K3708" s="3439"/>
      <c r="L3708" s="3440"/>
      <c r="M3708" s="264">
        <v>149561</v>
      </c>
      <c r="N3708" s="264">
        <v>22003</v>
      </c>
      <c r="O3708" s="264" t="s">
        <v>1585</v>
      </c>
      <c r="P3708" s="264" t="s">
        <v>1586</v>
      </c>
      <c r="Q3708" s="270">
        <f>SUM(M3708:N3708)/12</f>
        <v>14297</v>
      </c>
      <c r="R3708" s="270">
        <v>45770.25</v>
      </c>
      <c r="S3708" s="270">
        <v>45770.25</v>
      </c>
      <c r="T3708" s="270">
        <v>45770.25</v>
      </c>
      <c r="U3708" s="270">
        <v>45770.25</v>
      </c>
      <c r="V3708" s="270">
        <v>45770.25</v>
      </c>
      <c r="W3708" s="270">
        <v>45770.25</v>
      </c>
      <c r="X3708" s="270">
        <v>45770.25</v>
      </c>
      <c r="Y3708" s="270">
        <v>45770.25</v>
      </c>
      <c r="Z3708" s="270">
        <v>45770.25</v>
      </c>
      <c r="AA3708" s="270">
        <v>45770.25</v>
      </c>
      <c r="AB3708" s="270">
        <v>45770.25</v>
      </c>
      <c r="AC3708" s="263">
        <f t="shared" ref="AC3708:AC3771" si="603">SUM(Q3708:AB3708)</f>
        <v>517769.75</v>
      </c>
    </row>
    <row r="3709" spans="1:29" x14ac:dyDescent="0.2">
      <c r="A3709" s="179"/>
      <c r="B3709" s="3446"/>
      <c r="C3709" s="3447"/>
      <c r="D3709" s="3439"/>
      <c r="E3709" s="3439"/>
      <c r="F3709" s="3439"/>
      <c r="G3709" s="3439"/>
      <c r="H3709" s="3448"/>
      <c r="I3709" s="3439"/>
      <c r="J3709" s="3439"/>
      <c r="K3709" s="3439"/>
      <c r="L3709" s="3440"/>
      <c r="M3709" s="264"/>
      <c r="N3709" s="264"/>
      <c r="O3709" s="264" t="s">
        <v>1587</v>
      </c>
      <c r="P3709" s="264" t="s">
        <v>1582</v>
      </c>
      <c r="Q3709" s="270"/>
      <c r="R3709" s="270"/>
      <c r="S3709" s="270"/>
      <c r="T3709" s="270"/>
      <c r="U3709" s="270"/>
      <c r="V3709" s="270">
        <v>204</v>
      </c>
      <c r="W3709" s="270"/>
      <c r="X3709" s="270"/>
      <c r="Y3709" s="270"/>
      <c r="Z3709" s="270"/>
      <c r="AA3709" s="270"/>
      <c r="AB3709" s="270"/>
      <c r="AC3709" s="263">
        <f t="shared" si="603"/>
        <v>204</v>
      </c>
    </row>
    <row r="3710" spans="1:29" x14ac:dyDescent="0.2">
      <c r="A3710" s="179"/>
      <c r="B3710" s="3446"/>
      <c r="C3710" s="3447"/>
      <c r="D3710" s="3439"/>
      <c r="E3710" s="3439"/>
      <c r="F3710" s="3439"/>
      <c r="G3710" s="3439"/>
      <c r="H3710" s="3448"/>
      <c r="I3710" s="3439"/>
      <c r="J3710" s="3439"/>
      <c r="K3710" s="3439"/>
      <c r="L3710" s="3440"/>
      <c r="M3710" s="264">
        <v>2358</v>
      </c>
      <c r="N3710" s="264">
        <v>5600</v>
      </c>
      <c r="O3710" s="264" t="s">
        <v>1588</v>
      </c>
      <c r="P3710" s="264" t="s">
        <v>1254</v>
      </c>
      <c r="Q3710" s="270">
        <f>SUM(M3710:N3710)/12</f>
        <v>663.16666666666663</v>
      </c>
      <c r="R3710" s="270">
        <v>704.83333333333337</v>
      </c>
      <c r="S3710" s="270">
        <v>704.83333333333337</v>
      </c>
      <c r="T3710" s="270">
        <v>704.83333333333337</v>
      </c>
      <c r="U3710" s="270">
        <v>704.83333333333337</v>
      </c>
      <c r="V3710" s="270">
        <v>704.83333333333337</v>
      </c>
      <c r="W3710" s="270">
        <v>704.83333333333337</v>
      </c>
      <c r="X3710" s="270">
        <v>704.83333333333337</v>
      </c>
      <c r="Y3710" s="270">
        <v>704.83333333333337</v>
      </c>
      <c r="Z3710" s="270">
        <v>704.83333333333337</v>
      </c>
      <c r="AA3710" s="270">
        <v>704.83333333333337</v>
      </c>
      <c r="AB3710" s="270">
        <v>704.83333333333337</v>
      </c>
      <c r="AC3710" s="263">
        <f t="shared" si="603"/>
        <v>8416.3333333333321</v>
      </c>
    </row>
    <row r="3711" spans="1:29" x14ac:dyDescent="0.2">
      <c r="A3711" s="179"/>
      <c r="B3711" s="3446"/>
      <c r="C3711" s="3447"/>
      <c r="D3711" s="3439"/>
      <c r="E3711" s="3439"/>
      <c r="F3711" s="3439"/>
      <c r="G3711" s="3439"/>
      <c r="H3711" s="3448"/>
      <c r="I3711" s="3439"/>
      <c r="J3711" s="3439"/>
      <c r="K3711" s="3439"/>
      <c r="L3711" s="3440"/>
      <c r="M3711" s="264">
        <v>1500</v>
      </c>
      <c r="N3711" s="264"/>
      <c r="O3711" s="264" t="s">
        <v>1589</v>
      </c>
      <c r="P3711" s="264" t="s">
        <v>1584</v>
      </c>
      <c r="Q3711" s="270">
        <f>SUM(M3711/12)</f>
        <v>125</v>
      </c>
      <c r="R3711" s="270">
        <v>1160.6666666666667</v>
      </c>
      <c r="S3711" s="270">
        <v>1160.6666666666667</v>
      </c>
      <c r="T3711" s="270">
        <v>1160.6666666666667</v>
      </c>
      <c r="U3711" s="270">
        <v>1160.6666666666667</v>
      </c>
      <c r="V3711" s="270">
        <v>1160.6666666666667</v>
      </c>
      <c r="W3711" s="270">
        <v>1160.6666666666667</v>
      </c>
      <c r="X3711" s="270">
        <v>1160.6666666666667</v>
      </c>
      <c r="Y3711" s="270">
        <v>1160.6666666666667</v>
      </c>
      <c r="Z3711" s="270">
        <v>1160.6666666666667</v>
      </c>
      <c r="AA3711" s="270">
        <v>1160.6666666666667</v>
      </c>
      <c r="AB3711" s="270">
        <v>1160.6666666666667</v>
      </c>
      <c r="AC3711" s="263">
        <f t="shared" si="603"/>
        <v>12892.333333333332</v>
      </c>
    </row>
    <row r="3712" spans="1:29" x14ac:dyDescent="0.2">
      <c r="A3712" s="179"/>
      <c r="B3712" s="3446"/>
      <c r="C3712" s="3447"/>
      <c r="D3712" s="3439"/>
      <c r="E3712" s="3439"/>
      <c r="F3712" s="3439"/>
      <c r="G3712" s="3439"/>
      <c r="H3712" s="3448"/>
      <c r="I3712" s="3439"/>
      <c r="J3712" s="3439"/>
      <c r="K3712" s="3439"/>
      <c r="L3712" s="3440"/>
      <c r="M3712" s="264">
        <v>3500</v>
      </c>
      <c r="N3712" s="264">
        <v>2500</v>
      </c>
      <c r="O3712" s="264" t="s">
        <v>1590</v>
      </c>
      <c r="P3712" s="264" t="s">
        <v>1591</v>
      </c>
      <c r="Q3712" s="270">
        <f>SUM(M3712:N3712)/12</f>
        <v>500</v>
      </c>
      <c r="R3712" s="270">
        <v>666.66666666666663</v>
      </c>
      <c r="S3712" s="270">
        <v>666.66666666666663</v>
      </c>
      <c r="T3712" s="270">
        <v>666.66666666666663</v>
      </c>
      <c r="U3712" s="270">
        <v>666.66666666666663</v>
      </c>
      <c r="V3712" s="270">
        <v>666.66666666666663</v>
      </c>
      <c r="W3712" s="270">
        <v>666.66666666666663</v>
      </c>
      <c r="X3712" s="270">
        <v>666.66666666666663</v>
      </c>
      <c r="Y3712" s="270">
        <v>666.66666666666663</v>
      </c>
      <c r="Z3712" s="270">
        <v>666.66666666666663</v>
      </c>
      <c r="AA3712" s="270">
        <v>666.66666666666663</v>
      </c>
      <c r="AB3712" s="270">
        <v>666.66666666666663</v>
      </c>
      <c r="AC3712" s="263">
        <f t="shared" si="603"/>
        <v>7833.3333333333339</v>
      </c>
    </row>
    <row r="3713" spans="1:29" x14ac:dyDescent="0.2">
      <c r="A3713" s="179"/>
      <c r="B3713" s="3446"/>
      <c r="C3713" s="3447"/>
      <c r="D3713" s="3439"/>
      <c r="E3713" s="3439"/>
      <c r="F3713" s="3439"/>
      <c r="G3713" s="3439"/>
      <c r="H3713" s="3448"/>
      <c r="I3713" s="3439"/>
      <c r="J3713" s="3439"/>
      <c r="K3713" s="3439"/>
      <c r="L3713" s="3440"/>
      <c r="M3713" s="264">
        <v>17060</v>
      </c>
      <c r="N3713" s="264">
        <v>25470</v>
      </c>
      <c r="O3713" s="264" t="s">
        <v>1225</v>
      </c>
      <c r="P3713" s="264" t="s">
        <v>1226</v>
      </c>
      <c r="Q3713" s="270">
        <f>SUM(M3713:N3713)/12</f>
        <v>3544.1666666666665</v>
      </c>
      <c r="R3713" s="270">
        <v>5066.833333333333</v>
      </c>
      <c r="S3713" s="270">
        <v>5066.833333333333</v>
      </c>
      <c r="T3713" s="270">
        <v>5066.833333333333</v>
      </c>
      <c r="U3713" s="270">
        <v>5066.833333333333</v>
      </c>
      <c r="V3713" s="270">
        <v>5066.833333333333</v>
      </c>
      <c r="W3713" s="270">
        <v>5066.833333333333</v>
      </c>
      <c r="X3713" s="270">
        <v>5066.833333333333</v>
      </c>
      <c r="Y3713" s="270">
        <v>5066.833333333333</v>
      </c>
      <c r="Z3713" s="270">
        <v>5066.833333333333</v>
      </c>
      <c r="AA3713" s="270">
        <v>5066.833333333333</v>
      </c>
      <c r="AB3713" s="270">
        <v>5066.833333333333</v>
      </c>
      <c r="AC3713" s="263">
        <f t="shared" si="603"/>
        <v>59279.333333333343</v>
      </c>
    </row>
    <row r="3714" spans="1:29" x14ac:dyDescent="0.2">
      <c r="A3714" s="179"/>
      <c r="B3714" s="3446"/>
      <c r="C3714" s="3447"/>
      <c r="D3714" s="3439"/>
      <c r="E3714" s="3439"/>
      <c r="F3714" s="3439"/>
      <c r="G3714" s="3439"/>
      <c r="H3714" s="3448"/>
      <c r="I3714" s="3439"/>
      <c r="J3714" s="3439"/>
      <c r="K3714" s="3439"/>
      <c r="L3714" s="3440"/>
      <c r="M3714" s="264">
        <v>22000</v>
      </c>
      <c r="N3714" s="264">
        <v>1500</v>
      </c>
      <c r="O3714" s="264" t="s">
        <v>1230</v>
      </c>
      <c r="P3714" s="264" t="s">
        <v>1231</v>
      </c>
      <c r="Q3714" s="270"/>
      <c r="R3714" s="270">
        <f>SUM(M3714:N3714)/3</f>
        <v>7833.333333333333</v>
      </c>
      <c r="S3714" s="270"/>
      <c r="T3714" s="270"/>
      <c r="U3714" s="270">
        <v>18587.333333333332</v>
      </c>
      <c r="V3714" s="270"/>
      <c r="W3714" s="270"/>
      <c r="X3714" s="270"/>
      <c r="Y3714" s="270"/>
      <c r="Z3714" s="270">
        <v>18587.333333333332</v>
      </c>
      <c r="AA3714" s="270"/>
      <c r="AB3714" s="270"/>
      <c r="AC3714" s="263">
        <f t="shared" si="603"/>
        <v>45008</v>
      </c>
    </row>
    <row r="3715" spans="1:29" x14ac:dyDescent="0.2">
      <c r="A3715" s="179"/>
      <c r="B3715" s="3446"/>
      <c r="C3715" s="3447"/>
      <c r="D3715" s="3439"/>
      <c r="E3715" s="3439"/>
      <c r="F3715" s="3439"/>
      <c r="G3715" s="3439"/>
      <c r="H3715" s="3448"/>
      <c r="I3715" s="3439"/>
      <c r="J3715" s="3439"/>
      <c r="K3715" s="3439"/>
      <c r="L3715" s="3440"/>
      <c r="M3715" s="264"/>
      <c r="N3715" s="264"/>
      <c r="O3715" s="264" t="s">
        <v>1255</v>
      </c>
      <c r="P3715" s="264" t="s">
        <v>1256</v>
      </c>
      <c r="Q3715" s="270"/>
      <c r="R3715" s="270"/>
      <c r="S3715" s="270">
        <f>SUM(M3715/10)</f>
        <v>0</v>
      </c>
      <c r="T3715" s="270">
        <v>1500.2</v>
      </c>
      <c r="U3715" s="270">
        <v>1500.2</v>
      </c>
      <c r="V3715" s="270">
        <v>1500.2</v>
      </c>
      <c r="W3715" s="270">
        <v>1500.2</v>
      </c>
      <c r="X3715" s="270">
        <v>1500.2</v>
      </c>
      <c r="Y3715" s="270">
        <v>1500.2</v>
      </c>
      <c r="Z3715" s="270">
        <v>1500.2</v>
      </c>
      <c r="AA3715" s="270">
        <v>1500.2</v>
      </c>
      <c r="AB3715" s="270">
        <v>1500.2</v>
      </c>
      <c r="AC3715" s="263">
        <f t="shared" si="603"/>
        <v>13501.800000000003</v>
      </c>
    </row>
    <row r="3716" spans="1:29" x14ac:dyDescent="0.2">
      <c r="A3716" s="179"/>
      <c r="B3716" s="3446"/>
      <c r="C3716" s="3447"/>
      <c r="D3716" s="3439"/>
      <c r="E3716" s="3439"/>
      <c r="F3716" s="3439"/>
      <c r="G3716" s="3439"/>
      <c r="H3716" s="3448"/>
      <c r="I3716" s="3439"/>
      <c r="J3716" s="3439"/>
      <c r="K3716" s="3439"/>
      <c r="L3716" s="3440"/>
      <c r="M3716" s="264">
        <v>79025</v>
      </c>
      <c r="N3716" s="264">
        <v>185836</v>
      </c>
      <c r="O3716" s="264" t="s">
        <v>1307</v>
      </c>
      <c r="P3716" s="264" t="s">
        <v>1308</v>
      </c>
      <c r="Q3716" s="270">
        <f t="shared" ref="Q3716:Q3720" si="604">SUM(M3716:N3716)/12</f>
        <v>22071.75</v>
      </c>
      <c r="R3716" s="270">
        <v>30833.833333333332</v>
      </c>
      <c r="S3716" s="270">
        <v>30833.833333333332</v>
      </c>
      <c r="T3716" s="270">
        <v>30833.833333333332</v>
      </c>
      <c r="U3716" s="270">
        <v>30833.833333333332</v>
      </c>
      <c r="V3716" s="270">
        <v>30833.833333333332</v>
      </c>
      <c r="W3716" s="270">
        <v>30833.833333333332</v>
      </c>
      <c r="X3716" s="270">
        <v>30833.833333333332</v>
      </c>
      <c r="Y3716" s="270">
        <v>30833.833333333332</v>
      </c>
      <c r="Z3716" s="270">
        <v>30833.833333333332</v>
      </c>
      <c r="AA3716" s="270">
        <v>30833.833333333332</v>
      </c>
      <c r="AB3716" s="270">
        <v>30833.833333333332</v>
      </c>
      <c r="AC3716" s="263">
        <f t="shared" si="603"/>
        <v>361243.91666666663</v>
      </c>
    </row>
    <row r="3717" spans="1:29" x14ac:dyDescent="0.2">
      <c r="A3717" s="179"/>
      <c r="B3717" s="3446"/>
      <c r="C3717" s="3447"/>
      <c r="D3717" s="3439"/>
      <c r="E3717" s="3439"/>
      <c r="F3717" s="3439"/>
      <c r="G3717" s="3439"/>
      <c r="H3717" s="3448"/>
      <c r="I3717" s="3439"/>
      <c r="J3717" s="3439"/>
      <c r="K3717" s="3439"/>
      <c r="L3717" s="3440"/>
      <c r="M3717" s="264">
        <v>4500</v>
      </c>
      <c r="N3717" s="264"/>
      <c r="O3717" s="264" t="s">
        <v>1259</v>
      </c>
      <c r="P3717" s="264" t="s">
        <v>1260</v>
      </c>
      <c r="Q3717" s="270">
        <f t="shared" si="604"/>
        <v>375</v>
      </c>
      <c r="R3717" s="270">
        <v>1800</v>
      </c>
      <c r="S3717" s="270">
        <v>1800</v>
      </c>
      <c r="T3717" s="270">
        <v>1800</v>
      </c>
      <c r="U3717" s="270">
        <v>1800</v>
      </c>
      <c r="V3717" s="270">
        <v>1800</v>
      </c>
      <c r="W3717" s="270">
        <v>1800</v>
      </c>
      <c r="X3717" s="270">
        <v>1800</v>
      </c>
      <c r="Y3717" s="270">
        <v>1800</v>
      </c>
      <c r="Z3717" s="270">
        <v>1800</v>
      </c>
      <c r="AA3717" s="270">
        <v>1800</v>
      </c>
      <c r="AB3717" s="270">
        <v>1800</v>
      </c>
      <c r="AC3717" s="263">
        <f t="shared" si="603"/>
        <v>20175</v>
      </c>
    </row>
    <row r="3718" spans="1:29" x14ac:dyDescent="0.2">
      <c r="A3718" s="179"/>
      <c r="B3718" s="3446"/>
      <c r="C3718" s="3447"/>
      <c r="D3718" s="3439"/>
      <c r="E3718" s="3439"/>
      <c r="F3718" s="3439"/>
      <c r="G3718" s="3439"/>
      <c r="H3718" s="3448"/>
      <c r="I3718" s="3439"/>
      <c r="J3718" s="3439"/>
      <c r="K3718" s="3439"/>
      <c r="L3718" s="3440"/>
      <c r="M3718" s="264">
        <v>3060</v>
      </c>
      <c r="N3718" s="264">
        <v>2500</v>
      </c>
      <c r="O3718" s="264" t="s">
        <v>1592</v>
      </c>
      <c r="P3718" s="264" t="s">
        <v>1593</v>
      </c>
      <c r="Q3718" s="270">
        <f t="shared" si="604"/>
        <v>463.33333333333331</v>
      </c>
      <c r="R3718" s="270">
        <v>3430.6666666666665</v>
      </c>
      <c r="S3718" s="270">
        <v>3430.6666666666665</v>
      </c>
      <c r="T3718" s="270">
        <v>3430.6666666666665</v>
      </c>
      <c r="U3718" s="270">
        <v>3430.6666666666665</v>
      </c>
      <c r="V3718" s="270">
        <v>3430.6666666666665</v>
      </c>
      <c r="W3718" s="270">
        <v>3430.6666666666665</v>
      </c>
      <c r="X3718" s="270">
        <v>3430.6666666666665</v>
      </c>
      <c r="Y3718" s="270">
        <v>3430.6666666666665</v>
      </c>
      <c r="Z3718" s="270">
        <v>3430.6666666666665</v>
      </c>
      <c r="AA3718" s="270">
        <v>3430.6666666666665</v>
      </c>
      <c r="AB3718" s="270">
        <v>3430.6666666666665</v>
      </c>
      <c r="AC3718" s="263">
        <f t="shared" si="603"/>
        <v>38200.666666666664</v>
      </c>
    </row>
    <row r="3719" spans="1:29" x14ac:dyDescent="0.2">
      <c r="A3719" s="179"/>
      <c r="B3719" s="3446"/>
      <c r="C3719" s="3447"/>
      <c r="D3719" s="3439"/>
      <c r="E3719" s="3439"/>
      <c r="F3719" s="3439"/>
      <c r="G3719" s="3439"/>
      <c r="H3719" s="3448"/>
      <c r="I3719" s="3439"/>
      <c r="J3719" s="3439"/>
      <c r="K3719" s="3439"/>
      <c r="L3719" s="3440"/>
      <c r="M3719" s="264">
        <v>164047</v>
      </c>
      <c r="N3719" s="264">
        <v>90099</v>
      </c>
      <c r="O3719" s="264" t="s">
        <v>1261</v>
      </c>
      <c r="P3719" s="264" t="s">
        <v>1262</v>
      </c>
      <c r="Q3719" s="270">
        <f t="shared" si="604"/>
        <v>21178.833333333332</v>
      </c>
      <c r="R3719" s="270">
        <v>118870.33333333333</v>
      </c>
      <c r="S3719" s="270">
        <v>118870.33333333333</v>
      </c>
      <c r="T3719" s="270">
        <v>118870.33333333333</v>
      </c>
      <c r="U3719" s="270">
        <v>118870.33333333333</v>
      </c>
      <c r="V3719" s="270">
        <v>118870.33333333333</v>
      </c>
      <c r="W3719" s="270">
        <v>118870.33333333333</v>
      </c>
      <c r="X3719" s="270">
        <v>118870.33333333333</v>
      </c>
      <c r="Y3719" s="270">
        <v>118870.33333333333</v>
      </c>
      <c r="Z3719" s="270">
        <v>118870.33333333333</v>
      </c>
      <c r="AA3719" s="270">
        <v>118870.33333333333</v>
      </c>
      <c r="AB3719" s="270">
        <v>118870.33333333333</v>
      </c>
      <c r="AC3719" s="263">
        <f t="shared" si="603"/>
        <v>1328752.5</v>
      </c>
    </row>
    <row r="3720" spans="1:29" x14ac:dyDescent="0.2">
      <c r="A3720" s="179"/>
      <c r="B3720" s="3446"/>
      <c r="C3720" s="3447"/>
      <c r="D3720" s="3439"/>
      <c r="E3720" s="3439"/>
      <c r="F3720" s="3439"/>
      <c r="G3720" s="3439"/>
      <c r="H3720" s="3448"/>
      <c r="I3720" s="3439"/>
      <c r="J3720" s="3439"/>
      <c r="K3720" s="3439"/>
      <c r="L3720" s="3440"/>
      <c r="M3720" s="264">
        <v>6426</v>
      </c>
      <c r="N3720" s="264">
        <v>1500</v>
      </c>
      <c r="O3720" s="264" t="s">
        <v>1594</v>
      </c>
      <c r="P3720" s="264" t="s">
        <v>1595</v>
      </c>
      <c r="Q3720" s="270">
        <f t="shared" si="604"/>
        <v>660.5</v>
      </c>
      <c r="R3720" s="270">
        <v>910.5</v>
      </c>
      <c r="S3720" s="270">
        <v>910.5</v>
      </c>
      <c r="T3720" s="270">
        <v>910.5</v>
      </c>
      <c r="U3720" s="270">
        <v>910.5</v>
      </c>
      <c r="V3720" s="270">
        <v>910.5</v>
      </c>
      <c r="W3720" s="270">
        <v>910.5</v>
      </c>
      <c r="X3720" s="270">
        <v>910.5</v>
      </c>
      <c r="Y3720" s="270">
        <v>910.5</v>
      </c>
      <c r="Z3720" s="270">
        <v>910.5</v>
      </c>
      <c r="AA3720" s="270">
        <v>910.5</v>
      </c>
      <c r="AB3720" s="270">
        <v>910.5</v>
      </c>
      <c r="AC3720" s="263">
        <f t="shared" si="603"/>
        <v>10676</v>
      </c>
    </row>
    <row r="3721" spans="1:29" x14ac:dyDescent="0.2">
      <c r="A3721" s="179"/>
      <c r="B3721" s="3446"/>
      <c r="C3721" s="3447"/>
      <c r="D3721" s="3439"/>
      <c r="E3721" s="3439"/>
      <c r="F3721" s="3439"/>
      <c r="G3721" s="3439"/>
      <c r="H3721" s="3448"/>
      <c r="I3721" s="3439"/>
      <c r="J3721" s="3439"/>
      <c r="K3721" s="3439"/>
      <c r="L3721" s="3440"/>
      <c r="M3721" s="264">
        <v>5100</v>
      </c>
      <c r="N3721" s="264"/>
      <c r="O3721" s="264" t="s">
        <v>1596</v>
      </c>
      <c r="P3721" s="264" t="s">
        <v>1260</v>
      </c>
      <c r="Q3721" s="270"/>
      <c r="R3721" s="270">
        <f>SUM(M3721/11)</f>
        <v>463.63636363636363</v>
      </c>
      <c r="S3721" s="270">
        <v>463.63636363636363</v>
      </c>
      <c r="T3721" s="270">
        <v>463.63636363636363</v>
      </c>
      <c r="U3721" s="270">
        <v>463.63636363636363</v>
      </c>
      <c r="V3721" s="270">
        <v>463.63636363636363</v>
      </c>
      <c r="W3721" s="270">
        <v>463.63636363636363</v>
      </c>
      <c r="X3721" s="270">
        <v>463.63636363636363</v>
      </c>
      <c r="Y3721" s="270">
        <v>463.63636363636363</v>
      </c>
      <c r="Z3721" s="270">
        <v>463.63636363636363</v>
      </c>
      <c r="AA3721" s="270">
        <v>463.63636363636363</v>
      </c>
      <c r="AB3721" s="270">
        <v>463.63636363636363</v>
      </c>
      <c r="AC3721" s="263">
        <f t="shared" si="603"/>
        <v>5100</v>
      </c>
    </row>
    <row r="3722" spans="1:29" x14ac:dyDescent="0.2">
      <c r="A3722" s="179"/>
      <c r="B3722" s="3446"/>
      <c r="C3722" s="3447"/>
      <c r="D3722" s="3439"/>
      <c r="E3722" s="3439"/>
      <c r="F3722" s="3439"/>
      <c r="G3722" s="3439"/>
      <c r="H3722" s="3448"/>
      <c r="I3722" s="3439"/>
      <c r="J3722" s="3439"/>
      <c r="K3722" s="3439"/>
      <c r="L3722" s="3440"/>
      <c r="M3722" s="264">
        <v>5000</v>
      </c>
      <c r="N3722" s="264"/>
      <c r="O3722" s="264" t="s">
        <v>1597</v>
      </c>
      <c r="P3722" s="264" t="s">
        <v>1595</v>
      </c>
      <c r="Q3722" s="270">
        <f>SUM(M3722:N3722)/12</f>
        <v>416.66666666666669</v>
      </c>
      <c r="R3722" s="270">
        <v>416.66666666666669</v>
      </c>
      <c r="S3722" s="270">
        <v>416.66666666666669</v>
      </c>
      <c r="T3722" s="270">
        <v>416.66666666666669</v>
      </c>
      <c r="U3722" s="270">
        <v>416.66666666666669</v>
      </c>
      <c r="V3722" s="270">
        <v>416.66666666666669</v>
      </c>
      <c r="W3722" s="270">
        <v>416.66666666666669</v>
      </c>
      <c r="X3722" s="270">
        <v>416.66666666666669</v>
      </c>
      <c r="Y3722" s="270">
        <v>416.66666666666669</v>
      </c>
      <c r="Z3722" s="270">
        <v>416.66666666666669</v>
      </c>
      <c r="AA3722" s="270">
        <v>416.66666666666669</v>
      </c>
      <c r="AB3722" s="270">
        <v>416.66666666666669</v>
      </c>
      <c r="AC3722" s="263">
        <f t="shared" si="603"/>
        <v>5000</v>
      </c>
    </row>
    <row r="3723" spans="1:29" x14ac:dyDescent="0.2">
      <c r="A3723" s="179"/>
      <c r="B3723" s="3446"/>
      <c r="C3723" s="3447"/>
      <c r="D3723" s="3439"/>
      <c r="E3723" s="3439"/>
      <c r="F3723" s="3439"/>
      <c r="G3723" s="3439"/>
      <c r="H3723" s="3448"/>
      <c r="I3723" s="3439"/>
      <c r="J3723" s="3439"/>
      <c r="K3723" s="3439"/>
      <c r="L3723" s="3440"/>
      <c r="M3723" s="264">
        <v>7500</v>
      </c>
      <c r="N3723" s="264"/>
      <c r="O3723" s="264" t="s">
        <v>1598</v>
      </c>
      <c r="P3723" s="264" t="s">
        <v>1599</v>
      </c>
      <c r="Q3723" s="270">
        <f>SUM(M3723:N3723)/12</f>
        <v>625</v>
      </c>
      <c r="R3723" s="270">
        <v>625</v>
      </c>
      <c r="S3723" s="270">
        <v>625</v>
      </c>
      <c r="T3723" s="270">
        <v>625</v>
      </c>
      <c r="U3723" s="270">
        <v>625</v>
      </c>
      <c r="V3723" s="270">
        <v>625</v>
      </c>
      <c r="W3723" s="270">
        <v>625</v>
      </c>
      <c r="X3723" s="270">
        <v>625</v>
      </c>
      <c r="Y3723" s="270">
        <v>625</v>
      </c>
      <c r="Z3723" s="270">
        <v>625</v>
      </c>
      <c r="AA3723" s="270">
        <v>625</v>
      </c>
      <c r="AB3723" s="270">
        <v>625</v>
      </c>
      <c r="AC3723" s="263">
        <f t="shared" si="603"/>
        <v>7500</v>
      </c>
    </row>
    <row r="3724" spans="1:29" x14ac:dyDescent="0.2">
      <c r="A3724" s="179"/>
      <c r="B3724" s="3446"/>
      <c r="C3724" s="3447"/>
      <c r="D3724" s="3439"/>
      <c r="E3724" s="3439"/>
      <c r="F3724" s="3439"/>
      <c r="G3724" s="3439"/>
      <c r="H3724" s="3448"/>
      <c r="I3724" s="3439"/>
      <c r="J3724" s="3439"/>
      <c r="K3724" s="3439"/>
      <c r="L3724" s="3440"/>
      <c r="M3724" s="264">
        <v>14044</v>
      </c>
      <c r="N3724" s="264">
        <v>7000</v>
      </c>
      <c r="O3724" s="264" t="s">
        <v>1263</v>
      </c>
      <c r="P3724" s="264" t="s">
        <v>1264</v>
      </c>
      <c r="Q3724" s="270">
        <f>SUM(M3724:N3724)/12</f>
        <v>1753.6666666666667</v>
      </c>
      <c r="R3724" s="270">
        <v>1753.6666666666667</v>
      </c>
      <c r="S3724" s="270">
        <v>1753.6666666666667</v>
      </c>
      <c r="T3724" s="270">
        <v>1753.6666666666667</v>
      </c>
      <c r="U3724" s="270">
        <v>1753.6666666666667</v>
      </c>
      <c r="V3724" s="270">
        <v>1753.6666666666667</v>
      </c>
      <c r="W3724" s="270">
        <v>1753.6666666666667</v>
      </c>
      <c r="X3724" s="270">
        <v>1753.6666666666667</v>
      </c>
      <c r="Y3724" s="270">
        <v>1753.6666666666667</v>
      </c>
      <c r="Z3724" s="270">
        <v>1753.6666666666667</v>
      </c>
      <c r="AA3724" s="270">
        <v>1753.6666666666667</v>
      </c>
      <c r="AB3724" s="270">
        <v>1753.6666666666667</v>
      </c>
      <c r="AC3724" s="263">
        <f t="shared" si="603"/>
        <v>21044</v>
      </c>
    </row>
    <row r="3725" spans="1:29" x14ac:dyDescent="0.2">
      <c r="A3725" s="179"/>
      <c r="B3725" s="3446"/>
      <c r="C3725" s="3447"/>
      <c r="D3725" s="3439"/>
      <c r="E3725" s="3439"/>
      <c r="F3725" s="3439"/>
      <c r="G3725" s="3439"/>
      <c r="H3725" s="3448"/>
      <c r="I3725" s="3439"/>
      <c r="J3725" s="3439"/>
      <c r="K3725" s="3439"/>
      <c r="L3725" s="3440"/>
      <c r="M3725" s="264"/>
      <c r="N3725" s="264">
        <v>6500</v>
      </c>
      <c r="O3725" s="264" t="s">
        <v>1600</v>
      </c>
      <c r="P3725" s="264" t="s">
        <v>1601</v>
      </c>
      <c r="Q3725" s="270">
        <f>SUM(M3725:N3725)/12</f>
        <v>541.66666666666663</v>
      </c>
      <c r="R3725" s="270">
        <v>541.66666666666663</v>
      </c>
      <c r="S3725" s="270">
        <v>541.66666666666663</v>
      </c>
      <c r="T3725" s="270">
        <v>541.66666666666663</v>
      </c>
      <c r="U3725" s="270">
        <v>541.66666666666663</v>
      </c>
      <c r="V3725" s="270">
        <v>541.66666666666663</v>
      </c>
      <c r="W3725" s="270">
        <v>541.66666666666663</v>
      </c>
      <c r="X3725" s="270">
        <v>541.66666666666663</v>
      </c>
      <c r="Y3725" s="270">
        <v>541.66666666666663</v>
      </c>
      <c r="Z3725" s="270">
        <v>541.66666666666663</v>
      </c>
      <c r="AA3725" s="270">
        <v>541.66666666666663</v>
      </c>
      <c r="AB3725" s="270">
        <v>541.66666666666663</v>
      </c>
      <c r="AC3725" s="263">
        <f t="shared" si="603"/>
        <v>6500.0000000000009</v>
      </c>
    </row>
    <row r="3726" spans="1:29" x14ac:dyDescent="0.2">
      <c r="A3726" s="179"/>
      <c r="B3726" s="3446"/>
      <c r="C3726" s="3447"/>
      <c r="D3726" s="3439"/>
      <c r="E3726" s="3439"/>
      <c r="F3726" s="3439"/>
      <c r="G3726" s="3439"/>
      <c r="H3726" s="3448"/>
      <c r="I3726" s="3439"/>
      <c r="J3726" s="3439"/>
      <c r="K3726" s="3439"/>
      <c r="L3726" s="3440"/>
      <c r="M3726" s="264">
        <v>12077</v>
      </c>
      <c r="N3726" s="264"/>
      <c r="O3726" s="264" t="s">
        <v>1299</v>
      </c>
      <c r="P3726" s="264" t="s">
        <v>1300</v>
      </c>
      <c r="Q3726" s="270">
        <f>SUM(M3726/12)</f>
        <v>1006.4166666666666</v>
      </c>
      <c r="R3726" s="270">
        <v>1006.4166666666666</v>
      </c>
      <c r="S3726" s="270">
        <v>1006.4166666666666</v>
      </c>
      <c r="T3726" s="270">
        <v>1006.4166666666666</v>
      </c>
      <c r="U3726" s="270">
        <v>1006.4166666666666</v>
      </c>
      <c r="V3726" s="270">
        <v>1006.4166666666666</v>
      </c>
      <c r="W3726" s="270">
        <v>1006.4166666666666</v>
      </c>
      <c r="X3726" s="270">
        <v>1006.4166666666666</v>
      </c>
      <c r="Y3726" s="270">
        <v>1006.4166666666666</v>
      </c>
      <c r="Z3726" s="270">
        <v>1006.4166666666666</v>
      </c>
      <c r="AA3726" s="270">
        <v>1006.4166666666666</v>
      </c>
      <c r="AB3726" s="270">
        <v>1006.4166666666666</v>
      </c>
      <c r="AC3726" s="263">
        <f t="shared" si="603"/>
        <v>12076.999999999998</v>
      </c>
    </row>
    <row r="3727" spans="1:29" x14ac:dyDescent="0.2">
      <c r="A3727" s="179"/>
      <c r="B3727" s="3446"/>
      <c r="C3727" s="3447"/>
      <c r="D3727" s="3439"/>
      <c r="E3727" s="3439"/>
      <c r="F3727" s="3439"/>
      <c r="G3727" s="3439"/>
      <c r="H3727" s="3448"/>
      <c r="I3727" s="3439"/>
      <c r="J3727" s="3439"/>
      <c r="K3727" s="3439"/>
      <c r="L3727" s="3440"/>
      <c r="M3727" s="264">
        <v>1535807</v>
      </c>
      <c r="N3727" s="264">
        <v>525797</v>
      </c>
      <c r="O3727" s="264" t="s">
        <v>1330</v>
      </c>
      <c r="P3727" s="264" t="s">
        <v>1331</v>
      </c>
      <c r="Q3727" s="270">
        <f>SUM(M3727:N3727)/12</f>
        <v>171800.33333333334</v>
      </c>
      <c r="R3727" s="270">
        <v>171800.33333333334</v>
      </c>
      <c r="S3727" s="270">
        <v>171800.33333333334</v>
      </c>
      <c r="T3727" s="270">
        <v>171800.33333333334</v>
      </c>
      <c r="U3727" s="270">
        <v>171800.33333333334</v>
      </c>
      <c r="V3727" s="270">
        <v>171800.33333333334</v>
      </c>
      <c r="W3727" s="270">
        <v>171800.33333333334</v>
      </c>
      <c r="X3727" s="270">
        <v>171800.33333333334</v>
      </c>
      <c r="Y3727" s="270">
        <v>171800.33333333334</v>
      </c>
      <c r="Z3727" s="270">
        <v>171800.33333333334</v>
      </c>
      <c r="AA3727" s="270">
        <v>171800.33333333334</v>
      </c>
      <c r="AB3727" s="270">
        <v>171800.33333333334</v>
      </c>
      <c r="AC3727" s="263">
        <f t="shared" si="603"/>
        <v>2061603.9999999998</v>
      </c>
    </row>
    <row r="3728" spans="1:29" x14ac:dyDescent="0.2">
      <c r="A3728" s="179"/>
      <c r="B3728" s="3446"/>
      <c r="C3728" s="3447"/>
      <c r="D3728" s="3439"/>
      <c r="E3728" s="3439"/>
      <c r="F3728" s="3439"/>
      <c r="G3728" s="3439"/>
      <c r="H3728" s="3448"/>
      <c r="I3728" s="3439"/>
      <c r="J3728" s="3439"/>
      <c r="K3728" s="3439"/>
      <c r="L3728" s="3440"/>
      <c r="M3728" s="264">
        <v>129886</v>
      </c>
      <c r="N3728" s="264">
        <v>54850</v>
      </c>
      <c r="O3728" s="264" t="s">
        <v>1332</v>
      </c>
      <c r="P3728" s="264" t="s">
        <v>1333</v>
      </c>
      <c r="Q3728" s="270">
        <f>SUM(M3728:N3728)/12</f>
        <v>15394.666666666666</v>
      </c>
      <c r="R3728" s="270">
        <v>15394.666666666666</v>
      </c>
      <c r="S3728" s="270">
        <v>15394.666666666666</v>
      </c>
      <c r="T3728" s="270">
        <v>15394.666666666666</v>
      </c>
      <c r="U3728" s="270">
        <v>15394.666666666666</v>
      </c>
      <c r="V3728" s="270">
        <v>15394.666666666666</v>
      </c>
      <c r="W3728" s="270">
        <v>15394.666666666666</v>
      </c>
      <c r="X3728" s="270">
        <v>15394.666666666666</v>
      </c>
      <c r="Y3728" s="270">
        <v>15394.666666666666</v>
      </c>
      <c r="Z3728" s="270">
        <v>15394.666666666666</v>
      </c>
      <c r="AA3728" s="270">
        <v>15394.666666666666</v>
      </c>
      <c r="AB3728" s="270">
        <v>15394.666666666666</v>
      </c>
      <c r="AC3728" s="263">
        <f t="shared" si="603"/>
        <v>184735.99999999997</v>
      </c>
    </row>
    <row r="3729" spans="1:29" x14ac:dyDescent="0.2">
      <c r="A3729" s="179"/>
      <c r="B3729" s="3446"/>
      <c r="C3729" s="3447"/>
      <c r="D3729" s="3439"/>
      <c r="E3729" s="3439"/>
      <c r="F3729" s="3439"/>
      <c r="G3729" s="3439"/>
      <c r="H3729" s="3448"/>
      <c r="I3729" s="3439"/>
      <c r="J3729" s="3439"/>
      <c r="K3729" s="3439"/>
      <c r="L3729" s="3440"/>
      <c r="M3729" s="264">
        <v>233053</v>
      </c>
      <c r="N3729" s="264">
        <v>9000</v>
      </c>
      <c r="O3729" s="264" t="s">
        <v>1602</v>
      </c>
      <c r="P3729" s="264" t="s">
        <v>1603</v>
      </c>
      <c r="Q3729" s="270">
        <f>SUM(M3729:N3729)/12</f>
        <v>20171.083333333332</v>
      </c>
      <c r="R3729" s="270">
        <v>20171.083333333332</v>
      </c>
      <c r="S3729" s="270">
        <v>20171.083333333332</v>
      </c>
      <c r="T3729" s="270">
        <v>20171.083333333332</v>
      </c>
      <c r="U3729" s="270">
        <v>20171.083333333332</v>
      </c>
      <c r="V3729" s="270">
        <v>20171.083333333332</v>
      </c>
      <c r="W3729" s="270">
        <v>20171.083333333332</v>
      </c>
      <c r="X3729" s="270">
        <v>20171.083333333332</v>
      </c>
      <c r="Y3729" s="270">
        <v>20171.083333333332</v>
      </c>
      <c r="Z3729" s="270">
        <v>20171.083333333332</v>
      </c>
      <c r="AA3729" s="270">
        <v>20171.083333333332</v>
      </c>
      <c r="AB3729" s="270">
        <v>20171.083333333332</v>
      </c>
      <c r="AC3729" s="263">
        <f t="shared" si="603"/>
        <v>242053.00000000003</v>
      </c>
    </row>
    <row r="3730" spans="1:29" x14ac:dyDescent="0.2">
      <c r="A3730" s="179"/>
      <c r="B3730" s="3446"/>
      <c r="C3730" s="3447"/>
      <c r="D3730" s="3439"/>
      <c r="E3730" s="3439"/>
      <c r="F3730" s="3439"/>
      <c r="G3730" s="3439"/>
      <c r="H3730" s="3448"/>
      <c r="I3730" s="3439"/>
      <c r="J3730" s="3439"/>
      <c r="K3730" s="3439"/>
      <c r="L3730" s="3440"/>
      <c r="M3730" s="264">
        <v>188500</v>
      </c>
      <c r="N3730" s="264"/>
      <c r="O3730" s="264" t="s">
        <v>1604</v>
      </c>
      <c r="P3730" s="264" t="s">
        <v>1605</v>
      </c>
      <c r="Q3730" s="270">
        <f>SUM(M3730/12)</f>
        <v>15708.333333333334</v>
      </c>
      <c r="R3730" s="270">
        <v>15708.333333333334</v>
      </c>
      <c r="S3730" s="270">
        <v>15708.333333333334</v>
      </c>
      <c r="T3730" s="270">
        <v>15708.333333333334</v>
      </c>
      <c r="U3730" s="270">
        <v>15708.333333333334</v>
      </c>
      <c r="V3730" s="270">
        <v>15708.333333333334</v>
      </c>
      <c r="W3730" s="270">
        <v>15708.333333333334</v>
      </c>
      <c r="X3730" s="270">
        <v>15708.333333333334</v>
      </c>
      <c r="Y3730" s="270">
        <v>15708.333333333334</v>
      </c>
      <c r="Z3730" s="270">
        <v>15708.333333333334</v>
      </c>
      <c r="AA3730" s="270">
        <v>15708.333333333334</v>
      </c>
      <c r="AB3730" s="270">
        <v>15708.333333333334</v>
      </c>
      <c r="AC3730" s="263">
        <f t="shared" si="603"/>
        <v>188500.00000000003</v>
      </c>
    </row>
    <row r="3731" spans="1:29" x14ac:dyDescent="0.2">
      <c r="A3731" s="179"/>
      <c r="B3731" s="3446"/>
      <c r="C3731" s="3447"/>
      <c r="D3731" s="3439"/>
      <c r="E3731" s="3439"/>
      <c r="F3731" s="3439"/>
      <c r="G3731" s="3439"/>
      <c r="H3731" s="3448"/>
      <c r="I3731" s="3439"/>
      <c r="J3731" s="3439"/>
      <c r="K3731" s="3439"/>
      <c r="L3731" s="3440"/>
      <c r="M3731" s="264"/>
      <c r="N3731" s="264">
        <v>15060</v>
      </c>
      <c r="O3731" s="264" t="s">
        <v>1606</v>
      </c>
      <c r="P3731" s="264" t="s">
        <v>1607</v>
      </c>
      <c r="Q3731" s="270">
        <f>SUM(M3731:N3731)/12</f>
        <v>1255</v>
      </c>
      <c r="R3731" s="270">
        <v>1255</v>
      </c>
      <c r="S3731" s="270">
        <v>1255</v>
      </c>
      <c r="T3731" s="270">
        <v>1255</v>
      </c>
      <c r="U3731" s="270">
        <v>1255</v>
      </c>
      <c r="V3731" s="270">
        <v>1255</v>
      </c>
      <c r="W3731" s="270">
        <v>1255</v>
      </c>
      <c r="X3731" s="270">
        <v>1255</v>
      </c>
      <c r="Y3731" s="270">
        <v>1255</v>
      </c>
      <c r="Z3731" s="270">
        <v>1255</v>
      </c>
      <c r="AA3731" s="270">
        <v>1255</v>
      </c>
      <c r="AB3731" s="270">
        <v>1255</v>
      </c>
      <c r="AC3731" s="263">
        <f t="shared" si="603"/>
        <v>15060</v>
      </c>
    </row>
    <row r="3732" spans="1:29" x14ac:dyDescent="0.2">
      <c r="A3732" s="179"/>
      <c r="B3732" s="3446"/>
      <c r="C3732" s="3447"/>
      <c r="D3732" s="3439"/>
      <c r="E3732" s="3439"/>
      <c r="F3732" s="3439"/>
      <c r="G3732" s="3439"/>
      <c r="H3732" s="3448"/>
      <c r="I3732" s="3439"/>
      <c r="J3732" s="3439"/>
      <c r="K3732" s="3439"/>
      <c r="L3732" s="3440"/>
      <c r="M3732" s="264"/>
      <c r="N3732" s="264">
        <v>34107</v>
      </c>
      <c r="O3732" s="264" t="s">
        <v>1608</v>
      </c>
      <c r="P3732" s="264" t="s">
        <v>1609</v>
      </c>
      <c r="Q3732" s="270">
        <v>2842.25</v>
      </c>
      <c r="R3732" s="270">
        <v>2842.25</v>
      </c>
      <c r="S3732" s="270">
        <v>2842.25</v>
      </c>
      <c r="T3732" s="270">
        <v>2842.25</v>
      </c>
      <c r="U3732" s="270">
        <v>2842.25</v>
      </c>
      <c r="V3732" s="270">
        <v>2842.25</v>
      </c>
      <c r="W3732" s="270">
        <v>2842.25</v>
      </c>
      <c r="X3732" s="270">
        <v>2842.25</v>
      </c>
      <c r="Y3732" s="270">
        <v>2842.25</v>
      </c>
      <c r="Z3732" s="270">
        <v>2842.25</v>
      </c>
      <c r="AA3732" s="270">
        <v>2842.25</v>
      </c>
      <c r="AB3732" s="270">
        <v>2842.25</v>
      </c>
      <c r="AC3732" s="263">
        <f t="shared" si="603"/>
        <v>34107</v>
      </c>
    </row>
    <row r="3733" spans="1:29" x14ac:dyDescent="0.2">
      <c r="A3733" s="179"/>
      <c r="B3733" s="3442" t="s">
        <v>1610</v>
      </c>
      <c r="C3733" s="3442"/>
      <c r="D3733" s="3442"/>
      <c r="E3733" s="3442"/>
      <c r="F3733" s="3442"/>
      <c r="G3733" s="3442"/>
      <c r="H3733" s="3442"/>
      <c r="I3733" s="3442"/>
      <c r="J3733" s="3442"/>
      <c r="K3733" s="3442"/>
      <c r="L3733" s="3442"/>
      <c r="M3733" s="1267">
        <f>SUM(M3644:M3732)</f>
        <v>22357932</v>
      </c>
      <c r="N3733" s="265">
        <f>SUM(N3643:N3732)</f>
        <v>2092039</v>
      </c>
      <c r="O3733" s="266"/>
      <c r="P3733" s="267"/>
      <c r="Q3733" s="271">
        <v>2037497.58333334</v>
      </c>
      <c r="R3733" s="271">
        <v>2037497.5833333351</v>
      </c>
      <c r="S3733" s="271">
        <v>2037497.5833333351</v>
      </c>
      <c r="T3733" s="271">
        <v>2037497.5833333351</v>
      </c>
      <c r="U3733" s="271">
        <v>2037497.5833333351</v>
      </c>
      <c r="V3733" s="271">
        <v>2037497.5833333351</v>
      </c>
      <c r="W3733" s="271">
        <v>2037497.5833333351</v>
      </c>
      <c r="X3733" s="271">
        <v>2037497.5833333351</v>
      </c>
      <c r="Y3733" s="271">
        <v>2037497.5833333351</v>
      </c>
      <c r="Z3733" s="271">
        <v>2037497.5833333351</v>
      </c>
      <c r="AA3733" s="271">
        <v>2037497.5833333351</v>
      </c>
      <c r="AB3733" s="271">
        <v>2037497.5833333351</v>
      </c>
      <c r="AC3733" s="272">
        <f t="shared" si="603"/>
        <v>24449971.00000003</v>
      </c>
    </row>
    <row r="3734" spans="1:29" x14ac:dyDescent="0.2">
      <c r="A3734" s="179"/>
      <c r="B3734" s="3443" t="s">
        <v>1611</v>
      </c>
      <c r="C3734" s="3440" t="s">
        <v>1612</v>
      </c>
      <c r="D3734" s="2415"/>
      <c r="E3734" s="2415" t="s">
        <v>1517</v>
      </c>
      <c r="F3734" s="2415" t="s">
        <v>165</v>
      </c>
      <c r="G3734" s="2415" t="s">
        <v>166</v>
      </c>
      <c r="H3734" s="3440" t="s">
        <v>1531</v>
      </c>
      <c r="I3734" s="2415" t="s">
        <v>1532</v>
      </c>
      <c r="J3734" s="3439">
        <v>42</v>
      </c>
      <c r="K3734" s="3439">
        <v>222738</v>
      </c>
      <c r="L3734" s="3469" t="s">
        <v>1613</v>
      </c>
      <c r="M3734" s="268"/>
      <c r="N3734" s="268"/>
      <c r="O3734" s="3472" t="s">
        <v>51</v>
      </c>
      <c r="P3734" s="3472"/>
      <c r="Q3734" s="271">
        <v>3</v>
      </c>
      <c r="R3734" s="271">
        <v>4</v>
      </c>
      <c r="S3734" s="271">
        <v>3</v>
      </c>
      <c r="T3734" s="271">
        <v>4</v>
      </c>
      <c r="U3734" s="271">
        <v>3</v>
      </c>
      <c r="V3734" s="271">
        <v>4</v>
      </c>
      <c r="W3734" s="271">
        <v>3</v>
      </c>
      <c r="X3734" s="271">
        <v>4</v>
      </c>
      <c r="Y3734" s="271">
        <v>3</v>
      </c>
      <c r="Z3734" s="271">
        <v>4</v>
      </c>
      <c r="AA3734" s="271">
        <v>3</v>
      </c>
      <c r="AB3734" s="271">
        <v>4</v>
      </c>
      <c r="AC3734" s="271">
        <f>SUM(Q3734:AB3734)</f>
        <v>42</v>
      </c>
    </row>
    <row r="3735" spans="1:29" x14ac:dyDescent="0.2">
      <c r="A3735" s="179"/>
      <c r="B3735" s="3444"/>
      <c r="C3735" s="3440"/>
      <c r="D3735" s="2415"/>
      <c r="E3735" s="2415"/>
      <c r="F3735" s="2415"/>
      <c r="G3735" s="2415"/>
      <c r="H3735" s="3440"/>
      <c r="I3735" s="2415"/>
      <c r="J3735" s="3439"/>
      <c r="K3735" s="3439"/>
      <c r="L3735" s="3470"/>
      <c r="M3735" s="268"/>
      <c r="N3735" s="268"/>
      <c r="O3735" s="3472" t="s">
        <v>111</v>
      </c>
      <c r="P3735" s="3472"/>
      <c r="Q3735" s="271">
        <f t="shared" ref="Q3735:AB3735" si="605">SUM(Q3736:Q3744)</f>
        <v>12013.083333333332</v>
      </c>
      <c r="R3735" s="271">
        <f t="shared" si="605"/>
        <v>11823.749999999998</v>
      </c>
      <c r="S3735" s="271">
        <f t="shared" si="605"/>
        <v>11823.749999999998</v>
      </c>
      <c r="T3735" s="271">
        <f t="shared" si="605"/>
        <v>11823.749999999998</v>
      </c>
      <c r="U3735" s="271">
        <f t="shared" si="605"/>
        <v>11823.749999999998</v>
      </c>
      <c r="V3735" s="271">
        <f t="shared" si="605"/>
        <v>11823.749999999998</v>
      </c>
      <c r="W3735" s="271">
        <f t="shared" si="605"/>
        <v>11823.749999999998</v>
      </c>
      <c r="X3735" s="271">
        <f t="shared" si="605"/>
        <v>11823.749999999998</v>
      </c>
      <c r="Y3735" s="271">
        <f t="shared" si="605"/>
        <v>11823.749999999998</v>
      </c>
      <c r="Z3735" s="271">
        <f t="shared" si="605"/>
        <v>11823.749999999998</v>
      </c>
      <c r="AA3735" s="271">
        <f t="shared" si="605"/>
        <v>11823.749999999998</v>
      </c>
      <c r="AB3735" s="271">
        <f t="shared" si="605"/>
        <v>11823.749999999998</v>
      </c>
      <c r="AC3735" s="271">
        <f>SUM(Q3735:AB3735)</f>
        <v>142074.33333333331</v>
      </c>
    </row>
    <row r="3736" spans="1:29" x14ac:dyDescent="0.2">
      <c r="A3736" s="179"/>
      <c r="B3736" s="3444"/>
      <c r="C3736" s="3440"/>
      <c r="D3736" s="2415"/>
      <c r="E3736" s="2415"/>
      <c r="F3736" s="2415"/>
      <c r="G3736" s="2415"/>
      <c r="H3736" s="3440"/>
      <c r="I3736" s="2415"/>
      <c r="J3736" s="3439"/>
      <c r="K3736" s="3439"/>
      <c r="L3736" s="3470"/>
      <c r="M3736" s="265">
        <v>9622</v>
      </c>
      <c r="N3736" s="268"/>
      <c r="O3736" s="265" t="s">
        <v>1316</v>
      </c>
      <c r="P3736" s="265" t="s">
        <v>1317</v>
      </c>
      <c r="Q3736" s="272">
        <f>SUM(M3736/12)</f>
        <v>801.83333333333337</v>
      </c>
      <c r="R3736" s="272">
        <v>801.83333333333337</v>
      </c>
      <c r="S3736" s="272">
        <v>801.83333333333337</v>
      </c>
      <c r="T3736" s="272">
        <v>801.83333333333337</v>
      </c>
      <c r="U3736" s="272">
        <v>801.83333333333337</v>
      </c>
      <c r="V3736" s="272">
        <v>801.83333333333337</v>
      </c>
      <c r="W3736" s="272">
        <v>801.83333333333337</v>
      </c>
      <c r="X3736" s="272">
        <v>801.83333333333337</v>
      </c>
      <c r="Y3736" s="272">
        <v>801.83333333333337</v>
      </c>
      <c r="Z3736" s="272">
        <v>801.83333333333337</v>
      </c>
      <c r="AA3736" s="272">
        <v>801.83333333333337</v>
      </c>
      <c r="AB3736" s="272">
        <v>801.83333333333337</v>
      </c>
      <c r="AC3736" s="272">
        <f>SUM(Q3736:AB3736)</f>
        <v>9622</v>
      </c>
    </row>
    <row r="3737" spans="1:29" x14ac:dyDescent="0.2">
      <c r="A3737" s="179"/>
      <c r="B3737" s="3444"/>
      <c r="C3737" s="3440"/>
      <c r="D3737" s="2415"/>
      <c r="E3737" s="2415"/>
      <c r="F3737" s="2415"/>
      <c r="G3737" s="2415"/>
      <c r="H3737" s="3440"/>
      <c r="I3737" s="2415"/>
      <c r="J3737" s="3439"/>
      <c r="K3737" s="3439"/>
      <c r="L3737" s="3470"/>
      <c r="M3737" s="265">
        <v>22261</v>
      </c>
      <c r="N3737" s="268"/>
      <c r="O3737" s="265" t="s">
        <v>1318</v>
      </c>
      <c r="P3737" s="265" t="s">
        <v>1319</v>
      </c>
      <c r="Q3737" s="272">
        <v>1855.0833333333333</v>
      </c>
      <c r="R3737" s="272">
        <v>1855.0833333333333</v>
      </c>
      <c r="S3737" s="272">
        <v>1855.0833333333333</v>
      </c>
      <c r="T3737" s="272">
        <v>1855.0833333333333</v>
      </c>
      <c r="U3737" s="272">
        <v>1855.0833333333333</v>
      </c>
      <c r="V3737" s="272">
        <v>1855.0833333333333</v>
      </c>
      <c r="W3737" s="272">
        <v>1855.0833333333333</v>
      </c>
      <c r="X3737" s="272">
        <v>1855.0833333333333</v>
      </c>
      <c r="Y3737" s="272">
        <v>1855.0833333333333</v>
      </c>
      <c r="Z3737" s="272">
        <v>1855.0833333333333</v>
      </c>
      <c r="AA3737" s="272">
        <v>1855.0833333333333</v>
      </c>
      <c r="AB3737" s="272">
        <v>1855.0833333333333</v>
      </c>
      <c r="AC3737" s="272">
        <f t="shared" si="603"/>
        <v>22260.999999999996</v>
      </c>
    </row>
    <row r="3738" spans="1:29" x14ac:dyDescent="0.2">
      <c r="A3738" s="179"/>
      <c r="B3738" s="3444"/>
      <c r="C3738" s="3440"/>
      <c r="D3738" s="2415"/>
      <c r="E3738" s="2415"/>
      <c r="F3738" s="2415"/>
      <c r="G3738" s="2415"/>
      <c r="H3738" s="3440"/>
      <c r="I3738" s="2415"/>
      <c r="J3738" s="3439"/>
      <c r="K3738" s="3439"/>
      <c r="L3738" s="3470"/>
      <c r="M3738" s="265">
        <v>654</v>
      </c>
      <c r="N3738" s="268"/>
      <c r="O3738" s="265" t="s">
        <v>1320</v>
      </c>
      <c r="P3738" s="265" t="s">
        <v>1321</v>
      </c>
      <c r="Q3738" s="272">
        <v>54.5</v>
      </c>
      <c r="R3738" s="272">
        <v>54.5</v>
      </c>
      <c r="S3738" s="272">
        <v>54.5</v>
      </c>
      <c r="T3738" s="272">
        <v>54.5</v>
      </c>
      <c r="U3738" s="272">
        <v>54.5</v>
      </c>
      <c r="V3738" s="272">
        <v>54.5</v>
      </c>
      <c r="W3738" s="272">
        <v>54.5</v>
      </c>
      <c r="X3738" s="272">
        <v>54.5</v>
      </c>
      <c r="Y3738" s="272">
        <v>54.5</v>
      </c>
      <c r="Z3738" s="272">
        <v>54.5</v>
      </c>
      <c r="AA3738" s="272">
        <v>54.5</v>
      </c>
      <c r="AB3738" s="272">
        <v>54.5</v>
      </c>
      <c r="AC3738" s="272">
        <f t="shared" si="603"/>
        <v>654</v>
      </c>
    </row>
    <row r="3739" spans="1:29" x14ac:dyDescent="0.2">
      <c r="A3739" s="179"/>
      <c r="B3739" s="3444"/>
      <c r="C3739" s="3440"/>
      <c r="D3739" s="2415"/>
      <c r="E3739" s="2415"/>
      <c r="F3739" s="2415"/>
      <c r="G3739" s="2415"/>
      <c r="H3739" s="3440"/>
      <c r="I3739" s="2415"/>
      <c r="J3739" s="3439"/>
      <c r="K3739" s="3439"/>
      <c r="L3739" s="3470"/>
      <c r="M3739" s="265">
        <v>400</v>
      </c>
      <c r="N3739" s="268"/>
      <c r="O3739" s="265" t="s">
        <v>1322</v>
      </c>
      <c r="P3739" s="265" t="s">
        <v>1323</v>
      </c>
      <c r="Q3739" s="272">
        <v>400</v>
      </c>
      <c r="R3739" s="272">
        <v>0</v>
      </c>
      <c r="S3739" s="272">
        <v>0</v>
      </c>
      <c r="T3739" s="272">
        <v>0</v>
      </c>
      <c r="U3739" s="272">
        <v>0</v>
      </c>
      <c r="V3739" s="272">
        <v>0</v>
      </c>
      <c r="W3739" s="272">
        <v>0</v>
      </c>
      <c r="X3739" s="272">
        <v>0</v>
      </c>
      <c r="Y3739" s="272">
        <v>0</v>
      </c>
      <c r="Z3739" s="272">
        <v>0</v>
      </c>
      <c r="AA3739" s="272">
        <v>0</v>
      </c>
      <c r="AB3739" s="272"/>
      <c r="AC3739" s="272">
        <f t="shared" si="603"/>
        <v>400</v>
      </c>
    </row>
    <row r="3740" spans="1:29" x14ac:dyDescent="0.2">
      <c r="A3740" s="179"/>
      <c r="B3740" s="3444"/>
      <c r="C3740" s="3440"/>
      <c r="D3740" s="2415"/>
      <c r="E3740" s="2415"/>
      <c r="F3740" s="2415"/>
      <c r="G3740" s="2415"/>
      <c r="H3740" s="3440"/>
      <c r="I3740" s="2415"/>
      <c r="J3740" s="3439"/>
      <c r="K3740" s="3439"/>
      <c r="L3740" s="3470"/>
      <c r="M3740" s="265">
        <v>910</v>
      </c>
      <c r="N3740" s="268"/>
      <c r="O3740" s="265" t="s">
        <v>1328</v>
      </c>
      <c r="P3740" s="265" t="s">
        <v>1329</v>
      </c>
      <c r="Q3740" s="272">
        <f>SUM(M3740/12)</f>
        <v>75.833333333333329</v>
      </c>
      <c r="R3740" s="272">
        <v>75.833333333333329</v>
      </c>
      <c r="S3740" s="272">
        <v>75.833333333333329</v>
      </c>
      <c r="T3740" s="272">
        <v>75.833333333333329</v>
      </c>
      <c r="U3740" s="272">
        <v>75.833333333333329</v>
      </c>
      <c r="V3740" s="272">
        <v>75.833333333333329</v>
      </c>
      <c r="W3740" s="272">
        <v>75.833333333333329</v>
      </c>
      <c r="X3740" s="272">
        <v>75.833333333333329</v>
      </c>
      <c r="Y3740" s="272">
        <v>75.833333333333329</v>
      </c>
      <c r="Z3740" s="272">
        <v>75.833333333333329</v>
      </c>
      <c r="AA3740" s="272">
        <v>75.833333333333329</v>
      </c>
      <c r="AB3740" s="272">
        <v>75.833333333333329</v>
      </c>
      <c r="AC3740" s="272">
        <f t="shared" si="603"/>
        <v>910.00000000000011</v>
      </c>
    </row>
    <row r="3741" spans="1:29" x14ac:dyDescent="0.2">
      <c r="A3741" s="179"/>
      <c r="B3741" s="3444"/>
      <c r="C3741" s="3440"/>
      <c r="D3741" s="2415"/>
      <c r="E3741" s="2415"/>
      <c r="F3741" s="2415"/>
      <c r="G3741" s="2415"/>
      <c r="H3741" s="3440"/>
      <c r="I3741" s="2415"/>
      <c r="J3741" s="3439"/>
      <c r="K3741" s="3439"/>
      <c r="L3741" s="3470"/>
      <c r="M3741" s="265">
        <v>2560</v>
      </c>
      <c r="N3741" s="268"/>
      <c r="O3741" s="265" t="s">
        <v>1235</v>
      </c>
      <c r="P3741" s="265" t="s">
        <v>1236</v>
      </c>
      <c r="Q3741" s="272">
        <f>SUM(M3741/12)</f>
        <v>213.33333333333334</v>
      </c>
      <c r="R3741" s="272">
        <v>213.33333333333334</v>
      </c>
      <c r="S3741" s="272">
        <v>213.33333333333334</v>
      </c>
      <c r="T3741" s="272">
        <v>213.33333333333334</v>
      </c>
      <c r="U3741" s="272">
        <v>213.33333333333334</v>
      </c>
      <c r="V3741" s="272">
        <v>213.33333333333334</v>
      </c>
      <c r="W3741" s="272">
        <v>213.33333333333334</v>
      </c>
      <c r="X3741" s="272">
        <v>213.33333333333334</v>
      </c>
      <c r="Y3741" s="272">
        <v>213.33333333333334</v>
      </c>
      <c r="Z3741" s="272">
        <v>213.33333333333334</v>
      </c>
      <c r="AA3741" s="272">
        <v>213.33333333333334</v>
      </c>
      <c r="AB3741" s="272">
        <v>213.33333333333334</v>
      </c>
      <c r="AC3741" s="272">
        <f t="shared" si="603"/>
        <v>2560</v>
      </c>
    </row>
    <row r="3742" spans="1:29" x14ac:dyDescent="0.2">
      <c r="A3742" s="179"/>
      <c r="B3742" s="3444"/>
      <c r="C3742" s="3440"/>
      <c r="D3742" s="2415"/>
      <c r="E3742" s="2415"/>
      <c r="F3742" s="2415"/>
      <c r="G3742" s="2415"/>
      <c r="H3742" s="3440"/>
      <c r="I3742" s="2415"/>
      <c r="J3742" s="3439"/>
      <c r="K3742" s="3439"/>
      <c r="L3742" s="3470"/>
      <c r="M3742" s="265">
        <v>3860</v>
      </c>
      <c r="N3742" s="268"/>
      <c r="O3742" s="265" t="s">
        <v>1261</v>
      </c>
      <c r="P3742" s="265" t="s">
        <v>1262</v>
      </c>
      <c r="Q3742" s="272">
        <f>SUM(M3742/12)</f>
        <v>321.66666666666669</v>
      </c>
      <c r="R3742" s="272">
        <v>321.66666666666669</v>
      </c>
      <c r="S3742" s="272">
        <v>321.66666666666669</v>
      </c>
      <c r="T3742" s="272">
        <v>321.66666666666669</v>
      </c>
      <c r="U3742" s="272">
        <v>321.66666666666669</v>
      </c>
      <c r="V3742" s="272">
        <v>321.66666666666669</v>
      </c>
      <c r="W3742" s="272">
        <v>321.66666666666669</v>
      </c>
      <c r="X3742" s="272">
        <v>321.66666666666669</v>
      </c>
      <c r="Y3742" s="272">
        <v>321.66666666666669</v>
      </c>
      <c r="Z3742" s="272">
        <v>321.66666666666669</v>
      </c>
      <c r="AA3742" s="272">
        <v>321.66666666666669</v>
      </c>
      <c r="AB3742" s="272">
        <v>321.66666666666669</v>
      </c>
      <c r="AC3742" s="272">
        <f t="shared" si="603"/>
        <v>3859.9999999999995</v>
      </c>
    </row>
    <row r="3743" spans="1:29" x14ac:dyDescent="0.2">
      <c r="A3743" s="179"/>
      <c r="B3743" s="3444"/>
      <c r="C3743" s="3440"/>
      <c r="D3743" s="2415"/>
      <c r="E3743" s="2415"/>
      <c r="F3743" s="2415"/>
      <c r="G3743" s="2415"/>
      <c r="H3743" s="3440"/>
      <c r="I3743" s="2415"/>
      <c r="J3743" s="3439"/>
      <c r="K3743" s="3439"/>
      <c r="L3743" s="3470"/>
      <c r="M3743" s="265">
        <v>92200</v>
      </c>
      <c r="N3743" s="268"/>
      <c r="O3743" s="265" t="s">
        <v>1330</v>
      </c>
      <c r="P3743" s="265" t="s">
        <v>1331</v>
      </c>
      <c r="Q3743" s="272">
        <f>SUM(M3743/12)</f>
        <v>7683.333333333333</v>
      </c>
      <c r="R3743" s="272">
        <v>7683.333333333333</v>
      </c>
      <c r="S3743" s="272">
        <v>7683.333333333333</v>
      </c>
      <c r="T3743" s="272">
        <v>7683.333333333333</v>
      </c>
      <c r="U3743" s="272">
        <v>7683.333333333333</v>
      </c>
      <c r="V3743" s="272">
        <v>7683.333333333333</v>
      </c>
      <c r="W3743" s="272">
        <v>7683.333333333333</v>
      </c>
      <c r="X3743" s="272">
        <v>7683.333333333333</v>
      </c>
      <c r="Y3743" s="272">
        <v>7683.333333333333</v>
      </c>
      <c r="Z3743" s="272">
        <v>7683.333333333333</v>
      </c>
      <c r="AA3743" s="272">
        <v>7683.333333333333</v>
      </c>
      <c r="AB3743" s="272">
        <v>7683.333333333333</v>
      </c>
      <c r="AC3743" s="272">
        <f t="shared" si="603"/>
        <v>92199.999999999985</v>
      </c>
    </row>
    <row r="3744" spans="1:29" x14ac:dyDescent="0.2">
      <c r="A3744" s="179"/>
      <c r="B3744" s="3445"/>
      <c r="C3744" s="3440"/>
      <c r="D3744" s="2415"/>
      <c r="E3744" s="2415"/>
      <c r="F3744" s="2415"/>
      <c r="G3744" s="2415"/>
      <c r="H3744" s="3440"/>
      <c r="I3744" s="2415"/>
      <c r="J3744" s="3439"/>
      <c r="K3744" s="3439"/>
      <c r="L3744" s="3471"/>
      <c r="M3744" s="265">
        <v>7290</v>
      </c>
      <c r="N3744" s="268"/>
      <c r="O3744" s="265" t="s">
        <v>1332</v>
      </c>
      <c r="P3744" s="265" t="s">
        <v>1333</v>
      </c>
      <c r="Q3744" s="272">
        <f>SUM(M3744/12)</f>
        <v>607.5</v>
      </c>
      <c r="R3744" s="272">
        <v>818.16666666666663</v>
      </c>
      <c r="S3744" s="272">
        <v>818.16666666666663</v>
      </c>
      <c r="T3744" s="272">
        <v>818.16666666666663</v>
      </c>
      <c r="U3744" s="272">
        <v>818.16666666666663</v>
      </c>
      <c r="V3744" s="272">
        <v>818.16666666666663</v>
      </c>
      <c r="W3744" s="272">
        <v>818.16666666666663</v>
      </c>
      <c r="X3744" s="272">
        <v>818.16666666666663</v>
      </c>
      <c r="Y3744" s="272">
        <v>818.16666666666663</v>
      </c>
      <c r="Z3744" s="272">
        <v>818.16666666666663</v>
      </c>
      <c r="AA3744" s="272">
        <v>818.16666666666663</v>
      </c>
      <c r="AB3744" s="272">
        <v>818.16666666666663</v>
      </c>
      <c r="AC3744" s="272">
        <f t="shared" si="603"/>
        <v>9607.3333333333339</v>
      </c>
    </row>
    <row r="3745" spans="1:29" x14ac:dyDescent="0.2">
      <c r="A3745" s="179"/>
      <c r="B3745" s="3442" t="s">
        <v>1614</v>
      </c>
      <c r="C3745" s="3442"/>
      <c r="D3745" s="3442"/>
      <c r="E3745" s="3442"/>
      <c r="F3745" s="3442"/>
      <c r="G3745" s="3442"/>
      <c r="H3745" s="3442"/>
      <c r="I3745" s="3442"/>
      <c r="J3745" s="3442"/>
      <c r="K3745" s="3442"/>
      <c r="L3745" s="3442"/>
      <c r="M3745" s="266">
        <f>SUM(M3736:M3744)</f>
        <v>139757</v>
      </c>
      <c r="N3745" s="265"/>
      <c r="O3745" s="266"/>
      <c r="P3745" s="267"/>
      <c r="Q3745" s="271"/>
      <c r="R3745" s="271"/>
      <c r="S3745" s="271"/>
      <c r="T3745" s="271"/>
      <c r="U3745" s="271"/>
      <c r="V3745" s="271"/>
      <c r="W3745" s="271"/>
      <c r="X3745" s="271"/>
      <c r="Y3745" s="271"/>
      <c r="Z3745" s="271"/>
      <c r="AA3745" s="271"/>
      <c r="AB3745" s="271"/>
      <c r="AC3745" s="272">
        <f t="shared" si="603"/>
        <v>0</v>
      </c>
    </row>
    <row r="3746" spans="1:29" x14ac:dyDescent="0.2">
      <c r="A3746" s="179"/>
      <c r="B3746" s="3446" t="s">
        <v>1615</v>
      </c>
      <c r="C3746" s="3447" t="s">
        <v>1616</v>
      </c>
      <c r="D3746" s="2415"/>
      <c r="E3746" s="2415" t="s">
        <v>1517</v>
      </c>
      <c r="F3746" s="2415" t="s">
        <v>165</v>
      </c>
      <c r="G3746" s="2415" t="s">
        <v>1617</v>
      </c>
      <c r="H3746" s="3450" t="s">
        <v>1531</v>
      </c>
      <c r="I3746" s="2415" t="s">
        <v>1532</v>
      </c>
      <c r="J3746" s="3439">
        <v>12</v>
      </c>
      <c r="K3746" s="3439">
        <v>764729</v>
      </c>
      <c r="L3746" s="3450" t="s">
        <v>1618</v>
      </c>
      <c r="M3746" s="268"/>
      <c r="N3746" s="268"/>
      <c r="O3746" s="3472" t="s">
        <v>51</v>
      </c>
      <c r="P3746" s="3472"/>
      <c r="Q3746" s="271">
        <v>1</v>
      </c>
      <c r="R3746" s="271">
        <v>1</v>
      </c>
      <c r="S3746" s="271">
        <v>1</v>
      </c>
      <c r="T3746" s="271">
        <v>1</v>
      </c>
      <c r="U3746" s="271">
        <v>1</v>
      </c>
      <c r="V3746" s="271">
        <v>1</v>
      </c>
      <c r="W3746" s="271">
        <v>1</v>
      </c>
      <c r="X3746" s="271">
        <v>1</v>
      </c>
      <c r="Y3746" s="271">
        <v>1</v>
      </c>
      <c r="Z3746" s="271">
        <v>1</v>
      </c>
      <c r="AA3746" s="271">
        <v>1</v>
      </c>
      <c r="AB3746" s="271">
        <v>1</v>
      </c>
      <c r="AC3746" s="271">
        <f>SUM(Q3746:AB3746)</f>
        <v>12</v>
      </c>
    </row>
    <row r="3747" spans="1:29" x14ac:dyDescent="0.2">
      <c r="A3747" s="179"/>
      <c r="B3747" s="3446"/>
      <c r="C3747" s="3447"/>
      <c r="D3747" s="2415"/>
      <c r="E3747" s="2415"/>
      <c r="F3747" s="2415"/>
      <c r="G3747" s="2415"/>
      <c r="H3747" s="3450"/>
      <c r="I3747" s="2415"/>
      <c r="J3747" s="3439"/>
      <c r="K3747" s="3439"/>
      <c r="L3747" s="3450"/>
      <c r="M3747" s="268"/>
      <c r="N3747" s="268"/>
      <c r="O3747" s="3472" t="s">
        <v>111</v>
      </c>
      <c r="P3747" s="3472"/>
      <c r="Q3747" s="271">
        <f>SUM(Q3748:Q3764)</f>
        <v>63202.416666666672</v>
      </c>
      <c r="R3747" s="271">
        <f t="shared" ref="R3747:AB3747" si="606">SUM(R3748:R3764)</f>
        <v>63602.416666666672</v>
      </c>
      <c r="S3747" s="271">
        <f t="shared" si="606"/>
        <v>64602.416666666672</v>
      </c>
      <c r="T3747" s="271">
        <f t="shared" si="606"/>
        <v>63602.416666666672</v>
      </c>
      <c r="U3747" s="271">
        <f t="shared" si="606"/>
        <v>63602.416666666672</v>
      </c>
      <c r="V3747" s="271">
        <f t="shared" si="606"/>
        <v>64502.416666666672</v>
      </c>
      <c r="W3747" s="271">
        <f t="shared" si="606"/>
        <v>63502.416666666672</v>
      </c>
      <c r="X3747" s="271">
        <f t="shared" si="606"/>
        <v>64502.416666666672</v>
      </c>
      <c r="Y3747" s="271">
        <f t="shared" si="606"/>
        <v>63502.416666666672</v>
      </c>
      <c r="Z3747" s="271">
        <f t="shared" si="606"/>
        <v>63502.416666666672</v>
      </c>
      <c r="AA3747" s="271">
        <f t="shared" si="606"/>
        <v>63502.416666666672</v>
      </c>
      <c r="AB3747" s="271">
        <f t="shared" si="606"/>
        <v>63102.416666666672</v>
      </c>
      <c r="AC3747" s="271">
        <f>SUM(AC3748:AC3764)</f>
        <v>764729</v>
      </c>
    </row>
    <row r="3748" spans="1:29" x14ac:dyDescent="0.2">
      <c r="A3748" s="179"/>
      <c r="B3748" s="3446"/>
      <c r="C3748" s="3447"/>
      <c r="D3748" s="2415"/>
      <c r="E3748" s="2415"/>
      <c r="F3748" s="2415"/>
      <c r="G3748" s="2415"/>
      <c r="H3748" s="3450"/>
      <c r="I3748" s="2415"/>
      <c r="J3748" s="3439"/>
      <c r="K3748" s="3439"/>
      <c r="L3748" s="3450"/>
      <c r="M3748" s="265">
        <v>202014</v>
      </c>
      <c r="N3748" s="268"/>
      <c r="O3748" s="265" t="s">
        <v>1314</v>
      </c>
      <c r="P3748" s="265" t="s">
        <v>1315</v>
      </c>
      <c r="Q3748" s="272">
        <f>SUM(M3748/12)</f>
        <v>16834.5</v>
      </c>
      <c r="R3748" s="272">
        <v>16834.5</v>
      </c>
      <c r="S3748" s="272">
        <v>16834.5</v>
      </c>
      <c r="T3748" s="272">
        <v>16834.5</v>
      </c>
      <c r="U3748" s="272">
        <v>16834.5</v>
      </c>
      <c r="V3748" s="272">
        <v>16834.5</v>
      </c>
      <c r="W3748" s="272">
        <v>16834.5</v>
      </c>
      <c r="X3748" s="272">
        <v>16834.5</v>
      </c>
      <c r="Y3748" s="272">
        <v>16834.5</v>
      </c>
      <c r="Z3748" s="272">
        <v>16834.5</v>
      </c>
      <c r="AA3748" s="272">
        <v>16834.5</v>
      </c>
      <c r="AB3748" s="272">
        <v>16834.5</v>
      </c>
      <c r="AC3748" s="272">
        <f>SUM(Q3748:AB3748)</f>
        <v>202014</v>
      </c>
    </row>
    <row r="3749" spans="1:29" x14ac:dyDescent="0.2">
      <c r="A3749" s="179"/>
      <c r="B3749" s="3446"/>
      <c r="C3749" s="3447"/>
      <c r="D3749" s="2415"/>
      <c r="E3749" s="2415"/>
      <c r="F3749" s="2415"/>
      <c r="G3749" s="2415"/>
      <c r="H3749" s="3450"/>
      <c r="I3749" s="2415"/>
      <c r="J3749" s="3439"/>
      <c r="K3749" s="3439"/>
      <c r="L3749" s="3450"/>
      <c r="M3749" s="265">
        <v>16826</v>
      </c>
      <c r="N3749" s="268"/>
      <c r="O3749" s="265" t="s">
        <v>1316</v>
      </c>
      <c r="P3749" s="265" t="s">
        <v>1317</v>
      </c>
      <c r="Q3749" s="272">
        <f>SUM(M3749/12)</f>
        <v>1402.1666666666667</v>
      </c>
      <c r="R3749" s="272">
        <v>1402.1666666666667</v>
      </c>
      <c r="S3749" s="272">
        <v>1402.1666666666667</v>
      </c>
      <c r="T3749" s="272">
        <v>1402.1666666666667</v>
      </c>
      <c r="U3749" s="272">
        <v>1402.1666666666667</v>
      </c>
      <c r="V3749" s="272">
        <v>1402.1666666666667</v>
      </c>
      <c r="W3749" s="272">
        <v>1402.1666666666667</v>
      </c>
      <c r="X3749" s="272">
        <v>1402.1666666666667</v>
      </c>
      <c r="Y3749" s="272">
        <v>1402.1666666666667</v>
      </c>
      <c r="Z3749" s="272">
        <v>1402.1666666666667</v>
      </c>
      <c r="AA3749" s="272">
        <v>1402.1666666666667</v>
      </c>
      <c r="AB3749" s="272">
        <v>1402.1666666666667</v>
      </c>
      <c r="AC3749" s="272">
        <f t="shared" si="603"/>
        <v>16825.999999999996</v>
      </c>
    </row>
    <row r="3750" spans="1:29" x14ac:dyDescent="0.2">
      <c r="A3750" s="179"/>
      <c r="B3750" s="3446"/>
      <c r="C3750" s="3447"/>
      <c r="D3750" s="2415"/>
      <c r="E3750" s="2415"/>
      <c r="F3750" s="2415"/>
      <c r="G3750" s="2415"/>
      <c r="H3750" s="3450"/>
      <c r="I3750" s="2415"/>
      <c r="J3750" s="3439"/>
      <c r="K3750" s="3439"/>
      <c r="L3750" s="3450"/>
      <c r="M3750" s="265">
        <v>280907</v>
      </c>
      <c r="N3750" s="268"/>
      <c r="O3750" s="265" t="s">
        <v>1318</v>
      </c>
      <c r="P3750" s="265" t="s">
        <v>1319</v>
      </c>
      <c r="Q3750" s="272">
        <v>23408.916666666668</v>
      </c>
      <c r="R3750" s="272">
        <v>23408.916666666668</v>
      </c>
      <c r="S3750" s="272">
        <v>23408.916666666668</v>
      </c>
      <c r="T3750" s="272">
        <v>23408.916666666668</v>
      </c>
      <c r="U3750" s="272">
        <v>23408.916666666668</v>
      </c>
      <c r="V3750" s="272">
        <v>23408.916666666668</v>
      </c>
      <c r="W3750" s="272">
        <v>23408.916666666668</v>
      </c>
      <c r="X3750" s="272">
        <v>23408.916666666668</v>
      </c>
      <c r="Y3750" s="272">
        <v>23408.916666666668</v>
      </c>
      <c r="Z3750" s="272">
        <v>23408.916666666668</v>
      </c>
      <c r="AA3750" s="272">
        <v>23408.916666666668</v>
      </c>
      <c r="AB3750" s="272">
        <v>23408.916666666668</v>
      </c>
      <c r="AC3750" s="272">
        <f t="shared" si="603"/>
        <v>280906.99999999994</v>
      </c>
    </row>
    <row r="3751" spans="1:29" x14ac:dyDescent="0.2">
      <c r="A3751" s="179"/>
      <c r="B3751" s="3446"/>
      <c r="C3751" s="3447"/>
      <c r="D3751" s="2415"/>
      <c r="E3751" s="2415"/>
      <c r="F3751" s="2415"/>
      <c r="G3751" s="2415"/>
      <c r="H3751" s="3450"/>
      <c r="I3751" s="2415"/>
      <c r="J3751" s="3439"/>
      <c r="K3751" s="3439"/>
      <c r="L3751" s="3450"/>
      <c r="M3751" s="265">
        <v>23994</v>
      </c>
      <c r="N3751" s="268"/>
      <c r="O3751" s="265" t="s">
        <v>1534</v>
      </c>
      <c r="P3751" s="265" t="s">
        <v>1535</v>
      </c>
      <c r="Q3751" s="272">
        <v>1999.5</v>
      </c>
      <c r="R3751" s="272">
        <v>1999.5</v>
      </c>
      <c r="S3751" s="272">
        <v>1999.5</v>
      </c>
      <c r="T3751" s="272">
        <v>1999.5</v>
      </c>
      <c r="U3751" s="272">
        <v>1999.5</v>
      </c>
      <c r="V3751" s="272">
        <v>1999.5</v>
      </c>
      <c r="W3751" s="272">
        <v>1999.5</v>
      </c>
      <c r="X3751" s="272">
        <v>1999.5</v>
      </c>
      <c r="Y3751" s="272">
        <v>1999.5</v>
      </c>
      <c r="Z3751" s="272">
        <v>1999.5</v>
      </c>
      <c r="AA3751" s="272">
        <v>1999.5</v>
      </c>
      <c r="AB3751" s="272">
        <v>1999.5</v>
      </c>
      <c r="AC3751" s="272">
        <f t="shared" si="603"/>
        <v>23994</v>
      </c>
    </row>
    <row r="3752" spans="1:29" x14ac:dyDescent="0.2">
      <c r="A3752" s="179"/>
      <c r="B3752" s="3446"/>
      <c r="C3752" s="3447"/>
      <c r="D3752" s="2415"/>
      <c r="E3752" s="2415"/>
      <c r="F3752" s="2415"/>
      <c r="G3752" s="2415"/>
      <c r="H3752" s="3450"/>
      <c r="I3752" s="2415"/>
      <c r="J3752" s="3439"/>
      <c r="K3752" s="3439"/>
      <c r="L3752" s="3450"/>
      <c r="M3752" s="265">
        <v>41904</v>
      </c>
      <c r="N3752" s="268"/>
      <c r="O3752" s="265" t="s">
        <v>1536</v>
      </c>
      <c r="P3752" s="265" t="s">
        <v>1535</v>
      </c>
      <c r="Q3752" s="272">
        <v>3492</v>
      </c>
      <c r="R3752" s="272">
        <v>3492</v>
      </c>
      <c r="S3752" s="272">
        <v>3492</v>
      </c>
      <c r="T3752" s="272">
        <v>3492</v>
      </c>
      <c r="U3752" s="272">
        <v>3492</v>
      </c>
      <c r="V3752" s="272">
        <v>3492</v>
      </c>
      <c r="W3752" s="272">
        <v>3492</v>
      </c>
      <c r="X3752" s="272">
        <v>3492</v>
      </c>
      <c r="Y3752" s="272">
        <v>3492</v>
      </c>
      <c r="Z3752" s="272">
        <v>3492</v>
      </c>
      <c r="AA3752" s="272">
        <v>3492</v>
      </c>
      <c r="AB3752" s="272">
        <v>3492</v>
      </c>
      <c r="AC3752" s="272">
        <f t="shared" si="603"/>
        <v>41904</v>
      </c>
    </row>
    <row r="3753" spans="1:29" x14ac:dyDescent="0.2">
      <c r="A3753" s="179"/>
      <c r="B3753" s="3446"/>
      <c r="C3753" s="3447"/>
      <c r="D3753" s="2415"/>
      <c r="E3753" s="2415"/>
      <c r="F3753" s="2415"/>
      <c r="G3753" s="2415"/>
      <c r="H3753" s="3450"/>
      <c r="I3753" s="2415"/>
      <c r="J3753" s="3439"/>
      <c r="K3753" s="3439"/>
      <c r="L3753" s="3450"/>
      <c r="M3753" s="265">
        <v>10464</v>
      </c>
      <c r="N3753" s="268"/>
      <c r="O3753" s="265" t="s">
        <v>1320</v>
      </c>
      <c r="P3753" s="265" t="s">
        <v>1321</v>
      </c>
      <c r="Q3753" s="272">
        <v>872</v>
      </c>
      <c r="R3753" s="272">
        <v>872</v>
      </c>
      <c r="S3753" s="272">
        <v>872</v>
      </c>
      <c r="T3753" s="272">
        <v>872</v>
      </c>
      <c r="U3753" s="272">
        <v>872</v>
      </c>
      <c r="V3753" s="272">
        <v>872</v>
      </c>
      <c r="W3753" s="272">
        <v>872</v>
      </c>
      <c r="X3753" s="272">
        <v>872</v>
      </c>
      <c r="Y3753" s="272">
        <v>872</v>
      </c>
      <c r="Z3753" s="272">
        <v>872</v>
      </c>
      <c r="AA3753" s="272">
        <v>872</v>
      </c>
      <c r="AB3753" s="272">
        <v>872</v>
      </c>
      <c r="AC3753" s="272">
        <f t="shared" si="603"/>
        <v>10464</v>
      </c>
    </row>
    <row r="3754" spans="1:29" x14ac:dyDescent="0.2">
      <c r="A3754" s="179"/>
      <c r="B3754" s="3446"/>
      <c r="C3754" s="3447"/>
      <c r="D3754" s="2415"/>
      <c r="E3754" s="2415"/>
      <c r="F3754" s="2415"/>
      <c r="G3754" s="2415"/>
      <c r="H3754" s="3450"/>
      <c r="I3754" s="2415"/>
      <c r="J3754" s="3439"/>
      <c r="K3754" s="3439"/>
      <c r="L3754" s="3450"/>
      <c r="M3754" s="265">
        <v>6400</v>
      </c>
      <c r="N3754" s="268"/>
      <c r="O3754" s="265" t="s">
        <v>1322</v>
      </c>
      <c r="P3754" s="265" t="s">
        <v>1323</v>
      </c>
      <c r="Q3754" s="272">
        <v>533.33333333333337</v>
      </c>
      <c r="R3754" s="272">
        <v>533.33333333333337</v>
      </c>
      <c r="S3754" s="272">
        <v>533.33333333333337</v>
      </c>
      <c r="T3754" s="272">
        <v>533.33333333333337</v>
      </c>
      <c r="U3754" s="272">
        <v>533.33333333333337</v>
      </c>
      <c r="V3754" s="272">
        <v>533.33333333333337</v>
      </c>
      <c r="W3754" s="272">
        <v>533.33333333333337</v>
      </c>
      <c r="X3754" s="272">
        <v>533.33333333333337</v>
      </c>
      <c r="Y3754" s="272">
        <v>533.33333333333337</v>
      </c>
      <c r="Z3754" s="272">
        <v>533.33333333333337</v>
      </c>
      <c r="AA3754" s="272">
        <v>533.33333333333337</v>
      </c>
      <c r="AB3754" s="272">
        <v>533.33333333333337</v>
      </c>
      <c r="AC3754" s="272">
        <f t="shared" si="603"/>
        <v>6399.9999999999991</v>
      </c>
    </row>
    <row r="3755" spans="1:29" x14ac:dyDescent="0.2">
      <c r="A3755" s="179"/>
      <c r="B3755" s="3446"/>
      <c r="C3755" s="3447"/>
      <c r="D3755" s="2415"/>
      <c r="E3755" s="2415"/>
      <c r="F3755" s="2415"/>
      <c r="G3755" s="2415"/>
      <c r="H3755" s="3450"/>
      <c r="I3755" s="2415"/>
      <c r="J3755" s="3439"/>
      <c r="K3755" s="3439"/>
      <c r="L3755" s="3450"/>
      <c r="M3755" s="265">
        <v>16750</v>
      </c>
      <c r="N3755" s="268"/>
      <c r="O3755" s="265" t="s">
        <v>1328</v>
      </c>
      <c r="P3755" s="265" t="s">
        <v>1329</v>
      </c>
      <c r="Q3755" s="272">
        <v>1395.8333333333333</v>
      </c>
      <c r="R3755" s="272">
        <v>1395.8333333333333</v>
      </c>
      <c r="S3755" s="272">
        <v>1395.8333333333333</v>
      </c>
      <c r="T3755" s="272">
        <v>1395.8333333333333</v>
      </c>
      <c r="U3755" s="272">
        <v>1395.8333333333333</v>
      </c>
      <c r="V3755" s="272">
        <v>1395.8333333333333</v>
      </c>
      <c r="W3755" s="272">
        <v>1395.8333333333333</v>
      </c>
      <c r="X3755" s="272">
        <v>1395.8333333333333</v>
      </c>
      <c r="Y3755" s="272">
        <v>1395.8333333333333</v>
      </c>
      <c r="Z3755" s="272">
        <v>1395.8333333333333</v>
      </c>
      <c r="AA3755" s="272">
        <v>1395.8333333333333</v>
      </c>
      <c r="AB3755" s="272">
        <v>1395.8333333333333</v>
      </c>
      <c r="AC3755" s="272">
        <f t="shared" si="603"/>
        <v>16750.000000000004</v>
      </c>
    </row>
    <row r="3756" spans="1:29" x14ac:dyDescent="0.2">
      <c r="A3756" s="179"/>
      <c r="B3756" s="3446"/>
      <c r="C3756" s="3447"/>
      <c r="D3756" s="2415"/>
      <c r="E3756" s="2415"/>
      <c r="F3756" s="2415"/>
      <c r="G3756" s="2415"/>
      <c r="H3756" s="3450"/>
      <c r="I3756" s="2415"/>
      <c r="J3756" s="3439"/>
      <c r="K3756" s="3439"/>
      <c r="L3756" s="3450"/>
      <c r="M3756" s="265">
        <v>2000</v>
      </c>
      <c r="N3756" s="268"/>
      <c r="O3756" s="265" t="s">
        <v>1219</v>
      </c>
      <c r="P3756" s="265" t="s">
        <v>1220</v>
      </c>
      <c r="Q3756" s="272">
        <f>SUM(M3756/12)</f>
        <v>166.66666666666666</v>
      </c>
      <c r="R3756" s="272">
        <v>166.66666666666666</v>
      </c>
      <c r="S3756" s="272">
        <v>166.66666666666666</v>
      </c>
      <c r="T3756" s="272">
        <v>166.66666666666666</v>
      </c>
      <c r="U3756" s="272">
        <v>166.66666666666666</v>
      </c>
      <c r="V3756" s="272">
        <v>166.66666666666666</v>
      </c>
      <c r="W3756" s="272">
        <v>166.66666666666666</v>
      </c>
      <c r="X3756" s="272">
        <v>166.66666666666666</v>
      </c>
      <c r="Y3756" s="272">
        <v>166.66666666666666</v>
      </c>
      <c r="Z3756" s="272">
        <v>166.66666666666666</v>
      </c>
      <c r="AA3756" s="272">
        <v>166.66666666666666</v>
      </c>
      <c r="AB3756" s="272">
        <v>166.66666666666666</v>
      </c>
      <c r="AC3756" s="272">
        <f t="shared" si="603"/>
        <v>2000.0000000000002</v>
      </c>
    </row>
    <row r="3757" spans="1:29" x14ac:dyDescent="0.2">
      <c r="A3757" s="179"/>
      <c r="B3757" s="3446"/>
      <c r="C3757" s="3447"/>
      <c r="D3757" s="2415"/>
      <c r="E3757" s="2415"/>
      <c r="F3757" s="2415"/>
      <c r="G3757" s="2415"/>
      <c r="H3757" s="3450"/>
      <c r="I3757" s="2415"/>
      <c r="J3757" s="3439"/>
      <c r="K3757" s="3439"/>
      <c r="L3757" s="3450"/>
      <c r="M3757" s="265">
        <v>17000</v>
      </c>
      <c r="N3757" s="268"/>
      <c r="O3757" s="265" t="s">
        <v>1235</v>
      </c>
      <c r="P3757" s="265" t="s">
        <v>1236</v>
      </c>
      <c r="Q3757" s="272">
        <f>SUM(M3757/12)</f>
        <v>1416.6666666666667</v>
      </c>
      <c r="R3757" s="272">
        <v>1416.6666666666667</v>
      </c>
      <c r="S3757" s="272">
        <v>1416.6666666666667</v>
      </c>
      <c r="T3757" s="272">
        <v>1416.6666666666667</v>
      </c>
      <c r="U3757" s="272">
        <v>1416.6666666666667</v>
      </c>
      <c r="V3757" s="272">
        <v>1416.6666666666667</v>
      </c>
      <c r="W3757" s="272">
        <v>1416.6666666666667</v>
      </c>
      <c r="X3757" s="272">
        <v>1416.6666666666667</v>
      </c>
      <c r="Y3757" s="272">
        <v>1416.6666666666667</v>
      </c>
      <c r="Z3757" s="272">
        <v>1416.6666666666667</v>
      </c>
      <c r="AA3757" s="272">
        <v>1416.6666666666667</v>
      </c>
      <c r="AB3757" s="272">
        <v>1416.6666666666667</v>
      </c>
      <c r="AC3757" s="272">
        <f t="shared" si="603"/>
        <v>16999.999999999996</v>
      </c>
    </row>
    <row r="3758" spans="1:29" x14ac:dyDescent="0.2">
      <c r="A3758" s="179"/>
      <c r="B3758" s="3446"/>
      <c r="C3758" s="3447"/>
      <c r="D3758" s="2415"/>
      <c r="E3758" s="2415"/>
      <c r="F3758" s="2415"/>
      <c r="G3758" s="2415"/>
      <c r="H3758" s="3450"/>
      <c r="I3758" s="2415"/>
      <c r="J3758" s="3439"/>
      <c r="K3758" s="3439"/>
      <c r="L3758" s="3450"/>
      <c r="M3758" s="265">
        <v>500</v>
      </c>
      <c r="N3758" s="268"/>
      <c r="O3758" s="265" t="s">
        <v>1267</v>
      </c>
      <c r="P3758" s="265" t="s">
        <v>1268</v>
      </c>
      <c r="Q3758" s="272">
        <f>SUM(M3758/5)</f>
        <v>100</v>
      </c>
      <c r="R3758" s="272">
        <v>100</v>
      </c>
      <c r="S3758" s="272">
        <v>100</v>
      </c>
      <c r="T3758" s="272">
        <v>100</v>
      </c>
      <c r="U3758" s="272">
        <v>100</v>
      </c>
      <c r="V3758" s="272">
        <v>0</v>
      </c>
      <c r="W3758" s="272">
        <v>0</v>
      </c>
      <c r="X3758" s="272">
        <v>0</v>
      </c>
      <c r="Y3758" s="272">
        <v>0</v>
      </c>
      <c r="Z3758" s="272">
        <v>0</v>
      </c>
      <c r="AA3758" s="272">
        <v>0</v>
      </c>
      <c r="AB3758" s="272">
        <v>0</v>
      </c>
      <c r="AC3758" s="272">
        <f t="shared" si="603"/>
        <v>500</v>
      </c>
    </row>
    <row r="3759" spans="1:29" x14ac:dyDescent="0.2">
      <c r="A3759" s="179"/>
      <c r="B3759" s="3446"/>
      <c r="C3759" s="3447"/>
      <c r="D3759" s="2415"/>
      <c r="E3759" s="2415"/>
      <c r="F3759" s="2415"/>
      <c r="G3759" s="2415"/>
      <c r="H3759" s="3450"/>
      <c r="I3759" s="2415"/>
      <c r="J3759" s="3439"/>
      <c r="K3759" s="3439"/>
      <c r="L3759" s="3450"/>
      <c r="M3759" s="265">
        <v>4000</v>
      </c>
      <c r="N3759" s="268"/>
      <c r="O3759" s="265" t="s">
        <v>1249</v>
      </c>
      <c r="P3759" s="265" t="s">
        <v>1250</v>
      </c>
      <c r="Q3759" s="272"/>
      <c r="R3759" s="272">
        <f>SUM(M3759/10)</f>
        <v>400</v>
      </c>
      <c r="S3759" s="272">
        <v>400</v>
      </c>
      <c r="T3759" s="272">
        <v>400</v>
      </c>
      <c r="U3759" s="272">
        <v>400</v>
      </c>
      <c r="V3759" s="272">
        <v>400</v>
      </c>
      <c r="W3759" s="272">
        <v>400</v>
      </c>
      <c r="X3759" s="272">
        <v>400</v>
      </c>
      <c r="Y3759" s="272">
        <v>400</v>
      </c>
      <c r="Z3759" s="272">
        <v>400</v>
      </c>
      <c r="AA3759" s="272">
        <v>400</v>
      </c>
      <c r="AB3759" s="272"/>
      <c r="AC3759" s="272">
        <f t="shared" si="603"/>
        <v>4000</v>
      </c>
    </row>
    <row r="3760" spans="1:29" x14ac:dyDescent="0.2">
      <c r="A3760" s="179"/>
      <c r="B3760" s="3446"/>
      <c r="C3760" s="3447"/>
      <c r="D3760" s="2415"/>
      <c r="E3760" s="2415"/>
      <c r="F3760" s="2415"/>
      <c r="G3760" s="2415"/>
      <c r="H3760" s="3450"/>
      <c r="I3760" s="2415"/>
      <c r="J3760" s="3439"/>
      <c r="K3760" s="3439"/>
      <c r="L3760" s="3450"/>
      <c r="M3760" s="265">
        <v>7000</v>
      </c>
      <c r="N3760" s="268"/>
      <c r="O3760" s="265" t="s">
        <v>1237</v>
      </c>
      <c r="P3760" s="265" t="s">
        <v>1238</v>
      </c>
      <c r="Q3760" s="272">
        <f>SUM(M3760/12)</f>
        <v>583.33333333333337</v>
      </c>
      <c r="R3760" s="272">
        <v>583.33333333333337</v>
      </c>
      <c r="S3760" s="272">
        <v>583.33333333333337</v>
      </c>
      <c r="T3760" s="272">
        <v>583.33333333333337</v>
      </c>
      <c r="U3760" s="272">
        <v>583.33333333333337</v>
      </c>
      <c r="V3760" s="272">
        <v>583.33333333333337</v>
      </c>
      <c r="W3760" s="272">
        <v>583.33333333333337</v>
      </c>
      <c r="X3760" s="272">
        <v>583.33333333333337</v>
      </c>
      <c r="Y3760" s="272">
        <v>583.33333333333337</v>
      </c>
      <c r="Z3760" s="272">
        <v>583.33333333333337</v>
      </c>
      <c r="AA3760" s="272">
        <v>583.33333333333337</v>
      </c>
      <c r="AB3760" s="272">
        <v>583.33333333333337</v>
      </c>
      <c r="AC3760" s="272">
        <f t="shared" si="603"/>
        <v>6999.9999999999991</v>
      </c>
    </row>
    <row r="3761" spans="1:29" x14ac:dyDescent="0.2">
      <c r="A3761" s="179"/>
      <c r="B3761" s="3446"/>
      <c r="C3761" s="3447"/>
      <c r="D3761" s="2415"/>
      <c r="E3761" s="2415"/>
      <c r="F3761" s="2415"/>
      <c r="G3761" s="2415"/>
      <c r="H3761" s="3450"/>
      <c r="I3761" s="2415"/>
      <c r="J3761" s="3439"/>
      <c r="K3761" s="3439"/>
      <c r="L3761" s="3450"/>
      <c r="M3761" s="265">
        <v>27000</v>
      </c>
      <c r="N3761" s="268"/>
      <c r="O3761" s="265" t="s">
        <v>1239</v>
      </c>
      <c r="P3761" s="265" t="s">
        <v>1240</v>
      </c>
      <c r="Q3761" s="272">
        <f>SUM(M3761/12)</f>
        <v>2250</v>
      </c>
      <c r="R3761" s="272">
        <v>2250</v>
      </c>
      <c r="S3761" s="272">
        <v>2250</v>
      </c>
      <c r="T3761" s="272">
        <v>2250</v>
      </c>
      <c r="U3761" s="272">
        <v>2250</v>
      </c>
      <c r="V3761" s="272">
        <v>2250</v>
      </c>
      <c r="W3761" s="272">
        <v>2250</v>
      </c>
      <c r="X3761" s="272">
        <v>2250</v>
      </c>
      <c r="Y3761" s="272">
        <v>2250</v>
      </c>
      <c r="Z3761" s="272">
        <v>2250</v>
      </c>
      <c r="AA3761" s="272">
        <v>2250</v>
      </c>
      <c r="AB3761" s="272">
        <v>2250</v>
      </c>
      <c r="AC3761" s="272">
        <f t="shared" si="603"/>
        <v>27000</v>
      </c>
    </row>
    <row r="3762" spans="1:29" x14ac:dyDescent="0.2">
      <c r="A3762" s="179"/>
      <c r="B3762" s="3446"/>
      <c r="C3762" s="3447"/>
      <c r="D3762" s="2415"/>
      <c r="E3762" s="2415"/>
      <c r="F3762" s="2415"/>
      <c r="G3762" s="2415"/>
      <c r="H3762" s="3450"/>
      <c r="I3762" s="2415"/>
      <c r="J3762" s="3439"/>
      <c r="K3762" s="3439"/>
      <c r="L3762" s="3450"/>
      <c r="M3762" s="265">
        <v>3000</v>
      </c>
      <c r="N3762" s="268"/>
      <c r="O3762" s="265" t="s">
        <v>1581</v>
      </c>
      <c r="P3762" s="265" t="s">
        <v>1582</v>
      </c>
      <c r="Q3762" s="272"/>
      <c r="R3762" s="272"/>
      <c r="S3762" s="272">
        <v>1000</v>
      </c>
      <c r="T3762" s="272"/>
      <c r="U3762" s="272"/>
      <c r="V3762" s="272">
        <v>1000</v>
      </c>
      <c r="W3762" s="272"/>
      <c r="X3762" s="272">
        <v>1000</v>
      </c>
      <c r="Y3762" s="272"/>
      <c r="Z3762" s="272"/>
      <c r="AA3762" s="272"/>
      <c r="AB3762" s="272"/>
      <c r="AC3762" s="272">
        <f t="shared" si="603"/>
        <v>3000</v>
      </c>
    </row>
    <row r="3763" spans="1:29" x14ac:dyDescent="0.2">
      <c r="A3763" s="179"/>
      <c r="B3763" s="3446"/>
      <c r="C3763" s="3447"/>
      <c r="D3763" s="2415"/>
      <c r="E3763" s="2415"/>
      <c r="F3763" s="2415"/>
      <c r="G3763" s="2415"/>
      <c r="H3763" s="3450"/>
      <c r="I3763" s="2415"/>
      <c r="J3763" s="3439"/>
      <c r="K3763" s="3439"/>
      <c r="L3763" s="3450"/>
      <c r="M3763" s="265">
        <v>96600</v>
      </c>
      <c r="N3763" s="268"/>
      <c r="O3763" s="265" t="s">
        <v>1330</v>
      </c>
      <c r="P3763" s="265" t="s">
        <v>1331</v>
      </c>
      <c r="Q3763" s="272">
        <f>SUM(M3763/12)</f>
        <v>8050</v>
      </c>
      <c r="R3763" s="272">
        <v>8050</v>
      </c>
      <c r="S3763" s="272">
        <v>8050</v>
      </c>
      <c r="T3763" s="272">
        <v>8050</v>
      </c>
      <c r="U3763" s="272">
        <v>8050</v>
      </c>
      <c r="V3763" s="272">
        <v>8050</v>
      </c>
      <c r="W3763" s="272">
        <v>8050</v>
      </c>
      <c r="X3763" s="272">
        <v>8050</v>
      </c>
      <c r="Y3763" s="272">
        <v>8050</v>
      </c>
      <c r="Z3763" s="272">
        <v>8050</v>
      </c>
      <c r="AA3763" s="272">
        <v>8050</v>
      </c>
      <c r="AB3763" s="272">
        <v>8050</v>
      </c>
      <c r="AC3763" s="272">
        <f t="shared" si="603"/>
        <v>96600</v>
      </c>
    </row>
    <row r="3764" spans="1:29" x14ac:dyDescent="0.2">
      <c r="A3764" s="179"/>
      <c r="B3764" s="3446"/>
      <c r="C3764" s="3447"/>
      <c r="D3764" s="2415"/>
      <c r="E3764" s="2415"/>
      <c r="F3764" s="2415"/>
      <c r="G3764" s="2415"/>
      <c r="H3764" s="3450"/>
      <c r="I3764" s="2415"/>
      <c r="J3764" s="3439"/>
      <c r="K3764" s="3439"/>
      <c r="L3764" s="3450"/>
      <c r="M3764" s="265">
        <v>8370</v>
      </c>
      <c r="N3764" s="268"/>
      <c r="O3764" s="265" t="s">
        <v>1332</v>
      </c>
      <c r="P3764" s="265" t="s">
        <v>1333</v>
      </c>
      <c r="Q3764" s="272">
        <f>SUM(M3764/12)</f>
        <v>697.5</v>
      </c>
      <c r="R3764" s="272">
        <v>697.5</v>
      </c>
      <c r="S3764" s="272">
        <v>697.5</v>
      </c>
      <c r="T3764" s="272">
        <v>697.5</v>
      </c>
      <c r="U3764" s="272">
        <v>697.5</v>
      </c>
      <c r="V3764" s="272">
        <v>697.5</v>
      </c>
      <c r="W3764" s="272">
        <v>697.5</v>
      </c>
      <c r="X3764" s="272">
        <v>697.5</v>
      </c>
      <c r="Y3764" s="272">
        <v>697.5</v>
      </c>
      <c r="Z3764" s="272">
        <v>697.5</v>
      </c>
      <c r="AA3764" s="272">
        <v>697.5</v>
      </c>
      <c r="AB3764" s="272">
        <v>697.5</v>
      </c>
      <c r="AC3764" s="272">
        <f t="shared" si="603"/>
        <v>8370</v>
      </c>
    </row>
    <row r="3765" spans="1:29" x14ac:dyDescent="0.2">
      <c r="A3765" s="179"/>
      <c r="B3765" s="3442" t="s">
        <v>1619</v>
      </c>
      <c r="C3765" s="3442"/>
      <c r="D3765" s="3442"/>
      <c r="E3765" s="3442"/>
      <c r="F3765" s="3442"/>
      <c r="G3765" s="3442"/>
      <c r="H3765" s="3442"/>
      <c r="I3765" s="3442"/>
      <c r="J3765" s="3442"/>
      <c r="K3765" s="3442"/>
      <c r="L3765" s="3442"/>
      <c r="M3765" s="266">
        <f>SUM(M3748:M3764)</f>
        <v>764729</v>
      </c>
      <c r="N3765" s="265">
        <f>SUM(N3747:N3764)</f>
        <v>0</v>
      </c>
      <c r="O3765" s="266"/>
      <c r="P3765" s="267"/>
      <c r="Q3765" s="271">
        <v>63727.416666666679</v>
      </c>
      <c r="R3765" s="271">
        <v>63727.416666666679</v>
      </c>
      <c r="S3765" s="271">
        <v>63727.416666666679</v>
      </c>
      <c r="T3765" s="271">
        <v>63727.416666666679</v>
      </c>
      <c r="U3765" s="271">
        <v>63727.416666666679</v>
      </c>
      <c r="V3765" s="271">
        <v>63727.416666666679</v>
      </c>
      <c r="W3765" s="271">
        <v>63727.416666666679</v>
      </c>
      <c r="X3765" s="271">
        <v>63727.416666666679</v>
      </c>
      <c r="Y3765" s="271">
        <v>63727.416666666679</v>
      </c>
      <c r="Z3765" s="271">
        <v>63727.416666666679</v>
      </c>
      <c r="AA3765" s="271">
        <v>63727.416666666679</v>
      </c>
      <c r="AB3765" s="271">
        <v>63727.416666666679</v>
      </c>
      <c r="AC3765" s="272">
        <f t="shared" si="603"/>
        <v>764729</v>
      </c>
    </row>
    <row r="3766" spans="1:29" x14ac:dyDescent="0.2">
      <c r="A3766" s="179"/>
      <c r="B3766" s="3443" t="s">
        <v>1620</v>
      </c>
      <c r="C3766" s="3440" t="s">
        <v>1621</v>
      </c>
      <c r="D3766" s="2415"/>
      <c r="E3766" s="2415" t="s">
        <v>1517</v>
      </c>
      <c r="F3766" s="2415" t="s">
        <v>165</v>
      </c>
      <c r="G3766" s="2415" t="s">
        <v>1622</v>
      </c>
      <c r="H3766" s="3440" t="s">
        <v>1623</v>
      </c>
      <c r="I3766" s="2415" t="s">
        <v>1519</v>
      </c>
      <c r="J3766" s="3439">
        <v>70</v>
      </c>
      <c r="K3766" s="3439">
        <v>214849</v>
      </c>
      <c r="L3766" s="3469" t="s">
        <v>1624</v>
      </c>
      <c r="M3766" s="268"/>
      <c r="N3766" s="268"/>
      <c r="O3766" s="3472" t="s">
        <v>51</v>
      </c>
      <c r="P3766" s="3472"/>
      <c r="Q3766" s="271">
        <v>5</v>
      </c>
      <c r="R3766" s="271">
        <v>6</v>
      </c>
      <c r="S3766" s="271">
        <v>6</v>
      </c>
      <c r="T3766" s="271">
        <v>6</v>
      </c>
      <c r="U3766" s="271">
        <v>6</v>
      </c>
      <c r="V3766" s="271">
        <v>5</v>
      </c>
      <c r="W3766" s="271">
        <v>6</v>
      </c>
      <c r="X3766" s="271">
        <v>6</v>
      </c>
      <c r="Y3766" s="271">
        <v>6</v>
      </c>
      <c r="Z3766" s="271">
        <v>6</v>
      </c>
      <c r="AA3766" s="271">
        <v>6</v>
      </c>
      <c r="AB3766" s="271">
        <v>6</v>
      </c>
      <c r="AC3766" s="271">
        <f>SUM(Q3766:AB3766)</f>
        <v>70</v>
      </c>
    </row>
    <row r="3767" spans="1:29" x14ac:dyDescent="0.2">
      <c r="A3767" s="179"/>
      <c r="B3767" s="3444"/>
      <c r="C3767" s="3440"/>
      <c r="D3767" s="2415"/>
      <c r="E3767" s="2415"/>
      <c r="F3767" s="2415"/>
      <c r="G3767" s="2415"/>
      <c r="H3767" s="3440"/>
      <c r="I3767" s="2415"/>
      <c r="J3767" s="3439"/>
      <c r="K3767" s="3439"/>
      <c r="L3767" s="3470"/>
      <c r="M3767" s="268"/>
      <c r="N3767" s="268"/>
      <c r="O3767" s="3472" t="s">
        <v>111</v>
      </c>
      <c r="P3767" s="3472"/>
      <c r="Q3767" s="271">
        <f t="shared" ref="Q3767:AC3767" si="607">SUM(Q3768:Q3774)</f>
        <v>1459.25</v>
      </c>
      <c r="R3767" s="271">
        <f>SUM(R3768:R3774)</f>
        <v>1808.1590909090905</v>
      </c>
      <c r="S3767" s="271">
        <f t="shared" si="607"/>
        <v>2068.159090909091</v>
      </c>
      <c r="T3767" s="271">
        <f t="shared" si="607"/>
        <v>2368.159090909091</v>
      </c>
      <c r="U3767" s="271">
        <f t="shared" si="607"/>
        <v>2068.159090909091</v>
      </c>
      <c r="V3767" s="271">
        <f t="shared" si="607"/>
        <v>2068.159090909091</v>
      </c>
      <c r="W3767" s="271">
        <f t="shared" si="607"/>
        <v>2368.159090909091</v>
      </c>
      <c r="X3767" s="271">
        <f t="shared" si="607"/>
        <v>2068.159090909091</v>
      </c>
      <c r="Y3767" s="271">
        <f t="shared" si="607"/>
        <v>2068.159090909091</v>
      </c>
      <c r="Z3767" s="271">
        <f t="shared" si="607"/>
        <v>2068.159090909091</v>
      </c>
      <c r="AA3767" s="271">
        <f t="shared" si="607"/>
        <v>2068.159090909091</v>
      </c>
      <c r="AB3767" s="271">
        <f t="shared" si="607"/>
        <v>2068.159090909091</v>
      </c>
      <c r="AC3767" s="271">
        <f t="shared" si="607"/>
        <v>24549</v>
      </c>
    </row>
    <row r="3768" spans="1:29" x14ac:dyDescent="0.2">
      <c r="A3768" s="179"/>
      <c r="B3768" s="3444"/>
      <c r="C3768" s="3440"/>
      <c r="D3768" s="2415"/>
      <c r="E3768" s="2415"/>
      <c r="F3768" s="2415"/>
      <c r="G3768" s="2415"/>
      <c r="H3768" s="3440"/>
      <c r="I3768" s="2415"/>
      <c r="J3768" s="3439"/>
      <c r="K3768" s="3439"/>
      <c r="L3768" s="3470"/>
      <c r="M3768" s="265">
        <v>2600</v>
      </c>
      <c r="N3768" s="265"/>
      <c r="O3768" s="265" t="s">
        <v>1235</v>
      </c>
      <c r="P3768" s="265" t="s">
        <v>1236</v>
      </c>
      <c r="Q3768" s="272">
        <v>0</v>
      </c>
      <c r="R3768" s="272"/>
      <c r="S3768" s="272">
        <f>SUM(M3768/10)</f>
        <v>260</v>
      </c>
      <c r="T3768" s="272">
        <v>260</v>
      </c>
      <c r="U3768" s="272">
        <v>260</v>
      </c>
      <c r="V3768" s="272">
        <v>260</v>
      </c>
      <c r="W3768" s="272">
        <v>260</v>
      </c>
      <c r="X3768" s="272">
        <v>260</v>
      </c>
      <c r="Y3768" s="272">
        <v>260</v>
      </c>
      <c r="Z3768" s="272">
        <v>260</v>
      </c>
      <c r="AA3768" s="272">
        <v>260</v>
      </c>
      <c r="AB3768" s="272">
        <v>260</v>
      </c>
      <c r="AC3768" s="272">
        <f>SUM(Q3768:AB3768)</f>
        <v>2600</v>
      </c>
    </row>
    <row r="3769" spans="1:29" x14ac:dyDescent="0.2">
      <c r="A3769" s="179"/>
      <c r="B3769" s="3444"/>
      <c r="C3769" s="3440"/>
      <c r="D3769" s="2415"/>
      <c r="E3769" s="2415"/>
      <c r="F3769" s="2415"/>
      <c r="G3769" s="2415"/>
      <c r="H3769" s="3440"/>
      <c r="I3769" s="2415"/>
      <c r="J3769" s="3439"/>
      <c r="K3769" s="3439"/>
      <c r="L3769" s="3470"/>
      <c r="M3769" s="265">
        <v>2050</v>
      </c>
      <c r="N3769" s="265"/>
      <c r="O3769" s="265" t="s">
        <v>1249</v>
      </c>
      <c r="P3769" s="265" t="s">
        <v>1250</v>
      </c>
      <c r="Q3769" s="272">
        <f>SUM(M3769/12)</f>
        <v>170.83333333333334</v>
      </c>
      <c r="R3769" s="272">
        <v>170.833333333333</v>
      </c>
      <c r="S3769" s="272">
        <v>170.83333333333334</v>
      </c>
      <c r="T3769" s="272">
        <v>170.83333333333334</v>
      </c>
      <c r="U3769" s="272">
        <v>170.83333333333334</v>
      </c>
      <c r="V3769" s="272">
        <v>170.83333333333334</v>
      </c>
      <c r="W3769" s="272">
        <v>170.83333333333334</v>
      </c>
      <c r="X3769" s="272">
        <v>170.83333333333334</v>
      </c>
      <c r="Y3769" s="272">
        <v>170.83333333333334</v>
      </c>
      <c r="Z3769" s="272">
        <v>170.83333333333334</v>
      </c>
      <c r="AA3769" s="272">
        <v>170.83333333333334</v>
      </c>
      <c r="AB3769" s="272">
        <v>170.83333333333334</v>
      </c>
      <c r="AC3769" s="272">
        <f t="shared" si="603"/>
        <v>2049.9999999999995</v>
      </c>
    </row>
    <row r="3770" spans="1:29" x14ac:dyDescent="0.2">
      <c r="A3770" s="179"/>
      <c r="B3770" s="3444"/>
      <c r="C3770" s="3440"/>
      <c r="D3770" s="2415"/>
      <c r="E3770" s="2415"/>
      <c r="F3770" s="2415"/>
      <c r="G3770" s="2415"/>
      <c r="H3770" s="3440"/>
      <c r="I3770" s="2415"/>
      <c r="J3770" s="3439"/>
      <c r="K3770" s="3439"/>
      <c r="L3770" s="3470"/>
      <c r="M3770" s="265">
        <v>1320</v>
      </c>
      <c r="N3770" s="265"/>
      <c r="O3770" s="265" t="s">
        <v>1237</v>
      </c>
      <c r="P3770" s="265" t="s">
        <v>1238</v>
      </c>
      <c r="Q3770" s="272">
        <f>SUM(M3770/12)</f>
        <v>110</v>
      </c>
      <c r="R3770" s="272">
        <v>110</v>
      </c>
      <c r="S3770" s="272">
        <v>110</v>
      </c>
      <c r="T3770" s="272">
        <v>110</v>
      </c>
      <c r="U3770" s="272">
        <v>110</v>
      </c>
      <c r="V3770" s="272">
        <v>110</v>
      </c>
      <c r="W3770" s="272">
        <v>110</v>
      </c>
      <c r="X3770" s="272">
        <v>110</v>
      </c>
      <c r="Y3770" s="272">
        <v>110</v>
      </c>
      <c r="Z3770" s="272">
        <v>110</v>
      </c>
      <c r="AA3770" s="272">
        <v>110</v>
      </c>
      <c r="AB3770" s="272">
        <v>110</v>
      </c>
      <c r="AC3770" s="272">
        <f t="shared" si="603"/>
        <v>1320</v>
      </c>
    </row>
    <row r="3771" spans="1:29" x14ac:dyDescent="0.2">
      <c r="A3771" s="179"/>
      <c r="B3771" s="3444"/>
      <c r="C3771" s="3440"/>
      <c r="D3771" s="2415"/>
      <c r="E3771" s="2415"/>
      <c r="F3771" s="2415"/>
      <c r="G3771" s="2415"/>
      <c r="H3771" s="3440"/>
      <c r="I3771" s="2415"/>
      <c r="J3771" s="3439"/>
      <c r="K3771" s="3439"/>
      <c r="L3771" s="3470"/>
      <c r="M3771" s="265">
        <v>11141</v>
      </c>
      <c r="N3771" s="265"/>
      <c r="O3771" s="265" t="s">
        <v>1239</v>
      </c>
      <c r="P3771" s="265" t="s">
        <v>1240</v>
      </c>
      <c r="Q3771" s="272">
        <f>SUM(M3771/12)</f>
        <v>928.41666666666663</v>
      </c>
      <c r="R3771" s="272">
        <v>928.41666666666663</v>
      </c>
      <c r="S3771" s="272">
        <v>928.41666666666663</v>
      </c>
      <c r="T3771" s="272">
        <v>928.41666666666663</v>
      </c>
      <c r="U3771" s="272">
        <v>928.41666666666663</v>
      </c>
      <c r="V3771" s="272">
        <v>928.41666666666663</v>
      </c>
      <c r="W3771" s="272">
        <v>928.41666666666663</v>
      </c>
      <c r="X3771" s="272">
        <v>928.41666666666663</v>
      </c>
      <c r="Y3771" s="272">
        <v>928.41666666666663</v>
      </c>
      <c r="Z3771" s="272">
        <v>928.41666666666663</v>
      </c>
      <c r="AA3771" s="272">
        <v>928.41666666666663</v>
      </c>
      <c r="AB3771" s="272">
        <v>928.41666666666663</v>
      </c>
      <c r="AC3771" s="272">
        <f t="shared" si="603"/>
        <v>11140.999999999998</v>
      </c>
    </row>
    <row r="3772" spans="1:29" x14ac:dyDescent="0.2">
      <c r="A3772" s="179"/>
      <c r="B3772" s="3444"/>
      <c r="C3772" s="3440"/>
      <c r="D3772" s="2415"/>
      <c r="E3772" s="2415"/>
      <c r="F3772" s="2415"/>
      <c r="G3772" s="2415"/>
      <c r="H3772" s="3440"/>
      <c r="I3772" s="2415"/>
      <c r="J3772" s="3439"/>
      <c r="K3772" s="3439"/>
      <c r="L3772" s="3470"/>
      <c r="M3772" s="265">
        <v>3838</v>
      </c>
      <c r="N3772" s="265"/>
      <c r="O3772" s="265" t="s">
        <v>1261</v>
      </c>
      <c r="P3772" s="265" t="s">
        <v>1262</v>
      </c>
      <c r="Q3772" s="272">
        <v>0</v>
      </c>
      <c r="R3772" s="272">
        <f>$M$3772/11</f>
        <v>348.90909090909093</v>
      </c>
      <c r="S3772" s="272">
        <f t="shared" ref="S3772:AB3772" si="608">$M$3772/11</f>
        <v>348.90909090909093</v>
      </c>
      <c r="T3772" s="272">
        <f t="shared" si="608"/>
        <v>348.90909090909093</v>
      </c>
      <c r="U3772" s="272">
        <f t="shared" si="608"/>
        <v>348.90909090909093</v>
      </c>
      <c r="V3772" s="272">
        <f t="shared" si="608"/>
        <v>348.90909090909093</v>
      </c>
      <c r="W3772" s="272">
        <f t="shared" si="608"/>
        <v>348.90909090909093</v>
      </c>
      <c r="X3772" s="272">
        <f t="shared" si="608"/>
        <v>348.90909090909093</v>
      </c>
      <c r="Y3772" s="272">
        <f t="shared" si="608"/>
        <v>348.90909090909093</v>
      </c>
      <c r="Z3772" s="272">
        <f t="shared" si="608"/>
        <v>348.90909090909093</v>
      </c>
      <c r="AA3772" s="272">
        <f t="shared" si="608"/>
        <v>348.90909090909093</v>
      </c>
      <c r="AB3772" s="272">
        <f t="shared" si="608"/>
        <v>348.90909090909093</v>
      </c>
      <c r="AC3772" s="272">
        <f t="shared" ref="AC3772:AC3776" si="609">SUM(Q3772:AB3772)</f>
        <v>3838.0000000000005</v>
      </c>
    </row>
    <row r="3773" spans="1:29" x14ac:dyDescent="0.2">
      <c r="A3773" s="179"/>
      <c r="B3773" s="3444"/>
      <c r="C3773" s="3440"/>
      <c r="D3773" s="2415"/>
      <c r="E3773" s="2415"/>
      <c r="F3773" s="2415"/>
      <c r="G3773" s="2415"/>
      <c r="H3773" s="3440"/>
      <c r="I3773" s="2415"/>
      <c r="J3773" s="3439"/>
      <c r="K3773" s="3439"/>
      <c r="L3773" s="3470"/>
      <c r="M3773" s="265">
        <v>3000</v>
      </c>
      <c r="N3773" s="265"/>
      <c r="O3773" s="265" t="s">
        <v>1597</v>
      </c>
      <c r="P3773" s="265" t="s">
        <v>1595</v>
      </c>
      <c r="Q3773" s="272">
        <f>SUM(M3773/12)</f>
        <v>250</v>
      </c>
      <c r="R3773" s="272">
        <v>250</v>
      </c>
      <c r="S3773" s="272">
        <v>250</v>
      </c>
      <c r="T3773" s="272">
        <v>250</v>
      </c>
      <c r="U3773" s="272">
        <v>250</v>
      </c>
      <c r="V3773" s="272">
        <v>250</v>
      </c>
      <c r="W3773" s="272">
        <v>250</v>
      </c>
      <c r="X3773" s="272">
        <v>250</v>
      </c>
      <c r="Y3773" s="272">
        <v>250</v>
      </c>
      <c r="Z3773" s="272">
        <v>250</v>
      </c>
      <c r="AA3773" s="272">
        <v>250</v>
      </c>
      <c r="AB3773" s="272">
        <v>250</v>
      </c>
      <c r="AC3773" s="272">
        <f t="shared" si="609"/>
        <v>3000</v>
      </c>
    </row>
    <row r="3774" spans="1:29" x14ac:dyDescent="0.2">
      <c r="A3774" s="179"/>
      <c r="B3774" s="3445"/>
      <c r="C3774" s="3440"/>
      <c r="D3774" s="2415"/>
      <c r="E3774" s="2415"/>
      <c r="F3774" s="2415"/>
      <c r="G3774" s="2415"/>
      <c r="H3774" s="3440"/>
      <c r="I3774" s="2415"/>
      <c r="J3774" s="3439"/>
      <c r="K3774" s="3439"/>
      <c r="L3774" s="3471"/>
      <c r="M3774" s="265">
        <v>600</v>
      </c>
      <c r="N3774" s="265"/>
      <c r="O3774" s="265" t="s">
        <v>1263</v>
      </c>
      <c r="P3774" s="265" t="s">
        <v>1264</v>
      </c>
      <c r="Q3774" s="272">
        <v>0</v>
      </c>
      <c r="R3774" s="272"/>
      <c r="S3774" s="272"/>
      <c r="T3774" s="272">
        <v>300</v>
      </c>
      <c r="U3774" s="272"/>
      <c r="V3774" s="272"/>
      <c r="W3774" s="272">
        <v>300</v>
      </c>
      <c r="X3774" s="272"/>
      <c r="Y3774" s="272"/>
      <c r="Z3774" s="272"/>
      <c r="AA3774" s="272"/>
      <c r="AB3774" s="272"/>
      <c r="AC3774" s="272">
        <f t="shared" si="609"/>
        <v>600</v>
      </c>
    </row>
    <row r="3775" spans="1:29" x14ac:dyDescent="0.2">
      <c r="A3775" s="179"/>
      <c r="B3775" s="3442" t="s">
        <v>1625</v>
      </c>
      <c r="C3775" s="3442"/>
      <c r="D3775" s="3442"/>
      <c r="E3775" s="3442"/>
      <c r="F3775" s="3442"/>
      <c r="G3775" s="3442"/>
      <c r="H3775" s="3442"/>
      <c r="I3775" s="3442"/>
      <c r="J3775" s="3442"/>
      <c r="K3775" s="3442"/>
      <c r="L3775" s="3442"/>
      <c r="M3775" s="269">
        <f>SUM(M3768:M3774)</f>
        <v>24549</v>
      </c>
      <c r="N3775" s="269">
        <f>SUM(N3768:N3772)</f>
        <v>0</v>
      </c>
      <c r="O3775" s="1140"/>
      <c r="P3775" s="1140"/>
      <c r="Q3775" s="255">
        <f t="shared" ref="Q3775:AC3775" si="610">SUM(Q3768:Q3774)</f>
        <v>1459.25</v>
      </c>
      <c r="R3775" s="255">
        <f>SUM(R3768:R3774)</f>
        <v>1808.1590909090905</v>
      </c>
      <c r="S3775" s="255">
        <f t="shared" si="610"/>
        <v>2068.159090909091</v>
      </c>
      <c r="T3775" s="255">
        <f t="shared" si="610"/>
        <v>2368.159090909091</v>
      </c>
      <c r="U3775" s="255">
        <f t="shared" si="610"/>
        <v>2068.159090909091</v>
      </c>
      <c r="V3775" s="255">
        <f t="shared" si="610"/>
        <v>2068.159090909091</v>
      </c>
      <c r="W3775" s="255">
        <f t="shared" si="610"/>
        <v>2368.159090909091</v>
      </c>
      <c r="X3775" s="255">
        <f t="shared" si="610"/>
        <v>2068.159090909091</v>
      </c>
      <c r="Y3775" s="255">
        <f t="shared" si="610"/>
        <v>2068.159090909091</v>
      </c>
      <c r="Z3775" s="255">
        <f t="shared" si="610"/>
        <v>2068.159090909091</v>
      </c>
      <c r="AA3775" s="255">
        <f t="shared" si="610"/>
        <v>2068.159090909091</v>
      </c>
      <c r="AB3775" s="255">
        <f t="shared" si="610"/>
        <v>2068.159090909091</v>
      </c>
      <c r="AC3775" s="255">
        <f t="shared" si="610"/>
        <v>24549</v>
      </c>
    </row>
    <row r="3776" spans="1:29" x14ac:dyDescent="0.2">
      <c r="A3776" s="179"/>
      <c r="B3776" s="3442" t="s">
        <v>1626</v>
      </c>
      <c r="C3776" s="3442"/>
      <c r="D3776" s="1140"/>
      <c r="E3776" s="256"/>
      <c r="F3776" s="1140"/>
      <c r="G3776" s="1140"/>
      <c r="H3776" s="1140"/>
      <c r="I3776" s="1141"/>
      <c r="J3776" s="255"/>
      <c r="K3776" s="269">
        <v>25791178</v>
      </c>
      <c r="L3776" s="1140"/>
      <c r="M3776" s="269">
        <f>+M3635+M3641+M3733+M3745+M3765+M3775</f>
        <v>23699139</v>
      </c>
      <c r="N3776" s="269">
        <f>+N3635+N3641+N3733+N3745+N3765+N3775</f>
        <v>2092039</v>
      </c>
      <c r="O3776" s="1140"/>
      <c r="P3776" s="1140"/>
      <c r="Q3776" s="255">
        <v>2149264.8333333354</v>
      </c>
      <c r="R3776" s="255">
        <v>2149264.8333333354</v>
      </c>
      <c r="S3776" s="255">
        <v>2149264.8333333354</v>
      </c>
      <c r="T3776" s="255">
        <v>2149264.8333333354</v>
      </c>
      <c r="U3776" s="255">
        <v>2149264.8333333354</v>
      </c>
      <c r="V3776" s="255">
        <v>2149264.8333333354</v>
      </c>
      <c r="W3776" s="255">
        <v>2149264.8333333354</v>
      </c>
      <c r="X3776" s="255">
        <v>2149264.8333333354</v>
      </c>
      <c r="Y3776" s="255">
        <v>2149264.8333333354</v>
      </c>
      <c r="Z3776" s="255">
        <v>2149264.8333333354</v>
      </c>
      <c r="AA3776" s="255">
        <v>2149264.8333333354</v>
      </c>
      <c r="AB3776" s="255">
        <v>2149264.8333333354</v>
      </c>
      <c r="AC3776" s="255">
        <f t="shared" si="609"/>
        <v>25791178.000000026</v>
      </c>
    </row>
    <row r="3777" spans="1:29" x14ac:dyDescent="0.2">
      <c r="A3777" s="179"/>
      <c r="B3777" s="35"/>
      <c r="C3777" s="35"/>
      <c r="D3777" s="35"/>
      <c r="E3777" s="35"/>
      <c r="F3777" s="35"/>
      <c r="G3777" s="35"/>
      <c r="H3777" s="35"/>
      <c r="I3777" s="35"/>
      <c r="J3777" s="35"/>
      <c r="K3777" s="769">
        <f>SUM(K3766,K3746,K3734,K3642,K3636,K3610,)</f>
        <v>38393524.449999988</v>
      </c>
      <c r="L3777" s="35"/>
      <c r="M3777" s="35"/>
      <c r="N3777" s="35"/>
      <c r="O3777" s="35"/>
      <c r="P3777" s="35"/>
      <c r="Q3777" s="35"/>
      <c r="R3777" s="35"/>
      <c r="S3777" s="35"/>
      <c r="T3777" s="35"/>
      <c r="U3777" s="35"/>
      <c r="V3777" s="35"/>
      <c r="W3777" s="35"/>
      <c r="X3777" s="35"/>
      <c r="Y3777" s="35"/>
      <c r="Z3777" s="35"/>
      <c r="AA3777" s="102"/>
      <c r="AB3777" s="35"/>
      <c r="AC3777" s="183"/>
    </row>
    <row r="3778" spans="1:29" ht="22.5" x14ac:dyDescent="0.2">
      <c r="A3778" s="179"/>
      <c r="B3778" s="1013" t="s">
        <v>6</v>
      </c>
      <c r="C3778" s="2671" t="s">
        <v>1510</v>
      </c>
      <c r="D3778" s="2672"/>
      <c r="E3778" s="2672"/>
      <c r="F3778" s="2672"/>
      <c r="G3778" s="2672"/>
      <c r="H3778" s="2672"/>
      <c r="I3778" s="2672"/>
      <c r="J3778" s="2672"/>
      <c r="K3778" s="2672"/>
      <c r="L3778" s="2672"/>
      <c r="M3778" s="2672"/>
      <c r="N3778" s="2672"/>
      <c r="O3778" s="2672"/>
      <c r="P3778" s="2672"/>
      <c r="Q3778" s="2672"/>
      <c r="R3778" s="2672"/>
      <c r="S3778" s="2672"/>
      <c r="T3778" s="2672"/>
      <c r="U3778" s="2672"/>
      <c r="V3778" s="2672"/>
      <c r="W3778" s="2672"/>
      <c r="X3778" s="2672"/>
      <c r="Y3778" s="2672"/>
      <c r="Z3778" s="2672"/>
      <c r="AA3778" s="2672"/>
      <c r="AB3778" s="2672"/>
      <c r="AC3778" s="3002"/>
    </row>
    <row r="3779" spans="1:29" x14ac:dyDescent="0.2">
      <c r="A3779" s="179"/>
      <c r="B3779" s="1256" t="s">
        <v>8</v>
      </c>
      <c r="C3779" s="3456" t="s">
        <v>1627</v>
      </c>
      <c r="D3779" s="3457"/>
      <c r="E3779" s="3457"/>
      <c r="F3779" s="3457"/>
      <c r="G3779" s="3457"/>
      <c r="H3779" s="3457"/>
      <c r="I3779" s="3457"/>
      <c r="J3779" s="3457"/>
      <c r="K3779" s="3457"/>
      <c r="L3779" s="3457"/>
      <c r="M3779" s="3457"/>
      <c r="N3779" s="3457"/>
      <c r="O3779" s="3457"/>
      <c r="P3779" s="3457"/>
      <c r="Q3779" s="3457"/>
      <c r="R3779" s="3457"/>
      <c r="S3779" s="3457"/>
      <c r="T3779" s="3457"/>
      <c r="U3779" s="3457"/>
      <c r="V3779" s="3457"/>
      <c r="W3779" s="3457"/>
      <c r="X3779" s="3457"/>
      <c r="Y3779" s="3457"/>
      <c r="Z3779" s="3457"/>
      <c r="AA3779" s="3457"/>
      <c r="AB3779" s="3457"/>
      <c r="AC3779" s="3458"/>
    </row>
    <row r="3780" spans="1:29" ht="22.5" x14ac:dyDescent="0.2">
      <c r="A3780" s="179"/>
      <c r="B3780" s="1013" t="s">
        <v>11</v>
      </c>
      <c r="C3780" s="2671" t="s">
        <v>12</v>
      </c>
      <c r="D3780" s="2672"/>
      <c r="E3780" s="2672"/>
      <c r="F3780" s="2672"/>
      <c r="G3780" s="2672"/>
      <c r="H3780" s="2672"/>
      <c r="I3780" s="2672"/>
      <c r="J3780" s="2672"/>
      <c r="K3780" s="2672"/>
      <c r="L3780" s="2672"/>
      <c r="M3780" s="2672"/>
      <c r="N3780" s="2672"/>
      <c r="O3780" s="2672"/>
      <c r="P3780" s="2672"/>
      <c r="Q3780" s="2672"/>
      <c r="R3780" s="2672"/>
      <c r="S3780" s="2672"/>
      <c r="T3780" s="2672"/>
      <c r="U3780" s="2672"/>
      <c r="V3780" s="2672"/>
      <c r="W3780" s="2672"/>
      <c r="X3780" s="2672"/>
      <c r="Y3780" s="2672"/>
      <c r="Z3780" s="2672"/>
      <c r="AA3780" s="2672"/>
      <c r="AB3780" s="2672"/>
      <c r="AC3780" s="3002"/>
    </row>
    <row r="3781" spans="1:29" x14ac:dyDescent="0.2">
      <c r="A3781" s="179"/>
      <c r="B3781" s="2840" t="s">
        <v>13</v>
      </c>
      <c r="C3781" s="3244">
        <v>9002</v>
      </c>
      <c r="D3781" s="2918" t="s">
        <v>14</v>
      </c>
      <c r="E3781" s="2919"/>
      <c r="F3781" s="2919"/>
      <c r="G3781" s="2919"/>
      <c r="H3781" s="2919"/>
      <c r="I3781" s="2919"/>
      <c r="J3781" s="2919"/>
      <c r="K3781" s="2919"/>
      <c r="L3781" s="2919"/>
      <c r="M3781" s="2919"/>
      <c r="N3781" s="2919"/>
      <c r="O3781" s="2919"/>
      <c r="P3781" s="2919"/>
      <c r="Q3781" s="2919"/>
      <c r="R3781" s="2919"/>
      <c r="S3781" s="533"/>
      <c r="T3781" s="533"/>
      <c r="U3781" s="533"/>
      <c r="V3781" s="533"/>
      <c r="W3781" s="534"/>
      <c r="X3781" s="3461" t="s">
        <v>15</v>
      </c>
      <c r="Y3781" s="3462"/>
      <c r="Z3781" s="3462"/>
      <c r="AA3781" s="3463"/>
      <c r="AB3781" s="3464" t="s">
        <v>16</v>
      </c>
      <c r="AC3781" s="3465"/>
    </row>
    <row r="3782" spans="1:29" x14ac:dyDescent="0.2">
      <c r="A3782" s="179"/>
      <c r="B3782" s="2840"/>
      <c r="C3782" s="3248"/>
      <c r="D3782" s="3459"/>
      <c r="E3782" s="3460"/>
      <c r="F3782" s="3460"/>
      <c r="G3782" s="3460"/>
      <c r="H3782" s="3460"/>
      <c r="I3782" s="3460"/>
      <c r="J3782" s="3460"/>
      <c r="K3782" s="3460"/>
      <c r="L3782" s="3460"/>
      <c r="M3782" s="3460"/>
      <c r="N3782" s="3460"/>
      <c r="O3782" s="3460"/>
      <c r="P3782" s="3460"/>
      <c r="Q3782" s="3460"/>
      <c r="R3782" s="3460"/>
      <c r="S3782" s="535"/>
      <c r="T3782" s="535"/>
      <c r="U3782" s="535"/>
      <c r="V3782" s="535"/>
      <c r="W3782" s="536"/>
      <c r="X3782" s="3466" t="s">
        <v>19</v>
      </c>
      <c r="Y3782" s="3467"/>
      <c r="Z3782" s="3467"/>
      <c r="AA3782" s="3468"/>
      <c r="AB3782" s="3464"/>
      <c r="AC3782" s="3465"/>
    </row>
    <row r="3783" spans="1:29" x14ac:dyDescent="0.2">
      <c r="A3783" s="179"/>
      <c r="B3783" s="2840" t="s">
        <v>18</v>
      </c>
      <c r="C3783" s="3247">
        <v>3.9999989999999999</v>
      </c>
      <c r="D3783" s="2995" t="s">
        <v>163</v>
      </c>
      <c r="E3783" s="2996"/>
      <c r="F3783" s="2996"/>
      <c r="G3783" s="2996"/>
      <c r="H3783" s="2996"/>
      <c r="I3783" s="2996"/>
      <c r="J3783" s="2996"/>
      <c r="K3783" s="2996"/>
      <c r="L3783" s="2996"/>
      <c r="M3783" s="2996"/>
      <c r="N3783" s="2996"/>
      <c r="O3783" s="2996"/>
      <c r="P3783" s="2996"/>
      <c r="Q3783" s="2996"/>
      <c r="R3783" s="2996"/>
      <c r="S3783" s="298"/>
      <c r="T3783" s="298"/>
      <c r="U3783" s="298"/>
      <c r="V3783" s="298"/>
      <c r="W3783" s="537"/>
      <c r="X3783" s="3461" t="s">
        <v>15</v>
      </c>
      <c r="Y3783" s="3462"/>
      <c r="Z3783" s="3462"/>
      <c r="AA3783" s="3463"/>
      <c r="AB3783" s="3481" t="s">
        <v>16</v>
      </c>
      <c r="AC3783" s="3481"/>
    </row>
    <row r="3784" spans="1:29" x14ac:dyDescent="0.2">
      <c r="A3784" s="179"/>
      <c r="B3784" s="2840"/>
      <c r="C3784" s="3249"/>
      <c r="D3784" s="2997"/>
      <c r="E3784" s="2998"/>
      <c r="F3784" s="2998"/>
      <c r="G3784" s="2998"/>
      <c r="H3784" s="2998"/>
      <c r="I3784" s="2998"/>
      <c r="J3784" s="2998"/>
      <c r="K3784" s="2998"/>
      <c r="L3784" s="2998"/>
      <c r="M3784" s="2998"/>
      <c r="N3784" s="2998"/>
      <c r="O3784" s="2998"/>
      <c r="P3784" s="2998"/>
      <c r="Q3784" s="2998"/>
      <c r="R3784" s="2998"/>
      <c r="S3784" s="300"/>
      <c r="T3784" s="300"/>
      <c r="U3784" s="300"/>
      <c r="V3784" s="300"/>
      <c r="W3784" s="538"/>
      <c r="X3784" s="3466" t="s">
        <v>19</v>
      </c>
      <c r="Y3784" s="3467"/>
      <c r="Z3784" s="3467"/>
      <c r="AA3784" s="3468"/>
      <c r="AB3784" s="3481"/>
      <c r="AC3784" s="3481"/>
    </row>
    <row r="3785" spans="1:29" x14ac:dyDescent="0.2">
      <c r="A3785" s="179"/>
      <c r="B3785" s="2999" t="s">
        <v>20</v>
      </c>
      <c r="C3785" s="2847" t="s">
        <v>21</v>
      </c>
      <c r="D3785" s="2847" t="s">
        <v>22</v>
      </c>
      <c r="E3785" s="2847" t="s">
        <v>23</v>
      </c>
      <c r="F3785" s="2847" t="s">
        <v>24</v>
      </c>
      <c r="G3785" s="2847" t="s">
        <v>25</v>
      </c>
      <c r="H3785" s="2847" t="s">
        <v>26</v>
      </c>
      <c r="I3785" s="2847" t="s">
        <v>27</v>
      </c>
      <c r="J3785" s="2986" t="s">
        <v>28</v>
      </c>
      <c r="K3785" s="2987"/>
      <c r="L3785" s="2986" t="s">
        <v>1628</v>
      </c>
      <c r="M3785" s="2987"/>
      <c r="N3785" s="2988" t="s">
        <v>29</v>
      </c>
      <c r="O3785" s="2986" t="s">
        <v>30</v>
      </c>
      <c r="P3785" s="2987"/>
      <c r="Q3785" s="3476" t="s">
        <v>31</v>
      </c>
      <c r="R3785" s="3477"/>
      <c r="S3785" s="3477"/>
      <c r="T3785" s="3477"/>
      <c r="U3785" s="3477"/>
      <c r="V3785" s="3477"/>
      <c r="W3785" s="3477"/>
      <c r="X3785" s="3477"/>
      <c r="Y3785" s="3477"/>
      <c r="Z3785" s="3477"/>
      <c r="AA3785" s="3477"/>
      <c r="AB3785" s="3478"/>
      <c r="AC3785" s="3479" t="s">
        <v>32</v>
      </c>
    </row>
    <row r="3786" spans="1:29" x14ac:dyDescent="0.2">
      <c r="A3786" s="179"/>
      <c r="B3786" s="2999"/>
      <c r="C3786" s="2847"/>
      <c r="D3786" s="2847"/>
      <c r="E3786" s="2847"/>
      <c r="F3786" s="2847"/>
      <c r="G3786" s="2847"/>
      <c r="H3786" s="2847"/>
      <c r="I3786" s="2847"/>
      <c r="J3786" s="1017" t="s">
        <v>33</v>
      </c>
      <c r="K3786" s="1017" t="s">
        <v>34</v>
      </c>
      <c r="L3786" s="273" t="s">
        <v>1513</v>
      </c>
      <c r="M3786" s="273" t="s">
        <v>1514</v>
      </c>
      <c r="N3786" s="2989"/>
      <c r="O3786" s="3000"/>
      <c r="P3786" s="3001"/>
      <c r="Q3786" s="1111" t="s">
        <v>35</v>
      </c>
      <c r="R3786" s="1111" t="s">
        <v>36</v>
      </c>
      <c r="S3786" s="1111" t="s">
        <v>37</v>
      </c>
      <c r="T3786" s="1111" t="s">
        <v>38</v>
      </c>
      <c r="U3786" s="1111" t="s">
        <v>39</v>
      </c>
      <c r="V3786" s="1111" t="s">
        <v>40</v>
      </c>
      <c r="W3786" s="1111" t="s">
        <v>41</v>
      </c>
      <c r="X3786" s="1111" t="s">
        <v>42</v>
      </c>
      <c r="Y3786" s="1111" t="s">
        <v>43</v>
      </c>
      <c r="Z3786" s="1111" t="s">
        <v>44</v>
      </c>
      <c r="AA3786" s="1111" t="s">
        <v>45</v>
      </c>
      <c r="AB3786" s="1111" t="s">
        <v>46</v>
      </c>
      <c r="AC3786" s="3479"/>
    </row>
    <row r="3787" spans="1:29" x14ac:dyDescent="0.2">
      <c r="A3787" s="179"/>
      <c r="B3787" s="3190">
        <v>5000377</v>
      </c>
      <c r="C3787" s="3190" t="s">
        <v>1629</v>
      </c>
      <c r="D3787" s="2421"/>
      <c r="E3787" s="2421">
        <v>20</v>
      </c>
      <c r="F3787" s="3480" t="s">
        <v>1630</v>
      </c>
      <c r="G3787" s="3480" t="s">
        <v>1631</v>
      </c>
      <c r="H3787" s="3480"/>
      <c r="I3787" s="3480" t="s">
        <v>1448</v>
      </c>
      <c r="J3787" s="2431">
        <v>84</v>
      </c>
      <c r="K3787" s="3473">
        <v>3082607</v>
      </c>
      <c r="L3787" s="1"/>
      <c r="M3787" s="539"/>
      <c r="N3787" s="2431" t="s">
        <v>1632</v>
      </c>
      <c r="O3787" s="1111" t="s">
        <v>51</v>
      </c>
      <c r="P3787" s="1111"/>
      <c r="Q3787" s="1111">
        <v>7</v>
      </c>
      <c r="R3787" s="1111">
        <v>7</v>
      </c>
      <c r="S3787" s="1111">
        <v>7</v>
      </c>
      <c r="T3787" s="1111">
        <v>7</v>
      </c>
      <c r="U3787" s="1111">
        <v>7</v>
      </c>
      <c r="V3787" s="1111">
        <v>7</v>
      </c>
      <c r="W3787" s="1111">
        <v>7</v>
      </c>
      <c r="X3787" s="1111">
        <v>7</v>
      </c>
      <c r="Y3787" s="1111">
        <v>7</v>
      </c>
      <c r="Z3787" s="1111">
        <v>7</v>
      </c>
      <c r="AA3787" s="1111">
        <v>7</v>
      </c>
      <c r="AB3787" s="1111">
        <v>7</v>
      </c>
      <c r="AC3787" s="1111">
        <f>SUM(Q3787:AB3787)</f>
        <v>84</v>
      </c>
    </row>
    <row r="3788" spans="1:29" x14ac:dyDescent="0.2">
      <c r="A3788" s="179"/>
      <c r="B3788" s="3191"/>
      <c r="C3788" s="3191"/>
      <c r="D3788" s="2421"/>
      <c r="E3788" s="2421"/>
      <c r="F3788" s="3480"/>
      <c r="G3788" s="3480"/>
      <c r="H3788" s="3480"/>
      <c r="I3788" s="3480"/>
      <c r="J3788" s="2432"/>
      <c r="K3788" s="2432"/>
      <c r="L3788" s="1"/>
      <c r="M3788" s="47"/>
      <c r="N3788" s="2432"/>
      <c r="O3788" s="2840" t="s">
        <v>1340</v>
      </c>
      <c r="P3788" s="2840"/>
      <c r="Q3788" s="274">
        <f>+SUM(Q3789:Q3810)</f>
        <v>3600</v>
      </c>
      <c r="R3788" s="274">
        <f t="shared" ref="R3788:AC3788" si="611">+SUM(R3789:R3810)</f>
        <v>1136</v>
      </c>
      <c r="S3788" s="274">
        <f t="shared" si="611"/>
        <v>1636</v>
      </c>
      <c r="T3788" s="274">
        <f t="shared" si="611"/>
        <v>3196</v>
      </c>
      <c r="U3788" s="274">
        <f t="shared" si="611"/>
        <v>2196</v>
      </c>
      <c r="V3788" s="274">
        <f t="shared" si="611"/>
        <v>1140</v>
      </c>
      <c r="W3788" s="274">
        <f t="shared" si="611"/>
        <v>2696</v>
      </c>
      <c r="X3788" s="274">
        <f t="shared" si="611"/>
        <v>1636</v>
      </c>
      <c r="Y3788" s="274">
        <f t="shared" si="611"/>
        <v>1846</v>
      </c>
      <c r="Z3788" s="274">
        <f t="shared" si="611"/>
        <v>786</v>
      </c>
      <c r="AA3788" s="274">
        <f t="shared" si="611"/>
        <v>1196</v>
      </c>
      <c r="AB3788" s="274">
        <f t="shared" si="611"/>
        <v>636</v>
      </c>
      <c r="AC3788" s="274">
        <f t="shared" si="611"/>
        <v>21700</v>
      </c>
    </row>
    <row r="3789" spans="1:29" x14ac:dyDescent="0.2">
      <c r="A3789" s="179"/>
      <c r="B3789" s="3191"/>
      <c r="C3789" s="3191"/>
      <c r="D3789" s="2421"/>
      <c r="E3789" s="2421"/>
      <c r="F3789" s="3480"/>
      <c r="G3789" s="3480"/>
      <c r="H3789" s="3480"/>
      <c r="I3789" s="3480"/>
      <c r="J3789" s="2432"/>
      <c r="K3789" s="2432"/>
      <c r="L3789" s="275">
        <v>1814824</v>
      </c>
      <c r="M3789" s="47"/>
      <c r="N3789" s="2432"/>
      <c r="O3789" s="159">
        <v>211311</v>
      </c>
      <c r="P3789" s="38" t="s">
        <v>1535</v>
      </c>
      <c r="Q3789" s="276">
        <f>+$L$16/12</f>
        <v>0</v>
      </c>
      <c r="R3789" s="276">
        <f>+$L$16/12</f>
        <v>0</v>
      </c>
      <c r="S3789" s="276">
        <f t="shared" ref="S3789:AB3789" si="612">+$L$16/12</f>
        <v>0</v>
      </c>
      <c r="T3789" s="276">
        <f t="shared" si="612"/>
        <v>0</v>
      </c>
      <c r="U3789" s="276">
        <f t="shared" si="612"/>
        <v>0</v>
      </c>
      <c r="V3789" s="276">
        <f t="shared" si="612"/>
        <v>0</v>
      </c>
      <c r="W3789" s="276">
        <f t="shared" si="612"/>
        <v>0</v>
      </c>
      <c r="X3789" s="276">
        <f t="shared" si="612"/>
        <v>0</v>
      </c>
      <c r="Y3789" s="276">
        <f t="shared" si="612"/>
        <v>0</v>
      </c>
      <c r="Z3789" s="276">
        <f t="shared" si="612"/>
        <v>0</v>
      </c>
      <c r="AA3789" s="276">
        <f t="shared" si="612"/>
        <v>0</v>
      </c>
      <c r="AB3789" s="276">
        <f t="shared" si="612"/>
        <v>0</v>
      </c>
      <c r="AC3789" s="276">
        <f>+SUM(Q3789:AB3789)</f>
        <v>0</v>
      </c>
    </row>
    <row r="3790" spans="1:29" x14ac:dyDescent="0.2">
      <c r="A3790" s="179"/>
      <c r="B3790" s="3191"/>
      <c r="C3790" s="3191"/>
      <c r="D3790" s="2421"/>
      <c r="E3790" s="2421"/>
      <c r="F3790" s="3480"/>
      <c r="G3790" s="3480"/>
      <c r="H3790" s="3480"/>
      <c r="I3790" s="3480"/>
      <c r="J3790" s="2432"/>
      <c r="K3790" s="2432"/>
      <c r="L3790" s="275">
        <v>167136</v>
      </c>
      <c r="M3790" s="47"/>
      <c r="N3790" s="2432"/>
      <c r="O3790" s="159">
        <v>211321</v>
      </c>
      <c r="P3790" s="38" t="s">
        <v>1535</v>
      </c>
      <c r="Q3790" s="276">
        <f>+$L$17/12</f>
        <v>0</v>
      </c>
      <c r="R3790" s="276">
        <f t="shared" ref="R3790:AB3790" si="613">+$L$17/12</f>
        <v>0</v>
      </c>
      <c r="S3790" s="276">
        <f t="shared" si="613"/>
        <v>0</v>
      </c>
      <c r="T3790" s="276">
        <f t="shared" si="613"/>
        <v>0</v>
      </c>
      <c r="U3790" s="276">
        <f t="shared" si="613"/>
        <v>0</v>
      </c>
      <c r="V3790" s="276">
        <f t="shared" si="613"/>
        <v>0</v>
      </c>
      <c r="W3790" s="276">
        <f t="shared" si="613"/>
        <v>0</v>
      </c>
      <c r="X3790" s="276">
        <f t="shared" si="613"/>
        <v>0</v>
      </c>
      <c r="Y3790" s="276">
        <f t="shared" si="613"/>
        <v>0</v>
      </c>
      <c r="Z3790" s="276">
        <f t="shared" si="613"/>
        <v>0</v>
      </c>
      <c r="AA3790" s="276">
        <f t="shared" si="613"/>
        <v>0</v>
      </c>
      <c r="AB3790" s="276">
        <f t="shared" si="613"/>
        <v>0</v>
      </c>
      <c r="AC3790" s="276">
        <f t="shared" ref="AC3790:AC3810" si="614">+SUM(Q3790:AB3790)</f>
        <v>0</v>
      </c>
    </row>
    <row r="3791" spans="1:29" x14ac:dyDescent="0.2">
      <c r="A3791" s="179"/>
      <c r="B3791" s="3191"/>
      <c r="C3791" s="3191"/>
      <c r="D3791" s="2421"/>
      <c r="E3791" s="2421"/>
      <c r="F3791" s="3480"/>
      <c r="G3791" s="3480"/>
      <c r="H3791" s="3480"/>
      <c r="I3791" s="3480"/>
      <c r="J3791" s="2432"/>
      <c r="K3791" s="2432"/>
      <c r="L3791" s="275">
        <v>52511</v>
      </c>
      <c r="M3791" s="47"/>
      <c r="N3791" s="2432"/>
      <c r="O3791" s="159">
        <v>211331</v>
      </c>
      <c r="P3791" s="38" t="s">
        <v>1538</v>
      </c>
      <c r="Q3791" s="276">
        <f>+$L$18/12</f>
        <v>0</v>
      </c>
      <c r="R3791" s="276">
        <f t="shared" ref="R3791:AB3791" si="615">+$L$18/12</f>
        <v>0</v>
      </c>
      <c r="S3791" s="276">
        <f t="shared" si="615"/>
        <v>0</v>
      </c>
      <c r="T3791" s="276">
        <f t="shared" si="615"/>
        <v>0</v>
      </c>
      <c r="U3791" s="276">
        <f t="shared" si="615"/>
        <v>0</v>
      </c>
      <c r="V3791" s="276">
        <f t="shared" si="615"/>
        <v>0</v>
      </c>
      <c r="W3791" s="276">
        <f t="shared" si="615"/>
        <v>0</v>
      </c>
      <c r="X3791" s="276">
        <f t="shared" si="615"/>
        <v>0</v>
      </c>
      <c r="Y3791" s="276">
        <f t="shared" si="615"/>
        <v>0</v>
      </c>
      <c r="Z3791" s="276">
        <f t="shared" si="615"/>
        <v>0</v>
      </c>
      <c r="AA3791" s="276">
        <f t="shared" si="615"/>
        <v>0</v>
      </c>
      <c r="AB3791" s="276">
        <f t="shared" si="615"/>
        <v>0</v>
      </c>
      <c r="AC3791" s="276">
        <f t="shared" si="614"/>
        <v>0</v>
      </c>
    </row>
    <row r="3792" spans="1:29" x14ac:dyDescent="0.2">
      <c r="A3792" s="179"/>
      <c r="B3792" s="3191"/>
      <c r="C3792" s="3191"/>
      <c r="D3792" s="2421"/>
      <c r="E3792" s="2421"/>
      <c r="F3792" s="3480"/>
      <c r="G3792" s="3480"/>
      <c r="H3792" s="3480"/>
      <c r="I3792" s="3480"/>
      <c r="J3792" s="2432"/>
      <c r="K3792" s="2432"/>
      <c r="L3792" s="275">
        <v>5886</v>
      </c>
      <c r="M3792" s="47"/>
      <c r="N3792" s="2432"/>
      <c r="O3792" s="159">
        <v>211912</v>
      </c>
      <c r="P3792" s="38" t="s">
        <v>1321</v>
      </c>
      <c r="Q3792" s="276"/>
      <c r="R3792" s="277"/>
      <c r="S3792" s="276"/>
      <c r="T3792" s="277"/>
      <c r="U3792" s="276"/>
      <c r="V3792" s="277"/>
      <c r="W3792" s="276">
        <f>+$L$19/2</f>
        <v>0</v>
      </c>
      <c r="X3792" s="277"/>
      <c r="Y3792" s="276"/>
      <c r="Z3792" s="277"/>
      <c r="AA3792" s="276"/>
      <c r="AB3792" s="276">
        <f>+$L$19/2</f>
        <v>0</v>
      </c>
      <c r="AC3792" s="276">
        <f t="shared" si="614"/>
        <v>0</v>
      </c>
    </row>
    <row r="3793" spans="1:29" x14ac:dyDescent="0.2">
      <c r="A3793" s="179"/>
      <c r="B3793" s="3191"/>
      <c r="C3793" s="3191"/>
      <c r="D3793" s="2421"/>
      <c r="E3793" s="2421"/>
      <c r="F3793" s="3480"/>
      <c r="G3793" s="3480"/>
      <c r="H3793" s="3480"/>
      <c r="I3793" s="3480"/>
      <c r="J3793" s="2432"/>
      <c r="K3793" s="2432"/>
      <c r="L3793" s="275">
        <v>3600</v>
      </c>
      <c r="M3793" s="47"/>
      <c r="N3793" s="2432"/>
      <c r="O3793" s="159">
        <v>211913</v>
      </c>
      <c r="P3793" s="38" t="s">
        <v>1323</v>
      </c>
      <c r="Q3793" s="276">
        <f>+L3793</f>
        <v>3600</v>
      </c>
      <c r="R3793" s="277"/>
      <c r="S3793" s="276"/>
      <c r="T3793" s="277"/>
      <c r="U3793" s="276"/>
      <c r="V3793" s="277"/>
      <c r="W3793" s="276"/>
      <c r="X3793" s="277"/>
      <c r="Y3793" s="276"/>
      <c r="Z3793" s="277"/>
      <c r="AA3793" s="276"/>
      <c r="AB3793" s="277"/>
      <c r="AC3793" s="276">
        <f t="shared" si="614"/>
        <v>3600</v>
      </c>
    </row>
    <row r="3794" spans="1:29" x14ac:dyDescent="0.2">
      <c r="A3794" s="179"/>
      <c r="B3794" s="3191"/>
      <c r="C3794" s="3191"/>
      <c r="D3794" s="2421"/>
      <c r="E3794" s="2421"/>
      <c r="F3794" s="3480"/>
      <c r="G3794" s="3480"/>
      <c r="H3794" s="3480"/>
      <c r="I3794" s="3480"/>
      <c r="J3794" s="2432"/>
      <c r="K3794" s="2432"/>
      <c r="L3794" s="275">
        <v>12150</v>
      </c>
      <c r="M3794" s="47"/>
      <c r="N3794" s="2432"/>
      <c r="O3794" s="159">
        <v>213115</v>
      </c>
      <c r="P3794" s="38" t="s">
        <v>1329</v>
      </c>
      <c r="Q3794" s="276">
        <f>+$L$21/12</f>
        <v>0</v>
      </c>
      <c r="R3794" s="276">
        <f t="shared" ref="R3794:AB3794" si="616">+$L$21/12</f>
        <v>0</v>
      </c>
      <c r="S3794" s="276">
        <f t="shared" si="616"/>
        <v>0</v>
      </c>
      <c r="T3794" s="276">
        <f t="shared" si="616"/>
        <v>0</v>
      </c>
      <c r="U3794" s="276">
        <f t="shared" si="616"/>
        <v>0</v>
      </c>
      <c r="V3794" s="276">
        <f t="shared" si="616"/>
        <v>0</v>
      </c>
      <c r="W3794" s="276">
        <f t="shared" si="616"/>
        <v>0</v>
      </c>
      <c r="X3794" s="276">
        <f t="shared" si="616"/>
        <v>0</v>
      </c>
      <c r="Y3794" s="276">
        <f t="shared" si="616"/>
        <v>0</v>
      </c>
      <c r="Z3794" s="276">
        <f t="shared" si="616"/>
        <v>0</v>
      </c>
      <c r="AA3794" s="276">
        <f t="shared" si="616"/>
        <v>0</v>
      </c>
      <c r="AB3794" s="276">
        <f t="shared" si="616"/>
        <v>0</v>
      </c>
      <c r="AC3794" s="276">
        <f t="shared" si="614"/>
        <v>0</v>
      </c>
    </row>
    <row r="3795" spans="1:29" x14ac:dyDescent="0.2">
      <c r="A3795" s="179"/>
      <c r="B3795" s="3191"/>
      <c r="C3795" s="3191"/>
      <c r="D3795" s="2421"/>
      <c r="E3795" s="2421"/>
      <c r="F3795" s="3480"/>
      <c r="G3795" s="3480"/>
      <c r="H3795" s="3480"/>
      <c r="I3795" s="3480"/>
      <c r="J3795" s="2432"/>
      <c r="K3795" s="2432"/>
      <c r="L3795" s="275">
        <v>3150</v>
      </c>
      <c r="M3795" s="47"/>
      <c r="N3795" s="2432"/>
      <c r="O3795" s="159">
        <v>231111</v>
      </c>
      <c r="P3795" s="38" t="s">
        <v>1306</v>
      </c>
      <c r="Q3795" s="276"/>
      <c r="R3795" s="277"/>
      <c r="S3795" s="276">
        <v>500</v>
      </c>
      <c r="T3795" s="277"/>
      <c r="U3795" s="276">
        <v>500</v>
      </c>
      <c r="V3795" s="277"/>
      <c r="W3795" s="276">
        <v>1000</v>
      </c>
      <c r="X3795" s="276">
        <v>500</v>
      </c>
      <c r="Y3795" s="276">
        <v>500</v>
      </c>
      <c r="Z3795" s="276">
        <v>150</v>
      </c>
      <c r="AA3795" s="276"/>
      <c r="AB3795" s="277"/>
      <c r="AC3795" s="276">
        <f t="shared" si="614"/>
        <v>3150</v>
      </c>
    </row>
    <row r="3796" spans="1:29" x14ac:dyDescent="0.2">
      <c r="A3796" s="179"/>
      <c r="B3796" s="3191"/>
      <c r="C3796" s="3191"/>
      <c r="D3796" s="2421"/>
      <c r="E3796" s="2421"/>
      <c r="F3796" s="3480"/>
      <c r="G3796" s="3480"/>
      <c r="H3796" s="3480"/>
      <c r="I3796" s="3480"/>
      <c r="J3796" s="2432"/>
      <c r="K3796" s="2432"/>
      <c r="L3796" s="275">
        <v>77638</v>
      </c>
      <c r="M3796" s="47"/>
      <c r="N3796" s="2432"/>
      <c r="O3796" s="159">
        <v>231311</v>
      </c>
      <c r="P3796" s="38" t="s">
        <v>1220</v>
      </c>
      <c r="Q3796" s="276"/>
      <c r="R3796" s="276">
        <f>+$L$23/11</f>
        <v>0</v>
      </c>
      <c r="S3796" s="276">
        <f t="shared" ref="S3796:AB3796" si="617">+$L$23/11</f>
        <v>0</v>
      </c>
      <c r="T3796" s="276">
        <f t="shared" si="617"/>
        <v>0</v>
      </c>
      <c r="U3796" s="276">
        <f t="shared" si="617"/>
        <v>0</v>
      </c>
      <c r="V3796" s="276">
        <f t="shared" si="617"/>
        <v>0</v>
      </c>
      <c r="W3796" s="276">
        <f t="shared" si="617"/>
        <v>0</v>
      </c>
      <c r="X3796" s="276">
        <f t="shared" si="617"/>
        <v>0</v>
      </c>
      <c r="Y3796" s="276">
        <f t="shared" si="617"/>
        <v>0</v>
      </c>
      <c r="Z3796" s="276">
        <f t="shared" si="617"/>
        <v>0</v>
      </c>
      <c r="AA3796" s="276">
        <f t="shared" si="617"/>
        <v>0</v>
      </c>
      <c r="AB3796" s="276">
        <f t="shared" si="617"/>
        <v>0</v>
      </c>
      <c r="AC3796" s="276">
        <f t="shared" si="614"/>
        <v>0</v>
      </c>
    </row>
    <row r="3797" spans="1:29" x14ac:dyDescent="0.2">
      <c r="A3797" s="179"/>
      <c r="B3797" s="3191"/>
      <c r="C3797" s="3191"/>
      <c r="D3797" s="2421"/>
      <c r="E3797" s="2421"/>
      <c r="F3797" s="3480"/>
      <c r="G3797" s="3480"/>
      <c r="H3797" s="3480"/>
      <c r="I3797" s="3480"/>
      <c r="J3797" s="2432"/>
      <c r="K3797" s="2432"/>
      <c r="L3797" s="275">
        <v>20585</v>
      </c>
      <c r="M3797" s="47"/>
      <c r="N3797" s="2432"/>
      <c r="O3797" s="159">
        <v>231312</v>
      </c>
      <c r="P3797" s="38" t="s">
        <v>1558</v>
      </c>
      <c r="Q3797" s="276"/>
      <c r="R3797" s="276">
        <f>+$L$24/11</f>
        <v>0</v>
      </c>
      <c r="S3797" s="276">
        <f t="shared" ref="S3797:AB3797" si="618">+$L$24/11</f>
        <v>0</v>
      </c>
      <c r="T3797" s="276">
        <f t="shared" si="618"/>
        <v>0</v>
      </c>
      <c r="U3797" s="276">
        <f t="shared" si="618"/>
        <v>0</v>
      </c>
      <c r="V3797" s="276">
        <f t="shared" si="618"/>
        <v>0</v>
      </c>
      <c r="W3797" s="276">
        <f t="shared" si="618"/>
        <v>0</v>
      </c>
      <c r="X3797" s="276">
        <f t="shared" si="618"/>
        <v>0</v>
      </c>
      <c r="Y3797" s="276">
        <f t="shared" si="618"/>
        <v>0</v>
      </c>
      <c r="Z3797" s="276">
        <f t="shared" si="618"/>
        <v>0</v>
      </c>
      <c r="AA3797" s="276">
        <f t="shared" si="618"/>
        <v>0</v>
      </c>
      <c r="AB3797" s="276">
        <f t="shared" si="618"/>
        <v>0</v>
      </c>
      <c r="AC3797" s="276">
        <f t="shared" si="614"/>
        <v>0</v>
      </c>
    </row>
    <row r="3798" spans="1:29" x14ac:dyDescent="0.2">
      <c r="A3798" s="179"/>
      <c r="B3798" s="3191"/>
      <c r="C3798" s="3191"/>
      <c r="D3798" s="2421"/>
      <c r="E3798" s="2421"/>
      <c r="F3798" s="3480"/>
      <c r="G3798" s="3480"/>
      <c r="H3798" s="3480"/>
      <c r="I3798" s="3480"/>
      <c r="J3798" s="2432"/>
      <c r="K3798" s="2432"/>
      <c r="L3798" s="275">
        <v>2000</v>
      </c>
      <c r="M3798" s="47"/>
      <c r="N3798" s="2432"/>
      <c r="O3798" s="159">
        <v>231512</v>
      </c>
      <c r="P3798" s="38" t="s">
        <v>1236</v>
      </c>
      <c r="Q3798" s="276"/>
      <c r="R3798" s="276">
        <v>1000</v>
      </c>
      <c r="S3798" s="276"/>
      <c r="T3798" s="276">
        <v>1000</v>
      </c>
      <c r="U3798" s="276"/>
      <c r="V3798" s="277"/>
      <c r="W3798" s="276"/>
      <c r="X3798" s="277"/>
      <c r="Y3798" s="276"/>
      <c r="Z3798" s="277"/>
      <c r="AA3798" s="276"/>
      <c r="AB3798" s="277"/>
      <c r="AC3798" s="276">
        <f t="shared" si="614"/>
        <v>2000</v>
      </c>
    </row>
    <row r="3799" spans="1:29" x14ac:dyDescent="0.2">
      <c r="A3799" s="179"/>
      <c r="B3799" s="3191"/>
      <c r="C3799" s="3191"/>
      <c r="D3799" s="2421"/>
      <c r="E3799" s="2421"/>
      <c r="F3799" s="3480"/>
      <c r="G3799" s="3480"/>
      <c r="H3799" s="3480"/>
      <c r="I3799" s="3480"/>
      <c r="J3799" s="2432"/>
      <c r="K3799" s="2432"/>
      <c r="L3799" s="275">
        <v>3150</v>
      </c>
      <c r="M3799" s="47"/>
      <c r="N3799" s="2432"/>
      <c r="O3799" s="159">
        <v>231531</v>
      </c>
      <c r="P3799" s="38" t="s">
        <v>1268</v>
      </c>
      <c r="Q3799" s="276"/>
      <c r="R3799" s="277"/>
      <c r="S3799" s="276">
        <v>500</v>
      </c>
      <c r="T3799" s="276">
        <v>500</v>
      </c>
      <c r="U3799" s="276">
        <v>500</v>
      </c>
      <c r="V3799" s="276">
        <v>500</v>
      </c>
      <c r="W3799" s="276">
        <v>500</v>
      </c>
      <c r="X3799" s="276">
        <v>500</v>
      </c>
      <c r="Y3799" s="276">
        <v>150</v>
      </c>
      <c r="Z3799" s="277"/>
      <c r="AA3799" s="276"/>
      <c r="AB3799" s="277"/>
      <c r="AC3799" s="276">
        <f t="shared" si="614"/>
        <v>3150</v>
      </c>
    </row>
    <row r="3800" spans="1:29" x14ac:dyDescent="0.2">
      <c r="A3800" s="179"/>
      <c r="B3800" s="3191"/>
      <c r="C3800" s="3191"/>
      <c r="D3800" s="2421"/>
      <c r="E3800" s="2421"/>
      <c r="F3800" s="3480"/>
      <c r="G3800" s="3480"/>
      <c r="H3800" s="3480"/>
      <c r="I3800" s="3480"/>
      <c r="J3800" s="2432"/>
      <c r="K3800" s="2432"/>
      <c r="L3800" s="275">
        <v>5300</v>
      </c>
      <c r="M3800" s="47"/>
      <c r="N3800" s="2432"/>
      <c r="O3800" s="159">
        <v>231541</v>
      </c>
      <c r="P3800" s="38" t="s">
        <v>1270</v>
      </c>
      <c r="Q3800" s="276"/>
      <c r="R3800" s="277"/>
      <c r="S3800" s="276">
        <v>0</v>
      </c>
      <c r="T3800" s="276">
        <v>1060</v>
      </c>
      <c r="U3800" s="276">
        <v>1060</v>
      </c>
      <c r="V3800" s="276"/>
      <c r="W3800" s="276">
        <v>1060</v>
      </c>
      <c r="X3800" s="276"/>
      <c r="Y3800" s="276">
        <v>1060</v>
      </c>
      <c r="Z3800" s="535"/>
      <c r="AA3800" s="276">
        <v>1060</v>
      </c>
      <c r="AB3800" s="277"/>
      <c r="AC3800" s="276">
        <f t="shared" si="614"/>
        <v>5300</v>
      </c>
    </row>
    <row r="3801" spans="1:29" x14ac:dyDescent="0.2">
      <c r="A3801" s="179"/>
      <c r="B3801" s="3191"/>
      <c r="C3801" s="3191"/>
      <c r="D3801" s="2421"/>
      <c r="E3801" s="2421"/>
      <c r="F3801" s="3480"/>
      <c r="G3801" s="3480"/>
      <c r="H3801" s="3480"/>
      <c r="I3801" s="3480"/>
      <c r="J3801" s="2432"/>
      <c r="K3801" s="2432"/>
      <c r="L3801" s="275">
        <v>11400</v>
      </c>
      <c r="M3801" s="47"/>
      <c r="N3801" s="2432"/>
      <c r="O3801" s="159">
        <v>2319913</v>
      </c>
      <c r="P3801" s="38" t="s">
        <v>1250</v>
      </c>
      <c r="Q3801" s="276"/>
      <c r="R3801" s="277"/>
      <c r="S3801" s="276">
        <f>+$L$28/5</f>
        <v>0</v>
      </c>
      <c r="T3801" s="535"/>
      <c r="U3801" s="276">
        <f t="shared" ref="U3801:Y3801" si="619">+$L$28/5</f>
        <v>0</v>
      </c>
      <c r="V3801" s="535"/>
      <c r="W3801" s="276">
        <f t="shared" si="619"/>
        <v>0</v>
      </c>
      <c r="X3801" s="276"/>
      <c r="Y3801" s="276">
        <f t="shared" si="619"/>
        <v>0</v>
      </c>
      <c r="Z3801" s="277"/>
      <c r="AA3801" s="276">
        <f>+$L$28/5</f>
        <v>0</v>
      </c>
      <c r="AB3801" s="277"/>
      <c r="AC3801" s="276">
        <f t="shared" si="614"/>
        <v>0</v>
      </c>
    </row>
    <row r="3802" spans="1:29" x14ac:dyDescent="0.2">
      <c r="A3802" s="179"/>
      <c r="B3802" s="3191"/>
      <c r="C3802" s="3191"/>
      <c r="D3802" s="2421"/>
      <c r="E3802" s="2421"/>
      <c r="F3802" s="3480"/>
      <c r="G3802" s="3480"/>
      <c r="H3802" s="3480"/>
      <c r="I3802" s="3480"/>
      <c r="J3802" s="2432"/>
      <c r="K3802" s="2432"/>
      <c r="L3802" s="275">
        <v>1500</v>
      </c>
      <c r="M3802" s="47"/>
      <c r="N3802" s="2432"/>
      <c r="O3802" s="159">
        <v>232121</v>
      </c>
      <c r="P3802" s="38" t="s">
        <v>1238</v>
      </c>
      <c r="Q3802" s="276"/>
      <c r="R3802" s="276">
        <v>136</v>
      </c>
      <c r="S3802" s="276">
        <v>136</v>
      </c>
      <c r="T3802" s="276">
        <v>136</v>
      </c>
      <c r="U3802" s="276">
        <v>136</v>
      </c>
      <c r="V3802" s="276">
        <v>140</v>
      </c>
      <c r="W3802" s="276">
        <v>136</v>
      </c>
      <c r="X3802" s="276">
        <v>136</v>
      </c>
      <c r="Y3802" s="276">
        <v>136</v>
      </c>
      <c r="Z3802" s="276">
        <v>136</v>
      </c>
      <c r="AA3802" s="276">
        <v>136</v>
      </c>
      <c r="AB3802" s="276">
        <v>136</v>
      </c>
      <c r="AC3802" s="276">
        <f t="shared" si="614"/>
        <v>1500</v>
      </c>
    </row>
    <row r="3803" spans="1:29" x14ac:dyDescent="0.2">
      <c r="A3803" s="179"/>
      <c r="B3803" s="3191"/>
      <c r="C3803" s="3191"/>
      <c r="D3803" s="2421"/>
      <c r="E3803" s="2421"/>
      <c r="F3803" s="3480"/>
      <c r="G3803" s="3480"/>
      <c r="H3803" s="3480"/>
      <c r="I3803" s="3480"/>
      <c r="J3803" s="2432"/>
      <c r="K3803" s="2432"/>
      <c r="L3803" s="275">
        <v>16430</v>
      </c>
      <c r="M3803" s="47"/>
      <c r="N3803" s="2432"/>
      <c r="O3803" s="159">
        <v>232122</v>
      </c>
      <c r="P3803" s="38" t="s">
        <v>1240</v>
      </c>
      <c r="Q3803" s="276"/>
      <c r="R3803" s="276">
        <f>+$L$30/11</f>
        <v>0</v>
      </c>
      <c r="S3803" s="276">
        <f t="shared" ref="S3803:AB3803" si="620">+$L$30/11</f>
        <v>0</v>
      </c>
      <c r="T3803" s="276">
        <f t="shared" si="620"/>
        <v>0</v>
      </c>
      <c r="U3803" s="276">
        <f t="shared" si="620"/>
        <v>0</v>
      </c>
      <c r="V3803" s="276">
        <f t="shared" si="620"/>
        <v>0</v>
      </c>
      <c r="W3803" s="276">
        <f t="shared" si="620"/>
        <v>0</v>
      </c>
      <c r="X3803" s="276">
        <f t="shared" si="620"/>
        <v>0</v>
      </c>
      <c r="Y3803" s="276">
        <f t="shared" si="620"/>
        <v>0</v>
      </c>
      <c r="Z3803" s="276">
        <f t="shared" si="620"/>
        <v>0</v>
      </c>
      <c r="AA3803" s="276">
        <f t="shared" si="620"/>
        <v>0</v>
      </c>
      <c r="AB3803" s="276">
        <f t="shared" si="620"/>
        <v>0</v>
      </c>
      <c r="AC3803" s="276">
        <f t="shared" si="614"/>
        <v>0</v>
      </c>
    </row>
    <row r="3804" spans="1:29" x14ac:dyDescent="0.2">
      <c r="A3804" s="179"/>
      <c r="B3804" s="3191"/>
      <c r="C3804" s="3191"/>
      <c r="D3804" s="2421"/>
      <c r="E3804" s="2421"/>
      <c r="F3804" s="3480"/>
      <c r="G3804" s="3480"/>
      <c r="H3804" s="3480"/>
      <c r="I3804" s="3480"/>
      <c r="J3804" s="2432"/>
      <c r="K3804" s="2432"/>
      <c r="L3804" s="275">
        <v>353822</v>
      </c>
      <c r="M3804" s="47"/>
      <c r="N3804" s="2432"/>
      <c r="O3804" s="159">
        <v>232211</v>
      </c>
      <c r="P3804" s="38" t="s">
        <v>1281</v>
      </c>
      <c r="Q3804" s="276">
        <f>+$L$31/12</f>
        <v>0</v>
      </c>
      <c r="R3804" s="276">
        <f t="shared" ref="R3804:AB3804" si="621">+$L$31/12</f>
        <v>0</v>
      </c>
      <c r="S3804" s="276">
        <f t="shared" si="621"/>
        <v>0</v>
      </c>
      <c r="T3804" s="276">
        <f t="shared" si="621"/>
        <v>0</v>
      </c>
      <c r="U3804" s="276">
        <f t="shared" si="621"/>
        <v>0</v>
      </c>
      <c r="V3804" s="276">
        <f t="shared" si="621"/>
        <v>0</v>
      </c>
      <c r="W3804" s="276">
        <f t="shared" si="621"/>
        <v>0</v>
      </c>
      <c r="X3804" s="276">
        <f t="shared" si="621"/>
        <v>0</v>
      </c>
      <c r="Y3804" s="276">
        <f t="shared" si="621"/>
        <v>0</v>
      </c>
      <c r="Z3804" s="276">
        <f t="shared" si="621"/>
        <v>0</v>
      </c>
      <c r="AA3804" s="276">
        <f t="shared" si="621"/>
        <v>0</v>
      </c>
      <c r="AB3804" s="276">
        <f t="shared" si="621"/>
        <v>0</v>
      </c>
      <c r="AC3804" s="276">
        <f t="shared" si="614"/>
        <v>0</v>
      </c>
    </row>
    <row r="3805" spans="1:29" x14ac:dyDescent="0.2">
      <c r="A3805" s="179"/>
      <c r="B3805" s="3191"/>
      <c r="C3805" s="3191"/>
      <c r="D3805" s="2421"/>
      <c r="E3805" s="2421"/>
      <c r="F3805" s="3480"/>
      <c r="G3805" s="3480"/>
      <c r="H3805" s="3480"/>
      <c r="I3805" s="3480"/>
      <c r="J3805" s="2432"/>
      <c r="K3805" s="2432"/>
      <c r="L3805" s="275">
        <v>129528</v>
      </c>
      <c r="M3805" s="47"/>
      <c r="N3805" s="2432"/>
      <c r="O3805" s="159">
        <v>232212</v>
      </c>
      <c r="P3805" s="38" t="s">
        <v>1283</v>
      </c>
      <c r="Q3805" s="276">
        <f>+$L$32/12</f>
        <v>0</v>
      </c>
      <c r="R3805" s="276">
        <f t="shared" ref="R3805:AB3805" si="622">+$L$32/12</f>
        <v>0</v>
      </c>
      <c r="S3805" s="276">
        <f t="shared" si="622"/>
        <v>0</v>
      </c>
      <c r="T3805" s="276">
        <f t="shared" si="622"/>
        <v>0</v>
      </c>
      <c r="U3805" s="276">
        <f t="shared" si="622"/>
        <v>0</v>
      </c>
      <c r="V3805" s="276">
        <f t="shared" si="622"/>
        <v>0</v>
      </c>
      <c r="W3805" s="276">
        <f t="shared" si="622"/>
        <v>0</v>
      </c>
      <c r="X3805" s="276">
        <f t="shared" si="622"/>
        <v>0</v>
      </c>
      <c r="Y3805" s="276">
        <f t="shared" si="622"/>
        <v>0</v>
      </c>
      <c r="Z3805" s="276">
        <f t="shared" si="622"/>
        <v>0</v>
      </c>
      <c r="AA3805" s="276">
        <f t="shared" si="622"/>
        <v>0</v>
      </c>
      <c r="AB3805" s="276">
        <f t="shared" si="622"/>
        <v>0</v>
      </c>
      <c r="AC3805" s="276">
        <f t="shared" si="614"/>
        <v>0</v>
      </c>
    </row>
    <row r="3806" spans="1:29" x14ac:dyDescent="0.2">
      <c r="A3806" s="179"/>
      <c r="B3806" s="3191"/>
      <c r="C3806" s="3191"/>
      <c r="D3806" s="2421"/>
      <c r="E3806" s="2421"/>
      <c r="F3806" s="3480"/>
      <c r="G3806" s="3480"/>
      <c r="H3806" s="3480"/>
      <c r="I3806" s="3480"/>
      <c r="J3806" s="2432"/>
      <c r="K3806" s="2432"/>
      <c r="L3806" s="275">
        <v>393</v>
      </c>
      <c r="M3806" s="47"/>
      <c r="N3806" s="2432"/>
      <c r="O3806" s="159">
        <v>232231</v>
      </c>
      <c r="P3806" s="38" t="s">
        <v>1291</v>
      </c>
      <c r="Q3806" s="276">
        <f>+$L$33/12</f>
        <v>0</v>
      </c>
      <c r="R3806" s="276">
        <f t="shared" ref="R3806:AB3806" si="623">+$L$33/12</f>
        <v>0</v>
      </c>
      <c r="S3806" s="276">
        <f t="shared" si="623"/>
        <v>0</v>
      </c>
      <c r="T3806" s="276">
        <f t="shared" si="623"/>
        <v>0</v>
      </c>
      <c r="U3806" s="276">
        <f t="shared" si="623"/>
        <v>0</v>
      </c>
      <c r="V3806" s="276">
        <f t="shared" si="623"/>
        <v>0</v>
      </c>
      <c r="W3806" s="276">
        <f t="shared" si="623"/>
        <v>0</v>
      </c>
      <c r="X3806" s="276">
        <f t="shared" si="623"/>
        <v>0</v>
      </c>
      <c r="Y3806" s="276">
        <f t="shared" si="623"/>
        <v>0</v>
      </c>
      <c r="Z3806" s="276">
        <f t="shared" si="623"/>
        <v>0</v>
      </c>
      <c r="AA3806" s="276">
        <f t="shared" si="623"/>
        <v>0</v>
      </c>
      <c r="AB3806" s="276">
        <f t="shared" si="623"/>
        <v>0</v>
      </c>
      <c r="AC3806" s="276">
        <f t="shared" si="614"/>
        <v>0</v>
      </c>
    </row>
    <row r="3807" spans="1:29" x14ac:dyDescent="0.2">
      <c r="A3807" s="179"/>
      <c r="B3807" s="3191"/>
      <c r="C3807" s="3191"/>
      <c r="D3807" s="2421"/>
      <c r="E3807" s="2421"/>
      <c r="F3807" s="3480"/>
      <c r="G3807" s="3480"/>
      <c r="H3807" s="3480"/>
      <c r="I3807" s="3480"/>
      <c r="J3807" s="2432"/>
      <c r="K3807" s="2432"/>
      <c r="L3807" s="275">
        <v>386004</v>
      </c>
      <c r="M3807" s="47"/>
      <c r="N3807" s="2432"/>
      <c r="O3807" s="159">
        <v>232312</v>
      </c>
      <c r="P3807" s="38" t="s">
        <v>1580</v>
      </c>
      <c r="Q3807" s="276">
        <f>+$L$34/12</f>
        <v>0</v>
      </c>
      <c r="R3807" s="276">
        <f t="shared" ref="R3807:AB3807" si="624">+$L$34/12</f>
        <v>0</v>
      </c>
      <c r="S3807" s="276">
        <f t="shared" si="624"/>
        <v>0</v>
      </c>
      <c r="T3807" s="276">
        <f t="shared" si="624"/>
        <v>0</v>
      </c>
      <c r="U3807" s="276">
        <f t="shared" si="624"/>
        <v>0</v>
      </c>
      <c r="V3807" s="276">
        <f t="shared" si="624"/>
        <v>0</v>
      </c>
      <c r="W3807" s="276">
        <f t="shared" si="624"/>
        <v>0</v>
      </c>
      <c r="X3807" s="276">
        <f t="shared" si="624"/>
        <v>0</v>
      </c>
      <c r="Y3807" s="276">
        <f t="shared" si="624"/>
        <v>0</v>
      </c>
      <c r="Z3807" s="276">
        <f t="shared" si="624"/>
        <v>0</v>
      </c>
      <c r="AA3807" s="276">
        <f t="shared" si="624"/>
        <v>0</v>
      </c>
      <c r="AB3807" s="276">
        <f t="shared" si="624"/>
        <v>0</v>
      </c>
      <c r="AC3807" s="276">
        <f t="shared" si="614"/>
        <v>0</v>
      </c>
    </row>
    <row r="3808" spans="1:29" x14ac:dyDescent="0.2">
      <c r="A3808" s="179"/>
      <c r="B3808" s="3191"/>
      <c r="C3808" s="3191"/>
      <c r="D3808" s="2421"/>
      <c r="E3808" s="2421"/>
      <c r="F3808" s="3480"/>
      <c r="G3808" s="3480"/>
      <c r="H3808" s="3480"/>
      <c r="I3808" s="3480"/>
      <c r="J3808" s="2432"/>
      <c r="K3808" s="2432"/>
      <c r="L3808" s="275">
        <v>3000</v>
      </c>
      <c r="M3808" s="47"/>
      <c r="N3808" s="2432"/>
      <c r="O3808" s="159">
        <v>2327101</v>
      </c>
      <c r="P3808" s="38" t="s">
        <v>1308</v>
      </c>
      <c r="Q3808" s="276"/>
      <c r="R3808" s="277"/>
      <c r="S3808" s="276">
        <v>500</v>
      </c>
      <c r="T3808" s="276">
        <v>500</v>
      </c>
      <c r="U3808" s="276"/>
      <c r="V3808" s="276">
        <v>500</v>
      </c>
      <c r="W3808" s="276"/>
      <c r="X3808" s="276">
        <v>500</v>
      </c>
      <c r="Y3808" s="276"/>
      <c r="Z3808" s="276">
        <v>500</v>
      </c>
      <c r="AA3808" s="276"/>
      <c r="AB3808" s="276">
        <v>500</v>
      </c>
      <c r="AC3808" s="276">
        <f t="shared" si="614"/>
        <v>3000</v>
      </c>
    </row>
    <row r="3809" spans="1:29" x14ac:dyDescent="0.2">
      <c r="A3809" s="179"/>
      <c r="B3809" s="3191"/>
      <c r="C3809" s="3191"/>
      <c r="D3809" s="2421"/>
      <c r="E3809" s="2421"/>
      <c r="F3809" s="3480"/>
      <c r="G3809" s="3480"/>
      <c r="H3809" s="3480"/>
      <c r="I3809" s="3480"/>
      <c r="J3809" s="2432"/>
      <c r="K3809" s="2432"/>
      <c r="L3809" s="275">
        <v>12600</v>
      </c>
      <c r="M3809" s="47"/>
      <c r="N3809" s="2432"/>
      <c r="O3809" s="159">
        <v>232811</v>
      </c>
      <c r="P3809" s="38" t="s">
        <v>1331</v>
      </c>
      <c r="Q3809" s="276">
        <f>+$L$36/12</f>
        <v>0</v>
      </c>
      <c r="R3809" s="276">
        <f t="shared" ref="R3809:AB3809" si="625">+$L$36/12</f>
        <v>0</v>
      </c>
      <c r="S3809" s="276">
        <f t="shared" si="625"/>
        <v>0</v>
      </c>
      <c r="T3809" s="276">
        <f t="shared" si="625"/>
        <v>0</v>
      </c>
      <c r="U3809" s="276">
        <f t="shared" si="625"/>
        <v>0</v>
      </c>
      <c r="V3809" s="276">
        <f t="shared" si="625"/>
        <v>0</v>
      </c>
      <c r="W3809" s="276">
        <f t="shared" si="625"/>
        <v>0</v>
      </c>
      <c r="X3809" s="276">
        <f t="shared" si="625"/>
        <v>0</v>
      </c>
      <c r="Y3809" s="276">
        <f t="shared" si="625"/>
        <v>0</v>
      </c>
      <c r="Z3809" s="276">
        <f t="shared" si="625"/>
        <v>0</v>
      </c>
      <c r="AA3809" s="276">
        <f t="shared" si="625"/>
        <v>0</v>
      </c>
      <c r="AB3809" s="276">
        <f t="shared" si="625"/>
        <v>0</v>
      </c>
      <c r="AC3809" s="276">
        <f t="shared" si="614"/>
        <v>0</v>
      </c>
    </row>
    <row r="3810" spans="1:29" x14ac:dyDescent="0.2">
      <c r="A3810" s="179"/>
      <c r="B3810" s="2439"/>
      <c r="C3810" s="2439"/>
      <c r="D3810" s="2431"/>
      <c r="E3810" s="2431"/>
      <c r="F3810" s="3196"/>
      <c r="G3810" s="3196"/>
      <c r="H3810" s="3196"/>
      <c r="I3810" s="3196"/>
      <c r="J3810" s="2432"/>
      <c r="K3810" s="2432"/>
      <c r="L3810" s="275">
        <v>90</v>
      </c>
      <c r="M3810" s="47"/>
      <c r="N3810" s="2437"/>
      <c r="O3810" s="159">
        <v>232812</v>
      </c>
      <c r="P3810" s="38" t="s">
        <v>1333</v>
      </c>
      <c r="Q3810" s="276">
        <f>+$L$37/12</f>
        <v>0</v>
      </c>
      <c r="R3810" s="276">
        <f t="shared" ref="R3810:AB3810" si="626">+$L$37/12</f>
        <v>0</v>
      </c>
      <c r="S3810" s="276">
        <f t="shared" si="626"/>
        <v>0</v>
      </c>
      <c r="T3810" s="276">
        <f t="shared" si="626"/>
        <v>0</v>
      </c>
      <c r="U3810" s="276">
        <f t="shared" si="626"/>
        <v>0</v>
      </c>
      <c r="V3810" s="276">
        <f t="shared" si="626"/>
        <v>0</v>
      </c>
      <c r="W3810" s="276">
        <f t="shared" si="626"/>
        <v>0</v>
      </c>
      <c r="X3810" s="276">
        <f t="shared" si="626"/>
        <v>0</v>
      </c>
      <c r="Y3810" s="276">
        <f t="shared" si="626"/>
        <v>0</v>
      </c>
      <c r="Z3810" s="276">
        <f t="shared" si="626"/>
        <v>0</v>
      </c>
      <c r="AA3810" s="276">
        <f t="shared" si="626"/>
        <v>0</v>
      </c>
      <c r="AB3810" s="276">
        <f t="shared" si="626"/>
        <v>0</v>
      </c>
      <c r="AC3810" s="276">
        <f t="shared" si="614"/>
        <v>0</v>
      </c>
    </row>
    <row r="3811" spans="1:29" s="289" customFormat="1" x14ac:dyDescent="0.2">
      <c r="A3811" s="540"/>
      <c r="B3811" s="3474" t="s">
        <v>312</v>
      </c>
      <c r="C3811" s="3475"/>
      <c r="D3811" s="3475"/>
      <c r="E3811" s="3475"/>
      <c r="F3811" s="3475"/>
      <c r="G3811" s="3475"/>
      <c r="H3811" s="3475"/>
      <c r="I3811" s="3475"/>
      <c r="J3811" s="3475"/>
      <c r="K3811" s="3475"/>
      <c r="L3811" s="290">
        <f>+SUM(L3789:L3809)</f>
        <v>3082607</v>
      </c>
      <c r="M3811" s="293"/>
      <c r="N3811" s="292"/>
      <c r="O3811" s="294"/>
      <c r="P3811" s="132"/>
      <c r="Q3811" s="295"/>
      <c r="R3811" s="296"/>
      <c r="S3811" s="295"/>
      <c r="T3811" s="296"/>
      <c r="U3811" s="295"/>
      <c r="V3811" s="296"/>
      <c r="W3811" s="295"/>
      <c r="X3811" s="296"/>
      <c r="Y3811" s="295"/>
      <c r="Z3811" s="296"/>
      <c r="AA3811" s="295"/>
      <c r="AB3811" s="296"/>
      <c r="AC3811" s="295"/>
    </row>
    <row r="3812" spans="1:29" x14ac:dyDescent="0.2">
      <c r="A3812" s="179"/>
      <c r="B3812" s="2999" t="s">
        <v>20</v>
      </c>
      <c r="C3812" s="2847" t="s">
        <v>21</v>
      </c>
      <c r="D3812" s="2847" t="s">
        <v>22</v>
      </c>
      <c r="E3812" s="2847" t="s">
        <v>23</v>
      </c>
      <c r="F3812" s="2847" t="s">
        <v>24</v>
      </c>
      <c r="G3812" s="2847" t="s">
        <v>25</v>
      </c>
      <c r="H3812" s="2847" t="s">
        <v>26</v>
      </c>
      <c r="I3812" s="2847" t="s">
        <v>27</v>
      </c>
      <c r="J3812" s="2986" t="s">
        <v>28</v>
      </c>
      <c r="K3812" s="2987"/>
      <c r="L3812" s="2986" t="s">
        <v>1628</v>
      </c>
      <c r="M3812" s="2987"/>
      <c r="N3812" s="2988" t="s">
        <v>29</v>
      </c>
      <c r="O3812" s="2986" t="s">
        <v>30</v>
      </c>
      <c r="P3812" s="2987"/>
      <c r="Q3812" s="3476" t="s">
        <v>31</v>
      </c>
      <c r="R3812" s="3477"/>
      <c r="S3812" s="3477"/>
      <c r="T3812" s="3477"/>
      <c r="U3812" s="3477"/>
      <c r="V3812" s="3477"/>
      <c r="W3812" s="3477"/>
      <c r="X3812" s="3477"/>
      <c r="Y3812" s="3477"/>
      <c r="Z3812" s="3477"/>
      <c r="AA3812" s="3477"/>
      <c r="AB3812" s="3478"/>
      <c r="AC3812" s="3479" t="s">
        <v>32</v>
      </c>
    </row>
    <row r="3813" spans="1:29" x14ac:dyDescent="0.2">
      <c r="A3813" s="179"/>
      <c r="B3813" s="2999"/>
      <c r="C3813" s="2847"/>
      <c r="D3813" s="2847"/>
      <c r="E3813" s="2847"/>
      <c r="F3813" s="2847"/>
      <c r="G3813" s="2847"/>
      <c r="H3813" s="2847"/>
      <c r="I3813" s="2847"/>
      <c r="J3813" s="1017" t="s">
        <v>33</v>
      </c>
      <c r="K3813" s="1017" t="s">
        <v>34</v>
      </c>
      <c r="L3813" s="306" t="s">
        <v>1513</v>
      </c>
      <c r="M3813" s="306" t="s">
        <v>1514</v>
      </c>
      <c r="N3813" s="2989"/>
      <c r="O3813" s="3000"/>
      <c r="P3813" s="3001"/>
      <c r="Q3813" s="1111" t="s">
        <v>35</v>
      </c>
      <c r="R3813" s="1111" t="s">
        <v>36</v>
      </c>
      <c r="S3813" s="1111" t="s">
        <v>37</v>
      </c>
      <c r="T3813" s="1111" t="s">
        <v>38</v>
      </c>
      <c r="U3813" s="1111" t="s">
        <v>39</v>
      </c>
      <c r="V3813" s="1111" t="s">
        <v>40</v>
      </c>
      <c r="W3813" s="1111" t="s">
        <v>41</v>
      </c>
      <c r="X3813" s="1111" t="s">
        <v>42</v>
      </c>
      <c r="Y3813" s="1111" t="s">
        <v>43</v>
      </c>
      <c r="Z3813" s="1111" t="s">
        <v>44</v>
      </c>
      <c r="AA3813" s="1111" t="s">
        <v>45</v>
      </c>
      <c r="AB3813" s="1111" t="s">
        <v>46</v>
      </c>
      <c r="AC3813" s="3479"/>
    </row>
    <row r="3814" spans="1:29" x14ac:dyDescent="0.2">
      <c r="A3814" s="179"/>
      <c r="B3814" s="3190" t="s">
        <v>1633</v>
      </c>
      <c r="C3814" s="2421" t="s">
        <v>1634</v>
      </c>
      <c r="D3814" s="2421"/>
      <c r="E3814" s="2421">
        <v>20</v>
      </c>
      <c r="F3814" s="2421" t="s">
        <v>1630</v>
      </c>
      <c r="G3814" s="2421" t="s">
        <v>1635</v>
      </c>
      <c r="H3814" s="2421"/>
      <c r="I3814" s="2421" t="s">
        <v>1636</v>
      </c>
      <c r="J3814" s="3483">
        <v>65</v>
      </c>
      <c r="K3814" s="3484">
        <v>817808</v>
      </c>
      <c r="L3814" s="275"/>
      <c r="M3814" s="1"/>
      <c r="N3814" s="3485" t="s">
        <v>1632</v>
      </c>
      <c r="O3814" s="2840" t="s">
        <v>51</v>
      </c>
      <c r="P3814" s="2840"/>
      <c r="Q3814" s="1111">
        <v>5</v>
      </c>
      <c r="R3814" s="1111">
        <v>5</v>
      </c>
      <c r="S3814" s="1111">
        <v>6</v>
      </c>
      <c r="T3814" s="1111">
        <v>5</v>
      </c>
      <c r="U3814" s="1111">
        <v>5</v>
      </c>
      <c r="V3814" s="1111">
        <v>5</v>
      </c>
      <c r="W3814" s="1111">
        <v>6</v>
      </c>
      <c r="X3814" s="1111">
        <v>5</v>
      </c>
      <c r="Y3814" s="1111">
        <v>6</v>
      </c>
      <c r="Z3814" s="1111">
        <v>5</v>
      </c>
      <c r="AA3814" s="1111">
        <v>6</v>
      </c>
      <c r="AB3814" s="1111">
        <v>6</v>
      </c>
      <c r="AC3814" s="1111">
        <f>SUM(Q3814:AB3814)</f>
        <v>65</v>
      </c>
    </row>
    <row r="3815" spans="1:29" x14ac:dyDescent="0.2">
      <c r="A3815" s="179"/>
      <c r="B3815" s="3191"/>
      <c r="C3815" s="2421"/>
      <c r="D3815" s="2421"/>
      <c r="E3815" s="2421"/>
      <c r="F3815" s="2421"/>
      <c r="G3815" s="2421"/>
      <c r="H3815" s="2421"/>
      <c r="I3815" s="2421"/>
      <c r="J3815" s="3483"/>
      <c r="K3815" s="3484"/>
      <c r="L3815" s="275"/>
      <c r="M3815" s="1"/>
      <c r="N3815" s="3486"/>
      <c r="O3815" s="2840" t="s">
        <v>1340</v>
      </c>
      <c r="P3815" s="2840"/>
      <c r="Q3815" s="274">
        <f>+Q3816</f>
        <v>0</v>
      </c>
      <c r="R3815" s="274">
        <f t="shared" ref="R3815:AB3815" si="627">+R3816</f>
        <v>0</v>
      </c>
      <c r="S3815" s="274">
        <f t="shared" si="627"/>
        <v>0</v>
      </c>
      <c r="T3815" s="274">
        <f t="shared" si="627"/>
        <v>0</v>
      </c>
      <c r="U3815" s="274">
        <f t="shared" si="627"/>
        <v>0</v>
      </c>
      <c r="V3815" s="274">
        <f t="shared" si="627"/>
        <v>0</v>
      </c>
      <c r="W3815" s="274">
        <f t="shared" si="627"/>
        <v>0</v>
      </c>
      <c r="X3815" s="274">
        <f t="shared" si="627"/>
        <v>0</v>
      </c>
      <c r="Y3815" s="274">
        <f t="shared" si="627"/>
        <v>0</v>
      </c>
      <c r="Z3815" s="274">
        <f t="shared" si="627"/>
        <v>0</v>
      </c>
      <c r="AA3815" s="274">
        <f t="shared" si="627"/>
        <v>0</v>
      </c>
      <c r="AB3815" s="274">
        <f t="shared" si="627"/>
        <v>0</v>
      </c>
      <c r="AC3815" s="274">
        <f>+AC3816</f>
        <v>0</v>
      </c>
    </row>
    <row r="3816" spans="1:29" x14ac:dyDescent="0.2">
      <c r="A3816" s="179"/>
      <c r="B3816" s="2439"/>
      <c r="C3816" s="2421"/>
      <c r="D3816" s="2421"/>
      <c r="E3816" s="2421"/>
      <c r="F3816" s="2421"/>
      <c r="G3816" s="2421"/>
      <c r="H3816" s="2421"/>
      <c r="I3816" s="2421"/>
      <c r="J3816" s="3483"/>
      <c r="K3816" s="3484"/>
      <c r="L3816" s="275">
        <v>817808</v>
      </c>
      <c r="M3816" s="1"/>
      <c r="N3816" s="3487"/>
      <c r="O3816" s="541">
        <v>2521199</v>
      </c>
      <c r="P3816" s="38" t="s">
        <v>1637</v>
      </c>
      <c r="Q3816" s="278">
        <f>+$L$43/12</f>
        <v>0</v>
      </c>
      <c r="R3816" s="278">
        <f t="shared" ref="R3816:AB3816" si="628">+$L$43/12</f>
        <v>0</v>
      </c>
      <c r="S3816" s="278">
        <f t="shared" si="628"/>
        <v>0</v>
      </c>
      <c r="T3816" s="278">
        <f t="shared" si="628"/>
        <v>0</v>
      </c>
      <c r="U3816" s="278">
        <f t="shared" si="628"/>
        <v>0</v>
      </c>
      <c r="V3816" s="278">
        <f t="shared" si="628"/>
        <v>0</v>
      </c>
      <c r="W3816" s="278">
        <f t="shared" si="628"/>
        <v>0</v>
      </c>
      <c r="X3816" s="278">
        <f t="shared" si="628"/>
        <v>0</v>
      </c>
      <c r="Y3816" s="278">
        <f t="shared" si="628"/>
        <v>0</v>
      </c>
      <c r="Z3816" s="278">
        <f t="shared" si="628"/>
        <v>0</v>
      </c>
      <c r="AA3816" s="278">
        <f t="shared" si="628"/>
        <v>0</v>
      </c>
      <c r="AB3816" s="278">
        <f t="shared" si="628"/>
        <v>0</v>
      </c>
      <c r="AC3816" s="278">
        <f t="shared" ref="AC3816" si="629">SUM(Q3816:AB3816)</f>
        <v>0</v>
      </c>
    </row>
    <row r="3817" spans="1:29" s="289" customFormat="1" x14ac:dyDescent="0.2">
      <c r="A3817" s="540"/>
      <c r="B3817" s="3482" t="s">
        <v>312</v>
      </c>
      <c r="C3817" s="3482"/>
      <c r="D3817" s="3482"/>
      <c r="E3817" s="3482"/>
      <c r="F3817" s="3482"/>
      <c r="G3817" s="3482"/>
      <c r="H3817" s="3482"/>
      <c r="I3817" s="3482"/>
      <c r="J3817" s="3482"/>
      <c r="K3817" s="3482"/>
      <c r="L3817" s="290">
        <f>+SUM(L3816)</f>
        <v>817808</v>
      </c>
      <c r="M3817" s="291"/>
      <c r="N3817" s="292"/>
      <c r="O3817" s="1028"/>
      <c r="P3817" s="1028"/>
      <c r="Q3817" s="287"/>
      <c r="R3817" s="287"/>
      <c r="S3817" s="287"/>
      <c r="T3817" s="287"/>
      <c r="U3817" s="287"/>
      <c r="V3817" s="287"/>
      <c r="W3817" s="287"/>
      <c r="X3817" s="287"/>
      <c r="Y3817" s="287"/>
      <c r="Z3817" s="287"/>
      <c r="AA3817" s="287"/>
      <c r="AB3817" s="287"/>
      <c r="AC3817" s="288"/>
    </row>
    <row r="3818" spans="1:29" x14ac:dyDescent="0.2">
      <c r="A3818" s="179"/>
      <c r="B3818" s="2999" t="s">
        <v>20</v>
      </c>
      <c r="C3818" s="2847" t="s">
        <v>21</v>
      </c>
      <c r="D3818" s="2847" t="s">
        <v>22</v>
      </c>
      <c r="E3818" s="2847" t="s">
        <v>23</v>
      </c>
      <c r="F3818" s="2847" t="s">
        <v>24</v>
      </c>
      <c r="G3818" s="2847" t="s">
        <v>25</v>
      </c>
      <c r="H3818" s="2847" t="s">
        <v>26</v>
      </c>
      <c r="I3818" s="2847" t="s">
        <v>27</v>
      </c>
      <c r="J3818" s="2986" t="s">
        <v>28</v>
      </c>
      <c r="K3818" s="2987"/>
      <c r="L3818" s="2986" t="s">
        <v>1628</v>
      </c>
      <c r="M3818" s="2987"/>
      <c r="N3818" s="2988" t="s">
        <v>29</v>
      </c>
      <c r="O3818" s="2986" t="s">
        <v>30</v>
      </c>
      <c r="P3818" s="2987"/>
      <c r="Q3818" s="3476" t="s">
        <v>31</v>
      </c>
      <c r="R3818" s="3477"/>
      <c r="S3818" s="3477"/>
      <c r="T3818" s="3477"/>
      <c r="U3818" s="3477"/>
      <c r="V3818" s="3477"/>
      <c r="W3818" s="3477"/>
      <c r="X3818" s="3477"/>
      <c r="Y3818" s="3477"/>
      <c r="Z3818" s="3477"/>
      <c r="AA3818" s="3477"/>
      <c r="AB3818" s="3478"/>
      <c r="AC3818" s="3479" t="s">
        <v>32</v>
      </c>
    </row>
    <row r="3819" spans="1:29" x14ac:dyDescent="0.2">
      <c r="A3819" s="179"/>
      <c r="B3819" s="2999"/>
      <c r="C3819" s="2847"/>
      <c r="D3819" s="2847"/>
      <c r="E3819" s="2847"/>
      <c r="F3819" s="2847"/>
      <c r="G3819" s="2847"/>
      <c r="H3819" s="2847"/>
      <c r="I3819" s="2847"/>
      <c r="J3819" s="1017" t="s">
        <v>33</v>
      </c>
      <c r="K3819" s="1017" t="s">
        <v>34</v>
      </c>
      <c r="L3819" s="306" t="s">
        <v>1513</v>
      </c>
      <c r="M3819" s="306" t="s">
        <v>1514</v>
      </c>
      <c r="N3819" s="2989"/>
      <c r="O3819" s="3000"/>
      <c r="P3819" s="3001"/>
      <c r="Q3819" s="1111" t="s">
        <v>35</v>
      </c>
      <c r="R3819" s="1111" t="s">
        <v>36</v>
      </c>
      <c r="S3819" s="1111" t="s">
        <v>37</v>
      </c>
      <c r="T3819" s="1111" t="s">
        <v>38</v>
      </c>
      <c r="U3819" s="1111" t="s">
        <v>39</v>
      </c>
      <c r="V3819" s="1111" t="s">
        <v>40</v>
      </c>
      <c r="W3819" s="1111" t="s">
        <v>41</v>
      </c>
      <c r="X3819" s="1111" t="s">
        <v>42</v>
      </c>
      <c r="Y3819" s="1111" t="s">
        <v>43</v>
      </c>
      <c r="Z3819" s="1111" t="s">
        <v>44</v>
      </c>
      <c r="AA3819" s="1111" t="s">
        <v>45</v>
      </c>
      <c r="AB3819" s="1111" t="s">
        <v>46</v>
      </c>
      <c r="AC3819" s="3479"/>
    </row>
    <row r="3820" spans="1:29" x14ac:dyDescent="0.2">
      <c r="A3820" s="179"/>
      <c r="B3820" s="3190" t="s">
        <v>1638</v>
      </c>
      <c r="C3820" s="2421" t="s">
        <v>1639</v>
      </c>
      <c r="D3820" s="2421"/>
      <c r="E3820" s="2421" t="s">
        <v>1517</v>
      </c>
      <c r="F3820" s="2421" t="s">
        <v>1630</v>
      </c>
      <c r="G3820" s="2421" t="s">
        <v>1635</v>
      </c>
      <c r="H3820" s="2421"/>
      <c r="I3820" s="2421" t="s">
        <v>1640</v>
      </c>
      <c r="J3820" s="2421">
        <v>189</v>
      </c>
      <c r="K3820" s="3488">
        <v>3457507</v>
      </c>
      <c r="L3820" s="1"/>
      <c r="M3820" s="542"/>
      <c r="N3820" s="2431" t="s">
        <v>1632</v>
      </c>
      <c r="O3820" s="1111" t="s">
        <v>51</v>
      </c>
      <c r="P3820" s="1111"/>
      <c r="Q3820" s="1111">
        <v>15</v>
      </c>
      <c r="R3820" s="1111">
        <v>15</v>
      </c>
      <c r="S3820" s="1111">
        <v>15</v>
      </c>
      <c r="T3820" s="1111">
        <v>16</v>
      </c>
      <c r="U3820" s="1111">
        <v>16</v>
      </c>
      <c r="V3820" s="1111">
        <v>16</v>
      </c>
      <c r="W3820" s="1111">
        <v>16</v>
      </c>
      <c r="X3820" s="1111">
        <v>16</v>
      </c>
      <c r="Y3820" s="1111">
        <v>16</v>
      </c>
      <c r="Z3820" s="1111">
        <v>16</v>
      </c>
      <c r="AA3820" s="1111">
        <v>16</v>
      </c>
      <c r="AB3820" s="1111">
        <v>16</v>
      </c>
      <c r="AC3820" s="1111">
        <f>SUM(Q3820:AB3820)</f>
        <v>189</v>
      </c>
    </row>
    <row r="3821" spans="1:29" x14ac:dyDescent="0.2">
      <c r="A3821" s="179"/>
      <c r="B3821" s="3191"/>
      <c r="C3821" s="2421"/>
      <c r="D3821" s="2421"/>
      <c r="E3821" s="2421"/>
      <c r="F3821" s="2421"/>
      <c r="G3821" s="2421"/>
      <c r="H3821" s="2421"/>
      <c r="I3821" s="2421"/>
      <c r="J3821" s="2421"/>
      <c r="K3821" s="3488"/>
      <c r="L3821" s="1"/>
      <c r="M3821" s="1"/>
      <c r="N3821" s="2432"/>
      <c r="O3821" s="2840" t="s">
        <v>1340</v>
      </c>
      <c r="P3821" s="2840"/>
      <c r="Q3821" s="274">
        <f>+SUM(Q3822:Q3895)</f>
        <v>102174</v>
      </c>
      <c r="R3821" s="274">
        <f t="shared" ref="R3821:AC3821" si="630">+SUM(R3822:R3895)</f>
        <v>116138.72727272728</v>
      </c>
      <c r="S3821" s="274">
        <f t="shared" si="630"/>
        <v>265402.72727272729</v>
      </c>
      <c r="T3821" s="274">
        <f t="shared" si="630"/>
        <v>377500.72727272724</v>
      </c>
      <c r="U3821" s="274">
        <f t="shared" si="630"/>
        <v>314731.72727272724</v>
      </c>
      <c r="V3821" s="274">
        <f t="shared" si="630"/>
        <v>318001.72727272724</v>
      </c>
      <c r="W3821" s="274" t="e">
        <f t="shared" si="630"/>
        <v>#VALUE!</v>
      </c>
      <c r="X3821" s="274">
        <f t="shared" si="630"/>
        <v>394788.12727272726</v>
      </c>
      <c r="Y3821" s="274">
        <f t="shared" si="630"/>
        <v>306137.1272727272</v>
      </c>
      <c r="Z3821" s="274">
        <f t="shared" si="630"/>
        <v>302431.1272727272</v>
      </c>
      <c r="AA3821" s="274">
        <f t="shared" si="630"/>
        <v>289566.1272727272</v>
      </c>
      <c r="AB3821" s="274" t="e">
        <f t="shared" si="630"/>
        <v>#VALUE!</v>
      </c>
      <c r="AC3821" s="274" t="e">
        <f t="shared" si="630"/>
        <v>#VALUE!</v>
      </c>
    </row>
    <row r="3822" spans="1:29" x14ac:dyDescent="0.2">
      <c r="A3822" s="179"/>
      <c r="B3822" s="3191"/>
      <c r="C3822" s="2421"/>
      <c r="D3822" s="2421"/>
      <c r="E3822" s="2421"/>
      <c r="F3822" s="2421"/>
      <c r="G3822" s="2421"/>
      <c r="H3822" s="2421"/>
      <c r="I3822" s="2421"/>
      <c r="J3822" s="2421"/>
      <c r="K3822" s="3488"/>
      <c r="L3822" s="275">
        <v>371027</v>
      </c>
      <c r="M3822" s="1"/>
      <c r="N3822" s="2432"/>
      <c r="O3822" s="1090">
        <v>211112</v>
      </c>
      <c r="P3822" s="913" t="s">
        <v>1315</v>
      </c>
      <c r="Q3822" s="278">
        <v>30919</v>
      </c>
      <c r="R3822" s="278">
        <v>30919</v>
      </c>
      <c r="S3822" s="278">
        <v>30919</v>
      </c>
      <c r="T3822" s="278">
        <v>30918</v>
      </c>
      <c r="U3822" s="278">
        <v>30919</v>
      </c>
      <c r="V3822" s="278">
        <v>30919</v>
      </c>
      <c r="W3822" s="278">
        <v>30919</v>
      </c>
      <c r="X3822" s="278">
        <v>30919</v>
      </c>
      <c r="Y3822" s="278">
        <v>30919</v>
      </c>
      <c r="Z3822" s="278">
        <v>30919</v>
      </c>
      <c r="AA3822" s="278">
        <v>30919</v>
      </c>
      <c r="AB3822" s="278">
        <v>30919</v>
      </c>
      <c r="AC3822" s="278">
        <f>+SUM(Q3822:AB3822)</f>
        <v>371027</v>
      </c>
    </row>
    <row r="3823" spans="1:29" x14ac:dyDescent="0.2">
      <c r="A3823" s="179"/>
      <c r="B3823" s="3191"/>
      <c r="C3823" s="2421"/>
      <c r="D3823" s="2421"/>
      <c r="E3823" s="2421"/>
      <c r="F3823" s="2421"/>
      <c r="G3823" s="2421"/>
      <c r="H3823" s="2421"/>
      <c r="I3823" s="2421"/>
      <c r="J3823" s="2421"/>
      <c r="K3823" s="3488"/>
      <c r="L3823" s="275">
        <v>172024</v>
      </c>
      <c r="M3823" s="1"/>
      <c r="N3823" s="2432"/>
      <c r="O3823" s="1090">
        <v>211311</v>
      </c>
      <c r="P3823" s="913" t="s">
        <v>1535</v>
      </c>
      <c r="Q3823" s="278">
        <f>+$L$50/12</f>
        <v>0</v>
      </c>
      <c r="R3823" s="278">
        <f t="shared" ref="R3823:AB3823" si="631">+$L$50/12</f>
        <v>0</v>
      </c>
      <c r="S3823" s="278">
        <f t="shared" si="631"/>
        <v>0</v>
      </c>
      <c r="T3823" s="278">
        <f t="shared" si="631"/>
        <v>0</v>
      </c>
      <c r="U3823" s="278">
        <f t="shared" si="631"/>
        <v>0</v>
      </c>
      <c r="V3823" s="278">
        <f t="shared" si="631"/>
        <v>0</v>
      </c>
      <c r="W3823" s="278">
        <f t="shared" si="631"/>
        <v>0</v>
      </c>
      <c r="X3823" s="278">
        <f t="shared" si="631"/>
        <v>0</v>
      </c>
      <c r="Y3823" s="278">
        <f t="shared" si="631"/>
        <v>0</v>
      </c>
      <c r="Z3823" s="278">
        <f t="shared" si="631"/>
        <v>0</v>
      </c>
      <c r="AA3823" s="278">
        <f t="shared" si="631"/>
        <v>0</v>
      </c>
      <c r="AB3823" s="278">
        <f t="shared" si="631"/>
        <v>0</v>
      </c>
      <c r="AC3823" s="278">
        <f t="shared" ref="AC3823:AC3886" si="632">+SUM(Q3823:AB3823)</f>
        <v>0</v>
      </c>
    </row>
    <row r="3824" spans="1:29" x14ac:dyDescent="0.2">
      <c r="A3824" s="179"/>
      <c r="B3824" s="3191"/>
      <c r="C3824" s="2421"/>
      <c r="D3824" s="2421"/>
      <c r="E3824" s="2421"/>
      <c r="F3824" s="2421"/>
      <c r="G3824" s="2421"/>
      <c r="H3824" s="2421"/>
      <c r="I3824" s="2421"/>
      <c r="J3824" s="2421"/>
      <c r="K3824" s="3488"/>
      <c r="L3824" s="275">
        <v>1729</v>
      </c>
      <c r="M3824" s="1"/>
      <c r="N3824" s="2432"/>
      <c r="O3824" s="1090">
        <v>211312</v>
      </c>
      <c r="P3824" s="913" t="s">
        <v>1641</v>
      </c>
      <c r="Q3824" s="278">
        <v>144</v>
      </c>
      <c r="R3824" s="278">
        <v>144</v>
      </c>
      <c r="S3824" s="278">
        <v>145</v>
      </c>
      <c r="T3824" s="278">
        <v>144</v>
      </c>
      <c r="U3824" s="278">
        <v>144</v>
      </c>
      <c r="V3824" s="278">
        <v>144</v>
      </c>
      <c r="W3824" s="278">
        <v>144</v>
      </c>
      <c r="X3824" s="278">
        <v>144</v>
      </c>
      <c r="Y3824" s="278">
        <v>144</v>
      </c>
      <c r="Z3824" s="278">
        <v>144</v>
      </c>
      <c r="AA3824" s="278">
        <v>144</v>
      </c>
      <c r="AB3824" s="278">
        <v>144</v>
      </c>
      <c r="AC3824" s="278">
        <f t="shared" si="632"/>
        <v>1729</v>
      </c>
    </row>
    <row r="3825" spans="1:29" x14ac:dyDescent="0.2">
      <c r="A3825" s="179"/>
      <c r="B3825" s="3191"/>
      <c r="C3825" s="2421"/>
      <c r="D3825" s="2421"/>
      <c r="E3825" s="2421"/>
      <c r="F3825" s="2421"/>
      <c r="G3825" s="2421"/>
      <c r="H3825" s="2421"/>
      <c r="I3825" s="2421"/>
      <c r="J3825" s="2421"/>
      <c r="K3825" s="3488"/>
      <c r="L3825" s="275">
        <v>113</v>
      </c>
      <c r="M3825" s="1"/>
      <c r="N3825" s="2432"/>
      <c r="O3825" s="1090">
        <v>211313</v>
      </c>
      <c r="P3825" s="913" t="s">
        <v>1642</v>
      </c>
      <c r="Q3825" s="278">
        <f>+$L$52/12</f>
        <v>0</v>
      </c>
      <c r="R3825" s="278">
        <f t="shared" ref="R3825:AB3825" si="633">+$L$52/12</f>
        <v>0</v>
      </c>
      <c r="S3825" s="278">
        <f t="shared" si="633"/>
        <v>0</v>
      </c>
      <c r="T3825" s="278">
        <f t="shared" si="633"/>
        <v>0</v>
      </c>
      <c r="U3825" s="278">
        <f t="shared" si="633"/>
        <v>0</v>
      </c>
      <c r="V3825" s="278">
        <f t="shared" si="633"/>
        <v>0</v>
      </c>
      <c r="W3825" s="278">
        <f t="shared" si="633"/>
        <v>0</v>
      </c>
      <c r="X3825" s="278">
        <f t="shared" si="633"/>
        <v>0</v>
      </c>
      <c r="Y3825" s="278">
        <f t="shared" si="633"/>
        <v>0</v>
      </c>
      <c r="Z3825" s="278">
        <f t="shared" si="633"/>
        <v>0</v>
      </c>
      <c r="AA3825" s="278">
        <f t="shared" si="633"/>
        <v>0</v>
      </c>
      <c r="AB3825" s="278">
        <f t="shared" si="633"/>
        <v>0</v>
      </c>
      <c r="AC3825" s="278">
        <f t="shared" si="632"/>
        <v>0</v>
      </c>
    </row>
    <row r="3826" spans="1:29" x14ac:dyDescent="0.2">
      <c r="A3826" s="179"/>
      <c r="B3826" s="3191"/>
      <c r="C3826" s="2421"/>
      <c r="D3826" s="2421"/>
      <c r="E3826" s="2421"/>
      <c r="F3826" s="2421"/>
      <c r="G3826" s="2421"/>
      <c r="H3826" s="2421"/>
      <c r="I3826" s="2421"/>
      <c r="J3826" s="2421"/>
      <c r="K3826" s="3488"/>
      <c r="L3826" s="275">
        <v>7600</v>
      </c>
      <c r="M3826" s="1"/>
      <c r="N3826" s="2432"/>
      <c r="O3826" s="1090">
        <v>211912</v>
      </c>
      <c r="P3826" s="913" t="s">
        <v>1321</v>
      </c>
      <c r="Q3826" s="278"/>
      <c r="R3826" s="274"/>
      <c r="S3826" s="278"/>
      <c r="T3826" s="274"/>
      <c r="U3826" s="278"/>
      <c r="V3826" s="274"/>
      <c r="W3826" s="278" t="e">
        <f>+$L$51/2</f>
        <v>#VALUE!</v>
      </c>
      <c r="X3826" s="274"/>
      <c r="Y3826" s="278"/>
      <c r="Z3826" s="274"/>
      <c r="AA3826" s="278"/>
      <c r="AB3826" s="278" t="e">
        <f>+$L$51/2</f>
        <v>#VALUE!</v>
      </c>
      <c r="AC3826" s="278" t="e">
        <f t="shared" si="632"/>
        <v>#VALUE!</v>
      </c>
    </row>
    <row r="3827" spans="1:29" x14ac:dyDescent="0.2">
      <c r="A3827" s="179"/>
      <c r="B3827" s="3191"/>
      <c r="C3827" s="2421"/>
      <c r="D3827" s="2421"/>
      <c r="E3827" s="2421"/>
      <c r="F3827" s="2421"/>
      <c r="G3827" s="2421"/>
      <c r="H3827" s="2421"/>
      <c r="I3827" s="2421"/>
      <c r="J3827" s="2421"/>
      <c r="K3827" s="3488"/>
      <c r="L3827" s="275">
        <v>21600</v>
      </c>
      <c r="M3827" s="1"/>
      <c r="N3827" s="2432"/>
      <c r="O3827" s="1090">
        <v>211913</v>
      </c>
      <c r="P3827" s="913" t="s">
        <v>1323</v>
      </c>
      <c r="Q3827" s="278">
        <f>+L3827</f>
        <v>21600</v>
      </c>
      <c r="R3827" s="278"/>
      <c r="S3827" s="278"/>
      <c r="T3827" s="278"/>
      <c r="U3827" s="278"/>
      <c r="V3827" s="278"/>
      <c r="W3827" s="278"/>
      <c r="X3827" s="278"/>
      <c r="Y3827" s="278"/>
      <c r="Z3827" s="278"/>
      <c r="AA3827" s="278"/>
      <c r="AB3827" s="278"/>
      <c r="AC3827" s="278">
        <f t="shared" si="632"/>
        <v>21600</v>
      </c>
    </row>
    <row r="3828" spans="1:29" x14ac:dyDescent="0.2">
      <c r="A3828" s="179"/>
      <c r="B3828" s="3191"/>
      <c r="C3828" s="2421"/>
      <c r="D3828" s="2421"/>
      <c r="E3828" s="2421"/>
      <c r="F3828" s="2421"/>
      <c r="G3828" s="2421"/>
      <c r="H3828" s="2421"/>
      <c r="I3828" s="2421"/>
      <c r="J3828" s="2421"/>
      <c r="K3828" s="3488"/>
      <c r="L3828" s="275">
        <v>9400</v>
      </c>
      <c r="M3828" s="1"/>
      <c r="N3828" s="2432"/>
      <c r="O3828" s="1090">
        <v>213115</v>
      </c>
      <c r="P3828" s="913" t="s">
        <v>1329</v>
      </c>
      <c r="Q3828" s="278">
        <f>+$L$55/12</f>
        <v>0</v>
      </c>
      <c r="R3828" s="278">
        <f t="shared" ref="R3828:AB3828" si="634">+$L$55/12</f>
        <v>0</v>
      </c>
      <c r="S3828" s="278">
        <f t="shared" si="634"/>
        <v>0</v>
      </c>
      <c r="T3828" s="278">
        <f t="shared" si="634"/>
        <v>0</v>
      </c>
      <c r="U3828" s="278">
        <f t="shared" si="634"/>
        <v>0</v>
      </c>
      <c r="V3828" s="278">
        <f t="shared" si="634"/>
        <v>0</v>
      </c>
      <c r="W3828" s="278">
        <f t="shared" si="634"/>
        <v>0</v>
      </c>
      <c r="X3828" s="278">
        <f t="shared" si="634"/>
        <v>0</v>
      </c>
      <c r="Y3828" s="278">
        <f t="shared" si="634"/>
        <v>0</v>
      </c>
      <c r="Z3828" s="278">
        <f t="shared" si="634"/>
        <v>0</v>
      </c>
      <c r="AA3828" s="278">
        <f t="shared" si="634"/>
        <v>0</v>
      </c>
      <c r="AB3828" s="278">
        <f t="shared" si="634"/>
        <v>0</v>
      </c>
      <c r="AC3828" s="278">
        <f t="shared" si="632"/>
        <v>0</v>
      </c>
    </row>
    <row r="3829" spans="1:29" x14ac:dyDescent="0.2">
      <c r="A3829" s="179"/>
      <c r="B3829" s="3191"/>
      <c r="C3829" s="2421"/>
      <c r="D3829" s="2421"/>
      <c r="E3829" s="2421"/>
      <c r="F3829" s="2421"/>
      <c r="G3829" s="2421"/>
      <c r="H3829" s="2421"/>
      <c r="I3829" s="2421"/>
      <c r="J3829" s="2421"/>
      <c r="K3829" s="3488"/>
      <c r="L3829" s="275">
        <v>616</v>
      </c>
      <c r="M3829" s="1"/>
      <c r="N3829" s="2432"/>
      <c r="O3829" s="1090">
        <v>213116</v>
      </c>
      <c r="P3829" s="913" t="s">
        <v>1542</v>
      </c>
      <c r="Q3829" s="278">
        <f>+$L$56/12</f>
        <v>0</v>
      </c>
      <c r="R3829" s="278">
        <f t="shared" ref="R3829:AB3829" si="635">+$L$56/12</f>
        <v>0</v>
      </c>
      <c r="S3829" s="278">
        <f t="shared" si="635"/>
        <v>0</v>
      </c>
      <c r="T3829" s="278">
        <f t="shared" si="635"/>
        <v>0</v>
      </c>
      <c r="U3829" s="278">
        <f t="shared" si="635"/>
        <v>0</v>
      </c>
      <c r="V3829" s="278">
        <f t="shared" si="635"/>
        <v>0</v>
      </c>
      <c r="W3829" s="278">
        <f t="shared" si="635"/>
        <v>0</v>
      </c>
      <c r="X3829" s="278">
        <f t="shared" si="635"/>
        <v>0</v>
      </c>
      <c r="Y3829" s="278">
        <f t="shared" si="635"/>
        <v>0</v>
      </c>
      <c r="Z3829" s="278">
        <f t="shared" si="635"/>
        <v>0</v>
      </c>
      <c r="AA3829" s="278">
        <f t="shared" si="635"/>
        <v>0</v>
      </c>
      <c r="AB3829" s="278">
        <f t="shared" si="635"/>
        <v>0</v>
      </c>
      <c r="AC3829" s="278">
        <f t="shared" si="632"/>
        <v>0</v>
      </c>
    </row>
    <row r="3830" spans="1:29" x14ac:dyDescent="0.2">
      <c r="A3830" s="179"/>
      <c r="B3830" s="3191"/>
      <c r="C3830" s="2421"/>
      <c r="D3830" s="2421"/>
      <c r="E3830" s="2421"/>
      <c r="F3830" s="2421"/>
      <c r="G3830" s="2421"/>
      <c r="H3830" s="2421"/>
      <c r="I3830" s="2421"/>
      <c r="J3830" s="2421"/>
      <c r="K3830" s="3488"/>
      <c r="L3830" s="275">
        <v>500</v>
      </c>
      <c r="M3830" s="278">
        <v>68659</v>
      </c>
      <c r="N3830" s="2432"/>
      <c r="O3830" s="1090">
        <v>231111</v>
      </c>
      <c r="P3830" s="913" t="s">
        <v>1306</v>
      </c>
      <c r="Q3830" s="278"/>
      <c r="R3830" s="278">
        <f>+SUM($L$57,$M$57)/11</f>
        <v>19264.727272727272</v>
      </c>
      <c r="S3830" s="278">
        <f t="shared" ref="S3830:AB3830" si="636">+SUM($L$57,$M$57)/11</f>
        <v>19264.727272727272</v>
      </c>
      <c r="T3830" s="278">
        <f t="shared" si="636"/>
        <v>19264.727272727272</v>
      </c>
      <c r="U3830" s="278">
        <f t="shared" si="636"/>
        <v>19264.727272727272</v>
      </c>
      <c r="V3830" s="278">
        <f t="shared" si="636"/>
        <v>19264.727272727272</v>
      </c>
      <c r="W3830" s="278">
        <f t="shared" si="636"/>
        <v>19264.727272727272</v>
      </c>
      <c r="X3830" s="278">
        <f t="shared" si="636"/>
        <v>19264.727272727272</v>
      </c>
      <c r="Y3830" s="278">
        <f t="shared" si="636"/>
        <v>19264.727272727272</v>
      </c>
      <c r="Z3830" s="278">
        <f t="shared" si="636"/>
        <v>19264.727272727272</v>
      </c>
      <c r="AA3830" s="278">
        <f t="shared" si="636"/>
        <v>19264.727272727272</v>
      </c>
      <c r="AB3830" s="278">
        <f t="shared" si="636"/>
        <v>19264.727272727272</v>
      </c>
      <c r="AC3830" s="278">
        <f t="shared" si="632"/>
        <v>211911.99999999994</v>
      </c>
    </row>
    <row r="3831" spans="1:29" x14ac:dyDescent="0.2">
      <c r="A3831" s="179"/>
      <c r="B3831" s="3191"/>
      <c r="C3831" s="2421"/>
      <c r="D3831" s="2421"/>
      <c r="E3831" s="2421"/>
      <c r="F3831" s="2421"/>
      <c r="G3831" s="2421"/>
      <c r="H3831" s="2421"/>
      <c r="I3831" s="2421"/>
      <c r="J3831" s="2421"/>
      <c r="K3831" s="3488"/>
      <c r="L3831" s="275">
        <v>7000</v>
      </c>
      <c r="M3831" s="278">
        <v>15000</v>
      </c>
      <c r="N3831" s="2432"/>
      <c r="O3831" s="1090">
        <v>2311111</v>
      </c>
      <c r="P3831" s="913" t="s">
        <v>1544</v>
      </c>
      <c r="Q3831" s="278"/>
      <c r="R3831" s="274"/>
      <c r="S3831" s="278">
        <v>1000</v>
      </c>
      <c r="T3831" s="278">
        <v>2000</v>
      </c>
      <c r="U3831" s="278">
        <v>1700</v>
      </c>
      <c r="V3831" s="278">
        <v>3000</v>
      </c>
      <c r="W3831" s="278">
        <v>2800</v>
      </c>
      <c r="X3831" s="278">
        <v>2200</v>
      </c>
      <c r="Y3831" s="278">
        <v>2500</v>
      </c>
      <c r="Z3831" s="278">
        <v>3000</v>
      </c>
      <c r="AA3831" s="278">
        <v>1800</v>
      </c>
      <c r="AB3831" s="278">
        <v>2000</v>
      </c>
      <c r="AC3831" s="278">
        <f t="shared" si="632"/>
        <v>22000</v>
      </c>
    </row>
    <row r="3832" spans="1:29" x14ac:dyDescent="0.2">
      <c r="A3832" s="179"/>
      <c r="B3832" s="3191"/>
      <c r="C3832" s="2421"/>
      <c r="D3832" s="2421"/>
      <c r="E3832" s="2421"/>
      <c r="F3832" s="2421"/>
      <c r="G3832" s="2421"/>
      <c r="H3832" s="2421"/>
      <c r="I3832" s="2421"/>
      <c r="J3832" s="2421"/>
      <c r="K3832" s="3488"/>
      <c r="L3832" s="275"/>
      <c r="M3832" s="278">
        <v>1200</v>
      </c>
      <c r="N3832" s="2432"/>
      <c r="O3832" s="1090">
        <v>2311112</v>
      </c>
      <c r="P3832" s="913" t="s">
        <v>1218</v>
      </c>
      <c r="Q3832" s="278"/>
      <c r="R3832" s="274"/>
      <c r="S3832" s="278"/>
      <c r="T3832" s="274"/>
      <c r="U3832" s="278"/>
      <c r="V3832" s="278">
        <f>+M3832</f>
        <v>1200</v>
      </c>
      <c r="W3832" s="278"/>
      <c r="X3832" s="274"/>
      <c r="Y3832" s="278"/>
      <c r="Z3832" s="274"/>
      <c r="AA3832" s="278"/>
      <c r="AB3832" s="274"/>
      <c r="AC3832" s="278">
        <f t="shared" si="632"/>
        <v>1200</v>
      </c>
    </row>
    <row r="3833" spans="1:29" x14ac:dyDescent="0.2">
      <c r="A3833" s="179"/>
      <c r="B3833" s="3191"/>
      <c r="C3833" s="2421"/>
      <c r="D3833" s="2421"/>
      <c r="E3833" s="2421"/>
      <c r="F3833" s="2421"/>
      <c r="G3833" s="2421"/>
      <c r="H3833" s="2421"/>
      <c r="I3833" s="2421"/>
      <c r="J3833" s="2421"/>
      <c r="K3833" s="3488"/>
      <c r="L3833" s="275"/>
      <c r="M3833" s="278">
        <v>2200</v>
      </c>
      <c r="N3833" s="2432"/>
      <c r="O3833" s="1090">
        <v>2311113</v>
      </c>
      <c r="P3833" s="913" t="s">
        <v>1546</v>
      </c>
      <c r="Q3833" s="278"/>
      <c r="R3833" s="274"/>
      <c r="S3833" s="278"/>
      <c r="T3833" s="274"/>
      <c r="U3833" s="278"/>
      <c r="V3833" s="274"/>
      <c r="W3833" s="278">
        <f>+M3833</f>
        <v>2200</v>
      </c>
      <c r="X3833" s="274"/>
      <c r="Y3833" s="278"/>
      <c r="Z3833" s="274"/>
      <c r="AA3833" s="278"/>
      <c r="AB3833" s="274"/>
      <c r="AC3833" s="278">
        <f t="shared" si="632"/>
        <v>2200</v>
      </c>
    </row>
    <row r="3834" spans="1:29" x14ac:dyDescent="0.2">
      <c r="A3834" s="179"/>
      <c r="B3834" s="3191"/>
      <c r="C3834" s="2421"/>
      <c r="D3834" s="2421"/>
      <c r="E3834" s="2421"/>
      <c r="F3834" s="2421"/>
      <c r="G3834" s="2421"/>
      <c r="H3834" s="2421"/>
      <c r="I3834" s="2421"/>
      <c r="J3834" s="2421"/>
      <c r="K3834" s="3488"/>
      <c r="L3834" s="275"/>
      <c r="M3834" s="278">
        <v>2200</v>
      </c>
      <c r="N3834" s="2432"/>
      <c r="O3834" s="1090">
        <v>2311114</v>
      </c>
      <c r="P3834" s="913" t="s">
        <v>1548</v>
      </c>
      <c r="Q3834" s="278"/>
      <c r="R3834" s="274"/>
      <c r="S3834" s="278"/>
      <c r="T3834" s="274"/>
      <c r="U3834" s="278"/>
      <c r="V3834" s="278">
        <f>+M3834</f>
        <v>2200</v>
      </c>
      <c r="W3834" s="278"/>
      <c r="X3834" s="274"/>
      <c r="Y3834" s="278"/>
      <c r="Z3834" s="274"/>
      <c r="AA3834" s="278"/>
      <c r="AB3834" s="274"/>
      <c r="AC3834" s="278">
        <f t="shared" si="632"/>
        <v>2200</v>
      </c>
    </row>
    <row r="3835" spans="1:29" x14ac:dyDescent="0.2">
      <c r="A3835" s="179"/>
      <c r="B3835" s="3191"/>
      <c r="C3835" s="2421"/>
      <c r="D3835" s="2421"/>
      <c r="E3835" s="2421"/>
      <c r="F3835" s="2421"/>
      <c r="G3835" s="2421"/>
      <c r="H3835" s="2421"/>
      <c r="I3835" s="2421"/>
      <c r="J3835" s="2421"/>
      <c r="K3835" s="3488"/>
      <c r="L3835" s="275"/>
      <c r="M3835" s="278">
        <v>8000</v>
      </c>
      <c r="N3835" s="2432"/>
      <c r="O3835" s="1090">
        <v>2311115</v>
      </c>
      <c r="P3835" s="913" t="s">
        <v>1550</v>
      </c>
      <c r="Q3835" s="278"/>
      <c r="R3835" s="274"/>
      <c r="S3835" s="278"/>
      <c r="T3835" s="274"/>
      <c r="U3835" s="278"/>
      <c r="V3835" s="278">
        <f>+M3835/2</f>
        <v>4000</v>
      </c>
      <c r="W3835" s="278"/>
      <c r="X3835" s="278">
        <v>4000</v>
      </c>
      <c r="Y3835" s="278"/>
      <c r="Z3835" s="274"/>
      <c r="AA3835" s="278"/>
      <c r="AB3835" s="274"/>
      <c r="AC3835" s="278">
        <f t="shared" si="632"/>
        <v>8000</v>
      </c>
    </row>
    <row r="3836" spans="1:29" x14ac:dyDescent="0.2">
      <c r="A3836" s="179"/>
      <c r="B3836" s="3191"/>
      <c r="C3836" s="2421"/>
      <c r="D3836" s="2421"/>
      <c r="E3836" s="2421"/>
      <c r="F3836" s="2421"/>
      <c r="G3836" s="2421"/>
      <c r="H3836" s="2421"/>
      <c r="I3836" s="2421"/>
      <c r="J3836" s="2421"/>
      <c r="K3836" s="3488"/>
      <c r="L3836" s="275"/>
      <c r="M3836" s="278">
        <v>7000</v>
      </c>
      <c r="N3836" s="2432"/>
      <c r="O3836" s="1090">
        <v>231211</v>
      </c>
      <c r="P3836" s="913" t="s">
        <v>1554</v>
      </c>
      <c r="Q3836" s="278"/>
      <c r="R3836" s="274"/>
      <c r="S3836" s="278"/>
      <c r="T3836" s="274"/>
      <c r="U3836" s="278">
        <f>+M3836/2</f>
        <v>3500</v>
      </c>
      <c r="V3836" s="274"/>
      <c r="W3836" s="278">
        <v>3500</v>
      </c>
      <c r="X3836" s="274"/>
      <c r="Y3836" s="278"/>
      <c r="Z3836" s="274"/>
      <c r="AA3836" s="278"/>
      <c r="AB3836" s="274"/>
      <c r="AC3836" s="278">
        <f t="shared" si="632"/>
        <v>7000</v>
      </c>
    </row>
    <row r="3837" spans="1:29" x14ac:dyDescent="0.2">
      <c r="A3837" s="179"/>
      <c r="B3837" s="3191"/>
      <c r="C3837" s="2421"/>
      <c r="D3837" s="2421"/>
      <c r="E3837" s="2421"/>
      <c r="F3837" s="2421"/>
      <c r="G3837" s="2421"/>
      <c r="H3837" s="2421"/>
      <c r="I3837" s="2421"/>
      <c r="J3837" s="2421"/>
      <c r="K3837" s="3488"/>
      <c r="L3837" s="275"/>
      <c r="M3837" s="278">
        <v>10850</v>
      </c>
      <c r="N3837" s="2432"/>
      <c r="O3837" s="1090">
        <v>231212</v>
      </c>
      <c r="P3837" s="913" t="s">
        <v>1556</v>
      </c>
      <c r="Q3837" s="278"/>
      <c r="R3837" s="274"/>
      <c r="S3837" s="278"/>
      <c r="T3837" s="274"/>
      <c r="U3837" s="278">
        <v>3500</v>
      </c>
      <c r="V3837" s="274"/>
      <c r="W3837" s="278">
        <v>3800</v>
      </c>
      <c r="X3837" s="274"/>
      <c r="Y3837" s="278">
        <v>3550</v>
      </c>
      <c r="Z3837" s="274"/>
      <c r="AA3837" s="278"/>
      <c r="AB3837" s="274"/>
      <c r="AC3837" s="278">
        <f t="shared" si="632"/>
        <v>10850</v>
      </c>
    </row>
    <row r="3838" spans="1:29" x14ac:dyDescent="0.2">
      <c r="A3838" s="179"/>
      <c r="B3838" s="3191"/>
      <c r="C3838" s="2421"/>
      <c r="D3838" s="2421"/>
      <c r="E3838" s="2421"/>
      <c r="F3838" s="2421"/>
      <c r="G3838" s="2421"/>
      <c r="H3838" s="2421"/>
      <c r="I3838" s="2421"/>
      <c r="J3838" s="2421"/>
      <c r="K3838" s="3488"/>
      <c r="L3838" s="275">
        <v>79000</v>
      </c>
      <c r="M3838" s="278">
        <v>51397</v>
      </c>
      <c r="N3838" s="2432"/>
      <c r="O3838" s="1090">
        <v>231311</v>
      </c>
      <c r="P3838" s="913" t="s">
        <v>1220</v>
      </c>
      <c r="Q3838" s="278"/>
      <c r="R3838" s="274"/>
      <c r="S3838" s="278">
        <f>+L3838/5</f>
        <v>15800</v>
      </c>
      <c r="T3838" s="278">
        <v>15800</v>
      </c>
      <c r="U3838" s="278">
        <v>15800</v>
      </c>
      <c r="V3838" s="278">
        <v>15800</v>
      </c>
      <c r="W3838" s="278">
        <v>15800</v>
      </c>
      <c r="X3838" s="278">
        <f>+M3838/5</f>
        <v>10279.4</v>
      </c>
      <c r="Y3838" s="278">
        <v>10279.4</v>
      </c>
      <c r="Z3838" s="278">
        <v>10279.4</v>
      </c>
      <c r="AA3838" s="278">
        <v>10279.4</v>
      </c>
      <c r="AB3838" s="278">
        <v>10279.4</v>
      </c>
      <c r="AC3838" s="278">
        <f t="shared" si="632"/>
        <v>130396.99999999997</v>
      </c>
    </row>
    <row r="3839" spans="1:29" x14ac:dyDescent="0.2">
      <c r="A3839" s="179"/>
      <c r="B3839" s="3191"/>
      <c r="C3839" s="2421"/>
      <c r="D3839" s="2421"/>
      <c r="E3839" s="2421"/>
      <c r="F3839" s="2421"/>
      <c r="G3839" s="2421"/>
      <c r="H3839" s="2421"/>
      <c r="I3839" s="2421"/>
      <c r="J3839" s="2421"/>
      <c r="K3839" s="3488"/>
      <c r="L3839" s="275">
        <v>1500</v>
      </c>
      <c r="M3839" s="278">
        <v>2904</v>
      </c>
      <c r="N3839" s="2432"/>
      <c r="O3839" s="1090">
        <v>231312</v>
      </c>
      <c r="P3839" s="913" t="s">
        <v>1558</v>
      </c>
      <c r="Q3839" s="278"/>
      <c r="R3839" s="274"/>
      <c r="S3839" s="278"/>
      <c r="T3839" s="274"/>
      <c r="U3839" s="278">
        <f>+L3839</f>
        <v>1500</v>
      </c>
      <c r="V3839" s="274"/>
      <c r="W3839" s="278"/>
      <c r="X3839" s="278">
        <f>+M3839/2</f>
        <v>1452</v>
      </c>
      <c r="Y3839" s="278">
        <v>1452</v>
      </c>
      <c r="Z3839" s="274"/>
      <c r="AA3839" s="278"/>
      <c r="AB3839" s="274"/>
      <c r="AC3839" s="278">
        <f t="shared" si="632"/>
        <v>4404</v>
      </c>
    </row>
    <row r="3840" spans="1:29" x14ac:dyDescent="0.2">
      <c r="A3840" s="179"/>
      <c r="B3840" s="3191"/>
      <c r="C3840" s="2421"/>
      <c r="D3840" s="2421"/>
      <c r="E3840" s="2421"/>
      <c r="F3840" s="2421"/>
      <c r="G3840" s="2421"/>
      <c r="H3840" s="2421"/>
      <c r="I3840" s="2421"/>
      <c r="J3840" s="2421"/>
      <c r="K3840" s="3488"/>
      <c r="L3840" s="275">
        <v>4500</v>
      </c>
      <c r="M3840" s="278">
        <v>4640</v>
      </c>
      <c r="N3840" s="2432"/>
      <c r="O3840" s="1090">
        <v>231313</v>
      </c>
      <c r="P3840" s="913" t="s">
        <v>1222</v>
      </c>
      <c r="Q3840" s="278"/>
      <c r="R3840" s="274"/>
      <c r="S3840" s="278"/>
      <c r="T3840" s="278">
        <v>1500</v>
      </c>
      <c r="U3840" s="278">
        <v>1500</v>
      </c>
      <c r="V3840" s="278">
        <v>1500</v>
      </c>
      <c r="W3840" s="278"/>
      <c r="X3840" s="278">
        <v>1500</v>
      </c>
      <c r="Y3840" s="278">
        <v>1500</v>
      </c>
      <c r="Z3840" s="278">
        <v>1000</v>
      </c>
      <c r="AA3840" s="278">
        <v>640</v>
      </c>
      <c r="AB3840" s="274"/>
      <c r="AC3840" s="278">
        <f t="shared" si="632"/>
        <v>9140</v>
      </c>
    </row>
    <row r="3841" spans="1:29" x14ac:dyDescent="0.2">
      <c r="A3841" s="179"/>
      <c r="B3841" s="3191"/>
      <c r="C3841" s="2421"/>
      <c r="D3841" s="2421"/>
      <c r="E3841" s="2421"/>
      <c r="F3841" s="2421"/>
      <c r="G3841" s="2421"/>
      <c r="H3841" s="2421"/>
      <c r="I3841" s="2421"/>
      <c r="J3841" s="2421"/>
      <c r="K3841" s="3488"/>
      <c r="L3841" s="275">
        <v>5000</v>
      </c>
      <c r="M3841" s="278">
        <v>23798</v>
      </c>
      <c r="N3841" s="2432"/>
      <c r="O3841" s="1090">
        <v>231511</v>
      </c>
      <c r="P3841" s="913" t="s">
        <v>1246</v>
      </c>
      <c r="Q3841" s="278"/>
      <c r="R3841" s="274"/>
      <c r="S3841" s="278">
        <v>2000</v>
      </c>
      <c r="T3841" s="274"/>
      <c r="U3841" s="278">
        <v>3000</v>
      </c>
      <c r="V3841" s="274"/>
      <c r="W3841" s="278"/>
      <c r="X3841" s="278">
        <v>4000</v>
      </c>
      <c r="Y3841" s="278">
        <v>4500</v>
      </c>
      <c r="Z3841" s="278">
        <v>4500</v>
      </c>
      <c r="AA3841" s="278">
        <v>4500</v>
      </c>
      <c r="AB3841" s="278">
        <v>6298</v>
      </c>
      <c r="AC3841" s="278">
        <f t="shared" si="632"/>
        <v>28798</v>
      </c>
    </row>
    <row r="3842" spans="1:29" x14ac:dyDescent="0.2">
      <c r="A3842" s="179"/>
      <c r="B3842" s="3191"/>
      <c r="C3842" s="2421"/>
      <c r="D3842" s="2421"/>
      <c r="E3842" s="2421"/>
      <c r="F3842" s="2421"/>
      <c r="G3842" s="2421"/>
      <c r="H3842" s="2421"/>
      <c r="I3842" s="2421"/>
      <c r="J3842" s="2421"/>
      <c r="K3842" s="3488"/>
      <c r="L3842" s="275">
        <v>25500</v>
      </c>
      <c r="M3842" s="278">
        <v>40000</v>
      </c>
      <c r="N3842" s="2432"/>
      <c r="O3842" s="1090">
        <v>231512</v>
      </c>
      <c r="P3842" s="913" t="s">
        <v>1236</v>
      </c>
      <c r="Q3842" s="278"/>
      <c r="R3842" s="274"/>
      <c r="S3842" s="278">
        <v>5100</v>
      </c>
      <c r="T3842" s="278">
        <v>5100</v>
      </c>
      <c r="U3842" s="278">
        <v>5100</v>
      </c>
      <c r="V3842" s="278">
        <v>5100</v>
      </c>
      <c r="W3842" s="278">
        <v>5100</v>
      </c>
      <c r="X3842" s="278">
        <v>8000</v>
      </c>
      <c r="Y3842" s="278">
        <v>8000</v>
      </c>
      <c r="Z3842" s="278">
        <v>8000</v>
      </c>
      <c r="AA3842" s="278">
        <v>8000</v>
      </c>
      <c r="AB3842" s="278">
        <v>8000</v>
      </c>
      <c r="AC3842" s="278">
        <f t="shared" si="632"/>
        <v>65500</v>
      </c>
    </row>
    <row r="3843" spans="1:29" x14ac:dyDescent="0.2">
      <c r="A3843" s="179"/>
      <c r="B3843" s="3191"/>
      <c r="C3843" s="2421"/>
      <c r="D3843" s="2421"/>
      <c r="E3843" s="2421"/>
      <c r="F3843" s="2421"/>
      <c r="G3843" s="2421"/>
      <c r="H3843" s="2421"/>
      <c r="I3843" s="2421"/>
      <c r="J3843" s="2421"/>
      <c r="K3843" s="3488"/>
      <c r="L3843" s="275">
        <v>38500</v>
      </c>
      <c r="M3843" s="278">
        <v>56200</v>
      </c>
      <c r="N3843" s="2432"/>
      <c r="O3843" s="1090">
        <v>231531</v>
      </c>
      <c r="P3843" s="913" t="s">
        <v>1268</v>
      </c>
      <c r="Q3843" s="278"/>
      <c r="R3843" s="278">
        <f>+L3843/5</f>
        <v>7700</v>
      </c>
      <c r="S3843" s="278">
        <v>7700</v>
      </c>
      <c r="T3843" s="278">
        <v>7700</v>
      </c>
      <c r="U3843" s="278">
        <v>7700</v>
      </c>
      <c r="V3843" s="278">
        <v>7700</v>
      </c>
      <c r="W3843" s="278">
        <v>9000</v>
      </c>
      <c r="X3843" s="278">
        <v>9000</v>
      </c>
      <c r="Y3843" s="278">
        <v>9000</v>
      </c>
      <c r="Z3843" s="278">
        <v>9000</v>
      </c>
      <c r="AA3843" s="278">
        <v>10000</v>
      </c>
      <c r="AB3843" s="278">
        <v>10200</v>
      </c>
      <c r="AC3843" s="278">
        <f t="shared" si="632"/>
        <v>94700</v>
      </c>
    </row>
    <row r="3844" spans="1:29" x14ac:dyDescent="0.2">
      <c r="A3844" s="179"/>
      <c r="B3844" s="3191"/>
      <c r="C3844" s="2421"/>
      <c r="D3844" s="2421"/>
      <c r="E3844" s="2421"/>
      <c r="F3844" s="2421"/>
      <c r="G3844" s="2421"/>
      <c r="H3844" s="2421"/>
      <c r="I3844" s="2421"/>
      <c r="J3844" s="2421"/>
      <c r="K3844" s="3488"/>
      <c r="L3844" s="275"/>
      <c r="M3844" s="278">
        <v>2000</v>
      </c>
      <c r="N3844" s="2432"/>
      <c r="O3844" s="1090">
        <v>231532</v>
      </c>
      <c r="P3844" s="913" t="s">
        <v>1248</v>
      </c>
      <c r="Q3844" s="278"/>
      <c r="R3844" s="274"/>
      <c r="S3844" s="278"/>
      <c r="T3844" s="278">
        <f>+M3844</f>
        <v>2000</v>
      </c>
      <c r="U3844" s="278"/>
      <c r="V3844" s="274"/>
      <c r="W3844" s="278"/>
      <c r="X3844" s="274"/>
      <c r="Y3844" s="278"/>
      <c r="Z3844" s="274"/>
      <c r="AA3844" s="278"/>
      <c r="AB3844" s="274"/>
      <c r="AC3844" s="278">
        <f t="shared" si="632"/>
        <v>2000</v>
      </c>
    </row>
    <row r="3845" spans="1:29" x14ac:dyDescent="0.2">
      <c r="A3845" s="179"/>
      <c r="B3845" s="3191"/>
      <c r="C3845" s="2421"/>
      <c r="D3845" s="2421"/>
      <c r="E3845" s="2421"/>
      <c r="F3845" s="2421"/>
      <c r="G3845" s="2421"/>
      <c r="H3845" s="2421"/>
      <c r="I3845" s="2421"/>
      <c r="J3845" s="2421"/>
      <c r="K3845" s="3488"/>
      <c r="L3845" s="275">
        <v>2000</v>
      </c>
      <c r="M3845" s="278">
        <v>31000</v>
      </c>
      <c r="N3845" s="2432"/>
      <c r="O3845" s="1090">
        <v>231541</v>
      </c>
      <c r="P3845" s="913" t="s">
        <v>1270</v>
      </c>
      <c r="Q3845" s="278"/>
      <c r="R3845" s="274"/>
      <c r="S3845" s="278"/>
      <c r="T3845" s="274"/>
      <c r="U3845" s="278"/>
      <c r="V3845" s="278">
        <f>+L3845</f>
        <v>2000</v>
      </c>
      <c r="W3845" s="278">
        <v>5000</v>
      </c>
      <c r="X3845" s="278">
        <v>5200</v>
      </c>
      <c r="Y3845" s="278">
        <v>5200</v>
      </c>
      <c r="Z3845" s="278">
        <v>5200</v>
      </c>
      <c r="AA3845" s="278">
        <v>5200</v>
      </c>
      <c r="AB3845" s="278">
        <v>5200</v>
      </c>
      <c r="AC3845" s="278">
        <f t="shared" si="632"/>
        <v>33000</v>
      </c>
    </row>
    <row r="3846" spans="1:29" x14ac:dyDescent="0.2">
      <c r="A3846" s="179"/>
      <c r="B3846" s="3191"/>
      <c r="C3846" s="2421"/>
      <c r="D3846" s="2421"/>
      <c r="E3846" s="2421"/>
      <c r="F3846" s="2421"/>
      <c r="G3846" s="2421"/>
      <c r="H3846" s="2421"/>
      <c r="I3846" s="2421"/>
      <c r="J3846" s="2421"/>
      <c r="K3846" s="3488"/>
      <c r="L3846" s="275">
        <v>31000</v>
      </c>
      <c r="M3846" s="278">
        <v>8300</v>
      </c>
      <c r="N3846" s="2432"/>
      <c r="O3846" s="1090">
        <v>231611</v>
      </c>
      <c r="P3846" s="913" t="s">
        <v>1224</v>
      </c>
      <c r="Q3846" s="278"/>
      <c r="R3846" s="278">
        <v>2000</v>
      </c>
      <c r="S3846" s="278">
        <v>4000</v>
      </c>
      <c r="T3846" s="278">
        <v>6000</v>
      </c>
      <c r="U3846" s="278">
        <v>5000</v>
      </c>
      <c r="V3846" s="278">
        <v>5000</v>
      </c>
      <c r="W3846" s="278">
        <v>9000</v>
      </c>
      <c r="X3846" s="278">
        <v>2000</v>
      </c>
      <c r="Y3846" s="278">
        <v>2000</v>
      </c>
      <c r="Z3846" s="278">
        <v>2000</v>
      </c>
      <c r="AA3846" s="278">
        <v>2300</v>
      </c>
      <c r="AB3846" s="274"/>
      <c r="AC3846" s="278">
        <f t="shared" si="632"/>
        <v>39300</v>
      </c>
    </row>
    <row r="3847" spans="1:29" x14ac:dyDescent="0.2">
      <c r="A3847" s="179"/>
      <c r="B3847" s="3191"/>
      <c r="C3847" s="2421"/>
      <c r="D3847" s="2421"/>
      <c r="E3847" s="2421"/>
      <c r="F3847" s="2421"/>
      <c r="G3847" s="2421"/>
      <c r="H3847" s="2421"/>
      <c r="I3847" s="2421"/>
      <c r="J3847" s="2421"/>
      <c r="K3847" s="3488"/>
      <c r="L3847" s="275">
        <v>1500</v>
      </c>
      <c r="M3847" s="278">
        <v>1000</v>
      </c>
      <c r="N3847" s="2432"/>
      <c r="O3847" s="1090">
        <v>231613</v>
      </c>
      <c r="P3847" s="913" t="s">
        <v>1560</v>
      </c>
      <c r="Q3847" s="278"/>
      <c r="R3847" s="274"/>
      <c r="S3847" s="278"/>
      <c r="T3847" s="274"/>
      <c r="U3847" s="278"/>
      <c r="V3847" s="274"/>
      <c r="W3847" s="278"/>
      <c r="X3847" s="278">
        <f>+L3847</f>
        <v>1500</v>
      </c>
      <c r="Y3847" s="278"/>
      <c r="Z3847" s="278">
        <v>500</v>
      </c>
      <c r="AA3847" s="278">
        <v>500</v>
      </c>
      <c r="AB3847" s="274"/>
      <c r="AC3847" s="278">
        <f t="shared" si="632"/>
        <v>2500</v>
      </c>
    </row>
    <row r="3848" spans="1:29" x14ac:dyDescent="0.2">
      <c r="A3848" s="179"/>
      <c r="B3848" s="3191"/>
      <c r="C3848" s="2421"/>
      <c r="D3848" s="2421"/>
      <c r="E3848" s="2421"/>
      <c r="F3848" s="2421"/>
      <c r="G3848" s="2421"/>
      <c r="H3848" s="2421"/>
      <c r="I3848" s="2421"/>
      <c r="J3848" s="2421"/>
      <c r="K3848" s="3488"/>
      <c r="L3848" s="275"/>
      <c r="M3848" s="278">
        <v>2800</v>
      </c>
      <c r="N3848" s="2432"/>
      <c r="O3848" s="1090">
        <v>2316199</v>
      </c>
      <c r="P3848" s="913" t="s">
        <v>1562</v>
      </c>
      <c r="Q3848" s="278"/>
      <c r="R3848" s="274"/>
      <c r="S3848" s="278"/>
      <c r="T3848" s="274"/>
      <c r="U3848" s="278"/>
      <c r="V3848" s="274"/>
      <c r="W3848" s="278">
        <v>200</v>
      </c>
      <c r="X3848" s="274"/>
      <c r="Y3848" s="278">
        <v>1300</v>
      </c>
      <c r="Z3848" s="278">
        <v>1300</v>
      </c>
      <c r="AA3848" s="278"/>
      <c r="AB3848" s="274"/>
      <c r="AC3848" s="278">
        <f t="shared" si="632"/>
        <v>2800</v>
      </c>
    </row>
    <row r="3849" spans="1:29" x14ac:dyDescent="0.2">
      <c r="A3849" s="179"/>
      <c r="B3849" s="3191"/>
      <c r="C3849" s="2421"/>
      <c r="D3849" s="2421"/>
      <c r="E3849" s="2421"/>
      <c r="F3849" s="2421"/>
      <c r="G3849" s="2421"/>
      <c r="H3849" s="2421"/>
      <c r="I3849" s="2421"/>
      <c r="J3849" s="2421"/>
      <c r="K3849" s="3488"/>
      <c r="L3849" s="275">
        <v>1200</v>
      </c>
      <c r="M3849" s="278">
        <v>5860</v>
      </c>
      <c r="N3849" s="2432"/>
      <c r="O3849" s="1090">
        <v>231711</v>
      </c>
      <c r="P3849" s="913" t="s">
        <v>1275</v>
      </c>
      <c r="Q3849" s="278"/>
      <c r="R3849" s="274"/>
      <c r="S3849" s="278"/>
      <c r="T3849" s="278">
        <v>600</v>
      </c>
      <c r="U3849" s="278"/>
      <c r="V3849" s="278">
        <v>600</v>
      </c>
      <c r="W3849" s="278">
        <v>1000</v>
      </c>
      <c r="X3849" s="278">
        <v>1000</v>
      </c>
      <c r="Y3849" s="278">
        <v>1000</v>
      </c>
      <c r="Z3849" s="278">
        <v>2000</v>
      </c>
      <c r="AA3849" s="278">
        <v>860</v>
      </c>
      <c r="AB3849" s="274"/>
      <c r="AC3849" s="278">
        <f t="shared" si="632"/>
        <v>7060</v>
      </c>
    </row>
    <row r="3850" spans="1:29" x14ac:dyDescent="0.2">
      <c r="A3850" s="179"/>
      <c r="B3850" s="3191"/>
      <c r="C3850" s="2421"/>
      <c r="D3850" s="2421"/>
      <c r="E3850" s="2421"/>
      <c r="F3850" s="2421"/>
      <c r="G3850" s="2421"/>
      <c r="H3850" s="2421"/>
      <c r="I3850" s="2421"/>
      <c r="J3850" s="2421"/>
      <c r="K3850" s="3488"/>
      <c r="L3850" s="275">
        <v>49539</v>
      </c>
      <c r="M3850" s="278">
        <v>15000</v>
      </c>
      <c r="N3850" s="2432"/>
      <c r="O3850" s="1090">
        <v>231812</v>
      </c>
      <c r="P3850" s="913" t="s">
        <v>1564</v>
      </c>
      <c r="Q3850" s="278"/>
      <c r="R3850" s="274"/>
      <c r="S3850" s="278"/>
      <c r="T3850" s="278">
        <v>33000</v>
      </c>
      <c r="U3850" s="278"/>
      <c r="V3850" s="278"/>
      <c r="W3850" s="278"/>
      <c r="X3850" s="278">
        <v>31539</v>
      </c>
      <c r="Y3850" s="278"/>
      <c r="Z3850" s="274"/>
      <c r="AA3850" s="278"/>
      <c r="AB3850" s="274"/>
      <c r="AC3850" s="278">
        <f t="shared" si="632"/>
        <v>64539</v>
      </c>
    </row>
    <row r="3851" spans="1:29" x14ac:dyDescent="0.2">
      <c r="A3851" s="179"/>
      <c r="B3851" s="3191"/>
      <c r="C3851" s="2421"/>
      <c r="D3851" s="2421"/>
      <c r="E3851" s="2421"/>
      <c r="F3851" s="2421"/>
      <c r="G3851" s="2421"/>
      <c r="H3851" s="2421"/>
      <c r="I3851" s="2421"/>
      <c r="J3851" s="2421"/>
      <c r="K3851" s="3488"/>
      <c r="L3851" s="275"/>
      <c r="M3851" s="278">
        <v>7000</v>
      </c>
      <c r="N3851" s="2432"/>
      <c r="O3851" s="1090">
        <v>2318199</v>
      </c>
      <c r="P3851" s="913" t="s">
        <v>1568</v>
      </c>
      <c r="Q3851" s="278"/>
      <c r="R3851" s="274"/>
      <c r="S3851" s="278"/>
      <c r="T3851" s="278">
        <v>5000</v>
      </c>
      <c r="U3851" s="278"/>
      <c r="V3851" s="278"/>
      <c r="W3851" s="278"/>
      <c r="X3851" s="278">
        <v>2000</v>
      </c>
      <c r="Y3851" s="278"/>
      <c r="Z3851" s="274"/>
      <c r="AA3851" s="278"/>
      <c r="AB3851" s="274"/>
      <c r="AC3851" s="278">
        <f t="shared" si="632"/>
        <v>7000</v>
      </c>
    </row>
    <row r="3852" spans="1:29" x14ac:dyDescent="0.2">
      <c r="A3852" s="179"/>
      <c r="B3852" s="3191"/>
      <c r="C3852" s="2421"/>
      <c r="D3852" s="2421"/>
      <c r="E3852" s="2421"/>
      <c r="F3852" s="2421"/>
      <c r="G3852" s="2421"/>
      <c r="H3852" s="2421"/>
      <c r="I3852" s="2421"/>
      <c r="J3852" s="2421"/>
      <c r="K3852" s="3488"/>
      <c r="L3852" s="275">
        <v>33000</v>
      </c>
      <c r="M3852" s="278">
        <v>136986</v>
      </c>
      <c r="N3852" s="2432"/>
      <c r="O3852" s="1090">
        <v>231821</v>
      </c>
      <c r="P3852" s="913" t="s">
        <v>1566</v>
      </c>
      <c r="Q3852" s="278"/>
      <c r="R3852" s="274"/>
      <c r="S3852" s="278"/>
      <c r="T3852" s="278">
        <v>50000</v>
      </c>
      <c r="U3852" s="278">
        <v>10000</v>
      </c>
      <c r="V3852" s="278">
        <v>10000</v>
      </c>
      <c r="W3852" s="278">
        <v>10000</v>
      </c>
      <c r="X3852" s="278">
        <v>50000</v>
      </c>
      <c r="Y3852" s="278">
        <v>10000</v>
      </c>
      <c r="Z3852" s="278">
        <v>10000</v>
      </c>
      <c r="AA3852" s="278">
        <v>10000</v>
      </c>
      <c r="AB3852" s="278">
        <v>9986</v>
      </c>
      <c r="AC3852" s="278">
        <f t="shared" si="632"/>
        <v>169986</v>
      </c>
    </row>
    <row r="3853" spans="1:29" x14ac:dyDescent="0.2">
      <c r="A3853" s="179"/>
      <c r="B3853" s="3191"/>
      <c r="C3853" s="2421"/>
      <c r="D3853" s="2421"/>
      <c r="E3853" s="2421"/>
      <c r="F3853" s="2421"/>
      <c r="G3853" s="2421"/>
      <c r="H3853" s="2421"/>
      <c r="I3853" s="2421"/>
      <c r="J3853" s="2421"/>
      <c r="K3853" s="3488"/>
      <c r="L3853" s="275">
        <v>1000</v>
      </c>
      <c r="M3853" s="1"/>
      <c r="N3853" s="2432"/>
      <c r="O3853" s="1090">
        <v>231911</v>
      </c>
      <c r="P3853" s="913" t="s">
        <v>1570</v>
      </c>
      <c r="Q3853" s="278"/>
      <c r="R3853" s="274"/>
      <c r="S3853" s="278"/>
      <c r="T3853" s="274"/>
      <c r="U3853" s="278">
        <v>1000</v>
      </c>
      <c r="V3853" s="274"/>
      <c r="W3853" s="278"/>
      <c r="X3853" s="274"/>
      <c r="Y3853" s="278"/>
      <c r="Z3853" s="274"/>
      <c r="AA3853" s="278"/>
      <c r="AB3853" s="274"/>
      <c r="AC3853" s="278">
        <f t="shared" si="632"/>
        <v>1000</v>
      </c>
    </row>
    <row r="3854" spans="1:29" x14ac:dyDescent="0.2">
      <c r="A3854" s="179"/>
      <c r="B3854" s="3191"/>
      <c r="C3854" s="2421"/>
      <c r="D3854" s="2421"/>
      <c r="E3854" s="2421"/>
      <c r="F3854" s="2421"/>
      <c r="G3854" s="2421"/>
      <c r="H3854" s="2421"/>
      <c r="I3854" s="2421"/>
      <c r="J3854" s="2421"/>
      <c r="K3854" s="3488"/>
      <c r="L3854" s="275">
        <v>1000</v>
      </c>
      <c r="M3854" s="1"/>
      <c r="N3854" s="2432"/>
      <c r="O3854" s="1090">
        <v>2319199</v>
      </c>
      <c r="P3854" s="913" t="s">
        <v>1524</v>
      </c>
      <c r="Q3854" s="278"/>
      <c r="R3854" s="274"/>
      <c r="S3854" s="278"/>
      <c r="T3854" s="274"/>
      <c r="U3854" s="278"/>
      <c r="V3854" s="278">
        <v>1000</v>
      </c>
      <c r="W3854" s="278"/>
      <c r="X3854" s="274"/>
      <c r="Y3854" s="278"/>
      <c r="Z3854" s="274"/>
      <c r="AA3854" s="278"/>
      <c r="AB3854" s="274"/>
      <c r="AC3854" s="278">
        <f t="shared" si="632"/>
        <v>1000</v>
      </c>
    </row>
    <row r="3855" spans="1:29" x14ac:dyDescent="0.2">
      <c r="A3855" s="179"/>
      <c r="B3855" s="3191"/>
      <c r="C3855" s="2421"/>
      <c r="D3855" s="2421"/>
      <c r="E3855" s="2421"/>
      <c r="F3855" s="2421"/>
      <c r="G3855" s="2421"/>
      <c r="H3855" s="2421"/>
      <c r="I3855" s="2421"/>
      <c r="J3855" s="2421"/>
      <c r="K3855" s="3488"/>
      <c r="L3855" s="275"/>
      <c r="M3855" s="278">
        <v>1200</v>
      </c>
      <c r="N3855" s="2432"/>
      <c r="O3855" s="1090">
        <v>2319911</v>
      </c>
      <c r="P3855" s="913" t="s">
        <v>1572</v>
      </c>
      <c r="Q3855" s="278"/>
      <c r="R3855" s="274"/>
      <c r="S3855" s="278"/>
      <c r="T3855" s="274"/>
      <c r="U3855" s="278"/>
      <c r="V3855" s="274"/>
      <c r="W3855" s="278">
        <v>1200</v>
      </c>
      <c r="X3855" s="274"/>
      <c r="Y3855" s="278"/>
      <c r="Z3855" s="274"/>
      <c r="AA3855" s="278"/>
      <c r="AB3855" s="274"/>
      <c r="AC3855" s="278">
        <f t="shared" si="632"/>
        <v>1200</v>
      </c>
    </row>
    <row r="3856" spans="1:29" x14ac:dyDescent="0.2">
      <c r="A3856" s="179"/>
      <c r="B3856" s="3191"/>
      <c r="C3856" s="2421"/>
      <c r="D3856" s="2421"/>
      <c r="E3856" s="2421"/>
      <c r="F3856" s="2421"/>
      <c r="G3856" s="2421"/>
      <c r="H3856" s="2421"/>
      <c r="I3856" s="2421"/>
      <c r="J3856" s="2421"/>
      <c r="K3856" s="3488"/>
      <c r="L3856" s="275"/>
      <c r="M3856" s="278">
        <v>6100</v>
      </c>
      <c r="N3856" s="2432"/>
      <c r="O3856" s="1090">
        <v>23199199</v>
      </c>
      <c r="P3856" s="913" t="s">
        <v>1277</v>
      </c>
      <c r="Q3856" s="278"/>
      <c r="R3856" s="274"/>
      <c r="S3856" s="278"/>
      <c r="T3856" s="278"/>
      <c r="U3856" s="278"/>
      <c r="V3856" s="278">
        <v>1000</v>
      </c>
      <c r="W3856" s="278"/>
      <c r="X3856" s="278">
        <v>2000</v>
      </c>
      <c r="Y3856" s="278"/>
      <c r="Z3856" s="278">
        <v>2000</v>
      </c>
      <c r="AA3856" s="278">
        <v>1100</v>
      </c>
      <c r="AB3856" s="274"/>
      <c r="AC3856" s="278">
        <f t="shared" si="632"/>
        <v>6100</v>
      </c>
    </row>
    <row r="3857" spans="1:29" x14ac:dyDescent="0.2">
      <c r="A3857" s="179"/>
      <c r="B3857" s="3191"/>
      <c r="C3857" s="2421"/>
      <c r="D3857" s="2421"/>
      <c r="E3857" s="2421"/>
      <c r="F3857" s="2421"/>
      <c r="G3857" s="2421"/>
      <c r="H3857" s="2421"/>
      <c r="I3857" s="2421"/>
      <c r="J3857" s="2421"/>
      <c r="K3857" s="3488"/>
      <c r="L3857" s="275">
        <v>7000</v>
      </c>
      <c r="M3857" s="278">
        <v>12000</v>
      </c>
      <c r="N3857" s="2432"/>
      <c r="O3857" s="1090">
        <v>2319913</v>
      </c>
      <c r="P3857" s="913" t="s">
        <v>1250</v>
      </c>
      <c r="Q3857" s="278"/>
      <c r="R3857" s="274"/>
      <c r="S3857" s="278">
        <v>2000</v>
      </c>
      <c r="T3857" s="278">
        <v>1500</v>
      </c>
      <c r="U3857" s="278">
        <v>2000</v>
      </c>
      <c r="V3857" s="278">
        <v>2000</v>
      </c>
      <c r="W3857" s="278">
        <v>3000</v>
      </c>
      <c r="X3857" s="278">
        <v>2000</v>
      </c>
      <c r="Y3857" s="278">
        <v>1000</v>
      </c>
      <c r="Z3857" s="278">
        <v>2500</v>
      </c>
      <c r="AA3857" s="278">
        <v>3000</v>
      </c>
      <c r="AB3857" s="274"/>
      <c r="AC3857" s="278">
        <f t="shared" si="632"/>
        <v>19000</v>
      </c>
    </row>
    <row r="3858" spans="1:29" x14ac:dyDescent="0.2">
      <c r="A3858" s="179"/>
      <c r="B3858" s="3191"/>
      <c r="C3858" s="2421"/>
      <c r="D3858" s="2421"/>
      <c r="E3858" s="2421"/>
      <c r="F3858" s="2421"/>
      <c r="G3858" s="2421"/>
      <c r="H3858" s="2421"/>
      <c r="I3858" s="2421"/>
      <c r="J3858" s="2421"/>
      <c r="K3858" s="3488"/>
      <c r="L3858" s="275">
        <v>10000</v>
      </c>
      <c r="M3858" s="278">
        <v>6140</v>
      </c>
      <c r="N3858" s="2432"/>
      <c r="O3858" s="1090">
        <v>232121</v>
      </c>
      <c r="P3858" s="913" t="s">
        <v>1238</v>
      </c>
      <c r="Q3858" s="278"/>
      <c r="R3858" s="274"/>
      <c r="S3858" s="278">
        <v>2000</v>
      </c>
      <c r="T3858" s="278">
        <v>2000</v>
      </c>
      <c r="U3858" s="278">
        <v>2000</v>
      </c>
      <c r="V3858" s="278">
        <v>2000</v>
      </c>
      <c r="W3858" s="278">
        <v>2000</v>
      </c>
      <c r="X3858" s="278">
        <v>2000</v>
      </c>
      <c r="Y3858" s="278">
        <v>2000</v>
      </c>
      <c r="Z3858" s="278">
        <v>1000</v>
      </c>
      <c r="AA3858" s="278">
        <v>1140</v>
      </c>
      <c r="AB3858" s="274"/>
      <c r="AC3858" s="278">
        <f t="shared" si="632"/>
        <v>16140</v>
      </c>
    </row>
    <row r="3859" spans="1:29" x14ac:dyDescent="0.2">
      <c r="A3859" s="179"/>
      <c r="B3859" s="3191"/>
      <c r="C3859" s="2421"/>
      <c r="D3859" s="2421"/>
      <c r="E3859" s="2421"/>
      <c r="F3859" s="2421"/>
      <c r="G3859" s="2421"/>
      <c r="H3859" s="2421"/>
      <c r="I3859" s="2421"/>
      <c r="J3859" s="2421"/>
      <c r="K3859" s="3488"/>
      <c r="L3859" s="275">
        <v>42042</v>
      </c>
      <c r="M3859" s="278">
        <v>28790</v>
      </c>
      <c r="N3859" s="2432"/>
      <c r="O3859" s="1090">
        <v>232122</v>
      </c>
      <c r="P3859" s="913" t="s">
        <v>1240</v>
      </c>
      <c r="Q3859" s="278"/>
      <c r="R3859" s="274"/>
      <c r="S3859" s="278">
        <v>8000</v>
      </c>
      <c r="T3859" s="278">
        <v>8000</v>
      </c>
      <c r="U3859" s="278">
        <v>8000</v>
      </c>
      <c r="V3859" s="278">
        <v>8000</v>
      </c>
      <c r="W3859" s="278">
        <v>8000</v>
      </c>
      <c r="X3859" s="278">
        <v>8000</v>
      </c>
      <c r="Y3859" s="278">
        <v>8000</v>
      </c>
      <c r="Z3859" s="278">
        <v>7000</v>
      </c>
      <c r="AA3859" s="278">
        <v>7832</v>
      </c>
      <c r="AB3859" s="274"/>
      <c r="AC3859" s="278">
        <f t="shared" si="632"/>
        <v>70832</v>
      </c>
    </row>
    <row r="3860" spans="1:29" x14ac:dyDescent="0.2">
      <c r="A3860" s="179"/>
      <c r="B3860" s="3191"/>
      <c r="C3860" s="2421"/>
      <c r="D3860" s="2421"/>
      <c r="E3860" s="2421"/>
      <c r="F3860" s="2421"/>
      <c r="G3860" s="2421"/>
      <c r="H3860" s="2421"/>
      <c r="I3860" s="2421"/>
      <c r="J3860" s="2421"/>
      <c r="K3860" s="3488"/>
      <c r="L3860" s="275">
        <v>20000</v>
      </c>
      <c r="M3860" s="278">
        <v>1000</v>
      </c>
      <c r="N3860" s="2432"/>
      <c r="O3860" s="1090">
        <v>232123</v>
      </c>
      <c r="P3860" s="913" t="s">
        <v>1574</v>
      </c>
      <c r="Q3860" s="278"/>
      <c r="R3860" s="274"/>
      <c r="S3860" s="278"/>
      <c r="T3860" s="278"/>
      <c r="U3860" s="278">
        <v>5000</v>
      </c>
      <c r="V3860" s="278">
        <v>5000</v>
      </c>
      <c r="W3860" s="278">
        <v>5000</v>
      </c>
      <c r="X3860" s="278">
        <v>5000</v>
      </c>
      <c r="Y3860" s="278"/>
      <c r="Z3860" s="278">
        <v>1000</v>
      </c>
      <c r="AA3860" s="278"/>
      <c r="AB3860" s="274"/>
      <c r="AC3860" s="278">
        <f t="shared" si="632"/>
        <v>21000</v>
      </c>
    </row>
    <row r="3861" spans="1:29" x14ac:dyDescent="0.2">
      <c r="A3861" s="179"/>
      <c r="B3861" s="3191"/>
      <c r="C3861" s="2421"/>
      <c r="D3861" s="2421"/>
      <c r="E3861" s="2421"/>
      <c r="F3861" s="2421"/>
      <c r="G3861" s="2421"/>
      <c r="H3861" s="2421"/>
      <c r="I3861" s="2421"/>
      <c r="J3861" s="2421"/>
      <c r="K3861" s="3488"/>
      <c r="L3861" s="275">
        <v>18500</v>
      </c>
      <c r="M3861" s="278">
        <v>27630</v>
      </c>
      <c r="N3861" s="2432"/>
      <c r="O3861" s="1090">
        <v>2321299</v>
      </c>
      <c r="P3861" s="913" t="s">
        <v>1279</v>
      </c>
      <c r="Q3861" s="278"/>
      <c r="R3861" s="274"/>
      <c r="S3861" s="278">
        <v>4613</v>
      </c>
      <c r="T3861" s="278">
        <v>4613</v>
      </c>
      <c r="U3861" s="278">
        <v>4613</v>
      </c>
      <c r="V3861" s="278">
        <v>4613</v>
      </c>
      <c r="W3861" s="278">
        <v>4613</v>
      </c>
      <c r="X3861" s="278">
        <v>4613</v>
      </c>
      <c r="Y3861" s="278">
        <v>4613</v>
      </c>
      <c r="Z3861" s="278">
        <v>4613</v>
      </c>
      <c r="AA3861" s="278">
        <v>4613</v>
      </c>
      <c r="AB3861" s="278">
        <v>4613</v>
      </c>
      <c r="AC3861" s="278">
        <f t="shared" si="632"/>
        <v>46130</v>
      </c>
    </row>
    <row r="3862" spans="1:29" x14ac:dyDescent="0.2">
      <c r="A3862" s="179"/>
      <c r="B3862" s="3191"/>
      <c r="C3862" s="2421"/>
      <c r="D3862" s="2421"/>
      <c r="E3862" s="2421"/>
      <c r="F3862" s="2421"/>
      <c r="G3862" s="2421"/>
      <c r="H3862" s="2421"/>
      <c r="I3862" s="2421"/>
      <c r="J3862" s="2421"/>
      <c r="K3862" s="3488"/>
      <c r="L3862" s="275">
        <v>68000</v>
      </c>
      <c r="M3862" s="278">
        <v>28000</v>
      </c>
      <c r="N3862" s="2432"/>
      <c r="O3862" s="1090">
        <v>232211</v>
      </c>
      <c r="P3862" s="913" t="s">
        <v>1281</v>
      </c>
      <c r="Q3862" s="278"/>
      <c r="R3862" s="274"/>
      <c r="S3862" s="278"/>
      <c r="T3862" s="278">
        <v>8000</v>
      </c>
      <c r="U3862" s="278">
        <v>8000</v>
      </c>
      <c r="V3862" s="278">
        <v>10000</v>
      </c>
      <c r="W3862" s="278">
        <v>10000</v>
      </c>
      <c r="X3862" s="278">
        <v>13000</v>
      </c>
      <c r="Y3862" s="278">
        <v>13000</v>
      </c>
      <c r="Z3862" s="278">
        <v>12000</v>
      </c>
      <c r="AA3862" s="278">
        <v>10000</v>
      </c>
      <c r="AB3862" s="278">
        <v>12000</v>
      </c>
      <c r="AC3862" s="278">
        <f t="shared" si="632"/>
        <v>96000</v>
      </c>
    </row>
    <row r="3863" spans="1:29" x14ac:dyDescent="0.2">
      <c r="A3863" s="179"/>
      <c r="B3863" s="3191"/>
      <c r="C3863" s="2421"/>
      <c r="D3863" s="2421"/>
      <c r="E3863" s="2421"/>
      <c r="F3863" s="2421"/>
      <c r="G3863" s="2421"/>
      <c r="H3863" s="2421"/>
      <c r="I3863" s="2421"/>
      <c r="J3863" s="2421"/>
      <c r="K3863" s="3488"/>
      <c r="L3863" s="275">
        <v>25000</v>
      </c>
      <c r="M3863" s="278">
        <v>21243</v>
      </c>
      <c r="N3863" s="2432"/>
      <c r="O3863" s="1090">
        <v>232212</v>
      </c>
      <c r="P3863" s="913" t="s">
        <v>1283</v>
      </c>
      <c r="Q3863" s="278">
        <v>3850</v>
      </c>
      <c r="R3863" s="278">
        <v>3850</v>
      </c>
      <c r="S3863" s="278">
        <v>3850</v>
      </c>
      <c r="T3863" s="278">
        <v>3850</v>
      </c>
      <c r="U3863" s="278">
        <v>3850</v>
      </c>
      <c r="V3863" s="278">
        <v>3850</v>
      </c>
      <c r="W3863" s="278">
        <v>3850</v>
      </c>
      <c r="X3863" s="278">
        <v>3850</v>
      </c>
      <c r="Y3863" s="278">
        <v>3850</v>
      </c>
      <c r="Z3863" s="278">
        <v>3850</v>
      </c>
      <c r="AA3863" s="278">
        <v>3500</v>
      </c>
      <c r="AB3863" s="278">
        <v>4243</v>
      </c>
      <c r="AC3863" s="278">
        <f t="shared" si="632"/>
        <v>46243</v>
      </c>
    </row>
    <row r="3864" spans="1:29" x14ac:dyDescent="0.2">
      <c r="A3864" s="179"/>
      <c r="B3864" s="3191"/>
      <c r="C3864" s="2421"/>
      <c r="D3864" s="2421"/>
      <c r="E3864" s="2421"/>
      <c r="F3864" s="2421"/>
      <c r="G3864" s="2421"/>
      <c r="H3864" s="2421"/>
      <c r="I3864" s="2421"/>
      <c r="J3864" s="2421"/>
      <c r="K3864" s="3488"/>
      <c r="L3864" s="275">
        <v>1500</v>
      </c>
      <c r="M3864" s="278">
        <v>2000</v>
      </c>
      <c r="N3864" s="2432"/>
      <c r="O3864" s="1090">
        <v>232221</v>
      </c>
      <c r="P3864" s="913" t="s">
        <v>1285</v>
      </c>
      <c r="Q3864" s="278">
        <v>200</v>
      </c>
      <c r="R3864" s="278">
        <v>300</v>
      </c>
      <c r="S3864" s="278">
        <v>300</v>
      </c>
      <c r="T3864" s="278">
        <v>300</v>
      </c>
      <c r="U3864" s="278">
        <v>300</v>
      </c>
      <c r="V3864" s="278">
        <v>300</v>
      </c>
      <c r="W3864" s="278">
        <v>300</v>
      </c>
      <c r="X3864" s="278">
        <v>300</v>
      </c>
      <c r="Y3864" s="278">
        <v>300</v>
      </c>
      <c r="Z3864" s="278">
        <v>300</v>
      </c>
      <c r="AA3864" s="278">
        <v>300</v>
      </c>
      <c r="AB3864" s="278">
        <v>300</v>
      </c>
      <c r="AC3864" s="278">
        <f t="shared" si="632"/>
        <v>3500</v>
      </c>
    </row>
    <row r="3865" spans="1:29" x14ac:dyDescent="0.2">
      <c r="A3865" s="179"/>
      <c r="B3865" s="3191"/>
      <c r="C3865" s="2421"/>
      <c r="D3865" s="2421"/>
      <c r="E3865" s="2421"/>
      <c r="F3865" s="2421"/>
      <c r="G3865" s="2421"/>
      <c r="H3865" s="2421"/>
      <c r="I3865" s="2421"/>
      <c r="J3865" s="2421"/>
      <c r="K3865" s="3488"/>
      <c r="L3865" s="275">
        <v>26373</v>
      </c>
      <c r="M3865" s="278">
        <v>13988</v>
      </c>
      <c r="N3865" s="2432"/>
      <c r="O3865" s="1090">
        <v>232222</v>
      </c>
      <c r="P3865" s="913" t="s">
        <v>1287</v>
      </c>
      <c r="Q3865" s="278">
        <f>+SUM(L3865:M3865)/12</f>
        <v>3363.4166666666665</v>
      </c>
      <c r="R3865" s="278">
        <v>3363.4166666666665</v>
      </c>
      <c r="S3865" s="278">
        <v>3363.4166666666665</v>
      </c>
      <c r="T3865" s="278">
        <v>3363.4166666666665</v>
      </c>
      <c r="U3865" s="278">
        <v>3363.4166666666665</v>
      </c>
      <c r="V3865" s="278">
        <v>3363.4166666666665</v>
      </c>
      <c r="W3865" s="278">
        <v>3363.4166666666665</v>
      </c>
      <c r="X3865" s="278">
        <v>3363.4166666666665</v>
      </c>
      <c r="Y3865" s="278">
        <v>3363.4166666666665</v>
      </c>
      <c r="Z3865" s="278">
        <v>3363.4166666666665</v>
      </c>
      <c r="AA3865" s="278">
        <v>3363.4166666666665</v>
      </c>
      <c r="AB3865" s="278">
        <v>3363.4166666666665</v>
      </c>
      <c r="AC3865" s="278">
        <f t="shared" si="632"/>
        <v>40361</v>
      </c>
    </row>
    <row r="3866" spans="1:29" x14ac:dyDescent="0.2">
      <c r="A3866" s="179"/>
      <c r="B3866" s="3191"/>
      <c r="C3866" s="2421"/>
      <c r="D3866" s="2421"/>
      <c r="E3866" s="2421"/>
      <c r="F3866" s="2421"/>
      <c r="G3866" s="2421"/>
      <c r="H3866" s="2421"/>
      <c r="I3866" s="2421"/>
      <c r="J3866" s="2421"/>
      <c r="K3866" s="3488"/>
      <c r="L3866" s="275">
        <v>23580</v>
      </c>
      <c r="M3866" s="278">
        <v>6500</v>
      </c>
      <c r="N3866" s="2432"/>
      <c r="O3866" s="1090">
        <v>232223</v>
      </c>
      <c r="P3866" s="913" t="s">
        <v>1289</v>
      </c>
      <c r="Q3866" s="278">
        <f>+SUM(L3866:M3866)/12</f>
        <v>2506.6666666666665</v>
      </c>
      <c r="R3866" s="278">
        <v>2506.6666666666665</v>
      </c>
      <c r="S3866" s="278">
        <v>2506.6666666666665</v>
      </c>
      <c r="T3866" s="278">
        <v>2506.6666666666665</v>
      </c>
      <c r="U3866" s="278">
        <v>2506.6666666666665</v>
      </c>
      <c r="V3866" s="278">
        <v>2506.6666666666665</v>
      </c>
      <c r="W3866" s="278">
        <v>2506.6666666666665</v>
      </c>
      <c r="X3866" s="278">
        <v>2506.6666666666665</v>
      </c>
      <c r="Y3866" s="278">
        <v>2506.6666666666665</v>
      </c>
      <c r="Z3866" s="278">
        <v>2506.6666666666665</v>
      </c>
      <c r="AA3866" s="278">
        <v>2506.6666666666665</v>
      </c>
      <c r="AB3866" s="278">
        <v>2506.6666666666665</v>
      </c>
      <c r="AC3866" s="278">
        <f t="shared" si="632"/>
        <v>30080.000000000004</v>
      </c>
    </row>
    <row r="3867" spans="1:29" x14ac:dyDescent="0.2">
      <c r="A3867" s="179"/>
      <c r="B3867" s="3191"/>
      <c r="C3867" s="2421"/>
      <c r="D3867" s="2421"/>
      <c r="E3867" s="2421"/>
      <c r="F3867" s="2421"/>
      <c r="G3867" s="2421"/>
      <c r="H3867" s="2421"/>
      <c r="I3867" s="2421"/>
      <c r="J3867" s="2421"/>
      <c r="K3867" s="3488"/>
      <c r="L3867" s="275">
        <v>10500</v>
      </c>
      <c r="M3867" s="278">
        <v>5100</v>
      </c>
      <c r="N3867" s="2432"/>
      <c r="O3867" s="1090">
        <v>232231</v>
      </c>
      <c r="P3867" s="913" t="s">
        <v>1291</v>
      </c>
      <c r="Q3867" s="278">
        <f>+SUM(L3867:M3867)/12</f>
        <v>1300</v>
      </c>
      <c r="R3867" s="278">
        <v>1300</v>
      </c>
      <c r="S3867" s="278">
        <v>1300</v>
      </c>
      <c r="T3867" s="278">
        <v>1300</v>
      </c>
      <c r="U3867" s="278">
        <v>1300</v>
      </c>
      <c r="V3867" s="278">
        <v>1300</v>
      </c>
      <c r="W3867" s="278">
        <v>1300</v>
      </c>
      <c r="X3867" s="278">
        <v>1300</v>
      </c>
      <c r="Y3867" s="278">
        <v>1300</v>
      </c>
      <c r="Z3867" s="278">
        <v>1300</v>
      </c>
      <c r="AA3867" s="278">
        <v>1300</v>
      </c>
      <c r="AB3867" s="278">
        <v>1300</v>
      </c>
      <c r="AC3867" s="278">
        <f t="shared" si="632"/>
        <v>15600</v>
      </c>
    </row>
    <row r="3868" spans="1:29" x14ac:dyDescent="0.2">
      <c r="A3868" s="179"/>
      <c r="B3868" s="3191"/>
      <c r="C3868" s="2421"/>
      <c r="D3868" s="2421"/>
      <c r="E3868" s="2421"/>
      <c r="F3868" s="2421"/>
      <c r="G3868" s="2421"/>
      <c r="H3868" s="2421"/>
      <c r="I3868" s="2421"/>
      <c r="J3868" s="2421"/>
      <c r="K3868" s="3488"/>
      <c r="L3868" s="275"/>
      <c r="M3868" s="278">
        <v>3000</v>
      </c>
      <c r="N3868" s="2432"/>
      <c r="O3868" s="1090">
        <v>232241</v>
      </c>
      <c r="P3868" s="913" t="s">
        <v>1252</v>
      </c>
      <c r="Q3868" s="278"/>
      <c r="R3868" s="274"/>
      <c r="S3868" s="278">
        <v>500</v>
      </c>
      <c r="T3868" s="278">
        <v>500</v>
      </c>
      <c r="U3868" s="278"/>
      <c r="V3868" s="278">
        <v>500</v>
      </c>
      <c r="W3868" s="278"/>
      <c r="X3868" s="278">
        <v>500</v>
      </c>
      <c r="Y3868" s="278"/>
      <c r="Z3868" s="278">
        <v>500</v>
      </c>
      <c r="AA3868" s="278"/>
      <c r="AB3868" s="278">
        <v>500</v>
      </c>
      <c r="AC3868" s="278">
        <f t="shared" si="632"/>
        <v>3000</v>
      </c>
    </row>
    <row r="3869" spans="1:29" x14ac:dyDescent="0.2">
      <c r="A3869" s="179"/>
      <c r="B3869" s="3191"/>
      <c r="C3869" s="2421"/>
      <c r="D3869" s="2421"/>
      <c r="E3869" s="2421"/>
      <c r="F3869" s="2421"/>
      <c r="G3869" s="2421"/>
      <c r="H3869" s="2421"/>
      <c r="I3869" s="2421"/>
      <c r="J3869" s="2421"/>
      <c r="K3869" s="3488"/>
      <c r="L3869" s="275"/>
      <c r="M3869" s="278">
        <v>3000</v>
      </c>
      <c r="N3869" s="2432"/>
      <c r="O3869" s="1090">
        <v>232242</v>
      </c>
      <c r="P3869" s="913" t="s">
        <v>1293</v>
      </c>
      <c r="Q3869" s="278"/>
      <c r="R3869" s="274"/>
      <c r="S3869" s="278">
        <v>500</v>
      </c>
      <c r="T3869" s="278">
        <v>500</v>
      </c>
      <c r="U3869" s="278"/>
      <c r="V3869" s="278">
        <v>500</v>
      </c>
      <c r="W3869" s="278"/>
      <c r="X3869" s="278">
        <v>500</v>
      </c>
      <c r="Y3869" s="278"/>
      <c r="Z3869" s="278">
        <v>500</v>
      </c>
      <c r="AA3869" s="278"/>
      <c r="AB3869" s="278">
        <v>500</v>
      </c>
      <c r="AC3869" s="278">
        <f t="shared" si="632"/>
        <v>3000</v>
      </c>
    </row>
    <row r="3870" spans="1:29" x14ac:dyDescent="0.2">
      <c r="A3870" s="179"/>
      <c r="B3870" s="3191"/>
      <c r="C3870" s="2421"/>
      <c r="D3870" s="2421"/>
      <c r="E3870" s="2421"/>
      <c r="F3870" s="2421"/>
      <c r="G3870" s="2421"/>
      <c r="H3870" s="2421"/>
      <c r="I3870" s="2421"/>
      <c r="J3870" s="2421"/>
      <c r="K3870" s="3488"/>
      <c r="L3870" s="275">
        <v>33371</v>
      </c>
      <c r="M3870" s="278">
        <v>40000</v>
      </c>
      <c r="N3870" s="2432"/>
      <c r="O3870" s="1090">
        <v>232244</v>
      </c>
      <c r="P3870" s="913" t="s">
        <v>1242</v>
      </c>
      <c r="Q3870" s="278"/>
      <c r="R3870" s="278">
        <v>6500</v>
      </c>
      <c r="S3870" s="278">
        <v>6500</v>
      </c>
      <c r="T3870" s="278">
        <v>6500</v>
      </c>
      <c r="U3870" s="278">
        <v>6500</v>
      </c>
      <c r="V3870" s="278">
        <v>6500</v>
      </c>
      <c r="W3870" s="278">
        <v>6500</v>
      </c>
      <c r="X3870" s="278">
        <v>6500</v>
      </c>
      <c r="Y3870" s="278">
        <v>6500</v>
      </c>
      <c r="Z3870" s="278">
        <v>6500</v>
      </c>
      <c r="AA3870" s="278">
        <v>6500</v>
      </c>
      <c r="AB3870" s="278">
        <v>8371</v>
      </c>
      <c r="AC3870" s="278">
        <f t="shared" si="632"/>
        <v>73371</v>
      </c>
    </row>
    <row r="3871" spans="1:29" x14ac:dyDescent="0.2">
      <c r="A3871" s="179"/>
      <c r="B3871" s="3191"/>
      <c r="C3871" s="2421"/>
      <c r="D3871" s="2421"/>
      <c r="E3871" s="2421"/>
      <c r="F3871" s="2421"/>
      <c r="G3871" s="2421"/>
      <c r="H3871" s="2421"/>
      <c r="I3871" s="2421"/>
      <c r="J3871" s="2421"/>
      <c r="K3871" s="3488"/>
      <c r="L3871" s="275">
        <v>2600</v>
      </c>
      <c r="M3871" s="278">
        <v>11000</v>
      </c>
      <c r="N3871" s="2432"/>
      <c r="O3871" s="1090">
        <v>232311</v>
      </c>
      <c r="P3871" s="913" t="s">
        <v>1578</v>
      </c>
      <c r="Q3871" s="278">
        <v>1133</v>
      </c>
      <c r="R3871" s="278">
        <v>1133</v>
      </c>
      <c r="S3871" s="278">
        <v>1133</v>
      </c>
      <c r="T3871" s="278">
        <v>1133</v>
      </c>
      <c r="U3871" s="278">
        <v>1133</v>
      </c>
      <c r="V3871" s="278">
        <v>1133</v>
      </c>
      <c r="W3871" s="278">
        <v>1133</v>
      </c>
      <c r="X3871" s="278">
        <v>1133</v>
      </c>
      <c r="Y3871" s="278">
        <v>1133</v>
      </c>
      <c r="Z3871" s="278">
        <v>1133</v>
      </c>
      <c r="AA3871" s="278">
        <v>1133</v>
      </c>
      <c r="AB3871" s="278">
        <v>1137</v>
      </c>
      <c r="AC3871" s="278">
        <f t="shared" si="632"/>
        <v>13600</v>
      </c>
    </row>
    <row r="3872" spans="1:29" x14ac:dyDescent="0.2">
      <c r="A3872" s="179"/>
      <c r="B3872" s="3191"/>
      <c r="C3872" s="2421"/>
      <c r="D3872" s="2421"/>
      <c r="E3872" s="2421"/>
      <c r="F3872" s="2421"/>
      <c r="G3872" s="2421"/>
      <c r="H3872" s="2421"/>
      <c r="I3872" s="2421"/>
      <c r="J3872" s="2421"/>
      <c r="K3872" s="3488"/>
      <c r="L3872" s="275"/>
      <c r="M3872" s="278">
        <v>84000</v>
      </c>
      <c r="N3872" s="2432"/>
      <c r="O3872" s="1090">
        <v>232312</v>
      </c>
      <c r="P3872" s="913" t="s">
        <v>1580</v>
      </c>
      <c r="Q3872" s="278">
        <v>7000</v>
      </c>
      <c r="R3872" s="278">
        <v>7000</v>
      </c>
      <c r="S3872" s="278">
        <v>7000</v>
      </c>
      <c r="T3872" s="278">
        <v>7000</v>
      </c>
      <c r="U3872" s="278">
        <v>7000</v>
      </c>
      <c r="V3872" s="278">
        <v>7000</v>
      </c>
      <c r="W3872" s="278">
        <v>7000</v>
      </c>
      <c r="X3872" s="278">
        <v>7000</v>
      </c>
      <c r="Y3872" s="278">
        <v>7000</v>
      </c>
      <c r="Z3872" s="278">
        <v>7000</v>
      </c>
      <c r="AA3872" s="278">
        <v>7000</v>
      </c>
      <c r="AB3872" s="278">
        <v>7000</v>
      </c>
      <c r="AC3872" s="278">
        <f t="shared" si="632"/>
        <v>84000</v>
      </c>
    </row>
    <row r="3873" spans="1:29" x14ac:dyDescent="0.2">
      <c r="A3873" s="179"/>
      <c r="B3873" s="3191"/>
      <c r="C3873" s="2421"/>
      <c r="D3873" s="2421"/>
      <c r="E3873" s="2421"/>
      <c r="F3873" s="2421"/>
      <c r="G3873" s="2421"/>
      <c r="H3873" s="2421"/>
      <c r="I3873" s="2421"/>
      <c r="J3873" s="2421"/>
      <c r="K3873" s="3488"/>
      <c r="L3873" s="275">
        <v>30000</v>
      </c>
      <c r="M3873" s="278">
        <v>3150</v>
      </c>
      <c r="N3873" s="2432"/>
      <c r="O3873" s="1090">
        <v>232411</v>
      </c>
      <c r="P3873" s="913" t="s">
        <v>1295</v>
      </c>
      <c r="Q3873" s="278"/>
      <c r="R3873" s="274"/>
      <c r="S3873" s="278"/>
      <c r="T3873" s="278">
        <v>5000</v>
      </c>
      <c r="U3873" s="278">
        <v>5000</v>
      </c>
      <c r="V3873" s="278">
        <v>5000</v>
      </c>
      <c r="W3873" s="278">
        <v>5000</v>
      </c>
      <c r="X3873" s="278">
        <v>5000</v>
      </c>
      <c r="Y3873" s="278">
        <v>5000</v>
      </c>
      <c r="Z3873" s="278">
        <v>3150</v>
      </c>
      <c r="AA3873" s="278"/>
      <c r="AB3873" s="274"/>
      <c r="AC3873" s="278">
        <f t="shared" si="632"/>
        <v>33150</v>
      </c>
    </row>
    <row r="3874" spans="1:29" x14ac:dyDescent="0.2">
      <c r="A3874" s="179"/>
      <c r="B3874" s="3191"/>
      <c r="C3874" s="2421"/>
      <c r="D3874" s="2421"/>
      <c r="E3874" s="2421"/>
      <c r="F3874" s="2421"/>
      <c r="G3874" s="2421"/>
      <c r="H3874" s="2421"/>
      <c r="I3874" s="2421"/>
      <c r="J3874" s="2421"/>
      <c r="K3874" s="3488"/>
      <c r="L3874" s="275">
        <v>45000</v>
      </c>
      <c r="M3874" s="278">
        <v>5200</v>
      </c>
      <c r="N3874" s="2432"/>
      <c r="O3874" s="1090">
        <v>232413</v>
      </c>
      <c r="P3874" s="913" t="s">
        <v>1224</v>
      </c>
      <c r="Q3874" s="278"/>
      <c r="R3874" s="274"/>
      <c r="S3874" s="278">
        <v>5000</v>
      </c>
      <c r="T3874" s="278">
        <v>5000</v>
      </c>
      <c r="U3874" s="278">
        <v>5000</v>
      </c>
      <c r="V3874" s="278">
        <v>5000</v>
      </c>
      <c r="W3874" s="278">
        <v>5000</v>
      </c>
      <c r="X3874" s="278">
        <v>5000</v>
      </c>
      <c r="Y3874" s="278">
        <v>5000</v>
      </c>
      <c r="Z3874" s="278">
        <v>5000</v>
      </c>
      <c r="AA3874" s="278">
        <v>5000</v>
      </c>
      <c r="AB3874" s="278">
        <v>5200</v>
      </c>
      <c r="AC3874" s="278">
        <f t="shared" si="632"/>
        <v>50200</v>
      </c>
    </row>
    <row r="3875" spans="1:29" x14ac:dyDescent="0.2">
      <c r="A3875" s="179"/>
      <c r="B3875" s="3191"/>
      <c r="C3875" s="2421"/>
      <c r="D3875" s="2421"/>
      <c r="E3875" s="2421"/>
      <c r="F3875" s="2421"/>
      <c r="G3875" s="2421"/>
      <c r="H3875" s="2421"/>
      <c r="I3875" s="2421"/>
      <c r="J3875" s="2421"/>
      <c r="K3875" s="3488"/>
      <c r="L3875" s="275">
        <v>5000</v>
      </c>
      <c r="M3875" s="278">
        <v>3000</v>
      </c>
      <c r="N3875" s="2432"/>
      <c r="O3875" s="1090">
        <v>232414</v>
      </c>
      <c r="P3875" s="913" t="s">
        <v>1582</v>
      </c>
      <c r="Q3875" s="278"/>
      <c r="R3875" s="274"/>
      <c r="S3875" s="278">
        <v>800</v>
      </c>
      <c r="T3875" s="278">
        <v>800</v>
      </c>
      <c r="U3875" s="278">
        <v>800</v>
      </c>
      <c r="V3875" s="278">
        <v>800</v>
      </c>
      <c r="W3875" s="278">
        <v>800</v>
      </c>
      <c r="X3875" s="278">
        <v>800</v>
      </c>
      <c r="Y3875" s="278">
        <v>800</v>
      </c>
      <c r="Z3875" s="278">
        <v>800</v>
      </c>
      <c r="AA3875" s="278">
        <v>800</v>
      </c>
      <c r="AB3875" s="278">
        <v>800</v>
      </c>
      <c r="AC3875" s="278">
        <f t="shared" si="632"/>
        <v>8000</v>
      </c>
    </row>
    <row r="3876" spans="1:29" x14ac:dyDescent="0.2">
      <c r="A3876" s="179"/>
      <c r="B3876" s="3191"/>
      <c r="C3876" s="2421"/>
      <c r="D3876" s="2421"/>
      <c r="E3876" s="2421"/>
      <c r="F3876" s="2421"/>
      <c r="G3876" s="2421"/>
      <c r="H3876" s="2421"/>
      <c r="I3876" s="2421"/>
      <c r="J3876" s="2421"/>
      <c r="K3876" s="3488"/>
      <c r="L3876" s="275">
        <v>5000</v>
      </c>
      <c r="M3876" s="278">
        <v>4000</v>
      </c>
      <c r="N3876" s="2432"/>
      <c r="O3876" s="1090">
        <v>232415</v>
      </c>
      <c r="P3876" s="913" t="s">
        <v>1254</v>
      </c>
      <c r="Q3876" s="278"/>
      <c r="R3876" s="274"/>
      <c r="S3876" s="278">
        <v>900</v>
      </c>
      <c r="T3876" s="278">
        <v>900</v>
      </c>
      <c r="U3876" s="278">
        <v>900</v>
      </c>
      <c r="V3876" s="278">
        <v>900</v>
      </c>
      <c r="W3876" s="278">
        <v>900</v>
      </c>
      <c r="X3876" s="278">
        <v>900</v>
      </c>
      <c r="Y3876" s="278">
        <v>900</v>
      </c>
      <c r="Z3876" s="278">
        <v>900</v>
      </c>
      <c r="AA3876" s="278">
        <v>900</v>
      </c>
      <c r="AB3876" s="278">
        <v>900</v>
      </c>
      <c r="AC3876" s="278">
        <f t="shared" si="632"/>
        <v>9000</v>
      </c>
    </row>
    <row r="3877" spans="1:29" x14ac:dyDescent="0.2">
      <c r="A3877" s="179"/>
      <c r="B3877" s="3191"/>
      <c r="C3877" s="2421"/>
      <c r="D3877" s="2421"/>
      <c r="E3877" s="2421"/>
      <c r="F3877" s="2421"/>
      <c r="G3877" s="2421"/>
      <c r="H3877" s="2421"/>
      <c r="I3877" s="2421"/>
      <c r="J3877" s="2421"/>
      <c r="K3877" s="3488"/>
      <c r="L3877" s="275">
        <v>25000</v>
      </c>
      <c r="M3877" s="278">
        <v>1800</v>
      </c>
      <c r="N3877" s="2432"/>
      <c r="O3877" s="1090">
        <v>232511</v>
      </c>
      <c r="P3877" s="913" t="s">
        <v>1586</v>
      </c>
      <c r="Q3877" s="278"/>
      <c r="R3877" s="274"/>
      <c r="S3877" s="278">
        <v>2600</v>
      </c>
      <c r="T3877" s="278">
        <v>2600</v>
      </c>
      <c r="U3877" s="278">
        <v>2600</v>
      </c>
      <c r="V3877" s="278">
        <v>2600</v>
      </c>
      <c r="W3877" s="278">
        <v>2600</v>
      </c>
      <c r="X3877" s="278">
        <v>2600</v>
      </c>
      <c r="Y3877" s="278">
        <v>2600</v>
      </c>
      <c r="Z3877" s="278">
        <v>2600</v>
      </c>
      <c r="AA3877" s="278">
        <v>2600</v>
      </c>
      <c r="AB3877" s="278">
        <v>3400</v>
      </c>
      <c r="AC3877" s="278">
        <f t="shared" si="632"/>
        <v>26800</v>
      </c>
    </row>
    <row r="3878" spans="1:29" x14ac:dyDescent="0.2">
      <c r="A3878" s="179"/>
      <c r="B3878" s="3191"/>
      <c r="C3878" s="2421"/>
      <c r="D3878" s="2421"/>
      <c r="E3878" s="2421"/>
      <c r="F3878" s="2421"/>
      <c r="G3878" s="2421"/>
      <c r="H3878" s="2421"/>
      <c r="I3878" s="2421"/>
      <c r="J3878" s="2421"/>
      <c r="K3878" s="3488"/>
      <c r="L3878" s="275"/>
      <c r="M3878" s="278">
        <v>500</v>
      </c>
      <c r="N3878" s="2432"/>
      <c r="O3878" s="1090">
        <v>232612</v>
      </c>
      <c r="P3878" s="913" t="s">
        <v>1226</v>
      </c>
      <c r="Q3878" s="278"/>
      <c r="R3878" s="274"/>
      <c r="S3878" s="278"/>
      <c r="T3878" s="278">
        <v>50</v>
      </c>
      <c r="U3878" s="278">
        <v>50</v>
      </c>
      <c r="V3878" s="278">
        <v>50</v>
      </c>
      <c r="W3878" s="278">
        <v>50</v>
      </c>
      <c r="X3878" s="278">
        <v>50</v>
      </c>
      <c r="Y3878" s="278">
        <v>50</v>
      </c>
      <c r="Z3878" s="278">
        <v>50</v>
      </c>
      <c r="AA3878" s="278">
        <v>50</v>
      </c>
      <c r="AB3878" s="278">
        <v>100</v>
      </c>
      <c r="AC3878" s="278">
        <f t="shared" si="632"/>
        <v>500</v>
      </c>
    </row>
    <row r="3879" spans="1:29" x14ac:dyDescent="0.2">
      <c r="A3879" s="179"/>
      <c r="B3879" s="3191"/>
      <c r="C3879" s="2421"/>
      <c r="D3879" s="2421"/>
      <c r="E3879" s="2421"/>
      <c r="F3879" s="2421"/>
      <c r="G3879" s="2421"/>
      <c r="H3879" s="2421"/>
      <c r="I3879" s="2421"/>
      <c r="J3879" s="2421"/>
      <c r="K3879" s="3488"/>
      <c r="L3879" s="275"/>
      <c r="M3879" s="278">
        <v>400</v>
      </c>
      <c r="N3879" s="2432"/>
      <c r="O3879" s="1090">
        <v>232621</v>
      </c>
      <c r="P3879" s="913" t="s">
        <v>1643</v>
      </c>
      <c r="Q3879" s="278"/>
      <c r="R3879" s="274"/>
      <c r="S3879" s="278"/>
      <c r="T3879" s="278">
        <v>100</v>
      </c>
      <c r="U3879" s="278">
        <v>100</v>
      </c>
      <c r="V3879" s="278">
        <v>100</v>
      </c>
      <c r="W3879" s="278">
        <v>100</v>
      </c>
      <c r="X3879" s="278"/>
      <c r="Y3879" s="278"/>
      <c r="Z3879" s="278"/>
      <c r="AA3879" s="278"/>
      <c r="AB3879" s="278"/>
      <c r="AC3879" s="278">
        <f t="shared" si="632"/>
        <v>400</v>
      </c>
    </row>
    <row r="3880" spans="1:29" x14ac:dyDescent="0.2">
      <c r="A3880" s="179"/>
      <c r="B3880" s="3191"/>
      <c r="C3880" s="2421"/>
      <c r="D3880" s="2421"/>
      <c r="E3880" s="2421"/>
      <c r="F3880" s="2421"/>
      <c r="G3880" s="2421"/>
      <c r="H3880" s="2421"/>
      <c r="I3880" s="2421"/>
      <c r="J3880" s="2421"/>
      <c r="K3880" s="3488"/>
      <c r="L3880" s="275"/>
      <c r="M3880" s="278">
        <v>500</v>
      </c>
      <c r="N3880" s="2432"/>
      <c r="O3880" s="1090">
        <v>2326299</v>
      </c>
      <c r="P3880" s="913" t="s">
        <v>1644</v>
      </c>
      <c r="Q3880" s="278"/>
      <c r="R3880" s="274"/>
      <c r="S3880" s="278"/>
      <c r="T3880" s="278">
        <v>50</v>
      </c>
      <c r="U3880" s="278">
        <v>50</v>
      </c>
      <c r="V3880" s="278">
        <v>50</v>
      </c>
      <c r="W3880" s="278">
        <v>50</v>
      </c>
      <c r="X3880" s="278">
        <v>50</v>
      </c>
      <c r="Y3880" s="278">
        <v>50</v>
      </c>
      <c r="Z3880" s="278">
        <v>50</v>
      </c>
      <c r="AA3880" s="278">
        <v>50</v>
      </c>
      <c r="AB3880" s="278">
        <v>100</v>
      </c>
      <c r="AC3880" s="278">
        <f t="shared" si="632"/>
        <v>500</v>
      </c>
    </row>
    <row r="3881" spans="1:29" x14ac:dyDescent="0.2">
      <c r="A3881" s="179"/>
      <c r="B3881" s="3191"/>
      <c r="C3881" s="2421"/>
      <c r="D3881" s="2421"/>
      <c r="E3881" s="2421"/>
      <c r="F3881" s="2421"/>
      <c r="G3881" s="2421"/>
      <c r="H3881" s="2421"/>
      <c r="I3881" s="2421"/>
      <c r="J3881" s="2421"/>
      <c r="K3881" s="3488"/>
      <c r="L3881" s="275">
        <v>14500</v>
      </c>
      <c r="M3881" s="278">
        <v>1000</v>
      </c>
      <c r="N3881" s="2432"/>
      <c r="O3881" s="1090">
        <v>232633</v>
      </c>
      <c r="P3881" s="913" t="s">
        <v>1231</v>
      </c>
      <c r="Q3881" s="278"/>
      <c r="R3881" s="274"/>
      <c r="S3881" s="278"/>
      <c r="T3881" s="274"/>
      <c r="U3881" s="278">
        <v>3000</v>
      </c>
      <c r="V3881" s="278">
        <v>3000</v>
      </c>
      <c r="W3881" s="278">
        <v>3000</v>
      </c>
      <c r="X3881" s="278">
        <v>3000</v>
      </c>
      <c r="Y3881" s="278"/>
      <c r="Z3881" s="278">
        <v>3500</v>
      </c>
      <c r="AA3881" s="278"/>
      <c r="AB3881" s="274"/>
      <c r="AC3881" s="278">
        <f t="shared" si="632"/>
        <v>15500</v>
      </c>
    </row>
    <row r="3882" spans="1:29" x14ac:dyDescent="0.2">
      <c r="A3882" s="179"/>
      <c r="B3882" s="3191"/>
      <c r="C3882" s="2421"/>
      <c r="D3882" s="2421"/>
      <c r="E3882" s="2421"/>
      <c r="F3882" s="2421"/>
      <c r="G3882" s="2421"/>
      <c r="H3882" s="2421"/>
      <c r="I3882" s="2421"/>
      <c r="J3882" s="2421"/>
      <c r="K3882" s="3488"/>
      <c r="L3882" s="275">
        <v>214500</v>
      </c>
      <c r="M3882" s="1"/>
      <c r="N3882" s="2432"/>
      <c r="O3882" s="1090">
        <v>2327101</v>
      </c>
      <c r="P3882" s="913" t="s">
        <v>1308</v>
      </c>
      <c r="Q3882" s="278"/>
      <c r="R3882" s="274"/>
      <c r="S3882" s="278">
        <f>+L3882/10</f>
        <v>21450</v>
      </c>
      <c r="T3882" s="278">
        <v>21450</v>
      </c>
      <c r="U3882" s="278">
        <v>21450</v>
      </c>
      <c r="V3882" s="278">
        <v>21450</v>
      </c>
      <c r="W3882" s="278">
        <v>21450</v>
      </c>
      <c r="X3882" s="278">
        <v>21450</v>
      </c>
      <c r="Y3882" s="278">
        <v>21450</v>
      </c>
      <c r="Z3882" s="278">
        <v>21450</v>
      </c>
      <c r="AA3882" s="278">
        <v>21450</v>
      </c>
      <c r="AB3882" s="278">
        <v>21450</v>
      </c>
      <c r="AC3882" s="278">
        <f t="shared" si="632"/>
        <v>214500</v>
      </c>
    </row>
    <row r="3883" spans="1:29" x14ac:dyDescent="0.2">
      <c r="A3883" s="179"/>
      <c r="B3883" s="3191"/>
      <c r="C3883" s="2421"/>
      <c r="D3883" s="2421"/>
      <c r="E3883" s="2421"/>
      <c r="F3883" s="2421"/>
      <c r="G3883" s="2421"/>
      <c r="H3883" s="2421"/>
      <c r="I3883" s="2421"/>
      <c r="J3883" s="2421"/>
      <c r="K3883" s="3488"/>
      <c r="L3883" s="275">
        <v>2000</v>
      </c>
      <c r="M3883" s="1"/>
      <c r="N3883" s="2432"/>
      <c r="O3883" s="1090">
        <v>2327102</v>
      </c>
      <c r="P3883" s="913" t="s">
        <v>1298</v>
      </c>
      <c r="Q3883" s="278"/>
      <c r="R3883" s="274"/>
      <c r="S3883" s="278"/>
      <c r="T3883" s="274"/>
      <c r="U3883" s="278">
        <v>1000</v>
      </c>
      <c r="V3883" s="274"/>
      <c r="W3883" s="278">
        <v>1000</v>
      </c>
      <c r="X3883" s="274"/>
      <c r="Y3883" s="278"/>
      <c r="Z3883" s="274"/>
      <c r="AA3883" s="278"/>
      <c r="AB3883" s="274"/>
      <c r="AC3883" s="278">
        <f t="shared" si="632"/>
        <v>2000</v>
      </c>
    </row>
    <row r="3884" spans="1:29" x14ac:dyDescent="0.2">
      <c r="A3884" s="179"/>
      <c r="B3884" s="3191"/>
      <c r="C3884" s="2421"/>
      <c r="D3884" s="2421"/>
      <c r="E3884" s="2421"/>
      <c r="F3884" s="2421"/>
      <c r="G3884" s="2421"/>
      <c r="H3884" s="2421"/>
      <c r="I3884" s="2421"/>
      <c r="J3884" s="2421"/>
      <c r="K3884" s="3488"/>
      <c r="L3884" s="275"/>
      <c r="M3884" s="278">
        <v>1200</v>
      </c>
      <c r="N3884" s="2432"/>
      <c r="O3884" s="1090">
        <v>2327112</v>
      </c>
      <c r="P3884" s="913" t="s">
        <v>1593</v>
      </c>
      <c r="Q3884" s="278"/>
      <c r="R3884" s="274"/>
      <c r="S3884" s="278"/>
      <c r="T3884" s="274"/>
      <c r="U3884" s="278"/>
      <c r="V3884" s="278">
        <v>300</v>
      </c>
      <c r="W3884" s="278"/>
      <c r="X3884" s="278">
        <v>300</v>
      </c>
      <c r="Y3884" s="278">
        <v>300</v>
      </c>
      <c r="Z3884" s="278">
        <v>300</v>
      </c>
      <c r="AA3884" s="278"/>
      <c r="AB3884" s="274"/>
      <c r="AC3884" s="278">
        <f t="shared" si="632"/>
        <v>1200</v>
      </c>
    </row>
    <row r="3885" spans="1:29" x14ac:dyDescent="0.2">
      <c r="A3885" s="179"/>
      <c r="B3885" s="3191"/>
      <c r="C3885" s="2421"/>
      <c r="D3885" s="2421"/>
      <c r="E3885" s="2421"/>
      <c r="F3885" s="2421"/>
      <c r="G3885" s="2421"/>
      <c r="H3885" s="2421"/>
      <c r="I3885" s="2421"/>
      <c r="J3885" s="2421"/>
      <c r="K3885" s="3488"/>
      <c r="L3885" s="275">
        <v>58160</v>
      </c>
      <c r="M3885" s="278">
        <v>167703</v>
      </c>
      <c r="N3885" s="2432"/>
      <c r="O3885" s="1090">
        <v>23271199</v>
      </c>
      <c r="P3885" s="913" t="s">
        <v>1262</v>
      </c>
      <c r="Q3885" s="278"/>
      <c r="R3885" s="274"/>
      <c r="S3885" s="278">
        <v>25000</v>
      </c>
      <c r="T3885" s="278">
        <v>20000</v>
      </c>
      <c r="U3885" s="278">
        <v>25000</v>
      </c>
      <c r="V3885" s="278">
        <v>25000</v>
      </c>
      <c r="W3885" s="278">
        <v>25000</v>
      </c>
      <c r="X3885" s="278">
        <v>20000</v>
      </c>
      <c r="Y3885" s="278">
        <v>20000</v>
      </c>
      <c r="Z3885" s="278">
        <v>20000</v>
      </c>
      <c r="AA3885" s="278">
        <v>20863</v>
      </c>
      <c r="AB3885" s="278">
        <v>25000</v>
      </c>
      <c r="AC3885" s="278">
        <f t="shared" si="632"/>
        <v>225863</v>
      </c>
    </row>
    <row r="3886" spans="1:29" x14ac:dyDescent="0.2">
      <c r="A3886" s="179"/>
      <c r="B3886" s="3191"/>
      <c r="C3886" s="2421"/>
      <c r="D3886" s="2421"/>
      <c r="E3886" s="2421"/>
      <c r="F3886" s="2421"/>
      <c r="G3886" s="2421"/>
      <c r="H3886" s="2421"/>
      <c r="I3886" s="2421"/>
      <c r="J3886" s="2421"/>
      <c r="K3886" s="3488"/>
      <c r="L3886" s="275">
        <v>175800</v>
      </c>
      <c r="M3886" s="278">
        <v>163616</v>
      </c>
      <c r="N3886" s="2432"/>
      <c r="O3886" s="1090">
        <v>232811</v>
      </c>
      <c r="P3886" s="913" t="s">
        <v>1331</v>
      </c>
      <c r="Q3886" s="278">
        <f>+SUM(L3886:M3886)/12</f>
        <v>28284.666666666668</v>
      </c>
      <c r="R3886" s="278">
        <v>28284.666666666668</v>
      </c>
      <c r="S3886" s="278">
        <v>28284.666666666668</v>
      </c>
      <c r="T3886" s="278">
        <v>28284.666666666668</v>
      </c>
      <c r="U3886" s="278">
        <v>28284.666666666668</v>
      </c>
      <c r="V3886" s="278">
        <v>28284.666666666668</v>
      </c>
      <c r="W3886" s="278">
        <v>28284.666666666668</v>
      </c>
      <c r="X3886" s="278">
        <v>28284.666666666668</v>
      </c>
      <c r="Y3886" s="278">
        <v>28284.666666666668</v>
      </c>
      <c r="Z3886" s="278">
        <v>28284.666666666668</v>
      </c>
      <c r="AA3886" s="278">
        <v>28284.666666666668</v>
      </c>
      <c r="AB3886" s="278">
        <v>28284.666666666668</v>
      </c>
      <c r="AC3886" s="278">
        <f t="shared" si="632"/>
        <v>339416</v>
      </c>
    </row>
    <row r="3887" spans="1:29" x14ac:dyDescent="0.2">
      <c r="A3887" s="179"/>
      <c r="B3887" s="3191"/>
      <c r="C3887" s="2421"/>
      <c r="D3887" s="2421"/>
      <c r="E3887" s="2421"/>
      <c r="F3887" s="2421"/>
      <c r="G3887" s="2421"/>
      <c r="H3887" s="2421"/>
      <c r="I3887" s="2421"/>
      <c r="J3887" s="2421"/>
      <c r="K3887" s="3488"/>
      <c r="L3887" s="275">
        <v>9490</v>
      </c>
      <c r="M3887" s="278">
        <v>12989</v>
      </c>
      <c r="N3887" s="2432"/>
      <c r="O3887" s="1090">
        <v>232812</v>
      </c>
      <c r="P3887" s="913" t="s">
        <v>1333</v>
      </c>
      <c r="Q3887" s="278">
        <f>+SUM(L3887:M3887)/12</f>
        <v>1873.25</v>
      </c>
      <c r="R3887" s="278">
        <v>1873.25</v>
      </c>
      <c r="S3887" s="278">
        <v>1873.25</v>
      </c>
      <c r="T3887" s="278">
        <v>1873.25</v>
      </c>
      <c r="U3887" s="278">
        <v>1873.25</v>
      </c>
      <c r="V3887" s="278">
        <v>1873.25</v>
      </c>
      <c r="W3887" s="278">
        <v>1873.25</v>
      </c>
      <c r="X3887" s="278">
        <v>1873.25</v>
      </c>
      <c r="Y3887" s="278">
        <v>1873.25</v>
      </c>
      <c r="Z3887" s="278">
        <v>1873.25</v>
      </c>
      <c r="AA3887" s="278">
        <v>1873.25</v>
      </c>
      <c r="AB3887" s="278">
        <v>1873.25</v>
      </c>
      <c r="AC3887" s="278">
        <f t="shared" ref="AC3887:AC3895" si="637">+SUM(Q3887:AB3887)</f>
        <v>22479</v>
      </c>
    </row>
    <row r="3888" spans="1:29" x14ac:dyDescent="0.2">
      <c r="A3888" s="179"/>
      <c r="B3888" s="3191"/>
      <c r="C3888" s="2421"/>
      <c r="D3888" s="2421"/>
      <c r="E3888" s="2421"/>
      <c r="F3888" s="2421"/>
      <c r="G3888" s="2421"/>
      <c r="H3888" s="2421"/>
      <c r="I3888" s="2421"/>
      <c r="J3888" s="2421"/>
      <c r="K3888" s="3488"/>
      <c r="L3888" s="275"/>
      <c r="M3888" s="278">
        <v>14154</v>
      </c>
      <c r="N3888" s="2432"/>
      <c r="O3888" s="1090">
        <v>263212</v>
      </c>
      <c r="P3888" s="913" t="s">
        <v>1609</v>
      </c>
      <c r="Q3888" s="278"/>
      <c r="R3888" s="274"/>
      <c r="S3888" s="278"/>
      <c r="T3888" s="278"/>
      <c r="U3888" s="278"/>
      <c r="V3888" s="278">
        <v>4000</v>
      </c>
      <c r="W3888" s="278">
        <v>3000</v>
      </c>
      <c r="X3888" s="278">
        <v>4000</v>
      </c>
      <c r="Y3888" s="278">
        <v>3154</v>
      </c>
      <c r="Z3888" s="274"/>
      <c r="AA3888" s="278"/>
      <c r="AB3888" s="274"/>
      <c r="AC3888" s="278">
        <f t="shared" si="637"/>
        <v>14154</v>
      </c>
    </row>
    <row r="3889" spans="1:29" x14ac:dyDescent="0.2">
      <c r="A3889" s="179"/>
      <c r="B3889" s="3191"/>
      <c r="C3889" s="2421"/>
      <c r="D3889" s="2421"/>
      <c r="E3889" s="2421"/>
      <c r="F3889" s="2421"/>
      <c r="G3889" s="2421"/>
      <c r="H3889" s="2421"/>
      <c r="I3889" s="2421"/>
      <c r="J3889" s="2421"/>
      <c r="K3889" s="3488"/>
      <c r="L3889" s="275"/>
      <c r="M3889" s="278">
        <v>430</v>
      </c>
      <c r="N3889" s="2432"/>
      <c r="O3889" s="1090">
        <v>263222</v>
      </c>
      <c r="P3889" s="913" t="s">
        <v>1609</v>
      </c>
      <c r="Q3889" s="278"/>
      <c r="R3889" s="274"/>
      <c r="S3889" s="278"/>
      <c r="T3889" s="274"/>
      <c r="U3889" s="278">
        <f>+M3889</f>
        <v>430</v>
      </c>
      <c r="V3889" s="274"/>
      <c r="W3889" s="278"/>
      <c r="X3889" s="274"/>
      <c r="Y3889" s="278"/>
      <c r="Z3889" s="274"/>
      <c r="AA3889" s="278"/>
      <c r="AB3889" s="274"/>
      <c r="AC3889" s="278">
        <f t="shared" si="637"/>
        <v>430</v>
      </c>
    </row>
    <row r="3890" spans="1:29" x14ac:dyDescent="0.2">
      <c r="A3890" s="179"/>
      <c r="B3890" s="3191"/>
      <c r="C3890" s="2421"/>
      <c r="D3890" s="2421"/>
      <c r="E3890" s="2421"/>
      <c r="F3890" s="2421"/>
      <c r="G3890" s="2421"/>
      <c r="H3890" s="2421"/>
      <c r="I3890" s="2421"/>
      <c r="J3890" s="2421"/>
      <c r="K3890" s="3488"/>
      <c r="L3890" s="275"/>
      <c r="M3890" s="278">
        <v>22600</v>
      </c>
      <c r="N3890" s="2432"/>
      <c r="O3890" s="1090">
        <v>263231</v>
      </c>
      <c r="P3890" s="913" t="s">
        <v>1645</v>
      </c>
      <c r="Q3890" s="278"/>
      <c r="R3890" s="274"/>
      <c r="S3890" s="278"/>
      <c r="T3890" s="278">
        <f>+M3890/2</f>
        <v>11300</v>
      </c>
      <c r="U3890" s="278"/>
      <c r="V3890" s="274"/>
      <c r="W3890" s="278">
        <v>11300</v>
      </c>
      <c r="X3890" s="274"/>
      <c r="Y3890" s="278"/>
      <c r="Z3890" s="274"/>
      <c r="AA3890" s="278"/>
      <c r="AB3890" s="274"/>
      <c r="AC3890" s="278">
        <f t="shared" si="637"/>
        <v>22600</v>
      </c>
    </row>
    <row r="3891" spans="1:29" x14ac:dyDescent="0.2">
      <c r="A3891" s="179"/>
      <c r="B3891" s="3191"/>
      <c r="C3891" s="2421"/>
      <c r="D3891" s="2421"/>
      <c r="E3891" s="2421"/>
      <c r="F3891" s="2421"/>
      <c r="G3891" s="2421"/>
      <c r="H3891" s="2421"/>
      <c r="I3891" s="2421"/>
      <c r="J3891" s="2421"/>
      <c r="K3891" s="3488"/>
      <c r="L3891" s="275"/>
      <c r="M3891" s="278">
        <v>600</v>
      </c>
      <c r="N3891" s="2432"/>
      <c r="O3891" s="1090">
        <v>263241</v>
      </c>
      <c r="P3891" s="913" t="s">
        <v>1609</v>
      </c>
      <c r="Q3891" s="278"/>
      <c r="R3891" s="274"/>
      <c r="S3891" s="278"/>
      <c r="T3891" s="274"/>
      <c r="U3891" s="278"/>
      <c r="V3891" s="278">
        <v>600</v>
      </c>
      <c r="W3891" s="278"/>
      <c r="X3891" s="274"/>
      <c r="Y3891" s="278"/>
      <c r="Z3891" s="274"/>
      <c r="AA3891" s="278"/>
      <c r="AB3891" s="274"/>
      <c r="AC3891" s="278">
        <f t="shared" si="637"/>
        <v>600</v>
      </c>
    </row>
    <row r="3892" spans="1:29" x14ac:dyDescent="0.2">
      <c r="A3892" s="179"/>
      <c r="B3892" s="3191"/>
      <c r="C3892" s="2421"/>
      <c r="D3892" s="2421"/>
      <c r="E3892" s="2421"/>
      <c r="F3892" s="2421"/>
      <c r="G3892" s="2421"/>
      <c r="H3892" s="2421"/>
      <c r="I3892" s="2421"/>
      <c r="J3892" s="2421"/>
      <c r="K3892" s="3488"/>
      <c r="L3892" s="275"/>
      <c r="M3892" s="278">
        <v>2416</v>
      </c>
      <c r="N3892" s="2432"/>
      <c r="O3892" s="1090">
        <v>263242</v>
      </c>
      <c r="P3892" s="913" t="s">
        <v>1646</v>
      </c>
      <c r="Q3892" s="278"/>
      <c r="R3892" s="274"/>
      <c r="S3892" s="278"/>
      <c r="T3892" s="274"/>
      <c r="U3892" s="278"/>
      <c r="V3892" s="274"/>
      <c r="W3892" s="278"/>
      <c r="X3892" s="278">
        <v>2416</v>
      </c>
      <c r="Y3892" s="278"/>
      <c r="Z3892" s="274"/>
      <c r="AA3892" s="278"/>
      <c r="AB3892" s="274"/>
      <c r="AC3892" s="278">
        <f t="shared" si="637"/>
        <v>2416</v>
      </c>
    </row>
    <row r="3893" spans="1:29" x14ac:dyDescent="0.2">
      <c r="A3893" s="179"/>
      <c r="B3893" s="3191"/>
      <c r="C3893" s="2421"/>
      <c r="D3893" s="2421"/>
      <c r="E3893" s="2421"/>
      <c r="F3893" s="2421"/>
      <c r="G3893" s="2421"/>
      <c r="H3893" s="2421"/>
      <c r="I3893" s="2421"/>
      <c r="J3893" s="2421"/>
      <c r="K3893" s="3488"/>
      <c r="L3893" s="275"/>
      <c r="M3893" s="278">
        <v>4800</v>
      </c>
      <c r="N3893" s="2432"/>
      <c r="O3893" s="1090">
        <v>263294</v>
      </c>
      <c r="P3893" s="913" t="s">
        <v>1647</v>
      </c>
      <c r="Q3893" s="278"/>
      <c r="R3893" s="274"/>
      <c r="S3893" s="278"/>
      <c r="T3893" s="274"/>
      <c r="U3893" s="278"/>
      <c r="V3893" s="274"/>
      <c r="W3893" s="278">
        <v>1500</v>
      </c>
      <c r="X3893" s="278">
        <v>1500</v>
      </c>
      <c r="Y3893" s="278">
        <v>1500</v>
      </c>
      <c r="Z3893" s="278">
        <v>300</v>
      </c>
      <c r="AA3893" s="278"/>
      <c r="AB3893" s="274"/>
      <c r="AC3893" s="278">
        <f t="shared" si="637"/>
        <v>4800</v>
      </c>
    </row>
    <row r="3894" spans="1:29" x14ac:dyDescent="0.2">
      <c r="A3894" s="179"/>
      <c r="B3894" s="3191"/>
      <c r="C3894" s="2421"/>
      <c r="D3894" s="2421"/>
      <c r="E3894" s="2421"/>
      <c r="F3894" s="2421"/>
      <c r="G3894" s="2421"/>
      <c r="H3894" s="2421"/>
      <c r="I3894" s="2421"/>
      <c r="J3894" s="2421"/>
      <c r="K3894" s="3488"/>
      <c r="L3894" s="275">
        <v>500000</v>
      </c>
      <c r="M3894" s="1"/>
      <c r="N3894" s="2432"/>
      <c r="O3894" s="1090">
        <v>2632999</v>
      </c>
      <c r="P3894" s="913" t="s">
        <v>1648</v>
      </c>
      <c r="Q3894" s="278"/>
      <c r="R3894" s="274"/>
      <c r="S3894" s="278">
        <v>50000</v>
      </c>
      <c r="T3894" s="278">
        <v>50000</v>
      </c>
      <c r="U3894" s="278">
        <v>50000</v>
      </c>
      <c r="V3894" s="278">
        <v>50000</v>
      </c>
      <c r="W3894" s="278">
        <v>50000</v>
      </c>
      <c r="X3894" s="278">
        <v>50000</v>
      </c>
      <c r="Y3894" s="278">
        <v>50000</v>
      </c>
      <c r="Z3894" s="278">
        <v>50000</v>
      </c>
      <c r="AA3894" s="278">
        <v>50000</v>
      </c>
      <c r="AB3894" s="278">
        <v>50000</v>
      </c>
      <c r="AC3894" s="278">
        <f t="shared" si="637"/>
        <v>500000</v>
      </c>
    </row>
    <row r="3895" spans="1:29" x14ac:dyDescent="0.2">
      <c r="A3895" s="179"/>
      <c r="B3895" s="2439"/>
      <c r="C3895" s="2421"/>
      <c r="D3895" s="2421"/>
      <c r="E3895" s="2421"/>
      <c r="F3895" s="2421"/>
      <c r="G3895" s="2421"/>
      <c r="H3895" s="2421"/>
      <c r="I3895" s="2421"/>
      <c r="J3895" s="2421"/>
      <c r="K3895" s="3488"/>
      <c r="L3895" s="1"/>
      <c r="M3895" s="278">
        <v>4000</v>
      </c>
      <c r="N3895" s="2437"/>
      <c r="O3895" s="1090">
        <v>266132</v>
      </c>
      <c r="P3895" s="913" t="s">
        <v>1649</v>
      </c>
      <c r="Q3895" s="278"/>
      <c r="R3895" s="274"/>
      <c r="S3895" s="278"/>
      <c r="T3895" s="274"/>
      <c r="U3895" s="278">
        <f>+M3895</f>
        <v>4000</v>
      </c>
      <c r="V3895" s="274"/>
      <c r="W3895" s="278"/>
      <c r="X3895" s="274"/>
      <c r="Y3895" s="278"/>
      <c r="Z3895" s="274"/>
      <c r="AA3895" s="278"/>
      <c r="AB3895" s="274"/>
      <c r="AC3895" s="278">
        <f t="shared" si="637"/>
        <v>4000</v>
      </c>
    </row>
    <row r="3896" spans="1:29" s="289" customFormat="1" x14ac:dyDescent="0.2">
      <c r="A3896" s="540"/>
      <c r="B3896" s="3474" t="s">
        <v>312</v>
      </c>
      <c r="C3896" s="3475"/>
      <c r="D3896" s="3475"/>
      <c r="E3896" s="3475"/>
      <c r="F3896" s="3475"/>
      <c r="G3896" s="3475"/>
      <c r="H3896" s="3475"/>
      <c r="I3896" s="3475"/>
      <c r="J3896" s="3475"/>
      <c r="K3896" s="3475"/>
      <c r="L3896" s="284">
        <f>+SUM(L3820:L3895)</f>
        <v>2238764</v>
      </c>
      <c r="M3896" s="284">
        <f>+SUM(M3820:M3895)</f>
        <v>1218743</v>
      </c>
      <c r="N3896" s="285"/>
      <c r="O3896" s="1148"/>
      <c r="P3896" s="286"/>
      <c r="Q3896" s="287"/>
      <c r="R3896" s="288"/>
      <c r="S3896" s="287"/>
      <c r="T3896" s="288"/>
      <c r="U3896" s="287"/>
      <c r="V3896" s="288"/>
      <c r="W3896" s="287"/>
      <c r="X3896" s="288"/>
      <c r="Y3896" s="287"/>
      <c r="Z3896" s="288"/>
      <c r="AA3896" s="287"/>
      <c r="AB3896" s="288"/>
      <c r="AC3896" s="287"/>
    </row>
    <row r="3897" spans="1:29" x14ac:dyDescent="0.2">
      <c r="A3897" s="179"/>
      <c r="B3897" s="2999" t="s">
        <v>20</v>
      </c>
      <c r="C3897" s="2847" t="s">
        <v>21</v>
      </c>
      <c r="D3897" s="2847" t="s">
        <v>22</v>
      </c>
      <c r="E3897" s="2847" t="s">
        <v>23</v>
      </c>
      <c r="F3897" s="2847" t="s">
        <v>24</v>
      </c>
      <c r="G3897" s="2847" t="s">
        <v>25</v>
      </c>
      <c r="H3897" s="2847" t="s">
        <v>26</v>
      </c>
      <c r="I3897" s="2847" t="s">
        <v>27</v>
      </c>
      <c r="J3897" s="2986" t="s">
        <v>28</v>
      </c>
      <c r="K3897" s="2987"/>
      <c r="L3897" s="2986" t="s">
        <v>1628</v>
      </c>
      <c r="M3897" s="2987"/>
      <c r="N3897" s="2988" t="s">
        <v>29</v>
      </c>
      <c r="O3897" s="2986" t="s">
        <v>30</v>
      </c>
      <c r="P3897" s="2987"/>
      <c r="Q3897" s="3489" t="s">
        <v>31</v>
      </c>
      <c r="R3897" s="3490"/>
      <c r="S3897" s="3490"/>
      <c r="T3897" s="3490"/>
      <c r="U3897" s="3490"/>
      <c r="V3897" s="3490"/>
      <c r="W3897" s="3490"/>
      <c r="X3897" s="3490"/>
      <c r="Y3897" s="3490"/>
      <c r="Z3897" s="3490"/>
      <c r="AA3897" s="3490"/>
      <c r="AB3897" s="3491"/>
      <c r="AC3897" s="3479" t="s">
        <v>32</v>
      </c>
    </row>
    <row r="3898" spans="1:29" x14ac:dyDescent="0.2">
      <c r="A3898" s="179"/>
      <c r="B3898" s="2999"/>
      <c r="C3898" s="2847"/>
      <c r="D3898" s="2847"/>
      <c r="E3898" s="2847"/>
      <c r="F3898" s="2847"/>
      <c r="G3898" s="2847"/>
      <c r="H3898" s="2847"/>
      <c r="I3898" s="2847"/>
      <c r="J3898" s="1017" t="s">
        <v>33</v>
      </c>
      <c r="K3898" s="1017" t="s">
        <v>34</v>
      </c>
      <c r="L3898" s="306" t="s">
        <v>1513</v>
      </c>
      <c r="M3898" s="306" t="s">
        <v>1514</v>
      </c>
      <c r="N3898" s="2989"/>
      <c r="O3898" s="3000"/>
      <c r="P3898" s="3001"/>
      <c r="Q3898" s="1111" t="s">
        <v>35</v>
      </c>
      <c r="R3898" s="1111" t="s">
        <v>36</v>
      </c>
      <c r="S3898" s="1111" t="s">
        <v>37</v>
      </c>
      <c r="T3898" s="1111" t="s">
        <v>38</v>
      </c>
      <c r="U3898" s="1111" t="s">
        <v>39</v>
      </c>
      <c r="V3898" s="1111" t="s">
        <v>40</v>
      </c>
      <c r="W3898" s="1111" t="s">
        <v>41</v>
      </c>
      <c r="X3898" s="1111" t="s">
        <v>42</v>
      </c>
      <c r="Y3898" s="1111" t="s">
        <v>43</v>
      </c>
      <c r="Z3898" s="1111" t="s">
        <v>44</v>
      </c>
      <c r="AA3898" s="1111" t="s">
        <v>45</v>
      </c>
      <c r="AB3898" s="1111" t="s">
        <v>46</v>
      </c>
      <c r="AC3898" s="3479"/>
    </row>
    <row r="3899" spans="1:29" x14ac:dyDescent="0.2">
      <c r="A3899" s="179"/>
      <c r="B3899" s="3190" t="s">
        <v>1650</v>
      </c>
      <c r="C3899" s="3190" t="s">
        <v>1651</v>
      </c>
      <c r="D3899" s="2421"/>
      <c r="E3899" s="2421" t="s">
        <v>1517</v>
      </c>
      <c r="F3899" s="2421" t="s">
        <v>1652</v>
      </c>
      <c r="G3899" s="2421" t="s">
        <v>1653</v>
      </c>
      <c r="H3899" s="2421"/>
      <c r="I3899" s="2421" t="s">
        <v>1519</v>
      </c>
      <c r="J3899" s="2421">
        <v>84</v>
      </c>
      <c r="K3899" s="3488">
        <v>35884</v>
      </c>
      <c r="L3899" s="1"/>
      <c r="M3899" s="542"/>
      <c r="N3899" s="2431" t="s">
        <v>1654</v>
      </c>
      <c r="O3899" s="1111" t="s">
        <v>51</v>
      </c>
      <c r="P3899" s="1111"/>
      <c r="Q3899" s="1111">
        <v>7</v>
      </c>
      <c r="R3899" s="1111">
        <v>7</v>
      </c>
      <c r="S3899" s="1111">
        <v>7</v>
      </c>
      <c r="T3899" s="1111">
        <v>7</v>
      </c>
      <c r="U3899" s="1111">
        <v>7</v>
      </c>
      <c r="V3899" s="1111">
        <v>7</v>
      </c>
      <c r="W3899" s="1111">
        <v>7</v>
      </c>
      <c r="X3899" s="1111">
        <v>7</v>
      </c>
      <c r="Y3899" s="1111">
        <v>7</v>
      </c>
      <c r="Z3899" s="1111">
        <v>7</v>
      </c>
      <c r="AA3899" s="1111">
        <v>7</v>
      </c>
      <c r="AB3899" s="1111">
        <v>7</v>
      </c>
      <c r="AC3899" s="1111">
        <f>SUM(Q3899:AB3899)</f>
        <v>84</v>
      </c>
    </row>
    <row r="3900" spans="1:29" x14ac:dyDescent="0.2">
      <c r="A3900" s="179"/>
      <c r="B3900" s="3191"/>
      <c r="C3900" s="3191"/>
      <c r="D3900" s="2421"/>
      <c r="E3900" s="2421"/>
      <c r="F3900" s="2421"/>
      <c r="G3900" s="2421"/>
      <c r="H3900" s="2421"/>
      <c r="I3900" s="2421"/>
      <c r="J3900" s="2421"/>
      <c r="K3900" s="3488"/>
      <c r="L3900" s="1"/>
      <c r="M3900" s="1"/>
      <c r="N3900" s="2432"/>
      <c r="O3900" s="2840" t="s">
        <v>1340</v>
      </c>
      <c r="P3900" s="2840"/>
      <c r="Q3900" s="274">
        <f>+SUM(Q3901:Q3913)</f>
        <v>0</v>
      </c>
      <c r="R3900" s="274">
        <f t="shared" ref="R3900:AC3900" si="638">+SUM(R3901:R3913)</f>
        <v>0</v>
      </c>
      <c r="S3900" s="274">
        <f t="shared" si="638"/>
        <v>2883</v>
      </c>
      <c r="T3900" s="274">
        <f t="shared" si="638"/>
        <v>3639</v>
      </c>
      <c r="U3900" s="274">
        <f t="shared" si="638"/>
        <v>3433</v>
      </c>
      <c r="V3900" s="274">
        <f t="shared" si="638"/>
        <v>5007</v>
      </c>
      <c r="W3900" s="274">
        <f t="shared" si="638"/>
        <v>3433</v>
      </c>
      <c r="X3900" s="274">
        <f t="shared" si="638"/>
        <v>3433</v>
      </c>
      <c r="Y3900" s="274">
        <f t="shared" si="638"/>
        <v>3583</v>
      </c>
      <c r="Z3900" s="274">
        <f t="shared" si="638"/>
        <v>3633</v>
      </c>
      <c r="AA3900" s="274">
        <f t="shared" si="638"/>
        <v>3483</v>
      </c>
      <c r="AB3900" s="274">
        <f t="shared" si="638"/>
        <v>3357</v>
      </c>
      <c r="AC3900" s="274">
        <f t="shared" si="638"/>
        <v>35884</v>
      </c>
    </row>
    <row r="3901" spans="1:29" x14ac:dyDescent="0.2">
      <c r="A3901" s="179"/>
      <c r="B3901" s="3191"/>
      <c r="C3901" s="3191"/>
      <c r="D3901" s="2421"/>
      <c r="E3901" s="2421"/>
      <c r="F3901" s="2421"/>
      <c r="G3901" s="2421"/>
      <c r="H3901" s="2421"/>
      <c r="I3901" s="2421"/>
      <c r="J3901" s="2421"/>
      <c r="K3901" s="3488"/>
      <c r="L3901" s="1">
        <v>6000</v>
      </c>
      <c r="M3901" s="1"/>
      <c r="N3901" s="2432"/>
      <c r="O3901" s="1090">
        <v>231311</v>
      </c>
      <c r="P3901" s="913" t="s">
        <v>1220</v>
      </c>
      <c r="Q3901" s="278"/>
      <c r="R3901" s="274"/>
      <c r="S3901" s="278">
        <v>600</v>
      </c>
      <c r="T3901" s="278">
        <v>600</v>
      </c>
      <c r="U3901" s="278">
        <v>600</v>
      </c>
      <c r="V3901" s="278">
        <v>600</v>
      </c>
      <c r="W3901" s="278">
        <v>600</v>
      </c>
      <c r="X3901" s="278">
        <v>600</v>
      </c>
      <c r="Y3901" s="278">
        <v>600</v>
      </c>
      <c r="Z3901" s="278">
        <v>600</v>
      </c>
      <c r="AA3901" s="278">
        <v>600</v>
      </c>
      <c r="AB3901" s="278">
        <v>600</v>
      </c>
      <c r="AC3901" s="278">
        <f>+SUM(Q3901:AB3901)</f>
        <v>6000</v>
      </c>
    </row>
    <row r="3902" spans="1:29" x14ac:dyDescent="0.2">
      <c r="A3902" s="179"/>
      <c r="B3902" s="3191"/>
      <c r="C3902" s="3191"/>
      <c r="D3902" s="2421"/>
      <c r="E3902" s="2421"/>
      <c r="F3902" s="2421"/>
      <c r="G3902" s="2421"/>
      <c r="H3902" s="2421"/>
      <c r="I3902" s="2421"/>
      <c r="J3902" s="2421"/>
      <c r="K3902" s="3488"/>
      <c r="L3902" s="1"/>
      <c r="M3902" s="542">
        <v>500</v>
      </c>
      <c r="N3902" s="2432"/>
      <c r="O3902" s="1013">
        <v>231511</v>
      </c>
      <c r="P3902" s="913" t="s">
        <v>1246</v>
      </c>
      <c r="Q3902" s="278"/>
      <c r="R3902" s="274"/>
      <c r="S3902" s="278"/>
      <c r="T3902" s="274"/>
      <c r="U3902" s="278"/>
      <c r="V3902" s="278">
        <v>500</v>
      </c>
      <c r="W3902" s="278"/>
      <c r="X3902" s="274"/>
      <c r="Y3902" s="278"/>
      <c r="Z3902" s="274"/>
      <c r="AA3902" s="278"/>
      <c r="AB3902" s="274"/>
      <c r="AC3902" s="278">
        <f t="shared" ref="AC3902:AC3913" si="639">+SUM(Q3902:AB3902)</f>
        <v>500</v>
      </c>
    </row>
    <row r="3903" spans="1:29" x14ac:dyDescent="0.2">
      <c r="A3903" s="179"/>
      <c r="B3903" s="3191"/>
      <c r="C3903" s="3191"/>
      <c r="D3903" s="2421"/>
      <c r="E3903" s="2421"/>
      <c r="F3903" s="2421"/>
      <c r="G3903" s="2421"/>
      <c r="H3903" s="2421"/>
      <c r="I3903" s="2421"/>
      <c r="J3903" s="2421"/>
      <c r="K3903" s="3488"/>
      <c r="L3903" s="1">
        <v>1000</v>
      </c>
      <c r="M3903" s="1">
        <v>1000</v>
      </c>
      <c r="N3903" s="2432"/>
      <c r="O3903" s="1090">
        <v>231512</v>
      </c>
      <c r="P3903" s="913" t="s">
        <v>1236</v>
      </c>
      <c r="Q3903" s="278"/>
      <c r="R3903" s="274"/>
      <c r="S3903" s="278">
        <v>200</v>
      </c>
      <c r="T3903" s="278">
        <v>200</v>
      </c>
      <c r="U3903" s="278">
        <v>200</v>
      </c>
      <c r="V3903" s="278">
        <v>200</v>
      </c>
      <c r="W3903" s="278">
        <v>200</v>
      </c>
      <c r="X3903" s="278">
        <v>200</v>
      </c>
      <c r="Y3903" s="278">
        <v>200</v>
      </c>
      <c r="Z3903" s="278">
        <v>200</v>
      </c>
      <c r="AA3903" s="278">
        <v>200</v>
      </c>
      <c r="AB3903" s="278">
        <v>200</v>
      </c>
      <c r="AC3903" s="278">
        <f t="shared" si="639"/>
        <v>2000</v>
      </c>
    </row>
    <row r="3904" spans="1:29" x14ac:dyDescent="0.2">
      <c r="A3904" s="179"/>
      <c r="B3904" s="3191"/>
      <c r="C3904" s="3191"/>
      <c r="D3904" s="2421"/>
      <c r="E3904" s="2421"/>
      <c r="F3904" s="2421"/>
      <c r="G3904" s="2421"/>
      <c r="H3904" s="2421"/>
      <c r="I3904" s="2421"/>
      <c r="J3904" s="2421"/>
      <c r="K3904" s="3488"/>
      <c r="L3904" s="1">
        <v>506</v>
      </c>
      <c r="M3904" s="1">
        <v>2000</v>
      </c>
      <c r="N3904" s="2432"/>
      <c r="O3904" s="1090">
        <v>231531</v>
      </c>
      <c r="P3904" s="913" t="s">
        <v>1268</v>
      </c>
      <c r="Q3904" s="278"/>
      <c r="R3904" s="274"/>
      <c r="S3904" s="278"/>
      <c r="T3904" s="278">
        <v>506</v>
      </c>
      <c r="U3904" s="278">
        <v>300</v>
      </c>
      <c r="V3904" s="278">
        <v>300</v>
      </c>
      <c r="W3904" s="278">
        <v>300</v>
      </c>
      <c r="X3904" s="278">
        <v>300</v>
      </c>
      <c r="Y3904" s="278">
        <v>300</v>
      </c>
      <c r="Z3904" s="278">
        <v>300</v>
      </c>
      <c r="AA3904" s="278">
        <v>200</v>
      </c>
      <c r="AB3904" s="274"/>
      <c r="AC3904" s="278">
        <f t="shared" si="639"/>
        <v>2506</v>
      </c>
    </row>
    <row r="3905" spans="1:29" x14ac:dyDescent="0.2">
      <c r="A3905" s="179"/>
      <c r="B3905" s="3191"/>
      <c r="C3905" s="3191"/>
      <c r="D3905" s="2421"/>
      <c r="E3905" s="2421"/>
      <c r="F3905" s="2421"/>
      <c r="G3905" s="2421"/>
      <c r="H3905" s="2421"/>
      <c r="I3905" s="2421"/>
      <c r="J3905" s="2421"/>
      <c r="K3905" s="3488"/>
      <c r="L3905" s="1">
        <v>2000</v>
      </c>
      <c r="M3905" s="1"/>
      <c r="N3905" s="2432"/>
      <c r="O3905" s="1090">
        <v>231821</v>
      </c>
      <c r="P3905" s="913" t="s">
        <v>1566</v>
      </c>
      <c r="Q3905" s="278"/>
      <c r="R3905" s="278"/>
      <c r="S3905" s="278">
        <v>200</v>
      </c>
      <c r="T3905" s="278">
        <v>200</v>
      </c>
      <c r="U3905" s="278">
        <v>200</v>
      </c>
      <c r="V3905" s="278">
        <v>200</v>
      </c>
      <c r="W3905" s="278">
        <v>200</v>
      </c>
      <c r="X3905" s="278">
        <v>200</v>
      </c>
      <c r="Y3905" s="278">
        <v>200</v>
      </c>
      <c r="Z3905" s="278">
        <v>200</v>
      </c>
      <c r="AA3905" s="278">
        <v>200</v>
      </c>
      <c r="AB3905" s="278">
        <v>200</v>
      </c>
      <c r="AC3905" s="278">
        <f t="shared" si="639"/>
        <v>2000</v>
      </c>
    </row>
    <row r="3906" spans="1:29" x14ac:dyDescent="0.2">
      <c r="A3906" s="179"/>
      <c r="B3906" s="3191"/>
      <c r="C3906" s="3191"/>
      <c r="D3906" s="2421"/>
      <c r="E3906" s="2421"/>
      <c r="F3906" s="2421"/>
      <c r="G3906" s="2421"/>
      <c r="H3906" s="2421"/>
      <c r="I3906" s="2421"/>
      <c r="J3906" s="2421"/>
      <c r="K3906" s="3488"/>
      <c r="L3906" s="1">
        <v>1124</v>
      </c>
      <c r="M3906" s="1"/>
      <c r="N3906" s="2432"/>
      <c r="O3906" s="1090">
        <v>2319913</v>
      </c>
      <c r="P3906" s="913" t="s">
        <v>1250</v>
      </c>
      <c r="Q3906" s="278"/>
      <c r="R3906" s="274"/>
      <c r="S3906" s="278"/>
      <c r="T3906" s="274"/>
      <c r="U3906" s="278"/>
      <c r="V3906" s="278">
        <v>1124</v>
      </c>
      <c r="W3906" s="278"/>
      <c r="X3906" s="274"/>
      <c r="Y3906" s="278"/>
      <c r="Z3906" s="274"/>
      <c r="AA3906" s="278"/>
      <c r="AB3906" s="274"/>
      <c r="AC3906" s="278">
        <f t="shared" si="639"/>
        <v>1124</v>
      </c>
    </row>
    <row r="3907" spans="1:29" x14ac:dyDescent="0.2">
      <c r="A3907" s="179"/>
      <c r="B3907" s="3191"/>
      <c r="C3907" s="3191"/>
      <c r="D3907" s="2421"/>
      <c r="E3907" s="2421"/>
      <c r="F3907" s="2421"/>
      <c r="G3907" s="2421"/>
      <c r="H3907" s="2421"/>
      <c r="I3907" s="2421"/>
      <c r="J3907" s="2421"/>
      <c r="K3907" s="3488"/>
      <c r="L3907" s="1">
        <v>2750</v>
      </c>
      <c r="M3907" s="1"/>
      <c r="N3907" s="2432"/>
      <c r="O3907" s="1090">
        <v>232121</v>
      </c>
      <c r="P3907" s="913" t="s">
        <v>1238</v>
      </c>
      <c r="Q3907" s="278"/>
      <c r="R3907" s="274"/>
      <c r="S3907" s="278">
        <f>+L3907/10</f>
        <v>275</v>
      </c>
      <c r="T3907" s="278">
        <v>275</v>
      </c>
      <c r="U3907" s="278">
        <v>275</v>
      </c>
      <c r="V3907" s="278">
        <v>275</v>
      </c>
      <c r="W3907" s="278">
        <v>275</v>
      </c>
      <c r="X3907" s="278">
        <v>275</v>
      </c>
      <c r="Y3907" s="278">
        <v>275</v>
      </c>
      <c r="Z3907" s="278">
        <v>275</v>
      </c>
      <c r="AA3907" s="278">
        <v>275</v>
      </c>
      <c r="AB3907" s="278">
        <v>275</v>
      </c>
      <c r="AC3907" s="278">
        <f t="shared" si="639"/>
        <v>2750</v>
      </c>
    </row>
    <row r="3908" spans="1:29" x14ac:dyDescent="0.2">
      <c r="A3908" s="179"/>
      <c r="B3908" s="3191"/>
      <c r="C3908" s="3191"/>
      <c r="D3908" s="2421"/>
      <c r="E3908" s="2421"/>
      <c r="F3908" s="2421"/>
      <c r="G3908" s="2421"/>
      <c r="H3908" s="2421"/>
      <c r="I3908" s="2421"/>
      <c r="J3908" s="2421"/>
      <c r="K3908" s="3488"/>
      <c r="L3908" s="1">
        <v>6680</v>
      </c>
      <c r="M3908" s="1"/>
      <c r="N3908" s="2432"/>
      <c r="O3908" s="1090">
        <v>232122</v>
      </c>
      <c r="P3908" s="913" t="s">
        <v>1240</v>
      </c>
      <c r="Q3908" s="278"/>
      <c r="R3908" s="274"/>
      <c r="S3908" s="278">
        <f>+L3908/10</f>
        <v>668</v>
      </c>
      <c r="T3908" s="278">
        <v>668</v>
      </c>
      <c r="U3908" s="278">
        <v>668</v>
      </c>
      <c r="V3908" s="278">
        <v>668</v>
      </c>
      <c r="W3908" s="278">
        <v>668</v>
      </c>
      <c r="X3908" s="278">
        <v>668</v>
      </c>
      <c r="Y3908" s="278">
        <v>668</v>
      </c>
      <c r="Z3908" s="278">
        <v>668</v>
      </c>
      <c r="AA3908" s="278">
        <v>668</v>
      </c>
      <c r="AB3908" s="278">
        <v>668</v>
      </c>
      <c r="AC3908" s="278">
        <f t="shared" si="639"/>
        <v>6680</v>
      </c>
    </row>
    <row r="3909" spans="1:29" x14ac:dyDescent="0.2">
      <c r="A3909" s="179"/>
      <c r="B3909" s="3191"/>
      <c r="C3909" s="3191"/>
      <c r="D3909" s="2421"/>
      <c r="E3909" s="2421"/>
      <c r="F3909" s="2421"/>
      <c r="G3909" s="2421"/>
      <c r="H3909" s="2421"/>
      <c r="I3909" s="2421"/>
      <c r="J3909" s="2421"/>
      <c r="K3909" s="3488"/>
      <c r="L3909" s="1">
        <v>2500</v>
      </c>
      <c r="M3909" s="1"/>
      <c r="N3909" s="2432"/>
      <c r="O3909" s="1090">
        <v>2321299</v>
      </c>
      <c r="P3909" s="913" t="s">
        <v>1279</v>
      </c>
      <c r="Q3909" s="278"/>
      <c r="R3909" s="274"/>
      <c r="S3909" s="278">
        <v>250</v>
      </c>
      <c r="T3909" s="278">
        <v>250</v>
      </c>
      <c r="U3909" s="278">
        <v>250</v>
      </c>
      <c r="V3909" s="278">
        <v>250</v>
      </c>
      <c r="W3909" s="278">
        <v>250</v>
      </c>
      <c r="X3909" s="278">
        <v>250</v>
      </c>
      <c r="Y3909" s="278">
        <v>250</v>
      </c>
      <c r="Z3909" s="278">
        <v>250</v>
      </c>
      <c r="AA3909" s="278">
        <v>250</v>
      </c>
      <c r="AB3909" s="278">
        <v>250</v>
      </c>
      <c r="AC3909" s="278">
        <f t="shared" si="639"/>
        <v>2500</v>
      </c>
    </row>
    <row r="3910" spans="1:29" x14ac:dyDescent="0.2">
      <c r="A3910" s="179"/>
      <c r="B3910" s="3191"/>
      <c r="C3910" s="3191"/>
      <c r="D3910" s="2421"/>
      <c r="E3910" s="2421"/>
      <c r="F3910" s="2421"/>
      <c r="G3910" s="2421"/>
      <c r="H3910" s="2421"/>
      <c r="I3910" s="2421"/>
      <c r="J3910" s="2421"/>
      <c r="K3910" s="3488"/>
      <c r="L3910" s="1">
        <v>400</v>
      </c>
      <c r="M3910" s="1"/>
      <c r="N3910" s="2432"/>
      <c r="O3910" s="1090">
        <v>232231</v>
      </c>
      <c r="P3910" s="913" t="s">
        <v>1291</v>
      </c>
      <c r="Q3910" s="278"/>
      <c r="R3910" s="274"/>
      <c r="S3910" s="278">
        <v>40</v>
      </c>
      <c r="T3910" s="278">
        <v>40</v>
      </c>
      <c r="U3910" s="278">
        <v>40</v>
      </c>
      <c r="V3910" s="278">
        <v>40</v>
      </c>
      <c r="W3910" s="278">
        <v>40</v>
      </c>
      <c r="X3910" s="278">
        <v>40</v>
      </c>
      <c r="Y3910" s="278">
        <v>40</v>
      </c>
      <c r="Z3910" s="278">
        <v>40</v>
      </c>
      <c r="AA3910" s="278">
        <v>40</v>
      </c>
      <c r="AB3910" s="278">
        <v>40</v>
      </c>
      <c r="AC3910" s="278">
        <f t="shared" si="639"/>
        <v>400</v>
      </c>
    </row>
    <row r="3911" spans="1:29" x14ac:dyDescent="0.2">
      <c r="A3911" s="179"/>
      <c r="B3911" s="3191"/>
      <c r="C3911" s="3191"/>
      <c r="D3911" s="2421"/>
      <c r="E3911" s="2421"/>
      <c r="F3911" s="2421"/>
      <c r="G3911" s="2421"/>
      <c r="H3911" s="2421"/>
      <c r="I3911" s="2421"/>
      <c r="J3911" s="2421"/>
      <c r="K3911" s="3488"/>
      <c r="L3911" s="1">
        <v>2500</v>
      </c>
      <c r="M3911" s="1"/>
      <c r="N3911" s="2432"/>
      <c r="O3911" s="1090">
        <v>232241</v>
      </c>
      <c r="P3911" s="913" t="s">
        <v>1252</v>
      </c>
      <c r="Q3911" s="278"/>
      <c r="R3911" s="274"/>
      <c r="S3911" s="278">
        <v>250</v>
      </c>
      <c r="T3911" s="278">
        <v>250</v>
      </c>
      <c r="U3911" s="278">
        <v>250</v>
      </c>
      <c r="V3911" s="278">
        <v>250</v>
      </c>
      <c r="W3911" s="278">
        <v>250</v>
      </c>
      <c r="X3911" s="278">
        <v>250</v>
      </c>
      <c r="Y3911" s="278">
        <v>250</v>
      </c>
      <c r="Z3911" s="278">
        <v>250</v>
      </c>
      <c r="AA3911" s="278">
        <v>250</v>
      </c>
      <c r="AB3911" s="278">
        <v>250</v>
      </c>
      <c r="AC3911" s="278">
        <f t="shared" si="639"/>
        <v>2500</v>
      </c>
    </row>
    <row r="3912" spans="1:29" x14ac:dyDescent="0.2">
      <c r="A3912" s="179"/>
      <c r="B3912" s="3191"/>
      <c r="C3912" s="3191"/>
      <c r="D3912" s="2421"/>
      <c r="E3912" s="2421"/>
      <c r="F3912" s="2421"/>
      <c r="G3912" s="2421"/>
      <c r="H3912" s="2421"/>
      <c r="I3912" s="2421"/>
      <c r="J3912" s="2421"/>
      <c r="K3912" s="3488"/>
      <c r="L3912" s="1">
        <v>4000</v>
      </c>
      <c r="M3912" s="1"/>
      <c r="N3912" s="2432"/>
      <c r="O3912" s="1090">
        <v>232244</v>
      </c>
      <c r="P3912" s="913" t="s">
        <v>1242</v>
      </c>
      <c r="Q3912" s="278"/>
      <c r="R3912" s="274"/>
      <c r="S3912" s="278">
        <v>400</v>
      </c>
      <c r="T3912" s="278">
        <v>400</v>
      </c>
      <c r="U3912" s="278">
        <v>400</v>
      </c>
      <c r="V3912" s="278">
        <v>400</v>
      </c>
      <c r="W3912" s="278">
        <v>400</v>
      </c>
      <c r="X3912" s="278">
        <v>400</v>
      </c>
      <c r="Y3912" s="278">
        <v>400</v>
      </c>
      <c r="Z3912" s="278">
        <v>400</v>
      </c>
      <c r="AA3912" s="278">
        <v>400</v>
      </c>
      <c r="AB3912" s="278">
        <v>400</v>
      </c>
      <c r="AC3912" s="278">
        <f t="shared" si="639"/>
        <v>4000</v>
      </c>
    </row>
    <row r="3913" spans="1:29" x14ac:dyDescent="0.2">
      <c r="A3913" s="179"/>
      <c r="B3913" s="2439"/>
      <c r="C3913" s="2439"/>
      <c r="D3913" s="2431"/>
      <c r="E3913" s="2431"/>
      <c r="F3913" s="2431"/>
      <c r="G3913" s="2431"/>
      <c r="H3913" s="2431"/>
      <c r="I3913" s="2431"/>
      <c r="J3913" s="2431"/>
      <c r="K3913" s="3485"/>
      <c r="L3913" s="279">
        <v>2924</v>
      </c>
      <c r="M3913" s="279"/>
      <c r="N3913" s="2437"/>
      <c r="O3913" s="1047">
        <v>2327101</v>
      </c>
      <c r="P3913" s="280" t="s">
        <v>1308</v>
      </c>
      <c r="Q3913" s="281"/>
      <c r="R3913" s="282"/>
      <c r="S3913" s="281"/>
      <c r="T3913" s="281">
        <v>250</v>
      </c>
      <c r="U3913" s="281">
        <v>250</v>
      </c>
      <c r="V3913" s="281">
        <v>200</v>
      </c>
      <c r="W3913" s="281">
        <v>250</v>
      </c>
      <c r="X3913" s="281">
        <v>250</v>
      </c>
      <c r="Y3913" s="281">
        <v>400</v>
      </c>
      <c r="Z3913" s="281">
        <v>450</v>
      </c>
      <c r="AA3913" s="281">
        <v>400</v>
      </c>
      <c r="AB3913" s="281">
        <v>474</v>
      </c>
      <c r="AC3913" s="278">
        <f t="shared" si="639"/>
        <v>2924</v>
      </c>
    </row>
    <row r="3914" spans="1:29" s="289" customFormat="1" x14ac:dyDescent="0.2">
      <c r="A3914" s="540"/>
      <c r="B3914" s="3474" t="s">
        <v>312</v>
      </c>
      <c r="C3914" s="3475"/>
      <c r="D3914" s="3475"/>
      <c r="E3914" s="3475"/>
      <c r="F3914" s="3475"/>
      <c r="G3914" s="3475"/>
      <c r="H3914" s="3475"/>
      <c r="I3914" s="3475"/>
      <c r="J3914" s="3475"/>
      <c r="K3914" s="3475"/>
      <c r="L3914" s="284">
        <f>+SUM(L3901:L3913)</f>
        <v>32384</v>
      </c>
      <c r="M3914" s="284">
        <f>+SUM(M3901:M3913)</f>
        <v>3500</v>
      </c>
      <c r="N3914" s="285"/>
      <c r="O3914" s="1148"/>
      <c r="P3914" s="286"/>
      <c r="Q3914" s="287"/>
      <c r="R3914" s="288"/>
      <c r="S3914" s="287"/>
      <c r="T3914" s="288"/>
      <c r="U3914" s="287"/>
      <c r="V3914" s="288"/>
      <c r="W3914" s="287"/>
      <c r="X3914" s="288"/>
      <c r="Y3914" s="287"/>
      <c r="Z3914" s="288"/>
      <c r="AA3914" s="287"/>
      <c r="AB3914" s="288"/>
      <c r="AC3914" s="287"/>
    </row>
    <row r="3915" spans="1:29" x14ac:dyDescent="0.2">
      <c r="A3915" s="179"/>
      <c r="B3915" s="2999" t="s">
        <v>20</v>
      </c>
      <c r="C3915" s="2847" t="s">
        <v>21</v>
      </c>
      <c r="D3915" s="2847" t="s">
        <v>22</v>
      </c>
      <c r="E3915" s="2847" t="s">
        <v>23</v>
      </c>
      <c r="F3915" s="2847" t="s">
        <v>24</v>
      </c>
      <c r="G3915" s="2847" t="s">
        <v>25</v>
      </c>
      <c r="H3915" s="2847" t="s">
        <v>26</v>
      </c>
      <c r="I3915" s="2847" t="s">
        <v>27</v>
      </c>
      <c r="J3915" s="2986" t="s">
        <v>28</v>
      </c>
      <c r="K3915" s="2987"/>
      <c r="L3915" s="2986" t="s">
        <v>1628</v>
      </c>
      <c r="M3915" s="2987"/>
      <c r="N3915" s="2988" t="s">
        <v>29</v>
      </c>
      <c r="O3915" s="2986" t="s">
        <v>30</v>
      </c>
      <c r="P3915" s="2987"/>
      <c r="Q3915" s="3489" t="s">
        <v>31</v>
      </c>
      <c r="R3915" s="3490"/>
      <c r="S3915" s="3490"/>
      <c r="T3915" s="3490"/>
      <c r="U3915" s="3490"/>
      <c r="V3915" s="3490"/>
      <c r="W3915" s="3490"/>
      <c r="X3915" s="3490"/>
      <c r="Y3915" s="3490"/>
      <c r="Z3915" s="3490"/>
      <c r="AA3915" s="3490"/>
      <c r="AB3915" s="3491"/>
      <c r="AC3915" s="3479" t="s">
        <v>32</v>
      </c>
    </row>
    <row r="3916" spans="1:29" x14ac:dyDescent="0.2">
      <c r="A3916" s="179"/>
      <c r="B3916" s="2999"/>
      <c r="C3916" s="2847"/>
      <c r="D3916" s="2847"/>
      <c r="E3916" s="2847"/>
      <c r="F3916" s="2847"/>
      <c r="G3916" s="2847"/>
      <c r="H3916" s="2847"/>
      <c r="I3916" s="2847"/>
      <c r="J3916" s="1017" t="s">
        <v>33</v>
      </c>
      <c r="K3916" s="1017" t="s">
        <v>34</v>
      </c>
      <c r="L3916" s="306" t="s">
        <v>1513</v>
      </c>
      <c r="M3916" s="306" t="s">
        <v>1514</v>
      </c>
      <c r="N3916" s="2989"/>
      <c r="O3916" s="3000"/>
      <c r="P3916" s="3001"/>
      <c r="Q3916" s="1111" t="s">
        <v>35</v>
      </c>
      <c r="R3916" s="1111" t="s">
        <v>36</v>
      </c>
      <c r="S3916" s="1111" t="s">
        <v>37</v>
      </c>
      <c r="T3916" s="1111" t="s">
        <v>38</v>
      </c>
      <c r="U3916" s="1111" t="s">
        <v>39</v>
      </c>
      <c r="V3916" s="1111" t="s">
        <v>40</v>
      </c>
      <c r="W3916" s="1111" t="s">
        <v>41</v>
      </c>
      <c r="X3916" s="1111" t="s">
        <v>42</v>
      </c>
      <c r="Y3916" s="1111" t="s">
        <v>43</v>
      </c>
      <c r="Z3916" s="1111" t="s">
        <v>44</v>
      </c>
      <c r="AA3916" s="1111" t="s">
        <v>45</v>
      </c>
      <c r="AB3916" s="1111" t="s">
        <v>46</v>
      </c>
      <c r="AC3916" s="3479"/>
    </row>
    <row r="3917" spans="1:29" x14ac:dyDescent="0.2">
      <c r="A3917" s="179"/>
      <c r="B3917" s="3190" t="s">
        <v>1655</v>
      </c>
      <c r="C3917" s="2432" t="s">
        <v>1656</v>
      </c>
      <c r="D3917" s="2437"/>
      <c r="E3917" s="2437" t="s">
        <v>1517</v>
      </c>
      <c r="F3917" s="3199" t="s">
        <v>1652</v>
      </c>
      <c r="G3917" s="2437" t="s">
        <v>1657</v>
      </c>
      <c r="H3917" s="2437"/>
      <c r="I3917" s="2437" t="s">
        <v>1532</v>
      </c>
      <c r="J3917" s="3201">
        <v>12</v>
      </c>
      <c r="K3917" s="3492">
        <v>45056</v>
      </c>
      <c r="L3917" s="283"/>
      <c r="M3917" s="542"/>
      <c r="N3917" s="3297" t="s">
        <v>1658</v>
      </c>
      <c r="O3917" s="1111" t="s">
        <v>51</v>
      </c>
      <c r="P3917" s="1111"/>
      <c r="Q3917" s="1111">
        <v>1</v>
      </c>
      <c r="R3917" s="1111">
        <v>1</v>
      </c>
      <c r="S3917" s="1111">
        <v>1</v>
      </c>
      <c r="T3917" s="1111">
        <v>1</v>
      </c>
      <c r="U3917" s="1111">
        <v>1</v>
      </c>
      <c r="V3917" s="1111">
        <v>1</v>
      </c>
      <c r="W3917" s="1111">
        <v>1</v>
      </c>
      <c r="X3917" s="1111">
        <v>1</v>
      </c>
      <c r="Y3917" s="1111">
        <v>1</v>
      </c>
      <c r="Z3917" s="1111">
        <v>1</v>
      </c>
      <c r="AA3917" s="1111">
        <v>1</v>
      </c>
      <c r="AB3917" s="1111">
        <v>1</v>
      </c>
      <c r="AC3917" s="1111">
        <f>SUM(Q3917:AB3917)</f>
        <v>12</v>
      </c>
    </row>
    <row r="3918" spans="1:29" x14ac:dyDescent="0.2">
      <c r="A3918" s="179"/>
      <c r="B3918" s="3191"/>
      <c r="C3918" s="2432"/>
      <c r="D3918" s="2421"/>
      <c r="E3918" s="2421"/>
      <c r="F3918" s="3200"/>
      <c r="G3918" s="2421"/>
      <c r="H3918" s="2421"/>
      <c r="I3918" s="2421"/>
      <c r="J3918" s="3483"/>
      <c r="K3918" s="3483"/>
      <c r="L3918" s="1"/>
      <c r="M3918" s="1"/>
      <c r="N3918" s="3298"/>
      <c r="O3918" s="2840" t="s">
        <v>1340</v>
      </c>
      <c r="P3918" s="2840"/>
      <c r="Q3918" s="274">
        <f>+SUM(Q3919:Q3925)</f>
        <v>3754.666666666667</v>
      </c>
      <c r="R3918" s="274">
        <f t="shared" ref="R3918:AC3918" si="640">+SUM(R3919:R3925)</f>
        <v>3754.666666666667</v>
      </c>
      <c r="S3918" s="274">
        <f t="shared" si="640"/>
        <v>3754.666666666667</v>
      </c>
      <c r="T3918" s="274">
        <f t="shared" si="640"/>
        <v>3754.666666666667</v>
      </c>
      <c r="U3918" s="274">
        <f t="shared" si="640"/>
        <v>3754.666666666667</v>
      </c>
      <c r="V3918" s="274">
        <f t="shared" si="640"/>
        <v>3754.666666666667</v>
      </c>
      <c r="W3918" s="274">
        <f t="shared" si="640"/>
        <v>3754.666666666667</v>
      </c>
      <c r="X3918" s="274">
        <f t="shared" si="640"/>
        <v>3754.666666666667</v>
      </c>
      <c r="Y3918" s="274">
        <f t="shared" si="640"/>
        <v>3754.666666666667</v>
      </c>
      <c r="Z3918" s="274">
        <f t="shared" si="640"/>
        <v>3754.666666666667</v>
      </c>
      <c r="AA3918" s="274">
        <f t="shared" si="640"/>
        <v>3754.666666666667</v>
      </c>
      <c r="AB3918" s="274">
        <f t="shared" si="640"/>
        <v>3754.666666666667</v>
      </c>
      <c r="AC3918" s="274">
        <f t="shared" si="640"/>
        <v>45056</v>
      </c>
    </row>
    <row r="3919" spans="1:29" x14ac:dyDescent="0.2">
      <c r="A3919" s="179"/>
      <c r="B3919" s="3191"/>
      <c r="C3919" s="2432"/>
      <c r="D3919" s="2421"/>
      <c r="E3919" s="2421"/>
      <c r="F3919" s="3200"/>
      <c r="G3919" s="2421"/>
      <c r="H3919" s="2421"/>
      <c r="I3919" s="2421"/>
      <c r="J3919" s="3483"/>
      <c r="K3919" s="3483"/>
      <c r="L3919" s="1">
        <v>663</v>
      </c>
      <c r="M3919" s="38"/>
      <c r="N3919" s="3298"/>
      <c r="O3919" s="1090">
        <v>231512</v>
      </c>
      <c r="P3919" s="913" t="s">
        <v>1236</v>
      </c>
      <c r="Q3919" s="278">
        <v>55.25</v>
      </c>
      <c r="R3919" s="278">
        <v>55.25</v>
      </c>
      <c r="S3919" s="278">
        <v>55.25</v>
      </c>
      <c r="T3919" s="278">
        <v>55.25</v>
      </c>
      <c r="U3919" s="278">
        <v>55.25</v>
      </c>
      <c r="V3919" s="278">
        <v>55.25</v>
      </c>
      <c r="W3919" s="278">
        <v>55.25</v>
      </c>
      <c r="X3919" s="278">
        <v>55.25</v>
      </c>
      <c r="Y3919" s="278">
        <v>55.25</v>
      </c>
      <c r="Z3919" s="278">
        <v>55.25</v>
      </c>
      <c r="AA3919" s="278">
        <v>55.25</v>
      </c>
      <c r="AB3919" s="278">
        <v>55.25</v>
      </c>
      <c r="AC3919" s="278">
        <f>+SUM(Q3919:AB3919)</f>
        <v>663</v>
      </c>
    </row>
    <row r="3920" spans="1:29" x14ac:dyDescent="0.2">
      <c r="A3920" s="179"/>
      <c r="B3920" s="3191"/>
      <c r="C3920" s="2432"/>
      <c r="D3920" s="2421"/>
      <c r="E3920" s="2421"/>
      <c r="F3920" s="3200"/>
      <c r="G3920" s="2421"/>
      <c r="H3920" s="2421"/>
      <c r="I3920" s="2421"/>
      <c r="J3920" s="3483"/>
      <c r="K3920" s="3483"/>
      <c r="L3920" s="1">
        <v>5000</v>
      </c>
      <c r="M3920" s="38"/>
      <c r="N3920" s="3298"/>
      <c r="O3920" s="1090">
        <v>2319913</v>
      </c>
      <c r="P3920" s="913" t="s">
        <v>1250</v>
      </c>
      <c r="Q3920" s="278">
        <v>416.66666666666669</v>
      </c>
      <c r="R3920" s="278">
        <v>416.66666666666669</v>
      </c>
      <c r="S3920" s="278">
        <v>416.66666666666669</v>
      </c>
      <c r="T3920" s="278">
        <v>416.66666666666669</v>
      </c>
      <c r="U3920" s="278">
        <v>416.66666666666669</v>
      </c>
      <c r="V3920" s="278">
        <v>416.66666666666669</v>
      </c>
      <c r="W3920" s="278">
        <v>416.66666666666669</v>
      </c>
      <c r="X3920" s="278">
        <v>416.66666666666669</v>
      </c>
      <c r="Y3920" s="278">
        <v>416.66666666666669</v>
      </c>
      <c r="Z3920" s="278">
        <v>416.66666666666669</v>
      </c>
      <c r="AA3920" s="278">
        <v>416.66666666666669</v>
      </c>
      <c r="AB3920" s="278">
        <v>416.66666666666669</v>
      </c>
      <c r="AC3920" s="278">
        <f t="shared" ref="AC3920:AC3983" si="641">+SUM(Q3920:AB3920)</f>
        <v>5000</v>
      </c>
    </row>
    <row r="3921" spans="1:29" x14ac:dyDescent="0.2">
      <c r="A3921" s="179"/>
      <c r="B3921" s="3191"/>
      <c r="C3921" s="2432"/>
      <c r="D3921" s="2421"/>
      <c r="E3921" s="2421"/>
      <c r="F3921" s="3200"/>
      <c r="G3921" s="2421"/>
      <c r="H3921" s="2421"/>
      <c r="I3921" s="2421"/>
      <c r="J3921" s="3483"/>
      <c r="K3921" s="3483"/>
      <c r="L3921" s="1">
        <v>700</v>
      </c>
      <c r="M3921" s="38"/>
      <c r="N3921" s="3298"/>
      <c r="O3921" s="1090">
        <v>232121</v>
      </c>
      <c r="P3921" s="913" t="s">
        <v>1238</v>
      </c>
      <c r="Q3921" s="278">
        <v>58.333333333333336</v>
      </c>
      <c r="R3921" s="278">
        <v>58.333333333333336</v>
      </c>
      <c r="S3921" s="278">
        <v>58.333333333333336</v>
      </c>
      <c r="T3921" s="278">
        <v>58.333333333333336</v>
      </c>
      <c r="U3921" s="278">
        <v>58.333333333333336</v>
      </c>
      <c r="V3921" s="278">
        <v>58.333333333333336</v>
      </c>
      <c r="W3921" s="278">
        <v>58.333333333333336</v>
      </c>
      <c r="X3921" s="278">
        <v>58.333333333333336</v>
      </c>
      <c r="Y3921" s="278">
        <v>58.333333333333336</v>
      </c>
      <c r="Z3921" s="278">
        <v>58.333333333333336</v>
      </c>
      <c r="AA3921" s="278">
        <v>58.333333333333336</v>
      </c>
      <c r="AB3921" s="278">
        <v>58.333333333333336</v>
      </c>
      <c r="AC3921" s="278">
        <f t="shared" si="641"/>
        <v>700.00000000000011</v>
      </c>
    </row>
    <row r="3922" spans="1:29" x14ac:dyDescent="0.2">
      <c r="A3922" s="179"/>
      <c r="B3922" s="3191"/>
      <c r="C3922" s="2432"/>
      <c r="D3922" s="2421"/>
      <c r="E3922" s="2421"/>
      <c r="F3922" s="3200"/>
      <c r="G3922" s="2421"/>
      <c r="H3922" s="2421"/>
      <c r="I3922" s="2421"/>
      <c r="J3922" s="3483"/>
      <c r="K3922" s="3483"/>
      <c r="L3922" s="1">
        <v>4550</v>
      </c>
      <c r="M3922" s="38"/>
      <c r="N3922" s="3298"/>
      <c r="O3922" s="1090">
        <v>232122</v>
      </c>
      <c r="P3922" s="913" t="s">
        <v>1240</v>
      </c>
      <c r="Q3922" s="278">
        <v>379.16666666666669</v>
      </c>
      <c r="R3922" s="278">
        <v>379.16666666666669</v>
      </c>
      <c r="S3922" s="278">
        <v>379.16666666666669</v>
      </c>
      <c r="T3922" s="278">
        <v>379.16666666666669</v>
      </c>
      <c r="U3922" s="278">
        <v>379.16666666666669</v>
      </c>
      <c r="V3922" s="278">
        <v>379.16666666666669</v>
      </c>
      <c r="W3922" s="278">
        <v>379.16666666666669</v>
      </c>
      <c r="X3922" s="278">
        <v>379.16666666666669</v>
      </c>
      <c r="Y3922" s="278">
        <v>379.16666666666669</v>
      </c>
      <c r="Z3922" s="278">
        <v>379.16666666666669</v>
      </c>
      <c r="AA3922" s="278">
        <v>379.16666666666669</v>
      </c>
      <c r="AB3922" s="278">
        <v>379.16666666666669</v>
      </c>
      <c r="AC3922" s="278">
        <f t="shared" si="641"/>
        <v>4550</v>
      </c>
    </row>
    <row r="3923" spans="1:29" x14ac:dyDescent="0.2">
      <c r="A3923" s="179"/>
      <c r="B3923" s="3191"/>
      <c r="C3923" s="2432"/>
      <c r="D3923" s="2421"/>
      <c r="E3923" s="2421"/>
      <c r="F3923" s="3200"/>
      <c r="G3923" s="2421"/>
      <c r="H3923" s="2421"/>
      <c r="I3923" s="2421"/>
      <c r="J3923" s="3483"/>
      <c r="K3923" s="3483"/>
      <c r="L3923" s="1">
        <v>14600</v>
      </c>
      <c r="M3923" s="38"/>
      <c r="N3923" s="3298"/>
      <c r="O3923" s="1090">
        <v>232242</v>
      </c>
      <c r="P3923" s="913" t="s">
        <v>1293</v>
      </c>
      <c r="Q3923" s="278">
        <v>1216.6666666666667</v>
      </c>
      <c r="R3923" s="278">
        <v>1216.6666666666667</v>
      </c>
      <c r="S3923" s="278">
        <v>1216.6666666666667</v>
      </c>
      <c r="T3923" s="278">
        <v>1216.6666666666667</v>
      </c>
      <c r="U3923" s="278">
        <v>1216.6666666666667</v>
      </c>
      <c r="V3923" s="278">
        <v>1216.6666666666667</v>
      </c>
      <c r="W3923" s="278">
        <v>1216.6666666666667</v>
      </c>
      <c r="X3923" s="278">
        <v>1216.6666666666667</v>
      </c>
      <c r="Y3923" s="278">
        <v>1216.6666666666667</v>
      </c>
      <c r="Z3923" s="278">
        <v>1216.6666666666667</v>
      </c>
      <c r="AA3923" s="278">
        <v>1216.6666666666667</v>
      </c>
      <c r="AB3923" s="278">
        <v>1216.6666666666667</v>
      </c>
      <c r="AC3923" s="278">
        <f t="shared" si="641"/>
        <v>14599.999999999998</v>
      </c>
    </row>
    <row r="3924" spans="1:29" x14ac:dyDescent="0.2">
      <c r="A3924" s="179"/>
      <c r="B3924" s="3191"/>
      <c r="C3924" s="2432"/>
      <c r="D3924" s="2421"/>
      <c r="E3924" s="2421"/>
      <c r="F3924" s="3200"/>
      <c r="G3924" s="2421"/>
      <c r="H3924" s="2421"/>
      <c r="I3924" s="2421"/>
      <c r="J3924" s="3483"/>
      <c r="K3924" s="3483"/>
      <c r="L3924" s="1">
        <v>18343</v>
      </c>
      <c r="M3924" s="38"/>
      <c r="N3924" s="3298"/>
      <c r="O3924" s="1090">
        <v>232244</v>
      </c>
      <c r="P3924" s="913" t="s">
        <v>1242</v>
      </c>
      <c r="Q3924" s="278">
        <v>1528.5833333333333</v>
      </c>
      <c r="R3924" s="278">
        <v>1528.5833333333333</v>
      </c>
      <c r="S3924" s="278">
        <v>1528.5833333333333</v>
      </c>
      <c r="T3924" s="278">
        <v>1528.5833333333333</v>
      </c>
      <c r="U3924" s="278">
        <v>1528.5833333333333</v>
      </c>
      <c r="V3924" s="278">
        <v>1528.5833333333333</v>
      </c>
      <c r="W3924" s="278">
        <v>1528.5833333333333</v>
      </c>
      <c r="X3924" s="278">
        <v>1528.5833333333333</v>
      </c>
      <c r="Y3924" s="278">
        <v>1528.5833333333333</v>
      </c>
      <c r="Z3924" s="278">
        <v>1528.5833333333333</v>
      </c>
      <c r="AA3924" s="278">
        <v>1528.5833333333333</v>
      </c>
      <c r="AB3924" s="278">
        <v>1528.5833333333333</v>
      </c>
      <c r="AC3924" s="278">
        <f t="shared" si="641"/>
        <v>18343</v>
      </c>
    </row>
    <row r="3925" spans="1:29" x14ac:dyDescent="0.2">
      <c r="A3925" s="179"/>
      <c r="B3925" s="2439"/>
      <c r="C3925" s="2437"/>
      <c r="D3925" s="2421"/>
      <c r="E3925" s="2421"/>
      <c r="F3925" s="3201"/>
      <c r="G3925" s="2421"/>
      <c r="H3925" s="2421"/>
      <c r="I3925" s="2421"/>
      <c r="J3925" s="3483"/>
      <c r="K3925" s="3483"/>
      <c r="L3925" s="1">
        <v>1200</v>
      </c>
      <c r="M3925" s="38"/>
      <c r="N3925" s="3299"/>
      <c r="O3925" s="1090">
        <v>2327101</v>
      </c>
      <c r="P3925" s="913" t="s">
        <v>1308</v>
      </c>
      <c r="Q3925" s="278">
        <v>100</v>
      </c>
      <c r="R3925" s="278">
        <v>100</v>
      </c>
      <c r="S3925" s="278">
        <v>100</v>
      </c>
      <c r="T3925" s="278">
        <v>100</v>
      </c>
      <c r="U3925" s="278">
        <v>100</v>
      </c>
      <c r="V3925" s="278">
        <v>100</v>
      </c>
      <c r="W3925" s="278">
        <v>100</v>
      </c>
      <c r="X3925" s="278">
        <v>100</v>
      </c>
      <c r="Y3925" s="278">
        <v>100</v>
      </c>
      <c r="Z3925" s="278">
        <v>100</v>
      </c>
      <c r="AA3925" s="278">
        <v>100</v>
      </c>
      <c r="AB3925" s="278">
        <v>100</v>
      </c>
      <c r="AC3925" s="278">
        <f t="shared" si="641"/>
        <v>1200</v>
      </c>
    </row>
    <row r="3926" spans="1:29" s="289" customFormat="1" x14ac:dyDescent="0.2">
      <c r="A3926" s="540"/>
      <c r="B3926" s="3474" t="s">
        <v>312</v>
      </c>
      <c r="C3926" s="3475"/>
      <c r="D3926" s="3475"/>
      <c r="E3926" s="3475"/>
      <c r="F3926" s="3475"/>
      <c r="G3926" s="3475"/>
      <c r="H3926" s="3475"/>
      <c r="I3926" s="3475"/>
      <c r="J3926" s="3475"/>
      <c r="K3926" s="3475"/>
      <c r="L3926" s="284">
        <f>+SUM(L3917:L3925)</f>
        <v>45056</v>
      </c>
      <c r="M3926" s="284">
        <f>+SUM(M3917:M3925)</f>
        <v>0</v>
      </c>
      <c r="N3926" s="285"/>
      <c r="O3926" s="1148"/>
      <c r="P3926" s="286"/>
      <c r="Q3926" s="287"/>
      <c r="R3926" s="288"/>
      <c r="S3926" s="287"/>
      <c r="T3926" s="288"/>
      <c r="U3926" s="287"/>
      <c r="V3926" s="288"/>
      <c r="W3926" s="287"/>
      <c r="X3926" s="288"/>
      <c r="Y3926" s="287"/>
      <c r="Z3926" s="288"/>
      <c r="AA3926" s="287"/>
      <c r="AB3926" s="288"/>
      <c r="AC3926" s="287"/>
    </row>
    <row r="3927" spans="1:29" x14ac:dyDescent="0.2">
      <c r="A3927" s="179"/>
      <c r="B3927" s="2999" t="s">
        <v>20</v>
      </c>
      <c r="C3927" s="2847" t="s">
        <v>21</v>
      </c>
      <c r="D3927" s="2847" t="s">
        <v>22</v>
      </c>
      <c r="E3927" s="2847" t="s">
        <v>23</v>
      </c>
      <c r="F3927" s="2847" t="s">
        <v>24</v>
      </c>
      <c r="G3927" s="2847" t="s">
        <v>25</v>
      </c>
      <c r="H3927" s="2847" t="s">
        <v>26</v>
      </c>
      <c r="I3927" s="2847" t="s">
        <v>27</v>
      </c>
      <c r="J3927" s="2986" t="s">
        <v>28</v>
      </c>
      <c r="K3927" s="2987"/>
      <c r="L3927" s="2986" t="s">
        <v>1628</v>
      </c>
      <c r="M3927" s="2987"/>
      <c r="N3927" s="2988" t="s">
        <v>29</v>
      </c>
      <c r="O3927" s="2986" t="s">
        <v>30</v>
      </c>
      <c r="P3927" s="2987"/>
      <c r="Q3927" s="3489" t="s">
        <v>31</v>
      </c>
      <c r="R3927" s="3490"/>
      <c r="S3927" s="3490"/>
      <c r="T3927" s="3490"/>
      <c r="U3927" s="3490"/>
      <c r="V3927" s="3490"/>
      <c r="W3927" s="3490"/>
      <c r="X3927" s="3490"/>
      <c r="Y3927" s="3490"/>
      <c r="Z3927" s="3490"/>
      <c r="AA3927" s="3490"/>
      <c r="AB3927" s="3491"/>
      <c r="AC3927" s="3479" t="s">
        <v>32</v>
      </c>
    </row>
    <row r="3928" spans="1:29" x14ac:dyDescent="0.2">
      <c r="A3928" s="179"/>
      <c r="B3928" s="2999"/>
      <c r="C3928" s="2847"/>
      <c r="D3928" s="2847"/>
      <c r="E3928" s="2847"/>
      <c r="F3928" s="2847"/>
      <c r="G3928" s="2847"/>
      <c r="H3928" s="2847"/>
      <c r="I3928" s="2847"/>
      <c r="J3928" s="1017" t="s">
        <v>33</v>
      </c>
      <c r="K3928" s="1017" t="s">
        <v>34</v>
      </c>
      <c r="L3928" s="306" t="s">
        <v>1513</v>
      </c>
      <c r="M3928" s="306" t="s">
        <v>1514</v>
      </c>
      <c r="N3928" s="2989"/>
      <c r="O3928" s="3000"/>
      <c r="P3928" s="3001"/>
      <c r="Q3928" s="1111" t="s">
        <v>35</v>
      </c>
      <c r="R3928" s="1111" t="s">
        <v>36</v>
      </c>
      <c r="S3928" s="1111" t="s">
        <v>37</v>
      </c>
      <c r="T3928" s="1111" t="s">
        <v>38</v>
      </c>
      <c r="U3928" s="1111" t="s">
        <v>39</v>
      </c>
      <c r="V3928" s="1111" t="s">
        <v>40</v>
      </c>
      <c r="W3928" s="1111" t="s">
        <v>41</v>
      </c>
      <c r="X3928" s="1111" t="s">
        <v>42</v>
      </c>
      <c r="Y3928" s="1111" t="s">
        <v>43</v>
      </c>
      <c r="Z3928" s="1111" t="s">
        <v>44</v>
      </c>
      <c r="AA3928" s="1111" t="s">
        <v>45</v>
      </c>
      <c r="AB3928" s="1111" t="s">
        <v>46</v>
      </c>
      <c r="AC3928" s="3479"/>
    </row>
    <row r="3929" spans="1:29" x14ac:dyDescent="0.2">
      <c r="A3929" s="179"/>
      <c r="B3929" s="3190" t="s">
        <v>1659</v>
      </c>
      <c r="C3929" s="3190" t="s">
        <v>1660</v>
      </c>
      <c r="D3929" s="2421"/>
      <c r="E3929" s="2431" t="s">
        <v>1517</v>
      </c>
      <c r="F3929" s="2431" t="s">
        <v>1652</v>
      </c>
      <c r="G3929" s="2421" t="s">
        <v>1653</v>
      </c>
      <c r="H3929" s="2421"/>
      <c r="I3929" s="2421" t="s">
        <v>1661</v>
      </c>
      <c r="J3929" s="2421">
        <v>190</v>
      </c>
      <c r="K3929" s="3496">
        <v>4178</v>
      </c>
      <c r="L3929" s="1"/>
      <c r="M3929" s="542"/>
      <c r="N3929" s="3297" t="s">
        <v>1654</v>
      </c>
      <c r="O3929" s="1111" t="s">
        <v>51</v>
      </c>
      <c r="P3929" s="1111"/>
      <c r="Q3929" s="1111">
        <v>15</v>
      </c>
      <c r="R3929" s="1111">
        <v>15</v>
      </c>
      <c r="S3929" s="1111">
        <v>16</v>
      </c>
      <c r="T3929" s="1111">
        <v>16</v>
      </c>
      <c r="U3929" s="1111">
        <v>16</v>
      </c>
      <c r="V3929" s="1111">
        <v>16</v>
      </c>
      <c r="W3929" s="1111">
        <v>16</v>
      </c>
      <c r="X3929" s="1111">
        <v>16</v>
      </c>
      <c r="Y3929" s="1111">
        <v>16</v>
      </c>
      <c r="Z3929" s="1111">
        <v>16</v>
      </c>
      <c r="AA3929" s="1111">
        <v>16</v>
      </c>
      <c r="AB3929" s="1111">
        <v>16</v>
      </c>
      <c r="AC3929" s="1111">
        <f>SUM(Q3929:AB3929)</f>
        <v>190</v>
      </c>
    </row>
    <row r="3930" spans="1:29" x14ac:dyDescent="0.2">
      <c r="A3930" s="179"/>
      <c r="B3930" s="3191"/>
      <c r="C3930" s="3191"/>
      <c r="D3930" s="2421"/>
      <c r="E3930" s="2432"/>
      <c r="F3930" s="2432"/>
      <c r="G3930" s="2421"/>
      <c r="H3930" s="2421"/>
      <c r="I3930" s="2421"/>
      <c r="J3930" s="2421"/>
      <c r="K3930" s="2421"/>
      <c r="L3930" s="1"/>
      <c r="M3930" s="1"/>
      <c r="N3930" s="3298"/>
      <c r="O3930" s="2840" t="s">
        <v>1340</v>
      </c>
      <c r="P3930" s="2840"/>
      <c r="Q3930" s="274">
        <f>+SUM(Q3931:Q3934)</f>
        <v>348.16666666666669</v>
      </c>
      <c r="R3930" s="274">
        <f t="shared" ref="R3930:AC3930" si="642">+SUM(R3931:R3934)</f>
        <v>348.16666666666669</v>
      </c>
      <c r="S3930" s="274">
        <f t="shared" si="642"/>
        <v>348.16666666666669</v>
      </c>
      <c r="T3930" s="274">
        <f t="shared" si="642"/>
        <v>348.16666666666669</v>
      </c>
      <c r="U3930" s="274">
        <f t="shared" si="642"/>
        <v>348.16666666666669</v>
      </c>
      <c r="V3930" s="274">
        <f t="shared" si="642"/>
        <v>348.16666666666669</v>
      </c>
      <c r="W3930" s="274">
        <f t="shared" si="642"/>
        <v>348.16666666666669</v>
      </c>
      <c r="X3930" s="274">
        <f t="shared" si="642"/>
        <v>348.16666666666669</v>
      </c>
      <c r="Y3930" s="274">
        <f t="shared" si="642"/>
        <v>348.16666666666669</v>
      </c>
      <c r="Z3930" s="274">
        <f t="shared" si="642"/>
        <v>348.16666666666669</v>
      </c>
      <c r="AA3930" s="274">
        <f t="shared" si="642"/>
        <v>348.16666666666669</v>
      </c>
      <c r="AB3930" s="274">
        <f t="shared" si="642"/>
        <v>348.16666666666669</v>
      </c>
      <c r="AC3930" s="274">
        <f t="shared" si="642"/>
        <v>4178</v>
      </c>
    </row>
    <row r="3931" spans="1:29" x14ac:dyDescent="0.2">
      <c r="A3931" s="179"/>
      <c r="B3931" s="3191"/>
      <c r="C3931" s="3191"/>
      <c r="D3931" s="2421"/>
      <c r="E3931" s="2432"/>
      <c r="F3931" s="2432"/>
      <c r="G3931" s="2421"/>
      <c r="H3931" s="2421"/>
      <c r="I3931" s="2421"/>
      <c r="J3931" s="2421"/>
      <c r="K3931" s="2421"/>
      <c r="L3931" s="1">
        <v>750</v>
      </c>
      <c r="M3931" s="38"/>
      <c r="N3931" s="3298"/>
      <c r="O3931" s="1090">
        <v>231311</v>
      </c>
      <c r="P3931" s="913" t="s">
        <v>1220</v>
      </c>
      <c r="Q3931" s="278">
        <v>62.5</v>
      </c>
      <c r="R3931" s="278">
        <v>62.5</v>
      </c>
      <c r="S3931" s="278">
        <v>62.5</v>
      </c>
      <c r="T3931" s="278">
        <v>62.5</v>
      </c>
      <c r="U3931" s="278">
        <v>62.5</v>
      </c>
      <c r="V3931" s="278">
        <v>62.5</v>
      </c>
      <c r="W3931" s="278">
        <v>62.5</v>
      </c>
      <c r="X3931" s="278">
        <v>62.5</v>
      </c>
      <c r="Y3931" s="278">
        <v>62.5</v>
      </c>
      <c r="Z3931" s="278">
        <v>62.5</v>
      </c>
      <c r="AA3931" s="278">
        <v>62.5</v>
      </c>
      <c r="AB3931" s="278">
        <v>62.5</v>
      </c>
      <c r="AC3931" s="278">
        <f>+SUM(Q3931:AB3931)</f>
        <v>750</v>
      </c>
    </row>
    <row r="3932" spans="1:29" x14ac:dyDescent="0.2">
      <c r="A3932" s="179"/>
      <c r="B3932" s="3191"/>
      <c r="C3932" s="3191"/>
      <c r="D3932" s="2421"/>
      <c r="E3932" s="2432"/>
      <c r="F3932" s="2432"/>
      <c r="G3932" s="2421"/>
      <c r="H3932" s="2421"/>
      <c r="I3932" s="2421"/>
      <c r="J3932" s="2421"/>
      <c r="K3932" s="2421"/>
      <c r="L3932" s="1">
        <v>278</v>
      </c>
      <c r="M3932" s="38"/>
      <c r="N3932" s="3298"/>
      <c r="O3932" s="1090">
        <v>231512</v>
      </c>
      <c r="P3932" s="913" t="s">
        <v>1236</v>
      </c>
      <c r="Q3932" s="278">
        <v>23.166666666666668</v>
      </c>
      <c r="R3932" s="278">
        <v>23.166666666666668</v>
      </c>
      <c r="S3932" s="278">
        <v>23.166666666666668</v>
      </c>
      <c r="T3932" s="278">
        <v>23.166666666666668</v>
      </c>
      <c r="U3932" s="278">
        <v>23.166666666666668</v>
      </c>
      <c r="V3932" s="278">
        <v>23.166666666666668</v>
      </c>
      <c r="W3932" s="278">
        <v>23.166666666666668</v>
      </c>
      <c r="X3932" s="278">
        <v>23.166666666666668</v>
      </c>
      <c r="Y3932" s="278">
        <v>23.166666666666668</v>
      </c>
      <c r="Z3932" s="278">
        <v>23.166666666666668</v>
      </c>
      <c r="AA3932" s="278">
        <v>23.166666666666668</v>
      </c>
      <c r="AB3932" s="278">
        <v>23.166666666666668</v>
      </c>
      <c r="AC3932" s="278">
        <f t="shared" si="641"/>
        <v>277.99999999999994</v>
      </c>
    </row>
    <row r="3933" spans="1:29" x14ac:dyDescent="0.2">
      <c r="A3933" s="179"/>
      <c r="B3933" s="3191"/>
      <c r="C3933" s="3191"/>
      <c r="D3933" s="2421"/>
      <c r="E3933" s="2432"/>
      <c r="F3933" s="2432"/>
      <c r="G3933" s="2421"/>
      <c r="H3933" s="2421"/>
      <c r="I3933" s="2421"/>
      <c r="J3933" s="2421"/>
      <c r="K3933" s="2421"/>
      <c r="L3933" s="1">
        <v>350</v>
      </c>
      <c r="M3933" s="38"/>
      <c r="N3933" s="3298"/>
      <c r="O3933" s="1090">
        <v>232121</v>
      </c>
      <c r="P3933" s="913" t="s">
        <v>1238</v>
      </c>
      <c r="Q3933" s="278">
        <v>29.166666666666668</v>
      </c>
      <c r="R3933" s="278">
        <v>29.166666666666668</v>
      </c>
      <c r="S3933" s="278">
        <v>29.166666666666668</v>
      </c>
      <c r="T3933" s="278">
        <v>29.166666666666668</v>
      </c>
      <c r="U3933" s="278">
        <v>29.166666666666668</v>
      </c>
      <c r="V3933" s="278">
        <v>29.166666666666668</v>
      </c>
      <c r="W3933" s="278">
        <v>29.166666666666668</v>
      </c>
      <c r="X3933" s="278">
        <v>29.166666666666668</v>
      </c>
      <c r="Y3933" s="278">
        <v>29.166666666666668</v>
      </c>
      <c r="Z3933" s="278">
        <v>29.166666666666668</v>
      </c>
      <c r="AA3933" s="278">
        <v>29.166666666666668</v>
      </c>
      <c r="AB3933" s="278">
        <v>29.166666666666668</v>
      </c>
      <c r="AC3933" s="278">
        <f t="shared" si="641"/>
        <v>350.00000000000006</v>
      </c>
    </row>
    <row r="3934" spans="1:29" x14ac:dyDescent="0.2">
      <c r="A3934" s="179"/>
      <c r="B3934" s="2439"/>
      <c r="C3934" s="2439"/>
      <c r="D3934" s="2421"/>
      <c r="E3934" s="2437"/>
      <c r="F3934" s="2437"/>
      <c r="G3934" s="2421"/>
      <c r="H3934" s="2421"/>
      <c r="I3934" s="2421"/>
      <c r="J3934" s="2421"/>
      <c r="K3934" s="2421"/>
      <c r="L3934" s="1">
        <v>2800</v>
      </c>
      <c r="M3934" s="38"/>
      <c r="N3934" s="3299"/>
      <c r="O3934" s="1090">
        <v>232122</v>
      </c>
      <c r="P3934" s="913" t="s">
        <v>1240</v>
      </c>
      <c r="Q3934" s="278">
        <v>233.33333333333334</v>
      </c>
      <c r="R3934" s="278">
        <v>233.33333333333334</v>
      </c>
      <c r="S3934" s="278">
        <v>233.33333333333334</v>
      </c>
      <c r="T3934" s="278">
        <v>233.33333333333334</v>
      </c>
      <c r="U3934" s="278">
        <v>233.33333333333334</v>
      </c>
      <c r="V3934" s="278">
        <v>233.33333333333334</v>
      </c>
      <c r="W3934" s="278">
        <v>233.33333333333334</v>
      </c>
      <c r="X3934" s="278">
        <v>233.33333333333334</v>
      </c>
      <c r="Y3934" s="278">
        <v>233.33333333333334</v>
      </c>
      <c r="Z3934" s="278">
        <v>233.33333333333334</v>
      </c>
      <c r="AA3934" s="278">
        <v>233.33333333333334</v>
      </c>
      <c r="AB3934" s="278">
        <v>233.33333333333334</v>
      </c>
      <c r="AC3934" s="278">
        <f t="shared" si="641"/>
        <v>2800.0000000000005</v>
      </c>
    </row>
    <row r="3935" spans="1:29" s="289" customFormat="1" x14ac:dyDescent="0.2">
      <c r="A3935" s="540"/>
      <c r="B3935" s="3474" t="s">
        <v>312</v>
      </c>
      <c r="C3935" s="3475"/>
      <c r="D3935" s="3475"/>
      <c r="E3935" s="3475"/>
      <c r="F3935" s="3475"/>
      <c r="G3935" s="3475"/>
      <c r="H3935" s="3475"/>
      <c r="I3935" s="3475"/>
      <c r="J3935" s="3475"/>
      <c r="K3935" s="3475"/>
      <c r="L3935" s="284">
        <f>+SUM(L3931:L3934)</f>
        <v>4178</v>
      </c>
      <c r="M3935" s="284"/>
      <c r="N3935" s="285"/>
      <c r="O3935" s="1148"/>
      <c r="P3935" s="286"/>
      <c r="Q3935" s="287"/>
      <c r="R3935" s="288"/>
      <c r="S3935" s="287"/>
      <c r="T3935" s="288"/>
      <c r="U3935" s="287"/>
      <c r="V3935" s="288"/>
      <c r="W3935" s="287"/>
      <c r="X3935" s="288"/>
      <c r="Y3935" s="287"/>
      <c r="Z3935" s="288"/>
      <c r="AA3935" s="287"/>
      <c r="AB3935" s="288"/>
      <c r="AC3935" s="287"/>
    </row>
    <row r="3936" spans="1:29" x14ac:dyDescent="0.2">
      <c r="A3936" s="179"/>
      <c r="B3936" s="2999" t="s">
        <v>20</v>
      </c>
      <c r="C3936" s="2847" t="s">
        <v>21</v>
      </c>
      <c r="D3936" s="2847" t="s">
        <v>22</v>
      </c>
      <c r="E3936" s="2847" t="s">
        <v>23</v>
      </c>
      <c r="F3936" s="2847" t="s">
        <v>24</v>
      </c>
      <c r="G3936" s="2847" t="s">
        <v>25</v>
      </c>
      <c r="H3936" s="2847" t="s">
        <v>26</v>
      </c>
      <c r="I3936" s="2847" t="s">
        <v>27</v>
      </c>
      <c r="J3936" s="2986" t="s">
        <v>28</v>
      </c>
      <c r="K3936" s="2987"/>
      <c r="L3936" s="2986" t="s">
        <v>1628</v>
      </c>
      <c r="M3936" s="2987"/>
      <c r="N3936" s="2988" t="s">
        <v>29</v>
      </c>
      <c r="O3936" s="2986" t="s">
        <v>30</v>
      </c>
      <c r="P3936" s="2987"/>
      <c r="Q3936" s="3489" t="s">
        <v>31</v>
      </c>
      <c r="R3936" s="3490"/>
      <c r="S3936" s="3490"/>
      <c r="T3936" s="3490"/>
      <c r="U3936" s="3490"/>
      <c r="V3936" s="3490"/>
      <c r="W3936" s="3490"/>
      <c r="X3936" s="3490"/>
      <c r="Y3936" s="3490"/>
      <c r="Z3936" s="3490"/>
      <c r="AA3936" s="3490"/>
      <c r="AB3936" s="3491"/>
      <c r="AC3936" s="3479" t="s">
        <v>32</v>
      </c>
    </row>
    <row r="3937" spans="1:29" x14ac:dyDescent="0.2">
      <c r="A3937" s="179"/>
      <c r="B3937" s="2999"/>
      <c r="C3937" s="2847"/>
      <c r="D3937" s="2847"/>
      <c r="E3937" s="2847"/>
      <c r="F3937" s="2847"/>
      <c r="G3937" s="2847"/>
      <c r="H3937" s="2847"/>
      <c r="I3937" s="2847"/>
      <c r="J3937" s="1017" t="s">
        <v>33</v>
      </c>
      <c r="K3937" s="1017" t="s">
        <v>34</v>
      </c>
      <c r="L3937" s="306" t="s">
        <v>1513</v>
      </c>
      <c r="M3937" s="306" t="s">
        <v>1514</v>
      </c>
      <c r="N3937" s="2989"/>
      <c r="O3937" s="3000"/>
      <c r="P3937" s="3001"/>
      <c r="Q3937" s="1111" t="s">
        <v>35</v>
      </c>
      <c r="R3937" s="1111" t="s">
        <v>36</v>
      </c>
      <c r="S3937" s="1111" t="s">
        <v>37</v>
      </c>
      <c r="T3937" s="1111" t="s">
        <v>38</v>
      </c>
      <c r="U3937" s="1111" t="s">
        <v>39</v>
      </c>
      <c r="V3937" s="1111" t="s">
        <v>40</v>
      </c>
      <c r="W3937" s="1111" t="s">
        <v>41</v>
      </c>
      <c r="X3937" s="1111" t="s">
        <v>42</v>
      </c>
      <c r="Y3937" s="1111" t="s">
        <v>43</v>
      </c>
      <c r="Z3937" s="1111" t="s">
        <v>44</v>
      </c>
      <c r="AA3937" s="1111" t="s">
        <v>45</v>
      </c>
      <c r="AB3937" s="1111" t="s">
        <v>46</v>
      </c>
      <c r="AC3937" s="3479"/>
    </row>
    <row r="3938" spans="1:29" x14ac:dyDescent="0.2">
      <c r="A3938" s="179"/>
      <c r="B3938" s="3190" t="s">
        <v>1662</v>
      </c>
      <c r="C3938" s="3493" t="s">
        <v>1663</v>
      </c>
      <c r="D3938" s="2421"/>
      <c r="E3938" s="2421" t="s">
        <v>1517</v>
      </c>
      <c r="F3938" s="2421" t="s">
        <v>1652</v>
      </c>
      <c r="G3938" s="2421" t="s">
        <v>1664</v>
      </c>
      <c r="H3938" s="2421"/>
      <c r="I3938" s="2421" t="s">
        <v>1519</v>
      </c>
      <c r="J3938" s="3483">
        <v>15</v>
      </c>
      <c r="K3938" s="3497">
        <v>109984</v>
      </c>
      <c r="L3938" s="1"/>
      <c r="M3938" s="542"/>
      <c r="N3938" s="3297" t="s">
        <v>1665</v>
      </c>
      <c r="O3938" s="1111" t="s">
        <v>51</v>
      </c>
      <c r="P3938" s="1111"/>
      <c r="Q3938" s="1111">
        <v>1</v>
      </c>
      <c r="R3938" s="1111">
        <v>1</v>
      </c>
      <c r="S3938" s="1111">
        <v>1</v>
      </c>
      <c r="T3938" s="1111">
        <v>1</v>
      </c>
      <c r="U3938" s="1111">
        <v>1</v>
      </c>
      <c r="V3938" s="1111">
        <v>2</v>
      </c>
      <c r="W3938" s="1111">
        <v>1</v>
      </c>
      <c r="X3938" s="1111">
        <v>1</v>
      </c>
      <c r="Y3938" s="1111">
        <v>1</v>
      </c>
      <c r="Z3938" s="1111">
        <v>1</v>
      </c>
      <c r="AA3938" s="1111">
        <v>1</v>
      </c>
      <c r="AB3938" s="1111">
        <v>3</v>
      </c>
      <c r="AC3938" s="1111">
        <f>SUM(Q3938:AB3938)</f>
        <v>15</v>
      </c>
    </row>
    <row r="3939" spans="1:29" x14ac:dyDescent="0.2">
      <c r="A3939" s="179"/>
      <c r="B3939" s="3191"/>
      <c r="C3939" s="3494"/>
      <c r="D3939" s="2421"/>
      <c r="E3939" s="2421"/>
      <c r="F3939" s="2421"/>
      <c r="G3939" s="2421"/>
      <c r="H3939" s="2421"/>
      <c r="I3939" s="2421"/>
      <c r="J3939" s="3483"/>
      <c r="K3939" s="3483"/>
      <c r="L3939" s="1"/>
      <c r="M3939" s="1"/>
      <c r="N3939" s="3298"/>
      <c r="O3939" s="2840" t="s">
        <v>1340</v>
      </c>
      <c r="P3939" s="2840"/>
      <c r="Q3939" s="274">
        <f>SUM(Q3940:Q3943)</f>
        <v>5062.5</v>
      </c>
      <c r="R3939" s="274">
        <f t="shared" ref="R3939:AC3939" si="643">SUM(R3940:R3943)</f>
        <v>5062.5</v>
      </c>
      <c r="S3939" s="274">
        <f t="shared" si="643"/>
        <v>5062.5</v>
      </c>
      <c r="T3939" s="274">
        <f t="shared" si="643"/>
        <v>5062.5</v>
      </c>
      <c r="U3939" s="274">
        <f t="shared" si="643"/>
        <v>5062.5</v>
      </c>
      <c r="V3939" s="274">
        <f t="shared" si="643"/>
        <v>5062.5</v>
      </c>
      <c r="W3939" s="274">
        <f t="shared" si="643"/>
        <v>5062.5</v>
      </c>
      <c r="X3939" s="274">
        <f t="shared" si="643"/>
        <v>5062.5</v>
      </c>
      <c r="Y3939" s="274">
        <f t="shared" si="643"/>
        <v>5062.5</v>
      </c>
      <c r="Z3939" s="274">
        <f t="shared" si="643"/>
        <v>5062.5</v>
      </c>
      <c r="AA3939" s="274">
        <f t="shared" si="643"/>
        <v>5062.5</v>
      </c>
      <c r="AB3939" s="274">
        <f t="shared" si="643"/>
        <v>5062.5</v>
      </c>
      <c r="AC3939" s="274">
        <f t="shared" si="643"/>
        <v>60750.000000000007</v>
      </c>
    </row>
    <row r="3940" spans="1:29" x14ac:dyDescent="0.2">
      <c r="A3940" s="179"/>
      <c r="B3940" s="3191"/>
      <c r="C3940" s="3494"/>
      <c r="D3940" s="2421"/>
      <c r="E3940" s="2421"/>
      <c r="F3940" s="2421"/>
      <c r="G3940" s="2421"/>
      <c r="H3940" s="2421"/>
      <c r="I3940" s="2421"/>
      <c r="J3940" s="3483"/>
      <c r="K3940" s="3483"/>
      <c r="L3940" s="1">
        <v>3046</v>
      </c>
      <c r="M3940" s="47"/>
      <c r="N3940" s="3298"/>
      <c r="O3940" s="1090">
        <v>2311111</v>
      </c>
      <c r="P3940" s="913" t="s">
        <v>1544</v>
      </c>
      <c r="Q3940" s="278">
        <v>253.83333333333334</v>
      </c>
      <c r="R3940" s="278">
        <v>253.83333333333334</v>
      </c>
      <c r="S3940" s="278">
        <v>253.83333333333334</v>
      </c>
      <c r="T3940" s="278">
        <v>253.83333333333334</v>
      </c>
      <c r="U3940" s="278">
        <v>253.83333333333334</v>
      </c>
      <c r="V3940" s="278">
        <v>253.83333333333334</v>
      </c>
      <c r="W3940" s="278">
        <v>253.83333333333334</v>
      </c>
      <c r="X3940" s="278">
        <v>253.83333333333334</v>
      </c>
      <c r="Y3940" s="278">
        <v>253.83333333333334</v>
      </c>
      <c r="Z3940" s="278">
        <v>253.83333333333334</v>
      </c>
      <c r="AA3940" s="278">
        <v>253.83333333333334</v>
      </c>
      <c r="AB3940" s="278">
        <v>253.83333333333334</v>
      </c>
      <c r="AC3940" s="278">
        <f>+SUM(Q3940:AB3940)</f>
        <v>3046.0000000000005</v>
      </c>
    </row>
    <row r="3941" spans="1:29" x14ac:dyDescent="0.2">
      <c r="A3941" s="179"/>
      <c r="B3941" s="3191"/>
      <c r="C3941" s="3494"/>
      <c r="D3941" s="2421"/>
      <c r="E3941" s="2421"/>
      <c r="F3941" s="2421"/>
      <c r="G3941" s="2421"/>
      <c r="H3941" s="2421"/>
      <c r="I3941" s="2421"/>
      <c r="J3941" s="3483"/>
      <c r="K3941" s="3483"/>
      <c r="L3941" s="1">
        <v>2900</v>
      </c>
      <c r="M3941" s="47"/>
      <c r="N3941" s="3298"/>
      <c r="O3941" s="1090">
        <v>231821</v>
      </c>
      <c r="P3941" s="913" t="s">
        <v>1566</v>
      </c>
      <c r="Q3941" s="278">
        <v>241.66666666666666</v>
      </c>
      <c r="R3941" s="278">
        <v>241.66666666666666</v>
      </c>
      <c r="S3941" s="278">
        <v>241.66666666666666</v>
      </c>
      <c r="T3941" s="278">
        <v>241.66666666666666</v>
      </c>
      <c r="U3941" s="278">
        <v>241.66666666666666</v>
      </c>
      <c r="V3941" s="278">
        <v>241.66666666666666</v>
      </c>
      <c r="W3941" s="278">
        <v>241.66666666666666</v>
      </c>
      <c r="X3941" s="278">
        <v>241.66666666666666</v>
      </c>
      <c r="Y3941" s="278">
        <v>241.66666666666666</v>
      </c>
      <c r="Z3941" s="278">
        <v>241.66666666666666</v>
      </c>
      <c r="AA3941" s="278">
        <v>241.66666666666666</v>
      </c>
      <c r="AB3941" s="278">
        <v>241.66666666666666</v>
      </c>
      <c r="AC3941" s="278">
        <f t="shared" si="641"/>
        <v>2899.9999999999995</v>
      </c>
    </row>
    <row r="3942" spans="1:29" x14ac:dyDescent="0.2">
      <c r="A3942" s="179"/>
      <c r="B3942" s="3191"/>
      <c r="C3942" s="3494"/>
      <c r="D3942" s="2421"/>
      <c r="E3942" s="2421"/>
      <c r="F3942" s="2421"/>
      <c r="G3942" s="2421"/>
      <c r="H3942" s="2421"/>
      <c r="I3942" s="2421"/>
      <c r="J3942" s="3483"/>
      <c r="K3942" s="3483"/>
      <c r="L3942" s="1">
        <v>50167</v>
      </c>
      <c r="M3942" s="47"/>
      <c r="N3942" s="3298"/>
      <c r="O3942" s="1090">
        <v>232811</v>
      </c>
      <c r="P3942" s="913" t="s">
        <v>1331</v>
      </c>
      <c r="Q3942" s="278">
        <v>4180.583333333333</v>
      </c>
      <c r="R3942" s="278">
        <v>4180.583333333333</v>
      </c>
      <c r="S3942" s="278">
        <v>4180.583333333333</v>
      </c>
      <c r="T3942" s="278">
        <v>4180.583333333333</v>
      </c>
      <c r="U3942" s="278">
        <v>4180.583333333333</v>
      </c>
      <c r="V3942" s="278">
        <v>4180.583333333333</v>
      </c>
      <c r="W3942" s="278">
        <v>4180.583333333333</v>
      </c>
      <c r="X3942" s="278">
        <v>4180.583333333333</v>
      </c>
      <c r="Y3942" s="278">
        <v>4180.583333333333</v>
      </c>
      <c r="Z3942" s="278">
        <v>4180.583333333333</v>
      </c>
      <c r="AA3942" s="278">
        <v>4180.583333333333</v>
      </c>
      <c r="AB3942" s="278">
        <v>4180.583333333333</v>
      </c>
      <c r="AC3942" s="278">
        <f t="shared" si="641"/>
        <v>50167.000000000007</v>
      </c>
    </row>
    <row r="3943" spans="1:29" x14ac:dyDescent="0.2">
      <c r="A3943" s="179"/>
      <c r="B3943" s="2439"/>
      <c r="C3943" s="3495"/>
      <c r="D3943" s="2421"/>
      <c r="E3943" s="2421"/>
      <c r="F3943" s="2421"/>
      <c r="G3943" s="2421"/>
      <c r="H3943" s="2421"/>
      <c r="I3943" s="2421"/>
      <c r="J3943" s="3483"/>
      <c r="K3943" s="3483"/>
      <c r="L3943" s="1">
        <v>4637</v>
      </c>
      <c r="M3943" s="38"/>
      <c r="N3943" s="3299"/>
      <c r="O3943" s="1090">
        <v>232812</v>
      </c>
      <c r="P3943" s="913" t="s">
        <v>1333</v>
      </c>
      <c r="Q3943" s="278">
        <v>386.41666666666669</v>
      </c>
      <c r="R3943" s="278">
        <v>386.41666666666669</v>
      </c>
      <c r="S3943" s="278">
        <v>386.41666666666669</v>
      </c>
      <c r="T3943" s="278">
        <v>386.41666666666669</v>
      </c>
      <c r="U3943" s="278">
        <v>386.41666666666669</v>
      </c>
      <c r="V3943" s="278">
        <v>386.41666666666669</v>
      </c>
      <c r="W3943" s="278">
        <v>386.41666666666669</v>
      </c>
      <c r="X3943" s="278">
        <v>386.41666666666669</v>
      </c>
      <c r="Y3943" s="278">
        <v>386.41666666666669</v>
      </c>
      <c r="Z3943" s="278">
        <v>386.41666666666669</v>
      </c>
      <c r="AA3943" s="278">
        <v>386.41666666666669</v>
      </c>
      <c r="AB3943" s="278">
        <v>386.41666666666669</v>
      </c>
      <c r="AC3943" s="278">
        <f t="shared" si="641"/>
        <v>4637</v>
      </c>
    </row>
    <row r="3944" spans="1:29" s="289" customFormat="1" x14ac:dyDescent="0.2">
      <c r="A3944" s="540"/>
      <c r="B3944" s="3474" t="s">
        <v>312</v>
      </c>
      <c r="C3944" s="3475"/>
      <c r="D3944" s="3475"/>
      <c r="E3944" s="3475"/>
      <c r="F3944" s="3475"/>
      <c r="G3944" s="3475"/>
      <c r="H3944" s="3475"/>
      <c r="I3944" s="3475"/>
      <c r="J3944" s="3475"/>
      <c r="K3944" s="3475"/>
      <c r="L3944" s="284">
        <f>+SUM(L3940:L3943)</f>
        <v>60750</v>
      </c>
      <c r="M3944" s="284"/>
      <c r="N3944" s="285"/>
      <c r="O3944" s="1148"/>
      <c r="P3944" s="286"/>
      <c r="Q3944" s="287"/>
      <c r="R3944" s="288"/>
      <c r="S3944" s="287"/>
      <c r="T3944" s="288"/>
      <c r="U3944" s="287"/>
      <c r="V3944" s="288"/>
      <c r="W3944" s="287"/>
      <c r="X3944" s="288"/>
      <c r="Y3944" s="287"/>
      <c r="Z3944" s="288"/>
      <c r="AA3944" s="287"/>
      <c r="AB3944" s="288"/>
      <c r="AC3944" s="287"/>
    </row>
    <row r="3945" spans="1:29" x14ac:dyDescent="0.2">
      <c r="A3945" s="179"/>
      <c r="B3945" s="2999" t="s">
        <v>20</v>
      </c>
      <c r="C3945" s="2847" t="s">
        <v>21</v>
      </c>
      <c r="D3945" s="2847" t="s">
        <v>22</v>
      </c>
      <c r="E3945" s="2847" t="s">
        <v>23</v>
      </c>
      <c r="F3945" s="2847" t="s">
        <v>24</v>
      </c>
      <c r="G3945" s="2847" t="s">
        <v>25</v>
      </c>
      <c r="H3945" s="2847" t="s">
        <v>26</v>
      </c>
      <c r="I3945" s="2847" t="s">
        <v>27</v>
      </c>
      <c r="J3945" s="2986" t="s">
        <v>28</v>
      </c>
      <c r="K3945" s="2987"/>
      <c r="L3945" s="2986" t="s">
        <v>1628</v>
      </c>
      <c r="M3945" s="2987"/>
      <c r="N3945" s="2988" t="s">
        <v>29</v>
      </c>
      <c r="O3945" s="2986" t="s">
        <v>30</v>
      </c>
      <c r="P3945" s="2987"/>
      <c r="Q3945" s="3489" t="s">
        <v>31</v>
      </c>
      <c r="R3945" s="3490"/>
      <c r="S3945" s="3490"/>
      <c r="T3945" s="3490"/>
      <c r="U3945" s="3490"/>
      <c r="V3945" s="3490"/>
      <c r="W3945" s="3490"/>
      <c r="X3945" s="3490"/>
      <c r="Y3945" s="3490"/>
      <c r="Z3945" s="3490"/>
      <c r="AA3945" s="3490"/>
      <c r="AB3945" s="3491"/>
      <c r="AC3945" s="3479" t="s">
        <v>32</v>
      </c>
    </row>
    <row r="3946" spans="1:29" x14ac:dyDescent="0.2">
      <c r="A3946" s="179"/>
      <c r="B3946" s="2999"/>
      <c r="C3946" s="2847"/>
      <c r="D3946" s="2847"/>
      <c r="E3946" s="2847"/>
      <c r="F3946" s="2847"/>
      <c r="G3946" s="2847"/>
      <c r="H3946" s="2847"/>
      <c r="I3946" s="2847"/>
      <c r="J3946" s="1017" t="s">
        <v>33</v>
      </c>
      <c r="K3946" s="1017" t="s">
        <v>34</v>
      </c>
      <c r="L3946" s="306" t="s">
        <v>1513</v>
      </c>
      <c r="M3946" s="306" t="s">
        <v>1514</v>
      </c>
      <c r="N3946" s="2989"/>
      <c r="O3946" s="3000"/>
      <c r="P3946" s="3001"/>
      <c r="Q3946" s="1111" t="s">
        <v>35</v>
      </c>
      <c r="R3946" s="1111" t="s">
        <v>36</v>
      </c>
      <c r="S3946" s="1111" t="s">
        <v>37</v>
      </c>
      <c r="T3946" s="1111" t="s">
        <v>38</v>
      </c>
      <c r="U3946" s="1111" t="s">
        <v>39</v>
      </c>
      <c r="V3946" s="1111" t="s">
        <v>40</v>
      </c>
      <c r="W3946" s="1111" t="s">
        <v>41</v>
      </c>
      <c r="X3946" s="1111" t="s">
        <v>42</v>
      </c>
      <c r="Y3946" s="1111" t="s">
        <v>43</v>
      </c>
      <c r="Z3946" s="1111" t="s">
        <v>44</v>
      </c>
      <c r="AA3946" s="1111" t="s">
        <v>45</v>
      </c>
      <c r="AB3946" s="1111" t="s">
        <v>46</v>
      </c>
      <c r="AC3946" s="3479"/>
    </row>
    <row r="3947" spans="1:29" x14ac:dyDescent="0.2">
      <c r="A3947" s="179"/>
      <c r="B3947" s="3190" t="s">
        <v>1666</v>
      </c>
      <c r="C3947" s="3190" t="s">
        <v>1667</v>
      </c>
      <c r="D3947" s="2421"/>
      <c r="E3947" s="2421" t="s">
        <v>1517</v>
      </c>
      <c r="F3947" s="2421" t="s">
        <v>1630</v>
      </c>
      <c r="G3947" s="2421" t="s">
        <v>1635</v>
      </c>
      <c r="H3947" s="2421"/>
      <c r="I3947" s="2421" t="s">
        <v>1640</v>
      </c>
      <c r="J3947" s="3483">
        <v>14</v>
      </c>
      <c r="K3947" s="3497">
        <v>345212</v>
      </c>
      <c r="L3947" s="1"/>
      <c r="M3947" s="542"/>
      <c r="N3947" s="3297" t="s">
        <v>1668</v>
      </c>
      <c r="O3947" s="1111" t="s">
        <v>51</v>
      </c>
      <c r="P3947" s="1111"/>
      <c r="Q3947" s="1111">
        <v>1</v>
      </c>
      <c r="R3947" s="1111">
        <v>1</v>
      </c>
      <c r="S3947" s="1111">
        <v>1</v>
      </c>
      <c r="T3947" s="1111">
        <v>1</v>
      </c>
      <c r="U3947" s="1111">
        <v>1</v>
      </c>
      <c r="V3947" s="1111">
        <v>1</v>
      </c>
      <c r="W3947" s="1111">
        <v>2</v>
      </c>
      <c r="X3947" s="1111">
        <v>1</v>
      </c>
      <c r="Y3947" s="1111">
        <v>1</v>
      </c>
      <c r="Z3947" s="1111">
        <v>1</v>
      </c>
      <c r="AA3947" s="1111">
        <v>1</v>
      </c>
      <c r="AB3947" s="1111">
        <v>2</v>
      </c>
      <c r="AC3947" s="274">
        <f>SUM(Q3947:AB3947)</f>
        <v>14</v>
      </c>
    </row>
    <row r="3948" spans="1:29" x14ac:dyDescent="0.2">
      <c r="A3948" s="179"/>
      <c r="B3948" s="3191"/>
      <c r="C3948" s="3191"/>
      <c r="D3948" s="2421"/>
      <c r="E3948" s="2421"/>
      <c r="F3948" s="2421"/>
      <c r="G3948" s="2421"/>
      <c r="H3948" s="2421"/>
      <c r="I3948" s="2421"/>
      <c r="J3948" s="3483"/>
      <c r="K3948" s="3483"/>
      <c r="L3948" s="1"/>
      <c r="M3948" s="1"/>
      <c r="N3948" s="3298"/>
      <c r="O3948" s="2840" t="s">
        <v>1340</v>
      </c>
      <c r="P3948" s="2840"/>
      <c r="Q3948" s="274">
        <f>SUM(Q3950:Q3951)</f>
        <v>16355.166666666666</v>
      </c>
      <c r="R3948" s="274">
        <f t="shared" ref="R3948:AC3948" si="644">SUM(R3950:R3951)</f>
        <v>16355.166666666666</v>
      </c>
      <c r="S3948" s="274">
        <f t="shared" si="644"/>
        <v>16355.166666666666</v>
      </c>
      <c r="T3948" s="274">
        <f t="shared" si="644"/>
        <v>16355.166666666666</v>
      </c>
      <c r="U3948" s="274">
        <f t="shared" si="644"/>
        <v>16355.166666666666</v>
      </c>
      <c r="V3948" s="274">
        <f t="shared" si="644"/>
        <v>16355.166666666666</v>
      </c>
      <c r="W3948" s="274">
        <f t="shared" si="644"/>
        <v>16355.166666666666</v>
      </c>
      <c r="X3948" s="274">
        <f t="shared" si="644"/>
        <v>16355.166666666666</v>
      </c>
      <c r="Y3948" s="274">
        <f t="shared" si="644"/>
        <v>16355.166666666666</v>
      </c>
      <c r="Z3948" s="274">
        <f t="shared" si="644"/>
        <v>16355.166666666666</v>
      </c>
      <c r="AA3948" s="274">
        <f t="shared" si="644"/>
        <v>16355.166666666666</v>
      </c>
      <c r="AB3948" s="274">
        <f t="shared" si="644"/>
        <v>16355.166666666666</v>
      </c>
      <c r="AC3948" s="274">
        <f t="shared" si="644"/>
        <v>196262</v>
      </c>
    </row>
    <row r="3949" spans="1:29" x14ac:dyDescent="0.2">
      <c r="A3949" s="179"/>
      <c r="B3949" s="3191"/>
      <c r="C3949" s="3191"/>
      <c r="D3949" s="2421"/>
      <c r="E3949" s="2421"/>
      <c r="F3949" s="2421"/>
      <c r="G3949" s="2421"/>
      <c r="H3949" s="2421"/>
      <c r="I3949" s="2421"/>
      <c r="J3949" s="3483"/>
      <c r="K3949" s="3483"/>
      <c r="L3949" s="1">
        <v>148950</v>
      </c>
      <c r="M3949" s="38"/>
      <c r="N3949" s="3298"/>
      <c r="O3949" s="1090">
        <v>232211</v>
      </c>
      <c r="P3949" s="913" t="s">
        <v>1281</v>
      </c>
      <c r="Q3949" s="278">
        <v>12412.5</v>
      </c>
      <c r="R3949" s="278">
        <v>12412.5</v>
      </c>
      <c r="S3949" s="278">
        <v>12412.5</v>
      </c>
      <c r="T3949" s="278">
        <v>12412.5</v>
      </c>
      <c r="U3949" s="278">
        <v>12412.5</v>
      </c>
      <c r="V3949" s="278">
        <v>12412.5</v>
      </c>
      <c r="W3949" s="278">
        <v>12412.5</v>
      </c>
      <c r="X3949" s="278">
        <v>12412.5</v>
      </c>
      <c r="Y3949" s="278">
        <v>12412.5</v>
      </c>
      <c r="Z3949" s="278">
        <v>12412.5</v>
      </c>
      <c r="AA3949" s="278">
        <v>12412.5</v>
      </c>
      <c r="AB3949" s="278">
        <v>12412.5</v>
      </c>
      <c r="AC3949" s="278">
        <f>+SUM(Q3949:AB3949)</f>
        <v>148950</v>
      </c>
    </row>
    <row r="3950" spans="1:29" x14ac:dyDescent="0.2">
      <c r="A3950" s="179"/>
      <c r="B3950" s="3191"/>
      <c r="C3950" s="3191"/>
      <c r="D3950" s="2421"/>
      <c r="E3950" s="2421"/>
      <c r="F3950" s="2421"/>
      <c r="G3950" s="2421"/>
      <c r="H3950" s="2421"/>
      <c r="I3950" s="2421"/>
      <c r="J3950" s="3483"/>
      <c r="K3950" s="3483"/>
      <c r="L3950" s="1">
        <v>148590</v>
      </c>
      <c r="M3950" s="38"/>
      <c r="N3950" s="3298"/>
      <c r="O3950" s="1090">
        <v>232212</v>
      </c>
      <c r="P3950" s="913" t="s">
        <v>1283</v>
      </c>
      <c r="Q3950" s="278">
        <v>12382.5</v>
      </c>
      <c r="R3950" s="278">
        <v>12382.5</v>
      </c>
      <c r="S3950" s="278">
        <v>12382.5</v>
      </c>
      <c r="T3950" s="278">
        <v>12382.5</v>
      </c>
      <c r="U3950" s="278">
        <v>12382.5</v>
      </c>
      <c r="V3950" s="278">
        <v>12382.5</v>
      </c>
      <c r="W3950" s="278">
        <v>12382.5</v>
      </c>
      <c r="X3950" s="278">
        <v>12382.5</v>
      </c>
      <c r="Y3950" s="278">
        <v>12382.5</v>
      </c>
      <c r="Z3950" s="278">
        <v>12382.5</v>
      </c>
      <c r="AA3950" s="278">
        <v>12382.5</v>
      </c>
      <c r="AB3950" s="278">
        <v>12382.5</v>
      </c>
      <c r="AC3950" s="278">
        <f t="shared" si="641"/>
        <v>148590</v>
      </c>
    </row>
    <row r="3951" spans="1:29" x14ac:dyDescent="0.2">
      <c r="A3951" s="179"/>
      <c r="B3951" s="2439"/>
      <c r="C3951" s="2439"/>
      <c r="D3951" s="2421"/>
      <c r="E3951" s="2421"/>
      <c r="F3951" s="2421"/>
      <c r="G3951" s="2421"/>
      <c r="H3951" s="2421"/>
      <c r="I3951" s="2421"/>
      <c r="J3951" s="3483"/>
      <c r="K3951" s="3483"/>
      <c r="L3951" s="1">
        <v>47672</v>
      </c>
      <c r="M3951" s="38"/>
      <c r="N3951" s="3299"/>
      <c r="O3951" s="1090">
        <v>232411</v>
      </c>
      <c r="P3951" s="913" t="s">
        <v>1295</v>
      </c>
      <c r="Q3951" s="278">
        <v>3972.6666666666665</v>
      </c>
      <c r="R3951" s="278">
        <v>3972.6666666666665</v>
      </c>
      <c r="S3951" s="278">
        <v>3972.6666666666665</v>
      </c>
      <c r="T3951" s="278">
        <v>3972.6666666666665</v>
      </c>
      <c r="U3951" s="278">
        <v>3972.6666666666665</v>
      </c>
      <c r="V3951" s="278">
        <v>3972.6666666666665</v>
      </c>
      <c r="W3951" s="278">
        <v>3972.6666666666665</v>
      </c>
      <c r="X3951" s="278">
        <v>3972.6666666666665</v>
      </c>
      <c r="Y3951" s="278">
        <v>3972.6666666666665</v>
      </c>
      <c r="Z3951" s="278">
        <v>3972.6666666666665</v>
      </c>
      <c r="AA3951" s="278">
        <v>3972.6666666666665</v>
      </c>
      <c r="AB3951" s="278">
        <v>3972.6666666666665</v>
      </c>
      <c r="AC3951" s="278">
        <f t="shared" si="641"/>
        <v>47671.999999999993</v>
      </c>
    </row>
    <row r="3952" spans="1:29" s="289" customFormat="1" x14ac:dyDescent="0.2">
      <c r="A3952" s="540"/>
      <c r="B3952" s="3498" t="s">
        <v>312</v>
      </c>
      <c r="C3952" s="3499"/>
      <c r="D3952" s="3499"/>
      <c r="E3952" s="3499"/>
      <c r="F3952" s="3499"/>
      <c r="G3952" s="3499"/>
      <c r="H3952" s="3499"/>
      <c r="I3952" s="3499"/>
      <c r="J3952" s="3499"/>
      <c r="K3952" s="3499"/>
      <c r="L3952" s="284">
        <f>+SUM(L3949:L3951)</f>
        <v>345212</v>
      </c>
      <c r="M3952" s="284"/>
      <c r="N3952" s="285"/>
      <c r="O3952" s="1148"/>
      <c r="P3952" s="286"/>
      <c r="Q3952" s="287"/>
      <c r="R3952" s="288"/>
      <c r="S3952" s="287"/>
      <c r="T3952" s="288"/>
      <c r="U3952" s="287"/>
      <c r="V3952" s="288"/>
      <c r="W3952" s="287"/>
      <c r="X3952" s="288"/>
      <c r="Y3952" s="287"/>
      <c r="Z3952" s="288"/>
      <c r="AA3952" s="287"/>
      <c r="AB3952" s="288"/>
      <c r="AC3952" s="287"/>
    </row>
    <row r="3953" spans="1:29" x14ac:dyDescent="0.2">
      <c r="A3953" s="179"/>
      <c r="B3953" s="2999" t="s">
        <v>20</v>
      </c>
      <c r="C3953" s="2847" t="s">
        <v>21</v>
      </c>
      <c r="D3953" s="2847" t="s">
        <v>22</v>
      </c>
      <c r="E3953" s="2847" t="s">
        <v>23</v>
      </c>
      <c r="F3953" s="2847" t="s">
        <v>24</v>
      </c>
      <c r="G3953" s="2847" t="s">
        <v>25</v>
      </c>
      <c r="H3953" s="2847" t="s">
        <v>26</v>
      </c>
      <c r="I3953" s="2847" t="s">
        <v>27</v>
      </c>
      <c r="J3953" s="2986" t="s">
        <v>28</v>
      </c>
      <c r="K3953" s="2987"/>
      <c r="L3953" s="2986" t="s">
        <v>1628</v>
      </c>
      <c r="M3953" s="2987"/>
      <c r="N3953" s="2988" t="s">
        <v>29</v>
      </c>
      <c r="O3953" s="2986" t="s">
        <v>30</v>
      </c>
      <c r="P3953" s="2987"/>
      <c r="Q3953" s="3489" t="s">
        <v>31</v>
      </c>
      <c r="R3953" s="3490"/>
      <c r="S3953" s="3490"/>
      <c r="T3953" s="3490"/>
      <c r="U3953" s="3490"/>
      <c r="V3953" s="3490"/>
      <c r="W3953" s="3490"/>
      <c r="X3953" s="3490"/>
      <c r="Y3953" s="3490"/>
      <c r="Z3953" s="3490"/>
      <c r="AA3953" s="3490"/>
      <c r="AB3953" s="3491"/>
      <c r="AC3953" s="3479" t="s">
        <v>32</v>
      </c>
    </row>
    <row r="3954" spans="1:29" x14ac:dyDescent="0.2">
      <c r="A3954" s="179"/>
      <c r="B3954" s="2999"/>
      <c r="C3954" s="2847"/>
      <c r="D3954" s="2847"/>
      <c r="E3954" s="2847"/>
      <c r="F3954" s="2847"/>
      <c r="G3954" s="2847"/>
      <c r="H3954" s="2847"/>
      <c r="I3954" s="2847"/>
      <c r="J3954" s="1017" t="s">
        <v>33</v>
      </c>
      <c r="K3954" s="1017" t="s">
        <v>34</v>
      </c>
      <c r="L3954" s="306" t="s">
        <v>1513</v>
      </c>
      <c r="M3954" s="306" t="s">
        <v>1514</v>
      </c>
      <c r="N3954" s="2989"/>
      <c r="O3954" s="3000"/>
      <c r="P3954" s="3001"/>
      <c r="Q3954" s="1111" t="s">
        <v>35</v>
      </c>
      <c r="R3954" s="1111" t="s">
        <v>36</v>
      </c>
      <c r="S3954" s="1111" t="s">
        <v>37</v>
      </c>
      <c r="T3954" s="1111" t="s">
        <v>38</v>
      </c>
      <c r="U3954" s="1111" t="s">
        <v>39</v>
      </c>
      <c r="V3954" s="1111" t="s">
        <v>40</v>
      </c>
      <c r="W3954" s="1111" t="s">
        <v>41</v>
      </c>
      <c r="X3954" s="1111" t="s">
        <v>42</v>
      </c>
      <c r="Y3954" s="1111" t="s">
        <v>43</v>
      </c>
      <c r="Z3954" s="1111" t="s">
        <v>44</v>
      </c>
      <c r="AA3954" s="1111" t="s">
        <v>45</v>
      </c>
      <c r="AB3954" s="1111" t="s">
        <v>46</v>
      </c>
      <c r="AC3954" s="3479"/>
    </row>
    <row r="3955" spans="1:29" x14ac:dyDescent="0.2">
      <c r="A3955" s="179"/>
      <c r="B3955" s="3190" t="s">
        <v>1669</v>
      </c>
      <c r="C3955" s="3190" t="s">
        <v>1670</v>
      </c>
      <c r="D3955" s="2421"/>
      <c r="E3955" s="2421" t="s">
        <v>136</v>
      </c>
      <c r="F3955" s="2421" t="s">
        <v>137</v>
      </c>
      <c r="G3955" s="2421" t="s">
        <v>138</v>
      </c>
      <c r="H3955" s="2421"/>
      <c r="I3955" s="2421" t="s">
        <v>1671</v>
      </c>
      <c r="J3955" s="2421">
        <v>72</v>
      </c>
      <c r="K3955" s="3488">
        <v>5708828</v>
      </c>
      <c r="L3955" s="1"/>
      <c r="M3955" s="542"/>
      <c r="N3955" s="2431" t="s">
        <v>1672</v>
      </c>
      <c r="O3955" s="1111" t="s">
        <v>51</v>
      </c>
      <c r="P3955" s="1111"/>
      <c r="Q3955" s="1111">
        <v>7</v>
      </c>
      <c r="R3955" s="1111">
        <v>7</v>
      </c>
      <c r="S3955" s="1111">
        <v>7</v>
      </c>
      <c r="T3955" s="1111">
        <v>7</v>
      </c>
      <c r="U3955" s="1111">
        <v>7</v>
      </c>
      <c r="V3955" s="1111">
        <v>7</v>
      </c>
      <c r="W3955" s="1111">
        <v>7</v>
      </c>
      <c r="X3955" s="1111">
        <v>7</v>
      </c>
      <c r="Y3955" s="1111">
        <v>7</v>
      </c>
      <c r="Z3955" s="1111">
        <v>7</v>
      </c>
      <c r="AA3955" s="1111">
        <v>7</v>
      </c>
      <c r="AB3955" s="1111">
        <v>7</v>
      </c>
      <c r="AC3955" s="1111">
        <f>SUM(Q3955:AB3955)</f>
        <v>84</v>
      </c>
    </row>
    <row r="3956" spans="1:29" x14ac:dyDescent="0.2">
      <c r="A3956" s="179"/>
      <c r="B3956" s="3191"/>
      <c r="C3956" s="3191"/>
      <c r="D3956" s="2421"/>
      <c r="E3956" s="2421"/>
      <c r="F3956" s="2421"/>
      <c r="G3956" s="2421"/>
      <c r="H3956" s="2421"/>
      <c r="I3956" s="2421"/>
      <c r="J3956" s="2421"/>
      <c r="K3956" s="3488"/>
      <c r="L3956" s="1"/>
      <c r="M3956" s="1"/>
      <c r="N3956" s="2432"/>
      <c r="O3956" s="2840" t="s">
        <v>1340</v>
      </c>
      <c r="P3956" s="2840"/>
      <c r="Q3956" s="274">
        <f>SUM(Q3957:Q3958)</f>
        <v>133376.66666666666</v>
      </c>
      <c r="R3956" s="274">
        <f t="shared" ref="R3956:AB3956" si="645">SUM(R3957:R3958)</f>
        <v>0</v>
      </c>
      <c r="S3956" s="274">
        <f t="shared" si="645"/>
        <v>0</v>
      </c>
      <c r="T3956" s="274">
        <f t="shared" si="645"/>
        <v>0</v>
      </c>
      <c r="U3956" s="274">
        <f t="shared" si="645"/>
        <v>0</v>
      </c>
      <c r="V3956" s="274">
        <f t="shared" si="645"/>
        <v>0</v>
      </c>
      <c r="W3956" s="274">
        <f t="shared" si="645"/>
        <v>133376.66666666666</v>
      </c>
      <c r="X3956" s="274">
        <f t="shared" si="645"/>
        <v>0</v>
      </c>
      <c r="Y3956" s="274">
        <f t="shared" si="645"/>
        <v>0</v>
      </c>
      <c r="Z3956" s="274">
        <f t="shared" si="645"/>
        <v>0</v>
      </c>
      <c r="AA3956" s="274">
        <f t="shared" si="645"/>
        <v>0</v>
      </c>
      <c r="AB3956" s="274">
        <f t="shared" si="645"/>
        <v>133376.66666666666</v>
      </c>
      <c r="AC3956" s="274">
        <f>SUM(AC3957:AC3959)</f>
        <v>458533</v>
      </c>
    </row>
    <row r="3957" spans="1:29" x14ac:dyDescent="0.2">
      <c r="A3957" s="179"/>
      <c r="B3957" s="3191"/>
      <c r="C3957" s="3191"/>
      <c r="D3957" s="2421"/>
      <c r="E3957" s="2421"/>
      <c r="F3957" s="2421"/>
      <c r="G3957" s="2421"/>
      <c r="H3957" s="2421"/>
      <c r="I3957" s="2421"/>
      <c r="J3957" s="2421"/>
      <c r="K3957" s="3488"/>
      <c r="L3957" s="1">
        <v>5250295</v>
      </c>
      <c r="M3957" s="1"/>
      <c r="N3957" s="2432"/>
      <c r="O3957" s="1090">
        <v>221111</v>
      </c>
      <c r="P3957" s="913" t="s">
        <v>1673</v>
      </c>
      <c r="Q3957" s="278">
        <f>+$L$184/12</f>
        <v>0</v>
      </c>
      <c r="R3957" s="278">
        <f t="shared" ref="R3957:AB3957" si="646">+$L$184/12</f>
        <v>0</v>
      </c>
      <c r="S3957" s="278">
        <f t="shared" si="646"/>
        <v>0</v>
      </c>
      <c r="T3957" s="278">
        <f t="shared" si="646"/>
        <v>0</v>
      </c>
      <c r="U3957" s="278">
        <f t="shared" si="646"/>
        <v>0</v>
      </c>
      <c r="V3957" s="278">
        <f t="shared" si="646"/>
        <v>0</v>
      </c>
      <c r="W3957" s="278">
        <f t="shared" si="646"/>
        <v>0</v>
      </c>
      <c r="X3957" s="278">
        <f t="shared" si="646"/>
        <v>0</v>
      </c>
      <c r="Y3957" s="278">
        <f t="shared" si="646"/>
        <v>0</v>
      </c>
      <c r="Z3957" s="278">
        <f t="shared" si="646"/>
        <v>0</v>
      </c>
      <c r="AA3957" s="278">
        <f t="shared" si="646"/>
        <v>0</v>
      </c>
      <c r="AB3957" s="278">
        <f t="shared" si="646"/>
        <v>0</v>
      </c>
      <c r="AC3957" s="278">
        <f t="shared" si="641"/>
        <v>0</v>
      </c>
    </row>
    <row r="3958" spans="1:29" x14ac:dyDescent="0.2">
      <c r="A3958" s="179"/>
      <c r="B3958" s="3191"/>
      <c r="C3958" s="3191"/>
      <c r="D3958" s="2421"/>
      <c r="E3958" s="2421"/>
      <c r="F3958" s="2421"/>
      <c r="G3958" s="2421"/>
      <c r="H3958" s="2421"/>
      <c r="I3958" s="2421"/>
      <c r="J3958" s="2421"/>
      <c r="K3958" s="3488"/>
      <c r="L3958" s="1">
        <v>400130</v>
      </c>
      <c r="M3958" s="1"/>
      <c r="N3958" s="2432"/>
      <c r="O3958" s="1090">
        <v>221121</v>
      </c>
      <c r="P3958" s="913" t="s">
        <v>1674</v>
      </c>
      <c r="Q3958" s="278">
        <f>+L3958/3</f>
        <v>133376.66666666666</v>
      </c>
      <c r="R3958" s="274"/>
      <c r="S3958" s="278"/>
      <c r="T3958" s="274"/>
      <c r="U3958" s="278"/>
      <c r="V3958" s="274"/>
      <c r="W3958" s="278">
        <v>133376.66666666666</v>
      </c>
      <c r="X3958" s="274"/>
      <c r="Y3958" s="278"/>
      <c r="Z3958" s="274"/>
      <c r="AA3958" s="278"/>
      <c r="AB3958" s="278">
        <v>133376.66666666666</v>
      </c>
      <c r="AC3958" s="278">
        <f t="shared" si="641"/>
        <v>400130</v>
      </c>
    </row>
    <row r="3959" spans="1:29" ht="27.75" customHeight="1" x14ac:dyDescent="0.2">
      <c r="A3959" s="179"/>
      <c r="B3959" s="2439"/>
      <c r="C3959" s="2439"/>
      <c r="D3959" s="2421"/>
      <c r="E3959" s="2421"/>
      <c r="F3959" s="2421"/>
      <c r="G3959" s="2421"/>
      <c r="H3959" s="2421"/>
      <c r="I3959" s="2421" t="s">
        <v>1671</v>
      </c>
      <c r="J3959" s="2421">
        <v>12</v>
      </c>
      <c r="K3959" s="3488" t="e">
        <f>+#REF!</f>
        <v>#REF!</v>
      </c>
      <c r="L3959" s="1">
        <v>58403</v>
      </c>
      <c r="M3959" s="1"/>
      <c r="N3959" s="2437"/>
      <c r="O3959" s="1010">
        <v>222343</v>
      </c>
      <c r="P3959" s="1012" t="s">
        <v>1675</v>
      </c>
      <c r="Q3959" s="278"/>
      <c r="R3959" s="278">
        <f>+L3959/4</f>
        <v>14600.75</v>
      </c>
      <c r="S3959" s="278"/>
      <c r="T3959" s="278">
        <v>14600.75</v>
      </c>
      <c r="U3959" s="278"/>
      <c r="V3959" s="278">
        <v>14600.75</v>
      </c>
      <c r="W3959" s="278"/>
      <c r="X3959" s="278">
        <v>14600.75</v>
      </c>
      <c r="Y3959" s="278"/>
      <c r="Z3959" s="278"/>
      <c r="AA3959" s="278"/>
      <c r="AB3959" s="278"/>
      <c r="AC3959" s="278">
        <f>SUM(Q3959:AB3959)</f>
        <v>58403</v>
      </c>
    </row>
    <row r="3960" spans="1:29" s="289" customFormat="1" x14ac:dyDescent="0.2">
      <c r="A3960" s="540"/>
      <c r="B3960" s="3474" t="s">
        <v>312</v>
      </c>
      <c r="C3960" s="3475"/>
      <c r="D3960" s="3475"/>
      <c r="E3960" s="3475"/>
      <c r="F3960" s="3475"/>
      <c r="G3960" s="3475"/>
      <c r="H3960" s="3475"/>
      <c r="I3960" s="3475"/>
      <c r="J3960" s="3475"/>
      <c r="K3960" s="3475"/>
      <c r="L3960" s="284">
        <f>+SUM(L3957:L3959)</f>
        <v>5708828</v>
      </c>
      <c r="M3960" s="284"/>
      <c r="N3960" s="285"/>
      <c r="O3960" s="1148"/>
      <c r="P3960" s="286"/>
      <c r="Q3960" s="287"/>
      <c r="R3960" s="288"/>
      <c r="S3960" s="287"/>
      <c r="T3960" s="288"/>
      <c r="U3960" s="287"/>
      <c r="V3960" s="288"/>
      <c r="W3960" s="287"/>
      <c r="X3960" s="288"/>
      <c r="Y3960" s="287"/>
      <c r="Z3960" s="288"/>
      <c r="AA3960" s="287"/>
      <c r="AB3960" s="288"/>
      <c r="AC3960" s="287"/>
    </row>
    <row r="3961" spans="1:29" x14ac:dyDescent="0.2">
      <c r="A3961" s="179"/>
      <c r="B3961" s="2999" t="s">
        <v>20</v>
      </c>
      <c r="C3961" s="2847" t="s">
        <v>21</v>
      </c>
      <c r="D3961" s="2847" t="s">
        <v>22</v>
      </c>
      <c r="E3961" s="2847" t="s">
        <v>23</v>
      </c>
      <c r="F3961" s="2847" t="s">
        <v>24</v>
      </c>
      <c r="G3961" s="2847" t="s">
        <v>25</v>
      </c>
      <c r="H3961" s="2847" t="s">
        <v>26</v>
      </c>
      <c r="I3961" s="2847" t="s">
        <v>27</v>
      </c>
      <c r="J3961" s="2986" t="s">
        <v>28</v>
      </c>
      <c r="K3961" s="2987"/>
      <c r="L3961" s="2986" t="s">
        <v>1628</v>
      </c>
      <c r="M3961" s="2987"/>
      <c r="N3961" s="2988" t="s">
        <v>29</v>
      </c>
      <c r="O3961" s="2986" t="s">
        <v>30</v>
      </c>
      <c r="P3961" s="2987"/>
      <c r="Q3961" s="3489" t="s">
        <v>31</v>
      </c>
      <c r="R3961" s="3490"/>
      <c r="S3961" s="3490"/>
      <c r="T3961" s="3490"/>
      <c r="U3961" s="3490"/>
      <c r="V3961" s="3490"/>
      <c r="W3961" s="3490"/>
      <c r="X3961" s="3490"/>
      <c r="Y3961" s="3490"/>
      <c r="Z3961" s="3490"/>
      <c r="AA3961" s="3490"/>
      <c r="AB3961" s="3491"/>
      <c r="AC3961" s="3479" t="s">
        <v>32</v>
      </c>
    </row>
    <row r="3962" spans="1:29" x14ac:dyDescent="0.2">
      <c r="A3962" s="179"/>
      <c r="B3962" s="2999"/>
      <c r="C3962" s="2847"/>
      <c r="D3962" s="2847"/>
      <c r="E3962" s="2847"/>
      <c r="F3962" s="2847"/>
      <c r="G3962" s="2847"/>
      <c r="H3962" s="2847"/>
      <c r="I3962" s="2847"/>
      <c r="J3962" s="1017" t="s">
        <v>33</v>
      </c>
      <c r="K3962" s="1017" t="s">
        <v>34</v>
      </c>
      <c r="L3962" s="306" t="s">
        <v>1513</v>
      </c>
      <c r="M3962" s="306" t="s">
        <v>1514</v>
      </c>
      <c r="N3962" s="2989"/>
      <c r="O3962" s="3000"/>
      <c r="P3962" s="3001"/>
      <c r="Q3962" s="1111" t="s">
        <v>35</v>
      </c>
      <c r="R3962" s="1111" t="s">
        <v>36</v>
      </c>
      <c r="S3962" s="1111" t="s">
        <v>37</v>
      </c>
      <c r="T3962" s="1111" t="s">
        <v>38</v>
      </c>
      <c r="U3962" s="1111" t="s">
        <v>39</v>
      </c>
      <c r="V3962" s="1111" t="s">
        <v>40</v>
      </c>
      <c r="W3962" s="1111" t="s">
        <v>41</v>
      </c>
      <c r="X3962" s="1111" t="s">
        <v>42</v>
      </c>
      <c r="Y3962" s="1111" t="s">
        <v>43</v>
      </c>
      <c r="Z3962" s="1111" t="s">
        <v>44</v>
      </c>
      <c r="AA3962" s="1111" t="s">
        <v>45</v>
      </c>
      <c r="AB3962" s="1111" t="s">
        <v>46</v>
      </c>
      <c r="AC3962" s="3479"/>
    </row>
    <row r="3963" spans="1:29" x14ac:dyDescent="0.2">
      <c r="A3963" s="179"/>
      <c r="B3963" s="3190" t="s">
        <v>1676</v>
      </c>
      <c r="C3963" s="3190" t="s">
        <v>1677</v>
      </c>
      <c r="D3963" s="2421"/>
      <c r="E3963" s="2421" t="s">
        <v>1517</v>
      </c>
      <c r="F3963" s="2421" t="s">
        <v>1652</v>
      </c>
      <c r="G3963" s="2421" t="s">
        <v>1657</v>
      </c>
      <c r="H3963" s="2421"/>
      <c r="I3963" s="2421" t="s">
        <v>1532</v>
      </c>
      <c r="J3963" s="3483">
        <v>1400</v>
      </c>
      <c r="K3963" s="3497">
        <v>19812</v>
      </c>
      <c r="L3963" s="1"/>
      <c r="M3963" s="542"/>
      <c r="N3963" s="3297" t="s">
        <v>1654</v>
      </c>
      <c r="O3963" s="1111" t="s">
        <v>51</v>
      </c>
      <c r="P3963" s="1111"/>
      <c r="Q3963" s="1111">
        <v>120</v>
      </c>
      <c r="R3963" s="1111">
        <v>120</v>
      </c>
      <c r="S3963" s="1111">
        <v>120</v>
      </c>
      <c r="T3963" s="1111">
        <v>120</v>
      </c>
      <c r="U3963" s="1111">
        <v>120</v>
      </c>
      <c r="V3963" s="1111">
        <v>120</v>
      </c>
      <c r="W3963" s="1111">
        <v>120</v>
      </c>
      <c r="X3963" s="1111">
        <v>120</v>
      </c>
      <c r="Y3963" s="1111">
        <v>120</v>
      </c>
      <c r="Z3963" s="1111">
        <v>120</v>
      </c>
      <c r="AA3963" s="1111">
        <v>120</v>
      </c>
      <c r="AB3963" s="1111">
        <v>120</v>
      </c>
      <c r="AC3963" s="1111">
        <f>SUM(Q3963:AB3963)</f>
        <v>1440</v>
      </c>
    </row>
    <row r="3964" spans="1:29" x14ac:dyDescent="0.2">
      <c r="A3964" s="179"/>
      <c r="B3964" s="3191"/>
      <c r="C3964" s="3191"/>
      <c r="D3964" s="2421"/>
      <c r="E3964" s="2421"/>
      <c r="F3964" s="2421"/>
      <c r="G3964" s="2421"/>
      <c r="H3964" s="2421"/>
      <c r="I3964" s="2421"/>
      <c r="J3964" s="3483"/>
      <c r="K3964" s="3483"/>
      <c r="L3964" s="1"/>
      <c r="M3964" s="1"/>
      <c r="N3964" s="3298"/>
      <c r="O3964" s="2840" t="s">
        <v>1340</v>
      </c>
      <c r="P3964" s="2840"/>
      <c r="Q3964" s="274">
        <f>+SUM(Q3965:Q3969)</f>
        <v>1651.0000000000002</v>
      </c>
      <c r="R3964" s="274">
        <f t="shared" ref="R3964:AC3964" si="647">+SUM(R3965:R3969)</f>
        <v>1651.0000000000002</v>
      </c>
      <c r="S3964" s="274">
        <f t="shared" si="647"/>
        <v>1651.0000000000002</v>
      </c>
      <c r="T3964" s="274">
        <f t="shared" si="647"/>
        <v>1651.0000000000002</v>
      </c>
      <c r="U3964" s="274">
        <f t="shared" si="647"/>
        <v>1651.0000000000002</v>
      </c>
      <c r="V3964" s="274">
        <f t="shared" si="647"/>
        <v>1651.0000000000002</v>
      </c>
      <c r="W3964" s="274">
        <f t="shared" si="647"/>
        <v>1651.0000000000002</v>
      </c>
      <c r="X3964" s="274">
        <f t="shared" si="647"/>
        <v>1651.0000000000002</v>
      </c>
      <c r="Y3964" s="274">
        <f t="shared" si="647"/>
        <v>1651.0000000000002</v>
      </c>
      <c r="Z3964" s="274">
        <f t="shared" si="647"/>
        <v>1651.0000000000002</v>
      </c>
      <c r="AA3964" s="274">
        <f t="shared" si="647"/>
        <v>1651.0000000000002</v>
      </c>
      <c r="AB3964" s="274">
        <f t="shared" si="647"/>
        <v>1651.0000000000002</v>
      </c>
      <c r="AC3964" s="274">
        <f t="shared" si="647"/>
        <v>19812</v>
      </c>
    </row>
    <row r="3965" spans="1:29" x14ac:dyDescent="0.2">
      <c r="A3965" s="179"/>
      <c r="B3965" s="3191"/>
      <c r="C3965" s="3191"/>
      <c r="D3965" s="2421"/>
      <c r="E3965" s="2421"/>
      <c r="F3965" s="2421"/>
      <c r="G3965" s="2421"/>
      <c r="H3965" s="2421"/>
      <c r="I3965" s="2421"/>
      <c r="J3965" s="3483"/>
      <c r="K3965" s="3483"/>
      <c r="L3965" s="1">
        <v>1000</v>
      </c>
      <c r="M3965" s="38"/>
      <c r="N3965" s="3298"/>
      <c r="O3965" s="1090">
        <v>231512</v>
      </c>
      <c r="P3965" s="913" t="s">
        <v>1236</v>
      </c>
      <c r="Q3965" s="278">
        <v>83.333333333333329</v>
      </c>
      <c r="R3965" s="278">
        <v>83.333333333333329</v>
      </c>
      <c r="S3965" s="278">
        <v>83.333333333333329</v>
      </c>
      <c r="T3965" s="278">
        <v>83.333333333333329</v>
      </c>
      <c r="U3965" s="278">
        <v>83.333333333333329</v>
      </c>
      <c r="V3965" s="278">
        <v>83.333333333333329</v>
      </c>
      <c r="W3965" s="278">
        <v>83.333333333333329</v>
      </c>
      <c r="X3965" s="278">
        <v>83.333333333333329</v>
      </c>
      <c r="Y3965" s="278">
        <v>83.333333333333329</v>
      </c>
      <c r="Z3965" s="278">
        <v>83.333333333333329</v>
      </c>
      <c r="AA3965" s="278">
        <v>83.333333333333329</v>
      </c>
      <c r="AB3965" s="278">
        <v>83.333333333333329</v>
      </c>
      <c r="AC3965" s="278">
        <f>+SUM(Q3965:AB3965)</f>
        <v>1000.0000000000001</v>
      </c>
    </row>
    <row r="3966" spans="1:29" x14ac:dyDescent="0.2">
      <c r="A3966" s="179"/>
      <c r="B3966" s="3191"/>
      <c r="C3966" s="3191"/>
      <c r="D3966" s="2421"/>
      <c r="E3966" s="2421"/>
      <c r="F3966" s="2421"/>
      <c r="G3966" s="2421"/>
      <c r="H3966" s="2421"/>
      <c r="I3966" s="2421"/>
      <c r="J3966" s="3483"/>
      <c r="K3966" s="3483"/>
      <c r="L3966" s="1">
        <v>1500</v>
      </c>
      <c r="M3966" s="38"/>
      <c r="N3966" s="3298"/>
      <c r="O3966" s="1090">
        <v>232121</v>
      </c>
      <c r="P3966" s="913" t="s">
        <v>1238</v>
      </c>
      <c r="Q3966" s="278">
        <v>125</v>
      </c>
      <c r="R3966" s="278">
        <v>125</v>
      </c>
      <c r="S3966" s="278">
        <v>125</v>
      </c>
      <c r="T3966" s="278">
        <v>125</v>
      </c>
      <c r="U3966" s="278">
        <v>125</v>
      </c>
      <c r="V3966" s="278">
        <v>125</v>
      </c>
      <c r="W3966" s="278">
        <v>125</v>
      </c>
      <c r="X3966" s="278">
        <v>125</v>
      </c>
      <c r="Y3966" s="278">
        <v>125</v>
      </c>
      <c r="Z3966" s="278">
        <v>125</v>
      </c>
      <c r="AA3966" s="278">
        <v>125</v>
      </c>
      <c r="AB3966" s="278">
        <v>125</v>
      </c>
      <c r="AC3966" s="278">
        <f t="shared" si="641"/>
        <v>1500</v>
      </c>
    </row>
    <row r="3967" spans="1:29" x14ac:dyDescent="0.2">
      <c r="A3967" s="179"/>
      <c r="B3967" s="3191"/>
      <c r="C3967" s="3191"/>
      <c r="D3967" s="2421"/>
      <c r="E3967" s="2421"/>
      <c r="F3967" s="2421"/>
      <c r="G3967" s="2421"/>
      <c r="H3967" s="2421"/>
      <c r="I3967" s="2421"/>
      <c r="J3967" s="3483"/>
      <c r="K3967" s="3483"/>
      <c r="L3967" s="1">
        <v>10000</v>
      </c>
      <c r="M3967" s="38"/>
      <c r="N3967" s="3298"/>
      <c r="O3967" s="1090">
        <v>232122</v>
      </c>
      <c r="P3967" s="913" t="s">
        <v>1240</v>
      </c>
      <c r="Q3967" s="278">
        <v>833.33333333333337</v>
      </c>
      <c r="R3967" s="278">
        <v>833.33333333333337</v>
      </c>
      <c r="S3967" s="278">
        <v>833.33333333333337</v>
      </c>
      <c r="T3967" s="278">
        <v>833.33333333333337</v>
      </c>
      <c r="U3967" s="278">
        <v>833.33333333333337</v>
      </c>
      <c r="V3967" s="278">
        <v>833.33333333333337</v>
      </c>
      <c r="W3967" s="278">
        <v>833.33333333333337</v>
      </c>
      <c r="X3967" s="278">
        <v>833.33333333333337</v>
      </c>
      <c r="Y3967" s="278">
        <v>833.33333333333337</v>
      </c>
      <c r="Z3967" s="278">
        <v>833.33333333333337</v>
      </c>
      <c r="AA3967" s="278">
        <v>833.33333333333337</v>
      </c>
      <c r="AB3967" s="278">
        <v>833.33333333333337</v>
      </c>
      <c r="AC3967" s="278">
        <f t="shared" si="641"/>
        <v>10000</v>
      </c>
    </row>
    <row r="3968" spans="1:29" x14ac:dyDescent="0.2">
      <c r="A3968" s="179"/>
      <c r="B3968" s="3191"/>
      <c r="C3968" s="3191"/>
      <c r="D3968" s="2421"/>
      <c r="E3968" s="2421"/>
      <c r="F3968" s="2421"/>
      <c r="G3968" s="2421"/>
      <c r="H3968" s="2421"/>
      <c r="I3968" s="2421"/>
      <c r="J3968" s="3483"/>
      <c r="K3968" s="3483"/>
      <c r="L3968" s="1">
        <v>1400</v>
      </c>
      <c r="M3968" s="38"/>
      <c r="N3968" s="3298"/>
      <c r="O3968" s="1090">
        <v>2321299</v>
      </c>
      <c r="P3968" s="913" t="s">
        <v>1279</v>
      </c>
      <c r="Q3968" s="278">
        <v>116.66666666666667</v>
      </c>
      <c r="R3968" s="278">
        <v>116.66666666666667</v>
      </c>
      <c r="S3968" s="278">
        <v>116.66666666666667</v>
      </c>
      <c r="T3968" s="278">
        <v>116.66666666666667</v>
      </c>
      <c r="U3968" s="278">
        <v>116.66666666666667</v>
      </c>
      <c r="V3968" s="278">
        <v>116.66666666666667</v>
      </c>
      <c r="W3968" s="278">
        <v>116.66666666666667</v>
      </c>
      <c r="X3968" s="278">
        <v>116.66666666666667</v>
      </c>
      <c r="Y3968" s="278">
        <v>116.66666666666667</v>
      </c>
      <c r="Z3968" s="278">
        <v>116.66666666666667</v>
      </c>
      <c r="AA3968" s="278">
        <v>116.66666666666667</v>
      </c>
      <c r="AB3968" s="278">
        <v>116.66666666666667</v>
      </c>
      <c r="AC3968" s="278">
        <f t="shared" si="641"/>
        <v>1400.0000000000002</v>
      </c>
    </row>
    <row r="3969" spans="1:29" x14ac:dyDescent="0.2">
      <c r="A3969" s="179"/>
      <c r="B3969" s="2439"/>
      <c r="C3969" s="2439"/>
      <c r="D3969" s="2421"/>
      <c r="E3969" s="2421"/>
      <c r="F3969" s="2421"/>
      <c r="G3969" s="2421"/>
      <c r="H3969" s="2421"/>
      <c r="I3969" s="2421"/>
      <c r="J3969" s="3483"/>
      <c r="K3969" s="3483"/>
      <c r="L3969" s="1">
        <v>5912</v>
      </c>
      <c r="M3969" s="38"/>
      <c r="N3969" s="3299"/>
      <c r="O3969" s="1090">
        <v>2327101</v>
      </c>
      <c r="P3969" s="913" t="s">
        <v>1308</v>
      </c>
      <c r="Q3969" s="278">
        <v>492.66666666666669</v>
      </c>
      <c r="R3969" s="278">
        <v>492.66666666666669</v>
      </c>
      <c r="S3969" s="278">
        <v>492.66666666666669</v>
      </c>
      <c r="T3969" s="278">
        <v>492.66666666666669</v>
      </c>
      <c r="U3969" s="278">
        <v>492.66666666666669</v>
      </c>
      <c r="V3969" s="278">
        <v>492.66666666666669</v>
      </c>
      <c r="W3969" s="278">
        <v>492.66666666666669</v>
      </c>
      <c r="X3969" s="278">
        <v>492.66666666666669</v>
      </c>
      <c r="Y3969" s="278">
        <v>492.66666666666669</v>
      </c>
      <c r="Z3969" s="278">
        <v>492.66666666666669</v>
      </c>
      <c r="AA3969" s="278">
        <v>492.66666666666669</v>
      </c>
      <c r="AB3969" s="278">
        <v>492.66666666666669</v>
      </c>
      <c r="AC3969" s="278">
        <f t="shared" si="641"/>
        <v>5912.0000000000009</v>
      </c>
    </row>
    <row r="3970" spans="1:29" s="289" customFormat="1" x14ac:dyDescent="0.2">
      <c r="A3970" s="540"/>
      <c r="B3970" s="3474" t="s">
        <v>312</v>
      </c>
      <c r="C3970" s="3475"/>
      <c r="D3970" s="3475"/>
      <c r="E3970" s="3475"/>
      <c r="F3970" s="3475"/>
      <c r="G3970" s="3475"/>
      <c r="H3970" s="3475"/>
      <c r="I3970" s="3475"/>
      <c r="J3970" s="3475"/>
      <c r="K3970" s="3475"/>
      <c r="L3970" s="284">
        <f>+SUM(L3965:L3969)</f>
        <v>19812</v>
      </c>
      <c r="M3970" s="284"/>
      <c r="N3970" s="285"/>
      <c r="O3970" s="1148"/>
      <c r="P3970" s="286"/>
      <c r="Q3970" s="287"/>
      <c r="R3970" s="288"/>
      <c r="S3970" s="287"/>
      <c r="T3970" s="288"/>
      <c r="U3970" s="287"/>
      <c r="V3970" s="288"/>
      <c r="W3970" s="287"/>
      <c r="X3970" s="288"/>
      <c r="Y3970" s="287"/>
      <c r="Z3970" s="288"/>
      <c r="AA3970" s="287"/>
      <c r="AB3970" s="288"/>
      <c r="AC3970" s="287"/>
    </row>
    <row r="3971" spans="1:29" x14ac:dyDescent="0.2">
      <c r="A3971" s="179"/>
      <c r="B3971" s="2999" t="s">
        <v>20</v>
      </c>
      <c r="C3971" s="2847" t="s">
        <v>21</v>
      </c>
      <c r="D3971" s="2847" t="s">
        <v>22</v>
      </c>
      <c r="E3971" s="2847" t="s">
        <v>23</v>
      </c>
      <c r="F3971" s="2847" t="s">
        <v>24</v>
      </c>
      <c r="G3971" s="2847" t="s">
        <v>25</v>
      </c>
      <c r="H3971" s="2847" t="s">
        <v>26</v>
      </c>
      <c r="I3971" s="2847" t="s">
        <v>27</v>
      </c>
      <c r="J3971" s="2986" t="s">
        <v>28</v>
      </c>
      <c r="K3971" s="2987"/>
      <c r="L3971" s="2986" t="s">
        <v>1628</v>
      </c>
      <c r="M3971" s="2987"/>
      <c r="N3971" s="2988" t="s">
        <v>29</v>
      </c>
      <c r="O3971" s="2986" t="s">
        <v>30</v>
      </c>
      <c r="P3971" s="2987"/>
      <c r="Q3971" s="3489" t="s">
        <v>31</v>
      </c>
      <c r="R3971" s="3490"/>
      <c r="S3971" s="3490"/>
      <c r="T3971" s="3490"/>
      <c r="U3971" s="3490"/>
      <c r="V3971" s="3490"/>
      <c r="W3971" s="3490"/>
      <c r="X3971" s="3490"/>
      <c r="Y3971" s="3490"/>
      <c r="Z3971" s="3490"/>
      <c r="AA3971" s="3490"/>
      <c r="AB3971" s="3491"/>
      <c r="AC3971" s="3479" t="s">
        <v>32</v>
      </c>
    </row>
    <row r="3972" spans="1:29" x14ac:dyDescent="0.2">
      <c r="A3972" s="179"/>
      <c r="B3972" s="2999"/>
      <c r="C3972" s="2847"/>
      <c r="D3972" s="2847"/>
      <c r="E3972" s="2847"/>
      <c r="F3972" s="2847"/>
      <c r="G3972" s="2847"/>
      <c r="H3972" s="2847"/>
      <c r="I3972" s="2847"/>
      <c r="J3972" s="1017" t="s">
        <v>33</v>
      </c>
      <c r="K3972" s="1017" t="s">
        <v>34</v>
      </c>
      <c r="L3972" s="306" t="s">
        <v>1513</v>
      </c>
      <c r="M3972" s="306" t="s">
        <v>1514</v>
      </c>
      <c r="N3972" s="2989"/>
      <c r="O3972" s="3000"/>
      <c r="P3972" s="3001"/>
      <c r="Q3972" s="1111" t="s">
        <v>35</v>
      </c>
      <c r="R3972" s="1111" t="s">
        <v>36</v>
      </c>
      <c r="S3972" s="1111" t="s">
        <v>37</v>
      </c>
      <c r="T3972" s="1111" t="s">
        <v>38</v>
      </c>
      <c r="U3972" s="1111" t="s">
        <v>39</v>
      </c>
      <c r="V3972" s="1111" t="s">
        <v>40</v>
      </c>
      <c r="W3972" s="1111" t="s">
        <v>41</v>
      </c>
      <c r="X3972" s="1111" t="s">
        <v>42</v>
      </c>
      <c r="Y3972" s="1111" t="s">
        <v>43</v>
      </c>
      <c r="Z3972" s="1111" t="s">
        <v>44</v>
      </c>
      <c r="AA3972" s="1111" t="s">
        <v>45</v>
      </c>
      <c r="AB3972" s="1111" t="s">
        <v>46</v>
      </c>
      <c r="AC3972" s="3479"/>
    </row>
    <row r="3973" spans="1:29" x14ac:dyDescent="0.2">
      <c r="A3973" s="179"/>
      <c r="B3973" s="3190" t="s">
        <v>1678</v>
      </c>
      <c r="C3973" s="3190" t="s">
        <v>1679</v>
      </c>
      <c r="D3973" s="2421"/>
      <c r="E3973" s="2421" t="s">
        <v>1517</v>
      </c>
      <c r="F3973" s="2421" t="s">
        <v>1630</v>
      </c>
      <c r="G3973" s="2421" t="s">
        <v>1680</v>
      </c>
      <c r="H3973" s="2421"/>
      <c r="I3973" s="2421" t="s">
        <v>1681</v>
      </c>
      <c r="J3973" s="3483">
        <v>30000</v>
      </c>
      <c r="K3973" s="3497">
        <v>112590</v>
      </c>
      <c r="L3973" s="1"/>
      <c r="M3973" s="542"/>
      <c r="N3973" s="3500" t="s">
        <v>1682</v>
      </c>
      <c r="O3973" s="1111" t="s">
        <v>51</v>
      </c>
      <c r="P3973" s="1111"/>
      <c r="Q3973" s="1111">
        <v>2500</v>
      </c>
      <c r="R3973" s="1111">
        <f>+Q3973</f>
        <v>2500</v>
      </c>
      <c r="S3973" s="1111">
        <f t="shared" ref="S3973:AB3973" si="648">+R3973</f>
        <v>2500</v>
      </c>
      <c r="T3973" s="1111">
        <f t="shared" si="648"/>
        <v>2500</v>
      </c>
      <c r="U3973" s="1111">
        <f t="shared" si="648"/>
        <v>2500</v>
      </c>
      <c r="V3973" s="1111">
        <f t="shared" si="648"/>
        <v>2500</v>
      </c>
      <c r="W3973" s="1111">
        <f t="shared" si="648"/>
        <v>2500</v>
      </c>
      <c r="X3973" s="1111">
        <f t="shared" si="648"/>
        <v>2500</v>
      </c>
      <c r="Y3973" s="1111">
        <f t="shared" si="648"/>
        <v>2500</v>
      </c>
      <c r="Z3973" s="1111">
        <f t="shared" si="648"/>
        <v>2500</v>
      </c>
      <c r="AA3973" s="1111">
        <f t="shared" si="648"/>
        <v>2500</v>
      </c>
      <c r="AB3973" s="1111">
        <f t="shared" si="648"/>
        <v>2500</v>
      </c>
      <c r="AC3973" s="1111">
        <f>SUM(Q3973:AB3973)</f>
        <v>30000</v>
      </c>
    </row>
    <row r="3974" spans="1:29" x14ac:dyDescent="0.2">
      <c r="A3974" s="179"/>
      <c r="B3974" s="3191"/>
      <c r="C3974" s="3191"/>
      <c r="D3974" s="2421"/>
      <c r="E3974" s="2421"/>
      <c r="F3974" s="2421"/>
      <c r="G3974" s="2421"/>
      <c r="H3974" s="2421"/>
      <c r="I3974" s="2421"/>
      <c r="J3974" s="3483"/>
      <c r="K3974" s="3483"/>
      <c r="L3974" s="1"/>
      <c r="M3974" s="1"/>
      <c r="N3974" s="3501"/>
      <c r="O3974" s="2840" t="s">
        <v>1340</v>
      </c>
      <c r="P3974" s="2840"/>
      <c r="Q3974" s="274">
        <f>+SUM(Q3975:Q3986)</f>
        <v>3578.333333333333</v>
      </c>
      <c r="R3974" s="274">
        <f t="shared" ref="R3974:AB3974" si="649">SUM(R3975:R3986)</f>
        <v>4073.333333333333</v>
      </c>
      <c r="S3974" s="274">
        <f t="shared" si="649"/>
        <v>15673.333333333334</v>
      </c>
      <c r="T3974" s="274">
        <f t="shared" si="649"/>
        <v>4073.333333333333</v>
      </c>
      <c r="U3974" s="274">
        <f t="shared" si="649"/>
        <v>16273.333333333334</v>
      </c>
      <c r="V3974" s="274">
        <f t="shared" si="649"/>
        <v>9073.3333333333321</v>
      </c>
      <c r="W3974" s="274">
        <f t="shared" si="649"/>
        <v>15673.333333333334</v>
      </c>
      <c r="X3974" s="274">
        <f t="shared" si="649"/>
        <v>4673.333333333333</v>
      </c>
      <c r="Y3974" s="274">
        <f t="shared" si="649"/>
        <v>15673.333333333334</v>
      </c>
      <c r="Z3974" s="274">
        <f t="shared" si="649"/>
        <v>4073.333333333333</v>
      </c>
      <c r="AA3974" s="274">
        <f t="shared" si="649"/>
        <v>15673.333333333334</v>
      </c>
      <c r="AB3974" s="274">
        <f t="shared" si="649"/>
        <v>4078.33</v>
      </c>
      <c r="AC3974" s="274">
        <f>SUM(AC3975:AC3986)</f>
        <v>112589.99666666667</v>
      </c>
    </row>
    <row r="3975" spans="1:29" x14ac:dyDescent="0.2">
      <c r="A3975" s="179"/>
      <c r="B3975" s="3191"/>
      <c r="C3975" s="3191"/>
      <c r="D3975" s="2421"/>
      <c r="E3975" s="2421"/>
      <c r="F3975" s="2421"/>
      <c r="G3975" s="2421"/>
      <c r="H3975" s="2421"/>
      <c r="I3975" s="2421"/>
      <c r="J3975" s="3483"/>
      <c r="K3975" s="3483"/>
      <c r="L3975" s="1">
        <v>2700</v>
      </c>
      <c r="M3975" s="1"/>
      <c r="N3975" s="3501"/>
      <c r="O3975" s="1090">
        <v>231512</v>
      </c>
      <c r="P3975" s="913" t="s">
        <v>1236</v>
      </c>
      <c r="Q3975" s="278">
        <v>225</v>
      </c>
      <c r="R3975" s="278">
        <v>225</v>
      </c>
      <c r="S3975" s="278">
        <v>225</v>
      </c>
      <c r="T3975" s="278">
        <v>225</v>
      </c>
      <c r="U3975" s="278">
        <v>225</v>
      </c>
      <c r="V3975" s="278">
        <v>225</v>
      </c>
      <c r="W3975" s="278">
        <v>225</v>
      </c>
      <c r="X3975" s="278">
        <v>225</v>
      </c>
      <c r="Y3975" s="278">
        <v>225</v>
      </c>
      <c r="Z3975" s="278">
        <v>225</v>
      </c>
      <c r="AA3975" s="278">
        <v>225</v>
      </c>
      <c r="AB3975" s="278">
        <v>225</v>
      </c>
      <c r="AC3975" s="278">
        <f>+SUM(Q3975:AB3975)</f>
        <v>2700</v>
      </c>
    </row>
    <row r="3976" spans="1:29" x14ac:dyDescent="0.2">
      <c r="A3976" s="179"/>
      <c r="B3976" s="3191"/>
      <c r="C3976" s="3191"/>
      <c r="D3976" s="2421"/>
      <c r="E3976" s="2421"/>
      <c r="F3976" s="2421"/>
      <c r="G3976" s="2421"/>
      <c r="H3976" s="2421"/>
      <c r="I3976" s="2421"/>
      <c r="J3976" s="3483"/>
      <c r="K3976" s="3483"/>
      <c r="L3976" s="1">
        <v>2000</v>
      </c>
      <c r="M3976" s="1"/>
      <c r="N3976" s="3501"/>
      <c r="O3976" s="1090">
        <v>231531</v>
      </c>
      <c r="P3976" s="913" t="s">
        <v>1268</v>
      </c>
      <c r="Q3976" s="278">
        <v>166.66666666666666</v>
      </c>
      <c r="R3976" s="278">
        <v>166.66666666666666</v>
      </c>
      <c r="S3976" s="278">
        <v>166.66666666666666</v>
      </c>
      <c r="T3976" s="278">
        <v>166.66666666666666</v>
      </c>
      <c r="U3976" s="278">
        <v>166.66666666666666</v>
      </c>
      <c r="V3976" s="278">
        <v>166.66666666666666</v>
      </c>
      <c r="W3976" s="278">
        <v>166.66666666666666</v>
      </c>
      <c r="X3976" s="278">
        <v>166.66666666666666</v>
      </c>
      <c r="Y3976" s="278">
        <v>166.66666666666666</v>
      </c>
      <c r="Z3976" s="278">
        <v>166.66666666666666</v>
      </c>
      <c r="AA3976" s="278">
        <v>166.66666666666666</v>
      </c>
      <c r="AB3976" s="278">
        <v>166.66666666666666</v>
      </c>
      <c r="AC3976" s="278">
        <f t="shared" si="641"/>
        <v>2000.0000000000002</v>
      </c>
    </row>
    <row r="3977" spans="1:29" x14ac:dyDescent="0.2">
      <c r="A3977" s="179"/>
      <c r="B3977" s="3191"/>
      <c r="C3977" s="3191"/>
      <c r="D3977" s="2421"/>
      <c r="E3977" s="2421"/>
      <c r="F3977" s="2421"/>
      <c r="G3977" s="2421"/>
      <c r="H3977" s="2421"/>
      <c r="I3977" s="2421"/>
      <c r="J3977" s="3483"/>
      <c r="K3977" s="3483"/>
      <c r="L3977" s="1">
        <v>9600</v>
      </c>
      <c r="M3977" s="1"/>
      <c r="N3977" s="3501"/>
      <c r="O3977" s="1090">
        <v>231821</v>
      </c>
      <c r="P3977" s="913" t="s">
        <v>1566</v>
      </c>
      <c r="Q3977" s="278">
        <v>800</v>
      </c>
      <c r="R3977" s="278">
        <v>800</v>
      </c>
      <c r="S3977" s="278">
        <v>800</v>
      </c>
      <c r="T3977" s="278">
        <v>800</v>
      </c>
      <c r="U3977" s="278">
        <v>800</v>
      </c>
      <c r="V3977" s="278">
        <v>800</v>
      </c>
      <c r="W3977" s="278">
        <v>800</v>
      </c>
      <c r="X3977" s="278">
        <v>800</v>
      </c>
      <c r="Y3977" s="278">
        <v>800</v>
      </c>
      <c r="Z3977" s="278">
        <v>800</v>
      </c>
      <c r="AA3977" s="278">
        <v>800</v>
      </c>
      <c r="AB3977" s="278">
        <v>800</v>
      </c>
      <c r="AC3977" s="278">
        <f t="shared" si="641"/>
        <v>9600</v>
      </c>
    </row>
    <row r="3978" spans="1:29" x14ac:dyDescent="0.2">
      <c r="A3978" s="179"/>
      <c r="B3978" s="3191"/>
      <c r="C3978" s="3191"/>
      <c r="D3978" s="2421"/>
      <c r="E3978" s="2421"/>
      <c r="F3978" s="2421"/>
      <c r="G3978" s="2421"/>
      <c r="H3978" s="2421"/>
      <c r="I3978" s="2421"/>
      <c r="J3978" s="3483"/>
      <c r="K3978" s="3483"/>
      <c r="L3978" s="1">
        <v>1200</v>
      </c>
      <c r="M3978" s="1"/>
      <c r="N3978" s="3501"/>
      <c r="O3978" s="1090">
        <v>23199199</v>
      </c>
      <c r="P3978" s="913" t="s">
        <v>1277</v>
      </c>
      <c r="Q3978" s="278"/>
      <c r="R3978" s="278"/>
      <c r="S3978" s="278"/>
      <c r="T3978" s="278"/>
      <c r="U3978" s="278">
        <v>600</v>
      </c>
      <c r="V3978" s="278"/>
      <c r="W3978" s="278"/>
      <c r="X3978" s="278">
        <v>600</v>
      </c>
      <c r="Y3978" s="278"/>
      <c r="Z3978" s="278"/>
      <c r="AA3978" s="278"/>
      <c r="AB3978" s="278"/>
      <c r="AC3978" s="278">
        <f t="shared" si="641"/>
        <v>1200</v>
      </c>
    </row>
    <row r="3979" spans="1:29" x14ac:dyDescent="0.2">
      <c r="A3979" s="179"/>
      <c r="B3979" s="3191"/>
      <c r="C3979" s="3191"/>
      <c r="D3979" s="2421"/>
      <c r="E3979" s="2421"/>
      <c r="F3979" s="2421"/>
      <c r="G3979" s="2421"/>
      <c r="H3979" s="2421"/>
      <c r="I3979" s="2421"/>
      <c r="J3979" s="3483"/>
      <c r="K3979" s="3483"/>
      <c r="L3979" s="1">
        <v>1500</v>
      </c>
      <c r="M3979" s="1"/>
      <c r="N3979" s="3501"/>
      <c r="O3979" s="1090">
        <v>232121</v>
      </c>
      <c r="P3979" s="913" t="s">
        <v>1238</v>
      </c>
      <c r="Q3979" s="278">
        <f>+L3979/12</f>
        <v>125</v>
      </c>
      <c r="R3979" s="278">
        <v>125</v>
      </c>
      <c r="S3979" s="278">
        <v>125</v>
      </c>
      <c r="T3979" s="278">
        <v>125</v>
      </c>
      <c r="U3979" s="278">
        <v>125</v>
      </c>
      <c r="V3979" s="278">
        <v>125</v>
      </c>
      <c r="W3979" s="278">
        <v>125</v>
      </c>
      <c r="X3979" s="278">
        <v>125</v>
      </c>
      <c r="Y3979" s="278">
        <v>125</v>
      </c>
      <c r="Z3979" s="278">
        <v>125</v>
      </c>
      <c r="AA3979" s="278">
        <v>125</v>
      </c>
      <c r="AB3979" s="278">
        <v>125</v>
      </c>
      <c r="AC3979" s="278">
        <f t="shared" si="641"/>
        <v>1500</v>
      </c>
    </row>
    <row r="3980" spans="1:29" x14ac:dyDescent="0.2">
      <c r="A3980" s="179"/>
      <c r="B3980" s="3191"/>
      <c r="C3980" s="3191"/>
      <c r="D3980" s="2421"/>
      <c r="E3980" s="2421"/>
      <c r="F3980" s="2421"/>
      <c r="G3980" s="2421"/>
      <c r="H3980" s="2421"/>
      <c r="I3980" s="2421"/>
      <c r="J3980" s="3483"/>
      <c r="K3980" s="3483"/>
      <c r="L3980" s="1">
        <v>8400</v>
      </c>
      <c r="M3980" s="1"/>
      <c r="N3980" s="3501"/>
      <c r="O3980" s="1090">
        <v>232122</v>
      </c>
      <c r="P3980" s="913" t="s">
        <v>1240</v>
      </c>
      <c r="Q3980" s="278">
        <f>+L3980/12</f>
        <v>700</v>
      </c>
      <c r="R3980" s="278">
        <v>700</v>
      </c>
      <c r="S3980" s="278">
        <v>700</v>
      </c>
      <c r="T3980" s="278">
        <v>700</v>
      </c>
      <c r="U3980" s="278">
        <v>700</v>
      </c>
      <c r="V3980" s="278">
        <v>700</v>
      </c>
      <c r="W3980" s="278">
        <v>700</v>
      </c>
      <c r="X3980" s="278">
        <v>700</v>
      </c>
      <c r="Y3980" s="278">
        <v>700</v>
      </c>
      <c r="Z3980" s="278">
        <v>700</v>
      </c>
      <c r="AA3980" s="278">
        <v>700</v>
      </c>
      <c r="AB3980" s="278">
        <v>700</v>
      </c>
      <c r="AC3980" s="278">
        <f t="shared" si="641"/>
        <v>8400</v>
      </c>
    </row>
    <row r="3981" spans="1:29" x14ac:dyDescent="0.2">
      <c r="A3981" s="179"/>
      <c r="B3981" s="3191"/>
      <c r="C3981" s="3191"/>
      <c r="D3981" s="2421"/>
      <c r="E3981" s="2421"/>
      <c r="F3981" s="2421"/>
      <c r="G3981" s="2421"/>
      <c r="H3981" s="2421"/>
      <c r="I3981" s="2421"/>
      <c r="J3981" s="3483"/>
      <c r="K3981" s="3483"/>
      <c r="L3981" s="1">
        <v>2500</v>
      </c>
      <c r="M3981" s="1"/>
      <c r="N3981" s="3501"/>
      <c r="O3981" s="1090">
        <v>2321299</v>
      </c>
      <c r="P3981" s="913" t="s">
        <v>1279</v>
      </c>
      <c r="Q3981" s="278">
        <v>210</v>
      </c>
      <c r="R3981" s="278">
        <v>210</v>
      </c>
      <c r="S3981" s="278">
        <v>210</v>
      </c>
      <c r="T3981" s="278">
        <v>210</v>
      </c>
      <c r="U3981" s="278">
        <v>210</v>
      </c>
      <c r="V3981" s="278">
        <v>210</v>
      </c>
      <c r="W3981" s="278">
        <v>210</v>
      </c>
      <c r="X3981" s="278">
        <v>210</v>
      </c>
      <c r="Y3981" s="278">
        <v>210</v>
      </c>
      <c r="Z3981" s="278">
        <v>210</v>
      </c>
      <c r="AA3981" s="278">
        <v>210</v>
      </c>
      <c r="AB3981" s="278">
        <v>190</v>
      </c>
      <c r="AC3981" s="278">
        <f t="shared" si="641"/>
        <v>2500</v>
      </c>
    </row>
    <row r="3982" spans="1:29" x14ac:dyDescent="0.2">
      <c r="A3982" s="179"/>
      <c r="B3982" s="3191"/>
      <c r="C3982" s="3191"/>
      <c r="D3982" s="2421"/>
      <c r="E3982" s="2421"/>
      <c r="F3982" s="2421"/>
      <c r="G3982" s="2421"/>
      <c r="H3982" s="2421"/>
      <c r="I3982" s="2421"/>
      <c r="J3982" s="3483"/>
      <c r="K3982" s="3483"/>
      <c r="L3982" s="1">
        <v>5450</v>
      </c>
      <c r="M3982" s="1"/>
      <c r="N3982" s="3501"/>
      <c r="O3982" s="1090">
        <v>2327101</v>
      </c>
      <c r="P3982" s="913" t="s">
        <v>1308</v>
      </c>
      <c r="Q3982" s="278"/>
      <c r="R3982" s="278">
        <v>495</v>
      </c>
      <c r="S3982" s="278">
        <v>495</v>
      </c>
      <c r="T3982" s="278">
        <v>495</v>
      </c>
      <c r="U3982" s="278">
        <v>495</v>
      </c>
      <c r="V3982" s="278">
        <v>495</v>
      </c>
      <c r="W3982" s="278">
        <v>495</v>
      </c>
      <c r="X3982" s="278">
        <v>495</v>
      </c>
      <c r="Y3982" s="278">
        <v>495</v>
      </c>
      <c r="Z3982" s="278">
        <v>495</v>
      </c>
      <c r="AA3982" s="278">
        <v>495</v>
      </c>
      <c r="AB3982" s="278">
        <v>500</v>
      </c>
      <c r="AC3982" s="278">
        <f t="shared" si="641"/>
        <v>5450</v>
      </c>
    </row>
    <row r="3983" spans="1:29" x14ac:dyDescent="0.2">
      <c r="A3983" s="179"/>
      <c r="B3983" s="3191"/>
      <c r="C3983" s="3191"/>
      <c r="D3983" s="2421"/>
      <c r="E3983" s="2421"/>
      <c r="F3983" s="2421"/>
      <c r="G3983" s="2421"/>
      <c r="H3983" s="2421"/>
      <c r="I3983" s="2421"/>
      <c r="J3983" s="3483"/>
      <c r="K3983" s="3483"/>
      <c r="L3983" s="1"/>
      <c r="M3983" s="1">
        <v>58000</v>
      </c>
      <c r="N3983" s="3501"/>
      <c r="O3983" s="1090">
        <v>231821</v>
      </c>
      <c r="P3983" s="913" t="s">
        <v>1566</v>
      </c>
      <c r="Q3983" s="278"/>
      <c r="R3983" s="278"/>
      <c r="S3983" s="278">
        <f>+M3983/5</f>
        <v>11600</v>
      </c>
      <c r="T3983" s="278"/>
      <c r="U3983" s="278">
        <v>11600</v>
      </c>
      <c r="V3983" s="278"/>
      <c r="W3983" s="278">
        <v>11600</v>
      </c>
      <c r="X3983" s="278"/>
      <c r="Y3983" s="278">
        <v>11600</v>
      </c>
      <c r="Z3983" s="278"/>
      <c r="AA3983" s="278">
        <v>11600</v>
      </c>
      <c r="AB3983" s="278"/>
      <c r="AC3983" s="278">
        <f t="shared" si="641"/>
        <v>58000</v>
      </c>
    </row>
    <row r="3984" spans="1:29" x14ac:dyDescent="0.2">
      <c r="A3984" s="179"/>
      <c r="B3984" s="3191"/>
      <c r="C3984" s="3191"/>
      <c r="D3984" s="2421"/>
      <c r="E3984" s="2421"/>
      <c r="F3984" s="2421"/>
      <c r="G3984" s="2421"/>
      <c r="H3984" s="2421"/>
      <c r="I3984" s="2421"/>
      <c r="J3984" s="3483"/>
      <c r="K3984" s="3483"/>
      <c r="L3984" s="1"/>
      <c r="M3984" s="1">
        <v>2520</v>
      </c>
      <c r="N3984" s="3501"/>
      <c r="O3984" s="1090">
        <v>232121</v>
      </c>
      <c r="P3984" s="913" t="s">
        <v>1238</v>
      </c>
      <c r="Q3984" s="278">
        <v>208.33333333333334</v>
      </c>
      <c r="R3984" s="278">
        <v>208.33333333333334</v>
      </c>
      <c r="S3984" s="278">
        <v>208.33333333333334</v>
      </c>
      <c r="T3984" s="278">
        <v>208.33333333333334</v>
      </c>
      <c r="U3984" s="278">
        <v>208.33333333333334</v>
      </c>
      <c r="V3984" s="278">
        <v>208.33333333333334</v>
      </c>
      <c r="W3984" s="278">
        <v>208.33333333333334</v>
      </c>
      <c r="X3984" s="278">
        <v>208.33333333333334</v>
      </c>
      <c r="Y3984" s="278">
        <v>208.33333333333334</v>
      </c>
      <c r="Z3984" s="278">
        <v>208.33333333333334</v>
      </c>
      <c r="AA3984" s="278">
        <v>208.33333333333334</v>
      </c>
      <c r="AB3984" s="278">
        <v>228.33</v>
      </c>
      <c r="AC3984" s="278">
        <f t="shared" ref="AC3984:AC4031" si="650">+SUM(Q3984:AB3984)</f>
        <v>2519.9966666666664</v>
      </c>
    </row>
    <row r="3985" spans="1:29" x14ac:dyDescent="0.2">
      <c r="A3985" s="179"/>
      <c r="B3985" s="3191"/>
      <c r="C3985" s="3191"/>
      <c r="D3985" s="2421"/>
      <c r="E3985" s="2421"/>
      <c r="F3985" s="2421"/>
      <c r="G3985" s="2421"/>
      <c r="H3985" s="2421"/>
      <c r="I3985" s="2421"/>
      <c r="J3985" s="3483"/>
      <c r="K3985" s="3483"/>
      <c r="L3985" s="1"/>
      <c r="M3985" s="1">
        <v>13720</v>
      </c>
      <c r="N3985" s="3501"/>
      <c r="O3985" s="1090">
        <v>232122</v>
      </c>
      <c r="P3985" s="913" t="s">
        <v>1240</v>
      </c>
      <c r="Q3985" s="278">
        <f>+M3985/12</f>
        <v>1143.3333333333333</v>
      </c>
      <c r="R3985" s="278">
        <v>1143.3333333333333</v>
      </c>
      <c r="S3985" s="278">
        <v>1143.3333333333333</v>
      </c>
      <c r="T3985" s="278">
        <v>1143.3333333333333</v>
      </c>
      <c r="U3985" s="278">
        <v>1143.3333333333333</v>
      </c>
      <c r="V3985" s="278">
        <v>1143.3333333333333</v>
      </c>
      <c r="W3985" s="278">
        <v>1143.3333333333333</v>
      </c>
      <c r="X3985" s="278">
        <v>1143.3333333333333</v>
      </c>
      <c r="Y3985" s="278">
        <v>1143.3333333333333</v>
      </c>
      <c r="Z3985" s="278">
        <v>1143.3333333333333</v>
      </c>
      <c r="AA3985" s="278">
        <v>1143.3333333333333</v>
      </c>
      <c r="AB3985" s="278">
        <v>1143.3333333333333</v>
      </c>
      <c r="AC3985" s="278">
        <f t="shared" si="650"/>
        <v>13720.000000000002</v>
      </c>
    </row>
    <row r="3986" spans="1:29" x14ac:dyDescent="0.2">
      <c r="A3986" s="179"/>
      <c r="B3986" s="2439"/>
      <c r="C3986" s="2439"/>
      <c r="D3986" s="2421"/>
      <c r="E3986" s="2421"/>
      <c r="F3986" s="2421"/>
      <c r="G3986" s="2421"/>
      <c r="H3986" s="2421"/>
      <c r="I3986" s="2421"/>
      <c r="J3986" s="3483"/>
      <c r="K3986" s="3483"/>
      <c r="L3986" s="1"/>
      <c r="M3986" s="1">
        <v>5000</v>
      </c>
      <c r="N3986" s="3492"/>
      <c r="O3986" s="1090">
        <v>232415</v>
      </c>
      <c r="P3986" s="913" t="s">
        <v>1254</v>
      </c>
      <c r="Q3986" s="278"/>
      <c r="R3986" s="278"/>
      <c r="S3986" s="278"/>
      <c r="T3986" s="278"/>
      <c r="U3986" s="278"/>
      <c r="V3986" s="278">
        <v>5000</v>
      </c>
      <c r="W3986" s="278"/>
      <c r="X3986" s="278"/>
      <c r="Y3986" s="278"/>
      <c r="Z3986" s="278"/>
      <c r="AA3986" s="278"/>
      <c r="AB3986" s="278"/>
      <c r="AC3986" s="278">
        <f t="shared" si="650"/>
        <v>5000</v>
      </c>
    </row>
    <row r="3987" spans="1:29" s="289" customFormat="1" x14ac:dyDescent="0.2">
      <c r="A3987" s="540"/>
      <c r="B3987" s="3474" t="s">
        <v>312</v>
      </c>
      <c r="C3987" s="3475"/>
      <c r="D3987" s="3475"/>
      <c r="E3987" s="3475"/>
      <c r="F3987" s="3475"/>
      <c r="G3987" s="3475"/>
      <c r="H3987" s="3475"/>
      <c r="I3987" s="3475"/>
      <c r="J3987" s="3475"/>
      <c r="K3987" s="3475"/>
      <c r="L3987" s="284">
        <f>+SUM(L3975:L3986)</f>
        <v>33350</v>
      </c>
      <c r="M3987" s="284">
        <f>+SUM(M3975:M3986)</f>
        <v>79240</v>
      </c>
      <c r="N3987" s="285"/>
      <c r="O3987" s="1148"/>
      <c r="P3987" s="286"/>
      <c r="Q3987" s="287"/>
      <c r="R3987" s="288"/>
      <c r="S3987" s="287"/>
      <c r="T3987" s="288"/>
      <c r="U3987" s="287"/>
      <c r="V3987" s="288"/>
      <c r="W3987" s="287"/>
      <c r="X3987" s="288"/>
      <c r="Y3987" s="287"/>
      <c r="Z3987" s="288"/>
      <c r="AA3987" s="287"/>
      <c r="AB3987" s="288"/>
      <c r="AC3987" s="287"/>
    </row>
    <row r="3988" spans="1:29" x14ac:dyDescent="0.2">
      <c r="A3988" s="179"/>
      <c r="B3988" s="2999" t="s">
        <v>20</v>
      </c>
      <c r="C3988" s="2847" t="s">
        <v>21</v>
      </c>
      <c r="D3988" s="2847" t="s">
        <v>22</v>
      </c>
      <c r="E3988" s="2847" t="s">
        <v>23</v>
      </c>
      <c r="F3988" s="2847" t="s">
        <v>24</v>
      </c>
      <c r="G3988" s="2847" t="s">
        <v>25</v>
      </c>
      <c r="H3988" s="2847" t="s">
        <v>26</v>
      </c>
      <c r="I3988" s="2847" t="s">
        <v>27</v>
      </c>
      <c r="J3988" s="2986" t="s">
        <v>28</v>
      </c>
      <c r="K3988" s="2987"/>
      <c r="L3988" s="2986" t="s">
        <v>1628</v>
      </c>
      <c r="M3988" s="2987"/>
      <c r="N3988" s="2988" t="s">
        <v>29</v>
      </c>
      <c r="O3988" s="2986" t="s">
        <v>30</v>
      </c>
      <c r="P3988" s="2987"/>
      <c r="Q3988" s="3489" t="s">
        <v>31</v>
      </c>
      <c r="R3988" s="3490"/>
      <c r="S3988" s="3490"/>
      <c r="T3988" s="3490"/>
      <c r="U3988" s="3490"/>
      <c r="V3988" s="3490"/>
      <c r="W3988" s="3490"/>
      <c r="X3988" s="3490"/>
      <c r="Y3988" s="3490"/>
      <c r="Z3988" s="3490"/>
      <c r="AA3988" s="3490"/>
      <c r="AB3988" s="3491"/>
      <c r="AC3988" s="3479" t="s">
        <v>32</v>
      </c>
    </row>
    <row r="3989" spans="1:29" x14ac:dyDescent="0.2">
      <c r="A3989" s="179"/>
      <c r="B3989" s="2999"/>
      <c r="C3989" s="2847"/>
      <c r="D3989" s="2847"/>
      <c r="E3989" s="2847"/>
      <c r="F3989" s="2847"/>
      <c r="G3989" s="2847"/>
      <c r="H3989" s="2847"/>
      <c r="I3989" s="2847"/>
      <c r="J3989" s="1017" t="s">
        <v>33</v>
      </c>
      <c r="K3989" s="1017" t="s">
        <v>34</v>
      </c>
      <c r="L3989" s="306" t="s">
        <v>1513</v>
      </c>
      <c r="M3989" s="306" t="s">
        <v>1514</v>
      </c>
      <c r="N3989" s="2989"/>
      <c r="O3989" s="3000"/>
      <c r="P3989" s="3001"/>
      <c r="Q3989" s="1111" t="s">
        <v>35</v>
      </c>
      <c r="R3989" s="1111" t="s">
        <v>36</v>
      </c>
      <c r="S3989" s="1111" t="s">
        <v>37</v>
      </c>
      <c r="T3989" s="1111" t="s">
        <v>38</v>
      </c>
      <c r="U3989" s="1111" t="s">
        <v>39</v>
      </c>
      <c r="V3989" s="1111" t="s">
        <v>40</v>
      </c>
      <c r="W3989" s="1111" t="s">
        <v>41</v>
      </c>
      <c r="X3989" s="1111" t="s">
        <v>42</v>
      </c>
      <c r="Y3989" s="1111" t="s">
        <v>43</v>
      </c>
      <c r="Z3989" s="1111" t="s">
        <v>44</v>
      </c>
      <c r="AA3989" s="1111" t="s">
        <v>45</v>
      </c>
      <c r="AB3989" s="1111" t="s">
        <v>46</v>
      </c>
      <c r="AC3989" s="3479"/>
    </row>
    <row r="3990" spans="1:29" x14ac:dyDescent="0.2">
      <c r="A3990" s="179"/>
      <c r="B3990" s="3190" t="s">
        <v>1683</v>
      </c>
      <c r="C3990" s="2421" t="s">
        <v>1684</v>
      </c>
      <c r="D3990" s="2421"/>
      <c r="E3990" s="2421" t="s">
        <v>1630</v>
      </c>
      <c r="F3990" s="2421" t="s">
        <v>1630</v>
      </c>
      <c r="G3990" s="2421" t="s">
        <v>1685</v>
      </c>
      <c r="H3990" s="2421"/>
      <c r="I3990" s="2421" t="s">
        <v>1686</v>
      </c>
      <c r="J3990" s="3483">
        <v>1300</v>
      </c>
      <c r="K3990" s="3497">
        <f>+AC3991</f>
        <v>589148</v>
      </c>
      <c r="L3990" s="1"/>
      <c r="M3990" s="542"/>
      <c r="N3990" s="3500" t="s">
        <v>1687</v>
      </c>
      <c r="O3990" s="1111" t="s">
        <v>51</v>
      </c>
      <c r="P3990" s="1111"/>
      <c r="Q3990" s="1111">
        <v>108</v>
      </c>
      <c r="R3990" s="1111">
        <v>108</v>
      </c>
      <c r="S3990" s="1111">
        <v>108</v>
      </c>
      <c r="T3990" s="1111">
        <v>108</v>
      </c>
      <c r="U3990" s="1111">
        <v>108</v>
      </c>
      <c r="V3990" s="1111">
        <v>110</v>
      </c>
      <c r="W3990" s="1111">
        <v>108</v>
      </c>
      <c r="X3990" s="1111">
        <v>108</v>
      </c>
      <c r="Y3990" s="1111">
        <v>108</v>
      </c>
      <c r="Z3990" s="1111">
        <v>108</v>
      </c>
      <c r="AA3990" s="1111">
        <v>108</v>
      </c>
      <c r="AB3990" s="1111">
        <v>110</v>
      </c>
      <c r="AC3990" s="1111">
        <f>SUM(Q3990:AB3990)</f>
        <v>1300</v>
      </c>
    </row>
    <row r="3991" spans="1:29" x14ac:dyDescent="0.2">
      <c r="A3991" s="179"/>
      <c r="B3991" s="3191"/>
      <c r="C3991" s="2421"/>
      <c r="D3991" s="2421"/>
      <c r="E3991" s="2421"/>
      <c r="F3991" s="2421"/>
      <c r="G3991" s="2421"/>
      <c r="H3991" s="2421"/>
      <c r="I3991" s="2421"/>
      <c r="J3991" s="3483"/>
      <c r="K3991" s="3483"/>
      <c r="L3991" s="1"/>
      <c r="M3991" s="1"/>
      <c r="N3991" s="3501"/>
      <c r="O3991" s="2840" t="s">
        <v>1340</v>
      </c>
      <c r="P3991" s="2840"/>
      <c r="Q3991" s="274">
        <f>+SUM(Q3992:Q3993)</f>
        <v>49095.666666666664</v>
      </c>
      <c r="R3991" s="274">
        <f t="shared" ref="R3991:AC3991" si="651">+SUM(R3992:R3993)</f>
        <v>49095.666666666664</v>
      </c>
      <c r="S3991" s="274">
        <f t="shared" si="651"/>
        <v>49095.666666666664</v>
      </c>
      <c r="T3991" s="274">
        <f t="shared" si="651"/>
        <v>49095.666666666664</v>
      </c>
      <c r="U3991" s="274">
        <f t="shared" si="651"/>
        <v>49095.666666666664</v>
      </c>
      <c r="V3991" s="274">
        <f t="shared" si="651"/>
        <v>49095.666666666664</v>
      </c>
      <c r="W3991" s="274">
        <f t="shared" si="651"/>
        <v>49095.666666666664</v>
      </c>
      <c r="X3991" s="274">
        <f t="shared" si="651"/>
        <v>49095.666666666664</v>
      </c>
      <c r="Y3991" s="274">
        <f t="shared" si="651"/>
        <v>49095.666666666664</v>
      </c>
      <c r="Z3991" s="274">
        <f t="shared" si="651"/>
        <v>49095.666666666664</v>
      </c>
      <c r="AA3991" s="274">
        <f t="shared" si="651"/>
        <v>49095.666666666664</v>
      </c>
      <c r="AB3991" s="274">
        <f t="shared" si="651"/>
        <v>49095.666666666664</v>
      </c>
      <c r="AC3991" s="274">
        <f t="shared" si="651"/>
        <v>589148</v>
      </c>
    </row>
    <row r="3992" spans="1:29" x14ac:dyDescent="0.2">
      <c r="A3992" s="179"/>
      <c r="B3992" s="3191"/>
      <c r="C3992" s="2421"/>
      <c r="D3992" s="2421"/>
      <c r="E3992" s="2421"/>
      <c r="F3992" s="2421"/>
      <c r="G3992" s="2421"/>
      <c r="H3992" s="2421"/>
      <c r="I3992" s="2421"/>
      <c r="J3992" s="3483"/>
      <c r="K3992" s="3483"/>
      <c r="L3992" s="1">
        <v>3150</v>
      </c>
      <c r="M3992" s="539"/>
      <c r="N3992" s="3501"/>
      <c r="O3992" s="1090">
        <v>231111</v>
      </c>
      <c r="P3992" s="913" t="s">
        <v>1306</v>
      </c>
      <c r="Q3992" s="278">
        <v>262.5</v>
      </c>
      <c r="R3992" s="278">
        <v>262.5</v>
      </c>
      <c r="S3992" s="278">
        <v>262.5</v>
      </c>
      <c r="T3992" s="278">
        <v>262.5</v>
      </c>
      <c r="U3992" s="278">
        <v>262.5</v>
      </c>
      <c r="V3992" s="278">
        <v>262.5</v>
      </c>
      <c r="W3992" s="278">
        <v>262.5</v>
      </c>
      <c r="X3992" s="278">
        <v>262.5</v>
      </c>
      <c r="Y3992" s="278">
        <v>262.5</v>
      </c>
      <c r="Z3992" s="278">
        <v>262.5</v>
      </c>
      <c r="AA3992" s="278">
        <v>262.5</v>
      </c>
      <c r="AB3992" s="278">
        <v>262.5</v>
      </c>
      <c r="AC3992" s="278">
        <f>+SUM(Q3992:AB3992)</f>
        <v>3150</v>
      </c>
    </row>
    <row r="3993" spans="1:29" x14ac:dyDescent="0.2">
      <c r="A3993" s="179"/>
      <c r="B3993" s="2439"/>
      <c r="C3993" s="2421"/>
      <c r="D3993" s="2421"/>
      <c r="E3993" s="2421"/>
      <c r="F3993" s="2421"/>
      <c r="G3993" s="2421"/>
      <c r="H3993" s="2421"/>
      <c r="I3993" s="2421"/>
      <c r="J3993" s="3483"/>
      <c r="K3993" s="3483"/>
      <c r="L3993" s="1">
        <v>585998</v>
      </c>
      <c r="M3993" s="539"/>
      <c r="N3993" s="3492"/>
      <c r="O3993" s="1090">
        <v>232312</v>
      </c>
      <c r="P3993" s="913" t="s">
        <v>1580</v>
      </c>
      <c r="Q3993" s="278">
        <v>48833.166666666664</v>
      </c>
      <c r="R3993" s="278">
        <v>48833.166666666664</v>
      </c>
      <c r="S3993" s="278">
        <v>48833.166666666664</v>
      </c>
      <c r="T3993" s="278">
        <v>48833.166666666664</v>
      </c>
      <c r="U3993" s="278">
        <v>48833.166666666664</v>
      </c>
      <c r="V3993" s="278">
        <v>48833.166666666664</v>
      </c>
      <c r="W3993" s="278">
        <v>48833.166666666664</v>
      </c>
      <c r="X3993" s="278">
        <v>48833.166666666664</v>
      </c>
      <c r="Y3993" s="278">
        <v>48833.166666666664</v>
      </c>
      <c r="Z3993" s="278">
        <v>48833.166666666664</v>
      </c>
      <c r="AA3993" s="278">
        <v>48833.166666666664</v>
      </c>
      <c r="AB3993" s="278">
        <v>48833.166666666664</v>
      </c>
      <c r="AC3993" s="278">
        <f t="shared" si="650"/>
        <v>585998</v>
      </c>
    </row>
    <row r="3994" spans="1:29" s="289" customFormat="1" x14ac:dyDescent="0.2">
      <c r="A3994" s="540"/>
      <c r="B3994" s="3474" t="s">
        <v>312</v>
      </c>
      <c r="C3994" s="3475"/>
      <c r="D3994" s="3475"/>
      <c r="E3994" s="3475"/>
      <c r="F3994" s="3475"/>
      <c r="G3994" s="3475"/>
      <c r="H3994" s="3475"/>
      <c r="I3994" s="3475"/>
      <c r="J3994" s="3475"/>
      <c r="K3994" s="3475"/>
      <c r="L3994" s="284">
        <f>+SUM(L3991:L3993)</f>
        <v>589148</v>
      </c>
      <c r="M3994" s="284"/>
      <c r="N3994" s="285"/>
      <c r="O3994" s="1148"/>
      <c r="P3994" s="286"/>
      <c r="Q3994" s="287"/>
      <c r="R3994" s="288"/>
      <c r="S3994" s="287"/>
      <c r="T3994" s="288"/>
      <c r="U3994" s="287"/>
      <c r="V3994" s="288"/>
      <c r="W3994" s="287"/>
      <c r="X3994" s="288"/>
      <c r="Y3994" s="287"/>
      <c r="Z3994" s="288"/>
      <c r="AA3994" s="287"/>
      <c r="AB3994" s="288"/>
      <c r="AC3994" s="287"/>
    </row>
    <row r="3995" spans="1:29" x14ac:dyDescent="0.2">
      <c r="A3995" s="179"/>
      <c r="B3995" s="2999" t="s">
        <v>20</v>
      </c>
      <c r="C3995" s="2847" t="s">
        <v>21</v>
      </c>
      <c r="D3995" s="2847" t="s">
        <v>22</v>
      </c>
      <c r="E3995" s="2847" t="s">
        <v>23</v>
      </c>
      <c r="F3995" s="2847" t="s">
        <v>24</v>
      </c>
      <c r="G3995" s="2847" t="s">
        <v>25</v>
      </c>
      <c r="H3995" s="2847" t="s">
        <v>26</v>
      </c>
      <c r="I3995" s="2847" t="s">
        <v>27</v>
      </c>
      <c r="J3995" s="2986" t="s">
        <v>28</v>
      </c>
      <c r="K3995" s="2987"/>
      <c r="L3995" s="2986" t="s">
        <v>1628</v>
      </c>
      <c r="M3995" s="2987"/>
      <c r="N3995" s="2988" t="s">
        <v>29</v>
      </c>
      <c r="O3995" s="2986" t="s">
        <v>30</v>
      </c>
      <c r="P3995" s="2987"/>
      <c r="Q3995" s="3489" t="s">
        <v>31</v>
      </c>
      <c r="R3995" s="3490"/>
      <c r="S3995" s="3490"/>
      <c r="T3995" s="3490"/>
      <c r="U3995" s="3490"/>
      <c r="V3995" s="3490"/>
      <c r="W3995" s="3490"/>
      <c r="X3995" s="3490"/>
      <c r="Y3995" s="3490"/>
      <c r="Z3995" s="3490"/>
      <c r="AA3995" s="3490"/>
      <c r="AB3995" s="3491"/>
      <c r="AC3995" s="3479" t="s">
        <v>32</v>
      </c>
    </row>
    <row r="3996" spans="1:29" x14ac:dyDescent="0.2">
      <c r="A3996" s="179"/>
      <c r="B3996" s="2999"/>
      <c r="C3996" s="2847"/>
      <c r="D3996" s="2847"/>
      <c r="E3996" s="2847"/>
      <c r="F3996" s="2847"/>
      <c r="G3996" s="2847"/>
      <c r="H3996" s="2847"/>
      <c r="I3996" s="2847"/>
      <c r="J3996" s="1017" t="s">
        <v>33</v>
      </c>
      <c r="K3996" s="1017" t="s">
        <v>34</v>
      </c>
      <c r="L3996" s="306" t="s">
        <v>1513</v>
      </c>
      <c r="M3996" s="306" t="s">
        <v>1514</v>
      </c>
      <c r="N3996" s="2989"/>
      <c r="O3996" s="3000"/>
      <c r="P3996" s="3001"/>
      <c r="Q3996" s="1111" t="s">
        <v>35</v>
      </c>
      <c r="R3996" s="1111" t="s">
        <v>36</v>
      </c>
      <c r="S3996" s="1111" t="s">
        <v>37</v>
      </c>
      <c r="T3996" s="1111" t="s">
        <v>38</v>
      </c>
      <c r="U3996" s="1111" t="s">
        <v>39</v>
      </c>
      <c r="V3996" s="1111" t="s">
        <v>40</v>
      </c>
      <c r="W3996" s="1111" t="s">
        <v>41</v>
      </c>
      <c r="X3996" s="1111" t="s">
        <v>42</v>
      </c>
      <c r="Y3996" s="1111" t="s">
        <v>43</v>
      </c>
      <c r="Z3996" s="1111" t="s">
        <v>44</v>
      </c>
      <c r="AA3996" s="1111" t="s">
        <v>45</v>
      </c>
      <c r="AB3996" s="1111" t="s">
        <v>46</v>
      </c>
      <c r="AC3996" s="3479"/>
    </row>
    <row r="3997" spans="1:29" x14ac:dyDescent="0.2">
      <c r="A3997" s="179"/>
      <c r="B3997" s="3190" t="s">
        <v>1688</v>
      </c>
      <c r="C3997" s="3190" t="s">
        <v>1689</v>
      </c>
      <c r="D3997" s="2421"/>
      <c r="E3997" s="2421" t="s">
        <v>1517</v>
      </c>
      <c r="F3997" s="2421" t="s">
        <v>1652</v>
      </c>
      <c r="G3997" s="2421" t="s">
        <v>1657</v>
      </c>
      <c r="H3997" s="2421"/>
      <c r="I3997" s="2421" t="s">
        <v>1519</v>
      </c>
      <c r="J3997" s="2421">
        <v>410</v>
      </c>
      <c r="K3997" s="3488">
        <v>66199</v>
      </c>
      <c r="L3997" s="1"/>
      <c r="M3997" s="542"/>
      <c r="N3997" s="2431" t="s">
        <v>1654</v>
      </c>
      <c r="O3997" s="1111" t="s">
        <v>51</v>
      </c>
      <c r="P3997" s="1111"/>
      <c r="Q3997" s="1111">
        <v>34</v>
      </c>
      <c r="R3997" s="1111">
        <v>34</v>
      </c>
      <c r="S3997" s="1111">
        <v>34</v>
      </c>
      <c r="T3997" s="1111">
        <v>34</v>
      </c>
      <c r="U3997" s="1111">
        <v>34</v>
      </c>
      <c r="V3997" s="1111">
        <v>34</v>
      </c>
      <c r="W3997" s="1111">
        <v>35</v>
      </c>
      <c r="X3997" s="1111">
        <v>34</v>
      </c>
      <c r="Y3997" s="1111">
        <v>34</v>
      </c>
      <c r="Z3997" s="1111">
        <v>34</v>
      </c>
      <c r="AA3997" s="1111">
        <v>34</v>
      </c>
      <c r="AB3997" s="1111">
        <v>35</v>
      </c>
      <c r="AC3997" s="274">
        <f>SUM(Q3997:AB3997)</f>
        <v>410</v>
      </c>
    </row>
    <row r="3998" spans="1:29" x14ac:dyDescent="0.2">
      <c r="A3998" s="179"/>
      <c r="B3998" s="3191"/>
      <c r="C3998" s="3191"/>
      <c r="D3998" s="2421"/>
      <c r="E3998" s="2421"/>
      <c r="F3998" s="2421"/>
      <c r="G3998" s="2421"/>
      <c r="H3998" s="2421"/>
      <c r="I3998" s="2421"/>
      <c r="J3998" s="2421"/>
      <c r="K3998" s="3488"/>
      <c r="L3998" s="1"/>
      <c r="M3998" s="1"/>
      <c r="N3998" s="2432"/>
      <c r="O3998" s="2840" t="s">
        <v>1340</v>
      </c>
      <c r="P3998" s="2840"/>
      <c r="Q3998" s="274">
        <f>+SUM(Q3999:Q4011)</f>
        <v>0</v>
      </c>
      <c r="R3998" s="274">
        <f>SUM(R3999:R4011)</f>
        <v>3570</v>
      </c>
      <c r="S3998" s="274">
        <f t="shared" ref="S3998:AB3998" si="652">SUM(S3999:S4011)</f>
        <v>6874</v>
      </c>
      <c r="T3998" s="274">
        <f t="shared" si="652"/>
        <v>5874</v>
      </c>
      <c r="U3998" s="274">
        <f t="shared" si="652"/>
        <v>8274</v>
      </c>
      <c r="V3998" s="274">
        <f t="shared" si="652"/>
        <v>7874</v>
      </c>
      <c r="W3998" s="274">
        <f t="shared" si="652"/>
        <v>5874</v>
      </c>
      <c r="X3998" s="274">
        <f t="shared" si="652"/>
        <v>5874</v>
      </c>
      <c r="Y3998" s="274">
        <f t="shared" si="652"/>
        <v>5874</v>
      </c>
      <c r="Z3998" s="274">
        <f t="shared" si="652"/>
        <v>5574</v>
      </c>
      <c r="AA3998" s="274">
        <f t="shared" si="652"/>
        <v>5374</v>
      </c>
      <c r="AB3998" s="274">
        <f t="shared" si="652"/>
        <v>5163</v>
      </c>
      <c r="AC3998" s="274">
        <f>SUM(AC3999:AC4011)</f>
        <v>66199</v>
      </c>
    </row>
    <row r="3999" spans="1:29" x14ac:dyDescent="0.2">
      <c r="A3999" s="179"/>
      <c r="B3999" s="3191"/>
      <c r="C3999" s="3191"/>
      <c r="D3999" s="2421"/>
      <c r="E3999" s="2421"/>
      <c r="F3999" s="2421"/>
      <c r="G3999" s="2421"/>
      <c r="H3999" s="2421"/>
      <c r="I3999" s="2421"/>
      <c r="J3999" s="2421"/>
      <c r="K3999" s="3488"/>
      <c r="L3999" s="1">
        <v>2600</v>
      </c>
      <c r="M3999" s="1"/>
      <c r="N3999" s="2432"/>
      <c r="O3999" s="1115">
        <v>231211</v>
      </c>
      <c r="P3999" s="913" t="s">
        <v>1554</v>
      </c>
      <c r="Q3999" s="278"/>
      <c r="R3999" s="274"/>
      <c r="S3999" s="278">
        <v>260</v>
      </c>
      <c r="T3999" s="278">
        <v>260</v>
      </c>
      <c r="U3999" s="278">
        <v>260</v>
      </c>
      <c r="V3999" s="278">
        <v>260</v>
      </c>
      <c r="W3999" s="278">
        <v>260</v>
      </c>
      <c r="X3999" s="278">
        <v>260</v>
      </c>
      <c r="Y3999" s="278">
        <v>260</v>
      </c>
      <c r="Z3999" s="278">
        <v>260</v>
      </c>
      <c r="AA3999" s="278">
        <v>260</v>
      </c>
      <c r="AB3999" s="278">
        <v>260</v>
      </c>
      <c r="AC3999" s="278">
        <f>+SUM(Q3999:AB3999)</f>
        <v>2600</v>
      </c>
    </row>
    <row r="4000" spans="1:29" x14ac:dyDescent="0.2">
      <c r="A4000" s="179"/>
      <c r="B4000" s="3191"/>
      <c r="C4000" s="3191"/>
      <c r="D4000" s="2421"/>
      <c r="E4000" s="2421"/>
      <c r="F4000" s="2421"/>
      <c r="G4000" s="2421"/>
      <c r="H4000" s="2421"/>
      <c r="I4000" s="2421"/>
      <c r="J4000" s="2421"/>
      <c r="K4000" s="3488"/>
      <c r="L4000" s="1">
        <v>10600</v>
      </c>
      <c r="M4000" s="1"/>
      <c r="N4000" s="2432"/>
      <c r="O4000" s="1090">
        <v>231311</v>
      </c>
      <c r="P4000" s="913" t="s">
        <v>1220</v>
      </c>
      <c r="Q4000" s="278"/>
      <c r="R4000" s="278">
        <v>1000</v>
      </c>
      <c r="S4000" s="278">
        <v>1000</v>
      </c>
      <c r="T4000" s="278">
        <v>1000</v>
      </c>
      <c r="U4000" s="278">
        <v>1000</v>
      </c>
      <c r="V4000" s="278">
        <v>1000</v>
      </c>
      <c r="W4000" s="278">
        <v>1000</v>
      </c>
      <c r="X4000" s="278">
        <v>1000</v>
      </c>
      <c r="Y4000" s="278">
        <v>1000</v>
      </c>
      <c r="Z4000" s="278">
        <v>1000</v>
      </c>
      <c r="AA4000" s="278">
        <v>1000</v>
      </c>
      <c r="AB4000" s="278">
        <v>600</v>
      </c>
      <c r="AC4000" s="278">
        <f t="shared" si="650"/>
        <v>10600</v>
      </c>
    </row>
    <row r="4001" spans="1:29" x14ac:dyDescent="0.2">
      <c r="A4001" s="179"/>
      <c r="B4001" s="3191"/>
      <c r="C4001" s="3191"/>
      <c r="D4001" s="2421"/>
      <c r="E4001" s="2421"/>
      <c r="F4001" s="2421"/>
      <c r="G4001" s="2421"/>
      <c r="H4001" s="2421"/>
      <c r="I4001" s="2421"/>
      <c r="J4001" s="2421"/>
      <c r="K4001" s="3488"/>
      <c r="L4001" s="1">
        <v>400</v>
      </c>
      <c r="M4001" s="1"/>
      <c r="N4001" s="2432"/>
      <c r="O4001" s="1090">
        <v>231511</v>
      </c>
      <c r="P4001" s="913" t="s">
        <v>1246</v>
      </c>
      <c r="Q4001" s="278"/>
      <c r="R4001" s="278"/>
      <c r="S4001" s="278"/>
      <c r="T4001" s="278"/>
      <c r="U4001" s="278">
        <v>400</v>
      </c>
      <c r="V4001" s="278"/>
      <c r="W4001" s="278"/>
      <c r="X4001" s="278"/>
      <c r="Y4001" s="278"/>
      <c r="Z4001" s="278"/>
      <c r="AA4001" s="278"/>
      <c r="AB4001" s="278"/>
      <c r="AC4001" s="278">
        <f t="shared" si="650"/>
        <v>400</v>
      </c>
    </row>
    <row r="4002" spans="1:29" x14ac:dyDescent="0.2">
      <c r="A4002" s="179"/>
      <c r="B4002" s="3191"/>
      <c r="C4002" s="3191"/>
      <c r="D4002" s="2421"/>
      <c r="E4002" s="2421"/>
      <c r="F4002" s="2421"/>
      <c r="G4002" s="2421"/>
      <c r="H4002" s="2421"/>
      <c r="I4002" s="2421"/>
      <c r="J4002" s="2421"/>
      <c r="K4002" s="3488"/>
      <c r="L4002" s="1">
        <v>3700</v>
      </c>
      <c r="M4002" s="1"/>
      <c r="N4002" s="2432"/>
      <c r="O4002" s="1115">
        <v>231512</v>
      </c>
      <c r="P4002" s="913" t="s">
        <v>1236</v>
      </c>
      <c r="Q4002" s="278"/>
      <c r="R4002" s="278"/>
      <c r="S4002" s="278">
        <v>500</v>
      </c>
      <c r="T4002" s="278">
        <v>500</v>
      </c>
      <c r="U4002" s="278">
        <v>500</v>
      </c>
      <c r="V4002" s="278">
        <v>500</v>
      </c>
      <c r="W4002" s="278">
        <v>500</v>
      </c>
      <c r="X4002" s="278">
        <v>500</v>
      </c>
      <c r="Y4002" s="278">
        <v>500</v>
      </c>
      <c r="Z4002" s="278">
        <v>200</v>
      </c>
      <c r="AA4002" s="278"/>
      <c r="AB4002" s="278"/>
      <c r="AC4002" s="278">
        <f t="shared" si="650"/>
        <v>3700</v>
      </c>
    </row>
    <row r="4003" spans="1:29" x14ac:dyDescent="0.2">
      <c r="A4003" s="179"/>
      <c r="B4003" s="3191"/>
      <c r="C4003" s="3191"/>
      <c r="D4003" s="2421"/>
      <c r="E4003" s="2421"/>
      <c r="F4003" s="2421"/>
      <c r="G4003" s="2421"/>
      <c r="H4003" s="2421"/>
      <c r="I4003" s="2421"/>
      <c r="J4003" s="2421"/>
      <c r="K4003" s="3488"/>
      <c r="L4003" s="1">
        <v>2000</v>
      </c>
      <c r="M4003" s="1"/>
      <c r="N4003" s="2432"/>
      <c r="O4003" s="1115">
        <v>231821</v>
      </c>
      <c r="P4003" s="913" t="s">
        <v>1566</v>
      </c>
      <c r="Q4003" s="278"/>
      <c r="R4003" s="278"/>
      <c r="S4003" s="278"/>
      <c r="T4003" s="278"/>
      <c r="U4003" s="278">
        <v>2000</v>
      </c>
      <c r="V4003" s="278"/>
      <c r="W4003" s="278"/>
      <c r="X4003" s="278"/>
      <c r="Y4003" s="278"/>
      <c r="Z4003" s="278"/>
      <c r="AA4003" s="278"/>
      <c r="AB4003" s="278"/>
      <c r="AC4003" s="278">
        <f t="shared" si="650"/>
        <v>2000</v>
      </c>
    </row>
    <row r="4004" spans="1:29" x14ac:dyDescent="0.2">
      <c r="A4004" s="179"/>
      <c r="B4004" s="3191"/>
      <c r="C4004" s="3191"/>
      <c r="D4004" s="2421"/>
      <c r="E4004" s="2421"/>
      <c r="F4004" s="2421"/>
      <c r="G4004" s="2421"/>
      <c r="H4004" s="2421"/>
      <c r="I4004" s="2421"/>
      <c r="J4004" s="2421"/>
      <c r="K4004" s="3488"/>
      <c r="L4004" s="1">
        <v>2000</v>
      </c>
      <c r="M4004" s="1"/>
      <c r="N4004" s="2432"/>
      <c r="O4004" s="1090">
        <v>2319913</v>
      </c>
      <c r="P4004" s="913" t="s">
        <v>1250</v>
      </c>
      <c r="Q4004" s="278"/>
      <c r="R4004" s="278"/>
      <c r="S4004" s="278"/>
      <c r="T4004" s="278"/>
      <c r="U4004" s="278"/>
      <c r="V4004" s="278">
        <v>2000</v>
      </c>
      <c r="W4004" s="278"/>
      <c r="X4004" s="278"/>
      <c r="Y4004" s="278"/>
      <c r="Z4004" s="278"/>
      <c r="AA4004" s="278"/>
      <c r="AB4004" s="278"/>
      <c r="AC4004" s="278">
        <f t="shared" si="650"/>
        <v>2000</v>
      </c>
    </row>
    <row r="4005" spans="1:29" x14ac:dyDescent="0.2">
      <c r="A4005" s="179"/>
      <c r="B4005" s="3191"/>
      <c r="C4005" s="3191"/>
      <c r="D4005" s="2421"/>
      <c r="E4005" s="2421"/>
      <c r="F4005" s="2421"/>
      <c r="G4005" s="2421"/>
      <c r="H4005" s="2421"/>
      <c r="I4005" s="2421"/>
      <c r="J4005" s="2421"/>
      <c r="K4005" s="3488"/>
      <c r="L4005" s="1">
        <v>4600</v>
      </c>
      <c r="M4005" s="1"/>
      <c r="N4005" s="2432"/>
      <c r="O4005" s="1090">
        <v>232121</v>
      </c>
      <c r="P4005" s="913" t="s">
        <v>1238</v>
      </c>
      <c r="Q4005" s="278"/>
      <c r="R4005" s="278">
        <v>415</v>
      </c>
      <c r="S4005" s="278">
        <v>415</v>
      </c>
      <c r="T4005" s="278">
        <v>415</v>
      </c>
      <c r="U4005" s="278">
        <v>415</v>
      </c>
      <c r="V4005" s="278">
        <v>415</v>
      </c>
      <c r="W4005" s="278">
        <v>415</v>
      </c>
      <c r="X4005" s="278">
        <v>415</v>
      </c>
      <c r="Y4005" s="278">
        <v>415</v>
      </c>
      <c r="Z4005" s="278">
        <v>415</v>
      </c>
      <c r="AA4005" s="278">
        <v>415</v>
      </c>
      <c r="AB4005" s="278">
        <v>450</v>
      </c>
      <c r="AC4005" s="278">
        <f t="shared" si="650"/>
        <v>4600</v>
      </c>
    </row>
    <row r="4006" spans="1:29" x14ac:dyDescent="0.2">
      <c r="A4006" s="179"/>
      <c r="B4006" s="3191"/>
      <c r="C4006" s="3191"/>
      <c r="D4006" s="2421"/>
      <c r="E4006" s="2421"/>
      <c r="F4006" s="2421"/>
      <c r="G4006" s="2421"/>
      <c r="H4006" s="2421"/>
      <c r="I4006" s="2421"/>
      <c r="J4006" s="2421"/>
      <c r="K4006" s="3488"/>
      <c r="L4006" s="1">
        <v>17960</v>
      </c>
      <c r="M4006" s="1"/>
      <c r="N4006" s="2432"/>
      <c r="O4006" s="1090">
        <v>232122</v>
      </c>
      <c r="P4006" s="913" t="s">
        <v>1240</v>
      </c>
      <c r="Q4006" s="278"/>
      <c r="R4006" s="278">
        <v>1630</v>
      </c>
      <c r="S4006" s="278">
        <v>1630</v>
      </c>
      <c r="T4006" s="278">
        <v>1630</v>
      </c>
      <c r="U4006" s="278">
        <v>1630</v>
      </c>
      <c r="V4006" s="278">
        <v>1630</v>
      </c>
      <c r="W4006" s="278">
        <v>1630</v>
      </c>
      <c r="X4006" s="278">
        <v>1630</v>
      </c>
      <c r="Y4006" s="278">
        <v>1630</v>
      </c>
      <c r="Z4006" s="278">
        <v>1630</v>
      </c>
      <c r="AA4006" s="278">
        <v>1630</v>
      </c>
      <c r="AB4006" s="278">
        <v>1660</v>
      </c>
      <c r="AC4006" s="278">
        <f t="shared" si="650"/>
        <v>17960</v>
      </c>
    </row>
    <row r="4007" spans="1:29" x14ac:dyDescent="0.2">
      <c r="A4007" s="179"/>
      <c r="B4007" s="3191"/>
      <c r="C4007" s="3191"/>
      <c r="D4007" s="2421"/>
      <c r="E4007" s="2421"/>
      <c r="F4007" s="2421"/>
      <c r="G4007" s="2421"/>
      <c r="H4007" s="2421"/>
      <c r="I4007" s="2421"/>
      <c r="J4007" s="2421"/>
      <c r="K4007" s="3488"/>
      <c r="L4007" s="1">
        <v>5800</v>
      </c>
      <c r="M4007" s="1"/>
      <c r="N4007" s="2432"/>
      <c r="O4007" s="1090">
        <v>2321299</v>
      </c>
      <c r="P4007" s="913" t="s">
        <v>1279</v>
      </c>
      <c r="Q4007" s="278"/>
      <c r="R4007" s="278">
        <v>525</v>
      </c>
      <c r="S4007" s="278">
        <v>525</v>
      </c>
      <c r="T4007" s="278">
        <v>525</v>
      </c>
      <c r="U4007" s="278">
        <v>525</v>
      </c>
      <c r="V4007" s="278">
        <v>525</v>
      </c>
      <c r="W4007" s="278">
        <v>525</v>
      </c>
      <c r="X4007" s="278">
        <v>525</v>
      </c>
      <c r="Y4007" s="278">
        <v>525</v>
      </c>
      <c r="Z4007" s="278">
        <v>525</v>
      </c>
      <c r="AA4007" s="278">
        <v>525</v>
      </c>
      <c r="AB4007" s="278">
        <v>550</v>
      </c>
      <c r="AC4007" s="278">
        <f t="shared" si="650"/>
        <v>5800</v>
      </c>
    </row>
    <row r="4008" spans="1:29" x14ac:dyDescent="0.2">
      <c r="A4008" s="179"/>
      <c r="B4008" s="3191"/>
      <c r="C4008" s="3191"/>
      <c r="D4008" s="2421"/>
      <c r="E4008" s="2421"/>
      <c r="F4008" s="2421"/>
      <c r="G4008" s="2421"/>
      <c r="H4008" s="2421"/>
      <c r="I4008" s="2421"/>
      <c r="J4008" s="2421"/>
      <c r="K4008" s="3488"/>
      <c r="L4008" s="1">
        <v>1500</v>
      </c>
      <c r="M4008" s="1"/>
      <c r="N4008" s="2432"/>
      <c r="O4008" s="1090">
        <v>232244</v>
      </c>
      <c r="P4008" s="913" t="s">
        <v>1242</v>
      </c>
      <c r="Q4008" s="278"/>
      <c r="R4008" s="278"/>
      <c r="S4008" s="278">
        <v>150</v>
      </c>
      <c r="T4008" s="278">
        <v>150</v>
      </c>
      <c r="U4008" s="278">
        <v>150</v>
      </c>
      <c r="V4008" s="278">
        <v>150</v>
      </c>
      <c r="W4008" s="278">
        <v>150</v>
      </c>
      <c r="X4008" s="278">
        <v>150</v>
      </c>
      <c r="Y4008" s="278">
        <v>150</v>
      </c>
      <c r="Z4008" s="278">
        <v>150</v>
      </c>
      <c r="AA4008" s="278">
        <v>150</v>
      </c>
      <c r="AB4008" s="278">
        <v>150</v>
      </c>
      <c r="AC4008" s="278">
        <f t="shared" si="650"/>
        <v>1500</v>
      </c>
    </row>
    <row r="4009" spans="1:29" x14ac:dyDescent="0.2">
      <c r="A4009" s="179"/>
      <c r="B4009" s="3191"/>
      <c r="C4009" s="3191"/>
      <c r="D4009" s="2421"/>
      <c r="E4009" s="2421"/>
      <c r="F4009" s="2421"/>
      <c r="G4009" s="2421"/>
      <c r="H4009" s="2421"/>
      <c r="I4009" s="2421"/>
      <c r="J4009" s="2421"/>
      <c r="K4009" s="3488"/>
      <c r="L4009" s="1">
        <v>1399</v>
      </c>
      <c r="M4009" s="1"/>
      <c r="N4009" s="2432"/>
      <c r="O4009" s="1115">
        <v>232415</v>
      </c>
      <c r="P4009" s="913" t="s">
        <v>1254</v>
      </c>
      <c r="Q4009" s="278"/>
      <c r="R4009" s="278"/>
      <c r="S4009" s="278">
        <v>130</v>
      </c>
      <c r="T4009" s="278">
        <v>130</v>
      </c>
      <c r="U4009" s="278">
        <v>130</v>
      </c>
      <c r="V4009" s="278">
        <v>130</v>
      </c>
      <c r="W4009" s="278">
        <v>130</v>
      </c>
      <c r="X4009" s="278">
        <v>130</v>
      </c>
      <c r="Y4009" s="278">
        <v>130</v>
      </c>
      <c r="Z4009" s="278">
        <v>130</v>
      </c>
      <c r="AA4009" s="278">
        <v>130</v>
      </c>
      <c r="AB4009" s="278">
        <v>229</v>
      </c>
      <c r="AC4009" s="278">
        <f t="shared" si="650"/>
        <v>1399</v>
      </c>
    </row>
    <row r="4010" spans="1:29" x14ac:dyDescent="0.2">
      <c r="A4010" s="179"/>
      <c r="B4010" s="3191"/>
      <c r="C4010" s="3191"/>
      <c r="D4010" s="2421"/>
      <c r="E4010" s="2421"/>
      <c r="F4010" s="2421"/>
      <c r="G4010" s="2421"/>
      <c r="H4010" s="2421"/>
      <c r="I4010" s="2421"/>
      <c r="J4010" s="2421"/>
      <c r="K4010" s="3488"/>
      <c r="L4010" s="1">
        <v>12640</v>
      </c>
      <c r="M4010" s="1"/>
      <c r="N4010" s="2432"/>
      <c r="O4010" s="1115">
        <v>2327101</v>
      </c>
      <c r="P4010" s="913" t="s">
        <v>1308</v>
      </c>
      <c r="Q4010" s="278"/>
      <c r="R4010" s="278"/>
      <c r="S4010" s="278">
        <f>+L4010/10</f>
        <v>1264</v>
      </c>
      <c r="T4010" s="278">
        <v>1264</v>
      </c>
      <c r="U4010" s="278">
        <v>1264</v>
      </c>
      <c r="V4010" s="278">
        <v>1264</v>
      </c>
      <c r="W4010" s="278">
        <v>1264</v>
      </c>
      <c r="X4010" s="278">
        <v>1264</v>
      </c>
      <c r="Y4010" s="278">
        <v>1264</v>
      </c>
      <c r="Z4010" s="278">
        <v>1264</v>
      </c>
      <c r="AA4010" s="278">
        <v>1264</v>
      </c>
      <c r="AB4010" s="278">
        <v>1264</v>
      </c>
      <c r="AC4010" s="278">
        <f t="shared" si="650"/>
        <v>12640</v>
      </c>
    </row>
    <row r="4011" spans="1:29" ht="26.25" customHeight="1" x14ac:dyDescent="0.2">
      <c r="A4011" s="179"/>
      <c r="B4011" s="2439"/>
      <c r="C4011" s="2439"/>
      <c r="D4011" s="2421"/>
      <c r="E4011" s="2421"/>
      <c r="F4011" s="2421"/>
      <c r="G4011" s="2421"/>
      <c r="H4011" s="2421"/>
      <c r="I4011" s="2421"/>
      <c r="J4011" s="2421">
        <v>280</v>
      </c>
      <c r="K4011" s="3488" t="e">
        <f>+#REF!</f>
        <v>#REF!</v>
      </c>
      <c r="L4011" s="1">
        <v>1000</v>
      </c>
      <c r="M4011" s="542"/>
      <c r="N4011" s="2437"/>
      <c r="O4011" s="1013">
        <v>2327112</v>
      </c>
      <c r="P4011" s="1012" t="s">
        <v>1593</v>
      </c>
      <c r="Q4011" s="278"/>
      <c r="R4011" s="278"/>
      <c r="S4011" s="278">
        <v>1000</v>
      </c>
      <c r="T4011" s="278"/>
      <c r="U4011" s="278"/>
      <c r="V4011" s="278"/>
      <c r="W4011" s="278"/>
      <c r="X4011" s="278"/>
      <c r="Y4011" s="278"/>
      <c r="Z4011" s="278"/>
      <c r="AA4011" s="278"/>
      <c r="AB4011" s="278"/>
      <c r="AC4011" s="278">
        <f>SUM(Q4011:AB4011)</f>
        <v>1000</v>
      </c>
    </row>
    <row r="4012" spans="1:29" s="289" customFormat="1" x14ac:dyDescent="0.2">
      <c r="A4012" s="540"/>
      <c r="B4012" s="3474" t="s">
        <v>312</v>
      </c>
      <c r="C4012" s="3475"/>
      <c r="D4012" s="3475"/>
      <c r="E4012" s="3475"/>
      <c r="F4012" s="3475"/>
      <c r="G4012" s="3475"/>
      <c r="H4012" s="3475"/>
      <c r="I4012" s="3475"/>
      <c r="J4012" s="3475"/>
      <c r="K4012" s="3475"/>
      <c r="L4012" s="284">
        <f>+SUM(L3999:L4011)</f>
        <v>66199</v>
      </c>
      <c r="M4012" s="284"/>
      <c r="N4012" s="285"/>
      <c r="O4012" s="1148"/>
      <c r="P4012" s="286"/>
      <c r="Q4012" s="287"/>
      <c r="R4012" s="288"/>
      <c r="S4012" s="287"/>
      <c r="T4012" s="288"/>
      <c r="U4012" s="287"/>
      <c r="V4012" s="288"/>
      <c r="W4012" s="287"/>
      <c r="X4012" s="288"/>
      <c r="Y4012" s="287"/>
      <c r="Z4012" s="288"/>
      <c r="AA4012" s="287"/>
      <c r="AB4012" s="288"/>
      <c r="AC4012" s="287"/>
    </row>
    <row r="4013" spans="1:29" x14ac:dyDescent="0.2">
      <c r="A4013" s="179"/>
      <c r="B4013" s="2999" t="s">
        <v>20</v>
      </c>
      <c r="C4013" s="2847" t="s">
        <v>21</v>
      </c>
      <c r="D4013" s="2847" t="s">
        <v>22</v>
      </c>
      <c r="E4013" s="2847" t="s">
        <v>23</v>
      </c>
      <c r="F4013" s="2847" t="s">
        <v>24</v>
      </c>
      <c r="G4013" s="2847" t="s">
        <v>25</v>
      </c>
      <c r="H4013" s="2847" t="s">
        <v>26</v>
      </c>
      <c r="I4013" s="2847" t="s">
        <v>27</v>
      </c>
      <c r="J4013" s="2986" t="s">
        <v>28</v>
      </c>
      <c r="K4013" s="2987"/>
      <c r="L4013" s="2986" t="s">
        <v>1628</v>
      </c>
      <c r="M4013" s="2987"/>
      <c r="N4013" s="2988" t="s">
        <v>29</v>
      </c>
      <c r="O4013" s="2986" t="s">
        <v>30</v>
      </c>
      <c r="P4013" s="2987"/>
      <c r="Q4013" s="3489" t="s">
        <v>31</v>
      </c>
      <c r="R4013" s="3490"/>
      <c r="S4013" s="3490"/>
      <c r="T4013" s="3490"/>
      <c r="U4013" s="3490"/>
      <c r="V4013" s="3490"/>
      <c r="W4013" s="3490"/>
      <c r="X4013" s="3490"/>
      <c r="Y4013" s="3490"/>
      <c r="Z4013" s="3490"/>
      <c r="AA4013" s="3490"/>
      <c r="AB4013" s="3491"/>
      <c r="AC4013" s="3479" t="s">
        <v>32</v>
      </c>
    </row>
    <row r="4014" spans="1:29" x14ac:dyDescent="0.2">
      <c r="A4014" s="179"/>
      <c r="B4014" s="2999"/>
      <c r="C4014" s="2847"/>
      <c r="D4014" s="2847"/>
      <c r="E4014" s="2847"/>
      <c r="F4014" s="2847"/>
      <c r="G4014" s="2847"/>
      <c r="H4014" s="2847"/>
      <c r="I4014" s="2847"/>
      <c r="J4014" s="1017" t="s">
        <v>33</v>
      </c>
      <c r="K4014" s="1017" t="s">
        <v>34</v>
      </c>
      <c r="L4014" s="306" t="s">
        <v>1513</v>
      </c>
      <c r="M4014" s="306" t="s">
        <v>1514</v>
      </c>
      <c r="N4014" s="2989"/>
      <c r="O4014" s="3000"/>
      <c r="P4014" s="3001"/>
      <c r="Q4014" s="1111" t="s">
        <v>35</v>
      </c>
      <c r="R4014" s="1111" t="s">
        <v>36</v>
      </c>
      <c r="S4014" s="1111" t="s">
        <v>37</v>
      </c>
      <c r="T4014" s="1111" t="s">
        <v>38</v>
      </c>
      <c r="U4014" s="1111" t="s">
        <v>39</v>
      </c>
      <c r="V4014" s="1111" t="s">
        <v>40</v>
      </c>
      <c r="W4014" s="1111" t="s">
        <v>41</v>
      </c>
      <c r="X4014" s="1111" t="s">
        <v>42</v>
      </c>
      <c r="Y4014" s="1111" t="s">
        <v>43</v>
      </c>
      <c r="Z4014" s="1111" t="s">
        <v>44</v>
      </c>
      <c r="AA4014" s="1111" t="s">
        <v>45</v>
      </c>
      <c r="AB4014" s="1111" t="s">
        <v>46</v>
      </c>
      <c r="AC4014" s="3479"/>
    </row>
    <row r="4015" spans="1:29" x14ac:dyDescent="0.2">
      <c r="A4015" s="179"/>
      <c r="B4015" s="3190" t="s">
        <v>1690</v>
      </c>
      <c r="C4015" s="3190" t="s">
        <v>1691</v>
      </c>
      <c r="D4015" s="2421"/>
      <c r="E4015" s="2421" t="s">
        <v>1517</v>
      </c>
      <c r="F4015" s="2421" t="s">
        <v>1652</v>
      </c>
      <c r="G4015" s="2421" t="s">
        <v>1664</v>
      </c>
      <c r="H4015" s="2421"/>
      <c r="I4015" s="2421" t="s">
        <v>1532</v>
      </c>
      <c r="J4015" s="2421">
        <v>64</v>
      </c>
      <c r="K4015" s="3488">
        <v>296146</v>
      </c>
      <c r="L4015" s="1"/>
      <c r="M4015" s="542"/>
      <c r="N4015" s="2431" t="s">
        <v>1692</v>
      </c>
      <c r="O4015" s="3188" t="s">
        <v>51</v>
      </c>
      <c r="P4015" s="3189"/>
      <c r="Q4015" s="1111">
        <v>5</v>
      </c>
      <c r="R4015" s="1111">
        <v>5</v>
      </c>
      <c r="S4015" s="1111">
        <v>5</v>
      </c>
      <c r="T4015" s="1111">
        <v>5</v>
      </c>
      <c r="U4015" s="1111">
        <v>5</v>
      </c>
      <c r="V4015" s="1111">
        <v>5</v>
      </c>
      <c r="W4015" s="1111">
        <v>7</v>
      </c>
      <c r="X4015" s="1111">
        <v>5</v>
      </c>
      <c r="Y4015" s="1111">
        <v>5</v>
      </c>
      <c r="Z4015" s="1111">
        <v>5</v>
      </c>
      <c r="AA4015" s="1111">
        <v>5</v>
      </c>
      <c r="AB4015" s="1111">
        <v>7</v>
      </c>
      <c r="AC4015" s="1111">
        <f>SUM(Q4015:AB4015)</f>
        <v>64</v>
      </c>
    </row>
    <row r="4016" spans="1:29" x14ac:dyDescent="0.2">
      <c r="A4016" s="179"/>
      <c r="B4016" s="3191"/>
      <c r="C4016" s="3191"/>
      <c r="D4016" s="2421"/>
      <c r="E4016" s="2421"/>
      <c r="F4016" s="2421"/>
      <c r="G4016" s="2421"/>
      <c r="H4016" s="2421"/>
      <c r="I4016" s="2421"/>
      <c r="J4016" s="2421"/>
      <c r="K4016" s="3488"/>
      <c r="L4016" s="1"/>
      <c r="M4016" s="1"/>
      <c r="N4016" s="2432"/>
      <c r="O4016" s="2840" t="s">
        <v>1340</v>
      </c>
      <c r="P4016" s="2840"/>
      <c r="Q4016" s="274">
        <f>+SUM(Q4017:Q4032)</f>
        <v>1611</v>
      </c>
      <c r="R4016" s="274">
        <f t="shared" ref="R4016:AC4016" si="653">+SUM(R4017:R4032)</f>
        <v>18311</v>
      </c>
      <c r="S4016" s="274">
        <f t="shared" si="653"/>
        <v>27031</v>
      </c>
      <c r="T4016" s="274">
        <f t="shared" si="653"/>
        <v>32322</v>
      </c>
      <c r="U4016" s="274">
        <f t="shared" si="653"/>
        <v>23531</v>
      </c>
      <c r="V4016" s="274">
        <f t="shared" si="653"/>
        <v>34831</v>
      </c>
      <c r="W4016" s="274">
        <f t="shared" si="653"/>
        <v>25531</v>
      </c>
      <c r="X4016" s="274">
        <f t="shared" si="653"/>
        <v>30831</v>
      </c>
      <c r="Y4016" s="274">
        <f t="shared" si="653"/>
        <v>25031</v>
      </c>
      <c r="Z4016" s="274">
        <f t="shared" si="653"/>
        <v>28731</v>
      </c>
      <c r="AA4016" s="274">
        <f t="shared" si="653"/>
        <v>25031</v>
      </c>
      <c r="AB4016" s="274">
        <f t="shared" si="653"/>
        <v>23354</v>
      </c>
      <c r="AC4016" s="274">
        <f t="shared" si="653"/>
        <v>296146</v>
      </c>
    </row>
    <row r="4017" spans="1:29" x14ac:dyDescent="0.2">
      <c r="A4017" s="179"/>
      <c r="B4017" s="3191"/>
      <c r="C4017" s="3191"/>
      <c r="D4017" s="2421"/>
      <c r="E4017" s="2421"/>
      <c r="F4017" s="2421"/>
      <c r="G4017" s="2421"/>
      <c r="H4017" s="2421"/>
      <c r="I4017" s="2421"/>
      <c r="J4017" s="2421"/>
      <c r="K4017" s="3488"/>
      <c r="L4017" s="1">
        <v>1203</v>
      </c>
      <c r="M4017" s="1"/>
      <c r="N4017" s="2432"/>
      <c r="O4017" s="1090">
        <v>231111</v>
      </c>
      <c r="P4017" s="1276" t="s">
        <v>1306</v>
      </c>
      <c r="Q4017" s="278"/>
      <c r="R4017" s="274"/>
      <c r="S4017" s="278">
        <v>120</v>
      </c>
      <c r="T4017" s="278">
        <v>120</v>
      </c>
      <c r="U4017" s="278">
        <v>120</v>
      </c>
      <c r="V4017" s="278">
        <v>120</v>
      </c>
      <c r="W4017" s="278">
        <v>120</v>
      </c>
      <c r="X4017" s="278">
        <v>120</v>
      </c>
      <c r="Y4017" s="278">
        <v>120</v>
      </c>
      <c r="Z4017" s="278">
        <v>120</v>
      </c>
      <c r="AA4017" s="278">
        <v>120</v>
      </c>
      <c r="AB4017" s="278">
        <v>123</v>
      </c>
      <c r="AC4017" s="278">
        <f>+SUM(Q4017:AB4017)</f>
        <v>1203</v>
      </c>
    </row>
    <row r="4018" spans="1:29" x14ac:dyDescent="0.2">
      <c r="A4018" s="179"/>
      <c r="B4018" s="3191"/>
      <c r="C4018" s="3191"/>
      <c r="D4018" s="2421"/>
      <c r="E4018" s="2421"/>
      <c r="F4018" s="2421"/>
      <c r="G4018" s="2421"/>
      <c r="H4018" s="2421"/>
      <c r="I4018" s="2421"/>
      <c r="J4018" s="2421"/>
      <c r="K4018" s="3488"/>
      <c r="L4018" s="1">
        <v>2000</v>
      </c>
      <c r="M4018" s="1"/>
      <c r="N4018" s="2432"/>
      <c r="O4018" s="1090">
        <v>231211</v>
      </c>
      <c r="P4018" s="1276" t="s">
        <v>1554</v>
      </c>
      <c r="Q4018" s="278"/>
      <c r="R4018" s="274"/>
      <c r="S4018" s="278">
        <v>200</v>
      </c>
      <c r="T4018" s="278">
        <v>200</v>
      </c>
      <c r="U4018" s="278">
        <v>200</v>
      </c>
      <c r="V4018" s="278">
        <v>200</v>
      </c>
      <c r="W4018" s="278">
        <v>200</v>
      </c>
      <c r="X4018" s="278">
        <v>200</v>
      </c>
      <c r="Y4018" s="278">
        <v>200</v>
      </c>
      <c r="Z4018" s="278">
        <v>200</v>
      </c>
      <c r="AA4018" s="278">
        <v>200</v>
      </c>
      <c r="AB4018" s="278">
        <v>200</v>
      </c>
      <c r="AC4018" s="278">
        <f t="shared" si="650"/>
        <v>2000</v>
      </c>
    </row>
    <row r="4019" spans="1:29" x14ac:dyDescent="0.2">
      <c r="A4019" s="179"/>
      <c r="B4019" s="3191"/>
      <c r="C4019" s="3191"/>
      <c r="D4019" s="2421"/>
      <c r="E4019" s="2421"/>
      <c r="F4019" s="2421"/>
      <c r="G4019" s="2421"/>
      <c r="H4019" s="2421"/>
      <c r="I4019" s="2421"/>
      <c r="J4019" s="2421"/>
      <c r="K4019" s="3488"/>
      <c r="L4019" s="1">
        <v>74000</v>
      </c>
      <c r="M4019" s="1"/>
      <c r="N4019" s="2432"/>
      <c r="O4019" s="1090">
        <v>231311</v>
      </c>
      <c r="P4019" s="1276" t="s">
        <v>1220</v>
      </c>
      <c r="Q4019" s="278"/>
      <c r="R4019" s="278">
        <v>7000</v>
      </c>
      <c r="S4019" s="278">
        <v>7000</v>
      </c>
      <c r="T4019" s="278">
        <v>7000</v>
      </c>
      <c r="U4019" s="278">
        <v>7000</v>
      </c>
      <c r="V4019" s="278">
        <v>7000</v>
      </c>
      <c r="W4019" s="278">
        <v>7000</v>
      </c>
      <c r="X4019" s="278">
        <v>7000</v>
      </c>
      <c r="Y4019" s="278">
        <v>7000</v>
      </c>
      <c r="Z4019" s="278">
        <v>7000</v>
      </c>
      <c r="AA4019" s="278">
        <v>7000</v>
      </c>
      <c r="AB4019" s="278">
        <v>4000</v>
      </c>
      <c r="AC4019" s="278">
        <f t="shared" si="650"/>
        <v>74000</v>
      </c>
    </row>
    <row r="4020" spans="1:29" x14ac:dyDescent="0.2">
      <c r="A4020" s="179"/>
      <c r="B4020" s="3191"/>
      <c r="C4020" s="3191"/>
      <c r="D4020" s="2421"/>
      <c r="E4020" s="2421"/>
      <c r="F4020" s="2421"/>
      <c r="G4020" s="2421"/>
      <c r="H4020" s="2421"/>
      <c r="I4020" s="2421"/>
      <c r="J4020" s="2421"/>
      <c r="K4020" s="3488"/>
      <c r="L4020" s="1">
        <v>3000</v>
      </c>
      <c r="M4020" s="1"/>
      <c r="N4020" s="2432"/>
      <c r="O4020" s="1090">
        <v>231511</v>
      </c>
      <c r="P4020" s="1276" t="s">
        <v>1246</v>
      </c>
      <c r="Q4020" s="278"/>
      <c r="R4020" s="274"/>
      <c r="S4020" s="278"/>
      <c r="T4020" s="274"/>
      <c r="U4020" s="278"/>
      <c r="V4020" s="278">
        <v>3000</v>
      </c>
      <c r="W4020" s="278"/>
      <c r="X4020" s="274"/>
      <c r="Y4020" s="278"/>
      <c r="Z4020" s="274"/>
      <c r="AA4020" s="278"/>
      <c r="AB4020" s="274"/>
      <c r="AC4020" s="278">
        <f t="shared" si="650"/>
        <v>3000</v>
      </c>
    </row>
    <row r="4021" spans="1:29" x14ac:dyDescent="0.2">
      <c r="A4021" s="179"/>
      <c r="B4021" s="3191"/>
      <c r="C4021" s="3191"/>
      <c r="D4021" s="2421"/>
      <c r="E4021" s="2421"/>
      <c r="F4021" s="2421"/>
      <c r="G4021" s="2421"/>
      <c r="H4021" s="2421"/>
      <c r="I4021" s="2421"/>
      <c r="J4021" s="2421"/>
      <c r="K4021" s="3488"/>
      <c r="L4021" s="1">
        <v>9900</v>
      </c>
      <c r="M4021" s="1"/>
      <c r="N4021" s="2432"/>
      <c r="O4021" s="1090">
        <v>231512</v>
      </c>
      <c r="P4021" s="1276" t="s">
        <v>1236</v>
      </c>
      <c r="Q4021" s="278"/>
      <c r="R4021" s="278"/>
      <c r="S4021" s="278"/>
      <c r="T4021" s="278">
        <v>2000</v>
      </c>
      <c r="U4021" s="278"/>
      <c r="V4021" s="278">
        <v>2000</v>
      </c>
      <c r="W4021" s="278"/>
      <c r="X4021" s="278">
        <v>4000</v>
      </c>
      <c r="Y4021" s="278"/>
      <c r="Z4021" s="278">
        <v>1900</v>
      </c>
      <c r="AA4021" s="278"/>
      <c r="AB4021" s="278"/>
      <c r="AC4021" s="278">
        <f t="shared" si="650"/>
        <v>9900</v>
      </c>
    </row>
    <row r="4022" spans="1:29" x14ac:dyDescent="0.2">
      <c r="A4022" s="179"/>
      <c r="B4022" s="3191"/>
      <c r="C4022" s="3191"/>
      <c r="D4022" s="2421"/>
      <c r="E4022" s="2421"/>
      <c r="F4022" s="2421"/>
      <c r="G4022" s="2421"/>
      <c r="H4022" s="2421"/>
      <c r="I4022" s="2421"/>
      <c r="J4022" s="2421"/>
      <c r="K4022" s="3488"/>
      <c r="L4022" s="1">
        <v>1491</v>
      </c>
      <c r="M4022" s="1"/>
      <c r="N4022" s="2432"/>
      <c r="O4022" s="1090">
        <v>231531</v>
      </c>
      <c r="P4022" s="1276" t="s">
        <v>1268</v>
      </c>
      <c r="Q4022" s="278"/>
      <c r="R4022" s="278"/>
      <c r="S4022" s="278"/>
      <c r="T4022" s="278">
        <v>491</v>
      </c>
      <c r="U4022" s="278">
        <v>500</v>
      </c>
      <c r="V4022" s="278"/>
      <c r="W4022" s="278">
        <v>500</v>
      </c>
      <c r="X4022" s="278"/>
      <c r="Y4022" s="278"/>
      <c r="Z4022" s="278"/>
      <c r="AA4022" s="278"/>
      <c r="AB4022" s="278"/>
      <c r="AC4022" s="278">
        <f t="shared" si="650"/>
        <v>1491</v>
      </c>
    </row>
    <row r="4023" spans="1:29" x14ac:dyDescent="0.2">
      <c r="A4023" s="179"/>
      <c r="B4023" s="3191"/>
      <c r="C4023" s="3191"/>
      <c r="D4023" s="2421"/>
      <c r="E4023" s="2421"/>
      <c r="F4023" s="2421"/>
      <c r="G4023" s="2421"/>
      <c r="H4023" s="2421"/>
      <c r="I4023" s="2421"/>
      <c r="J4023" s="2421"/>
      <c r="K4023" s="3488"/>
      <c r="L4023" s="1">
        <v>1000</v>
      </c>
      <c r="M4023" s="1"/>
      <c r="N4023" s="2432"/>
      <c r="O4023" s="1090">
        <v>231821</v>
      </c>
      <c r="P4023" s="1276" t="s">
        <v>1566</v>
      </c>
      <c r="Q4023" s="278"/>
      <c r="R4023" s="278"/>
      <c r="S4023" s="278"/>
      <c r="T4023" s="278"/>
      <c r="U4023" s="278">
        <v>1000</v>
      </c>
      <c r="V4023" s="278"/>
      <c r="W4023" s="278"/>
      <c r="X4023" s="278"/>
      <c r="Y4023" s="278"/>
      <c r="Z4023" s="278"/>
      <c r="AA4023" s="278"/>
      <c r="AB4023" s="278"/>
      <c r="AC4023" s="278">
        <f t="shared" si="650"/>
        <v>1000</v>
      </c>
    </row>
    <row r="4024" spans="1:29" x14ac:dyDescent="0.2">
      <c r="A4024" s="179"/>
      <c r="B4024" s="3191"/>
      <c r="C4024" s="3191"/>
      <c r="D4024" s="2421"/>
      <c r="E4024" s="2421"/>
      <c r="F4024" s="2421"/>
      <c r="G4024" s="2421"/>
      <c r="H4024" s="2421"/>
      <c r="I4024" s="2421"/>
      <c r="J4024" s="2421"/>
      <c r="K4024" s="3488"/>
      <c r="L4024" s="1">
        <v>25000</v>
      </c>
      <c r="M4024" s="1"/>
      <c r="N4024" s="2432"/>
      <c r="O4024" s="1090">
        <v>2319913</v>
      </c>
      <c r="P4024" s="1276" t="s">
        <v>1250</v>
      </c>
      <c r="Q4024" s="278"/>
      <c r="R4024" s="278"/>
      <c r="S4024" s="278">
        <v>5000</v>
      </c>
      <c r="T4024" s="278">
        <v>5000</v>
      </c>
      <c r="U4024" s="278"/>
      <c r="V4024" s="278">
        <v>5000</v>
      </c>
      <c r="W4024" s="278"/>
      <c r="X4024" s="278">
        <v>5000</v>
      </c>
      <c r="Y4024" s="278"/>
      <c r="Z4024" s="278">
        <v>5000</v>
      </c>
      <c r="AA4024" s="278"/>
      <c r="AB4024" s="278"/>
      <c r="AC4024" s="278">
        <f t="shared" si="650"/>
        <v>25000</v>
      </c>
    </row>
    <row r="4025" spans="1:29" x14ac:dyDescent="0.2">
      <c r="A4025" s="179"/>
      <c r="B4025" s="3191"/>
      <c r="C4025" s="3191"/>
      <c r="D4025" s="2421"/>
      <c r="E4025" s="2421"/>
      <c r="F4025" s="2421"/>
      <c r="G4025" s="2421"/>
      <c r="H4025" s="2421"/>
      <c r="I4025" s="2421"/>
      <c r="J4025" s="2421"/>
      <c r="K4025" s="3488"/>
      <c r="L4025" s="1">
        <v>7700</v>
      </c>
      <c r="M4025" s="1"/>
      <c r="N4025" s="2432"/>
      <c r="O4025" s="1090">
        <v>232121</v>
      </c>
      <c r="P4025" s="1276" t="s">
        <v>1238</v>
      </c>
      <c r="Q4025" s="278"/>
      <c r="R4025" s="278">
        <v>700</v>
      </c>
      <c r="S4025" s="278">
        <v>700</v>
      </c>
      <c r="T4025" s="278">
        <v>700</v>
      </c>
      <c r="U4025" s="278">
        <v>700</v>
      </c>
      <c r="V4025" s="278">
        <v>700</v>
      </c>
      <c r="W4025" s="278">
        <v>700</v>
      </c>
      <c r="X4025" s="278">
        <v>700</v>
      </c>
      <c r="Y4025" s="278">
        <v>700</v>
      </c>
      <c r="Z4025" s="278">
        <v>700</v>
      </c>
      <c r="AA4025" s="278">
        <v>700</v>
      </c>
      <c r="AB4025" s="278">
        <v>700</v>
      </c>
      <c r="AC4025" s="278">
        <f t="shared" si="650"/>
        <v>7700</v>
      </c>
    </row>
    <row r="4026" spans="1:29" x14ac:dyDescent="0.2">
      <c r="A4026" s="179"/>
      <c r="B4026" s="3191"/>
      <c r="C4026" s="3191"/>
      <c r="D4026" s="2421"/>
      <c r="E4026" s="2421"/>
      <c r="F4026" s="2421"/>
      <c r="G4026" s="2421"/>
      <c r="H4026" s="2421"/>
      <c r="I4026" s="2421"/>
      <c r="J4026" s="2421"/>
      <c r="K4026" s="3488"/>
      <c r="L4026" s="1">
        <v>98982</v>
      </c>
      <c r="M4026" s="1"/>
      <c r="N4026" s="2432"/>
      <c r="O4026" s="1090">
        <v>232122</v>
      </c>
      <c r="P4026" s="1276" t="s">
        <v>1240</v>
      </c>
      <c r="Q4026" s="278"/>
      <c r="R4026" s="278">
        <v>9000</v>
      </c>
      <c r="S4026" s="278">
        <v>9000</v>
      </c>
      <c r="T4026" s="278">
        <v>9000</v>
      </c>
      <c r="U4026" s="278">
        <v>9000</v>
      </c>
      <c r="V4026" s="278">
        <v>9000</v>
      </c>
      <c r="W4026" s="278">
        <v>9000</v>
      </c>
      <c r="X4026" s="278">
        <v>9000</v>
      </c>
      <c r="Y4026" s="278">
        <v>9000</v>
      </c>
      <c r="Z4026" s="278">
        <v>9000</v>
      </c>
      <c r="AA4026" s="278">
        <v>9000</v>
      </c>
      <c r="AB4026" s="278">
        <v>8982</v>
      </c>
      <c r="AC4026" s="278">
        <f t="shared" si="650"/>
        <v>98982</v>
      </c>
    </row>
    <row r="4027" spans="1:29" x14ac:dyDescent="0.2">
      <c r="A4027" s="179"/>
      <c r="B4027" s="3191"/>
      <c r="C4027" s="3191"/>
      <c r="D4027" s="2421"/>
      <c r="E4027" s="2421"/>
      <c r="F4027" s="2421"/>
      <c r="G4027" s="2421"/>
      <c r="H4027" s="2421"/>
      <c r="I4027" s="2421"/>
      <c r="J4027" s="2421"/>
      <c r="K4027" s="3488"/>
      <c r="L4027" s="1">
        <v>21000</v>
      </c>
      <c r="M4027" s="1"/>
      <c r="N4027" s="2432"/>
      <c r="O4027" s="1090">
        <v>2321299</v>
      </c>
      <c r="P4027" s="1276" t="s">
        <v>1279</v>
      </c>
      <c r="Q4027" s="278"/>
      <c r="R4027" s="278"/>
      <c r="S4027" s="278">
        <v>2000</v>
      </c>
      <c r="T4027" s="278">
        <v>2000</v>
      </c>
      <c r="U4027" s="278">
        <v>2000</v>
      </c>
      <c r="V4027" s="278">
        <v>2000</v>
      </c>
      <c r="W4027" s="278">
        <v>2000</v>
      </c>
      <c r="X4027" s="278">
        <v>2000</v>
      </c>
      <c r="Y4027" s="278">
        <v>2000</v>
      </c>
      <c r="Z4027" s="278">
        <v>2000</v>
      </c>
      <c r="AA4027" s="278">
        <v>2000</v>
      </c>
      <c r="AB4027" s="278">
        <v>3000</v>
      </c>
      <c r="AC4027" s="278">
        <f t="shared" si="650"/>
        <v>21000</v>
      </c>
    </row>
    <row r="4028" spans="1:29" x14ac:dyDescent="0.2">
      <c r="A4028" s="179"/>
      <c r="B4028" s="3191"/>
      <c r="C4028" s="3191"/>
      <c r="D4028" s="2421"/>
      <c r="E4028" s="2421"/>
      <c r="F4028" s="2421"/>
      <c r="G4028" s="2421"/>
      <c r="H4028" s="2421"/>
      <c r="I4028" s="2421"/>
      <c r="J4028" s="2421"/>
      <c r="K4028" s="3488"/>
      <c r="L4028" s="1">
        <v>12000</v>
      </c>
      <c r="M4028" s="1"/>
      <c r="N4028" s="2432"/>
      <c r="O4028" s="1090">
        <v>232244</v>
      </c>
      <c r="P4028" s="1276" t="s">
        <v>1242</v>
      </c>
      <c r="Q4028" s="278"/>
      <c r="R4028" s="278"/>
      <c r="S4028" s="278">
        <v>1200</v>
      </c>
      <c r="T4028" s="278">
        <v>1200</v>
      </c>
      <c r="U4028" s="278">
        <v>1200</v>
      </c>
      <c r="V4028" s="278">
        <v>1200</v>
      </c>
      <c r="W4028" s="278">
        <v>1200</v>
      </c>
      <c r="X4028" s="278">
        <v>1200</v>
      </c>
      <c r="Y4028" s="278">
        <v>1200</v>
      </c>
      <c r="Z4028" s="278">
        <v>1200</v>
      </c>
      <c r="AA4028" s="278">
        <v>1200</v>
      </c>
      <c r="AB4028" s="278">
        <v>1200</v>
      </c>
      <c r="AC4028" s="278">
        <f t="shared" si="650"/>
        <v>12000</v>
      </c>
    </row>
    <row r="4029" spans="1:29" x14ac:dyDescent="0.2">
      <c r="A4029" s="179"/>
      <c r="B4029" s="3191"/>
      <c r="C4029" s="3191"/>
      <c r="D4029" s="2421"/>
      <c r="E4029" s="2421"/>
      <c r="F4029" s="2421"/>
      <c r="G4029" s="2421"/>
      <c r="H4029" s="2421"/>
      <c r="I4029" s="2421"/>
      <c r="J4029" s="2421"/>
      <c r="K4029" s="3488"/>
      <c r="L4029" s="1">
        <v>1000</v>
      </c>
      <c r="M4029" s="1"/>
      <c r="N4029" s="2432"/>
      <c r="O4029" s="1090">
        <v>232415</v>
      </c>
      <c r="P4029" s="1276" t="s">
        <v>1254</v>
      </c>
      <c r="Q4029" s="278"/>
      <c r="R4029" s="278"/>
      <c r="S4029" s="278">
        <v>200</v>
      </c>
      <c r="T4029" s="278"/>
      <c r="U4029" s="278">
        <v>200</v>
      </c>
      <c r="V4029" s="278"/>
      <c r="W4029" s="278">
        <v>200</v>
      </c>
      <c r="X4029" s="278"/>
      <c r="Y4029" s="278">
        <v>200</v>
      </c>
      <c r="Z4029" s="278"/>
      <c r="AA4029" s="278">
        <v>200</v>
      </c>
      <c r="AB4029" s="278"/>
      <c r="AC4029" s="278">
        <f t="shared" si="650"/>
        <v>1000</v>
      </c>
    </row>
    <row r="4030" spans="1:29" x14ac:dyDescent="0.2">
      <c r="A4030" s="179"/>
      <c r="B4030" s="3191"/>
      <c r="C4030" s="3191"/>
      <c r="D4030" s="2421"/>
      <c r="E4030" s="2421"/>
      <c r="F4030" s="2421"/>
      <c r="G4030" s="2421"/>
      <c r="H4030" s="2421"/>
      <c r="I4030" s="2421"/>
      <c r="J4030" s="2421"/>
      <c r="K4030" s="3488"/>
      <c r="L4030" s="1">
        <v>18538</v>
      </c>
      <c r="M4030" s="1"/>
      <c r="N4030" s="2432"/>
      <c r="O4030" s="1090">
        <v>2327101</v>
      </c>
      <c r="P4030" s="1276" t="s">
        <v>1308</v>
      </c>
      <c r="Q4030" s="278"/>
      <c r="R4030" s="278"/>
      <c r="S4030" s="278"/>
      <c r="T4030" s="278">
        <v>3000</v>
      </c>
      <c r="U4030" s="278"/>
      <c r="V4030" s="278">
        <v>3000</v>
      </c>
      <c r="W4030" s="278">
        <v>3000</v>
      </c>
      <c r="X4030" s="278"/>
      <c r="Y4030" s="278">
        <v>3000</v>
      </c>
      <c r="Z4030" s="278"/>
      <c r="AA4030" s="278">
        <v>3000</v>
      </c>
      <c r="AB4030" s="278">
        <v>3538</v>
      </c>
      <c r="AC4030" s="278">
        <f t="shared" si="650"/>
        <v>18538</v>
      </c>
    </row>
    <row r="4031" spans="1:29" x14ac:dyDescent="0.2">
      <c r="A4031" s="179"/>
      <c r="B4031" s="3191"/>
      <c r="C4031" s="3191"/>
      <c r="D4031" s="2421"/>
      <c r="E4031" s="2421"/>
      <c r="F4031" s="2421"/>
      <c r="G4031" s="2421"/>
      <c r="H4031" s="2421"/>
      <c r="I4031" s="2421"/>
      <c r="J4031" s="2421"/>
      <c r="K4031" s="3488"/>
      <c r="L4031" s="1">
        <v>17736</v>
      </c>
      <c r="M4031" s="1"/>
      <c r="N4031" s="2432"/>
      <c r="O4031" s="1090">
        <v>232811</v>
      </c>
      <c r="P4031" s="1276" t="s">
        <v>1331</v>
      </c>
      <c r="Q4031" s="278">
        <f>+L4031/12</f>
        <v>1478</v>
      </c>
      <c r="R4031" s="278">
        <v>1478</v>
      </c>
      <c r="S4031" s="278">
        <v>1478</v>
      </c>
      <c r="T4031" s="278">
        <v>1478</v>
      </c>
      <c r="U4031" s="278">
        <v>1478</v>
      </c>
      <c r="V4031" s="278">
        <v>1478</v>
      </c>
      <c r="W4031" s="278">
        <v>1478</v>
      </c>
      <c r="X4031" s="278">
        <v>1478</v>
      </c>
      <c r="Y4031" s="278">
        <v>1478</v>
      </c>
      <c r="Z4031" s="278">
        <v>1478</v>
      </c>
      <c r="AA4031" s="278">
        <v>1478</v>
      </c>
      <c r="AB4031" s="278">
        <v>1478</v>
      </c>
      <c r="AC4031" s="278">
        <f t="shared" si="650"/>
        <v>17736</v>
      </c>
    </row>
    <row r="4032" spans="1:29" x14ac:dyDescent="0.2">
      <c r="A4032" s="179"/>
      <c r="B4032" s="2439"/>
      <c r="C4032" s="2439"/>
      <c r="D4032" s="2421"/>
      <c r="E4032" s="2421"/>
      <c r="F4032" s="2421"/>
      <c r="G4032" s="2421"/>
      <c r="H4032" s="2421"/>
      <c r="I4032" s="2421"/>
      <c r="J4032" s="2421">
        <v>52</v>
      </c>
      <c r="K4032" s="3488" t="e">
        <f>+#REF!</f>
        <v>#REF!</v>
      </c>
      <c r="L4032" s="1">
        <v>1596</v>
      </c>
      <c r="M4032" s="1"/>
      <c r="N4032" s="2437"/>
      <c r="O4032" s="1090">
        <v>232812</v>
      </c>
      <c r="P4032" s="1276" t="s">
        <v>1333</v>
      </c>
      <c r="Q4032" s="278">
        <f>+L4032/12</f>
        <v>133</v>
      </c>
      <c r="R4032" s="278">
        <v>133</v>
      </c>
      <c r="S4032" s="278">
        <v>133</v>
      </c>
      <c r="T4032" s="278">
        <v>133</v>
      </c>
      <c r="U4032" s="278">
        <v>133</v>
      </c>
      <c r="V4032" s="278">
        <v>133</v>
      </c>
      <c r="W4032" s="278">
        <v>133</v>
      </c>
      <c r="X4032" s="278">
        <v>133</v>
      </c>
      <c r="Y4032" s="278">
        <v>133</v>
      </c>
      <c r="Z4032" s="278">
        <v>133</v>
      </c>
      <c r="AA4032" s="278">
        <v>133</v>
      </c>
      <c r="AB4032" s="278">
        <v>133</v>
      </c>
      <c r="AC4032" s="274">
        <f>SUM(Q4032:AB4032)</f>
        <v>1596</v>
      </c>
    </row>
    <row r="4033" spans="1:29" s="289" customFormat="1" x14ac:dyDescent="0.2">
      <c r="A4033" s="540"/>
      <c r="B4033" s="3474" t="s">
        <v>312</v>
      </c>
      <c r="C4033" s="3475"/>
      <c r="D4033" s="3475"/>
      <c r="E4033" s="3475"/>
      <c r="F4033" s="3475"/>
      <c r="G4033" s="3475"/>
      <c r="H4033" s="3475"/>
      <c r="I4033" s="3475"/>
      <c r="J4033" s="3475"/>
      <c r="K4033" s="3475"/>
      <c r="L4033" s="284">
        <f>+SUM(L4017:L4032)</f>
        <v>296146</v>
      </c>
      <c r="M4033" s="284"/>
      <c r="N4033" s="285"/>
      <c r="O4033" s="1148"/>
      <c r="P4033" s="286"/>
      <c r="Q4033" s="287"/>
      <c r="R4033" s="288"/>
      <c r="S4033" s="287"/>
      <c r="T4033" s="288"/>
      <c r="U4033" s="287"/>
      <c r="V4033" s="288"/>
      <c r="W4033" s="287"/>
      <c r="X4033" s="288"/>
      <c r="Y4033" s="287"/>
      <c r="Z4033" s="288"/>
      <c r="AA4033" s="287"/>
      <c r="AB4033" s="288"/>
      <c r="AC4033" s="287"/>
    </row>
    <row r="4034" spans="1:29" x14ac:dyDescent="0.2">
      <c r="A4034" s="179"/>
      <c r="B4034" s="2999" t="s">
        <v>20</v>
      </c>
      <c r="C4034" s="2847" t="s">
        <v>21</v>
      </c>
      <c r="D4034" s="2847" t="s">
        <v>22</v>
      </c>
      <c r="E4034" s="2847" t="s">
        <v>23</v>
      </c>
      <c r="F4034" s="2847" t="s">
        <v>24</v>
      </c>
      <c r="G4034" s="2847" t="s">
        <v>25</v>
      </c>
      <c r="H4034" s="2847" t="s">
        <v>26</v>
      </c>
      <c r="I4034" s="2847" t="s">
        <v>27</v>
      </c>
      <c r="J4034" s="2986" t="s">
        <v>28</v>
      </c>
      <c r="K4034" s="2987"/>
      <c r="L4034" s="2986" t="s">
        <v>1628</v>
      </c>
      <c r="M4034" s="2987"/>
      <c r="N4034" s="2988" t="s">
        <v>29</v>
      </c>
      <c r="O4034" s="2986" t="s">
        <v>30</v>
      </c>
      <c r="P4034" s="2987"/>
      <c r="Q4034" s="3489" t="s">
        <v>31</v>
      </c>
      <c r="R4034" s="3490"/>
      <c r="S4034" s="3490"/>
      <c r="T4034" s="3490"/>
      <c r="U4034" s="3490"/>
      <c r="V4034" s="3490"/>
      <c r="W4034" s="3490"/>
      <c r="X4034" s="3490"/>
      <c r="Y4034" s="3490"/>
      <c r="Z4034" s="3490"/>
      <c r="AA4034" s="3490"/>
      <c r="AB4034" s="3491"/>
      <c r="AC4034" s="3479" t="s">
        <v>32</v>
      </c>
    </row>
    <row r="4035" spans="1:29" x14ac:dyDescent="0.2">
      <c r="A4035" s="179"/>
      <c r="B4035" s="2999"/>
      <c r="C4035" s="2847"/>
      <c r="D4035" s="2847"/>
      <c r="E4035" s="2847"/>
      <c r="F4035" s="2847"/>
      <c r="G4035" s="2847"/>
      <c r="H4035" s="2847"/>
      <c r="I4035" s="2847"/>
      <c r="J4035" s="1017" t="s">
        <v>33</v>
      </c>
      <c r="K4035" s="1017" t="s">
        <v>34</v>
      </c>
      <c r="L4035" s="306" t="s">
        <v>1513</v>
      </c>
      <c r="M4035" s="306" t="s">
        <v>1514</v>
      </c>
      <c r="N4035" s="2989"/>
      <c r="O4035" s="3000"/>
      <c r="P4035" s="3001"/>
      <c r="Q4035" s="1111" t="s">
        <v>35</v>
      </c>
      <c r="R4035" s="1111" t="s">
        <v>36</v>
      </c>
      <c r="S4035" s="1111" t="s">
        <v>37</v>
      </c>
      <c r="T4035" s="1111" t="s">
        <v>38</v>
      </c>
      <c r="U4035" s="1111" t="s">
        <v>39</v>
      </c>
      <c r="V4035" s="1111" t="s">
        <v>40</v>
      </c>
      <c r="W4035" s="1111" t="s">
        <v>41</v>
      </c>
      <c r="X4035" s="1111" t="s">
        <v>42</v>
      </c>
      <c r="Y4035" s="1111" t="s">
        <v>43</v>
      </c>
      <c r="Z4035" s="1111" t="s">
        <v>44</v>
      </c>
      <c r="AA4035" s="1111" t="s">
        <v>45</v>
      </c>
      <c r="AB4035" s="1111" t="s">
        <v>46</v>
      </c>
      <c r="AC4035" s="3479"/>
    </row>
    <row r="4036" spans="1:29" x14ac:dyDescent="0.2">
      <c r="A4036" s="179"/>
      <c r="B4036" s="3190" t="s">
        <v>1693</v>
      </c>
      <c r="C4036" s="3493" t="s">
        <v>1694</v>
      </c>
      <c r="D4036" s="2421"/>
      <c r="E4036" s="2421" t="s">
        <v>48</v>
      </c>
      <c r="F4036" s="2421" t="s">
        <v>1695</v>
      </c>
      <c r="G4036" s="2421" t="s">
        <v>1696</v>
      </c>
      <c r="H4036" s="2421"/>
      <c r="I4036" s="2421" t="s">
        <v>1519</v>
      </c>
      <c r="J4036" s="3483">
        <v>12</v>
      </c>
      <c r="K4036" s="3497">
        <v>683693</v>
      </c>
      <c r="L4036" s="542"/>
      <c r="M4036" s="542"/>
      <c r="N4036" s="3500" t="s">
        <v>1697</v>
      </c>
      <c r="O4036" s="3188" t="s">
        <v>51</v>
      </c>
      <c r="P4036" s="3189"/>
      <c r="Q4036" s="1111">
        <v>1</v>
      </c>
      <c r="R4036" s="1111">
        <v>1</v>
      </c>
      <c r="S4036" s="1111">
        <v>1</v>
      </c>
      <c r="T4036" s="1111">
        <v>1</v>
      </c>
      <c r="U4036" s="1111">
        <v>1</v>
      </c>
      <c r="V4036" s="1111">
        <v>1</v>
      </c>
      <c r="W4036" s="1111">
        <v>1</v>
      </c>
      <c r="X4036" s="1111">
        <v>1</v>
      </c>
      <c r="Y4036" s="1111">
        <v>1</v>
      </c>
      <c r="Z4036" s="1111">
        <v>1</v>
      </c>
      <c r="AA4036" s="1111">
        <v>1</v>
      </c>
      <c r="AB4036" s="1111">
        <v>1</v>
      </c>
      <c r="AC4036" s="1111">
        <f>SUM(Q4036:AB4036)</f>
        <v>12</v>
      </c>
    </row>
    <row r="4037" spans="1:29" x14ac:dyDescent="0.2">
      <c r="A4037" s="179"/>
      <c r="B4037" s="3191"/>
      <c r="C4037" s="3494"/>
      <c r="D4037" s="2421"/>
      <c r="E4037" s="2421"/>
      <c r="F4037" s="2421"/>
      <c r="G4037" s="2421"/>
      <c r="H4037" s="2421"/>
      <c r="I4037" s="2421"/>
      <c r="J4037" s="3483"/>
      <c r="K4037" s="3483"/>
      <c r="L4037" s="1"/>
      <c r="M4037" s="1"/>
      <c r="N4037" s="3501"/>
      <c r="O4037" s="2840" t="s">
        <v>1340</v>
      </c>
      <c r="P4037" s="2840"/>
      <c r="Q4037" s="274">
        <f>+SUM(Q4038:Q4045)</f>
        <v>55519.083333333336</v>
      </c>
      <c r="R4037" s="274">
        <f t="shared" ref="R4037:AC4037" si="654">+SUM(R4038:R4045)</f>
        <v>55519.083333333336</v>
      </c>
      <c r="S4037" s="274">
        <f t="shared" si="654"/>
        <v>61919.083333333336</v>
      </c>
      <c r="T4037" s="274">
        <f t="shared" si="654"/>
        <v>55519.083333333336</v>
      </c>
      <c r="U4037" s="274">
        <f t="shared" si="654"/>
        <v>55519.083333333336</v>
      </c>
      <c r="V4037" s="274">
        <f t="shared" si="654"/>
        <v>61051.083333333336</v>
      </c>
      <c r="W4037" s="274">
        <f t="shared" si="654"/>
        <v>55519.083333333336</v>
      </c>
      <c r="X4037" s="274">
        <f t="shared" si="654"/>
        <v>55519.083333333336</v>
      </c>
      <c r="Y4037" s="274">
        <f t="shared" si="654"/>
        <v>55519.083333333336</v>
      </c>
      <c r="Z4037" s="274">
        <f t="shared" si="654"/>
        <v>55519.083333333336</v>
      </c>
      <c r="AA4037" s="274">
        <f t="shared" si="654"/>
        <v>55519.083333333336</v>
      </c>
      <c r="AB4037" s="274">
        <f t="shared" si="654"/>
        <v>61051.083333333336</v>
      </c>
      <c r="AC4037" s="274">
        <f t="shared" si="654"/>
        <v>683693</v>
      </c>
    </row>
    <row r="4038" spans="1:29" x14ac:dyDescent="0.2">
      <c r="A4038" s="179"/>
      <c r="B4038" s="3191"/>
      <c r="C4038" s="3494"/>
      <c r="D4038" s="2421"/>
      <c r="E4038" s="2421"/>
      <c r="F4038" s="2421"/>
      <c r="G4038" s="2421"/>
      <c r="H4038" s="2421"/>
      <c r="I4038" s="2421"/>
      <c r="J4038" s="3483"/>
      <c r="K4038" s="3483"/>
      <c r="L4038" s="1">
        <v>150318</v>
      </c>
      <c r="M4038" s="1"/>
      <c r="N4038" s="3501"/>
      <c r="O4038" s="1115">
        <v>211112</v>
      </c>
      <c r="P4038" s="913" t="s">
        <v>1698</v>
      </c>
      <c r="Q4038" s="278">
        <v>12526.5</v>
      </c>
      <c r="R4038" s="278">
        <v>12526.5</v>
      </c>
      <c r="S4038" s="278">
        <v>12526.5</v>
      </c>
      <c r="T4038" s="278">
        <v>12526.5</v>
      </c>
      <c r="U4038" s="278">
        <v>12526.5</v>
      </c>
      <c r="V4038" s="278">
        <v>12526.5</v>
      </c>
      <c r="W4038" s="278">
        <v>12526.5</v>
      </c>
      <c r="X4038" s="278">
        <v>12526.5</v>
      </c>
      <c r="Y4038" s="278">
        <v>12526.5</v>
      </c>
      <c r="Z4038" s="278">
        <v>12526.5</v>
      </c>
      <c r="AA4038" s="278">
        <v>12526.5</v>
      </c>
      <c r="AB4038" s="278">
        <v>12526.5</v>
      </c>
      <c r="AC4038" s="278">
        <f>+SUM(Q4038:AB4038)</f>
        <v>150318</v>
      </c>
    </row>
    <row r="4039" spans="1:29" x14ac:dyDescent="0.2">
      <c r="A4039" s="179"/>
      <c r="B4039" s="3191"/>
      <c r="C4039" s="3494"/>
      <c r="D4039" s="2421"/>
      <c r="E4039" s="2421"/>
      <c r="F4039" s="2421"/>
      <c r="G4039" s="2421"/>
      <c r="H4039" s="2421"/>
      <c r="I4039" s="2421"/>
      <c r="J4039" s="3483"/>
      <c r="K4039" s="3483"/>
      <c r="L4039" s="1">
        <v>19245</v>
      </c>
      <c r="M4039" s="1"/>
      <c r="N4039" s="3501"/>
      <c r="O4039" s="1115">
        <v>211113</v>
      </c>
      <c r="P4039" s="913" t="s">
        <v>1698</v>
      </c>
      <c r="Q4039" s="278">
        <v>1603.75</v>
      </c>
      <c r="R4039" s="278">
        <v>1603.75</v>
      </c>
      <c r="S4039" s="278">
        <v>1603.75</v>
      </c>
      <c r="T4039" s="278">
        <v>1603.75</v>
      </c>
      <c r="U4039" s="278">
        <v>1603.75</v>
      </c>
      <c r="V4039" s="278">
        <v>1603.75</v>
      </c>
      <c r="W4039" s="278">
        <v>1603.75</v>
      </c>
      <c r="X4039" s="278">
        <v>1603.75</v>
      </c>
      <c r="Y4039" s="278">
        <v>1603.75</v>
      </c>
      <c r="Z4039" s="278">
        <v>1603.75</v>
      </c>
      <c r="AA4039" s="278">
        <v>1603.75</v>
      </c>
      <c r="AB4039" s="278">
        <v>1603.75</v>
      </c>
      <c r="AC4039" s="278">
        <f t="shared" ref="AC4039:AC4045" si="655">+SUM(Q4039:AB4039)</f>
        <v>19245</v>
      </c>
    </row>
    <row r="4040" spans="1:29" x14ac:dyDescent="0.2">
      <c r="A4040" s="179"/>
      <c r="B4040" s="3191"/>
      <c r="C4040" s="3494"/>
      <c r="D4040" s="2421"/>
      <c r="E4040" s="2421"/>
      <c r="F4040" s="2421"/>
      <c r="G4040" s="2421"/>
      <c r="H4040" s="2421"/>
      <c r="I4040" s="2421"/>
      <c r="J4040" s="3483"/>
      <c r="K4040" s="3483"/>
      <c r="L4040" s="1">
        <v>351824</v>
      </c>
      <c r="M4040" s="1"/>
      <c r="N4040" s="3501"/>
      <c r="O4040" s="1115">
        <v>211121</v>
      </c>
      <c r="P4040" s="913" t="s">
        <v>1699</v>
      </c>
      <c r="Q4040" s="278">
        <v>29318.666666666668</v>
      </c>
      <c r="R4040" s="278">
        <v>29318.666666666668</v>
      </c>
      <c r="S4040" s="278">
        <v>29318.666666666668</v>
      </c>
      <c r="T4040" s="278">
        <v>29318.666666666668</v>
      </c>
      <c r="U4040" s="278">
        <v>29318.666666666668</v>
      </c>
      <c r="V4040" s="278">
        <v>29318.666666666668</v>
      </c>
      <c r="W4040" s="278">
        <v>29318.666666666668</v>
      </c>
      <c r="X4040" s="278">
        <v>29318.666666666668</v>
      </c>
      <c r="Y4040" s="278">
        <v>29318.666666666668</v>
      </c>
      <c r="Z4040" s="278">
        <v>29318.666666666668</v>
      </c>
      <c r="AA4040" s="278">
        <v>29318.666666666668</v>
      </c>
      <c r="AB4040" s="278">
        <v>29318.666666666668</v>
      </c>
      <c r="AC4040" s="278">
        <f t="shared" si="655"/>
        <v>351824.00000000006</v>
      </c>
    </row>
    <row r="4041" spans="1:29" x14ac:dyDescent="0.2">
      <c r="A4041" s="179"/>
      <c r="B4041" s="3191"/>
      <c r="C4041" s="3494"/>
      <c r="D4041" s="2421"/>
      <c r="E4041" s="2421"/>
      <c r="F4041" s="2421"/>
      <c r="G4041" s="2421"/>
      <c r="H4041" s="2421"/>
      <c r="I4041" s="2421"/>
      <c r="J4041" s="3483"/>
      <c r="K4041" s="3483"/>
      <c r="L4041" s="1">
        <v>10464</v>
      </c>
      <c r="M4041" s="1"/>
      <c r="N4041" s="3501"/>
      <c r="O4041" s="1115">
        <v>211912</v>
      </c>
      <c r="P4041" s="913" t="s">
        <v>1674</v>
      </c>
      <c r="Q4041" s="278">
        <v>0</v>
      </c>
      <c r="R4041" s="278">
        <v>0</v>
      </c>
      <c r="S4041" s="278">
        <v>0</v>
      </c>
      <c r="T4041" s="278">
        <v>0</v>
      </c>
      <c r="U4041" s="278">
        <v>0</v>
      </c>
      <c r="V4041" s="278">
        <v>5232</v>
      </c>
      <c r="W4041" s="278">
        <v>0</v>
      </c>
      <c r="X4041" s="278">
        <v>0</v>
      </c>
      <c r="Y4041" s="278">
        <v>0</v>
      </c>
      <c r="Z4041" s="278">
        <v>0</v>
      </c>
      <c r="AA4041" s="278">
        <v>0</v>
      </c>
      <c r="AB4041" s="278">
        <v>5232</v>
      </c>
      <c r="AC4041" s="278">
        <f t="shared" si="655"/>
        <v>10464</v>
      </c>
    </row>
    <row r="4042" spans="1:29" x14ac:dyDescent="0.2">
      <c r="A4042" s="179"/>
      <c r="B4042" s="3191"/>
      <c r="C4042" s="3494"/>
      <c r="D4042" s="2421"/>
      <c r="E4042" s="2421"/>
      <c r="F4042" s="2421"/>
      <c r="G4042" s="2421"/>
      <c r="H4042" s="2421"/>
      <c r="I4042" s="2421"/>
      <c r="J4042" s="3483"/>
      <c r="K4042" s="3483"/>
      <c r="L4042" s="1">
        <v>6400</v>
      </c>
      <c r="M4042" s="1"/>
      <c r="N4042" s="3501"/>
      <c r="O4042" s="1115">
        <v>211913</v>
      </c>
      <c r="P4042" s="913" t="s">
        <v>1674</v>
      </c>
      <c r="Q4042" s="278">
        <v>0</v>
      </c>
      <c r="R4042" s="278">
        <v>0</v>
      </c>
      <c r="S4042" s="278">
        <v>6400</v>
      </c>
      <c r="T4042" s="278">
        <v>0</v>
      </c>
      <c r="U4042" s="278">
        <v>0</v>
      </c>
      <c r="V4042" s="278">
        <v>0</v>
      </c>
      <c r="W4042" s="278">
        <v>0</v>
      </c>
      <c r="X4042" s="278">
        <v>0</v>
      </c>
      <c r="Y4042" s="278">
        <v>0</v>
      </c>
      <c r="Z4042" s="278">
        <v>0</v>
      </c>
      <c r="AA4042" s="278">
        <v>0</v>
      </c>
      <c r="AB4042" s="278">
        <v>0</v>
      </c>
      <c r="AC4042" s="278">
        <f t="shared" si="655"/>
        <v>6400</v>
      </c>
    </row>
    <row r="4043" spans="1:29" x14ac:dyDescent="0.2">
      <c r="A4043" s="179"/>
      <c r="B4043" s="3191"/>
      <c r="C4043" s="3494"/>
      <c r="D4043" s="2421"/>
      <c r="E4043" s="2421"/>
      <c r="F4043" s="2421"/>
      <c r="G4043" s="2421"/>
      <c r="H4043" s="2421"/>
      <c r="I4043" s="2421"/>
      <c r="J4043" s="3483"/>
      <c r="K4043" s="3483"/>
      <c r="L4043" s="1">
        <v>15782</v>
      </c>
      <c r="M4043" s="1"/>
      <c r="N4043" s="3501"/>
      <c r="O4043" s="1115">
        <v>213115</v>
      </c>
      <c r="P4043" s="913" t="s">
        <v>1700</v>
      </c>
      <c r="Q4043" s="278">
        <v>1315.1666666666667</v>
      </c>
      <c r="R4043" s="278">
        <v>1315.1666666666667</v>
      </c>
      <c r="S4043" s="278">
        <v>1315.1666666666667</v>
      </c>
      <c r="T4043" s="278">
        <v>1315.1666666666667</v>
      </c>
      <c r="U4043" s="278">
        <v>1315.1666666666667</v>
      </c>
      <c r="V4043" s="278">
        <v>1315.1666666666667</v>
      </c>
      <c r="W4043" s="278">
        <v>1315.1666666666667</v>
      </c>
      <c r="X4043" s="278">
        <v>1315.1666666666667</v>
      </c>
      <c r="Y4043" s="278">
        <v>1315.1666666666667</v>
      </c>
      <c r="Z4043" s="278">
        <v>1315.1666666666667</v>
      </c>
      <c r="AA4043" s="278">
        <v>1315.1666666666667</v>
      </c>
      <c r="AB4043" s="278">
        <v>1315.1666666666667</v>
      </c>
      <c r="AC4043" s="278">
        <f t="shared" si="655"/>
        <v>15781.999999999998</v>
      </c>
    </row>
    <row r="4044" spans="1:29" x14ac:dyDescent="0.2">
      <c r="A4044" s="179"/>
      <c r="B4044" s="3191"/>
      <c r="C4044" s="3494"/>
      <c r="D4044" s="2421"/>
      <c r="E4044" s="2421"/>
      <c r="F4044" s="2421"/>
      <c r="G4044" s="2421"/>
      <c r="H4044" s="2421"/>
      <c r="I4044" s="2421"/>
      <c r="J4044" s="3483"/>
      <c r="K4044" s="3483"/>
      <c r="L4044" s="1">
        <v>119400</v>
      </c>
      <c r="M4044" s="1"/>
      <c r="N4044" s="3501"/>
      <c r="O4044" s="1115">
        <v>232811</v>
      </c>
      <c r="P4044" s="913" t="s">
        <v>1331</v>
      </c>
      <c r="Q4044" s="278">
        <v>9900</v>
      </c>
      <c r="R4044" s="278">
        <v>9900</v>
      </c>
      <c r="S4044" s="278">
        <v>9900</v>
      </c>
      <c r="T4044" s="278">
        <v>9900</v>
      </c>
      <c r="U4044" s="278">
        <v>9900</v>
      </c>
      <c r="V4044" s="278">
        <v>10200</v>
      </c>
      <c r="W4044" s="278">
        <v>9900</v>
      </c>
      <c r="X4044" s="278">
        <v>9900</v>
      </c>
      <c r="Y4044" s="278">
        <v>9900</v>
      </c>
      <c r="Z4044" s="278">
        <v>9900</v>
      </c>
      <c r="AA4044" s="278">
        <v>9900</v>
      </c>
      <c r="AB4044" s="278">
        <v>10200</v>
      </c>
      <c r="AC4044" s="278">
        <f t="shared" si="655"/>
        <v>119400</v>
      </c>
    </row>
    <row r="4045" spans="1:29" x14ac:dyDescent="0.2">
      <c r="A4045" s="179"/>
      <c r="B4045" s="2439"/>
      <c r="C4045" s="3495"/>
      <c r="D4045" s="2421"/>
      <c r="E4045" s="2421"/>
      <c r="F4045" s="2421"/>
      <c r="G4045" s="2421"/>
      <c r="H4045" s="2421"/>
      <c r="I4045" s="2421"/>
      <c r="J4045" s="3483"/>
      <c r="K4045" s="3483"/>
      <c r="L4045" s="1">
        <v>10260</v>
      </c>
      <c r="M4045" s="1"/>
      <c r="N4045" s="3492"/>
      <c r="O4045" s="1115">
        <v>232812</v>
      </c>
      <c r="P4045" s="913" t="s">
        <v>1331</v>
      </c>
      <c r="Q4045" s="278">
        <v>855</v>
      </c>
      <c r="R4045" s="278">
        <v>855</v>
      </c>
      <c r="S4045" s="278">
        <v>855</v>
      </c>
      <c r="T4045" s="278">
        <v>855</v>
      </c>
      <c r="U4045" s="278">
        <v>855</v>
      </c>
      <c r="V4045" s="278">
        <v>855</v>
      </c>
      <c r="W4045" s="278">
        <v>855</v>
      </c>
      <c r="X4045" s="278">
        <v>855</v>
      </c>
      <c r="Y4045" s="278">
        <v>855</v>
      </c>
      <c r="Z4045" s="278">
        <v>855</v>
      </c>
      <c r="AA4045" s="278">
        <v>855</v>
      </c>
      <c r="AB4045" s="278">
        <v>855</v>
      </c>
      <c r="AC4045" s="278">
        <f t="shared" si="655"/>
        <v>10260</v>
      </c>
    </row>
    <row r="4046" spans="1:29" s="289" customFormat="1" x14ac:dyDescent="0.2">
      <c r="A4046" s="540"/>
      <c r="B4046" s="3474" t="s">
        <v>312</v>
      </c>
      <c r="C4046" s="3475"/>
      <c r="D4046" s="3475"/>
      <c r="E4046" s="3475"/>
      <c r="F4046" s="3475"/>
      <c r="G4046" s="3475"/>
      <c r="H4046" s="3475"/>
      <c r="I4046" s="3475"/>
      <c r="J4046" s="3475"/>
      <c r="K4046" s="3475"/>
      <c r="L4046" s="284">
        <f>+SUM(L4038:L4045)</f>
        <v>683693</v>
      </c>
      <c r="M4046" s="284"/>
      <c r="N4046" s="285"/>
      <c r="O4046" s="1148"/>
      <c r="P4046" s="286"/>
      <c r="Q4046" s="287"/>
      <c r="R4046" s="288"/>
      <c r="S4046" s="287"/>
      <c r="T4046" s="288"/>
      <c r="U4046" s="287"/>
      <c r="V4046" s="288"/>
      <c r="W4046" s="287"/>
      <c r="X4046" s="288"/>
      <c r="Y4046" s="287"/>
      <c r="Z4046" s="288"/>
      <c r="AA4046" s="287"/>
      <c r="AB4046" s="288"/>
      <c r="AC4046" s="287"/>
    </row>
    <row r="4047" spans="1:29" x14ac:dyDescent="0.2">
      <c r="A4047" s="179"/>
      <c r="B4047" s="2999" t="s">
        <v>20</v>
      </c>
      <c r="C4047" s="2847" t="s">
        <v>21</v>
      </c>
      <c r="D4047" s="2847" t="s">
        <v>22</v>
      </c>
      <c r="E4047" s="2847" t="s">
        <v>23</v>
      </c>
      <c r="F4047" s="2847" t="s">
        <v>24</v>
      </c>
      <c r="G4047" s="2847" t="s">
        <v>25</v>
      </c>
      <c r="H4047" s="2847" t="s">
        <v>26</v>
      </c>
      <c r="I4047" s="2847" t="s">
        <v>27</v>
      </c>
      <c r="J4047" s="2986" t="s">
        <v>28</v>
      </c>
      <c r="K4047" s="2987"/>
      <c r="L4047" s="2986" t="s">
        <v>1628</v>
      </c>
      <c r="M4047" s="2987"/>
      <c r="N4047" s="2988" t="s">
        <v>29</v>
      </c>
      <c r="O4047" s="2986" t="s">
        <v>30</v>
      </c>
      <c r="P4047" s="2987"/>
      <c r="Q4047" s="3489" t="s">
        <v>31</v>
      </c>
      <c r="R4047" s="3490"/>
      <c r="S4047" s="3490"/>
      <c r="T4047" s="3490"/>
      <c r="U4047" s="3490"/>
      <c r="V4047" s="3490"/>
      <c r="W4047" s="3490"/>
      <c r="X4047" s="3490"/>
      <c r="Y4047" s="3490"/>
      <c r="Z4047" s="3490"/>
      <c r="AA4047" s="3490"/>
      <c r="AB4047" s="3491"/>
      <c r="AC4047" s="3479" t="s">
        <v>32</v>
      </c>
    </row>
    <row r="4048" spans="1:29" x14ac:dyDescent="0.2">
      <c r="A4048" s="179"/>
      <c r="B4048" s="2999"/>
      <c r="C4048" s="2847"/>
      <c r="D4048" s="2847"/>
      <c r="E4048" s="2847"/>
      <c r="F4048" s="2847"/>
      <c r="G4048" s="2847"/>
      <c r="H4048" s="2847"/>
      <c r="I4048" s="2847"/>
      <c r="J4048" s="1017" t="s">
        <v>33</v>
      </c>
      <c r="K4048" s="1017" t="s">
        <v>34</v>
      </c>
      <c r="L4048" s="306" t="s">
        <v>1513</v>
      </c>
      <c r="M4048" s="306" t="s">
        <v>1514</v>
      </c>
      <c r="N4048" s="2989"/>
      <c r="O4048" s="3000"/>
      <c r="P4048" s="3001"/>
      <c r="Q4048" s="1111" t="s">
        <v>35</v>
      </c>
      <c r="R4048" s="1111" t="s">
        <v>36</v>
      </c>
      <c r="S4048" s="1111" t="s">
        <v>37</v>
      </c>
      <c r="T4048" s="1111" t="s">
        <v>38</v>
      </c>
      <c r="U4048" s="1111" t="s">
        <v>39</v>
      </c>
      <c r="V4048" s="1111" t="s">
        <v>40</v>
      </c>
      <c r="W4048" s="1111" t="s">
        <v>41</v>
      </c>
      <c r="X4048" s="1111" t="s">
        <v>42</v>
      </c>
      <c r="Y4048" s="1111" t="s">
        <v>43</v>
      </c>
      <c r="Z4048" s="1111" t="s">
        <v>44</v>
      </c>
      <c r="AA4048" s="1111" t="s">
        <v>45</v>
      </c>
      <c r="AB4048" s="1111" t="s">
        <v>46</v>
      </c>
      <c r="AC4048" s="3479"/>
    </row>
    <row r="4049" spans="1:29" x14ac:dyDescent="0.2">
      <c r="A4049" s="179"/>
      <c r="B4049" s="3190" t="s">
        <v>1701</v>
      </c>
      <c r="C4049" s="2421" t="s">
        <v>1702</v>
      </c>
      <c r="D4049" s="2421"/>
      <c r="E4049" s="2421" t="s">
        <v>1517</v>
      </c>
      <c r="F4049" s="2421" t="s">
        <v>1630</v>
      </c>
      <c r="G4049" s="2421" t="s">
        <v>1685</v>
      </c>
      <c r="H4049" s="2421"/>
      <c r="I4049" s="2421" t="s">
        <v>1636</v>
      </c>
      <c r="J4049" s="2421">
        <v>35000</v>
      </c>
      <c r="K4049" s="3496">
        <v>125310</v>
      </c>
      <c r="L4049" s="1"/>
      <c r="M4049" s="542"/>
      <c r="N4049" s="3297" t="s">
        <v>1632</v>
      </c>
      <c r="O4049" s="1111" t="s">
        <v>51</v>
      </c>
      <c r="P4049" s="1111"/>
      <c r="Q4049" s="1111">
        <v>2916</v>
      </c>
      <c r="R4049" s="1111">
        <v>2916</v>
      </c>
      <c r="S4049" s="1111">
        <v>2919</v>
      </c>
      <c r="T4049" s="1111">
        <v>2916</v>
      </c>
      <c r="U4049" s="1111">
        <v>2916</v>
      </c>
      <c r="V4049" s="1111">
        <v>2916</v>
      </c>
      <c r="W4049" s="1111">
        <v>2916</v>
      </c>
      <c r="X4049" s="1111">
        <v>2919</v>
      </c>
      <c r="Y4049" s="1111">
        <v>2916</v>
      </c>
      <c r="Z4049" s="1111">
        <v>2916</v>
      </c>
      <c r="AA4049" s="1111">
        <v>2916</v>
      </c>
      <c r="AB4049" s="1111">
        <v>2918</v>
      </c>
      <c r="AC4049" s="1111">
        <f>SUM(Q4049:AB4049)</f>
        <v>35000</v>
      </c>
    </row>
    <row r="4050" spans="1:29" x14ac:dyDescent="0.2">
      <c r="A4050" s="179"/>
      <c r="B4050" s="3191"/>
      <c r="C4050" s="2421"/>
      <c r="D4050" s="2421"/>
      <c r="E4050" s="2421"/>
      <c r="F4050" s="2421"/>
      <c r="G4050" s="2421"/>
      <c r="H4050" s="2421"/>
      <c r="I4050" s="2421"/>
      <c r="J4050" s="2421"/>
      <c r="K4050" s="2421"/>
      <c r="L4050" s="1"/>
      <c r="M4050" s="1"/>
      <c r="N4050" s="3298"/>
      <c r="O4050" s="2840" t="s">
        <v>1340</v>
      </c>
      <c r="P4050" s="2840"/>
      <c r="Q4050" s="274">
        <f>+SUM(Q4051:Q4054)</f>
        <v>10442.5</v>
      </c>
      <c r="R4050" s="274">
        <f t="shared" ref="R4050:AC4050" si="656">+SUM(R4051:R4054)</f>
        <v>10442.5</v>
      </c>
      <c r="S4050" s="274">
        <f t="shared" si="656"/>
        <v>10442.5</v>
      </c>
      <c r="T4050" s="274">
        <f t="shared" si="656"/>
        <v>10442.5</v>
      </c>
      <c r="U4050" s="274">
        <f t="shared" si="656"/>
        <v>10442.5</v>
      </c>
      <c r="V4050" s="274">
        <f t="shared" si="656"/>
        <v>10442.5</v>
      </c>
      <c r="W4050" s="274">
        <f t="shared" si="656"/>
        <v>10442.5</v>
      </c>
      <c r="X4050" s="274">
        <f t="shared" si="656"/>
        <v>10442.5</v>
      </c>
      <c r="Y4050" s="274">
        <f t="shared" si="656"/>
        <v>10442.5</v>
      </c>
      <c r="Z4050" s="274">
        <f t="shared" si="656"/>
        <v>10442.5</v>
      </c>
      <c r="AA4050" s="274">
        <f t="shared" si="656"/>
        <v>10442.5</v>
      </c>
      <c r="AB4050" s="274">
        <f t="shared" si="656"/>
        <v>10442.5</v>
      </c>
      <c r="AC4050" s="274">
        <f t="shared" si="656"/>
        <v>125310</v>
      </c>
    </row>
    <row r="4051" spans="1:29" x14ac:dyDescent="0.2">
      <c r="A4051" s="179"/>
      <c r="B4051" s="3191"/>
      <c r="C4051" s="2421"/>
      <c r="D4051" s="2421"/>
      <c r="E4051" s="2421"/>
      <c r="F4051" s="2421"/>
      <c r="G4051" s="2421"/>
      <c r="H4051" s="2421"/>
      <c r="I4051" s="2421"/>
      <c r="J4051" s="2421"/>
      <c r="K4051" s="2421"/>
      <c r="L4051" s="1">
        <v>2451</v>
      </c>
      <c r="M4051" s="1"/>
      <c r="N4051" s="3298"/>
      <c r="O4051" s="1115">
        <v>231111</v>
      </c>
      <c r="P4051" s="913" t="s">
        <v>1306</v>
      </c>
      <c r="Q4051" s="278">
        <v>204.25</v>
      </c>
      <c r="R4051" s="278">
        <v>204.25</v>
      </c>
      <c r="S4051" s="278">
        <v>204.25</v>
      </c>
      <c r="T4051" s="278">
        <v>204.25</v>
      </c>
      <c r="U4051" s="278">
        <v>204.25</v>
      </c>
      <c r="V4051" s="278">
        <v>204.25</v>
      </c>
      <c r="W4051" s="278">
        <v>204.25</v>
      </c>
      <c r="X4051" s="278">
        <v>204.25</v>
      </c>
      <c r="Y4051" s="278">
        <v>204.25</v>
      </c>
      <c r="Z4051" s="278">
        <v>204.25</v>
      </c>
      <c r="AA4051" s="278">
        <v>204.25</v>
      </c>
      <c r="AB4051" s="278">
        <v>204.25</v>
      </c>
      <c r="AC4051" s="278">
        <f>+SUM(Q4051:AB4051)</f>
        <v>2451</v>
      </c>
    </row>
    <row r="4052" spans="1:29" x14ac:dyDescent="0.2">
      <c r="A4052" s="179"/>
      <c r="B4052" s="3191"/>
      <c r="C4052" s="2421"/>
      <c r="D4052" s="2421"/>
      <c r="E4052" s="2421"/>
      <c r="F4052" s="2421"/>
      <c r="G4052" s="2421"/>
      <c r="H4052" s="2421"/>
      <c r="I4052" s="2421"/>
      <c r="J4052" s="2421"/>
      <c r="K4052" s="2421"/>
      <c r="L4052" s="1">
        <v>1247</v>
      </c>
      <c r="M4052" s="1"/>
      <c r="N4052" s="3298"/>
      <c r="O4052" s="1115">
        <v>231212</v>
      </c>
      <c r="P4052" s="913" t="s">
        <v>1556</v>
      </c>
      <c r="Q4052" s="278">
        <v>103.91666666666667</v>
      </c>
      <c r="R4052" s="278">
        <v>103.91666666666667</v>
      </c>
      <c r="S4052" s="278">
        <v>103.91666666666667</v>
      </c>
      <c r="T4052" s="278">
        <v>103.91666666666667</v>
      </c>
      <c r="U4052" s="278">
        <v>103.91666666666667</v>
      </c>
      <c r="V4052" s="278">
        <v>103.91666666666667</v>
      </c>
      <c r="W4052" s="278">
        <v>103.91666666666667</v>
      </c>
      <c r="X4052" s="278">
        <v>103.91666666666667</v>
      </c>
      <c r="Y4052" s="278">
        <v>103.91666666666667</v>
      </c>
      <c r="Z4052" s="278">
        <v>103.91666666666667</v>
      </c>
      <c r="AA4052" s="278">
        <v>103.91666666666667</v>
      </c>
      <c r="AB4052" s="278">
        <v>103.91666666666667</v>
      </c>
      <c r="AC4052" s="278">
        <f>+SUM(Q4052:AB4052)</f>
        <v>1247</v>
      </c>
    </row>
    <row r="4053" spans="1:29" x14ac:dyDescent="0.2">
      <c r="A4053" s="179"/>
      <c r="B4053" s="3191"/>
      <c r="C4053" s="2421"/>
      <c r="D4053" s="2421"/>
      <c r="E4053" s="2421"/>
      <c r="F4053" s="2421"/>
      <c r="G4053" s="2421"/>
      <c r="H4053" s="2421"/>
      <c r="I4053" s="2421"/>
      <c r="J4053" s="2421"/>
      <c r="K4053" s="2421"/>
      <c r="L4053" s="1">
        <v>110667</v>
      </c>
      <c r="M4053" s="1"/>
      <c r="N4053" s="3298"/>
      <c r="O4053" s="1115">
        <v>232811</v>
      </c>
      <c r="P4053" s="913" t="s">
        <v>1331</v>
      </c>
      <c r="Q4053" s="278">
        <v>9222.25</v>
      </c>
      <c r="R4053" s="278">
        <v>9222.25</v>
      </c>
      <c r="S4053" s="278">
        <v>9222.25</v>
      </c>
      <c r="T4053" s="278">
        <v>9222.25</v>
      </c>
      <c r="U4053" s="278">
        <v>9222.25</v>
      </c>
      <c r="V4053" s="278">
        <v>9222.25</v>
      </c>
      <c r="W4053" s="278">
        <v>9222.25</v>
      </c>
      <c r="X4053" s="278">
        <v>9222.25</v>
      </c>
      <c r="Y4053" s="278">
        <v>9222.25</v>
      </c>
      <c r="Z4053" s="278">
        <v>9222.25</v>
      </c>
      <c r="AA4053" s="278">
        <v>9222.25</v>
      </c>
      <c r="AB4053" s="278">
        <v>9222.25</v>
      </c>
      <c r="AC4053" s="278">
        <f>+SUM(Q4053:AB4053)</f>
        <v>110667</v>
      </c>
    </row>
    <row r="4054" spans="1:29" x14ac:dyDescent="0.2">
      <c r="A4054" s="179"/>
      <c r="B4054" s="2439"/>
      <c r="C4054" s="2421"/>
      <c r="D4054" s="2421"/>
      <c r="E4054" s="2421"/>
      <c r="F4054" s="2421"/>
      <c r="G4054" s="2421"/>
      <c r="H4054" s="2421"/>
      <c r="I4054" s="2421"/>
      <c r="J4054" s="2421"/>
      <c r="K4054" s="2421"/>
      <c r="L4054" s="1">
        <v>10945</v>
      </c>
      <c r="M4054" s="1"/>
      <c r="N4054" s="3299"/>
      <c r="O4054" s="1115">
        <v>232812</v>
      </c>
      <c r="P4054" s="913" t="s">
        <v>1333</v>
      </c>
      <c r="Q4054" s="278">
        <v>912.08333333333337</v>
      </c>
      <c r="R4054" s="278">
        <v>912.08333333333337</v>
      </c>
      <c r="S4054" s="278">
        <v>912.08333333333337</v>
      </c>
      <c r="T4054" s="278">
        <v>912.08333333333337</v>
      </c>
      <c r="U4054" s="278">
        <v>912.08333333333337</v>
      </c>
      <c r="V4054" s="278">
        <v>912.08333333333337</v>
      </c>
      <c r="W4054" s="278">
        <v>912.08333333333337</v>
      </c>
      <c r="X4054" s="278">
        <v>912.08333333333337</v>
      </c>
      <c r="Y4054" s="278">
        <v>912.08333333333337</v>
      </c>
      <c r="Z4054" s="278">
        <v>912.08333333333337</v>
      </c>
      <c r="AA4054" s="278">
        <v>912.08333333333337</v>
      </c>
      <c r="AB4054" s="278">
        <v>912.08333333333337</v>
      </c>
      <c r="AC4054" s="278">
        <f>+SUM(Q4054:AB4054)</f>
        <v>10945.000000000002</v>
      </c>
    </row>
    <row r="4055" spans="1:29" s="289" customFormat="1" x14ac:dyDescent="0.2">
      <c r="A4055" s="540"/>
      <c r="B4055" s="3474" t="s">
        <v>312</v>
      </c>
      <c r="C4055" s="3475"/>
      <c r="D4055" s="3475"/>
      <c r="E4055" s="3475"/>
      <c r="F4055" s="3475"/>
      <c r="G4055" s="3475"/>
      <c r="H4055" s="3475"/>
      <c r="I4055" s="3475"/>
      <c r="J4055" s="3475"/>
      <c r="K4055" s="3475"/>
      <c r="L4055" s="284">
        <f>+SUM(L4051:L4054)</f>
        <v>125310</v>
      </c>
      <c r="M4055" s="284"/>
      <c r="N4055" s="285"/>
      <c r="O4055" s="1148"/>
      <c r="P4055" s="286"/>
      <c r="Q4055" s="287"/>
      <c r="R4055" s="288"/>
      <c r="S4055" s="287"/>
      <c r="T4055" s="288"/>
      <c r="U4055" s="287"/>
      <c r="V4055" s="288"/>
      <c r="W4055" s="287"/>
      <c r="X4055" s="288"/>
      <c r="Y4055" s="287"/>
      <c r="Z4055" s="288"/>
      <c r="AA4055" s="287"/>
      <c r="AB4055" s="288"/>
      <c r="AC4055" s="287"/>
    </row>
    <row r="4056" spans="1:29" x14ac:dyDescent="0.2">
      <c r="A4056" s="179"/>
      <c r="B4056" s="2999" t="s">
        <v>20</v>
      </c>
      <c r="C4056" s="2847" t="s">
        <v>21</v>
      </c>
      <c r="D4056" s="2847" t="s">
        <v>22</v>
      </c>
      <c r="E4056" s="2847" t="s">
        <v>23</v>
      </c>
      <c r="F4056" s="2847" t="s">
        <v>24</v>
      </c>
      <c r="G4056" s="2847" t="s">
        <v>25</v>
      </c>
      <c r="H4056" s="2847" t="s">
        <v>26</v>
      </c>
      <c r="I4056" s="2847" t="s">
        <v>27</v>
      </c>
      <c r="J4056" s="2986" t="s">
        <v>28</v>
      </c>
      <c r="K4056" s="2987"/>
      <c r="L4056" s="2986" t="s">
        <v>1628</v>
      </c>
      <c r="M4056" s="2987"/>
      <c r="N4056" s="2988" t="s">
        <v>29</v>
      </c>
      <c r="O4056" s="2986" t="s">
        <v>30</v>
      </c>
      <c r="P4056" s="2987"/>
      <c r="Q4056" s="3489" t="s">
        <v>31</v>
      </c>
      <c r="R4056" s="3490"/>
      <c r="S4056" s="3490"/>
      <c r="T4056" s="3490"/>
      <c r="U4056" s="3490"/>
      <c r="V4056" s="3490"/>
      <c r="W4056" s="3490"/>
      <c r="X4056" s="3490"/>
      <c r="Y4056" s="3490"/>
      <c r="Z4056" s="3490"/>
      <c r="AA4056" s="3490"/>
      <c r="AB4056" s="3491"/>
      <c r="AC4056" s="3479" t="s">
        <v>32</v>
      </c>
    </row>
    <row r="4057" spans="1:29" x14ac:dyDescent="0.2">
      <c r="A4057" s="179"/>
      <c r="B4057" s="2999"/>
      <c r="C4057" s="2847"/>
      <c r="D4057" s="2847"/>
      <c r="E4057" s="2847"/>
      <c r="F4057" s="2847"/>
      <c r="G4057" s="2847"/>
      <c r="H4057" s="2847"/>
      <c r="I4057" s="2847"/>
      <c r="J4057" s="1017" t="s">
        <v>33</v>
      </c>
      <c r="K4057" s="1017" t="s">
        <v>34</v>
      </c>
      <c r="L4057" s="306" t="s">
        <v>1513</v>
      </c>
      <c r="M4057" s="306" t="s">
        <v>1514</v>
      </c>
      <c r="N4057" s="2989"/>
      <c r="O4057" s="3000"/>
      <c r="P4057" s="3001"/>
      <c r="Q4057" s="1111" t="s">
        <v>35</v>
      </c>
      <c r="R4057" s="1111" t="s">
        <v>36</v>
      </c>
      <c r="S4057" s="1111" t="s">
        <v>37</v>
      </c>
      <c r="T4057" s="1111" t="s">
        <v>38</v>
      </c>
      <c r="U4057" s="1111" t="s">
        <v>39</v>
      </c>
      <c r="V4057" s="1111" t="s">
        <v>40</v>
      </c>
      <c r="W4057" s="1111" t="s">
        <v>41</v>
      </c>
      <c r="X4057" s="1111" t="s">
        <v>42</v>
      </c>
      <c r="Y4057" s="1111" t="s">
        <v>43</v>
      </c>
      <c r="Z4057" s="1111" t="s">
        <v>44</v>
      </c>
      <c r="AA4057" s="1111" t="s">
        <v>45</v>
      </c>
      <c r="AB4057" s="1111" t="s">
        <v>46</v>
      </c>
      <c r="AC4057" s="3479"/>
    </row>
    <row r="4058" spans="1:29" x14ac:dyDescent="0.2">
      <c r="A4058" s="179"/>
      <c r="B4058" s="3190" t="s">
        <v>1703</v>
      </c>
      <c r="C4058" s="3190" t="s">
        <v>1704</v>
      </c>
      <c r="D4058" s="2421"/>
      <c r="E4058" s="2421" t="s">
        <v>1517</v>
      </c>
      <c r="F4058" s="2421" t="s">
        <v>1630</v>
      </c>
      <c r="G4058" s="2421" t="s">
        <v>1685</v>
      </c>
      <c r="H4058" s="2421"/>
      <c r="I4058" s="2421" t="s">
        <v>1705</v>
      </c>
      <c r="J4058" s="3483">
        <v>10889</v>
      </c>
      <c r="K4058" s="3497">
        <v>1148988</v>
      </c>
      <c r="L4058" s="1"/>
      <c r="M4058" s="542"/>
      <c r="N4058" s="3500" t="s">
        <v>1706</v>
      </c>
      <c r="O4058" s="1111" t="s">
        <v>51</v>
      </c>
      <c r="P4058" s="1111"/>
      <c r="Q4058" s="1111">
        <v>907</v>
      </c>
      <c r="R4058" s="1111">
        <v>907</v>
      </c>
      <c r="S4058" s="1111">
        <v>907</v>
      </c>
      <c r="T4058" s="1111">
        <v>907</v>
      </c>
      <c r="U4058" s="1111">
        <v>907</v>
      </c>
      <c r="V4058" s="1111">
        <v>907</v>
      </c>
      <c r="W4058" s="1111">
        <v>909</v>
      </c>
      <c r="X4058" s="1111">
        <v>907</v>
      </c>
      <c r="Y4058" s="1111">
        <v>907</v>
      </c>
      <c r="Z4058" s="1111">
        <v>907</v>
      </c>
      <c r="AA4058" s="1111">
        <v>907</v>
      </c>
      <c r="AB4058" s="1111">
        <v>910</v>
      </c>
      <c r="AC4058" s="1111">
        <f>SUM(Q4058:AB4058)</f>
        <v>10889</v>
      </c>
    </row>
    <row r="4059" spans="1:29" x14ac:dyDescent="0.2">
      <c r="A4059" s="179"/>
      <c r="B4059" s="3191"/>
      <c r="C4059" s="3191"/>
      <c r="D4059" s="2421"/>
      <c r="E4059" s="2421"/>
      <c r="F4059" s="2421"/>
      <c r="G4059" s="2421"/>
      <c r="H4059" s="2421"/>
      <c r="I4059" s="2421"/>
      <c r="J4059" s="3483"/>
      <c r="K4059" s="3483"/>
      <c r="L4059" s="1"/>
      <c r="M4059" s="1"/>
      <c r="N4059" s="3501"/>
      <c r="O4059" s="2840" t="s">
        <v>1340</v>
      </c>
      <c r="P4059" s="2840"/>
      <c r="Q4059" s="274">
        <f>+SUM(Q4060:Q4072)</f>
        <v>95748.999999999985</v>
      </c>
      <c r="R4059" s="274">
        <f t="shared" ref="R4059:AC4059" si="657">+SUM(R4060:R4072)</f>
        <v>95748.999999999985</v>
      </c>
      <c r="S4059" s="274">
        <f t="shared" si="657"/>
        <v>95748.999999999985</v>
      </c>
      <c r="T4059" s="274">
        <f t="shared" si="657"/>
        <v>95748.999999999985</v>
      </c>
      <c r="U4059" s="274">
        <f t="shared" si="657"/>
        <v>95748.999999999985</v>
      </c>
      <c r="V4059" s="274">
        <f t="shared" si="657"/>
        <v>95748.999999999985</v>
      </c>
      <c r="W4059" s="274">
        <f t="shared" si="657"/>
        <v>95748.999999999985</v>
      </c>
      <c r="X4059" s="274">
        <f t="shared" si="657"/>
        <v>95748.999999999985</v>
      </c>
      <c r="Y4059" s="274">
        <f t="shared" si="657"/>
        <v>95748.999999999985</v>
      </c>
      <c r="Z4059" s="274">
        <f t="shared" si="657"/>
        <v>95748.999999999985</v>
      </c>
      <c r="AA4059" s="274">
        <f t="shared" si="657"/>
        <v>95748.999999999985</v>
      </c>
      <c r="AB4059" s="274">
        <f t="shared" si="657"/>
        <v>95748.999999999985</v>
      </c>
      <c r="AC4059" s="274">
        <f t="shared" si="657"/>
        <v>1148988</v>
      </c>
    </row>
    <row r="4060" spans="1:29" x14ac:dyDescent="0.2">
      <c r="A4060" s="179"/>
      <c r="B4060" s="3191"/>
      <c r="C4060" s="3191"/>
      <c r="D4060" s="2421"/>
      <c r="E4060" s="2421"/>
      <c r="F4060" s="2421"/>
      <c r="G4060" s="2421"/>
      <c r="H4060" s="2421"/>
      <c r="I4060" s="2421"/>
      <c r="J4060" s="3483"/>
      <c r="K4060" s="3483"/>
      <c r="L4060" s="1">
        <v>352482</v>
      </c>
      <c r="M4060" s="1"/>
      <c r="N4060" s="3501"/>
      <c r="O4060" s="1115">
        <v>211311</v>
      </c>
      <c r="P4060" s="913" t="s">
        <v>1535</v>
      </c>
      <c r="Q4060" s="278">
        <v>29373.5</v>
      </c>
      <c r="R4060" s="278">
        <v>29373.5</v>
      </c>
      <c r="S4060" s="278">
        <v>29373.5</v>
      </c>
      <c r="T4060" s="278">
        <v>29373.5</v>
      </c>
      <c r="U4060" s="278">
        <v>29373.5</v>
      </c>
      <c r="V4060" s="278">
        <v>29373.5</v>
      </c>
      <c r="W4060" s="278">
        <v>29373.5</v>
      </c>
      <c r="X4060" s="278">
        <v>29373.5</v>
      </c>
      <c r="Y4060" s="278">
        <v>29373.5</v>
      </c>
      <c r="Z4060" s="278">
        <v>29373.5</v>
      </c>
      <c r="AA4060" s="278">
        <v>29373.5</v>
      </c>
      <c r="AB4060" s="278">
        <v>29373.5</v>
      </c>
      <c r="AC4060" s="278">
        <f t="shared" ref="AC4060:AC4072" si="658">+SUM(Q4060:AB4060)</f>
        <v>352482</v>
      </c>
    </row>
    <row r="4061" spans="1:29" x14ac:dyDescent="0.2">
      <c r="A4061" s="179"/>
      <c r="B4061" s="3191"/>
      <c r="C4061" s="3191"/>
      <c r="D4061" s="2421"/>
      <c r="E4061" s="2421"/>
      <c r="F4061" s="2421"/>
      <c r="G4061" s="2421"/>
      <c r="H4061" s="2421"/>
      <c r="I4061" s="2421"/>
      <c r="J4061" s="3483"/>
      <c r="K4061" s="3483"/>
      <c r="L4061" s="1">
        <v>65442</v>
      </c>
      <c r="M4061" s="1"/>
      <c r="N4061" s="3501"/>
      <c r="O4061" s="1115">
        <v>211312</v>
      </c>
      <c r="P4061" s="913" t="s">
        <v>1641</v>
      </c>
      <c r="Q4061" s="278">
        <v>5453.5</v>
      </c>
      <c r="R4061" s="278">
        <v>5453.5</v>
      </c>
      <c r="S4061" s="278">
        <v>5453.5</v>
      </c>
      <c r="T4061" s="278">
        <v>5453.5</v>
      </c>
      <c r="U4061" s="278">
        <v>5453.5</v>
      </c>
      <c r="V4061" s="278">
        <v>5453.5</v>
      </c>
      <c r="W4061" s="278">
        <v>5453.5</v>
      </c>
      <c r="X4061" s="278">
        <v>5453.5</v>
      </c>
      <c r="Y4061" s="278">
        <v>5453.5</v>
      </c>
      <c r="Z4061" s="278">
        <v>5453.5</v>
      </c>
      <c r="AA4061" s="278">
        <v>5453.5</v>
      </c>
      <c r="AB4061" s="278">
        <v>5453.5</v>
      </c>
      <c r="AC4061" s="278">
        <f t="shared" si="658"/>
        <v>65442</v>
      </c>
    </row>
    <row r="4062" spans="1:29" x14ac:dyDescent="0.2">
      <c r="A4062" s="179"/>
      <c r="B4062" s="3191"/>
      <c r="C4062" s="3191"/>
      <c r="D4062" s="2421"/>
      <c r="E4062" s="2421"/>
      <c r="F4062" s="2421"/>
      <c r="G4062" s="2421"/>
      <c r="H4062" s="2421"/>
      <c r="I4062" s="2421"/>
      <c r="J4062" s="3483"/>
      <c r="K4062" s="3483"/>
      <c r="L4062" s="1">
        <v>169896</v>
      </c>
      <c r="M4062" s="1"/>
      <c r="N4062" s="3501"/>
      <c r="O4062" s="1115">
        <v>211321</v>
      </c>
      <c r="P4062" s="913" t="s">
        <v>1535</v>
      </c>
      <c r="Q4062" s="278">
        <v>14158</v>
      </c>
      <c r="R4062" s="278">
        <v>14158</v>
      </c>
      <c r="S4062" s="278">
        <v>14158</v>
      </c>
      <c r="T4062" s="278">
        <v>14158</v>
      </c>
      <c r="U4062" s="278">
        <v>14158</v>
      </c>
      <c r="V4062" s="278">
        <v>14158</v>
      </c>
      <c r="W4062" s="278">
        <v>14158</v>
      </c>
      <c r="X4062" s="278">
        <v>14158</v>
      </c>
      <c r="Y4062" s="278">
        <v>14158</v>
      </c>
      <c r="Z4062" s="278">
        <v>14158</v>
      </c>
      <c r="AA4062" s="278">
        <v>14158</v>
      </c>
      <c r="AB4062" s="278">
        <v>14158</v>
      </c>
      <c r="AC4062" s="278">
        <f t="shared" si="658"/>
        <v>169896</v>
      </c>
    </row>
    <row r="4063" spans="1:29" x14ac:dyDescent="0.2">
      <c r="A4063" s="179"/>
      <c r="B4063" s="3191"/>
      <c r="C4063" s="3191"/>
      <c r="D4063" s="2421"/>
      <c r="E4063" s="2421"/>
      <c r="F4063" s="2421"/>
      <c r="G4063" s="2421"/>
      <c r="H4063" s="2421"/>
      <c r="I4063" s="2421"/>
      <c r="J4063" s="3483"/>
      <c r="K4063" s="3483"/>
      <c r="L4063" s="1">
        <v>20688</v>
      </c>
      <c r="M4063" s="1"/>
      <c r="N4063" s="3501"/>
      <c r="O4063" s="1115">
        <v>211322</v>
      </c>
      <c r="P4063" s="913" t="s">
        <v>1641</v>
      </c>
      <c r="Q4063" s="278">
        <v>1724</v>
      </c>
      <c r="R4063" s="278">
        <v>1724</v>
      </c>
      <c r="S4063" s="278">
        <v>1724</v>
      </c>
      <c r="T4063" s="278">
        <v>1724</v>
      </c>
      <c r="U4063" s="278">
        <v>1724</v>
      </c>
      <c r="V4063" s="278">
        <v>1724</v>
      </c>
      <c r="W4063" s="278">
        <v>1724</v>
      </c>
      <c r="X4063" s="278">
        <v>1724</v>
      </c>
      <c r="Y4063" s="278">
        <v>1724</v>
      </c>
      <c r="Z4063" s="278">
        <v>1724</v>
      </c>
      <c r="AA4063" s="278">
        <v>1724</v>
      </c>
      <c r="AB4063" s="278">
        <v>1724</v>
      </c>
      <c r="AC4063" s="278">
        <f t="shared" si="658"/>
        <v>20688</v>
      </c>
    </row>
    <row r="4064" spans="1:29" x14ac:dyDescent="0.2">
      <c r="A4064" s="179"/>
      <c r="B4064" s="3191"/>
      <c r="C4064" s="3191"/>
      <c r="D4064" s="2421"/>
      <c r="E4064" s="2421"/>
      <c r="F4064" s="2421"/>
      <c r="G4064" s="2421"/>
      <c r="H4064" s="2421"/>
      <c r="I4064" s="2421"/>
      <c r="J4064" s="3483"/>
      <c r="K4064" s="3483"/>
      <c r="L4064" s="1">
        <v>300587</v>
      </c>
      <c r="M4064" s="1"/>
      <c r="N4064" s="3501"/>
      <c r="O4064" s="1115">
        <v>211331</v>
      </c>
      <c r="P4064" s="913" t="s">
        <v>1538</v>
      </c>
      <c r="Q4064" s="278">
        <v>25048.916666666668</v>
      </c>
      <c r="R4064" s="278">
        <v>25048.916666666668</v>
      </c>
      <c r="S4064" s="278">
        <v>25048.916666666668</v>
      </c>
      <c r="T4064" s="278">
        <v>25048.916666666668</v>
      </c>
      <c r="U4064" s="278">
        <v>25048.916666666668</v>
      </c>
      <c r="V4064" s="278">
        <v>25048.916666666668</v>
      </c>
      <c r="W4064" s="278">
        <v>25048.916666666668</v>
      </c>
      <c r="X4064" s="278">
        <v>25048.916666666668</v>
      </c>
      <c r="Y4064" s="278">
        <v>25048.916666666668</v>
      </c>
      <c r="Z4064" s="278">
        <v>25048.916666666668</v>
      </c>
      <c r="AA4064" s="278">
        <v>25048.916666666668</v>
      </c>
      <c r="AB4064" s="278">
        <v>25048.916666666668</v>
      </c>
      <c r="AC4064" s="278">
        <f t="shared" si="658"/>
        <v>300587</v>
      </c>
    </row>
    <row r="4065" spans="1:29" x14ac:dyDescent="0.2">
      <c r="A4065" s="179"/>
      <c r="B4065" s="3191"/>
      <c r="C4065" s="3191"/>
      <c r="D4065" s="2421"/>
      <c r="E4065" s="2421"/>
      <c r="F4065" s="2421"/>
      <c r="G4065" s="2421"/>
      <c r="H4065" s="2421"/>
      <c r="I4065" s="2421"/>
      <c r="J4065" s="3483"/>
      <c r="K4065" s="3483"/>
      <c r="L4065" s="1">
        <v>59064</v>
      </c>
      <c r="M4065" s="1"/>
      <c r="N4065" s="3501"/>
      <c r="O4065" s="1115">
        <v>2113399</v>
      </c>
      <c r="P4065" s="913" t="s">
        <v>1699</v>
      </c>
      <c r="Q4065" s="278">
        <v>4922</v>
      </c>
      <c r="R4065" s="278">
        <v>4922</v>
      </c>
      <c r="S4065" s="278">
        <v>4922</v>
      </c>
      <c r="T4065" s="278">
        <v>4922</v>
      </c>
      <c r="U4065" s="278">
        <v>4922</v>
      </c>
      <c r="V4065" s="278">
        <v>4922</v>
      </c>
      <c r="W4065" s="278">
        <v>4922</v>
      </c>
      <c r="X4065" s="278">
        <v>4922</v>
      </c>
      <c r="Y4065" s="278">
        <v>4922</v>
      </c>
      <c r="Z4065" s="278">
        <v>4922</v>
      </c>
      <c r="AA4065" s="278">
        <v>4922</v>
      </c>
      <c r="AB4065" s="278">
        <v>4922</v>
      </c>
      <c r="AC4065" s="278">
        <f t="shared" si="658"/>
        <v>59064</v>
      </c>
    </row>
    <row r="4066" spans="1:29" x14ac:dyDescent="0.2">
      <c r="A4066" s="179"/>
      <c r="B4066" s="3191"/>
      <c r="C4066" s="3191"/>
      <c r="D4066" s="2421"/>
      <c r="E4066" s="2421"/>
      <c r="F4066" s="2421"/>
      <c r="G4066" s="2421"/>
      <c r="H4066" s="2421"/>
      <c r="I4066" s="2421"/>
      <c r="J4066" s="3483"/>
      <c r="K4066" s="3483"/>
      <c r="L4066" s="1">
        <v>14388</v>
      </c>
      <c r="M4066" s="1"/>
      <c r="N4066" s="3501"/>
      <c r="O4066" s="1115">
        <v>211912</v>
      </c>
      <c r="P4066" s="913" t="s">
        <v>1321</v>
      </c>
      <c r="Q4066" s="278">
        <v>1199</v>
      </c>
      <c r="R4066" s="278">
        <v>1199</v>
      </c>
      <c r="S4066" s="278">
        <v>1199</v>
      </c>
      <c r="T4066" s="278">
        <v>1199</v>
      </c>
      <c r="U4066" s="278">
        <v>1199</v>
      </c>
      <c r="V4066" s="278">
        <v>1199</v>
      </c>
      <c r="W4066" s="278">
        <v>1199</v>
      </c>
      <c r="X4066" s="278">
        <v>1199</v>
      </c>
      <c r="Y4066" s="278">
        <v>1199</v>
      </c>
      <c r="Z4066" s="278">
        <v>1199</v>
      </c>
      <c r="AA4066" s="278">
        <v>1199</v>
      </c>
      <c r="AB4066" s="278">
        <v>1199</v>
      </c>
      <c r="AC4066" s="278">
        <f t="shared" si="658"/>
        <v>14388</v>
      </c>
    </row>
    <row r="4067" spans="1:29" x14ac:dyDescent="0.2">
      <c r="A4067" s="179"/>
      <c r="B4067" s="3191"/>
      <c r="C4067" s="3191"/>
      <c r="D4067" s="2421"/>
      <c r="E4067" s="2421"/>
      <c r="F4067" s="2421"/>
      <c r="G4067" s="2421"/>
      <c r="H4067" s="2421"/>
      <c r="I4067" s="2421"/>
      <c r="J4067" s="3483"/>
      <c r="K4067" s="3483"/>
      <c r="L4067" s="1">
        <v>880</v>
      </c>
      <c r="M4067" s="1"/>
      <c r="N4067" s="3501"/>
      <c r="O4067" s="1115">
        <v>211913</v>
      </c>
      <c r="P4067" s="913" t="s">
        <v>1323</v>
      </c>
      <c r="Q4067" s="278">
        <v>73.333333333333329</v>
      </c>
      <c r="R4067" s="278">
        <v>73.333333333333329</v>
      </c>
      <c r="S4067" s="278">
        <v>73.333333333333329</v>
      </c>
      <c r="T4067" s="278">
        <v>73.333333333333329</v>
      </c>
      <c r="U4067" s="278">
        <v>73.333333333333329</v>
      </c>
      <c r="V4067" s="278">
        <v>73.333333333333329</v>
      </c>
      <c r="W4067" s="278">
        <v>73.333333333333329</v>
      </c>
      <c r="X4067" s="278">
        <v>73.333333333333329</v>
      </c>
      <c r="Y4067" s="278">
        <v>73.333333333333329</v>
      </c>
      <c r="Z4067" s="278">
        <v>73.333333333333329</v>
      </c>
      <c r="AA4067" s="278">
        <v>73.333333333333329</v>
      </c>
      <c r="AB4067" s="278">
        <v>73.333333333333329</v>
      </c>
      <c r="AC4067" s="278">
        <f t="shared" si="658"/>
        <v>880.00000000000011</v>
      </c>
    </row>
    <row r="4068" spans="1:29" x14ac:dyDescent="0.2">
      <c r="A4068" s="179"/>
      <c r="B4068" s="3191"/>
      <c r="C4068" s="3191"/>
      <c r="D4068" s="2421"/>
      <c r="E4068" s="2421"/>
      <c r="F4068" s="2421"/>
      <c r="G4068" s="2421"/>
      <c r="H4068" s="2421"/>
      <c r="I4068" s="2421"/>
      <c r="J4068" s="3483"/>
      <c r="K4068" s="3483"/>
      <c r="L4068" s="1">
        <v>38683</v>
      </c>
      <c r="M4068" s="1"/>
      <c r="N4068" s="3501"/>
      <c r="O4068" s="1115">
        <v>213115</v>
      </c>
      <c r="P4068" s="913" t="s">
        <v>1329</v>
      </c>
      <c r="Q4068" s="278">
        <v>3223.5833333333335</v>
      </c>
      <c r="R4068" s="278">
        <v>3223.5833333333335</v>
      </c>
      <c r="S4068" s="278">
        <v>3223.5833333333335</v>
      </c>
      <c r="T4068" s="278">
        <v>3223.5833333333335</v>
      </c>
      <c r="U4068" s="278">
        <v>3223.5833333333335</v>
      </c>
      <c r="V4068" s="278">
        <v>3223.5833333333335</v>
      </c>
      <c r="W4068" s="278">
        <v>3223.5833333333335</v>
      </c>
      <c r="X4068" s="278">
        <v>3223.5833333333335</v>
      </c>
      <c r="Y4068" s="278">
        <v>3223.5833333333335</v>
      </c>
      <c r="Z4068" s="278">
        <v>3223.5833333333335</v>
      </c>
      <c r="AA4068" s="278">
        <v>3223.5833333333335</v>
      </c>
      <c r="AB4068" s="278">
        <v>3223.5833333333335</v>
      </c>
      <c r="AC4068" s="278">
        <f t="shared" si="658"/>
        <v>38683</v>
      </c>
    </row>
    <row r="4069" spans="1:29" x14ac:dyDescent="0.2">
      <c r="A4069" s="179"/>
      <c r="B4069" s="3191"/>
      <c r="C4069" s="3191"/>
      <c r="D4069" s="2421"/>
      <c r="E4069" s="2421"/>
      <c r="F4069" s="2421"/>
      <c r="G4069" s="2421"/>
      <c r="H4069" s="2421"/>
      <c r="I4069" s="2421"/>
      <c r="J4069" s="3483"/>
      <c r="K4069" s="3483"/>
      <c r="L4069" s="1">
        <v>4395</v>
      </c>
      <c r="M4069" s="1"/>
      <c r="N4069" s="3501"/>
      <c r="O4069" s="1115">
        <v>231111</v>
      </c>
      <c r="P4069" s="913" t="s">
        <v>1306</v>
      </c>
      <c r="Q4069" s="278">
        <v>366.25</v>
      </c>
      <c r="R4069" s="278">
        <v>366.25</v>
      </c>
      <c r="S4069" s="278">
        <v>366.25</v>
      </c>
      <c r="T4069" s="278">
        <v>366.25</v>
      </c>
      <c r="U4069" s="278">
        <v>366.25</v>
      </c>
      <c r="V4069" s="278">
        <v>366.25</v>
      </c>
      <c r="W4069" s="278">
        <v>366.25</v>
      </c>
      <c r="X4069" s="278">
        <v>366.25</v>
      </c>
      <c r="Y4069" s="278">
        <v>366.25</v>
      </c>
      <c r="Z4069" s="278">
        <v>366.25</v>
      </c>
      <c r="AA4069" s="278">
        <v>366.25</v>
      </c>
      <c r="AB4069" s="278">
        <v>366.25</v>
      </c>
      <c r="AC4069" s="278">
        <f t="shared" si="658"/>
        <v>4395</v>
      </c>
    </row>
    <row r="4070" spans="1:29" x14ac:dyDescent="0.2">
      <c r="A4070" s="179"/>
      <c r="B4070" s="3191"/>
      <c r="C4070" s="3191"/>
      <c r="D4070" s="2421"/>
      <c r="E4070" s="2421"/>
      <c r="F4070" s="2421"/>
      <c r="G4070" s="2421"/>
      <c r="H4070" s="2421"/>
      <c r="I4070" s="2421"/>
      <c r="J4070" s="3483"/>
      <c r="K4070" s="3483"/>
      <c r="L4070" s="1">
        <v>871</v>
      </c>
      <c r="M4070" s="1"/>
      <c r="N4070" s="3501"/>
      <c r="O4070" s="1115">
        <v>231212</v>
      </c>
      <c r="P4070" s="913" t="s">
        <v>1556</v>
      </c>
      <c r="Q4070" s="278">
        <v>72.583333333333329</v>
      </c>
      <c r="R4070" s="278">
        <v>72.583333333333329</v>
      </c>
      <c r="S4070" s="278">
        <v>72.583333333333329</v>
      </c>
      <c r="T4070" s="278">
        <v>72.583333333333329</v>
      </c>
      <c r="U4070" s="278">
        <v>72.583333333333329</v>
      </c>
      <c r="V4070" s="278">
        <v>72.583333333333329</v>
      </c>
      <c r="W4070" s="278">
        <v>72.583333333333329</v>
      </c>
      <c r="X4070" s="278">
        <v>72.583333333333329</v>
      </c>
      <c r="Y4070" s="278">
        <v>72.583333333333329</v>
      </c>
      <c r="Z4070" s="278">
        <v>72.583333333333329</v>
      </c>
      <c r="AA4070" s="278">
        <v>72.583333333333329</v>
      </c>
      <c r="AB4070" s="278">
        <v>72.583333333333329</v>
      </c>
      <c r="AC4070" s="278">
        <f t="shared" si="658"/>
        <v>871.00000000000011</v>
      </c>
    </row>
    <row r="4071" spans="1:29" x14ac:dyDescent="0.2">
      <c r="A4071" s="179"/>
      <c r="B4071" s="3191"/>
      <c r="C4071" s="3191"/>
      <c r="D4071" s="2421"/>
      <c r="E4071" s="2421"/>
      <c r="F4071" s="2421"/>
      <c r="G4071" s="2421"/>
      <c r="H4071" s="2421"/>
      <c r="I4071" s="2421"/>
      <c r="J4071" s="3483"/>
      <c r="K4071" s="3483"/>
      <c r="L4071" s="1">
        <v>110667</v>
      </c>
      <c r="M4071" s="1"/>
      <c r="N4071" s="3501"/>
      <c r="O4071" s="1115">
        <v>232811</v>
      </c>
      <c r="P4071" s="913" t="s">
        <v>1331</v>
      </c>
      <c r="Q4071" s="278">
        <v>9222.25</v>
      </c>
      <c r="R4071" s="278">
        <v>9222.25</v>
      </c>
      <c r="S4071" s="278">
        <v>9222.25</v>
      </c>
      <c r="T4071" s="278">
        <v>9222.25</v>
      </c>
      <c r="U4071" s="278">
        <v>9222.25</v>
      </c>
      <c r="V4071" s="278">
        <v>9222.25</v>
      </c>
      <c r="W4071" s="278">
        <v>9222.25</v>
      </c>
      <c r="X4071" s="278">
        <v>9222.25</v>
      </c>
      <c r="Y4071" s="278">
        <v>9222.25</v>
      </c>
      <c r="Z4071" s="278">
        <v>9222.25</v>
      </c>
      <c r="AA4071" s="278">
        <v>9222.25</v>
      </c>
      <c r="AB4071" s="278">
        <v>9222.25</v>
      </c>
      <c r="AC4071" s="278">
        <f t="shared" si="658"/>
        <v>110667</v>
      </c>
    </row>
    <row r="4072" spans="1:29" x14ac:dyDescent="0.2">
      <c r="A4072" s="179"/>
      <c r="B4072" s="2439"/>
      <c r="C4072" s="2439"/>
      <c r="D4072" s="2421"/>
      <c r="E4072" s="2421"/>
      <c r="F4072" s="2421"/>
      <c r="G4072" s="2421"/>
      <c r="H4072" s="2421"/>
      <c r="I4072" s="2421"/>
      <c r="J4072" s="3483"/>
      <c r="K4072" s="3483"/>
      <c r="L4072" s="1">
        <v>10945</v>
      </c>
      <c r="M4072" s="1"/>
      <c r="N4072" s="3492"/>
      <c r="O4072" s="1115">
        <v>232812</v>
      </c>
      <c r="P4072" s="913" t="s">
        <v>1333</v>
      </c>
      <c r="Q4072" s="278">
        <v>912.08333333333337</v>
      </c>
      <c r="R4072" s="278">
        <v>912.08333333333337</v>
      </c>
      <c r="S4072" s="278">
        <v>912.08333333333337</v>
      </c>
      <c r="T4072" s="278">
        <v>912.08333333333337</v>
      </c>
      <c r="U4072" s="278">
        <v>912.08333333333337</v>
      </c>
      <c r="V4072" s="278">
        <v>912.08333333333337</v>
      </c>
      <c r="W4072" s="278">
        <v>912.08333333333337</v>
      </c>
      <c r="X4072" s="278">
        <v>912.08333333333337</v>
      </c>
      <c r="Y4072" s="278">
        <v>912.08333333333337</v>
      </c>
      <c r="Z4072" s="278">
        <v>912.08333333333337</v>
      </c>
      <c r="AA4072" s="278">
        <v>912.08333333333337</v>
      </c>
      <c r="AB4072" s="278">
        <v>912.08333333333337</v>
      </c>
      <c r="AC4072" s="278">
        <f t="shared" si="658"/>
        <v>10945.000000000002</v>
      </c>
    </row>
    <row r="4073" spans="1:29" s="289" customFormat="1" x14ac:dyDescent="0.2">
      <c r="A4073" s="540"/>
      <c r="B4073" s="3474" t="s">
        <v>312</v>
      </c>
      <c r="C4073" s="3475"/>
      <c r="D4073" s="3475"/>
      <c r="E4073" s="3475"/>
      <c r="F4073" s="3475"/>
      <c r="G4073" s="3475"/>
      <c r="H4073" s="3475"/>
      <c r="I4073" s="3475"/>
      <c r="J4073" s="3475"/>
      <c r="K4073" s="3475"/>
      <c r="L4073" s="284">
        <f>+SUM(L4060:L4072)</f>
        <v>1148988</v>
      </c>
      <c r="M4073" s="284">
        <f>+SUM(M4060:M4072)</f>
        <v>0</v>
      </c>
      <c r="N4073" s="285"/>
      <c r="O4073" s="1148"/>
      <c r="P4073" s="286"/>
      <c r="Q4073" s="287"/>
      <c r="R4073" s="288"/>
      <c r="S4073" s="287"/>
      <c r="T4073" s="288"/>
      <c r="U4073" s="287"/>
      <c r="V4073" s="288"/>
      <c r="W4073" s="287"/>
      <c r="X4073" s="288"/>
      <c r="Y4073" s="287"/>
      <c r="Z4073" s="288"/>
      <c r="AA4073" s="287"/>
      <c r="AB4073" s="288"/>
      <c r="AC4073" s="287"/>
    </row>
    <row r="4074" spans="1:29" x14ac:dyDescent="0.2">
      <c r="A4074" s="179"/>
      <c r="B4074" s="2999" t="s">
        <v>20</v>
      </c>
      <c r="C4074" s="2847" t="s">
        <v>21</v>
      </c>
      <c r="D4074" s="2847" t="s">
        <v>22</v>
      </c>
      <c r="E4074" s="2847" t="s">
        <v>23</v>
      </c>
      <c r="F4074" s="2847" t="s">
        <v>24</v>
      </c>
      <c r="G4074" s="2847" t="s">
        <v>25</v>
      </c>
      <c r="H4074" s="2847" t="s">
        <v>26</v>
      </c>
      <c r="I4074" s="2847" t="s">
        <v>27</v>
      </c>
      <c r="J4074" s="2986" t="s">
        <v>28</v>
      </c>
      <c r="K4074" s="2987"/>
      <c r="L4074" s="2986" t="s">
        <v>1628</v>
      </c>
      <c r="M4074" s="2987"/>
      <c r="N4074" s="2988" t="s">
        <v>29</v>
      </c>
      <c r="O4074" s="2986" t="s">
        <v>30</v>
      </c>
      <c r="P4074" s="2987"/>
      <c r="Q4074" s="3489" t="s">
        <v>31</v>
      </c>
      <c r="R4074" s="3490"/>
      <c r="S4074" s="3490"/>
      <c r="T4074" s="3490"/>
      <c r="U4074" s="3490"/>
      <c r="V4074" s="3490"/>
      <c r="W4074" s="3490"/>
      <c r="X4074" s="3490"/>
      <c r="Y4074" s="3490"/>
      <c r="Z4074" s="3490"/>
      <c r="AA4074" s="3490"/>
      <c r="AB4074" s="3491"/>
      <c r="AC4074" s="3479" t="s">
        <v>32</v>
      </c>
    </row>
    <row r="4075" spans="1:29" x14ac:dyDescent="0.2">
      <c r="A4075" s="179"/>
      <c r="B4075" s="2999"/>
      <c r="C4075" s="2847"/>
      <c r="D4075" s="2847"/>
      <c r="E4075" s="2847"/>
      <c r="F4075" s="2847"/>
      <c r="G4075" s="2847"/>
      <c r="H4075" s="2847"/>
      <c r="I4075" s="2847"/>
      <c r="J4075" s="1017" t="s">
        <v>33</v>
      </c>
      <c r="K4075" s="1017" t="s">
        <v>34</v>
      </c>
      <c r="L4075" s="306" t="s">
        <v>1513</v>
      </c>
      <c r="M4075" s="306" t="s">
        <v>1514</v>
      </c>
      <c r="N4075" s="2989"/>
      <c r="O4075" s="3000"/>
      <c r="P4075" s="3001"/>
      <c r="Q4075" s="1111" t="s">
        <v>35</v>
      </c>
      <c r="R4075" s="1111" t="s">
        <v>36</v>
      </c>
      <c r="S4075" s="1111" t="s">
        <v>37</v>
      </c>
      <c r="T4075" s="1111" t="s">
        <v>38</v>
      </c>
      <c r="U4075" s="1111" t="s">
        <v>39</v>
      </c>
      <c r="V4075" s="1111" t="s">
        <v>40</v>
      </c>
      <c r="W4075" s="1111" t="s">
        <v>41</v>
      </c>
      <c r="X4075" s="1111" t="s">
        <v>42</v>
      </c>
      <c r="Y4075" s="1111" t="s">
        <v>43</v>
      </c>
      <c r="Z4075" s="1111" t="s">
        <v>44</v>
      </c>
      <c r="AA4075" s="1111" t="s">
        <v>45</v>
      </c>
      <c r="AB4075" s="1111" t="s">
        <v>46</v>
      </c>
      <c r="AC4075" s="3479"/>
    </row>
    <row r="4076" spans="1:29" x14ac:dyDescent="0.2">
      <c r="A4076" s="179"/>
      <c r="B4076" s="3190" t="s">
        <v>1707</v>
      </c>
      <c r="C4076" s="3190" t="s">
        <v>1708</v>
      </c>
      <c r="D4076" s="2421"/>
      <c r="E4076" s="2421">
        <v>20</v>
      </c>
      <c r="F4076" s="2421" t="s">
        <v>1630</v>
      </c>
      <c r="G4076" s="2421" t="s">
        <v>1685</v>
      </c>
      <c r="H4076" s="2421"/>
      <c r="I4076" s="2421" t="s">
        <v>1709</v>
      </c>
      <c r="J4076" s="3483">
        <v>3696</v>
      </c>
      <c r="K4076" s="3497">
        <f>+AC4077</f>
        <v>1735537</v>
      </c>
      <c r="L4076" s="1"/>
      <c r="M4076" s="542"/>
      <c r="N4076" s="3500" t="s">
        <v>1710</v>
      </c>
      <c r="O4076" s="1111" t="s">
        <v>51</v>
      </c>
      <c r="P4076" s="1111"/>
      <c r="Q4076" s="1111">
        <f>+R4076</f>
        <v>308</v>
      </c>
      <c r="R4076" s="1111">
        <f>+J4076/12</f>
        <v>308</v>
      </c>
      <c r="S4076" s="1111">
        <f>+R4076</f>
        <v>308</v>
      </c>
      <c r="T4076" s="1111">
        <f t="shared" ref="T4076:AB4076" si="659">+S4076</f>
        <v>308</v>
      </c>
      <c r="U4076" s="1111">
        <f t="shared" si="659"/>
        <v>308</v>
      </c>
      <c r="V4076" s="1111">
        <f t="shared" si="659"/>
        <v>308</v>
      </c>
      <c r="W4076" s="1111">
        <f t="shared" si="659"/>
        <v>308</v>
      </c>
      <c r="X4076" s="1111">
        <f t="shared" si="659"/>
        <v>308</v>
      </c>
      <c r="Y4076" s="1111">
        <f t="shared" si="659"/>
        <v>308</v>
      </c>
      <c r="Z4076" s="1111">
        <f t="shared" si="659"/>
        <v>308</v>
      </c>
      <c r="AA4076" s="1111">
        <f t="shared" si="659"/>
        <v>308</v>
      </c>
      <c r="AB4076" s="1111">
        <f t="shared" si="659"/>
        <v>308</v>
      </c>
      <c r="AC4076" s="1111">
        <f>SUM(Q4076:AB4076)</f>
        <v>3696</v>
      </c>
    </row>
    <row r="4077" spans="1:29" x14ac:dyDescent="0.2">
      <c r="A4077" s="179"/>
      <c r="B4077" s="3191"/>
      <c r="C4077" s="3191"/>
      <c r="D4077" s="2421"/>
      <c r="E4077" s="2421"/>
      <c r="F4077" s="2421"/>
      <c r="G4077" s="2421"/>
      <c r="H4077" s="2421"/>
      <c r="I4077" s="2421"/>
      <c r="J4077" s="3483"/>
      <c r="K4077" s="3483"/>
      <c r="L4077" s="1"/>
      <c r="M4077" s="1"/>
      <c r="N4077" s="3501"/>
      <c r="O4077" s="2840" t="s">
        <v>1340</v>
      </c>
      <c r="P4077" s="2840"/>
      <c r="Q4077" s="274">
        <f>+SUM(Q4078:Q4089)</f>
        <v>144628.08333333334</v>
      </c>
      <c r="R4077" s="274">
        <f t="shared" ref="R4077:AC4077" si="660">+SUM(R4078:R4089)</f>
        <v>144628.08333333334</v>
      </c>
      <c r="S4077" s="274">
        <f t="shared" si="660"/>
        <v>144628.08333333334</v>
      </c>
      <c r="T4077" s="274">
        <f t="shared" si="660"/>
        <v>144628.08333333334</v>
      </c>
      <c r="U4077" s="274">
        <f t="shared" si="660"/>
        <v>144628.08333333334</v>
      </c>
      <c r="V4077" s="274">
        <f t="shared" si="660"/>
        <v>144628.08333333334</v>
      </c>
      <c r="W4077" s="274">
        <f t="shared" si="660"/>
        <v>144628.08333333334</v>
      </c>
      <c r="X4077" s="274">
        <f t="shared" si="660"/>
        <v>144628.08333333334</v>
      </c>
      <c r="Y4077" s="274">
        <f t="shared" si="660"/>
        <v>144628.08333333334</v>
      </c>
      <c r="Z4077" s="274">
        <f t="shared" si="660"/>
        <v>144628.08333333334</v>
      </c>
      <c r="AA4077" s="274">
        <f t="shared" si="660"/>
        <v>144628.08333333334</v>
      </c>
      <c r="AB4077" s="274">
        <f t="shared" si="660"/>
        <v>144628.08333333334</v>
      </c>
      <c r="AC4077" s="274">
        <f t="shared" si="660"/>
        <v>1735537</v>
      </c>
    </row>
    <row r="4078" spans="1:29" x14ac:dyDescent="0.2">
      <c r="A4078" s="179"/>
      <c r="B4078" s="3191"/>
      <c r="C4078" s="3191"/>
      <c r="D4078" s="2421"/>
      <c r="E4078" s="2421"/>
      <c r="F4078" s="2421"/>
      <c r="G4078" s="2421"/>
      <c r="H4078" s="2421"/>
      <c r="I4078" s="2421"/>
      <c r="J4078" s="3483"/>
      <c r="K4078" s="3483"/>
      <c r="L4078" s="1">
        <v>740676</v>
      </c>
      <c r="M4078" s="1"/>
      <c r="N4078" s="3501"/>
      <c r="O4078" s="1115">
        <v>211311</v>
      </c>
      <c r="P4078" s="913" t="s">
        <v>1535</v>
      </c>
      <c r="Q4078" s="278">
        <v>61723</v>
      </c>
      <c r="R4078" s="278">
        <v>61723</v>
      </c>
      <c r="S4078" s="278">
        <v>61723</v>
      </c>
      <c r="T4078" s="278">
        <v>61723</v>
      </c>
      <c r="U4078" s="278">
        <v>61723</v>
      </c>
      <c r="V4078" s="278">
        <v>61723</v>
      </c>
      <c r="W4078" s="278">
        <v>61723</v>
      </c>
      <c r="X4078" s="278">
        <v>61723</v>
      </c>
      <c r="Y4078" s="278">
        <v>61723</v>
      </c>
      <c r="Z4078" s="278">
        <v>61723</v>
      </c>
      <c r="AA4078" s="278">
        <v>61723</v>
      </c>
      <c r="AB4078" s="278">
        <v>61723</v>
      </c>
      <c r="AC4078" s="278">
        <f t="shared" ref="AC4078:AC4089" si="661">+SUM(Q4078:AB4078)</f>
        <v>740676</v>
      </c>
    </row>
    <row r="4079" spans="1:29" x14ac:dyDescent="0.2">
      <c r="A4079" s="179"/>
      <c r="B4079" s="3191"/>
      <c r="C4079" s="3191"/>
      <c r="D4079" s="2421"/>
      <c r="E4079" s="2421"/>
      <c r="F4079" s="2421"/>
      <c r="G4079" s="2421"/>
      <c r="H4079" s="2421"/>
      <c r="I4079" s="2421"/>
      <c r="J4079" s="3483"/>
      <c r="K4079" s="3483"/>
      <c r="L4079" s="1">
        <v>163368</v>
      </c>
      <c r="M4079" s="1"/>
      <c r="N4079" s="3501"/>
      <c r="O4079" s="1115">
        <v>211312</v>
      </c>
      <c r="P4079" s="913" t="s">
        <v>1641</v>
      </c>
      <c r="Q4079" s="278">
        <v>13614</v>
      </c>
      <c r="R4079" s="278">
        <v>13614</v>
      </c>
      <c r="S4079" s="278">
        <v>13614</v>
      </c>
      <c r="T4079" s="278">
        <v>13614</v>
      </c>
      <c r="U4079" s="278">
        <v>13614</v>
      </c>
      <c r="V4079" s="278">
        <v>13614</v>
      </c>
      <c r="W4079" s="278">
        <v>13614</v>
      </c>
      <c r="X4079" s="278">
        <v>13614</v>
      </c>
      <c r="Y4079" s="278">
        <v>13614</v>
      </c>
      <c r="Z4079" s="278">
        <v>13614</v>
      </c>
      <c r="AA4079" s="278">
        <v>13614</v>
      </c>
      <c r="AB4079" s="278">
        <v>13614</v>
      </c>
      <c r="AC4079" s="278">
        <f t="shared" si="661"/>
        <v>163368</v>
      </c>
    </row>
    <row r="4080" spans="1:29" x14ac:dyDescent="0.2">
      <c r="A4080" s="179"/>
      <c r="B4080" s="3191"/>
      <c r="C4080" s="3191"/>
      <c r="D4080" s="2421"/>
      <c r="E4080" s="2421"/>
      <c r="F4080" s="2421"/>
      <c r="G4080" s="2421"/>
      <c r="H4080" s="2421"/>
      <c r="I4080" s="2421"/>
      <c r="J4080" s="3483"/>
      <c r="K4080" s="3483"/>
      <c r="L4080" s="1">
        <v>232560</v>
      </c>
      <c r="M4080" s="1"/>
      <c r="N4080" s="3501"/>
      <c r="O4080" s="1115">
        <v>211321</v>
      </c>
      <c r="P4080" s="913" t="s">
        <v>1535</v>
      </c>
      <c r="Q4080" s="278">
        <v>19380</v>
      </c>
      <c r="R4080" s="278">
        <v>19380</v>
      </c>
      <c r="S4080" s="278">
        <v>19380</v>
      </c>
      <c r="T4080" s="278">
        <v>19380</v>
      </c>
      <c r="U4080" s="278">
        <v>19380</v>
      </c>
      <c r="V4080" s="278">
        <v>19380</v>
      </c>
      <c r="W4080" s="278">
        <v>19380</v>
      </c>
      <c r="X4080" s="278">
        <v>19380</v>
      </c>
      <c r="Y4080" s="278">
        <v>19380</v>
      </c>
      <c r="Z4080" s="278">
        <v>19380</v>
      </c>
      <c r="AA4080" s="278">
        <v>19380</v>
      </c>
      <c r="AB4080" s="278">
        <v>19380</v>
      </c>
      <c r="AC4080" s="278">
        <f t="shared" si="661"/>
        <v>232560</v>
      </c>
    </row>
    <row r="4081" spans="1:29" x14ac:dyDescent="0.2">
      <c r="A4081" s="179"/>
      <c r="B4081" s="3191"/>
      <c r="C4081" s="3191"/>
      <c r="D4081" s="2421"/>
      <c r="E4081" s="2421"/>
      <c r="F4081" s="2421"/>
      <c r="G4081" s="2421"/>
      <c r="H4081" s="2421"/>
      <c r="I4081" s="2421"/>
      <c r="J4081" s="3483"/>
      <c r="K4081" s="3483"/>
      <c r="L4081" s="1">
        <v>20688</v>
      </c>
      <c r="M4081" s="1"/>
      <c r="N4081" s="3501"/>
      <c r="O4081" s="1115">
        <v>211322</v>
      </c>
      <c r="P4081" s="913" t="s">
        <v>1641</v>
      </c>
      <c r="Q4081" s="278">
        <v>1724</v>
      </c>
      <c r="R4081" s="278">
        <v>1724</v>
      </c>
      <c r="S4081" s="278">
        <v>1724</v>
      </c>
      <c r="T4081" s="278">
        <v>1724</v>
      </c>
      <c r="U4081" s="278">
        <v>1724</v>
      </c>
      <c r="V4081" s="278">
        <v>1724</v>
      </c>
      <c r="W4081" s="278">
        <v>1724</v>
      </c>
      <c r="X4081" s="278">
        <v>1724</v>
      </c>
      <c r="Y4081" s="278">
        <v>1724</v>
      </c>
      <c r="Z4081" s="278">
        <v>1724</v>
      </c>
      <c r="AA4081" s="278">
        <v>1724</v>
      </c>
      <c r="AB4081" s="278">
        <v>1724</v>
      </c>
      <c r="AC4081" s="278">
        <f t="shared" si="661"/>
        <v>20688</v>
      </c>
    </row>
    <row r="4082" spans="1:29" x14ac:dyDescent="0.2">
      <c r="A4082" s="179"/>
      <c r="B4082" s="3191"/>
      <c r="C4082" s="3191"/>
      <c r="D4082" s="2421"/>
      <c r="E4082" s="2421"/>
      <c r="F4082" s="2421"/>
      <c r="G4082" s="2421"/>
      <c r="H4082" s="2421"/>
      <c r="I4082" s="2421"/>
      <c r="J4082" s="3483"/>
      <c r="K4082" s="3483"/>
      <c r="L4082" s="1">
        <v>266134</v>
      </c>
      <c r="M4082" s="1"/>
      <c r="N4082" s="3501"/>
      <c r="O4082" s="1115">
        <v>211331</v>
      </c>
      <c r="P4082" s="913" t="s">
        <v>1538</v>
      </c>
      <c r="Q4082" s="278">
        <v>22177.833333333332</v>
      </c>
      <c r="R4082" s="278">
        <v>22177.833333333332</v>
      </c>
      <c r="S4082" s="278">
        <v>22177.833333333332</v>
      </c>
      <c r="T4082" s="278">
        <v>22177.833333333332</v>
      </c>
      <c r="U4082" s="278">
        <v>22177.833333333332</v>
      </c>
      <c r="V4082" s="278">
        <v>22177.833333333332</v>
      </c>
      <c r="W4082" s="278">
        <v>22177.833333333332</v>
      </c>
      <c r="X4082" s="278">
        <v>22177.833333333332</v>
      </c>
      <c r="Y4082" s="278">
        <v>22177.833333333332</v>
      </c>
      <c r="Z4082" s="278">
        <v>22177.833333333332</v>
      </c>
      <c r="AA4082" s="278">
        <v>22177.833333333332</v>
      </c>
      <c r="AB4082" s="278">
        <v>22177.833333333332</v>
      </c>
      <c r="AC4082" s="278">
        <f t="shared" si="661"/>
        <v>266134.00000000006</v>
      </c>
    </row>
    <row r="4083" spans="1:29" x14ac:dyDescent="0.2">
      <c r="A4083" s="179"/>
      <c r="B4083" s="3191"/>
      <c r="C4083" s="3191"/>
      <c r="D4083" s="2421"/>
      <c r="E4083" s="2421"/>
      <c r="F4083" s="2421"/>
      <c r="G4083" s="2421"/>
      <c r="H4083" s="2421"/>
      <c r="I4083" s="2421"/>
      <c r="J4083" s="3483"/>
      <c r="K4083" s="3483"/>
      <c r="L4083" s="1">
        <v>80052</v>
      </c>
      <c r="M4083" s="1"/>
      <c r="N4083" s="3501"/>
      <c r="O4083" s="1115">
        <v>2113399</v>
      </c>
      <c r="P4083" s="913" t="s">
        <v>1699</v>
      </c>
      <c r="Q4083" s="278">
        <v>6671</v>
      </c>
      <c r="R4083" s="278">
        <v>6671</v>
      </c>
      <c r="S4083" s="278">
        <v>6671</v>
      </c>
      <c r="T4083" s="278">
        <v>6671</v>
      </c>
      <c r="U4083" s="278">
        <v>6671</v>
      </c>
      <c r="V4083" s="278">
        <v>6671</v>
      </c>
      <c r="W4083" s="278">
        <v>6671</v>
      </c>
      <c r="X4083" s="278">
        <v>6671</v>
      </c>
      <c r="Y4083" s="278">
        <v>6671</v>
      </c>
      <c r="Z4083" s="278">
        <v>6671</v>
      </c>
      <c r="AA4083" s="278">
        <v>6671</v>
      </c>
      <c r="AB4083" s="278">
        <v>6671</v>
      </c>
      <c r="AC4083" s="278">
        <f t="shared" si="661"/>
        <v>80052</v>
      </c>
    </row>
    <row r="4084" spans="1:29" x14ac:dyDescent="0.2">
      <c r="A4084" s="179"/>
      <c r="B4084" s="3191"/>
      <c r="C4084" s="3191"/>
      <c r="D4084" s="2421"/>
      <c r="E4084" s="2421"/>
      <c r="F4084" s="2421"/>
      <c r="G4084" s="2421"/>
      <c r="H4084" s="2421"/>
      <c r="I4084" s="2421"/>
      <c r="J4084" s="3483"/>
      <c r="K4084" s="3483"/>
      <c r="L4084" s="1">
        <v>20928</v>
      </c>
      <c r="M4084" s="1"/>
      <c r="N4084" s="3501"/>
      <c r="O4084" s="1115">
        <v>211912</v>
      </c>
      <c r="P4084" s="913" t="s">
        <v>1321</v>
      </c>
      <c r="Q4084" s="278">
        <v>1744</v>
      </c>
      <c r="R4084" s="278">
        <v>1744</v>
      </c>
      <c r="S4084" s="278">
        <v>1744</v>
      </c>
      <c r="T4084" s="278">
        <v>1744</v>
      </c>
      <c r="U4084" s="278">
        <v>1744</v>
      </c>
      <c r="V4084" s="278">
        <v>1744</v>
      </c>
      <c r="W4084" s="278">
        <v>1744</v>
      </c>
      <c r="X4084" s="278">
        <v>1744</v>
      </c>
      <c r="Y4084" s="278">
        <v>1744</v>
      </c>
      <c r="Z4084" s="278">
        <v>1744</v>
      </c>
      <c r="AA4084" s="278">
        <v>1744</v>
      </c>
      <c r="AB4084" s="278">
        <v>1744</v>
      </c>
      <c r="AC4084" s="278">
        <f t="shared" si="661"/>
        <v>20928</v>
      </c>
    </row>
    <row r="4085" spans="1:29" x14ac:dyDescent="0.2">
      <c r="A4085" s="179"/>
      <c r="B4085" s="3191"/>
      <c r="C4085" s="3191"/>
      <c r="D4085" s="2421"/>
      <c r="E4085" s="2421"/>
      <c r="F4085" s="2421"/>
      <c r="G4085" s="2421"/>
      <c r="H4085" s="2421"/>
      <c r="I4085" s="2421"/>
      <c r="J4085" s="3483"/>
      <c r="K4085" s="3483"/>
      <c r="L4085" s="1">
        <v>12800</v>
      </c>
      <c r="M4085" s="1"/>
      <c r="N4085" s="3501"/>
      <c r="O4085" s="1115">
        <v>211913</v>
      </c>
      <c r="P4085" s="913" t="s">
        <v>1323</v>
      </c>
      <c r="Q4085" s="278">
        <v>1066.6666666666667</v>
      </c>
      <c r="R4085" s="278">
        <v>1066.6666666666667</v>
      </c>
      <c r="S4085" s="278">
        <v>1066.6666666666667</v>
      </c>
      <c r="T4085" s="278">
        <v>1066.6666666666667</v>
      </c>
      <c r="U4085" s="278">
        <v>1066.6666666666667</v>
      </c>
      <c r="V4085" s="278">
        <v>1066.6666666666667</v>
      </c>
      <c r="W4085" s="278">
        <v>1066.6666666666667</v>
      </c>
      <c r="X4085" s="278">
        <v>1066.6666666666667</v>
      </c>
      <c r="Y4085" s="278">
        <v>1066.6666666666667</v>
      </c>
      <c r="Z4085" s="278">
        <v>1066.6666666666667</v>
      </c>
      <c r="AA4085" s="278">
        <v>1066.6666666666667</v>
      </c>
      <c r="AB4085" s="278">
        <v>1066.6666666666667</v>
      </c>
      <c r="AC4085" s="278">
        <f t="shared" si="661"/>
        <v>12799.999999999998</v>
      </c>
    </row>
    <row r="4086" spans="1:29" x14ac:dyDescent="0.2">
      <c r="A4086" s="179"/>
      <c r="B4086" s="3191"/>
      <c r="C4086" s="3191"/>
      <c r="D4086" s="2421"/>
      <c r="E4086" s="2421"/>
      <c r="F4086" s="2421"/>
      <c r="G4086" s="2421"/>
      <c r="H4086" s="2421"/>
      <c r="I4086" s="2421"/>
      <c r="J4086" s="3483"/>
      <c r="K4086" s="3483"/>
      <c r="L4086" s="1">
        <v>73569</v>
      </c>
      <c r="M4086" s="1"/>
      <c r="N4086" s="3501"/>
      <c r="O4086" s="1115">
        <v>213115</v>
      </c>
      <c r="P4086" s="913" t="s">
        <v>1329</v>
      </c>
      <c r="Q4086" s="278">
        <v>6130.75</v>
      </c>
      <c r="R4086" s="278">
        <v>6130.75</v>
      </c>
      <c r="S4086" s="278">
        <v>6130.75</v>
      </c>
      <c r="T4086" s="278">
        <v>6130.75</v>
      </c>
      <c r="U4086" s="278">
        <v>6130.75</v>
      </c>
      <c r="V4086" s="278">
        <v>6130.75</v>
      </c>
      <c r="W4086" s="278">
        <v>6130.75</v>
      </c>
      <c r="X4086" s="278">
        <v>6130.75</v>
      </c>
      <c r="Y4086" s="278">
        <v>6130.75</v>
      </c>
      <c r="Z4086" s="278">
        <v>6130.75</v>
      </c>
      <c r="AA4086" s="278">
        <v>6130.75</v>
      </c>
      <c r="AB4086" s="278">
        <v>6130.75</v>
      </c>
      <c r="AC4086" s="278">
        <f t="shared" si="661"/>
        <v>73569</v>
      </c>
    </row>
    <row r="4087" spans="1:29" x14ac:dyDescent="0.2">
      <c r="A4087" s="179"/>
      <c r="B4087" s="3191"/>
      <c r="C4087" s="3191"/>
      <c r="D4087" s="2421"/>
      <c r="E4087" s="2421"/>
      <c r="F4087" s="2421"/>
      <c r="G4087" s="2421"/>
      <c r="H4087" s="2421"/>
      <c r="I4087" s="2421"/>
      <c r="J4087" s="3483"/>
      <c r="K4087" s="3483"/>
      <c r="L4087" s="1">
        <v>3150</v>
      </c>
      <c r="M4087" s="1"/>
      <c r="N4087" s="3501"/>
      <c r="O4087" s="1115">
        <v>231111</v>
      </c>
      <c r="P4087" s="913" t="s">
        <v>1306</v>
      </c>
      <c r="Q4087" s="278">
        <v>262.5</v>
      </c>
      <c r="R4087" s="278">
        <v>262.5</v>
      </c>
      <c r="S4087" s="278">
        <v>262.5</v>
      </c>
      <c r="T4087" s="278">
        <v>262.5</v>
      </c>
      <c r="U4087" s="278">
        <v>262.5</v>
      </c>
      <c r="V4087" s="278">
        <v>262.5</v>
      </c>
      <c r="W4087" s="278">
        <v>262.5</v>
      </c>
      <c r="X4087" s="278">
        <v>262.5</v>
      </c>
      <c r="Y4087" s="278">
        <v>262.5</v>
      </c>
      <c r="Z4087" s="278">
        <v>262.5</v>
      </c>
      <c r="AA4087" s="278">
        <v>262.5</v>
      </c>
      <c r="AB4087" s="278">
        <v>262.5</v>
      </c>
      <c r="AC4087" s="278">
        <f t="shared" si="661"/>
        <v>3150</v>
      </c>
    </row>
    <row r="4088" spans="1:29" x14ac:dyDescent="0.2">
      <c r="A4088" s="179"/>
      <c r="B4088" s="3191"/>
      <c r="C4088" s="3191"/>
      <c r="D4088" s="2421"/>
      <c r="E4088" s="2421"/>
      <c r="F4088" s="2421"/>
      <c r="G4088" s="2421"/>
      <c r="H4088" s="2421"/>
      <c r="I4088" s="2421"/>
      <c r="J4088" s="3483"/>
      <c r="K4088" s="3483"/>
      <c r="L4088" s="1">
        <v>110667</v>
      </c>
      <c r="M4088" s="1"/>
      <c r="N4088" s="3501"/>
      <c r="O4088" s="1115">
        <v>232811</v>
      </c>
      <c r="P4088" s="913" t="s">
        <v>1331</v>
      </c>
      <c r="Q4088" s="278">
        <v>9222.25</v>
      </c>
      <c r="R4088" s="278">
        <v>9222.25</v>
      </c>
      <c r="S4088" s="278">
        <v>9222.25</v>
      </c>
      <c r="T4088" s="278">
        <v>9222.25</v>
      </c>
      <c r="U4088" s="278">
        <v>9222.25</v>
      </c>
      <c r="V4088" s="278">
        <v>9222.25</v>
      </c>
      <c r="W4088" s="278">
        <v>9222.25</v>
      </c>
      <c r="X4088" s="278">
        <v>9222.25</v>
      </c>
      <c r="Y4088" s="278">
        <v>9222.25</v>
      </c>
      <c r="Z4088" s="278">
        <v>9222.25</v>
      </c>
      <c r="AA4088" s="278">
        <v>9222.25</v>
      </c>
      <c r="AB4088" s="278">
        <v>9222.25</v>
      </c>
      <c r="AC4088" s="278">
        <f t="shared" si="661"/>
        <v>110667</v>
      </c>
    </row>
    <row r="4089" spans="1:29" x14ac:dyDescent="0.2">
      <c r="A4089" s="179"/>
      <c r="B4089" s="2439"/>
      <c r="C4089" s="2439"/>
      <c r="D4089" s="2421"/>
      <c r="E4089" s="2421"/>
      <c r="F4089" s="2421"/>
      <c r="G4089" s="2421"/>
      <c r="H4089" s="2421"/>
      <c r="I4089" s="2421"/>
      <c r="J4089" s="3483"/>
      <c r="K4089" s="3483"/>
      <c r="L4089" s="1">
        <v>10945</v>
      </c>
      <c r="M4089" s="1"/>
      <c r="N4089" s="3492"/>
      <c r="O4089" s="1115">
        <v>232812</v>
      </c>
      <c r="P4089" s="913" t="s">
        <v>1333</v>
      </c>
      <c r="Q4089" s="278">
        <v>912.08333333333337</v>
      </c>
      <c r="R4089" s="278">
        <v>912.08333333333337</v>
      </c>
      <c r="S4089" s="278">
        <v>912.08333333333337</v>
      </c>
      <c r="T4089" s="278">
        <v>912.08333333333337</v>
      </c>
      <c r="U4089" s="278">
        <v>912.08333333333337</v>
      </c>
      <c r="V4089" s="278">
        <v>912.08333333333337</v>
      </c>
      <c r="W4089" s="278">
        <v>912.08333333333337</v>
      </c>
      <c r="X4089" s="278">
        <v>912.08333333333337</v>
      </c>
      <c r="Y4089" s="278">
        <v>912.08333333333337</v>
      </c>
      <c r="Z4089" s="278">
        <v>912.08333333333337</v>
      </c>
      <c r="AA4089" s="278">
        <v>912.08333333333337</v>
      </c>
      <c r="AB4089" s="278">
        <v>912.08333333333337</v>
      </c>
      <c r="AC4089" s="278">
        <f t="shared" si="661"/>
        <v>10945.000000000002</v>
      </c>
    </row>
    <row r="4090" spans="1:29" s="289" customFormat="1" x14ac:dyDescent="0.2">
      <c r="A4090" s="540"/>
      <c r="B4090" s="3474" t="s">
        <v>312</v>
      </c>
      <c r="C4090" s="3475"/>
      <c r="D4090" s="3475"/>
      <c r="E4090" s="3475"/>
      <c r="F4090" s="3475"/>
      <c r="G4090" s="3475"/>
      <c r="H4090" s="3475"/>
      <c r="I4090" s="3475"/>
      <c r="J4090" s="3475"/>
      <c r="K4090" s="3475"/>
      <c r="L4090" s="284">
        <f>+SUM(L4077:L4089)</f>
        <v>1735537</v>
      </c>
      <c r="M4090" s="284">
        <f>+SUM(M4077:M4089)</f>
        <v>0</v>
      </c>
      <c r="N4090" s="285"/>
      <c r="O4090" s="1148"/>
      <c r="P4090" s="286"/>
      <c r="Q4090" s="287"/>
      <c r="R4090" s="288"/>
      <c r="S4090" s="287"/>
      <c r="T4090" s="288"/>
      <c r="U4090" s="287"/>
      <c r="V4090" s="288"/>
      <c r="W4090" s="287"/>
      <c r="X4090" s="288"/>
      <c r="Y4090" s="287"/>
      <c r="Z4090" s="288"/>
      <c r="AA4090" s="287"/>
      <c r="AB4090" s="288"/>
      <c r="AC4090" s="287"/>
    </row>
    <row r="4091" spans="1:29" x14ac:dyDescent="0.2">
      <c r="A4091" s="179"/>
      <c r="B4091" s="2999" t="s">
        <v>20</v>
      </c>
      <c r="C4091" s="2847" t="s">
        <v>21</v>
      </c>
      <c r="D4091" s="2847" t="s">
        <v>22</v>
      </c>
      <c r="E4091" s="2847" t="s">
        <v>23</v>
      </c>
      <c r="F4091" s="2847" t="s">
        <v>24</v>
      </c>
      <c r="G4091" s="2847" t="s">
        <v>25</v>
      </c>
      <c r="H4091" s="2847" t="s">
        <v>26</v>
      </c>
      <c r="I4091" s="2847" t="s">
        <v>27</v>
      </c>
      <c r="J4091" s="2986" t="s">
        <v>28</v>
      </c>
      <c r="K4091" s="2987"/>
      <c r="L4091" s="2986" t="s">
        <v>1628</v>
      </c>
      <c r="M4091" s="2987"/>
      <c r="N4091" s="2988" t="s">
        <v>29</v>
      </c>
      <c r="O4091" s="2986" t="s">
        <v>30</v>
      </c>
      <c r="P4091" s="2987"/>
      <c r="Q4091" s="3489" t="s">
        <v>31</v>
      </c>
      <c r="R4091" s="3490"/>
      <c r="S4091" s="3490"/>
      <c r="T4091" s="3490"/>
      <c r="U4091" s="3490"/>
      <c r="V4091" s="3490"/>
      <c r="W4091" s="3490"/>
      <c r="X4091" s="3490"/>
      <c r="Y4091" s="3490"/>
      <c r="Z4091" s="3490"/>
      <c r="AA4091" s="3490"/>
      <c r="AB4091" s="3491"/>
      <c r="AC4091" s="3479" t="s">
        <v>32</v>
      </c>
    </row>
    <row r="4092" spans="1:29" x14ac:dyDescent="0.2">
      <c r="A4092" s="179"/>
      <c r="B4092" s="2999"/>
      <c r="C4092" s="2847"/>
      <c r="D4092" s="2847"/>
      <c r="E4092" s="2847"/>
      <c r="F4092" s="2847"/>
      <c r="G4092" s="2847"/>
      <c r="H4092" s="2847"/>
      <c r="I4092" s="2847"/>
      <c r="J4092" s="1017" t="s">
        <v>33</v>
      </c>
      <c r="K4092" s="1017" t="s">
        <v>34</v>
      </c>
      <c r="L4092" s="306" t="s">
        <v>1513</v>
      </c>
      <c r="M4092" s="306" t="s">
        <v>1514</v>
      </c>
      <c r="N4092" s="2989"/>
      <c r="O4092" s="3000"/>
      <c r="P4092" s="3001"/>
      <c r="Q4092" s="1111" t="s">
        <v>35</v>
      </c>
      <c r="R4092" s="1111" t="s">
        <v>36</v>
      </c>
      <c r="S4092" s="1111" t="s">
        <v>37</v>
      </c>
      <c r="T4092" s="1111" t="s">
        <v>38</v>
      </c>
      <c r="U4092" s="1111" t="s">
        <v>39</v>
      </c>
      <c r="V4092" s="1111" t="s">
        <v>40</v>
      </c>
      <c r="W4092" s="1111" t="s">
        <v>41</v>
      </c>
      <c r="X4092" s="1111" t="s">
        <v>42</v>
      </c>
      <c r="Y4092" s="1111" t="s">
        <v>43</v>
      </c>
      <c r="Z4092" s="1111" t="s">
        <v>44</v>
      </c>
      <c r="AA4092" s="1111" t="s">
        <v>45</v>
      </c>
      <c r="AB4092" s="1111" t="s">
        <v>46</v>
      </c>
      <c r="AC4092" s="3479"/>
    </row>
    <row r="4093" spans="1:29" x14ac:dyDescent="0.2">
      <c r="A4093" s="179"/>
      <c r="B4093" s="3190" t="s">
        <v>1711</v>
      </c>
      <c r="C4093" s="2421" t="s">
        <v>1712</v>
      </c>
      <c r="D4093" s="2421"/>
      <c r="E4093" s="2421" t="s">
        <v>1517</v>
      </c>
      <c r="F4093" s="2421" t="s">
        <v>1630</v>
      </c>
      <c r="G4093" s="2421" t="s">
        <v>1685</v>
      </c>
      <c r="H4093" s="2421"/>
      <c r="I4093" s="2421" t="s">
        <v>1636</v>
      </c>
      <c r="J4093" s="3483">
        <v>168</v>
      </c>
      <c r="K4093" s="3497">
        <f>+AC4094</f>
        <v>518760</v>
      </c>
      <c r="L4093" s="1"/>
      <c r="M4093" s="542"/>
      <c r="N4093" s="3297" t="s">
        <v>1713</v>
      </c>
      <c r="O4093" s="1111" t="s">
        <v>51</v>
      </c>
      <c r="P4093" s="1111"/>
      <c r="Q4093" s="1111">
        <f>+J4093/12</f>
        <v>14</v>
      </c>
      <c r="R4093" s="1111">
        <f>+Q4093</f>
        <v>14</v>
      </c>
      <c r="S4093" s="1111">
        <f t="shared" ref="S4093:AB4093" si="662">+R4093</f>
        <v>14</v>
      </c>
      <c r="T4093" s="1111">
        <f t="shared" si="662"/>
        <v>14</v>
      </c>
      <c r="U4093" s="1111">
        <f t="shared" si="662"/>
        <v>14</v>
      </c>
      <c r="V4093" s="1111">
        <f t="shared" si="662"/>
        <v>14</v>
      </c>
      <c r="W4093" s="1111">
        <f t="shared" si="662"/>
        <v>14</v>
      </c>
      <c r="X4093" s="1111">
        <f t="shared" si="662"/>
        <v>14</v>
      </c>
      <c r="Y4093" s="1111">
        <f t="shared" si="662"/>
        <v>14</v>
      </c>
      <c r="Z4093" s="1111">
        <f t="shared" si="662"/>
        <v>14</v>
      </c>
      <c r="AA4093" s="1111">
        <f t="shared" si="662"/>
        <v>14</v>
      </c>
      <c r="AB4093" s="1111">
        <f t="shared" si="662"/>
        <v>14</v>
      </c>
      <c r="AC4093" s="274">
        <f>SUM(Q4093:AB4093)</f>
        <v>168</v>
      </c>
    </row>
    <row r="4094" spans="1:29" x14ac:dyDescent="0.2">
      <c r="A4094" s="179"/>
      <c r="B4094" s="3191"/>
      <c r="C4094" s="2421"/>
      <c r="D4094" s="2421"/>
      <c r="E4094" s="2421"/>
      <c r="F4094" s="2421"/>
      <c r="G4094" s="2421"/>
      <c r="H4094" s="2421"/>
      <c r="I4094" s="2421"/>
      <c r="J4094" s="3483"/>
      <c r="K4094" s="3483"/>
      <c r="L4094" s="1"/>
      <c r="M4094" s="1"/>
      <c r="N4094" s="3298"/>
      <c r="O4094" s="2840" t="s">
        <v>1340</v>
      </c>
      <c r="P4094" s="2840"/>
      <c r="Q4094" s="274">
        <f>+SUM(Q4095:Q4107)</f>
        <v>39605.000000000007</v>
      </c>
      <c r="R4094" s="274">
        <f t="shared" ref="R4094:AC4094" si="663">+SUM(R4095:R4107)</f>
        <v>39605.000000000007</v>
      </c>
      <c r="S4094" s="274">
        <f t="shared" si="663"/>
        <v>43305.000000000007</v>
      </c>
      <c r="T4094" s="274">
        <f t="shared" si="663"/>
        <v>52105.000000000007</v>
      </c>
      <c r="U4094" s="274">
        <f t="shared" si="663"/>
        <v>43305.000000000007</v>
      </c>
      <c r="V4094" s="274">
        <f t="shared" si="663"/>
        <v>39605.000000000007</v>
      </c>
      <c r="W4094" s="274">
        <f t="shared" si="663"/>
        <v>43305.000000000007</v>
      </c>
      <c r="X4094" s="274">
        <f t="shared" si="663"/>
        <v>55805.000000000007</v>
      </c>
      <c r="Y4094" s="274">
        <f t="shared" si="663"/>
        <v>39605.000000000007</v>
      </c>
      <c r="Z4094" s="274">
        <f t="shared" si="663"/>
        <v>43305.000000000007</v>
      </c>
      <c r="AA4094" s="274">
        <f t="shared" si="663"/>
        <v>39605.000000000007</v>
      </c>
      <c r="AB4094" s="274">
        <f t="shared" si="663"/>
        <v>39605.000000000007</v>
      </c>
      <c r="AC4094" s="274">
        <f t="shared" si="663"/>
        <v>518760</v>
      </c>
    </row>
    <row r="4095" spans="1:29" x14ac:dyDescent="0.2">
      <c r="A4095" s="179"/>
      <c r="B4095" s="3191"/>
      <c r="C4095" s="2421"/>
      <c r="D4095" s="2421"/>
      <c r="E4095" s="2421"/>
      <c r="F4095" s="2421"/>
      <c r="G4095" s="2421"/>
      <c r="H4095" s="2421"/>
      <c r="I4095" s="2421"/>
      <c r="J4095" s="3483"/>
      <c r="K4095" s="3483"/>
      <c r="L4095" s="1">
        <v>155481</v>
      </c>
      <c r="M4095" s="1"/>
      <c r="N4095" s="3298"/>
      <c r="O4095" s="1090">
        <v>211311</v>
      </c>
      <c r="P4095" s="913" t="s">
        <v>1535</v>
      </c>
      <c r="Q4095" s="278">
        <v>12956.75</v>
      </c>
      <c r="R4095" s="278">
        <v>12956.75</v>
      </c>
      <c r="S4095" s="278">
        <v>12956.75</v>
      </c>
      <c r="T4095" s="278">
        <v>12956.75</v>
      </c>
      <c r="U4095" s="278">
        <v>12956.75</v>
      </c>
      <c r="V4095" s="278">
        <v>12956.75</v>
      </c>
      <c r="W4095" s="278">
        <v>12956.75</v>
      </c>
      <c r="X4095" s="278">
        <v>12956.75</v>
      </c>
      <c r="Y4095" s="278">
        <v>12956.75</v>
      </c>
      <c r="Z4095" s="278">
        <v>12956.75</v>
      </c>
      <c r="AA4095" s="278">
        <v>12956.75</v>
      </c>
      <c r="AB4095" s="278">
        <v>12956.75</v>
      </c>
      <c r="AC4095" s="278">
        <f t="shared" ref="AC4095:AC4107" si="664">+SUM(Q4095:AB4095)</f>
        <v>155481</v>
      </c>
    </row>
    <row r="4096" spans="1:29" x14ac:dyDescent="0.2">
      <c r="A4096" s="179"/>
      <c r="B4096" s="3191"/>
      <c r="C4096" s="2421"/>
      <c r="D4096" s="2421"/>
      <c r="E4096" s="2421"/>
      <c r="F4096" s="2421"/>
      <c r="G4096" s="2421"/>
      <c r="H4096" s="2421"/>
      <c r="I4096" s="2421"/>
      <c r="J4096" s="3483"/>
      <c r="K4096" s="3483"/>
      <c r="L4096" s="1">
        <v>12451</v>
      </c>
      <c r="M4096" s="1"/>
      <c r="N4096" s="3298"/>
      <c r="O4096" s="1090">
        <v>211312</v>
      </c>
      <c r="P4096" s="913" t="s">
        <v>1641</v>
      </c>
      <c r="Q4096" s="278">
        <v>1037.5833333333333</v>
      </c>
      <c r="R4096" s="278">
        <v>1037.5833333333333</v>
      </c>
      <c r="S4096" s="278">
        <v>1037.5833333333333</v>
      </c>
      <c r="T4096" s="278">
        <v>1037.5833333333333</v>
      </c>
      <c r="U4096" s="278">
        <v>1037.5833333333333</v>
      </c>
      <c r="V4096" s="278">
        <v>1037.5833333333333</v>
      </c>
      <c r="W4096" s="278">
        <v>1037.5833333333333</v>
      </c>
      <c r="X4096" s="278">
        <v>1037.5833333333333</v>
      </c>
      <c r="Y4096" s="278">
        <v>1037.5833333333333</v>
      </c>
      <c r="Z4096" s="278">
        <v>1037.5833333333333</v>
      </c>
      <c r="AA4096" s="278">
        <v>1037.5833333333333</v>
      </c>
      <c r="AB4096" s="278">
        <v>1037.5833333333333</v>
      </c>
      <c r="AC4096" s="278">
        <f t="shared" si="664"/>
        <v>12451.000000000002</v>
      </c>
    </row>
    <row r="4097" spans="1:29" x14ac:dyDescent="0.2">
      <c r="A4097" s="179"/>
      <c r="B4097" s="3191"/>
      <c r="C4097" s="2421"/>
      <c r="D4097" s="2421"/>
      <c r="E4097" s="2421"/>
      <c r="F4097" s="2421"/>
      <c r="G4097" s="2421"/>
      <c r="H4097" s="2421"/>
      <c r="I4097" s="2421"/>
      <c r="J4097" s="3483"/>
      <c r="K4097" s="3483"/>
      <c r="L4097" s="1">
        <v>15421</v>
      </c>
      <c r="M4097" s="1"/>
      <c r="N4097" s="3298"/>
      <c r="O4097" s="1090">
        <v>211321</v>
      </c>
      <c r="P4097" s="913" t="s">
        <v>1535</v>
      </c>
      <c r="Q4097" s="278">
        <v>1285.0833333333333</v>
      </c>
      <c r="R4097" s="278">
        <v>1285.0833333333333</v>
      </c>
      <c r="S4097" s="278">
        <v>1285.0833333333333</v>
      </c>
      <c r="T4097" s="278">
        <v>1285.0833333333333</v>
      </c>
      <c r="U4097" s="278">
        <v>1285.0833333333333</v>
      </c>
      <c r="V4097" s="278">
        <v>1285.0833333333333</v>
      </c>
      <c r="W4097" s="278">
        <v>1285.0833333333333</v>
      </c>
      <c r="X4097" s="278">
        <v>1285.0833333333333</v>
      </c>
      <c r="Y4097" s="278">
        <v>1285.0833333333333</v>
      </c>
      <c r="Z4097" s="278">
        <v>1285.0833333333333</v>
      </c>
      <c r="AA4097" s="278">
        <v>1285.0833333333333</v>
      </c>
      <c r="AB4097" s="278">
        <v>1285.0833333333333</v>
      </c>
      <c r="AC4097" s="278">
        <f t="shared" si="664"/>
        <v>15421.000000000002</v>
      </c>
    </row>
    <row r="4098" spans="1:29" x14ac:dyDescent="0.2">
      <c r="A4098" s="179"/>
      <c r="B4098" s="3191"/>
      <c r="C4098" s="2421"/>
      <c r="D4098" s="2421"/>
      <c r="E4098" s="2421"/>
      <c r="F4098" s="2421"/>
      <c r="G4098" s="2421"/>
      <c r="H4098" s="2421"/>
      <c r="I4098" s="2421"/>
      <c r="J4098" s="3483"/>
      <c r="K4098" s="3483"/>
      <c r="L4098" s="1">
        <v>25000</v>
      </c>
      <c r="M4098" s="1"/>
      <c r="N4098" s="3298"/>
      <c r="O4098" s="1090">
        <v>211322</v>
      </c>
      <c r="P4098" s="913" t="s">
        <v>1641</v>
      </c>
      <c r="Q4098" s="278">
        <v>2083.3333333333335</v>
      </c>
      <c r="R4098" s="278">
        <v>2083.3333333333335</v>
      </c>
      <c r="S4098" s="278">
        <v>2083.3333333333335</v>
      </c>
      <c r="T4098" s="278">
        <v>2083.3333333333335</v>
      </c>
      <c r="U4098" s="278">
        <v>2083.3333333333335</v>
      </c>
      <c r="V4098" s="278">
        <v>2083.3333333333335</v>
      </c>
      <c r="W4098" s="278">
        <v>2083.3333333333335</v>
      </c>
      <c r="X4098" s="278">
        <v>2083.3333333333335</v>
      </c>
      <c r="Y4098" s="278">
        <v>2083.3333333333335</v>
      </c>
      <c r="Z4098" s="278">
        <v>2083.3333333333335</v>
      </c>
      <c r="AA4098" s="278">
        <v>2083.3333333333335</v>
      </c>
      <c r="AB4098" s="278">
        <v>2083.3333333333335</v>
      </c>
      <c r="AC4098" s="278">
        <f t="shared" si="664"/>
        <v>24999.999999999996</v>
      </c>
    </row>
    <row r="4099" spans="1:29" x14ac:dyDescent="0.2">
      <c r="A4099" s="179"/>
      <c r="B4099" s="3191"/>
      <c r="C4099" s="2421"/>
      <c r="D4099" s="2421"/>
      <c r="E4099" s="2421"/>
      <c r="F4099" s="2421"/>
      <c r="G4099" s="2421"/>
      <c r="H4099" s="2421"/>
      <c r="I4099" s="2421"/>
      <c r="J4099" s="3483"/>
      <c r="K4099" s="3483"/>
      <c r="L4099" s="1">
        <v>110868</v>
      </c>
      <c r="M4099" s="1"/>
      <c r="N4099" s="3298"/>
      <c r="O4099" s="1090">
        <v>211331</v>
      </c>
      <c r="P4099" s="913" t="s">
        <v>1538</v>
      </c>
      <c r="Q4099" s="278">
        <v>9239</v>
      </c>
      <c r="R4099" s="278">
        <v>9239</v>
      </c>
      <c r="S4099" s="278">
        <v>9239</v>
      </c>
      <c r="T4099" s="278">
        <v>9239</v>
      </c>
      <c r="U4099" s="278">
        <v>9239</v>
      </c>
      <c r="V4099" s="278">
        <v>9239</v>
      </c>
      <c r="W4099" s="278">
        <v>9239</v>
      </c>
      <c r="X4099" s="278">
        <v>9239</v>
      </c>
      <c r="Y4099" s="278">
        <v>9239</v>
      </c>
      <c r="Z4099" s="278">
        <v>9239</v>
      </c>
      <c r="AA4099" s="278">
        <v>9239</v>
      </c>
      <c r="AB4099" s="278">
        <v>9239</v>
      </c>
      <c r="AC4099" s="278">
        <f t="shared" si="664"/>
        <v>110868</v>
      </c>
    </row>
    <row r="4100" spans="1:29" x14ac:dyDescent="0.2">
      <c r="A4100" s="179"/>
      <c r="B4100" s="3191"/>
      <c r="C4100" s="2421"/>
      <c r="D4100" s="2421"/>
      <c r="E4100" s="2421"/>
      <c r="F4100" s="2421"/>
      <c r="G4100" s="2421"/>
      <c r="H4100" s="2421"/>
      <c r="I4100" s="2421"/>
      <c r="J4100" s="3483"/>
      <c r="K4100" s="3483"/>
      <c r="L4100" s="1">
        <v>16976</v>
      </c>
      <c r="M4100" s="1"/>
      <c r="N4100" s="3298"/>
      <c r="O4100" s="1090">
        <v>2113399</v>
      </c>
      <c r="P4100" s="913" t="s">
        <v>1699</v>
      </c>
      <c r="Q4100" s="278">
        <v>1414.6666666666667</v>
      </c>
      <c r="R4100" s="278">
        <v>1414.6666666666667</v>
      </c>
      <c r="S4100" s="278">
        <v>1414.6666666666667</v>
      </c>
      <c r="T4100" s="278">
        <v>1414.6666666666667</v>
      </c>
      <c r="U4100" s="278">
        <v>1414.6666666666667</v>
      </c>
      <c r="V4100" s="278">
        <v>1414.6666666666667</v>
      </c>
      <c r="W4100" s="278">
        <v>1414.6666666666667</v>
      </c>
      <c r="X4100" s="278">
        <v>1414.6666666666667</v>
      </c>
      <c r="Y4100" s="278">
        <v>1414.6666666666667</v>
      </c>
      <c r="Z4100" s="278">
        <v>1414.6666666666667</v>
      </c>
      <c r="AA4100" s="278">
        <v>1414.6666666666667</v>
      </c>
      <c r="AB4100" s="278">
        <v>1414.6666666666667</v>
      </c>
      <c r="AC4100" s="278">
        <f t="shared" si="664"/>
        <v>16975.999999999996</v>
      </c>
    </row>
    <row r="4101" spans="1:29" x14ac:dyDescent="0.2">
      <c r="A4101" s="179"/>
      <c r="B4101" s="3191"/>
      <c r="C4101" s="2421"/>
      <c r="D4101" s="2421"/>
      <c r="E4101" s="2421"/>
      <c r="F4101" s="2421"/>
      <c r="G4101" s="2421"/>
      <c r="H4101" s="2421"/>
      <c r="I4101" s="2421"/>
      <c r="J4101" s="3483"/>
      <c r="K4101" s="3483"/>
      <c r="L4101" s="1">
        <v>3600</v>
      </c>
      <c r="M4101" s="1"/>
      <c r="N4101" s="3298"/>
      <c r="O4101" s="1090">
        <v>211912</v>
      </c>
      <c r="P4101" s="913" t="s">
        <v>1321</v>
      </c>
      <c r="Q4101" s="278">
        <v>300</v>
      </c>
      <c r="R4101" s="278">
        <v>300</v>
      </c>
      <c r="S4101" s="278">
        <v>300</v>
      </c>
      <c r="T4101" s="278">
        <v>300</v>
      </c>
      <c r="U4101" s="278">
        <v>300</v>
      </c>
      <c r="V4101" s="278">
        <v>300</v>
      </c>
      <c r="W4101" s="278">
        <v>300</v>
      </c>
      <c r="X4101" s="278">
        <v>300</v>
      </c>
      <c r="Y4101" s="278">
        <v>300</v>
      </c>
      <c r="Z4101" s="278">
        <v>300</v>
      </c>
      <c r="AA4101" s="278">
        <v>300</v>
      </c>
      <c r="AB4101" s="278">
        <v>300</v>
      </c>
      <c r="AC4101" s="278">
        <f t="shared" si="664"/>
        <v>3600</v>
      </c>
    </row>
    <row r="4102" spans="1:29" x14ac:dyDescent="0.2">
      <c r="A4102" s="179"/>
      <c r="B4102" s="3191"/>
      <c r="C4102" s="2421"/>
      <c r="D4102" s="2421"/>
      <c r="E4102" s="2421"/>
      <c r="F4102" s="2421"/>
      <c r="G4102" s="2421"/>
      <c r="H4102" s="2421"/>
      <c r="I4102" s="2421"/>
      <c r="J4102" s="3483"/>
      <c r="K4102" s="3483"/>
      <c r="L4102" s="1">
        <v>2400</v>
      </c>
      <c r="M4102" s="1"/>
      <c r="N4102" s="3298"/>
      <c r="O4102" s="1090">
        <v>211913</v>
      </c>
      <c r="P4102" s="913" t="s">
        <v>1323</v>
      </c>
      <c r="Q4102" s="278">
        <v>200</v>
      </c>
      <c r="R4102" s="278">
        <v>200</v>
      </c>
      <c r="S4102" s="278">
        <v>200</v>
      </c>
      <c r="T4102" s="278">
        <v>200</v>
      </c>
      <c r="U4102" s="278">
        <v>200</v>
      </c>
      <c r="V4102" s="278">
        <v>200</v>
      </c>
      <c r="W4102" s="278">
        <v>200</v>
      </c>
      <c r="X4102" s="278">
        <v>200</v>
      </c>
      <c r="Y4102" s="278">
        <v>200</v>
      </c>
      <c r="Z4102" s="278">
        <v>200</v>
      </c>
      <c r="AA4102" s="278">
        <v>200</v>
      </c>
      <c r="AB4102" s="278">
        <v>200</v>
      </c>
      <c r="AC4102" s="278">
        <f t="shared" si="664"/>
        <v>2400</v>
      </c>
    </row>
    <row r="4103" spans="1:29" x14ac:dyDescent="0.2">
      <c r="A4103" s="179"/>
      <c r="B4103" s="3191"/>
      <c r="C4103" s="2421"/>
      <c r="D4103" s="2421"/>
      <c r="E4103" s="2421"/>
      <c r="F4103" s="2421"/>
      <c r="G4103" s="2421"/>
      <c r="H4103" s="2421"/>
      <c r="I4103" s="2421"/>
      <c r="J4103" s="3483"/>
      <c r="K4103" s="3483"/>
      <c r="L4103" s="1">
        <v>11451</v>
      </c>
      <c r="M4103" s="1"/>
      <c r="N4103" s="3298"/>
      <c r="O4103" s="1090">
        <v>213115</v>
      </c>
      <c r="P4103" s="913" t="s">
        <v>1329</v>
      </c>
      <c r="Q4103" s="278">
        <v>954.25</v>
      </c>
      <c r="R4103" s="278">
        <v>954.25</v>
      </c>
      <c r="S4103" s="278">
        <v>954.25</v>
      </c>
      <c r="T4103" s="278">
        <v>954.25</v>
      </c>
      <c r="U4103" s="278">
        <v>954.25</v>
      </c>
      <c r="V4103" s="278">
        <v>954.25</v>
      </c>
      <c r="W4103" s="278">
        <v>954.25</v>
      </c>
      <c r="X4103" s="278">
        <v>954.25</v>
      </c>
      <c r="Y4103" s="278">
        <v>954.25</v>
      </c>
      <c r="Z4103" s="278">
        <v>954.25</v>
      </c>
      <c r="AA4103" s="278">
        <v>954.25</v>
      </c>
      <c r="AB4103" s="278">
        <v>954.25</v>
      </c>
      <c r="AC4103" s="278">
        <f t="shared" si="664"/>
        <v>11451</v>
      </c>
    </row>
    <row r="4104" spans="1:29" x14ac:dyDescent="0.2">
      <c r="A4104" s="179"/>
      <c r="B4104" s="3191"/>
      <c r="C4104" s="2421"/>
      <c r="D4104" s="2421"/>
      <c r="E4104" s="2421"/>
      <c r="F4104" s="2421"/>
      <c r="G4104" s="2421"/>
      <c r="H4104" s="2421"/>
      <c r="I4104" s="2421"/>
      <c r="J4104" s="3483"/>
      <c r="K4104" s="3483"/>
      <c r="L4104" s="1">
        <v>25000</v>
      </c>
      <c r="M4104" s="1"/>
      <c r="N4104" s="3298"/>
      <c r="O4104" s="1090">
        <v>231812</v>
      </c>
      <c r="P4104" s="913" t="s">
        <v>1564</v>
      </c>
      <c r="Q4104" s="278"/>
      <c r="R4104" s="278"/>
      <c r="S4104" s="278"/>
      <c r="T4104" s="278">
        <f>+L4104/2</f>
        <v>12500</v>
      </c>
      <c r="U4104" s="278"/>
      <c r="V4104" s="278"/>
      <c r="W4104" s="278"/>
      <c r="X4104" s="278">
        <v>12500</v>
      </c>
      <c r="Y4104" s="278"/>
      <c r="Z4104" s="278"/>
      <c r="AA4104" s="278"/>
      <c r="AB4104" s="278"/>
      <c r="AC4104" s="278">
        <f t="shared" si="664"/>
        <v>25000</v>
      </c>
    </row>
    <row r="4105" spans="1:29" x14ac:dyDescent="0.2">
      <c r="A4105" s="179"/>
      <c r="B4105" s="3191"/>
      <c r="C4105" s="2421"/>
      <c r="D4105" s="2421"/>
      <c r="E4105" s="2421"/>
      <c r="F4105" s="2421"/>
      <c r="G4105" s="2421"/>
      <c r="H4105" s="2421"/>
      <c r="I4105" s="2421"/>
      <c r="J4105" s="3483"/>
      <c r="K4105" s="3483"/>
      <c r="L4105" s="1">
        <v>18500</v>
      </c>
      <c r="M4105" s="1"/>
      <c r="N4105" s="3298"/>
      <c r="O4105" s="1090">
        <v>231821</v>
      </c>
      <c r="P4105" s="913" t="s">
        <v>1566</v>
      </c>
      <c r="Q4105" s="278"/>
      <c r="R4105" s="278"/>
      <c r="S4105" s="278">
        <f>+L4105/5</f>
        <v>3700</v>
      </c>
      <c r="T4105" s="278"/>
      <c r="U4105" s="278">
        <v>3700</v>
      </c>
      <c r="V4105" s="278"/>
      <c r="W4105" s="278">
        <v>3700</v>
      </c>
      <c r="X4105" s="278">
        <v>3700</v>
      </c>
      <c r="Y4105" s="278"/>
      <c r="Z4105" s="278">
        <v>3700</v>
      </c>
      <c r="AA4105" s="278"/>
      <c r="AB4105" s="278"/>
      <c r="AC4105" s="278">
        <f t="shared" si="664"/>
        <v>18500</v>
      </c>
    </row>
    <row r="4106" spans="1:29" x14ac:dyDescent="0.2">
      <c r="A4106" s="179"/>
      <c r="B4106" s="3191"/>
      <c r="C4106" s="2421"/>
      <c r="D4106" s="2421"/>
      <c r="E4106" s="2421"/>
      <c r="F4106" s="2421"/>
      <c r="G4106" s="2421"/>
      <c r="H4106" s="2421"/>
      <c r="I4106" s="2421"/>
      <c r="J4106" s="3483"/>
      <c r="K4106" s="3483"/>
      <c r="L4106" s="1">
        <v>110667</v>
      </c>
      <c r="M4106" s="1"/>
      <c r="N4106" s="3298"/>
      <c r="O4106" s="1090">
        <v>232811</v>
      </c>
      <c r="P4106" s="913" t="s">
        <v>1331</v>
      </c>
      <c r="Q4106" s="278">
        <v>9222.25</v>
      </c>
      <c r="R4106" s="278">
        <v>9222.25</v>
      </c>
      <c r="S4106" s="278">
        <v>9222.25</v>
      </c>
      <c r="T4106" s="278">
        <v>9222.25</v>
      </c>
      <c r="U4106" s="278">
        <v>9222.25</v>
      </c>
      <c r="V4106" s="278">
        <v>9222.25</v>
      </c>
      <c r="W4106" s="278">
        <v>9222.25</v>
      </c>
      <c r="X4106" s="278">
        <v>9222.25</v>
      </c>
      <c r="Y4106" s="278">
        <v>9222.25</v>
      </c>
      <c r="Z4106" s="278">
        <v>9222.25</v>
      </c>
      <c r="AA4106" s="278">
        <v>9222.25</v>
      </c>
      <c r="AB4106" s="278">
        <v>9222.25</v>
      </c>
      <c r="AC4106" s="278">
        <f t="shared" si="664"/>
        <v>110667</v>
      </c>
    </row>
    <row r="4107" spans="1:29" x14ac:dyDescent="0.2">
      <c r="A4107" s="179"/>
      <c r="B4107" s="2439"/>
      <c r="C4107" s="2421"/>
      <c r="D4107" s="2421"/>
      <c r="E4107" s="2421"/>
      <c r="F4107" s="2421"/>
      <c r="G4107" s="2421"/>
      <c r="H4107" s="2421"/>
      <c r="I4107" s="2421"/>
      <c r="J4107" s="3483"/>
      <c r="K4107" s="3483"/>
      <c r="L4107" s="1">
        <v>10945</v>
      </c>
      <c r="M4107" s="1"/>
      <c r="N4107" s="3299"/>
      <c r="O4107" s="1090">
        <v>232812</v>
      </c>
      <c r="P4107" s="913" t="s">
        <v>1333</v>
      </c>
      <c r="Q4107" s="278">
        <v>912.08333333333337</v>
      </c>
      <c r="R4107" s="278">
        <v>912.08333333333337</v>
      </c>
      <c r="S4107" s="278">
        <v>912.08333333333337</v>
      </c>
      <c r="T4107" s="278">
        <v>912.08333333333337</v>
      </c>
      <c r="U4107" s="278">
        <v>912.08333333333337</v>
      </c>
      <c r="V4107" s="278">
        <v>912.08333333333337</v>
      </c>
      <c r="W4107" s="278">
        <v>912.08333333333337</v>
      </c>
      <c r="X4107" s="278">
        <v>912.08333333333337</v>
      </c>
      <c r="Y4107" s="278">
        <v>912.08333333333337</v>
      </c>
      <c r="Z4107" s="278">
        <v>912.08333333333337</v>
      </c>
      <c r="AA4107" s="278">
        <v>912.08333333333337</v>
      </c>
      <c r="AB4107" s="278">
        <v>912.08333333333337</v>
      </c>
      <c r="AC4107" s="278">
        <f t="shared" si="664"/>
        <v>10945.000000000002</v>
      </c>
    </row>
    <row r="4108" spans="1:29" s="289" customFormat="1" x14ac:dyDescent="0.2">
      <c r="A4108" s="540"/>
      <c r="B4108" s="3474" t="s">
        <v>312</v>
      </c>
      <c r="C4108" s="3475"/>
      <c r="D4108" s="3475"/>
      <c r="E4108" s="3475"/>
      <c r="F4108" s="3475"/>
      <c r="G4108" s="3475"/>
      <c r="H4108" s="3475"/>
      <c r="I4108" s="3475"/>
      <c r="J4108" s="3475"/>
      <c r="K4108" s="3475"/>
      <c r="L4108" s="284">
        <f>+SUM(L4095:L4107)</f>
        <v>518760</v>
      </c>
      <c r="M4108" s="284">
        <f>+SUM(M4095:M4107)</f>
        <v>0</v>
      </c>
      <c r="N4108" s="285"/>
      <c r="O4108" s="1148"/>
      <c r="P4108" s="286"/>
      <c r="Q4108" s="287"/>
      <c r="R4108" s="288"/>
      <c r="S4108" s="287"/>
      <c r="T4108" s="288"/>
      <c r="U4108" s="287"/>
      <c r="V4108" s="288"/>
      <c r="W4108" s="287"/>
      <c r="X4108" s="288"/>
      <c r="Y4108" s="287"/>
      <c r="Z4108" s="288"/>
      <c r="AA4108" s="287"/>
      <c r="AB4108" s="288"/>
      <c r="AC4108" s="287"/>
    </row>
    <row r="4109" spans="1:29" x14ac:dyDescent="0.2">
      <c r="A4109" s="179"/>
      <c r="B4109" s="2999" t="s">
        <v>20</v>
      </c>
      <c r="C4109" s="2847" t="s">
        <v>21</v>
      </c>
      <c r="D4109" s="2847" t="s">
        <v>22</v>
      </c>
      <c r="E4109" s="2847" t="s">
        <v>23</v>
      </c>
      <c r="F4109" s="2847" t="s">
        <v>24</v>
      </c>
      <c r="G4109" s="2847" t="s">
        <v>25</v>
      </c>
      <c r="H4109" s="2847" t="s">
        <v>26</v>
      </c>
      <c r="I4109" s="2847" t="s">
        <v>27</v>
      </c>
      <c r="J4109" s="2986" t="s">
        <v>28</v>
      </c>
      <c r="K4109" s="2987"/>
      <c r="L4109" s="2986" t="s">
        <v>1628</v>
      </c>
      <c r="M4109" s="2987"/>
      <c r="N4109" s="2988" t="s">
        <v>29</v>
      </c>
      <c r="O4109" s="2986" t="s">
        <v>30</v>
      </c>
      <c r="P4109" s="2987"/>
      <c r="Q4109" s="3489" t="s">
        <v>31</v>
      </c>
      <c r="R4109" s="3490"/>
      <c r="S4109" s="3490"/>
      <c r="T4109" s="3490"/>
      <c r="U4109" s="3490"/>
      <c r="V4109" s="3490"/>
      <c r="W4109" s="3490"/>
      <c r="X4109" s="3490"/>
      <c r="Y4109" s="3490"/>
      <c r="Z4109" s="3490"/>
      <c r="AA4109" s="3490"/>
      <c r="AB4109" s="3491"/>
      <c r="AC4109" s="3479" t="s">
        <v>32</v>
      </c>
    </row>
    <row r="4110" spans="1:29" x14ac:dyDescent="0.2">
      <c r="A4110" s="179"/>
      <c r="B4110" s="2999"/>
      <c r="C4110" s="2847"/>
      <c r="D4110" s="2847"/>
      <c r="E4110" s="2847"/>
      <c r="F4110" s="2847"/>
      <c r="G4110" s="2847"/>
      <c r="H4110" s="2847"/>
      <c r="I4110" s="2847"/>
      <c r="J4110" s="1017" t="s">
        <v>33</v>
      </c>
      <c r="K4110" s="1017" t="s">
        <v>34</v>
      </c>
      <c r="L4110" s="306" t="s">
        <v>1513</v>
      </c>
      <c r="M4110" s="306" t="s">
        <v>1514</v>
      </c>
      <c r="N4110" s="2989"/>
      <c r="O4110" s="3000"/>
      <c r="P4110" s="3001"/>
      <c r="Q4110" s="1111" t="s">
        <v>35</v>
      </c>
      <c r="R4110" s="1111" t="s">
        <v>36</v>
      </c>
      <c r="S4110" s="1111" t="s">
        <v>37</v>
      </c>
      <c r="T4110" s="1111" t="s">
        <v>38</v>
      </c>
      <c r="U4110" s="1111" t="s">
        <v>39</v>
      </c>
      <c r="V4110" s="1111" t="s">
        <v>40</v>
      </c>
      <c r="W4110" s="1111" t="s">
        <v>41</v>
      </c>
      <c r="X4110" s="1111" t="s">
        <v>42</v>
      </c>
      <c r="Y4110" s="1111" t="s">
        <v>43</v>
      </c>
      <c r="Z4110" s="1111" t="s">
        <v>44</v>
      </c>
      <c r="AA4110" s="1111" t="s">
        <v>45</v>
      </c>
      <c r="AB4110" s="1111" t="s">
        <v>46</v>
      </c>
      <c r="AC4110" s="3479"/>
    </row>
    <row r="4111" spans="1:29" x14ac:dyDescent="0.2">
      <c r="A4111" s="179"/>
      <c r="B4111" s="3190" t="s">
        <v>1714</v>
      </c>
      <c r="C4111" s="3190" t="s">
        <v>1715</v>
      </c>
      <c r="D4111" s="2421"/>
      <c r="E4111" s="2421">
        <v>20</v>
      </c>
      <c r="F4111" s="2421" t="s">
        <v>1630</v>
      </c>
      <c r="G4111" s="2421" t="s">
        <v>1680</v>
      </c>
      <c r="H4111" s="2421"/>
      <c r="I4111" s="2421" t="s">
        <v>1636</v>
      </c>
      <c r="J4111" s="2421">
        <v>812</v>
      </c>
      <c r="K4111" s="3488">
        <v>687860</v>
      </c>
      <c r="L4111" s="542"/>
      <c r="M4111" s="542"/>
      <c r="N4111" s="2431" t="s">
        <v>1716</v>
      </c>
      <c r="O4111" s="1111" t="s">
        <v>51</v>
      </c>
      <c r="P4111" s="1111"/>
      <c r="Q4111" s="1111">
        <v>67</v>
      </c>
      <c r="R4111" s="1111">
        <v>67</v>
      </c>
      <c r="S4111" s="1111">
        <v>67</v>
      </c>
      <c r="T4111" s="1111">
        <v>67</v>
      </c>
      <c r="U4111" s="1111">
        <v>67</v>
      </c>
      <c r="V4111" s="1111">
        <v>63</v>
      </c>
      <c r="W4111" s="1111">
        <v>73</v>
      </c>
      <c r="X4111" s="1111">
        <v>67</v>
      </c>
      <c r="Y4111" s="1111">
        <v>67</v>
      </c>
      <c r="Z4111" s="1111">
        <v>67</v>
      </c>
      <c r="AA4111" s="1111">
        <v>67</v>
      </c>
      <c r="AB4111" s="1111">
        <v>73</v>
      </c>
      <c r="AC4111" s="1111">
        <f>SUM(Q4111:AB4111)</f>
        <v>812</v>
      </c>
    </row>
    <row r="4112" spans="1:29" x14ac:dyDescent="0.2">
      <c r="A4112" s="179"/>
      <c r="B4112" s="3191"/>
      <c r="C4112" s="3191"/>
      <c r="D4112" s="2421"/>
      <c r="E4112" s="2421"/>
      <c r="F4112" s="2421"/>
      <c r="G4112" s="2421"/>
      <c r="H4112" s="2421"/>
      <c r="I4112" s="2421"/>
      <c r="J4112" s="2421"/>
      <c r="K4112" s="3488"/>
      <c r="L4112" s="1"/>
      <c r="M4112" s="1"/>
      <c r="N4112" s="2432"/>
      <c r="O4112" s="2840" t="s">
        <v>1340</v>
      </c>
      <c r="P4112" s="2840"/>
      <c r="Q4112" s="274">
        <f>+SUM(Q4113:Q4154)</f>
        <v>21454.833333333332</v>
      </c>
      <c r="R4112" s="274">
        <f t="shared" ref="R4112:AC4112" si="665">+SUM(R4113:R4154)</f>
        <v>29224.454545454544</v>
      </c>
      <c r="S4112" s="274">
        <f t="shared" si="665"/>
        <v>52134.654545454541</v>
      </c>
      <c r="T4112" s="274">
        <f t="shared" si="665"/>
        <v>83931.354545454553</v>
      </c>
      <c r="U4112" s="274">
        <f t="shared" si="665"/>
        <v>72924.05454545455</v>
      </c>
      <c r="V4112" s="274">
        <f t="shared" si="665"/>
        <v>54581.854545454546</v>
      </c>
      <c r="W4112" s="274">
        <f t="shared" si="665"/>
        <v>70277.05454545455</v>
      </c>
      <c r="X4112" s="274">
        <f t="shared" si="665"/>
        <v>81035.354545454553</v>
      </c>
      <c r="Y4112" s="274">
        <f t="shared" si="665"/>
        <v>46135.654545454541</v>
      </c>
      <c r="Z4112" s="274">
        <f t="shared" si="665"/>
        <v>32217.454545454544</v>
      </c>
      <c r="AA4112" s="274">
        <v>687680</v>
      </c>
      <c r="AB4112" s="274">
        <f t="shared" si="665"/>
        <v>36111.454545454544</v>
      </c>
      <c r="AC4112" s="274">
        <f t="shared" si="665"/>
        <v>625663.83333333337</v>
      </c>
    </row>
    <row r="4113" spans="1:29" x14ac:dyDescent="0.2">
      <c r="A4113" s="179"/>
      <c r="B4113" s="3191"/>
      <c r="C4113" s="3191"/>
      <c r="D4113" s="2421"/>
      <c r="E4113" s="2421"/>
      <c r="F4113" s="2421"/>
      <c r="G4113" s="2421"/>
      <c r="H4113" s="2421"/>
      <c r="I4113" s="2421"/>
      <c r="J4113" s="2421"/>
      <c r="K4113" s="3488"/>
      <c r="L4113" s="1">
        <v>30300</v>
      </c>
      <c r="M4113" s="1"/>
      <c r="N4113" s="2432"/>
      <c r="O4113" s="1090">
        <v>211311</v>
      </c>
      <c r="P4113" s="913" t="s">
        <v>1535</v>
      </c>
      <c r="Q4113" s="278">
        <f t="shared" ref="Q4113:Q4118" si="666">+L4113/12</f>
        <v>2525</v>
      </c>
      <c r="R4113" s="278">
        <v>2525</v>
      </c>
      <c r="S4113" s="278">
        <v>2525</v>
      </c>
      <c r="T4113" s="278">
        <v>2525</v>
      </c>
      <c r="U4113" s="278">
        <v>2525</v>
      </c>
      <c r="V4113" s="278">
        <v>2525</v>
      </c>
      <c r="W4113" s="278">
        <v>2525</v>
      </c>
      <c r="X4113" s="278">
        <v>2525</v>
      </c>
      <c r="Y4113" s="278">
        <v>2525</v>
      </c>
      <c r="Z4113" s="278">
        <v>2525</v>
      </c>
      <c r="AA4113" s="278">
        <v>2525</v>
      </c>
      <c r="AB4113" s="278">
        <v>2525</v>
      </c>
      <c r="AC4113" s="278">
        <f>+SUM(Q4113:AB4113)</f>
        <v>30300</v>
      </c>
    </row>
    <row r="4114" spans="1:29" x14ac:dyDescent="0.2">
      <c r="A4114" s="179"/>
      <c r="B4114" s="3191"/>
      <c r="C4114" s="3191"/>
      <c r="D4114" s="2421"/>
      <c r="E4114" s="2421"/>
      <c r="F4114" s="2421"/>
      <c r="G4114" s="2421"/>
      <c r="H4114" s="2421"/>
      <c r="I4114" s="2421"/>
      <c r="J4114" s="2421"/>
      <c r="K4114" s="3488"/>
      <c r="L4114" s="1">
        <v>14640</v>
      </c>
      <c r="M4114" s="1"/>
      <c r="N4114" s="2432"/>
      <c r="O4114" s="1090">
        <v>211321</v>
      </c>
      <c r="P4114" s="913" t="s">
        <v>1535</v>
      </c>
      <c r="Q4114" s="278">
        <f t="shared" si="666"/>
        <v>1220</v>
      </c>
      <c r="R4114" s="278">
        <v>1220</v>
      </c>
      <c r="S4114" s="278">
        <v>1220</v>
      </c>
      <c r="T4114" s="278">
        <v>1220</v>
      </c>
      <c r="U4114" s="278">
        <v>1220</v>
      </c>
      <c r="V4114" s="278">
        <v>1220</v>
      </c>
      <c r="W4114" s="278">
        <v>1220</v>
      </c>
      <c r="X4114" s="278">
        <v>1220</v>
      </c>
      <c r="Y4114" s="278">
        <v>1220</v>
      </c>
      <c r="Z4114" s="278">
        <v>1220</v>
      </c>
      <c r="AA4114" s="278">
        <v>1220</v>
      </c>
      <c r="AB4114" s="278">
        <v>1220</v>
      </c>
      <c r="AC4114" s="278">
        <f t="shared" ref="AC4114:AC4118" si="667">+SUM(Q4114:AB4114)</f>
        <v>14640</v>
      </c>
    </row>
    <row r="4115" spans="1:29" x14ac:dyDescent="0.2">
      <c r="A4115" s="179"/>
      <c r="B4115" s="3191"/>
      <c r="C4115" s="3191"/>
      <c r="D4115" s="2421"/>
      <c r="E4115" s="2421"/>
      <c r="F4115" s="2421"/>
      <c r="G4115" s="2421"/>
      <c r="H4115" s="2421"/>
      <c r="I4115" s="2421"/>
      <c r="J4115" s="2421"/>
      <c r="K4115" s="3488"/>
      <c r="L4115" s="1">
        <v>16840</v>
      </c>
      <c r="M4115" s="1"/>
      <c r="N4115" s="2432"/>
      <c r="O4115" s="1090">
        <v>211331</v>
      </c>
      <c r="P4115" s="913" t="s">
        <v>1538</v>
      </c>
      <c r="Q4115" s="278">
        <f t="shared" si="666"/>
        <v>1403.3333333333333</v>
      </c>
      <c r="R4115" s="278">
        <v>1403.3333333333333</v>
      </c>
      <c r="S4115" s="278">
        <v>1403.3333333333333</v>
      </c>
      <c r="T4115" s="278">
        <v>1403.3333333333333</v>
      </c>
      <c r="U4115" s="278">
        <v>1403.3333333333333</v>
      </c>
      <c r="V4115" s="278">
        <v>1403.3333333333333</v>
      </c>
      <c r="W4115" s="278">
        <v>1403.3333333333333</v>
      </c>
      <c r="X4115" s="278">
        <v>1403.3333333333333</v>
      </c>
      <c r="Y4115" s="278">
        <v>1403.3333333333333</v>
      </c>
      <c r="Z4115" s="278">
        <v>1403.3333333333333</v>
      </c>
      <c r="AA4115" s="278">
        <v>1403.3333333333333</v>
      </c>
      <c r="AB4115" s="278">
        <v>1403.3333333333333</v>
      </c>
      <c r="AC4115" s="278">
        <f t="shared" si="667"/>
        <v>16840.000000000004</v>
      </c>
    </row>
    <row r="4116" spans="1:29" x14ac:dyDescent="0.2">
      <c r="A4116" s="179"/>
      <c r="B4116" s="3191"/>
      <c r="C4116" s="3191"/>
      <c r="D4116" s="2421"/>
      <c r="E4116" s="2421"/>
      <c r="F4116" s="2421"/>
      <c r="G4116" s="2421"/>
      <c r="H4116" s="2421"/>
      <c r="I4116" s="2421"/>
      <c r="J4116" s="2421"/>
      <c r="K4116" s="3488"/>
      <c r="L4116" s="1">
        <v>1956</v>
      </c>
      <c r="M4116" s="1"/>
      <c r="N4116" s="2432"/>
      <c r="O4116" s="1090">
        <v>211912</v>
      </c>
      <c r="P4116" s="913" t="s">
        <v>1321</v>
      </c>
      <c r="Q4116" s="278">
        <f t="shared" si="666"/>
        <v>163</v>
      </c>
      <c r="R4116" s="278">
        <v>163</v>
      </c>
      <c r="S4116" s="278">
        <v>163</v>
      </c>
      <c r="T4116" s="278">
        <v>163</v>
      </c>
      <c r="U4116" s="278">
        <v>163</v>
      </c>
      <c r="V4116" s="278">
        <v>163</v>
      </c>
      <c r="W4116" s="278">
        <v>163</v>
      </c>
      <c r="X4116" s="278">
        <v>163</v>
      </c>
      <c r="Y4116" s="278">
        <v>163</v>
      </c>
      <c r="Z4116" s="278">
        <v>163</v>
      </c>
      <c r="AA4116" s="278">
        <v>163</v>
      </c>
      <c r="AB4116" s="278">
        <v>163</v>
      </c>
      <c r="AC4116" s="278">
        <f t="shared" si="667"/>
        <v>1956</v>
      </c>
    </row>
    <row r="4117" spans="1:29" x14ac:dyDescent="0.2">
      <c r="A4117" s="179"/>
      <c r="B4117" s="3191"/>
      <c r="C4117" s="3191"/>
      <c r="D4117" s="2421"/>
      <c r="E4117" s="2421"/>
      <c r="F4117" s="2421"/>
      <c r="G4117" s="2421"/>
      <c r="H4117" s="2421"/>
      <c r="I4117" s="2421"/>
      <c r="J4117" s="2421"/>
      <c r="K4117" s="3488"/>
      <c r="L4117" s="1">
        <v>1400</v>
      </c>
      <c r="M4117" s="1"/>
      <c r="N4117" s="2432"/>
      <c r="O4117" s="1090">
        <v>211913</v>
      </c>
      <c r="P4117" s="913" t="s">
        <v>1323</v>
      </c>
      <c r="Q4117" s="278">
        <f t="shared" si="666"/>
        <v>116.66666666666667</v>
      </c>
      <c r="R4117" s="278">
        <v>116.66666666666667</v>
      </c>
      <c r="S4117" s="278">
        <v>116.66666666666667</v>
      </c>
      <c r="T4117" s="278">
        <v>116.66666666666667</v>
      </c>
      <c r="U4117" s="278">
        <v>116.66666666666667</v>
      </c>
      <c r="V4117" s="278">
        <v>116.66666666666667</v>
      </c>
      <c r="W4117" s="278">
        <v>116.66666666666667</v>
      </c>
      <c r="X4117" s="278">
        <v>116.66666666666667</v>
      </c>
      <c r="Y4117" s="278">
        <v>116.66666666666667</v>
      </c>
      <c r="Z4117" s="278">
        <v>116.66666666666667</v>
      </c>
      <c r="AA4117" s="278">
        <v>116.66666666666667</v>
      </c>
      <c r="AB4117" s="278">
        <v>116.66666666666667</v>
      </c>
      <c r="AC4117" s="278">
        <f t="shared" si="667"/>
        <v>1400.0000000000002</v>
      </c>
    </row>
    <row r="4118" spans="1:29" x14ac:dyDescent="0.2">
      <c r="A4118" s="179"/>
      <c r="B4118" s="3191"/>
      <c r="C4118" s="3191"/>
      <c r="D4118" s="2421"/>
      <c r="E4118" s="2421"/>
      <c r="F4118" s="2421"/>
      <c r="G4118" s="2421"/>
      <c r="H4118" s="2421"/>
      <c r="I4118" s="2421"/>
      <c r="J4118" s="2421"/>
      <c r="K4118" s="3488"/>
      <c r="L4118" s="1">
        <v>3850</v>
      </c>
      <c r="M4118" s="1"/>
      <c r="N4118" s="2432"/>
      <c r="O4118" s="1090">
        <v>213115</v>
      </c>
      <c r="P4118" s="913" t="s">
        <v>1329</v>
      </c>
      <c r="Q4118" s="278">
        <f t="shared" si="666"/>
        <v>320.83333333333331</v>
      </c>
      <c r="R4118" s="278">
        <f>+$L$345/12</f>
        <v>0</v>
      </c>
      <c r="S4118" s="278">
        <f t="shared" ref="S4118:AB4118" si="668">+$L$345/12</f>
        <v>0</v>
      </c>
      <c r="T4118" s="278">
        <f t="shared" si="668"/>
        <v>0</v>
      </c>
      <c r="U4118" s="278">
        <f t="shared" si="668"/>
        <v>0</v>
      </c>
      <c r="V4118" s="278">
        <f t="shared" si="668"/>
        <v>0</v>
      </c>
      <c r="W4118" s="278">
        <f t="shared" si="668"/>
        <v>0</v>
      </c>
      <c r="X4118" s="278">
        <f t="shared" si="668"/>
        <v>0</v>
      </c>
      <c r="Y4118" s="278">
        <f t="shared" si="668"/>
        <v>0</v>
      </c>
      <c r="Z4118" s="278">
        <f t="shared" si="668"/>
        <v>0</v>
      </c>
      <c r="AA4118" s="278">
        <f t="shared" si="668"/>
        <v>0</v>
      </c>
      <c r="AB4118" s="278">
        <f t="shared" si="668"/>
        <v>0</v>
      </c>
      <c r="AC4118" s="278">
        <f t="shared" si="667"/>
        <v>320.83333333333331</v>
      </c>
    </row>
    <row r="4119" spans="1:29" x14ac:dyDescent="0.2">
      <c r="A4119" s="179"/>
      <c r="B4119" s="3191"/>
      <c r="C4119" s="3191"/>
      <c r="D4119" s="2421"/>
      <c r="E4119" s="2421"/>
      <c r="F4119" s="2421"/>
      <c r="G4119" s="2421"/>
      <c r="H4119" s="2421"/>
      <c r="I4119" s="2421"/>
      <c r="J4119" s="2421"/>
      <c r="K4119" s="3488"/>
      <c r="L4119" s="1"/>
      <c r="M4119" s="1">
        <v>1000</v>
      </c>
      <c r="N4119" s="2432"/>
      <c r="O4119" s="1090">
        <v>231111</v>
      </c>
      <c r="P4119" s="913" t="s">
        <v>1306</v>
      </c>
      <c r="Q4119" s="278"/>
      <c r="R4119" s="278"/>
      <c r="S4119" s="278"/>
      <c r="T4119" s="278">
        <v>500</v>
      </c>
      <c r="U4119" s="278"/>
      <c r="V4119" s="278"/>
      <c r="W4119" s="278">
        <v>500</v>
      </c>
      <c r="X4119" s="278"/>
      <c r="Y4119" s="278"/>
      <c r="Z4119" s="278"/>
      <c r="AA4119" s="278"/>
      <c r="AB4119" s="278"/>
      <c r="AC4119" s="278">
        <f>+SUM(Q4119:AB4119)</f>
        <v>1000</v>
      </c>
    </row>
    <row r="4120" spans="1:29" x14ac:dyDescent="0.2">
      <c r="A4120" s="179"/>
      <c r="B4120" s="3191"/>
      <c r="C4120" s="3191"/>
      <c r="D4120" s="2421"/>
      <c r="E4120" s="2421"/>
      <c r="F4120" s="2421"/>
      <c r="G4120" s="2421"/>
      <c r="H4120" s="2421"/>
      <c r="I4120" s="2421"/>
      <c r="J4120" s="2421"/>
      <c r="K4120" s="3488"/>
      <c r="L4120" s="1"/>
      <c r="M4120" s="1">
        <v>5000</v>
      </c>
      <c r="N4120" s="2432"/>
      <c r="O4120" s="1090">
        <v>231211</v>
      </c>
      <c r="P4120" s="913" t="s">
        <v>1554</v>
      </c>
      <c r="Q4120" s="278"/>
      <c r="R4120" s="278"/>
      <c r="S4120" s="278">
        <v>500</v>
      </c>
      <c r="T4120" s="278">
        <v>500</v>
      </c>
      <c r="U4120" s="278">
        <v>500</v>
      </c>
      <c r="V4120" s="278">
        <v>500</v>
      </c>
      <c r="W4120" s="278">
        <v>500</v>
      </c>
      <c r="X4120" s="278">
        <v>500</v>
      </c>
      <c r="Y4120" s="278">
        <v>500</v>
      </c>
      <c r="Z4120" s="278">
        <v>500</v>
      </c>
      <c r="AA4120" s="278">
        <v>500</v>
      </c>
      <c r="AB4120" s="278">
        <v>500</v>
      </c>
      <c r="AC4120" s="278">
        <f t="shared" ref="AC4120:AC4154" si="669">+SUM(Q4120:AB4120)</f>
        <v>5000</v>
      </c>
    </row>
    <row r="4121" spans="1:29" x14ac:dyDescent="0.2">
      <c r="A4121" s="179"/>
      <c r="B4121" s="3191"/>
      <c r="C4121" s="3191"/>
      <c r="D4121" s="2421"/>
      <c r="E4121" s="2421"/>
      <c r="F4121" s="2421"/>
      <c r="G4121" s="2421"/>
      <c r="H4121" s="2421"/>
      <c r="I4121" s="2421"/>
      <c r="J4121" s="2421"/>
      <c r="K4121" s="3488"/>
      <c r="L4121" s="1"/>
      <c r="M4121" s="1">
        <v>63100</v>
      </c>
      <c r="N4121" s="2432"/>
      <c r="O4121" s="1090">
        <v>231311</v>
      </c>
      <c r="P4121" s="913" t="s">
        <v>1220</v>
      </c>
      <c r="Q4121" s="278"/>
      <c r="R4121" s="278">
        <v>5736</v>
      </c>
      <c r="S4121" s="278">
        <v>5736</v>
      </c>
      <c r="T4121" s="278">
        <v>5736</v>
      </c>
      <c r="U4121" s="278">
        <v>5736</v>
      </c>
      <c r="V4121" s="278">
        <v>5736</v>
      </c>
      <c r="W4121" s="278">
        <v>5736</v>
      </c>
      <c r="X4121" s="278">
        <v>5736</v>
      </c>
      <c r="Y4121" s="278">
        <v>5736</v>
      </c>
      <c r="Z4121" s="278">
        <v>5736</v>
      </c>
      <c r="AA4121" s="278">
        <v>5736</v>
      </c>
      <c r="AB4121" s="278">
        <v>5740</v>
      </c>
      <c r="AC4121" s="278">
        <f t="shared" si="669"/>
        <v>63100</v>
      </c>
    </row>
    <row r="4122" spans="1:29" x14ac:dyDescent="0.2">
      <c r="A4122" s="179"/>
      <c r="B4122" s="3191"/>
      <c r="C4122" s="3191"/>
      <c r="D4122" s="2421"/>
      <c r="E4122" s="2421"/>
      <c r="F4122" s="2421"/>
      <c r="G4122" s="2421"/>
      <c r="H4122" s="2421"/>
      <c r="I4122" s="2421"/>
      <c r="J4122" s="2421"/>
      <c r="K4122" s="3488"/>
      <c r="L4122" s="1"/>
      <c r="M4122" s="1">
        <v>1000</v>
      </c>
      <c r="N4122" s="2432"/>
      <c r="O4122" s="1090">
        <v>231511</v>
      </c>
      <c r="P4122" s="913" t="s">
        <v>1246</v>
      </c>
      <c r="Q4122" s="278"/>
      <c r="R4122" s="278"/>
      <c r="S4122" s="278"/>
      <c r="T4122" s="278"/>
      <c r="U4122" s="278">
        <v>500</v>
      </c>
      <c r="V4122" s="278"/>
      <c r="W4122" s="278"/>
      <c r="X4122" s="278"/>
      <c r="Y4122" s="278">
        <v>500</v>
      </c>
      <c r="Z4122" s="278"/>
      <c r="AA4122" s="278"/>
      <c r="AB4122" s="278"/>
      <c r="AC4122" s="278">
        <f t="shared" si="669"/>
        <v>1000</v>
      </c>
    </row>
    <row r="4123" spans="1:29" x14ac:dyDescent="0.2">
      <c r="A4123" s="179"/>
      <c r="B4123" s="3191"/>
      <c r="C4123" s="3191"/>
      <c r="D4123" s="2421"/>
      <c r="E4123" s="2421"/>
      <c r="F4123" s="2421"/>
      <c r="G4123" s="2421"/>
      <c r="H4123" s="2421"/>
      <c r="I4123" s="2421"/>
      <c r="J4123" s="2421"/>
      <c r="K4123" s="3488"/>
      <c r="L4123" s="1"/>
      <c r="M4123" s="1">
        <v>13890</v>
      </c>
      <c r="N4123" s="2432"/>
      <c r="O4123" s="1090">
        <v>231512</v>
      </c>
      <c r="P4123" s="913" t="s">
        <v>1236</v>
      </c>
      <c r="Q4123" s="278"/>
      <c r="R4123" s="278"/>
      <c r="S4123" s="278">
        <v>3000</v>
      </c>
      <c r="T4123" s="278">
        <v>2000</v>
      </c>
      <c r="U4123" s="278">
        <v>2000</v>
      </c>
      <c r="V4123" s="278">
        <v>1000</v>
      </c>
      <c r="W4123" s="278">
        <v>1000</v>
      </c>
      <c r="X4123" s="278">
        <v>1000</v>
      </c>
      <c r="Y4123" s="278">
        <v>1000</v>
      </c>
      <c r="Z4123" s="278">
        <v>1000</v>
      </c>
      <c r="AA4123" s="278">
        <v>1000</v>
      </c>
      <c r="AB4123" s="278">
        <v>890</v>
      </c>
      <c r="AC4123" s="278">
        <f t="shared" si="669"/>
        <v>13890</v>
      </c>
    </row>
    <row r="4124" spans="1:29" x14ac:dyDescent="0.2">
      <c r="A4124" s="179"/>
      <c r="B4124" s="3191"/>
      <c r="C4124" s="3191"/>
      <c r="D4124" s="2421"/>
      <c r="E4124" s="2421"/>
      <c r="F4124" s="2421"/>
      <c r="G4124" s="2421"/>
      <c r="H4124" s="2421"/>
      <c r="I4124" s="2421"/>
      <c r="J4124" s="2421"/>
      <c r="K4124" s="3488"/>
      <c r="L4124" s="1"/>
      <c r="M4124" s="1">
        <v>2794</v>
      </c>
      <c r="N4124" s="2432"/>
      <c r="O4124" s="1090">
        <v>231531</v>
      </c>
      <c r="P4124" s="913" t="s">
        <v>1268</v>
      </c>
      <c r="Q4124" s="278"/>
      <c r="R4124" s="278"/>
      <c r="S4124" s="278"/>
      <c r="T4124" s="278">
        <v>2000</v>
      </c>
      <c r="U4124" s="278"/>
      <c r="V4124" s="278">
        <v>794</v>
      </c>
      <c r="W4124" s="278"/>
      <c r="X4124" s="278"/>
      <c r="Y4124" s="278"/>
      <c r="Z4124" s="278"/>
      <c r="AA4124" s="278"/>
      <c r="AB4124" s="278"/>
      <c r="AC4124" s="278">
        <f t="shared" si="669"/>
        <v>2794</v>
      </c>
    </row>
    <row r="4125" spans="1:29" x14ac:dyDescent="0.2">
      <c r="A4125" s="179"/>
      <c r="B4125" s="3191"/>
      <c r="C4125" s="3191"/>
      <c r="D4125" s="2421"/>
      <c r="E4125" s="2421"/>
      <c r="F4125" s="2421"/>
      <c r="G4125" s="2421"/>
      <c r="H4125" s="2421"/>
      <c r="I4125" s="2421"/>
      <c r="J4125" s="2421"/>
      <c r="K4125" s="3488"/>
      <c r="L4125" s="1"/>
      <c r="M4125" s="1">
        <v>1000</v>
      </c>
      <c r="N4125" s="2432"/>
      <c r="O4125" s="1090">
        <v>23159999</v>
      </c>
      <c r="P4125" s="913" t="s">
        <v>1717</v>
      </c>
      <c r="Q4125" s="278"/>
      <c r="R4125" s="278"/>
      <c r="S4125" s="278"/>
      <c r="T4125" s="278"/>
      <c r="U4125" s="278"/>
      <c r="V4125" s="278"/>
      <c r="W4125" s="278">
        <v>1000</v>
      </c>
      <c r="X4125" s="278"/>
      <c r="Y4125" s="278"/>
      <c r="Z4125" s="278"/>
      <c r="AA4125" s="278"/>
      <c r="AB4125" s="278"/>
      <c r="AC4125" s="278">
        <f t="shared" si="669"/>
        <v>1000</v>
      </c>
    </row>
    <row r="4126" spans="1:29" x14ac:dyDescent="0.2">
      <c r="A4126" s="179"/>
      <c r="B4126" s="3191"/>
      <c r="C4126" s="3191"/>
      <c r="D4126" s="2421"/>
      <c r="E4126" s="2421"/>
      <c r="F4126" s="2421"/>
      <c r="G4126" s="2421"/>
      <c r="H4126" s="2421"/>
      <c r="I4126" s="2421"/>
      <c r="J4126" s="2421"/>
      <c r="K4126" s="3488"/>
      <c r="L4126" s="1"/>
      <c r="M4126" s="1">
        <v>51351</v>
      </c>
      <c r="N4126" s="2432"/>
      <c r="O4126" s="1090">
        <v>231812</v>
      </c>
      <c r="P4126" s="913" t="s">
        <v>1564</v>
      </c>
      <c r="Q4126" s="278"/>
      <c r="R4126" s="278"/>
      <c r="S4126" s="278"/>
      <c r="T4126" s="278">
        <f>+M4126/2</f>
        <v>25675.5</v>
      </c>
      <c r="U4126" s="278"/>
      <c r="V4126" s="278"/>
      <c r="W4126" s="278"/>
      <c r="X4126" s="278">
        <v>25675.5</v>
      </c>
      <c r="Y4126" s="278"/>
      <c r="Z4126" s="278"/>
      <c r="AA4126" s="278"/>
      <c r="AB4126" s="278"/>
      <c r="AC4126" s="278">
        <f t="shared" si="669"/>
        <v>51351</v>
      </c>
    </row>
    <row r="4127" spans="1:29" x14ac:dyDescent="0.2">
      <c r="A4127" s="179"/>
      <c r="B4127" s="3191"/>
      <c r="C4127" s="3191"/>
      <c r="D4127" s="2421"/>
      <c r="E4127" s="2421"/>
      <c r="F4127" s="2421"/>
      <c r="G4127" s="2421"/>
      <c r="H4127" s="2421"/>
      <c r="I4127" s="2421"/>
      <c r="J4127" s="2421"/>
      <c r="K4127" s="3488"/>
      <c r="L4127" s="1"/>
      <c r="M4127" s="1">
        <v>3000</v>
      </c>
      <c r="N4127" s="2432"/>
      <c r="O4127" s="1090">
        <v>2318199</v>
      </c>
      <c r="P4127" s="913" t="s">
        <v>1568</v>
      </c>
      <c r="Q4127" s="278"/>
      <c r="R4127" s="278"/>
      <c r="S4127" s="278"/>
      <c r="T4127" s="278"/>
      <c r="U4127" s="278"/>
      <c r="V4127" s="278"/>
      <c r="W4127" s="278"/>
      <c r="X4127" s="278">
        <v>3000</v>
      </c>
      <c r="Y4127" s="278"/>
      <c r="Z4127" s="278"/>
      <c r="AA4127" s="278"/>
      <c r="AB4127" s="278"/>
      <c r="AC4127" s="278">
        <f t="shared" si="669"/>
        <v>3000</v>
      </c>
    </row>
    <row r="4128" spans="1:29" x14ac:dyDescent="0.2">
      <c r="A4128" s="179"/>
      <c r="B4128" s="3191"/>
      <c r="C4128" s="3191"/>
      <c r="D4128" s="2421"/>
      <c r="E4128" s="2421"/>
      <c r="F4128" s="2421"/>
      <c r="G4128" s="2421"/>
      <c r="H4128" s="2421"/>
      <c r="I4128" s="2421"/>
      <c r="J4128" s="2421"/>
      <c r="K4128" s="3488"/>
      <c r="L4128" s="1"/>
      <c r="M4128" s="1">
        <v>27702</v>
      </c>
      <c r="N4128" s="2432"/>
      <c r="O4128" s="1090">
        <v>231821</v>
      </c>
      <c r="P4128" s="913" t="s">
        <v>1566</v>
      </c>
      <c r="Q4128" s="278"/>
      <c r="R4128" s="278"/>
      <c r="S4128" s="278"/>
      <c r="T4128" s="278">
        <f>+M4128/5</f>
        <v>5540.4</v>
      </c>
      <c r="U4128" s="278">
        <v>5540.4</v>
      </c>
      <c r="V4128" s="278">
        <v>5540.4</v>
      </c>
      <c r="W4128" s="278">
        <v>5540.4</v>
      </c>
      <c r="X4128" s="278">
        <v>5540.4</v>
      </c>
      <c r="Y4128" s="278"/>
      <c r="Z4128" s="278"/>
      <c r="AA4128" s="278"/>
      <c r="AB4128" s="278"/>
      <c r="AC4128" s="278">
        <f t="shared" si="669"/>
        <v>27702</v>
      </c>
    </row>
    <row r="4129" spans="1:29" x14ac:dyDescent="0.2">
      <c r="A4129" s="179"/>
      <c r="B4129" s="3191"/>
      <c r="C4129" s="3191"/>
      <c r="D4129" s="2421"/>
      <c r="E4129" s="2421"/>
      <c r="F4129" s="2421"/>
      <c r="G4129" s="2421"/>
      <c r="H4129" s="2421"/>
      <c r="I4129" s="2421"/>
      <c r="J4129" s="2421"/>
      <c r="K4129" s="3488"/>
      <c r="L4129" s="1"/>
      <c r="M4129" s="1">
        <v>2000</v>
      </c>
      <c r="N4129" s="2432"/>
      <c r="O4129" s="1090">
        <v>231912</v>
      </c>
      <c r="P4129" s="913" t="s">
        <v>1522</v>
      </c>
      <c r="Q4129" s="278"/>
      <c r="R4129" s="278"/>
      <c r="S4129" s="278"/>
      <c r="T4129" s="278"/>
      <c r="U4129" s="278">
        <v>1000</v>
      </c>
      <c r="V4129" s="278"/>
      <c r="W4129" s="278"/>
      <c r="X4129" s="278">
        <v>1000</v>
      </c>
      <c r="Y4129" s="278"/>
      <c r="Z4129" s="278"/>
      <c r="AA4129" s="278"/>
      <c r="AB4129" s="278"/>
      <c r="AC4129" s="278">
        <f t="shared" si="669"/>
        <v>2000</v>
      </c>
    </row>
    <row r="4130" spans="1:29" x14ac:dyDescent="0.2">
      <c r="A4130" s="179"/>
      <c r="B4130" s="3191"/>
      <c r="C4130" s="3191"/>
      <c r="D4130" s="2421"/>
      <c r="E4130" s="2421"/>
      <c r="F4130" s="2421"/>
      <c r="G4130" s="2421"/>
      <c r="H4130" s="2421"/>
      <c r="I4130" s="2421"/>
      <c r="J4130" s="2421"/>
      <c r="K4130" s="3488"/>
      <c r="L4130" s="1"/>
      <c r="M4130" s="1">
        <v>1000</v>
      </c>
      <c r="N4130" s="2432"/>
      <c r="O4130" s="1090">
        <v>2319199</v>
      </c>
      <c r="P4130" s="913" t="s">
        <v>1524</v>
      </c>
      <c r="Q4130" s="278"/>
      <c r="R4130" s="278"/>
      <c r="S4130" s="278"/>
      <c r="T4130" s="278">
        <v>1000</v>
      </c>
      <c r="U4130" s="278"/>
      <c r="V4130" s="278"/>
      <c r="W4130" s="278"/>
      <c r="X4130" s="278"/>
      <c r="Y4130" s="278"/>
      <c r="Z4130" s="278"/>
      <c r="AA4130" s="278"/>
      <c r="AB4130" s="278"/>
      <c r="AC4130" s="278">
        <f t="shared" si="669"/>
        <v>1000</v>
      </c>
    </row>
    <row r="4131" spans="1:29" x14ac:dyDescent="0.2">
      <c r="A4131" s="179"/>
      <c r="B4131" s="3191"/>
      <c r="C4131" s="3191"/>
      <c r="D4131" s="2421"/>
      <c r="E4131" s="2421"/>
      <c r="F4131" s="2421"/>
      <c r="G4131" s="2421"/>
      <c r="H4131" s="2421"/>
      <c r="I4131" s="2421"/>
      <c r="J4131" s="2421"/>
      <c r="K4131" s="3488"/>
      <c r="L4131" s="1"/>
      <c r="M4131" s="1">
        <v>47096</v>
      </c>
      <c r="N4131" s="2432"/>
      <c r="O4131" s="1090">
        <v>2319913</v>
      </c>
      <c r="P4131" s="913" t="s">
        <v>1250</v>
      </c>
      <c r="Q4131" s="278"/>
      <c r="R4131" s="278"/>
      <c r="S4131" s="278">
        <f>+M4131/5</f>
        <v>9419.2000000000007</v>
      </c>
      <c r="T4131" s="278"/>
      <c r="U4131" s="278">
        <v>9419.2000000000007</v>
      </c>
      <c r="V4131" s="278"/>
      <c r="W4131" s="278">
        <v>9419.2000000000007</v>
      </c>
      <c r="X4131" s="278"/>
      <c r="Y4131" s="278">
        <v>9419.2000000000007</v>
      </c>
      <c r="Z4131" s="278"/>
      <c r="AA4131" s="278">
        <v>9419.2000000000007</v>
      </c>
      <c r="AB4131" s="278"/>
      <c r="AC4131" s="278">
        <f t="shared" si="669"/>
        <v>47096</v>
      </c>
    </row>
    <row r="4132" spans="1:29" x14ac:dyDescent="0.2">
      <c r="A4132" s="179"/>
      <c r="B4132" s="3191"/>
      <c r="C4132" s="3191"/>
      <c r="D4132" s="2421"/>
      <c r="E4132" s="2421"/>
      <c r="F4132" s="2421"/>
      <c r="G4132" s="2421"/>
      <c r="H4132" s="2421"/>
      <c r="I4132" s="2421"/>
      <c r="J4132" s="2421"/>
      <c r="K4132" s="3488"/>
      <c r="L4132" s="1"/>
      <c r="M4132" s="1">
        <v>5670</v>
      </c>
      <c r="N4132" s="2432"/>
      <c r="O4132" s="1090">
        <v>232121</v>
      </c>
      <c r="P4132" s="913" t="s">
        <v>1238</v>
      </c>
      <c r="Q4132" s="278"/>
      <c r="R4132" s="278">
        <f>+M4132/11</f>
        <v>515.4545454545455</v>
      </c>
      <c r="S4132" s="278">
        <v>515.4545454545455</v>
      </c>
      <c r="T4132" s="278">
        <v>515.4545454545455</v>
      </c>
      <c r="U4132" s="278">
        <v>515.4545454545455</v>
      </c>
      <c r="V4132" s="278">
        <v>515.4545454545455</v>
      </c>
      <c r="W4132" s="278">
        <v>515.4545454545455</v>
      </c>
      <c r="X4132" s="278">
        <v>515.4545454545455</v>
      </c>
      <c r="Y4132" s="278">
        <v>515.4545454545455</v>
      </c>
      <c r="Z4132" s="278">
        <v>515.4545454545455</v>
      </c>
      <c r="AA4132" s="278">
        <v>515.4545454545455</v>
      </c>
      <c r="AB4132" s="278">
        <v>515.4545454545455</v>
      </c>
      <c r="AC4132" s="278">
        <f t="shared" si="669"/>
        <v>5670.0000000000018</v>
      </c>
    </row>
    <row r="4133" spans="1:29" x14ac:dyDescent="0.2">
      <c r="A4133" s="179"/>
      <c r="B4133" s="3191"/>
      <c r="C4133" s="3191"/>
      <c r="D4133" s="2421"/>
      <c r="E4133" s="2421"/>
      <c r="F4133" s="2421"/>
      <c r="G4133" s="2421"/>
      <c r="H4133" s="2421"/>
      <c r="I4133" s="2421"/>
      <c r="J4133" s="2421"/>
      <c r="K4133" s="3488"/>
      <c r="L4133" s="1"/>
      <c r="M4133" s="1">
        <v>19500</v>
      </c>
      <c r="N4133" s="2432"/>
      <c r="O4133" s="1090">
        <v>232122</v>
      </c>
      <c r="P4133" s="913" t="s">
        <v>1240</v>
      </c>
      <c r="Q4133" s="278"/>
      <c r="R4133" s="278">
        <v>1780</v>
      </c>
      <c r="S4133" s="278">
        <v>1772</v>
      </c>
      <c r="T4133" s="278">
        <v>1772</v>
      </c>
      <c r="U4133" s="278">
        <v>1772</v>
      </c>
      <c r="V4133" s="278">
        <v>1772</v>
      </c>
      <c r="W4133" s="278">
        <v>1772</v>
      </c>
      <c r="X4133" s="278">
        <v>1772</v>
      </c>
      <c r="Y4133" s="278">
        <v>1772</v>
      </c>
      <c r="Z4133" s="278">
        <v>1772</v>
      </c>
      <c r="AA4133" s="278">
        <v>1772</v>
      </c>
      <c r="AB4133" s="278">
        <v>1772</v>
      </c>
      <c r="AC4133" s="278">
        <f t="shared" si="669"/>
        <v>19500</v>
      </c>
    </row>
    <row r="4134" spans="1:29" x14ac:dyDescent="0.2">
      <c r="A4134" s="179"/>
      <c r="B4134" s="3191"/>
      <c r="C4134" s="3191"/>
      <c r="D4134" s="2421"/>
      <c r="E4134" s="2421"/>
      <c r="F4134" s="2421"/>
      <c r="G4134" s="2421"/>
      <c r="H4134" s="2421"/>
      <c r="I4134" s="2421"/>
      <c r="J4134" s="2421"/>
      <c r="K4134" s="3488"/>
      <c r="L4134" s="1"/>
      <c r="M4134" s="1">
        <v>630</v>
      </c>
      <c r="N4134" s="2432"/>
      <c r="O4134" s="1090">
        <v>2321299</v>
      </c>
      <c r="P4134" s="913" t="s">
        <v>1279</v>
      </c>
      <c r="Q4134" s="278"/>
      <c r="R4134" s="278">
        <v>57</v>
      </c>
      <c r="S4134" s="278">
        <v>57</v>
      </c>
      <c r="T4134" s="278">
        <v>57</v>
      </c>
      <c r="U4134" s="278">
        <v>57</v>
      </c>
      <c r="V4134" s="278">
        <v>57</v>
      </c>
      <c r="W4134" s="278">
        <v>57</v>
      </c>
      <c r="X4134" s="278">
        <v>60</v>
      </c>
      <c r="Y4134" s="278">
        <v>57</v>
      </c>
      <c r="Z4134" s="278">
        <v>57</v>
      </c>
      <c r="AA4134" s="278">
        <v>57</v>
      </c>
      <c r="AB4134" s="278">
        <v>57</v>
      </c>
      <c r="AC4134" s="278">
        <f t="shared" si="669"/>
        <v>630</v>
      </c>
    </row>
    <row r="4135" spans="1:29" x14ac:dyDescent="0.2">
      <c r="A4135" s="179"/>
      <c r="B4135" s="3191"/>
      <c r="C4135" s="3191"/>
      <c r="D4135" s="2421"/>
      <c r="E4135" s="2421"/>
      <c r="F4135" s="2421"/>
      <c r="G4135" s="2421"/>
      <c r="H4135" s="2421"/>
      <c r="I4135" s="2421"/>
      <c r="J4135" s="2421"/>
      <c r="K4135" s="3488"/>
      <c r="L4135" s="1"/>
      <c r="M4135" s="1">
        <v>12247</v>
      </c>
      <c r="N4135" s="2432"/>
      <c r="O4135" s="1090">
        <v>232211</v>
      </c>
      <c r="P4135" s="913" t="s">
        <v>1281</v>
      </c>
      <c r="Q4135" s="278">
        <v>1019</v>
      </c>
      <c r="R4135" s="278">
        <v>1020</v>
      </c>
      <c r="S4135" s="278">
        <v>1020</v>
      </c>
      <c r="T4135" s="278">
        <v>1021</v>
      </c>
      <c r="U4135" s="278">
        <v>1020</v>
      </c>
      <c r="V4135" s="278">
        <v>1021</v>
      </c>
      <c r="W4135" s="278">
        <v>1021</v>
      </c>
      <c r="X4135" s="278">
        <v>1021</v>
      </c>
      <c r="Y4135" s="278">
        <v>1021</v>
      </c>
      <c r="Z4135" s="278">
        <v>1021</v>
      </c>
      <c r="AA4135" s="278">
        <v>1021</v>
      </c>
      <c r="AB4135" s="278">
        <v>1021</v>
      </c>
      <c r="AC4135" s="278">
        <f t="shared" si="669"/>
        <v>12247</v>
      </c>
    </row>
    <row r="4136" spans="1:29" x14ac:dyDescent="0.2">
      <c r="A4136" s="179"/>
      <c r="B4136" s="3191"/>
      <c r="C4136" s="3191"/>
      <c r="D4136" s="2421"/>
      <c r="E4136" s="2421"/>
      <c r="F4136" s="2421"/>
      <c r="G4136" s="2421"/>
      <c r="H4136" s="2421"/>
      <c r="I4136" s="2421"/>
      <c r="J4136" s="2421"/>
      <c r="K4136" s="3488"/>
      <c r="L4136" s="1"/>
      <c r="M4136" s="1">
        <v>5067</v>
      </c>
      <c r="N4136" s="2432"/>
      <c r="O4136" s="1090">
        <v>232212</v>
      </c>
      <c r="P4136" s="913" t="s">
        <v>1283</v>
      </c>
      <c r="Q4136" s="278">
        <v>422</v>
      </c>
      <c r="R4136" s="278">
        <v>422</v>
      </c>
      <c r="S4136" s="278">
        <v>422</v>
      </c>
      <c r="T4136" s="278">
        <v>422</v>
      </c>
      <c r="U4136" s="278">
        <v>422</v>
      </c>
      <c r="V4136" s="278">
        <v>422</v>
      </c>
      <c r="W4136" s="278">
        <v>422</v>
      </c>
      <c r="X4136" s="278">
        <v>422</v>
      </c>
      <c r="Y4136" s="278">
        <v>422</v>
      </c>
      <c r="Z4136" s="278">
        <v>423</v>
      </c>
      <c r="AA4136" s="278">
        <v>423</v>
      </c>
      <c r="AB4136" s="278">
        <v>423</v>
      </c>
      <c r="AC4136" s="278">
        <f t="shared" si="669"/>
        <v>5067</v>
      </c>
    </row>
    <row r="4137" spans="1:29" x14ac:dyDescent="0.2">
      <c r="A4137" s="179"/>
      <c r="B4137" s="3191"/>
      <c r="C4137" s="3191"/>
      <c r="D4137" s="2421"/>
      <c r="E4137" s="2421"/>
      <c r="F4137" s="2421"/>
      <c r="G4137" s="2421"/>
      <c r="H4137" s="2421"/>
      <c r="I4137" s="2421"/>
      <c r="J4137" s="2421"/>
      <c r="K4137" s="3488"/>
      <c r="L4137" s="1"/>
      <c r="M4137" s="1">
        <v>8259</v>
      </c>
      <c r="N4137" s="2432"/>
      <c r="O4137" s="1090">
        <v>232222</v>
      </c>
      <c r="P4137" s="913" t="s">
        <v>1287</v>
      </c>
      <c r="Q4137" s="278">
        <v>688</v>
      </c>
      <c r="R4137" s="278">
        <v>689</v>
      </c>
      <c r="S4137" s="278">
        <v>688</v>
      </c>
      <c r="T4137" s="278">
        <v>688</v>
      </c>
      <c r="U4137" s="278">
        <v>689</v>
      </c>
      <c r="V4137" s="278">
        <v>689</v>
      </c>
      <c r="W4137" s="278">
        <v>688</v>
      </c>
      <c r="X4137" s="278">
        <v>688</v>
      </c>
      <c r="Y4137" s="278">
        <v>688</v>
      </c>
      <c r="Z4137" s="278">
        <v>688</v>
      </c>
      <c r="AA4137" s="278">
        <v>688</v>
      </c>
      <c r="AB4137" s="278">
        <v>688</v>
      </c>
      <c r="AC4137" s="278">
        <f t="shared" si="669"/>
        <v>8259</v>
      </c>
    </row>
    <row r="4138" spans="1:29" x14ac:dyDescent="0.2">
      <c r="A4138" s="179"/>
      <c r="B4138" s="3191"/>
      <c r="C4138" s="3191"/>
      <c r="D4138" s="2421"/>
      <c r="E4138" s="2421"/>
      <c r="F4138" s="2421"/>
      <c r="G4138" s="2421"/>
      <c r="H4138" s="2421"/>
      <c r="I4138" s="2421"/>
      <c r="J4138" s="2421"/>
      <c r="K4138" s="3488"/>
      <c r="L4138" s="1"/>
      <c r="M4138" s="1">
        <v>9831</v>
      </c>
      <c r="N4138" s="2432"/>
      <c r="O4138" s="1090">
        <v>232231</v>
      </c>
      <c r="P4138" s="913" t="s">
        <v>1291</v>
      </c>
      <c r="Q4138" s="278">
        <v>819</v>
      </c>
      <c r="R4138" s="278">
        <v>819</v>
      </c>
      <c r="S4138" s="278">
        <v>819</v>
      </c>
      <c r="T4138" s="278">
        <v>819</v>
      </c>
      <c r="U4138" s="278">
        <v>819</v>
      </c>
      <c r="V4138" s="278">
        <v>819</v>
      </c>
      <c r="W4138" s="278">
        <v>821</v>
      </c>
      <c r="X4138" s="278">
        <v>820</v>
      </c>
      <c r="Y4138" s="278">
        <v>819</v>
      </c>
      <c r="Z4138" s="278">
        <v>819</v>
      </c>
      <c r="AA4138" s="278">
        <v>819</v>
      </c>
      <c r="AB4138" s="278">
        <v>819</v>
      </c>
      <c r="AC4138" s="278">
        <f t="shared" si="669"/>
        <v>9831</v>
      </c>
    </row>
    <row r="4139" spans="1:29" x14ac:dyDescent="0.2">
      <c r="A4139" s="179"/>
      <c r="B4139" s="3191"/>
      <c r="C4139" s="3191"/>
      <c r="D4139" s="2421"/>
      <c r="E4139" s="2421"/>
      <c r="F4139" s="2421"/>
      <c r="G4139" s="2421"/>
      <c r="H4139" s="2421"/>
      <c r="I4139" s="2421"/>
      <c r="J4139" s="2421"/>
      <c r="K4139" s="3488"/>
      <c r="L4139" s="1"/>
      <c r="M4139" s="1">
        <v>400</v>
      </c>
      <c r="N4139" s="2432"/>
      <c r="O4139" s="1090">
        <v>232242</v>
      </c>
      <c r="P4139" s="913" t="s">
        <v>1293</v>
      </c>
      <c r="Q4139" s="278"/>
      <c r="R4139" s="278"/>
      <c r="S4139" s="278"/>
      <c r="T4139" s="278">
        <f>+M4139</f>
        <v>400</v>
      </c>
      <c r="U4139" s="278"/>
      <c r="V4139" s="278"/>
      <c r="W4139" s="278"/>
      <c r="X4139" s="278"/>
      <c r="Y4139" s="278"/>
      <c r="Z4139" s="278"/>
      <c r="AA4139" s="278"/>
      <c r="AB4139" s="274"/>
      <c r="AC4139" s="278">
        <f t="shared" si="669"/>
        <v>400</v>
      </c>
    </row>
    <row r="4140" spans="1:29" x14ac:dyDescent="0.2">
      <c r="A4140" s="179"/>
      <c r="B4140" s="3191"/>
      <c r="C4140" s="3191"/>
      <c r="D4140" s="2421"/>
      <c r="E4140" s="2421"/>
      <c r="F4140" s="2421"/>
      <c r="G4140" s="2421"/>
      <c r="H4140" s="2421"/>
      <c r="I4140" s="2421"/>
      <c r="J4140" s="2421"/>
      <c r="K4140" s="3488"/>
      <c r="L4140" s="1"/>
      <c r="M4140" s="1">
        <v>26187</v>
      </c>
      <c r="N4140" s="2432"/>
      <c r="O4140" s="1090">
        <v>232244</v>
      </c>
      <c r="P4140" s="913" t="s">
        <v>1242</v>
      </c>
      <c r="Q4140" s="278"/>
      <c r="R4140" s="278"/>
      <c r="S4140" s="278">
        <f>+$M$367/10</f>
        <v>0</v>
      </c>
      <c r="T4140" s="278">
        <f t="shared" ref="T4140:AB4140" si="670">+$M$367/10</f>
        <v>0</v>
      </c>
      <c r="U4140" s="278">
        <f t="shared" si="670"/>
        <v>0</v>
      </c>
      <c r="V4140" s="278">
        <f t="shared" si="670"/>
        <v>0</v>
      </c>
      <c r="W4140" s="278">
        <f t="shared" si="670"/>
        <v>0</v>
      </c>
      <c r="X4140" s="278">
        <f t="shared" si="670"/>
        <v>0</v>
      </c>
      <c r="Y4140" s="278">
        <f t="shared" si="670"/>
        <v>0</v>
      </c>
      <c r="Z4140" s="278">
        <f t="shared" si="670"/>
        <v>0</v>
      </c>
      <c r="AA4140" s="278">
        <f>+$M$367/10</f>
        <v>0</v>
      </c>
      <c r="AB4140" s="278">
        <f t="shared" si="670"/>
        <v>0</v>
      </c>
      <c r="AC4140" s="278">
        <f t="shared" si="669"/>
        <v>0</v>
      </c>
    </row>
    <row r="4141" spans="1:29" x14ac:dyDescent="0.2">
      <c r="A4141" s="179"/>
      <c r="B4141" s="3191"/>
      <c r="C4141" s="3191"/>
      <c r="D4141" s="2421"/>
      <c r="E4141" s="2421"/>
      <c r="F4141" s="2421"/>
      <c r="G4141" s="2421"/>
      <c r="H4141" s="2421"/>
      <c r="I4141" s="2421"/>
      <c r="J4141" s="2421"/>
      <c r="K4141" s="3488"/>
      <c r="L4141" s="1"/>
      <c r="M4141" s="1">
        <v>32480</v>
      </c>
      <c r="N4141" s="2432"/>
      <c r="O4141" s="1090">
        <v>232312</v>
      </c>
      <c r="P4141" s="913" t="s">
        <v>1580</v>
      </c>
      <c r="Q4141" s="278">
        <f>+$M$368/12</f>
        <v>0</v>
      </c>
      <c r="R4141" s="278">
        <f t="shared" ref="R4141:AB4141" si="671">+$M$368/12</f>
        <v>0</v>
      </c>
      <c r="S4141" s="278">
        <f t="shared" si="671"/>
        <v>0</v>
      </c>
      <c r="T4141" s="278">
        <f t="shared" si="671"/>
        <v>0</v>
      </c>
      <c r="U4141" s="278">
        <f t="shared" si="671"/>
        <v>0</v>
      </c>
      <c r="V4141" s="278">
        <f t="shared" si="671"/>
        <v>0</v>
      </c>
      <c r="W4141" s="278">
        <f t="shared" si="671"/>
        <v>0</v>
      </c>
      <c r="X4141" s="278">
        <f t="shared" si="671"/>
        <v>0</v>
      </c>
      <c r="Y4141" s="278">
        <f t="shared" si="671"/>
        <v>0</v>
      </c>
      <c r="Z4141" s="278">
        <f t="shared" si="671"/>
        <v>0</v>
      </c>
      <c r="AA4141" s="278">
        <f t="shared" si="671"/>
        <v>0</v>
      </c>
      <c r="AB4141" s="278">
        <f t="shared" si="671"/>
        <v>0</v>
      </c>
      <c r="AC4141" s="278">
        <f t="shared" si="669"/>
        <v>0</v>
      </c>
    </row>
    <row r="4142" spans="1:29" x14ac:dyDescent="0.2">
      <c r="A4142" s="179"/>
      <c r="B4142" s="3191"/>
      <c r="C4142" s="3191"/>
      <c r="D4142" s="2421"/>
      <c r="E4142" s="2421"/>
      <c r="F4142" s="2421"/>
      <c r="G4142" s="2421"/>
      <c r="H4142" s="2421"/>
      <c r="I4142" s="2421"/>
      <c r="J4142" s="2421"/>
      <c r="K4142" s="3488"/>
      <c r="L4142" s="1"/>
      <c r="M4142" s="1">
        <v>12000</v>
      </c>
      <c r="N4142" s="2432"/>
      <c r="O4142" s="1090">
        <v>232411</v>
      </c>
      <c r="P4142" s="913" t="s">
        <v>1295</v>
      </c>
      <c r="Q4142" s="278"/>
      <c r="R4142" s="278"/>
      <c r="S4142" s="278">
        <f>+M4142/3</f>
        <v>4000</v>
      </c>
      <c r="T4142" s="278"/>
      <c r="U4142" s="278">
        <v>4000</v>
      </c>
      <c r="V4142" s="278"/>
      <c r="W4142" s="278">
        <v>4000</v>
      </c>
      <c r="X4142" s="278"/>
      <c r="Y4142" s="278"/>
      <c r="Z4142" s="278"/>
      <c r="AA4142" s="278"/>
      <c r="AB4142" s="274"/>
      <c r="AC4142" s="278">
        <f t="shared" si="669"/>
        <v>12000</v>
      </c>
    </row>
    <row r="4143" spans="1:29" x14ac:dyDescent="0.2">
      <c r="A4143" s="179"/>
      <c r="B4143" s="3191"/>
      <c r="C4143" s="3191"/>
      <c r="D4143" s="2421"/>
      <c r="E4143" s="2421"/>
      <c r="F4143" s="2421"/>
      <c r="G4143" s="2421"/>
      <c r="H4143" s="2421"/>
      <c r="I4143" s="2421"/>
      <c r="J4143" s="2421"/>
      <c r="K4143" s="3488"/>
      <c r="L4143" s="1"/>
      <c r="M4143" s="1">
        <v>3930</v>
      </c>
      <c r="N4143" s="2432"/>
      <c r="O4143" s="1090">
        <v>232413</v>
      </c>
      <c r="P4143" s="913" t="s">
        <v>1224</v>
      </c>
      <c r="Q4143" s="278"/>
      <c r="R4143" s="278"/>
      <c r="S4143" s="278"/>
      <c r="T4143" s="278">
        <v>2000</v>
      </c>
      <c r="U4143" s="278"/>
      <c r="V4143" s="278">
        <v>1930</v>
      </c>
      <c r="W4143" s="278"/>
      <c r="X4143" s="278"/>
      <c r="Y4143" s="278"/>
      <c r="Z4143" s="278"/>
      <c r="AA4143" s="278"/>
      <c r="AB4143" s="274"/>
      <c r="AC4143" s="278">
        <f t="shared" si="669"/>
        <v>3930</v>
      </c>
    </row>
    <row r="4144" spans="1:29" x14ac:dyDescent="0.2">
      <c r="A4144" s="179"/>
      <c r="B4144" s="3191"/>
      <c r="C4144" s="3191"/>
      <c r="D4144" s="2421"/>
      <c r="E4144" s="2421"/>
      <c r="F4144" s="2421"/>
      <c r="G4144" s="2421"/>
      <c r="H4144" s="2421"/>
      <c r="I4144" s="2421"/>
      <c r="J4144" s="2421"/>
      <c r="K4144" s="3488"/>
      <c r="L4144" s="1"/>
      <c r="M4144" s="1">
        <v>1000</v>
      </c>
      <c r="N4144" s="2432"/>
      <c r="O4144" s="1090">
        <v>232415</v>
      </c>
      <c r="P4144" s="913" t="s">
        <v>1254</v>
      </c>
      <c r="Q4144" s="278"/>
      <c r="R4144" s="278"/>
      <c r="S4144" s="278">
        <v>500</v>
      </c>
      <c r="T4144" s="278"/>
      <c r="U4144" s="278"/>
      <c r="V4144" s="278">
        <v>500</v>
      </c>
      <c r="W4144" s="278"/>
      <c r="X4144" s="278"/>
      <c r="Y4144" s="278"/>
      <c r="Z4144" s="278"/>
      <c r="AA4144" s="278"/>
      <c r="AB4144" s="274"/>
      <c r="AC4144" s="278">
        <f t="shared" si="669"/>
        <v>1000</v>
      </c>
    </row>
    <row r="4145" spans="1:29" x14ac:dyDescent="0.2">
      <c r="A4145" s="179"/>
      <c r="B4145" s="3191"/>
      <c r="C4145" s="3191"/>
      <c r="D4145" s="2421"/>
      <c r="E4145" s="2421"/>
      <c r="F4145" s="2421"/>
      <c r="G4145" s="2421"/>
      <c r="H4145" s="2421"/>
      <c r="I4145" s="2421"/>
      <c r="J4145" s="2421"/>
      <c r="K4145" s="3488"/>
      <c r="L4145" s="1"/>
      <c r="M4145" s="1">
        <v>100</v>
      </c>
      <c r="N4145" s="2432"/>
      <c r="O4145" s="1090">
        <v>2324199</v>
      </c>
      <c r="P4145" s="913" t="s">
        <v>1584</v>
      </c>
      <c r="Q4145" s="278"/>
      <c r="R4145" s="278"/>
      <c r="S4145" s="278"/>
      <c r="T4145" s="278"/>
      <c r="U4145" s="278">
        <v>100</v>
      </c>
      <c r="V4145" s="278"/>
      <c r="W4145" s="278"/>
      <c r="X4145" s="278"/>
      <c r="Y4145" s="278"/>
      <c r="Z4145" s="278"/>
      <c r="AA4145" s="278"/>
      <c r="AB4145" s="274"/>
      <c r="AC4145" s="278">
        <f t="shared" si="669"/>
        <v>100</v>
      </c>
    </row>
    <row r="4146" spans="1:29" x14ac:dyDescent="0.2">
      <c r="A4146" s="179"/>
      <c r="B4146" s="3191"/>
      <c r="C4146" s="3191"/>
      <c r="D4146" s="2421"/>
      <c r="E4146" s="2421"/>
      <c r="F4146" s="2421"/>
      <c r="G4146" s="2421"/>
      <c r="H4146" s="2421"/>
      <c r="I4146" s="2421"/>
      <c r="J4146" s="2421"/>
      <c r="K4146" s="3488"/>
      <c r="L4146" s="1"/>
      <c r="M4146" s="1">
        <v>24000</v>
      </c>
      <c r="N4146" s="2432"/>
      <c r="O4146" s="1090">
        <v>232511</v>
      </c>
      <c r="P4146" s="913" t="s">
        <v>1586</v>
      </c>
      <c r="Q4146" s="278"/>
      <c r="R4146" s="278"/>
      <c r="S4146" s="278">
        <v>4000</v>
      </c>
      <c r="T4146" s="278"/>
      <c r="U4146" s="278">
        <v>4000</v>
      </c>
      <c r="V4146" s="278"/>
      <c r="W4146" s="278">
        <v>4000</v>
      </c>
      <c r="X4146" s="278"/>
      <c r="Y4146" s="278">
        <v>4000</v>
      </c>
      <c r="Z4146" s="278"/>
      <c r="AA4146" s="278">
        <v>4000</v>
      </c>
      <c r="AB4146" s="278">
        <v>4000</v>
      </c>
      <c r="AC4146" s="278">
        <f t="shared" si="669"/>
        <v>24000</v>
      </c>
    </row>
    <row r="4147" spans="1:29" x14ac:dyDescent="0.2">
      <c r="A4147" s="179"/>
      <c r="B4147" s="3191"/>
      <c r="C4147" s="3191"/>
      <c r="D4147" s="2421"/>
      <c r="E4147" s="2421"/>
      <c r="F4147" s="2421"/>
      <c r="G4147" s="2421"/>
      <c r="H4147" s="2421"/>
      <c r="I4147" s="2421"/>
      <c r="J4147" s="2421"/>
      <c r="K4147" s="3488"/>
      <c r="L4147" s="1"/>
      <c r="M4147" s="1">
        <v>2200</v>
      </c>
      <c r="N4147" s="2432"/>
      <c r="O4147" s="1090">
        <v>2327101</v>
      </c>
      <c r="P4147" s="913" t="s">
        <v>1308</v>
      </c>
      <c r="Q4147" s="278"/>
      <c r="R4147" s="278"/>
      <c r="S4147" s="278">
        <v>220</v>
      </c>
      <c r="T4147" s="278">
        <v>220</v>
      </c>
      <c r="U4147" s="278">
        <v>220</v>
      </c>
      <c r="V4147" s="278">
        <v>220</v>
      </c>
      <c r="W4147" s="278">
        <v>220</v>
      </c>
      <c r="X4147" s="278">
        <v>220</v>
      </c>
      <c r="Y4147" s="278">
        <v>220</v>
      </c>
      <c r="Z4147" s="278">
        <v>220</v>
      </c>
      <c r="AA4147" s="278">
        <v>220</v>
      </c>
      <c r="AB4147" s="278">
        <v>220</v>
      </c>
      <c r="AC4147" s="278">
        <f t="shared" si="669"/>
        <v>2200</v>
      </c>
    </row>
    <row r="4148" spans="1:29" x14ac:dyDescent="0.2">
      <c r="A4148" s="179"/>
      <c r="B4148" s="3191"/>
      <c r="C4148" s="3191"/>
      <c r="D4148" s="2421"/>
      <c r="E4148" s="2421"/>
      <c r="F4148" s="2421"/>
      <c r="G4148" s="2421"/>
      <c r="H4148" s="2421"/>
      <c r="I4148" s="2421"/>
      <c r="J4148" s="2421"/>
      <c r="K4148" s="3488"/>
      <c r="L4148" s="1"/>
      <c r="M4148" s="1">
        <v>22739</v>
      </c>
      <c r="N4148" s="2432"/>
      <c r="O4148" s="1090">
        <v>2327112</v>
      </c>
      <c r="P4148" s="913" t="s">
        <v>1593</v>
      </c>
      <c r="Q4148" s="278">
        <v>1895</v>
      </c>
      <c r="R4148" s="278">
        <v>1895</v>
      </c>
      <c r="S4148" s="278">
        <v>1895</v>
      </c>
      <c r="T4148" s="278">
        <v>1895</v>
      </c>
      <c r="U4148" s="278">
        <v>1895</v>
      </c>
      <c r="V4148" s="278">
        <v>1895</v>
      </c>
      <c r="W4148" s="278">
        <v>1894</v>
      </c>
      <c r="X4148" s="278">
        <v>1895</v>
      </c>
      <c r="Y4148" s="278">
        <v>1895</v>
      </c>
      <c r="Z4148" s="278">
        <v>1895</v>
      </c>
      <c r="AA4148" s="278">
        <v>1895</v>
      </c>
      <c r="AB4148" s="278">
        <v>1895</v>
      </c>
      <c r="AC4148" s="278">
        <f t="shared" si="669"/>
        <v>22739</v>
      </c>
    </row>
    <row r="4149" spans="1:29" x14ac:dyDescent="0.2">
      <c r="A4149" s="179"/>
      <c r="B4149" s="3191"/>
      <c r="C4149" s="3191"/>
      <c r="D4149" s="2421"/>
      <c r="E4149" s="2421"/>
      <c r="F4149" s="2421"/>
      <c r="G4149" s="2421"/>
      <c r="H4149" s="2421"/>
      <c r="I4149" s="2421"/>
      <c r="J4149" s="2421"/>
      <c r="K4149" s="3488"/>
      <c r="L4149" s="1"/>
      <c r="M4149" s="1">
        <v>12800</v>
      </c>
      <c r="N4149" s="2432"/>
      <c r="O4149" s="1090">
        <v>23271199</v>
      </c>
      <c r="P4149" s="913" t="s">
        <v>1262</v>
      </c>
      <c r="Q4149" s="278"/>
      <c r="R4149" s="278"/>
      <c r="S4149" s="278">
        <f>+M4149/10</f>
        <v>1280</v>
      </c>
      <c r="T4149" s="278">
        <v>1280</v>
      </c>
      <c r="U4149" s="278">
        <v>1280</v>
      </c>
      <c r="V4149" s="278">
        <v>1280</v>
      </c>
      <c r="W4149" s="278">
        <v>1280</v>
      </c>
      <c r="X4149" s="278">
        <v>1280</v>
      </c>
      <c r="Y4149" s="278">
        <v>1280</v>
      </c>
      <c r="Z4149" s="278">
        <v>1280</v>
      </c>
      <c r="AA4149" s="278">
        <v>1280</v>
      </c>
      <c r="AB4149" s="278">
        <v>1280</v>
      </c>
      <c r="AC4149" s="278">
        <f t="shared" si="669"/>
        <v>12800</v>
      </c>
    </row>
    <row r="4150" spans="1:29" x14ac:dyDescent="0.2">
      <c r="A4150" s="179"/>
      <c r="B4150" s="3191"/>
      <c r="C4150" s="3191"/>
      <c r="D4150" s="2421"/>
      <c r="E4150" s="2421"/>
      <c r="F4150" s="2421"/>
      <c r="G4150" s="2421"/>
      <c r="H4150" s="2421"/>
      <c r="I4150" s="2421"/>
      <c r="J4150" s="2421"/>
      <c r="K4150" s="3488"/>
      <c r="L4150" s="1"/>
      <c r="M4150" s="1">
        <v>108200</v>
      </c>
      <c r="N4150" s="2432"/>
      <c r="O4150" s="1090">
        <v>232811</v>
      </c>
      <c r="P4150" s="913" t="s">
        <v>1331</v>
      </c>
      <c r="Q4150" s="278">
        <v>9017</v>
      </c>
      <c r="R4150" s="278">
        <v>9017</v>
      </c>
      <c r="S4150" s="278">
        <v>9017</v>
      </c>
      <c r="T4150" s="278">
        <v>9016</v>
      </c>
      <c r="U4150" s="278">
        <v>9015</v>
      </c>
      <c r="V4150" s="278">
        <v>9017</v>
      </c>
      <c r="W4150" s="278">
        <v>9017</v>
      </c>
      <c r="X4150" s="278">
        <v>9016</v>
      </c>
      <c r="Y4150" s="278">
        <v>9017</v>
      </c>
      <c r="Z4150" s="278">
        <v>9017</v>
      </c>
      <c r="AA4150" s="278">
        <v>9017</v>
      </c>
      <c r="AB4150" s="278">
        <v>9017</v>
      </c>
      <c r="AC4150" s="278">
        <f t="shared" si="669"/>
        <v>108200</v>
      </c>
    </row>
    <row r="4151" spans="1:29" x14ac:dyDescent="0.2">
      <c r="A4151" s="179"/>
      <c r="B4151" s="3191"/>
      <c r="C4151" s="3191"/>
      <c r="D4151" s="2421"/>
      <c r="E4151" s="2421"/>
      <c r="F4151" s="2421"/>
      <c r="G4151" s="2421"/>
      <c r="H4151" s="2421"/>
      <c r="I4151" s="2421" t="s">
        <v>1519</v>
      </c>
      <c r="J4151" s="2421">
        <v>12</v>
      </c>
      <c r="K4151" s="3488">
        <f>+AC4152</f>
        <v>68000</v>
      </c>
      <c r="L4151" s="1"/>
      <c r="M4151" s="542">
        <v>10151</v>
      </c>
      <c r="N4151" s="2432"/>
      <c r="O4151" s="1090">
        <v>232812</v>
      </c>
      <c r="P4151" s="913" t="s">
        <v>1333</v>
      </c>
      <c r="Q4151" s="278">
        <v>846</v>
      </c>
      <c r="R4151" s="278">
        <v>846</v>
      </c>
      <c r="S4151" s="278">
        <v>846</v>
      </c>
      <c r="T4151" s="278">
        <v>846</v>
      </c>
      <c r="U4151" s="278">
        <v>846</v>
      </c>
      <c r="V4151" s="278">
        <v>846</v>
      </c>
      <c r="W4151" s="278">
        <v>846</v>
      </c>
      <c r="X4151" s="278">
        <v>846</v>
      </c>
      <c r="Y4151" s="278">
        <v>846</v>
      </c>
      <c r="Z4151" s="278">
        <v>846</v>
      </c>
      <c r="AA4151" s="278">
        <v>845</v>
      </c>
      <c r="AB4151" s="278">
        <v>846</v>
      </c>
      <c r="AC4151" s="274">
        <f>SUM(Q4151:AB4151)</f>
        <v>10151</v>
      </c>
    </row>
    <row r="4152" spans="1:29" x14ac:dyDescent="0.2">
      <c r="A4152" s="179"/>
      <c r="B4152" s="3191"/>
      <c r="C4152" s="3191"/>
      <c r="D4152" s="2421"/>
      <c r="E4152" s="2421"/>
      <c r="F4152" s="2421"/>
      <c r="G4152" s="2421"/>
      <c r="H4152" s="2421"/>
      <c r="I4152" s="2421"/>
      <c r="J4152" s="2421"/>
      <c r="K4152" s="3488"/>
      <c r="L4152" s="1"/>
      <c r="M4152" s="1">
        <v>68000</v>
      </c>
      <c r="N4152" s="2432"/>
      <c r="O4152" s="1090">
        <v>263231</v>
      </c>
      <c r="P4152" s="913" t="s">
        <v>1645</v>
      </c>
      <c r="Q4152" s="278"/>
      <c r="R4152" s="278"/>
      <c r="S4152" s="278"/>
      <c r="T4152" s="278">
        <v>13600</v>
      </c>
      <c r="U4152" s="278">
        <v>13600</v>
      </c>
      <c r="V4152" s="278">
        <v>13600</v>
      </c>
      <c r="W4152" s="278">
        <v>13600</v>
      </c>
      <c r="X4152" s="278">
        <v>13600</v>
      </c>
      <c r="Y4152" s="278"/>
      <c r="Z4152" s="278"/>
      <c r="AA4152" s="278"/>
      <c r="AB4152" s="278"/>
      <c r="AC4152" s="274">
        <f>SUM(Q4152:AB4152)</f>
        <v>68000</v>
      </c>
    </row>
    <row r="4153" spans="1:29" x14ac:dyDescent="0.2">
      <c r="A4153" s="179"/>
      <c r="B4153" s="3191"/>
      <c r="C4153" s="3191"/>
      <c r="D4153" s="2421"/>
      <c r="E4153" s="2421"/>
      <c r="F4153" s="2421"/>
      <c r="G4153" s="2421"/>
      <c r="H4153" s="2421"/>
      <c r="I4153" s="2421"/>
      <c r="J4153" s="2421"/>
      <c r="K4153" s="3488"/>
      <c r="L4153" s="1"/>
      <c r="M4153" s="1">
        <v>12000</v>
      </c>
      <c r="N4153" s="2432"/>
      <c r="O4153" s="1090">
        <v>263291</v>
      </c>
      <c r="P4153" s="913" t="s">
        <v>1718</v>
      </c>
      <c r="Q4153" s="278">
        <f>+M4153/12</f>
        <v>1000</v>
      </c>
      <c r="R4153" s="278">
        <v>1000</v>
      </c>
      <c r="S4153" s="278">
        <v>1000</v>
      </c>
      <c r="T4153" s="278">
        <v>1000</v>
      </c>
      <c r="U4153" s="278">
        <v>1000</v>
      </c>
      <c r="V4153" s="278">
        <v>1000</v>
      </c>
      <c r="W4153" s="278">
        <v>1000</v>
      </c>
      <c r="X4153" s="278">
        <v>1000</v>
      </c>
      <c r="Y4153" s="278">
        <v>1000</v>
      </c>
      <c r="Z4153" s="278">
        <v>1000</v>
      </c>
      <c r="AA4153" s="278">
        <v>1000</v>
      </c>
      <c r="AB4153" s="278">
        <v>1000</v>
      </c>
      <c r="AC4153" s="278">
        <f>+SUM(Q4153:AB4153)</f>
        <v>12000</v>
      </c>
    </row>
    <row r="4154" spans="1:29" x14ac:dyDescent="0.2">
      <c r="A4154" s="179"/>
      <c r="B4154" s="2439"/>
      <c r="C4154" s="2439"/>
      <c r="D4154" s="2421"/>
      <c r="E4154" s="2421"/>
      <c r="F4154" s="2421"/>
      <c r="G4154" s="2421"/>
      <c r="H4154" s="2421"/>
      <c r="I4154" s="2421"/>
      <c r="J4154" s="2421"/>
      <c r="K4154" s="3488"/>
      <c r="L4154" s="1"/>
      <c r="M4154" s="1">
        <v>1550</v>
      </c>
      <c r="N4154" s="2437"/>
      <c r="O4154" s="1090">
        <v>266132</v>
      </c>
      <c r="P4154" s="913" t="s">
        <v>1649</v>
      </c>
      <c r="Q4154" s="278"/>
      <c r="R4154" s="274"/>
      <c r="S4154" s="278"/>
      <c r="T4154" s="274"/>
      <c r="U4154" s="278">
        <f>+M4154</f>
        <v>1550</v>
      </c>
      <c r="V4154" s="274"/>
      <c r="W4154" s="278"/>
      <c r="X4154" s="274"/>
      <c r="Y4154" s="278"/>
      <c r="Z4154" s="274"/>
      <c r="AA4154" s="278"/>
      <c r="AB4154" s="274"/>
      <c r="AC4154" s="278">
        <f t="shared" si="669"/>
        <v>1550</v>
      </c>
    </row>
    <row r="4155" spans="1:29" s="289" customFormat="1" x14ac:dyDescent="0.2">
      <c r="A4155" s="540"/>
      <c r="B4155" s="3474" t="s">
        <v>312</v>
      </c>
      <c r="C4155" s="3475"/>
      <c r="D4155" s="3475"/>
      <c r="E4155" s="3475"/>
      <c r="F4155" s="3475"/>
      <c r="G4155" s="3475"/>
      <c r="H4155" s="3475"/>
      <c r="I4155" s="3475"/>
      <c r="J4155" s="3475"/>
      <c r="K4155" s="3475"/>
      <c r="L4155" s="284">
        <f>+SUM(L4111:L4154)</f>
        <v>68986</v>
      </c>
      <c r="M4155" s="284">
        <f>+SUM(M4111:M4154)</f>
        <v>618874</v>
      </c>
      <c r="N4155" s="285"/>
      <c r="O4155" s="1148"/>
      <c r="P4155" s="286"/>
      <c r="Q4155" s="287"/>
      <c r="R4155" s="288"/>
      <c r="S4155" s="287"/>
      <c r="T4155" s="288"/>
      <c r="U4155" s="287"/>
      <c r="V4155" s="288"/>
      <c r="W4155" s="287"/>
      <c r="X4155" s="288"/>
      <c r="Y4155" s="287"/>
      <c r="Z4155" s="288"/>
      <c r="AA4155" s="287"/>
      <c r="AB4155" s="288"/>
      <c r="AC4155" s="287"/>
    </row>
    <row r="4156" spans="1:29" x14ac:dyDescent="0.2">
      <c r="A4156" s="179"/>
      <c r="B4156" s="2999" t="s">
        <v>20</v>
      </c>
      <c r="C4156" s="2847" t="s">
        <v>21</v>
      </c>
      <c r="D4156" s="2847" t="s">
        <v>22</v>
      </c>
      <c r="E4156" s="2847" t="s">
        <v>23</v>
      </c>
      <c r="F4156" s="2847" t="s">
        <v>24</v>
      </c>
      <c r="G4156" s="2847" t="s">
        <v>25</v>
      </c>
      <c r="H4156" s="2847" t="s">
        <v>26</v>
      </c>
      <c r="I4156" s="2847" t="s">
        <v>27</v>
      </c>
      <c r="J4156" s="2986" t="s">
        <v>28</v>
      </c>
      <c r="K4156" s="2987"/>
      <c r="L4156" s="2986" t="s">
        <v>1628</v>
      </c>
      <c r="M4156" s="2987"/>
      <c r="N4156" s="2988" t="s">
        <v>29</v>
      </c>
      <c r="O4156" s="2986" t="s">
        <v>30</v>
      </c>
      <c r="P4156" s="2987"/>
      <c r="Q4156" s="3489" t="s">
        <v>31</v>
      </c>
      <c r="R4156" s="3490"/>
      <c r="S4156" s="3490"/>
      <c r="T4156" s="3490"/>
      <c r="U4156" s="3490"/>
      <c r="V4156" s="3490"/>
      <c r="W4156" s="3490"/>
      <c r="X4156" s="3490"/>
      <c r="Y4156" s="3490"/>
      <c r="Z4156" s="3490"/>
      <c r="AA4156" s="3490"/>
      <c r="AB4156" s="3491"/>
      <c r="AC4156" s="3479" t="s">
        <v>32</v>
      </c>
    </row>
    <row r="4157" spans="1:29" x14ac:dyDescent="0.2">
      <c r="A4157" s="179"/>
      <c r="B4157" s="2999"/>
      <c r="C4157" s="2847"/>
      <c r="D4157" s="2847"/>
      <c r="E4157" s="2847"/>
      <c r="F4157" s="2847"/>
      <c r="G4157" s="2847"/>
      <c r="H4157" s="2847"/>
      <c r="I4157" s="2847"/>
      <c r="J4157" s="1017" t="s">
        <v>33</v>
      </c>
      <c r="K4157" s="1017" t="s">
        <v>34</v>
      </c>
      <c r="L4157" s="306" t="s">
        <v>1513</v>
      </c>
      <c r="M4157" s="306" t="s">
        <v>1514</v>
      </c>
      <c r="N4157" s="2989"/>
      <c r="O4157" s="3000"/>
      <c r="P4157" s="3001"/>
      <c r="Q4157" s="1111" t="s">
        <v>35</v>
      </c>
      <c r="R4157" s="1111" t="s">
        <v>36</v>
      </c>
      <c r="S4157" s="1111" t="s">
        <v>37</v>
      </c>
      <c r="T4157" s="1111" t="s">
        <v>38</v>
      </c>
      <c r="U4157" s="1111" t="s">
        <v>39</v>
      </c>
      <c r="V4157" s="1111" t="s">
        <v>40</v>
      </c>
      <c r="W4157" s="1111" t="s">
        <v>41</v>
      </c>
      <c r="X4157" s="1111" t="s">
        <v>42</v>
      </c>
      <c r="Y4157" s="1111" t="s">
        <v>43</v>
      </c>
      <c r="Z4157" s="1111" t="s">
        <v>44</v>
      </c>
      <c r="AA4157" s="1111" t="s">
        <v>45</v>
      </c>
      <c r="AB4157" s="1111" t="s">
        <v>46</v>
      </c>
      <c r="AC4157" s="3479"/>
    </row>
    <row r="4158" spans="1:29" x14ac:dyDescent="0.2">
      <c r="A4158" s="179"/>
      <c r="B4158" s="3190" t="s">
        <v>1719</v>
      </c>
      <c r="C4158" s="2421" t="s">
        <v>1720</v>
      </c>
      <c r="D4158" s="2421"/>
      <c r="E4158" s="2421" t="s">
        <v>1517</v>
      </c>
      <c r="F4158" s="2421" t="s">
        <v>1630</v>
      </c>
      <c r="G4158" s="2421" t="s">
        <v>1680</v>
      </c>
      <c r="H4158" s="2421"/>
      <c r="I4158" s="2421" t="s">
        <v>1721</v>
      </c>
      <c r="J4158" s="3483">
        <v>166036</v>
      </c>
      <c r="K4158" s="3497">
        <f>+AC4159</f>
        <v>1702676.0000000002</v>
      </c>
      <c r="L4158" s="542"/>
      <c r="M4158" s="542"/>
      <c r="N4158" s="3500" t="s">
        <v>1722</v>
      </c>
      <c r="O4158" s="1111" t="s">
        <v>51</v>
      </c>
      <c r="P4158" s="1111"/>
      <c r="Q4158" s="1111">
        <v>13836</v>
      </c>
      <c r="R4158" s="1111">
        <v>13836</v>
      </c>
      <c r="S4158" s="1111">
        <v>13836</v>
      </c>
      <c r="T4158" s="1111">
        <v>13836</v>
      </c>
      <c r="U4158" s="1111">
        <v>13836</v>
      </c>
      <c r="V4158" s="1111">
        <v>13840</v>
      </c>
      <c r="W4158" s="1111">
        <v>13836</v>
      </c>
      <c r="X4158" s="1111">
        <v>13836</v>
      </c>
      <c r="Y4158" s="1111">
        <v>13836</v>
      </c>
      <c r="Z4158" s="1111">
        <v>13836</v>
      </c>
      <c r="AA4158" s="1111">
        <v>13836</v>
      </c>
      <c r="AB4158" s="1111">
        <v>13836</v>
      </c>
      <c r="AC4158" s="1111">
        <f>SUM(Q4158:AB4158)</f>
        <v>166036</v>
      </c>
    </row>
    <row r="4159" spans="1:29" x14ac:dyDescent="0.2">
      <c r="A4159" s="179"/>
      <c r="B4159" s="3191"/>
      <c r="C4159" s="2421"/>
      <c r="D4159" s="2421"/>
      <c r="E4159" s="2421"/>
      <c r="F4159" s="2421"/>
      <c r="G4159" s="2421"/>
      <c r="H4159" s="2421"/>
      <c r="I4159" s="2421"/>
      <c r="J4159" s="3483"/>
      <c r="K4159" s="3483"/>
      <c r="L4159" s="1"/>
      <c r="M4159" s="1"/>
      <c r="N4159" s="3501"/>
      <c r="O4159" s="2840" t="s">
        <v>1340</v>
      </c>
      <c r="P4159" s="2840"/>
      <c r="Q4159" s="274">
        <f>SUM(Q4160:Q4215)</f>
        <v>141889.66666666666</v>
      </c>
      <c r="R4159" s="274">
        <f t="shared" ref="R4159:AB4159" si="672">SUM(R4160:R4215)</f>
        <v>141889.66666666666</v>
      </c>
      <c r="S4159" s="274">
        <f t="shared" si="672"/>
        <v>141889.66666666666</v>
      </c>
      <c r="T4159" s="274">
        <f t="shared" si="672"/>
        <v>141889.66666666666</v>
      </c>
      <c r="U4159" s="274">
        <f t="shared" si="672"/>
        <v>141889.66666666666</v>
      </c>
      <c r="V4159" s="274">
        <f t="shared" si="672"/>
        <v>141889.66666666666</v>
      </c>
      <c r="W4159" s="274">
        <f t="shared" si="672"/>
        <v>141889.66666666666</v>
      </c>
      <c r="X4159" s="274">
        <f t="shared" si="672"/>
        <v>141889.66666666666</v>
      </c>
      <c r="Y4159" s="274">
        <f t="shared" si="672"/>
        <v>141889.66666666666</v>
      </c>
      <c r="Z4159" s="274">
        <f t="shared" si="672"/>
        <v>141889.66666666666</v>
      </c>
      <c r="AA4159" s="274">
        <f t="shared" si="672"/>
        <v>141889.66666666666</v>
      </c>
      <c r="AB4159" s="274">
        <f t="shared" si="672"/>
        <v>141889.66666666666</v>
      </c>
      <c r="AC4159" s="274">
        <f>SUM(Q4159:AB4159)</f>
        <v>1702676.0000000002</v>
      </c>
    </row>
    <row r="4160" spans="1:29" x14ac:dyDescent="0.2">
      <c r="A4160" s="179"/>
      <c r="B4160" s="3191"/>
      <c r="C4160" s="2421"/>
      <c r="D4160" s="2421"/>
      <c r="E4160" s="2421"/>
      <c r="F4160" s="2421"/>
      <c r="G4160" s="2421"/>
      <c r="H4160" s="2421"/>
      <c r="I4160" s="2421"/>
      <c r="J4160" s="3483"/>
      <c r="K4160" s="3483"/>
      <c r="L4160" s="1">
        <v>300000</v>
      </c>
      <c r="M4160" s="1"/>
      <c r="N4160" s="3501"/>
      <c r="O4160" s="1090">
        <v>231111</v>
      </c>
      <c r="P4160" s="913" t="s">
        <v>1306</v>
      </c>
      <c r="Q4160" s="278">
        <v>25000</v>
      </c>
      <c r="R4160" s="278">
        <v>25000</v>
      </c>
      <c r="S4160" s="278">
        <v>25000</v>
      </c>
      <c r="T4160" s="278">
        <v>25000</v>
      </c>
      <c r="U4160" s="278">
        <v>25000</v>
      </c>
      <c r="V4160" s="278">
        <v>25000</v>
      </c>
      <c r="W4160" s="278">
        <v>25000</v>
      </c>
      <c r="X4160" s="278">
        <v>25000</v>
      </c>
      <c r="Y4160" s="278">
        <v>25000</v>
      </c>
      <c r="Z4160" s="278">
        <v>25000</v>
      </c>
      <c r="AA4160" s="278">
        <v>25000</v>
      </c>
      <c r="AB4160" s="278">
        <v>25000</v>
      </c>
      <c r="AC4160" s="278">
        <f>+SUM(Q4160:AB4160)</f>
        <v>300000</v>
      </c>
    </row>
    <row r="4161" spans="1:29" x14ac:dyDescent="0.2">
      <c r="A4161" s="179"/>
      <c r="B4161" s="3191"/>
      <c r="C4161" s="2421"/>
      <c r="D4161" s="2421"/>
      <c r="E4161" s="2421"/>
      <c r="F4161" s="2421"/>
      <c r="G4161" s="2421"/>
      <c r="H4161" s="2421"/>
      <c r="I4161" s="2421"/>
      <c r="J4161" s="3483"/>
      <c r="K4161" s="3483"/>
      <c r="L4161" s="1">
        <v>19500</v>
      </c>
      <c r="M4161" s="1"/>
      <c r="N4161" s="3501"/>
      <c r="O4161" s="1090">
        <v>2311111</v>
      </c>
      <c r="P4161" s="913" t="s">
        <v>1544</v>
      </c>
      <c r="Q4161" s="278">
        <v>1625</v>
      </c>
      <c r="R4161" s="278">
        <v>1625</v>
      </c>
      <c r="S4161" s="278">
        <v>1625</v>
      </c>
      <c r="T4161" s="278">
        <v>1625</v>
      </c>
      <c r="U4161" s="278">
        <v>1625</v>
      </c>
      <c r="V4161" s="278">
        <v>1625</v>
      </c>
      <c r="W4161" s="278">
        <v>1625</v>
      </c>
      <c r="X4161" s="278">
        <v>1625</v>
      </c>
      <c r="Y4161" s="278">
        <v>1625</v>
      </c>
      <c r="Z4161" s="278">
        <v>1625</v>
      </c>
      <c r="AA4161" s="278">
        <v>1625</v>
      </c>
      <c r="AB4161" s="278">
        <v>1625</v>
      </c>
      <c r="AC4161" s="278">
        <f t="shared" ref="AC4161:AC4223" si="673">+SUM(Q4161:AB4161)</f>
        <v>19500</v>
      </c>
    </row>
    <row r="4162" spans="1:29" x14ac:dyDescent="0.2">
      <c r="A4162" s="179"/>
      <c r="B4162" s="3191"/>
      <c r="C4162" s="2421"/>
      <c r="D4162" s="2421"/>
      <c r="E4162" s="2421"/>
      <c r="F4162" s="2421"/>
      <c r="G4162" s="2421"/>
      <c r="H4162" s="2421"/>
      <c r="I4162" s="2421"/>
      <c r="J4162" s="3483"/>
      <c r="K4162" s="3483"/>
      <c r="L4162" s="1">
        <v>14000</v>
      </c>
      <c r="M4162" s="1"/>
      <c r="N4162" s="3501"/>
      <c r="O4162" s="1090">
        <v>2311112</v>
      </c>
      <c r="P4162" s="913" t="s">
        <v>1218</v>
      </c>
      <c r="Q4162" s="278">
        <v>1166.6666666666667</v>
      </c>
      <c r="R4162" s="278">
        <v>1166.6666666666667</v>
      </c>
      <c r="S4162" s="278">
        <v>1166.6666666666667</v>
      </c>
      <c r="T4162" s="278">
        <v>1166.6666666666667</v>
      </c>
      <c r="U4162" s="278">
        <v>1166.6666666666667</v>
      </c>
      <c r="V4162" s="278">
        <v>1166.6666666666667</v>
      </c>
      <c r="W4162" s="278">
        <v>1166.6666666666667</v>
      </c>
      <c r="X4162" s="278">
        <v>1166.6666666666667</v>
      </c>
      <c r="Y4162" s="278">
        <v>1166.6666666666667</v>
      </c>
      <c r="Z4162" s="278">
        <v>1166.6666666666667</v>
      </c>
      <c r="AA4162" s="278">
        <v>1166.6666666666667</v>
      </c>
      <c r="AB4162" s="278">
        <v>1166.6666666666667</v>
      </c>
      <c r="AC4162" s="278">
        <f t="shared" si="673"/>
        <v>13999.999999999998</v>
      </c>
    </row>
    <row r="4163" spans="1:29" x14ac:dyDescent="0.2">
      <c r="A4163" s="179"/>
      <c r="B4163" s="3191"/>
      <c r="C4163" s="2421"/>
      <c r="D4163" s="2421"/>
      <c r="E4163" s="2421"/>
      <c r="F4163" s="2421"/>
      <c r="G4163" s="2421"/>
      <c r="H4163" s="2421"/>
      <c r="I4163" s="2421"/>
      <c r="J4163" s="3483"/>
      <c r="K4163" s="3483"/>
      <c r="L4163" s="1">
        <v>2000</v>
      </c>
      <c r="M4163" s="1"/>
      <c r="N4163" s="3501"/>
      <c r="O4163" s="1090">
        <v>2311113</v>
      </c>
      <c r="P4163" s="913" t="s">
        <v>1546</v>
      </c>
      <c r="Q4163" s="278">
        <v>166.66666666666666</v>
      </c>
      <c r="R4163" s="278">
        <v>166.66666666666666</v>
      </c>
      <c r="S4163" s="278">
        <v>166.66666666666666</v>
      </c>
      <c r="T4163" s="278">
        <v>166.66666666666666</v>
      </c>
      <c r="U4163" s="278">
        <v>166.66666666666666</v>
      </c>
      <c r="V4163" s="278">
        <v>166.66666666666666</v>
      </c>
      <c r="W4163" s="278">
        <v>166.66666666666666</v>
      </c>
      <c r="X4163" s="278">
        <v>166.66666666666666</v>
      </c>
      <c r="Y4163" s="278">
        <v>166.66666666666666</v>
      </c>
      <c r="Z4163" s="278">
        <v>166.66666666666666</v>
      </c>
      <c r="AA4163" s="278">
        <v>166.66666666666666</v>
      </c>
      <c r="AB4163" s="278">
        <v>166.66666666666666</v>
      </c>
      <c r="AC4163" s="278">
        <f t="shared" si="673"/>
        <v>2000.0000000000002</v>
      </c>
    </row>
    <row r="4164" spans="1:29" x14ac:dyDescent="0.2">
      <c r="A4164" s="179"/>
      <c r="B4164" s="3191"/>
      <c r="C4164" s="2421"/>
      <c r="D4164" s="2421"/>
      <c r="E4164" s="2421"/>
      <c r="F4164" s="2421"/>
      <c r="G4164" s="2421"/>
      <c r="H4164" s="2421"/>
      <c r="I4164" s="2421"/>
      <c r="J4164" s="3483"/>
      <c r="K4164" s="3483"/>
      <c r="L4164" s="1">
        <v>3500</v>
      </c>
      <c r="M4164" s="1"/>
      <c r="N4164" s="3501"/>
      <c r="O4164" s="1090">
        <v>2311114</v>
      </c>
      <c r="P4164" s="913" t="s">
        <v>1548</v>
      </c>
      <c r="Q4164" s="278">
        <v>291.66666666666669</v>
      </c>
      <c r="R4164" s="278">
        <v>291.66666666666669</v>
      </c>
      <c r="S4164" s="278">
        <v>291.66666666666669</v>
      </c>
      <c r="T4164" s="278">
        <v>291.66666666666669</v>
      </c>
      <c r="U4164" s="278">
        <v>291.66666666666669</v>
      </c>
      <c r="V4164" s="278">
        <v>291.66666666666669</v>
      </c>
      <c r="W4164" s="278">
        <v>291.66666666666669</v>
      </c>
      <c r="X4164" s="278">
        <v>291.66666666666669</v>
      </c>
      <c r="Y4164" s="278">
        <v>291.66666666666669</v>
      </c>
      <c r="Z4164" s="278">
        <v>291.66666666666669</v>
      </c>
      <c r="AA4164" s="278">
        <v>291.66666666666669</v>
      </c>
      <c r="AB4164" s="278">
        <v>291.66666666666669</v>
      </c>
      <c r="AC4164" s="278">
        <f t="shared" si="673"/>
        <v>3499.9999999999995</v>
      </c>
    </row>
    <row r="4165" spans="1:29" x14ac:dyDescent="0.2">
      <c r="A4165" s="179"/>
      <c r="B4165" s="3191"/>
      <c r="C4165" s="2421"/>
      <c r="D4165" s="2421"/>
      <c r="E4165" s="2421"/>
      <c r="F4165" s="2421"/>
      <c r="G4165" s="2421"/>
      <c r="H4165" s="2421"/>
      <c r="I4165" s="2421"/>
      <c r="J4165" s="3483"/>
      <c r="K4165" s="3483"/>
      <c r="L4165" s="1">
        <v>12500</v>
      </c>
      <c r="M4165" s="1"/>
      <c r="N4165" s="3501"/>
      <c r="O4165" s="1090">
        <v>2311115</v>
      </c>
      <c r="P4165" s="913" t="s">
        <v>1550</v>
      </c>
      <c r="Q4165" s="278">
        <v>1041.6666666666667</v>
      </c>
      <c r="R4165" s="278">
        <v>1041.6666666666667</v>
      </c>
      <c r="S4165" s="278">
        <v>1041.6666666666667</v>
      </c>
      <c r="T4165" s="278">
        <v>1041.6666666666667</v>
      </c>
      <c r="U4165" s="278">
        <v>1041.6666666666667</v>
      </c>
      <c r="V4165" s="278">
        <v>1041.6666666666667</v>
      </c>
      <c r="W4165" s="278">
        <v>1041.6666666666667</v>
      </c>
      <c r="X4165" s="278">
        <v>1041.6666666666667</v>
      </c>
      <c r="Y4165" s="278">
        <v>1041.6666666666667</v>
      </c>
      <c r="Z4165" s="278">
        <v>1041.6666666666667</v>
      </c>
      <c r="AA4165" s="278">
        <v>1041.6666666666667</v>
      </c>
      <c r="AB4165" s="278">
        <v>1041.6666666666667</v>
      </c>
      <c r="AC4165" s="278">
        <f t="shared" si="673"/>
        <v>12499.999999999998</v>
      </c>
    </row>
    <row r="4166" spans="1:29" x14ac:dyDescent="0.2">
      <c r="A4166" s="179"/>
      <c r="B4166" s="3191"/>
      <c r="C4166" s="2421"/>
      <c r="D4166" s="2421"/>
      <c r="E4166" s="2421"/>
      <c r="F4166" s="2421"/>
      <c r="G4166" s="2421"/>
      <c r="H4166" s="2421"/>
      <c r="I4166" s="2421"/>
      <c r="J4166" s="3483"/>
      <c r="K4166" s="3483"/>
      <c r="L4166" s="1">
        <v>11200</v>
      </c>
      <c r="M4166" s="1"/>
      <c r="N4166" s="3501"/>
      <c r="O4166" s="1090">
        <v>2311116</v>
      </c>
      <c r="P4166" s="913" t="s">
        <v>1552</v>
      </c>
      <c r="Q4166" s="278">
        <v>933.33333333333337</v>
      </c>
      <c r="R4166" s="278">
        <v>933.33333333333337</v>
      </c>
      <c r="S4166" s="278">
        <v>933.33333333333337</v>
      </c>
      <c r="T4166" s="278">
        <v>933.33333333333337</v>
      </c>
      <c r="U4166" s="278">
        <v>933.33333333333337</v>
      </c>
      <c r="V4166" s="278">
        <v>933.33333333333337</v>
      </c>
      <c r="W4166" s="278">
        <v>933.33333333333337</v>
      </c>
      <c r="X4166" s="278">
        <v>933.33333333333337</v>
      </c>
      <c r="Y4166" s="278">
        <v>933.33333333333337</v>
      </c>
      <c r="Z4166" s="278">
        <v>933.33333333333337</v>
      </c>
      <c r="AA4166" s="278">
        <v>933.33333333333337</v>
      </c>
      <c r="AB4166" s="278">
        <v>933.33333333333337</v>
      </c>
      <c r="AC4166" s="278">
        <f t="shared" si="673"/>
        <v>11200.000000000002</v>
      </c>
    </row>
    <row r="4167" spans="1:29" x14ac:dyDescent="0.2">
      <c r="A4167" s="179"/>
      <c r="B4167" s="3191"/>
      <c r="C4167" s="2421"/>
      <c r="D4167" s="2421"/>
      <c r="E4167" s="2421"/>
      <c r="F4167" s="2421"/>
      <c r="G4167" s="2421"/>
      <c r="H4167" s="2421"/>
      <c r="I4167" s="2421"/>
      <c r="J4167" s="3483"/>
      <c r="K4167" s="3483"/>
      <c r="L4167" s="1">
        <v>15000</v>
      </c>
      <c r="M4167" s="1"/>
      <c r="N4167" s="3501"/>
      <c r="O4167" s="1090">
        <v>231311</v>
      </c>
      <c r="P4167" s="913" t="s">
        <v>1220</v>
      </c>
      <c r="Q4167" s="278">
        <v>1250</v>
      </c>
      <c r="R4167" s="278">
        <v>1250</v>
      </c>
      <c r="S4167" s="278">
        <v>1250</v>
      </c>
      <c r="T4167" s="278">
        <v>1250</v>
      </c>
      <c r="U4167" s="278">
        <v>1250</v>
      </c>
      <c r="V4167" s="278">
        <v>1250</v>
      </c>
      <c r="W4167" s="278">
        <v>1250</v>
      </c>
      <c r="X4167" s="278">
        <v>1250</v>
      </c>
      <c r="Y4167" s="278">
        <v>1250</v>
      </c>
      <c r="Z4167" s="278">
        <v>1250</v>
      </c>
      <c r="AA4167" s="278">
        <v>1250</v>
      </c>
      <c r="AB4167" s="278">
        <v>1250</v>
      </c>
      <c r="AC4167" s="278">
        <f t="shared" si="673"/>
        <v>15000</v>
      </c>
    </row>
    <row r="4168" spans="1:29" x14ac:dyDescent="0.2">
      <c r="A4168" s="179"/>
      <c r="B4168" s="3191"/>
      <c r="C4168" s="2421"/>
      <c r="D4168" s="2421"/>
      <c r="E4168" s="2421"/>
      <c r="F4168" s="2421"/>
      <c r="G4168" s="2421"/>
      <c r="H4168" s="2421"/>
      <c r="I4168" s="2421"/>
      <c r="J4168" s="3483"/>
      <c r="K4168" s="3483"/>
      <c r="L4168" s="1">
        <v>3000</v>
      </c>
      <c r="M4168" s="1"/>
      <c r="N4168" s="3501"/>
      <c r="O4168" s="1090">
        <v>231313</v>
      </c>
      <c r="P4168" s="913" t="s">
        <v>1222</v>
      </c>
      <c r="Q4168" s="278">
        <v>250</v>
      </c>
      <c r="R4168" s="278">
        <v>250</v>
      </c>
      <c r="S4168" s="278">
        <v>250</v>
      </c>
      <c r="T4168" s="278">
        <v>250</v>
      </c>
      <c r="U4168" s="278">
        <v>250</v>
      </c>
      <c r="V4168" s="278">
        <v>250</v>
      </c>
      <c r="W4168" s="278">
        <v>250</v>
      </c>
      <c r="X4168" s="278">
        <v>250</v>
      </c>
      <c r="Y4168" s="278">
        <v>250</v>
      </c>
      <c r="Z4168" s="278">
        <v>250</v>
      </c>
      <c r="AA4168" s="278">
        <v>250</v>
      </c>
      <c r="AB4168" s="278">
        <v>250</v>
      </c>
      <c r="AC4168" s="278">
        <f t="shared" si="673"/>
        <v>3000</v>
      </c>
    </row>
    <row r="4169" spans="1:29" x14ac:dyDescent="0.2">
      <c r="A4169" s="179"/>
      <c r="B4169" s="3191"/>
      <c r="C4169" s="2421"/>
      <c r="D4169" s="2421"/>
      <c r="E4169" s="2421"/>
      <c r="F4169" s="2421"/>
      <c r="G4169" s="2421"/>
      <c r="H4169" s="2421"/>
      <c r="I4169" s="2421"/>
      <c r="J4169" s="3483"/>
      <c r="K4169" s="3483"/>
      <c r="L4169" s="1">
        <v>5000</v>
      </c>
      <c r="M4169" s="1"/>
      <c r="N4169" s="3501"/>
      <c r="O4169" s="1090">
        <v>231511</v>
      </c>
      <c r="P4169" s="913" t="s">
        <v>1246</v>
      </c>
      <c r="Q4169" s="278">
        <v>416.66666666666669</v>
      </c>
      <c r="R4169" s="278">
        <v>416.66666666666669</v>
      </c>
      <c r="S4169" s="278">
        <v>416.66666666666669</v>
      </c>
      <c r="T4169" s="278">
        <v>416.66666666666669</v>
      </c>
      <c r="U4169" s="278">
        <v>416.66666666666669</v>
      </c>
      <c r="V4169" s="278">
        <v>416.66666666666669</v>
      </c>
      <c r="W4169" s="278">
        <v>416.66666666666669</v>
      </c>
      <c r="X4169" s="278">
        <v>416.66666666666669</v>
      </c>
      <c r="Y4169" s="278">
        <v>416.66666666666669</v>
      </c>
      <c r="Z4169" s="278">
        <v>416.66666666666669</v>
      </c>
      <c r="AA4169" s="278">
        <v>416.66666666666669</v>
      </c>
      <c r="AB4169" s="278">
        <v>416.66666666666669</v>
      </c>
      <c r="AC4169" s="278">
        <f t="shared" si="673"/>
        <v>5000</v>
      </c>
    </row>
    <row r="4170" spans="1:29" x14ac:dyDescent="0.2">
      <c r="A4170" s="179"/>
      <c r="B4170" s="3191"/>
      <c r="C4170" s="2421"/>
      <c r="D4170" s="2421"/>
      <c r="E4170" s="2421"/>
      <c r="F4170" s="2421"/>
      <c r="G4170" s="2421"/>
      <c r="H4170" s="2421"/>
      <c r="I4170" s="2421"/>
      <c r="J4170" s="3483"/>
      <c r="K4170" s="3483"/>
      <c r="L4170" s="1">
        <v>2500</v>
      </c>
      <c r="M4170" s="1"/>
      <c r="N4170" s="3501"/>
      <c r="O4170" s="1090">
        <v>231512</v>
      </c>
      <c r="P4170" s="913" t="s">
        <v>1236</v>
      </c>
      <c r="Q4170" s="278">
        <v>208.33333333333334</v>
      </c>
      <c r="R4170" s="278">
        <v>208.33333333333334</v>
      </c>
      <c r="S4170" s="278">
        <v>208.33333333333334</v>
      </c>
      <c r="T4170" s="278">
        <v>208.33333333333334</v>
      </c>
      <c r="U4170" s="278">
        <v>208.33333333333334</v>
      </c>
      <c r="V4170" s="278">
        <v>208.33333333333334</v>
      </c>
      <c r="W4170" s="278">
        <v>208.33333333333334</v>
      </c>
      <c r="X4170" s="278">
        <v>208.33333333333334</v>
      </c>
      <c r="Y4170" s="278">
        <v>208.33333333333334</v>
      </c>
      <c r="Z4170" s="278">
        <v>208.33333333333334</v>
      </c>
      <c r="AA4170" s="278">
        <v>208.33333333333334</v>
      </c>
      <c r="AB4170" s="278">
        <v>208.33333333333334</v>
      </c>
      <c r="AC4170" s="278">
        <f t="shared" si="673"/>
        <v>2500</v>
      </c>
    </row>
    <row r="4171" spans="1:29" x14ac:dyDescent="0.2">
      <c r="A4171" s="179"/>
      <c r="B4171" s="3191"/>
      <c r="C4171" s="2421"/>
      <c r="D4171" s="2421"/>
      <c r="E4171" s="2421"/>
      <c r="F4171" s="2421"/>
      <c r="G4171" s="2421"/>
      <c r="H4171" s="2421"/>
      <c r="I4171" s="2421"/>
      <c r="J4171" s="3483"/>
      <c r="K4171" s="3483"/>
      <c r="L4171" s="1">
        <v>75800</v>
      </c>
      <c r="M4171" s="1"/>
      <c r="N4171" s="3501"/>
      <c r="O4171" s="1090">
        <v>231531</v>
      </c>
      <c r="P4171" s="913" t="s">
        <v>1268</v>
      </c>
      <c r="Q4171" s="278">
        <v>6316.666666666667</v>
      </c>
      <c r="R4171" s="278">
        <v>6316.666666666667</v>
      </c>
      <c r="S4171" s="278">
        <v>6316.666666666667</v>
      </c>
      <c r="T4171" s="278">
        <v>6316.666666666667</v>
      </c>
      <c r="U4171" s="278">
        <v>6316.666666666667</v>
      </c>
      <c r="V4171" s="278">
        <v>6316.666666666667</v>
      </c>
      <c r="W4171" s="278">
        <v>6316.666666666667</v>
      </c>
      <c r="X4171" s="278">
        <v>6316.666666666667</v>
      </c>
      <c r="Y4171" s="278">
        <v>6316.666666666667</v>
      </c>
      <c r="Z4171" s="278">
        <v>6316.666666666667</v>
      </c>
      <c r="AA4171" s="278">
        <v>6316.666666666667</v>
      </c>
      <c r="AB4171" s="278">
        <v>6316.666666666667</v>
      </c>
      <c r="AC4171" s="278">
        <f t="shared" si="673"/>
        <v>75800</v>
      </c>
    </row>
    <row r="4172" spans="1:29" x14ac:dyDescent="0.2">
      <c r="A4172" s="179"/>
      <c r="B4172" s="3191"/>
      <c r="C4172" s="2421"/>
      <c r="D4172" s="2421"/>
      <c r="E4172" s="2421"/>
      <c r="F4172" s="2421"/>
      <c r="G4172" s="2421"/>
      <c r="H4172" s="2421"/>
      <c r="I4172" s="2421"/>
      <c r="J4172" s="3483"/>
      <c r="K4172" s="3483"/>
      <c r="L4172" s="1">
        <v>15000</v>
      </c>
      <c r="M4172" s="1"/>
      <c r="N4172" s="3501"/>
      <c r="O4172" s="1090">
        <v>231541</v>
      </c>
      <c r="P4172" s="913" t="s">
        <v>1270</v>
      </c>
      <c r="Q4172" s="278">
        <v>1250</v>
      </c>
      <c r="R4172" s="278">
        <v>1250</v>
      </c>
      <c r="S4172" s="278">
        <v>1250</v>
      </c>
      <c r="T4172" s="278">
        <v>1250</v>
      </c>
      <c r="U4172" s="278">
        <v>1250</v>
      </c>
      <c r="V4172" s="278">
        <v>1250</v>
      </c>
      <c r="W4172" s="278">
        <v>1250</v>
      </c>
      <c r="X4172" s="278">
        <v>1250</v>
      </c>
      <c r="Y4172" s="278">
        <v>1250</v>
      </c>
      <c r="Z4172" s="278">
        <v>1250</v>
      </c>
      <c r="AA4172" s="278">
        <v>1250</v>
      </c>
      <c r="AB4172" s="278">
        <v>1250</v>
      </c>
      <c r="AC4172" s="278">
        <f t="shared" si="673"/>
        <v>15000</v>
      </c>
    </row>
    <row r="4173" spans="1:29" x14ac:dyDescent="0.2">
      <c r="A4173" s="179"/>
      <c r="B4173" s="3191"/>
      <c r="C4173" s="2421"/>
      <c r="D4173" s="2421"/>
      <c r="E4173" s="2421"/>
      <c r="F4173" s="2421"/>
      <c r="G4173" s="2421"/>
      <c r="H4173" s="2421"/>
      <c r="I4173" s="2421"/>
      <c r="J4173" s="3483"/>
      <c r="K4173" s="3483"/>
      <c r="L4173" s="1">
        <v>15000</v>
      </c>
      <c r="M4173" s="1"/>
      <c r="N4173" s="3501"/>
      <c r="O4173" s="1090">
        <v>23159999</v>
      </c>
      <c r="P4173" s="913" t="s">
        <v>1717</v>
      </c>
      <c r="Q4173" s="278">
        <v>1250</v>
      </c>
      <c r="R4173" s="278">
        <v>1250</v>
      </c>
      <c r="S4173" s="278">
        <v>1250</v>
      </c>
      <c r="T4173" s="278">
        <v>1250</v>
      </c>
      <c r="U4173" s="278">
        <v>1250</v>
      </c>
      <c r="V4173" s="278">
        <v>1250</v>
      </c>
      <c r="W4173" s="278">
        <v>1250</v>
      </c>
      <c r="X4173" s="278">
        <v>1250</v>
      </c>
      <c r="Y4173" s="278">
        <v>1250</v>
      </c>
      <c r="Z4173" s="278">
        <v>1250</v>
      </c>
      <c r="AA4173" s="278">
        <v>1250</v>
      </c>
      <c r="AB4173" s="278">
        <v>1250</v>
      </c>
      <c r="AC4173" s="278">
        <f t="shared" si="673"/>
        <v>15000</v>
      </c>
    </row>
    <row r="4174" spans="1:29" x14ac:dyDescent="0.2">
      <c r="A4174" s="179"/>
      <c r="B4174" s="3191"/>
      <c r="C4174" s="2421"/>
      <c r="D4174" s="2421"/>
      <c r="E4174" s="2421"/>
      <c r="F4174" s="2421"/>
      <c r="G4174" s="2421"/>
      <c r="H4174" s="2421"/>
      <c r="I4174" s="2421"/>
      <c r="J4174" s="3483"/>
      <c r="K4174" s="3483"/>
      <c r="L4174" s="1">
        <v>5000</v>
      </c>
      <c r="M4174" s="1"/>
      <c r="N4174" s="3501"/>
      <c r="O4174" s="1090">
        <v>231611</v>
      </c>
      <c r="P4174" s="913" t="s">
        <v>1224</v>
      </c>
      <c r="Q4174" s="278">
        <v>416.66666666666669</v>
      </c>
      <c r="R4174" s="278">
        <v>416.66666666666669</v>
      </c>
      <c r="S4174" s="278">
        <v>416.66666666666669</v>
      </c>
      <c r="T4174" s="278">
        <v>416.66666666666669</v>
      </c>
      <c r="U4174" s="278">
        <v>416.66666666666669</v>
      </c>
      <c r="V4174" s="278">
        <v>416.66666666666669</v>
      </c>
      <c r="W4174" s="278">
        <v>416.66666666666669</v>
      </c>
      <c r="X4174" s="278">
        <v>416.66666666666669</v>
      </c>
      <c r="Y4174" s="278">
        <v>416.66666666666669</v>
      </c>
      <c r="Z4174" s="278">
        <v>416.66666666666669</v>
      </c>
      <c r="AA4174" s="278">
        <v>416.66666666666669</v>
      </c>
      <c r="AB4174" s="278">
        <v>416.66666666666669</v>
      </c>
      <c r="AC4174" s="278">
        <f t="shared" si="673"/>
        <v>5000</v>
      </c>
    </row>
    <row r="4175" spans="1:29" x14ac:dyDescent="0.2">
      <c r="A4175" s="179"/>
      <c r="B4175" s="3191"/>
      <c r="C4175" s="2421"/>
      <c r="D4175" s="2421"/>
      <c r="E4175" s="2421"/>
      <c r="F4175" s="2421"/>
      <c r="G4175" s="2421"/>
      <c r="H4175" s="2421"/>
      <c r="I4175" s="2421"/>
      <c r="J4175" s="3483"/>
      <c r="K4175" s="3483"/>
      <c r="L4175" s="1">
        <v>1500</v>
      </c>
      <c r="M4175" s="1"/>
      <c r="N4175" s="3501"/>
      <c r="O4175" s="1090">
        <v>231612</v>
      </c>
      <c r="P4175" s="913" t="s">
        <v>1273</v>
      </c>
      <c r="Q4175" s="278">
        <v>125</v>
      </c>
      <c r="R4175" s="278">
        <v>125</v>
      </c>
      <c r="S4175" s="278">
        <v>125</v>
      </c>
      <c r="T4175" s="278">
        <v>125</v>
      </c>
      <c r="U4175" s="278">
        <v>125</v>
      </c>
      <c r="V4175" s="278">
        <v>125</v>
      </c>
      <c r="W4175" s="278">
        <v>125</v>
      </c>
      <c r="X4175" s="278">
        <v>125</v>
      </c>
      <c r="Y4175" s="278">
        <v>125</v>
      </c>
      <c r="Z4175" s="278">
        <v>125</v>
      </c>
      <c r="AA4175" s="278">
        <v>125</v>
      </c>
      <c r="AB4175" s="278">
        <v>125</v>
      </c>
      <c r="AC4175" s="278">
        <f t="shared" si="673"/>
        <v>1500</v>
      </c>
    </row>
    <row r="4176" spans="1:29" x14ac:dyDescent="0.2">
      <c r="A4176" s="179"/>
      <c r="B4176" s="3191"/>
      <c r="C4176" s="2421"/>
      <c r="D4176" s="2421"/>
      <c r="E4176" s="2421"/>
      <c r="F4176" s="2421"/>
      <c r="G4176" s="2421"/>
      <c r="H4176" s="2421"/>
      <c r="I4176" s="2421"/>
      <c r="J4176" s="3483"/>
      <c r="K4176" s="3483"/>
      <c r="L4176" s="1">
        <v>2000</v>
      </c>
      <c r="M4176" s="1"/>
      <c r="N4176" s="3501"/>
      <c r="O4176" s="1090">
        <v>2316199</v>
      </c>
      <c r="P4176" s="913" t="s">
        <v>1562</v>
      </c>
      <c r="Q4176" s="278">
        <v>166.66666666666666</v>
      </c>
      <c r="R4176" s="278">
        <v>166.66666666666666</v>
      </c>
      <c r="S4176" s="278">
        <v>166.66666666666666</v>
      </c>
      <c r="T4176" s="278">
        <v>166.66666666666666</v>
      </c>
      <c r="U4176" s="278">
        <v>166.66666666666666</v>
      </c>
      <c r="V4176" s="278">
        <v>166.66666666666666</v>
      </c>
      <c r="W4176" s="278">
        <v>166.66666666666666</v>
      </c>
      <c r="X4176" s="278">
        <v>166.66666666666666</v>
      </c>
      <c r="Y4176" s="278">
        <v>166.66666666666666</v>
      </c>
      <c r="Z4176" s="278">
        <v>166.66666666666666</v>
      </c>
      <c r="AA4176" s="278">
        <v>166.66666666666666</v>
      </c>
      <c r="AB4176" s="278">
        <v>166.66666666666666</v>
      </c>
      <c r="AC4176" s="278">
        <f t="shared" si="673"/>
        <v>2000.0000000000002</v>
      </c>
    </row>
    <row r="4177" spans="1:29" x14ac:dyDescent="0.2">
      <c r="A4177" s="179"/>
      <c r="B4177" s="3191"/>
      <c r="C4177" s="2421"/>
      <c r="D4177" s="2421"/>
      <c r="E4177" s="2421"/>
      <c r="F4177" s="2421"/>
      <c r="G4177" s="2421"/>
      <c r="H4177" s="2421"/>
      <c r="I4177" s="2421"/>
      <c r="J4177" s="3483"/>
      <c r="K4177" s="3483"/>
      <c r="L4177" s="1">
        <v>1000</v>
      </c>
      <c r="M4177" s="1"/>
      <c r="N4177" s="3501"/>
      <c r="O4177" s="1090">
        <v>231711</v>
      </c>
      <c r="P4177" s="913" t="s">
        <v>1275</v>
      </c>
      <c r="Q4177" s="278">
        <v>83.333333333333329</v>
      </c>
      <c r="R4177" s="278">
        <v>83.333333333333329</v>
      </c>
      <c r="S4177" s="278">
        <v>83.333333333333329</v>
      </c>
      <c r="T4177" s="278">
        <v>83.333333333333329</v>
      </c>
      <c r="U4177" s="278">
        <v>83.333333333333329</v>
      </c>
      <c r="V4177" s="278">
        <v>83.333333333333329</v>
      </c>
      <c r="W4177" s="278">
        <v>83.333333333333329</v>
      </c>
      <c r="X4177" s="278">
        <v>83.333333333333329</v>
      </c>
      <c r="Y4177" s="278">
        <v>83.333333333333329</v>
      </c>
      <c r="Z4177" s="278">
        <v>83.333333333333329</v>
      </c>
      <c r="AA4177" s="278">
        <v>83.333333333333329</v>
      </c>
      <c r="AB4177" s="278">
        <v>83.333333333333329</v>
      </c>
      <c r="AC4177" s="278">
        <f t="shared" si="673"/>
        <v>1000.0000000000001</v>
      </c>
    </row>
    <row r="4178" spans="1:29" x14ac:dyDescent="0.2">
      <c r="A4178" s="179"/>
      <c r="B4178" s="3191"/>
      <c r="C4178" s="2421"/>
      <c r="D4178" s="2421"/>
      <c r="E4178" s="2421"/>
      <c r="F4178" s="2421"/>
      <c r="G4178" s="2421"/>
      <c r="H4178" s="2421"/>
      <c r="I4178" s="2421"/>
      <c r="J4178" s="3483"/>
      <c r="K4178" s="3483"/>
      <c r="L4178" s="1">
        <v>457881</v>
      </c>
      <c r="M4178" s="1"/>
      <c r="N4178" s="3501"/>
      <c r="O4178" s="1090">
        <v>231812</v>
      </c>
      <c r="P4178" s="913" t="s">
        <v>1564</v>
      </c>
      <c r="Q4178" s="278">
        <v>38156.75</v>
      </c>
      <c r="R4178" s="278">
        <v>38156.75</v>
      </c>
      <c r="S4178" s="278">
        <v>38156.75</v>
      </c>
      <c r="T4178" s="278">
        <v>38156.75</v>
      </c>
      <c r="U4178" s="278">
        <v>38156.75</v>
      </c>
      <c r="V4178" s="278">
        <v>38156.75</v>
      </c>
      <c r="W4178" s="278">
        <v>38156.75</v>
      </c>
      <c r="X4178" s="278">
        <v>38156.75</v>
      </c>
      <c r="Y4178" s="278">
        <v>38156.75</v>
      </c>
      <c r="Z4178" s="278">
        <v>38156.75</v>
      </c>
      <c r="AA4178" s="278">
        <v>38156.75</v>
      </c>
      <c r="AB4178" s="278">
        <v>38156.75</v>
      </c>
      <c r="AC4178" s="278">
        <f t="shared" si="673"/>
        <v>457881</v>
      </c>
    </row>
    <row r="4179" spans="1:29" x14ac:dyDescent="0.2">
      <c r="A4179" s="179"/>
      <c r="B4179" s="3191"/>
      <c r="C4179" s="2421"/>
      <c r="D4179" s="2421"/>
      <c r="E4179" s="2421"/>
      <c r="F4179" s="2421"/>
      <c r="G4179" s="2421"/>
      <c r="H4179" s="2421"/>
      <c r="I4179" s="2421"/>
      <c r="J4179" s="3483"/>
      <c r="K4179" s="3483"/>
      <c r="L4179" s="1">
        <v>218395</v>
      </c>
      <c r="M4179" s="1"/>
      <c r="N4179" s="3501"/>
      <c r="O4179" s="1090">
        <v>231821</v>
      </c>
      <c r="P4179" s="913" t="s">
        <v>1566</v>
      </c>
      <c r="Q4179" s="278">
        <v>18199.583333333332</v>
      </c>
      <c r="R4179" s="278">
        <v>18199.583333333332</v>
      </c>
      <c r="S4179" s="278">
        <v>18199.583333333332</v>
      </c>
      <c r="T4179" s="278">
        <v>18199.583333333332</v>
      </c>
      <c r="U4179" s="278">
        <v>18199.583333333332</v>
      </c>
      <c r="V4179" s="278">
        <v>18199.583333333332</v>
      </c>
      <c r="W4179" s="278">
        <v>18199.583333333332</v>
      </c>
      <c r="X4179" s="278">
        <v>18199.583333333332</v>
      </c>
      <c r="Y4179" s="278">
        <v>18199.583333333332</v>
      </c>
      <c r="Z4179" s="278">
        <v>18199.583333333332</v>
      </c>
      <c r="AA4179" s="278">
        <v>18199.583333333332</v>
      </c>
      <c r="AB4179" s="278">
        <v>18199.583333333332</v>
      </c>
      <c r="AC4179" s="278">
        <f t="shared" si="673"/>
        <v>218395.00000000003</v>
      </c>
    </row>
    <row r="4180" spans="1:29" x14ac:dyDescent="0.2">
      <c r="A4180" s="179"/>
      <c r="B4180" s="3191"/>
      <c r="C4180" s="2421"/>
      <c r="D4180" s="2421"/>
      <c r="E4180" s="2421"/>
      <c r="F4180" s="2421"/>
      <c r="G4180" s="2421"/>
      <c r="H4180" s="2421"/>
      <c r="I4180" s="2421"/>
      <c r="J4180" s="3483"/>
      <c r="K4180" s="3483"/>
      <c r="L4180" s="1">
        <v>1500</v>
      </c>
      <c r="M4180" s="1"/>
      <c r="N4180" s="3501"/>
      <c r="O4180" s="1090">
        <v>231912</v>
      </c>
      <c r="P4180" s="913" t="s">
        <v>1522</v>
      </c>
      <c r="Q4180" s="278">
        <v>125</v>
      </c>
      <c r="R4180" s="278">
        <v>125</v>
      </c>
      <c r="S4180" s="278">
        <v>125</v>
      </c>
      <c r="T4180" s="278">
        <v>125</v>
      </c>
      <c r="U4180" s="278">
        <v>125</v>
      </c>
      <c r="V4180" s="278">
        <v>125</v>
      </c>
      <c r="W4180" s="278">
        <v>125</v>
      </c>
      <c r="X4180" s="278">
        <v>125</v>
      </c>
      <c r="Y4180" s="278">
        <v>125</v>
      </c>
      <c r="Z4180" s="278">
        <v>125</v>
      </c>
      <c r="AA4180" s="278">
        <v>125</v>
      </c>
      <c r="AB4180" s="278">
        <v>125</v>
      </c>
      <c r="AC4180" s="278">
        <f t="shared" si="673"/>
        <v>1500</v>
      </c>
    </row>
    <row r="4181" spans="1:29" x14ac:dyDescent="0.2">
      <c r="A4181" s="179"/>
      <c r="B4181" s="3191"/>
      <c r="C4181" s="2421"/>
      <c r="D4181" s="2421"/>
      <c r="E4181" s="2421"/>
      <c r="F4181" s="2421"/>
      <c r="G4181" s="2421"/>
      <c r="H4181" s="2421"/>
      <c r="I4181" s="2421"/>
      <c r="J4181" s="3483"/>
      <c r="K4181" s="3483"/>
      <c r="L4181" s="1">
        <v>1000</v>
      </c>
      <c r="M4181" s="1"/>
      <c r="N4181" s="3501"/>
      <c r="O4181" s="1090">
        <v>2319199</v>
      </c>
      <c r="P4181" s="913" t="s">
        <v>1524</v>
      </c>
      <c r="Q4181" s="278">
        <v>83.333333333333329</v>
      </c>
      <c r="R4181" s="278">
        <v>83.333333333333329</v>
      </c>
      <c r="S4181" s="278">
        <v>83.333333333333329</v>
      </c>
      <c r="T4181" s="278">
        <v>83.333333333333329</v>
      </c>
      <c r="U4181" s="278">
        <v>83.333333333333329</v>
      </c>
      <c r="V4181" s="278">
        <v>83.333333333333329</v>
      </c>
      <c r="W4181" s="278">
        <v>83.333333333333329</v>
      </c>
      <c r="X4181" s="278">
        <v>83.333333333333329</v>
      </c>
      <c r="Y4181" s="278">
        <v>83.333333333333329</v>
      </c>
      <c r="Z4181" s="278">
        <v>83.333333333333329</v>
      </c>
      <c r="AA4181" s="278">
        <v>83.333333333333329</v>
      </c>
      <c r="AB4181" s="278">
        <v>83.333333333333329</v>
      </c>
      <c r="AC4181" s="278">
        <f t="shared" si="673"/>
        <v>1000.0000000000001</v>
      </c>
    </row>
    <row r="4182" spans="1:29" x14ac:dyDescent="0.2">
      <c r="A4182" s="179"/>
      <c r="B4182" s="3191"/>
      <c r="C4182" s="2421"/>
      <c r="D4182" s="2421"/>
      <c r="E4182" s="2421"/>
      <c r="F4182" s="2421"/>
      <c r="G4182" s="2421"/>
      <c r="H4182" s="2421"/>
      <c r="I4182" s="2421"/>
      <c r="J4182" s="3483"/>
      <c r="K4182" s="3483"/>
      <c r="L4182" s="1">
        <v>2000</v>
      </c>
      <c r="M4182" s="1"/>
      <c r="N4182" s="3501"/>
      <c r="O4182" s="1090">
        <v>2319913</v>
      </c>
      <c r="P4182" s="913" t="s">
        <v>1250</v>
      </c>
      <c r="Q4182" s="278">
        <v>166.66666666666666</v>
      </c>
      <c r="R4182" s="278">
        <v>166.66666666666666</v>
      </c>
      <c r="S4182" s="278">
        <v>166.66666666666666</v>
      </c>
      <c r="T4182" s="278">
        <v>166.66666666666666</v>
      </c>
      <c r="U4182" s="278">
        <v>166.66666666666666</v>
      </c>
      <c r="V4182" s="278">
        <v>166.66666666666666</v>
      </c>
      <c r="W4182" s="278">
        <v>166.66666666666666</v>
      </c>
      <c r="X4182" s="278">
        <v>166.66666666666666</v>
      </c>
      <c r="Y4182" s="278">
        <v>166.66666666666666</v>
      </c>
      <c r="Z4182" s="278">
        <v>166.66666666666666</v>
      </c>
      <c r="AA4182" s="278">
        <v>166.66666666666666</v>
      </c>
      <c r="AB4182" s="278">
        <v>166.66666666666666</v>
      </c>
      <c r="AC4182" s="278">
        <f t="shared" si="673"/>
        <v>2000.0000000000002</v>
      </c>
    </row>
    <row r="4183" spans="1:29" x14ac:dyDescent="0.2">
      <c r="A4183" s="179"/>
      <c r="B4183" s="3191"/>
      <c r="C4183" s="2421"/>
      <c r="D4183" s="2421"/>
      <c r="E4183" s="2421"/>
      <c r="F4183" s="2421"/>
      <c r="G4183" s="2421"/>
      <c r="H4183" s="2421"/>
      <c r="I4183" s="2421"/>
      <c r="J4183" s="3483"/>
      <c r="K4183" s="3483"/>
      <c r="L4183" s="1">
        <v>5600</v>
      </c>
      <c r="M4183" s="1"/>
      <c r="N4183" s="3501"/>
      <c r="O4183" s="1090">
        <v>2319914</v>
      </c>
      <c r="P4183" s="913" t="s">
        <v>1723</v>
      </c>
      <c r="Q4183" s="278">
        <v>466.66666666666669</v>
      </c>
      <c r="R4183" s="278">
        <v>466.66666666666669</v>
      </c>
      <c r="S4183" s="278">
        <v>466.66666666666669</v>
      </c>
      <c r="T4183" s="278">
        <v>466.66666666666669</v>
      </c>
      <c r="U4183" s="278">
        <v>466.66666666666669</v>
      </c>
      <c r="V4183" s="278">
        <v>466.66666666666669</v>
      </c>
      <c r="W4183" s="278">
        <v>466.66666666666669</v>
      </c>
      <c r="X4183" s="278">
        <v>466.66666666666669</v>
      </c>
      <c r="Y4183" s="278">
        <v>466.66666666666669</v>
      </c>
      <c r="Z4183" s="278">
        <v>466.66666666666669</v>
      </c>
      <c r="AA4183" s="278">
        <v>466.66666666666669</v>
      </c>
      <c r="AB4183" s="278">
        <v>466.66666666666669</v>
      </c>
      <c r="AC4183" s="278">
        <f t="shared" si="673"/>
        <v>5600.0000000000009</v>
      </c>
    </row>
    <row r="4184" spans="1:29" x14ac:dyDescent="0.2">
      <c r="A4184" s="179"/>
      <c r="B4184" s="3191"/>
      <c r="C4184" s="2421"/>
      <c r="D4184" s="2421"/>
      <c r="E4184" s="2421"/>
      <c r="F4184" s="2421"/>
      <c r="G4184" s="2421"/>
      <c r="H4184" s="2421"/>
      <c r="I4184" s="2421"/>
      <c r="J4184" s="3483"/>
      <c r="K4184" s="3483"/>
      <c r="L4184" s="1">
        <v>3500</v>
      </c>
      <c r="M4184" s="1"/>
      <c r="N4184" s="3501"/>
      <c r="O4184" s="1090">
        <v>23199199</v>
      </c>
      <c r="P4184" s="913" t="s">
        <v>1277</v>
      </c>
      <c r="Q4184" s="278">
        <v>291.66666666666669</v>
      </c>
      <c r="R4184" s="278">
        <v>291.66666666666669</v>
      </c>
      <c r="S4184" s="278">
        <v>291.66666666666669</v>
      </c>
      <c r="T4184" s="278">
        <v>291.66666666666669</v>
      </c>
      <c r="U4184" s="278">
        <v>291.66666666666669</v>
      </c>
      <c r="V4184" s="278">
        <v>291.66666666666669</v>
      </c>
      <c r="W4184" s="278">
        <v>291.66666666666669</v>
      </c>
      <c r="X4184" s="278">
        <v>291.66666666666669</v>
      </c>
      <c r="Y4184" s="278">
        <v>291.66666666666669</v>
      </c>
      <c r="Z4184" s="278">
        <v>291.66666666666669</v>
      </c>
      <c r="AA4184" s="278">
        <v>291.66666666666669</v>
      </c>
      <c r="AB4184" s="278">
        <v>291.66666666666669</v>
      </c>
      <c r="AC4184" s="278">
        <f t="shared" si="673"/>
        <v>3499.9999999999995</v>
      </c>
    </row>
    <row r="4185" spans="1:29" x14ac:dyDescent="0.2">
      <c r="A4185" s="179"/>
      <c r="B4185" s="3191"/>
      <c r="C4185" s="2421"/>
      <c r="D4185" s="2421"/>
      <c r="E4185" s="2421"/>
      <c r="F4185" s="2421"/>
      <c r="G4185" s="2421"/>
      <c r="H4185" s="2421"/>
      <c r="I4185" s="2421"/>
      <c r="J4185" s="3483"/>
      <c r="K4185" s="3483"/>
      <c r="L4185" s="1">
        <v>12000</v>
      </c>
      <c r="M4185" s="1"/>
      <c r="N4185" s="3501"/>
      <c r="O4185" s="1090">
        <v>232121</v>
      </c>
      <c r="P4185" s="913" t="s">
        <v>1238</v>
      </c>
      <c r="Q4185" s="278">
        <v>1000</v>
      </c>
      <c r="R4185" s="278">
        <v>1000</v>
      </c>
      <c r="S4185" s="278">
        <v>1000</v>
      </c>
      <c r="T4185" s="278">
        <v>1000</v>
      </c>
      <c r="U4185" s="278">
        <v>1000</v>
      </c>
      <c r="V4185" s="278">
        <v>1000</v>
      </c>
      <c r="W4185" s="278">
        <v>1000</v>
      </c>
      <c r="X4185" s="278">
        <v>1000</v>
      </c>
      <c r="Y4185" s="278">
        <v>1000</v>
      </c>
      <c r="Z4185" s="278">
        <v>1000</v>
      </c>
      <c r="AA4185" s="278">
        <v>1000</v>
      </c>
      <c r="AB4185" s="278">
        <v>1000</v>
      </c>
      <c r="AC4185" s="278">
        <f t="shared" si="673"/>
        <v>12000</v>
      </c>
    </row>
    <row r="4186" spans="1:29" x14ac:dyDescent="0.2">
      <c r="A4186" s="179"/>
      <c r="B4186" s="3191"/>
      <c r="C4186" s="2421"/>
      <c r="D4186" s="2421"/>
      <c r="E4186" s="2421"/>
      <c r="F4186" s="2421"/>
      <c r="G4186" s="2421"/>
      <c r="H4186" s="2421"/>
      <c r="I4186" s="2421"/>
      <c r="J4186" s="3483"/>
      <c r="K4186" s="3483"/>
      <c r="L4186" s="1">
        <v>25000</v>
      </c>
      <c r="M4186" s="1"/>
      <c r="N4186" s="3501"/>
      <c r="O4186" s="1090">
        <v>232122</v>
      </c>
      <c r="P4186" s="913" t="s">
        <v>1240</v>
      </c>
      <c r="Q4186" s="278">
        <v>2083.3333333333335</v>
      </c>
      <c r="R4186" s="278">
        <v>2083.3333333333335</v>
      </c>
      <c r="S4186" s="278">
        <v>2083.3333333333335</v>
      </c>
      <c r="T4186" s="278">
        <v>2083.3333333333335</v>
      </c>
      <c r="U4186" s="278">
        <v>2083.3333333333335</v>
      </c>
      <c r="V4186" s="278">
        <v>2083.3333333333335</v>
      </c>
      <c r="W4186" s="278">
        <v>2083.3333333333335</v>
      </c>
      <c r="X4186" s="278">
        <v>2083.3333333333335</v>
      </c>
      <c r="Y4186" s="278">
        <v>2083.3333333333335</v>
      </c>
      <c r="Z4186" s="278">
        <v>2083.3333333333335</v>
      </c>
      <c r="AA4186" s="278">
        <v>2083.3333333333335</v>
      </c>
      <c r="AB4186" s="278">
        <v>2083.3333333333335</v>
      </c>
      <c r="AC4186" s="278">
        <f t="shared" si="673"/>
        <v>24999.999999999996</v>
      </c>
    </row>
    <row r="4187" spans="1:29" x14ac:dyDescent="0.2">
      <c r="A4187" s="179"/>
      <c r="B4187" s="3191"/>
      <c r="C4187" s="2421"/>
      <c r="D4187" s="2421"/>
      <c r="E4187" s="2421"/>
      <c r="F4187" s="2421"/>
      <c r="G4187" s="2421"/>
      <c r="H4187" s="2421"/>
      <c r="I4187" s="2421"/>
      <c r="J4187" s="3483"/>
      <c r="K4187" s="3483"/>
      <c r="L4187" s="1">
        <v>2500</v>
      </c>
      <c r="M4187" s="1"/>
      <c r="N4187" s="3501"/>
      <c r="O4187" s="1090">
        <v>2321299</v>
      </c>
      <c r="P4187" s="913" t="s">
        <v>1279</v>
      </c>
      <c r="Q4187" s="278">
        <v>208.33333333333334</v>
      </c>
      <c r="R4187" s="278">
        <v>208.33333333333334</v>
      </c>
      <c r="S4187" s="278">
        <v>208.33333333333334</v>
      </c>
      <c r="T4187" s="278">
        <v>208.33333333333334</v>
      </c>
      <c r="U4187" s="278">
        <v>208.33333333333334</v>
      </c>
      <c r="V4187" s="278">
        <v>208.33333333333334</v>
      </c>
      <c r="W4187" s="278">
        <v>208.33333333333334</v>
      </c>
      <c r="X4187" s="278">
        <v>208.33333333333334</v>
      </c>
      <c r="Y4187" s="278">
        <v>208.33333333333334</v>
      </c>
      <c r="Z4187" s="278">
        <v>208.33333333333334</v>
      </c>
      <c r="AA4187" s="278">
        <v>208.33333333333334</v>
      </c>
      <c r="AB4187" s="278">
        <v>208.33333333333334</v>
      </c>
      <c r="AC4187" s="278">
        <f t="shared" si="673"/>
        <v>2500</v>
      </c>
    </row>
    <row r="4188" spans="1:29" x14ac:dyDescent="0.2">
      <c r="A4188" s="179"/>
      <c r="B4188" s="3191"/>
      <c r="C4188" s="2421"/>
      <c r="D4188" s="2421"/>
      <c r="E4188" s="2421"/>
      <c r="F4188" s="2421"/>
      <c r="G4188" s="2421"/>
      <c r="H4188" s="2421"/>
      <c r="I4188" s="2421"/>
      <c r="J4188" s="3483"/>
      <c r="K4188" s="3483"/>
      <c r="L4188" s="1">
        <v>5500</v>
      </c>
      <c r="M4188" s="1"/>
      <c r="N4188" s="3501"/>
      <c r="O4188" s="1090">
        <v>232221</v>
      </c>
      <c r="P4188" s="913" t="s">
        <v>1285</v>
      </c>
      <c r="Q4188" s="278">
        <v>458.33333333333331</v>
      </c>
      <c r="R4188" s="278">
        <v>458.33333333333331</v>
      </c>
      <c r="S4188" s="278">
        <v>458.33333333333331</v>
      </c>
      <c r="T4188" s="278">
        <v>458.33333333333331</v>
      </c>
      <c r="U4188" s="278">
        <v>458.33333333333331</v>
      </c>
      <c r="V4188" s="278">
        <v>458.33333333333331</v>
      </c>
      <c r="W4188" s="278">
        <v>458.33333333333331</v>
      </c>
      <c r="X4188" s="278">
        <v>458.33333333333331</v>
      </c>
      <c r="Y4188" s="278">
        <v>458.33333333333331</v>
      </c>
      <c r="Z4188" s="278">
        <v>458.33333333333331</v>
      </c>
      <c r="AA4188" s="278">
        <v>458.33333333333331</v>
      </c>
      <c r="AB4188" s="278">
        <v>458.33333333333331</v>
      </c>
      <c r="AC4188" s="278">
        <f t="shared" si="673"/>
        <v>5499.9999999999991</v>
      </c>
    </row>
    <row r="4189" spans="1:29" x14ac:dyDescent="0.2">
      <c r="A4189" s="179"/>
      <c r="B4189" s="3191"/>
      <c r="C4189" s="2421"/>
      <c r="D4189" s="2421"/>
      <c r="E4189" s="2421"/>
      <c r="F4189" s="2421"/>
      <c r="G4189" s="2421"/>
      <c r="H4189" s="2421"/>
      <c r="I4189" s="2421"/>
      <c r="J4189" s="3483"/>
      <c r="K4189" s="3483"/>
      <c r="L4189" s="1">
        <v>3600</v>
      </c>
      <c r="M4189" s="1"/>
      <c r="N4189" s="3501"/>
      <c r="O4189" s="1090">
        <v>232231</v>
      </c>
      <c r="P4189" s="913" t="s">
        <v>1291</v>
      </c>
      <c r="Q4189" s="278">
        <v>300</v>
      </c>
      <c r="R4189" s="278">
        <v>300</v>
      </c>
      <c r="S4189" s="278">
        <v>300</v>
      </c>
      <c r="T4189" s="278">
        <v>300</v>
      </c>
      <c r="U4189" s="278">
        <v>300</v>
      </c>
      <c r="V4189" s="278">
        <v>300</v>
      </c>
      <c r="W4189" s="278">
        <v>300</v>
      </c>
      <c r="X4189" s="278">
        <v>300</v>
      </c>
      <c r="Y4189" s="278">
        <v>300</v>
      </c>
      <c r="Z4189" s="278">
        <v>300</v>
      </c>
      <c r="AA4189" s="278">
        <v>300</v>
      </c>
      <c r="AB4189" s="278">
        <v>300</v>
      </c>
      <c r="AC4189" s="278">
        <f t="shared" si="673"/>
        <v>3600</v>
      </c>
    </row>
    <row r="4190" spans="1:29" x14ac:dyDescent="0.2">
      <c r="A4190" s="179"/>
      <c r="B4190" s="3191"/>
      <c r="C4190" s="2421"/>
      <c r="D4190" s="2421"/>
      <c r="E4190" s="2421"/>
      <c r="F4190" s="2421"/>
      <c r="G4190" s="2421"/>
      <c r="H4190" s="2421"/>
      <c r="I4190" s="2421"/>
      <c r="J4190" s="3483"/>
      <c r="K4190" s="3483"/>
      <c r="L4190" s="1">
        <v>3000</v>
      </c>
      <c r="M4190" s="1"/>
      <c r="N4190" s="3501"/>
      <c r="O4190" s="1090">
        <v>232241</v>
      </c>
      <c r="P4190" s="913" t="s">
        <v>1252</v>
      </c>
      <c r="Q4190" s="278">
        <v>250</v>
      </c>
      <c r="R4190" s="278">
        <v>250</v>
      </c>
      <c r="S4190" s="278">
        <v>250</v>
      </c>
      <c r="T4190" s="278">
        <v>250</v>
      </c>
      <c r="U4190" s="278">
        <v>250</v>
      </c>
      <c r="V4190" s="278">
        <v>250</v>
      </c>
      <c r="W4190" s="278">
        <v>250</v>
      </c>
      <c r="X4190" s="278">
        <v>250</v>
      </c>
      <c r="Y4190" s="278">
        <v>250</v>
      </c>
      <c r="Z4190" s="278">
        <v>250</v>
      </c>
      <c r="AA4190" s="278">
        <v>250</v>
      </c>
      <c r="AB4190" s="278">
        <v>250</v>
      </c>
      <c r="AC4190" s="278">
        <f t="shared" si="673"/>
        <v>3000</v>
      </c>
    </row>
    <row r="4191" spans="1:29" x14ac:dyDescent="0.2">
      <c r="A4191" s="179"/>
      <c r="B4191" s="3191"/>
      <c r="C4191" s="2421"/>
      <c r="D4191" s="2421"/>
      <c r="E4191" s="2421"/>
      <c r="F4191" s="2421"/>
      <c r="G4191" s="2421"/>
      <c r="H4191" s="2421"/>
      <c r="I4191" s="2421"/>
      <c r="J4191" s="3483"/>
      <c r="K4191" s="3483"/>
      <c r="L4191" s="1">
        <v>2000</v>
      </c>
      <c r="M4191" s="1"/>
      <c r="N4191" s="3501"/>
      <c r="O4191" s="1090">
        <v>232243</v>
      </c>
      <c r="P4191" s="913" t="s">
        <v>1576</v>
      </c>
      <c r="Q4191" s="278">
        <v>166.66666666666666</v>
      </c>
      <c r="R4191" s="278">
        <v>166.66666666666666</v>
      </c>
      <c r="S4191" s="278">
        <v>166.66666666666666</v>
      </c>
      <c r="T4191" s="278">
        <v>166.66666666666666</v>
      </c>
      <c r="U4191" s="278">
        <v>166.66666666666666</v>
      </c>
      <c r="V4191" s="278">
        <v>166.66666666666666</v>
      </c>
      <c r="W4191" s="278">
        <v>166.66666666666666</v>
      </c>
      <c r="X4191" s="278">
        <v>166.66666666666666</v>
      </c>
      <c r="Y4191" s="278">
        <v>166.66666666666666</v>
      </c>
      <c r="Z4191" s="278">
        <v>166.66666666666666</v>
      </c>
      <c r="AA4191" s="278">
        <v>166.66666666666666</v>
      </c>
      <c r="AB4191" s="278">
        <v>166.66666666666666</v>
      </c>
      <c r="AC4191" s="278">
        <f t="shared" si="673"/>
        <v>2000.0000000000002</v>
      </c>
    </row>
    <row r="4192" spans="1:29" x14ac:dyDescent="0.2">
      <c r="A4192" s="179"/>
      <c r="B4192" s="3191"/>
      <c r="C4192" s="2421"/>
      <c r="D4192" s="2421"/>
      <c r="E4192" s="2421"/>
      <c r="F4192" s="2421"/>
      <c r="G4192" s="2421"/>
      <c r="H4192" s="2421"/>
      <c r="I4192" s="2421"/>
      <c r="J4192" s="3483"/>
      <c r="K4192" s="3483"/>
      <c r="L4192" s="1">
        <v>4000</v>
      </c>
      <c r="M4192" s="1"/>
      <c r="N4192" s="3501"/>
      <c r="O4192" s="1090">
        <v>232244</v>
      </c>
      <c r="P4192" s="913" t="s">
        <v>1242</v>
      </c>
      <c r="Q4192" s="278">
        <v>333.33333333333331</v>
      </c>
      <c r="R4192" s="278">
        <v>333.33333333333331</v>
      </c>
      <c r="S4192" s="278">
        <v>333.33333333333331</v>
      </c>
      <c r="T4192" s="278">
        <v>333.33333333333331</v>
      </c>
      <c r="U4192" s="278">
        <v>333.33333333333331</v>
      </c>
      <c r="V4192" s="278">
        <v>333.33333333333331</v>
      </c>
      <c r="W4192" s="278">
        <v>333.33333333333331</v>
      </c>
      <c r="X4192" s="278">
        <v>333.33333333333331</v>
      </c>
      <c r="Y4192" s="278">
        <v>333.33333333333331</v>
      </c>
      <c r="Z4192" s="278">
        <v>333.33333333333331</v>
      </c>
      <c r="AA4192" s="278">
        <v>333.33333333333331</v>
      </c>
      <c r="AB4192" s="278">
        <v>333.33333333333331</v>
      </c>
      <c r="AC4192" s="278">
        <f t="shared" si="673"/>
        <v>4000.0000000000005</v>
      </c>
    </row>
    <row r="4193" spans="1:29" x14ac:dyDescent="0.2">
      <c r="A4193" s="179"/>
      <c r="B4193" s="3191"/>
      <c r="C4193" s="2421"/>
      <c r="D4193" s="2421"/>
      <c r="E4193" s="2421"/>
      <c r="F4193" s="2421"/>
      <c r="G4193" s="2421"/>
      <c r="H4193" s="2421"/>
      <c r="I4193" s="2421"/>
      <c r="J4193" s="3483"/>
      <c r="K4193" s="3483"/>
      <c r="L4193" s="1">
        <v>1500</v>
      </c>
      <c r="M4193" s="1"/>
      <c r="N4193" s="3501"/>
      <c r="O4193" s="1090">
        <v>232311</v>
      </c>
      <c r="P4193" s="913" t="s">
        <v>1578</v>
      </c>
      <c r="Q4193" s="278">
        <v>125</v>
      </c>
      <c r="R4193" s="278">
        <v>125</v>
      </c>
      <c r="S4193" s="278">
        <v>125</v>
      </c>
      <c r="T4193" s="278">
        <v>125</v>
      </c>
      <c r="U4193" s="278">
        <v>125</v>
      </c>
      <c r="V4193" s="278">
        <v>125</v>
      </c>
      <c r="W4193" s="278">
        <v>125</v>
      </c>
      <c r="X4193" s="278">
        <v>125</v>
      </c>
      <c r="Y4193" s="278">
        <v>125</v>
      </c>
      <c r="Z4193" s="278">
        <v>125</v>
      </c>
      <c r="AA4193" s="278">
        <v>125</v>
      </c>
      <c r="AB4193" s="278">
        <v>125</v>
      </c>
      <c r="AC4193" s="278">
        <f t="shared" si="673"/>
        <v>1500</v>
      </c>
    </row>
    <row r="4194" spans="1:29" x14ac:dyDescent="0.2">
      <c r="A4194" s="179"/>
      <c r="B4194" s="3191"/>
      <c r="C4194" s="2421"/>
      <c r="D4194" s="2421"/>
      <c r="E4194" s="2421"/>
      <c r="F4194" s="2421"/>
      <c r="G4194" s="2421"/>
      <c r="H4194" s="2421"/>
      <c r="I4194" s="2421"/>
      <c r="J4194" s="3483"/>
      <c r="K4194" s="3483"/>
      <c r="L4194" s="1">
        <v>2500</v>
      </c>
      <c r="M4194" s="1"/>
      <c r="N4194" s="3501"/>
      <c r="O4194" s="1090">
        <v>232411</v>
      </c>
      <c r="P4194" s="913" t="s">
        <v>1295</v>
      </c>
      <c r="Q4194" s="278">
        <v>208.33333333333334</v>
      </c>
      <c r="R4194" s="278">
        <v>208.33333333333334</v>
      </c>
      <c r="S4194" s="278">
        <v>208.33333333333334</v>
      </c>
      <c r="T4194" s="278">
        <v>208.33333333333334</v>
      </c>
      <c r="U4194" s="278">
        <v>208.33333333333334</v>
      </c>
      <c r="V4194" s="278">
        <v>208.33333333333334</v>
      </c>
      <c r="W4194" s="278">
        <v>208.33333333333334</v>
      </c>
      <c r="X4194" s="278">
        <v>208.33333333333334</v>
      </c>
      <c r="Y4194" s="278">
        <v>208.33333333333334</v>
      </c>
      <c r="Z4194" s="278">
        <v>208.33333333333334</v>
      </c>
      <c r="AA4194" s="278">
        <v>208.33333333333334</v>
      </c>
      <c r="AB4194" s="278">
        <v>208.33333333333334</v>
      </c>
      <c r="AC4194" s="278">
        <f t="shared" si="673"/>
        <v>2500</v>
      </c>
    </row>
    <row r="4195" spans="1:29" x14ac:dyDescent="0.2">
      <c r="A4195" s="179"/>
      <c r="B4195" s="3191"/>
      <c r="C4195" s="2421"/>
      <c r="D4195" s="2421"/>
      <c r="E4195" s="2421"/>
      <c r="F4195" s="2421"/>
      <c r="G4195" s="2421"/>
      <c r="H4195" s="2421"/>
      <c r="I4195" s="2421"/>
      <c r="J4195" s="3483"/>
      <c r="K4195" s="3483"/>
      <c r="L4195" s="1">
        <v>3500</v>
      </c>
      <c r="M4195" s="1"/>
      <c r="N4195" s="3501"/>
      <c r="O4195" s="1090">
        <v>232413</v>
      </c>
      <c r="P4195" s="913" t="s">
        <v>1224</v>
      </c>
      <c r="Q4195" s="278">
        <v>291.66666666666669</v>
      </c>
      <c r="R4195" s="278">
        <v>291.66666666666669</v>
      </c>
      <c r="S4195" s="278">
        <v>291.66666666666669</v>
      </c>
      <c r="T4195" s="278">
        <v>291.66666666666669</v>
      </c>
      <c r="U4195" s="278">
        <v>291.66666666666669</v>
      </c>
      <c r="V4195" s="278">
        <v>291.66666666666669</v>
      </c>
      <c r="W4195" s="278">
        <v>291.66666666666669</v>
      </c>
      <c r="X4195" s="278">
        <v>291.66666666666669</v>
      </c>
      <c r="Y4195" s="278">
        <v>291.66666666666669</v>
      </c>
      <c r="Z4195" s="278">
        <v>291.66666666666669</v>
      </c>
      <c r="AA4195" s="278">
        <v>291.66666666666669</v>
      </c>
      <c r="AB4195" s="278">
        <v>291.66666666666669</v>
      </c>
      <c r="AC4195" s="278">
        <f t="shared" si="673"/>
        <v>3499.9999999999995</v>
      </c>
    </row>
    <row r="4196" spans="1:29" x14ac:dyDescent="0.2">
      <c r="A4196" s="179"/>
      <c r="B4196" s="3191"/>
      <c r="C4196" s="2421"/>
      <c r="D4196" s="2421"/>
      <c r="E4196" s="2421"/>
      <c r="F4196" s="2421"/>
      <c r="G4196" s="2421"/>
      <c r="H4196" s="2421"/>
      <c r="I4196" s="2421"/>
      <c r="J4196" s="3483"/>
      <c r="K4196" s="3483"/>
      <c r="L4196" s="1">
        <v>3500</v>
      </c>
      <c r="M4196" s="1"/>
      <c r="N4196" s="3501"/>
      <c r="O4196" s="1090">
        <v>232414</v>
      </c>
      <c r="P4196" s="913" t="s">
        <v>1582</v>
      </c>
      <c r="Q4196" s="278">
        <v>291.66666666666669</v>
      </c>
      <c r="R4196" s="278">
        <v>291.66666666666669</v>
      </c>
      <c r="S4196" s="278">
        <v>291.66666666666669</v>
      </c>
      <c r="T4196" s="278">
        <v>291.66666666666669</v>
      </c>
      <c r="U4196" s="278">
        <v>291.66666666666669</v>
      </c>
      <c r="V4196" s="278">
        <v>291.66666666666669</v>
      </c>
      <c r="W4196" s="278">
        <v>291.66666666666669</v>
      </c>
      <c r="X4196" s="278">
        <v>291.66666666666669</v>
      </c>
      <c r="Y4196" s="278">
        <v>291.66666666666669</v>
      </c>
      <c r="Z4196" s="278">
        <v>291.66666666666669</v>
      </c>
      <c r="AA4196" s="278">
        <v>291.66666666666669</v>
      </c>
      <c r="AB4196" s="278">
        <v>291.66666666666669</v>
      </c>
      <c r="AC4196" s="278">
        <f t="shared" si="673"/>
        <v>3499.9999999999995</v>
      </c>
    </row>
    <row r="4197" spans="1:29" x14ac:dyDescent="0.2">
      <c r="A4197" s="179"/>
      <c r="B4197" s="3191"/>
      <c r="C4197" s="2421"/>
      <c r="D4197" s="2421"/>
      <c r="E4197" s="2421"/>
      <c r="F4197" s="2421"/>
      <c r="G4197" s="2421"/>
      <c r="H4197" s="2421"/>
      <c r="I4197" s="2421"/>
      <c r="J4197" s="3483"/>
      <c r="K4197" s="3483"/>
      <c r="L4197" s="1">
        <v>8000</v>
      </c>
      <c r="M4197" s="1"/>
      <c r="N4197" s="3501"/>
      <c r="O4197" s="1090">
        <v>232415</v>
      </c>
      <c r="P4197" s="913" t="s">
        <v>1254</v>
      </c>
      <c r="Q4197" s="278">
        <v>666.66666666666663</v>
      </c>
      <c r="R4197" s="278">
        <v>666.66666666666663</v>
      </c>
      <c r="S4197" s="278">
        <v>666.66666666666663</v>
      </c>
      <c r="T4197" s="278">
        <v>666.66666666666663</v>
      </c>
      <c r="U4197" s="278">
        <v>666.66666666666663</v>
      </c>
      <c r="V4197" s="278">
        <v>666.66666666666663</v>
      </c>
      <c r="W4197" s="278">
        <v>666.66666666666663</v>
      </c>
      <c r="X4197" s="278">
        <v>666.66666666666663</v>
      </c>
      <c r="Y4197" s="278">
        <v>666.66666666666663</v>
      </c>
      <c r="Z4197" s="278">
        <v>666.66666666666663</v>
      </c>
      <c r="AA4197" s="278">
        <v>666.66666666666663</v>
      </c>
      <c r="AB4197" s="278">
        <v>666.66666666666663</v>
      </c>
      <c r="AC4197" s="278">
        <f t="shared" si="673"/>
        <v>8000.0000000000009</v>
      </c>
    </row>
    <row r="4198" spans="1:29" x14ac:dyDescent="0.2">
      <c r="A4198" s="179"/>
      <c r="B4198" s="3191"/>
      <c r="C4198" s="2421"/>
      <c r="D4198" s="2421"/>
      <c r="E4198" s="2421"/>
      <c r="F4198" s="2421"/>
      <c r="G4198" s="2421"/>
      <c r="H4198" s="2421"/>
      <c r="I4198" s="2421"/>
      <c r="J4198" s="3483"/>
      <c r="K4198" s="3483"/>
      <c r="L4198" s="1">
        <v>4000</v>
      </c>
      <c r="M4198" s="1"/>
      <c r="N4198" s="3501"/>
      <c r="O4198" s="1090">
        <v>2324199</v>
      </c>
      <c r="P4198" s="913" t="s">
        <v>1584</v>
      </c>
      <c r="Q4198" s="278">
        <v>333.33333333333331</v>
      </c>
      <c r="R4198" s="278">
        <v>333.33333333333331</v>
      </c>
      <c r="S4198" s="278">
        <v>333.33333333333331</v>
      </c>
      <c r="T4198" s="278">
        <v>333.33333333333331</v>
      </c>
      <c r="U4198" s="278">
        <v>333.33333333333331</v>
      </c>
      <c r="V4198" s="278">
        <v>333.33333333333331</v>
      </c>
      <c r="W4198" s="278">
        <v>333.33333333333331</v>
      </c>
      <c r="X4198" s="278">
        <v>333.33333333333331</v>
      </c>
      <c r="Y4198" s="278">
        <v>333.33333333333331</v>
      </c>
      <c r="Z4198" s="278">
        <v>333.33333333333331</v>
      </c>
      <c r="AA4198" s="278">
        <v>333.33333333333331</v>
      </c>
      <c r="AB4198" s="278">
        <v>333.33333333333331</v>
      </c>
      <c r="AC4198" s="278">
        <f t="shared" si="673"/>
        <v>4000.0000000000005</v>
      </c>
    </row>
    <row r="4199" spans="1:29" x14ac:dyDescent="0.2">
      <c r="A4199" s="179"/>
      <c r="B4199" s="3191"/>
      <c r="C4199" s="2421"/>
      <c r="D4199" s="2421"/>
      <c r="E4199" s="2421"/>
      <c r="F4199" s="2421"/>
      <c r="G4199" s="2421"/>
      <c r="H4199" s="2421"/>
      <c r="I4199" s="2421"/>
      <c r="J4199" s="3483"/>
      <c r="K4199" s="3483"/>
      <c r="L4199" s="1">
        <v>6000</v>
      </c>
      <c r="M4199" s="1"/>
      <c r="N4199" s="3501"/>
      <c r="O4199" s="1090">
        <v>232511</v>
      </c>
      <c r="P4199" s="913" t="s">
        <v>1586</v>
      </c>
      <c r="Q4199" s="278">
        <v>500</v>
      </c>
      <c r="R4199" s="278">
        <v>500</v>
      </c>
      <c r="S4199" s="278">
        <v>500</v>
      </c>
      <c r="T4199" s="278">
        <v>500</v>
      </c>
      <c r="U4199" s="278">
        <v>500</v>
      </c>
      <c r="V4199" s="278">
        <v>500</v>
      </c>
      <c r="W4199" s="278">
        <v>500</v>
      </c>
      <c r="X4199" s="278">
        <v>500</v>
      </c>
      <c r="Y4199" s="278">
        <v>500</v>
      </c>
      <c r="Z4199" s="278">
        <v>500</v>
      </c>
      <c r="AA4199" s="278">
        <v>500</v>
      </c>
      <c r="AB4199" s="278">
        <v>500</v>
      </c>
      <c r="AC4199" s="278">
        <f t="shared" si="673"/>
        <v>6000</v>
      </c>
    </row>
    <row r="4200" spans="1:29" x14ac:dyDescent="0.2">
      <c r="A4200" s="179"/>
      <c r="B4200" s="3191"/>
      <c r="C4200" s="2421"/>
      <c r="D4200" s="2421"/>
      <c r="E4200" s="2421"/>
      <c r="F4200" s="2421"/>
      <c r="G4200" s="2421"/>
      <c r="H4200" s="2421"/>
      <c r="I4200" s="2421"/>
      <c r="J4200" s="3483"/>
      <c r="K4200" s="3483"/>
      <c r="L4200" s="1">
        <v>1000</v>
      </c>
      <c r="M4200" s="1"/>
      <c r="N4200" s="3501"/>
      <c r="O4200" s="1090">
        <v>232512</v>
      </c>
      <c r="P4200" s="913" t="s">
        <v>1224</v>
      </c>
      <c r="Q4200" s="278">
        <v>83.333333333333329</v>
      </c>
      <c r="R4200" s="278">
        <v>83.333333333333329</v>
      </c>
      <c r="S4200" s="278">
        <v>83.333333333333329</v>
      </c>
      <c r="T4200" s="278">
        <v>83.333333333333329</v>
      </c>
      <c r="U4200" s="278">
        <v>83.333333333333329</v>
      </c>
      <c r="V4200" s="278">
        <v>83.333333333333329</v>
      </c>
      <c r="W4200" s="278">
        <v>83.333333333333329</v>
      </c>
      <c r="X4200" s="278">
        <v>83.333333333333329</v>
      </c>
      <c r="Y4200" s="278">
        <v>83.333333333333329</v>
      </c>
      <c r="Z4200" s="278">
        <v>83.333333333333329</v>
      </c>
      <c r="AA4200" s="278">
        <v>83.333333333333329</v>
      </c>
      <c r="AB4200" s="278">
        <v>83.333333333333329</v>
      </c>
      <c r="AC4200" s="278">
        <f t="shared" si="673"/>
        <v>1000.0000000000001</v>
      </c>
    </row>
    <row r="4201" spans="1:29" x14ac:dyDescent="0.2">
      <c r="A4201" s="179"/>
      <c r="B4201" s="3191"/>
      <c r="C4201" s="2421"/>
      <c r="D4201" s="2421"/>
      <c r="E4201" s="2421"/>
      <c r="F4201" s="2421"/>
      <c r="G4201" s="2421"/>
      <c r="H4201" s="2421"/>
      <c r="I4201" s="2421"/>
      <c r="J4201" s="3483"/>
      <c r="K4201" s="3483"/>
      <c r="L4201" s="1">
        <v>1500</v>
      </c>
      <c r="M4201" s="1"/>
      <c r="N4201" s="3501"/>
      <c r="O4201" s="1090">
        <v>232513</v>
      </c>
      <c r="P4201" s="913" t="s">
        <v>1582</v>
      </c>
      <c r="Q4201" s="278">
        <v>125</v>
      </c>
      <c r="R4201" s="278">
        <v>125</v>
      </c>
      <c r="S4201" s="278">
        <v>125</v>
      </c>
      <c r="T4201" s="278">
        <v>125</v>
      </c>
      <c r="U4201" s="278">
        <v>125</v>
      </c>
      <c r="V4201" s="278">
        <v>125</v>
      </c>
      <c r="W4201" s="278">
        <v>125</v>
      </c>
      <c r="X4201" s="278">
        <v>125</v>
      </c>
      <c r="Y4201" s="278">
        <v>125</v>
      </c>
      <c r="Z4201" s="278">
        <v>125</v>
      </c>
      <c r="AA4201" s="278">
        <v>125</v>
      </c>
      <c r="AB4201" s="278">
        <v>125</v>
      </c>
      <c r="AC4201" s="278">
        <f t="shared" si="673"/>
        <v>1500</v>
      </c>
    </row>
    <row r="4202" spans="1:29" x14ac:dyDescent="0.2">
      <c r="A4202" s="179"/>
      <c r="B4202" s="3191"/>
      <c r="C4202" s="2421"/>
      <c r="D4202" s="2421"/>
      <c r="E4202" s="2421"/>
      <c r="F4202" s="2421"/>
      <c r="G4202" s="2421"/>
      <c r="H4202" s="2421"/>
      <c r="I4202" s="2421"/>
      <c r="J4202" s="3483"/>
      <c r="K4202" s="3483"/>
      <c r="L4202" s="1">
        <v>3600</v>
      </c>
      <c r="M4202" s="1"/>
      <c r="N4202" s="3501"/>
      <c r="O4202" s="1090">
        <v>232514</v>
      </c>
      <c r="P4202" s="913" t="s">
        <v>1254</v>
      </c>
      <c r="Q4202" s="278">
        <v>300</v>
      </c>
      <c r="R4202" s="278">
        <v>300</v>
      </c>
      <c r="S4202" s="278">
        <v>300</v>
      </c>
      <c r="T4202" s="278">
        <v>300</v>
      </c>
      <c r="U4202" s="278">
        <v>300</v>
      </c>
      <c r="V4202" s="278">
        <v>300</v>
      </c>
      <c r="W4202" s="278">
        <v>300</v>
      </c>
      <c r="X4202" s="278">
        <v>300</v>
      </c>
      <c r="Y4202" s="278">
        <v>300</v>
      </c>
      <c r="Z4202" s="278">
        <v>300</v>
      </c>
      <c r="AA4202" s="278">
        <v>300</v>
      </c>
      <c r="AB4202" s="278">
        <v>300</v>
      </c>
      <c r="AC4202" s="278">
        <f t="shared" si="673"/>
        <v>3600</v>
      </c>
    </row>
    <row r="4203" spans="1:29" x14ac:dyDescent="0.2">
      <c r="A4203" s="179"/>
      <c r="B4203" s="3191"/>
      <c r="C4203" s="2421"/>
      <c r="D4203" s="2421"/>
      <c r="E4203" s="2421"/>
      <c r="F4203" s="2421"/>
      <c r="G4203" s="2421"/>
      <c r="H4203" s="2421"/>
      <c r="I4203" s="2421"/>
      <c r="J4203" s="3483"/>
      <c r="K4203" s="3483"/>
      <c r="L4203" s="1">
        <v>3600</v>
      </c>
      <c r="M4203" s="1"/>
      <c r="N4203" s="3501"/>
      <c r="O4203" s="1090">
        <v>2325199</v>
      </c>
      <c r="P4203" s="913" t="s">
        <v>1584</v>
      </c>
      <c r="Q4203" s="278">
        <v>300</v>
      </c>
      <c r="R4203" s="278">
        <v>300</v>
      </c>
      <c r="S4203" s="278">
        <v>300</v>
      </c>
      <c r="T4203" s="278">
        <v>300</v>
      </c>
      <c r="U4203" s="278">
        <v>300</v>
      </c>
      <c r="V4203" s="278">
        <v>300</v>
      </c>
      <c r="W4203" s="278">
        <v>300</v>
      </c>
      <c r="X4203" s="278">
        <v>300</v>
      </c>
      <c r="Y4203" s="278">
        <v>300</v>
      </c>
      <c r="Z4203" s="278">
        <v>300</v>
      </c>
      <c r="AA4203" s="278">
        <v>300</v>
      </c>
      <c r="AB4203" s="278">
        <v>300</v>
      </c>
      <c r="AC4203" s="278">
        <f t="shared" si="673"/>
        <v>3600</v>
      </c>
    </row>
    <row r="4204" spans="1:29" x14ac:dyDescent="0.2">
      <c r="A4204" s="179"/>
      <c r="B4204" s="3191"/>
      <c r="C4204" s="2421"/>
      <c r="D4204" s="2421"/>
      <c r="E4204" s="2421"/>
      <c r="F4204" s="2421"/>
      <c r="G4204" s="2421"/>
      <c r="H4204" s="2421"/>
      <c r="I4204" s="2421"/>
      <c r="J4204" s="3483"/>
      <c r="K4204" s="3483"/>
      <c r="L4204" s="1">
        <v>2500</v>
      </c>
      <c r="M4204" s="1"/>
      <c r="N4204" s="3501"/>
      <c r="O4204" s="1090">
        <v>232611</v>
      </c>
      <c r="P4204" s="913" t="s">
        <v>1591</v>
      </c>
      <c r="Q4204" s="278">
        <v>208.33333333333334</v>
      </c>
      <c r="R4204" s="278">
        <v>208.33333333333334</v>
      </c>
      <c r="S4204" s="278">
        <v>208.33333333333334</v>
      </c>
      <c r="T4204" s="278">
        <v>208.33333333333334</v>
      </c>
      <c r="U4204" s="278">
        <v>208.33333333333334</v>
      </c>
      <c r="V4204" s="278">
        <v>208.33333333333334</v>
      </c>
      <c r="W4204" s="278">
        <v>208.33333333333334</v>
      </c>
      <c r="X4204" s="278">
        <v>208.33333333333334</v>
      </c>
      <c r="Y4204" s="278">
        <v>208.33333333333334</v>
      </c>
      <c r="Z4204" s="278">
        <v>208.33333333333334</v>
      </c>
      <c r="AA4204" s="278">
        <v>208.33333333333334</v>
      </c>
      <c r="AB4204" s="278">
        <v>208.33333333333334</v>
      </c>
      <c r="AC4204" s="278">
        <f t="shared" si="673"/>
        <v>2500</v>
      </c>
    </row>
    <row r="4205" spans="1:29" x14ac:dyDescent="0.2">
      <c r="A4205" s="179"/>
      <c r="B4205" s="3191"/>
      <c r="C4205" s="2421"/>
      <c r="D4205" s="2421"/>
      <c r="E4205" s="2421"/>
      <c r="F4205" s="2421"/>
      <c r="G4205" s="2421"/>
      <c r="H4205" s="2421"/>
      <c r="I4205" s="2421"/>
      <c r="J4205" s="3483"/>
      <c r="K4205" s="3483"/>
      <c r="L4205" s="1">
        <v>8000</v>
      </c>
      <c r="M4205" s="1"/>
      <c r="N4205" s="3501"/>
      <c r="O4205" s="1090">
        <v>232612</v>
      </c>
      <c r="P4205" s="913" t="s">
        <v>1226</v>
      </c>
      <c r="Q4205" s="278">
        <v>666.66666666666663</v>
      </c>
      <c r="R4205" s="278">
        <v>666.66666666666663</v>
      </c>
      <c r="S4205" s="278">
        <v>666.66666666666663</v>
      </c>
      <c r="T4205" s="278">
        <v>666.66666666666663</v>
      </c>
      <c r="U4205" s="278">
        <v>666.66666666666663</v>
      </c>
      <c r="V4205" s="278">
        <v>666.66666666666663</v>
      </c>
      <c r="W4205" s="278">
        <v>666.66666666666663</v>
      </c>
      <c r="X4205" s="278">
        <v>666.66666666666663</v>
      </c>
      <c r="Y4205" s="278">
        <v>666.66666666666663</v>
      </c>
      <c r="Z4205" s="278">
        <v>666.66666666666663</v>
      </c>
      <c r="AA4205" s="278">
        <v>666.66666666666663</v>
      </c>
      <c r="AB4205" s="278">
        <v>666.66666666666663</v>
      </c>
      <c r="AC4205" s="278">
        <f t="shared" si="673"/>
        <v>8000.0000000000009</v>
      </c>
    </row>
    <row r="4206" spans="1:29" x14ac:dyDescent="0.2">
      <c r="A4206" s="179"/>
      <c r="B4206" s="3191"/>
      <c r="C4206" s="2421"/>
      <c r="D4206" s="2421"/>
      <c r="E4206" s="2421"/>
      <c r="F4206" s="2421"/>
      <c r="G4206" s="2421"/>
      <c r="H4206" s="2421"/>
      <c r="I4206" s="2421"/>
      <c r="J4206" s="3483"/>
      <c r="K4206" s="3483"/>
      <c r="L4206" s="1">
        <v>1000</v>
      </c>
      <c r="M4206" s="1"/>
      <c r="N4206" s="3501"/>
      <c r="O4206" s="1090">
        <v>2326299</v>
      </c>
      <c r="P4206" s="913" t="s">
        <v>1644</v>
      </c>
      <c r="Q4206" s="278">
        <v>83.333333333333329</v>
      </c>
      <c r="R4206" s="278">
        <v>83.333333333333329</v>
      </c>
      <c r="S4206" s="278">
        <v>83.333333333333329</v>
      </c>
      <c r="T4206" s="278">
        <v>83.333333333333329</v>
      </c>
      <c r="U4206" s="278">
        <v>83.333333333333329</v>
      </c>
      <c r="V4206" s="278">
        <v>83.333333333333329</v>
      </c>
      <c r="W4206" s="278">
        <v>83.333333333333329</v>
      </c>
      <c r="X4206" s="278">
        <v>83.333333333333329</v>
      </c>
      <c r="Y4206" s="278">
        <v>83.333333333333329</v>
      </c>
      <c r="Z4206" s="278">
        <v>83.333333333333329</v>
      </c>
      <c r="AA4206" s="278">
        <v>83.333333333333329</v>
      </c>
      <c r="AB4206" s="278">
        <v>83.333333333333329</v>
      </c>
      <c r="AC4206" s="278">
        <f t="shared" si="673"/>
        <v>1000.0000000000001</v>
      </c>
    </row>
    <row r="4207" spans="1:29" x14ac:dyDescent="0.2">
      <c r="A4207" s="179"/>
      <c r="B4207" s="3191"/>
      <c r="C4207" s="2421"/>
      <c r="D4207" s="2421"/>
      <c r="E4207" s="2421"/>
      <c r="F4207" s="2421"/>
      <c r="G4207" s="2421"/>
      <c r="H4207" s="2421"/>
      <c r="I4207" s="2421"/>
      <c r="J4207" s="3483"/>
      <c r="K4207" s="3483"/>
      <c r="L4207" s="1">
        <v>4000</v>
      </c>
      <c r="M4207" s="1"/>
      <c r="N4207" s="3501"/>
      <c r="O4207" s="1090">
        <v>2327101</v>
      </c>
      <c r="P4207" s="913" t="s">
        <v>1308</v>
      </c>
      <c r="Q4207" s="278">
        <v>333.33333333333331</v>
      </c>
      <c r="R4207" s="278">
        <v>333.33333333333331</v>
      </c>
      <c r="S4207" s="278">
        <v>333.33333333333331</v>
      </c>
      <c r="T4207" s="278">
        <v>333.33333333333331</v>
      </c>
      <c r="U4207" s="278">
        <v>333.33333333333331</v>
      </c>
      <c r="V4207" s="278">
        <v>333.33333333333331</v>
      </c>
      <c r="W4207" s="278">
        <v>333.33333333333331</v>
      </c>
      <c r="X4207" s="278">
        <v>333.33333333333331</v>
      </c>
      <c r="Y4207" s="278">
        <v>333.33333333333331</v>
      </c>
      <c r="Z4207" s="278">
        <v>333.33333333333331</v>
      </c>
      <c r="AA4207" s="278">
        <v>333.33333333333331</v>
      </c>
      <c r="AB4207" s="278">
        <v>333.33333333333331</v>
      </c>
      <c r="AC4207" s="278">
        <f t="shared" si="673"/>
        <v>4000.0000000000005</v>
      </c>
    </row>
    <row r="4208" spans="1:29" x14ac:dyDescent="0.2">
      <c r="A4208" s="179"/>
      <c r="B4208" s="3191"/>
      <c r="C4208" s="2421"/>
      <c r="D4208" s="2421"/>
      <c r="E4208" s="2421"/>
      <c r="F4208" s="2421"/>
      <c r="G4208" s="2421"/>
      <c r="H4208" s="2421"/>
      <c r="I4208" s="2421"/>
      <c r="J4208" s="3483"/>
      <c r="K4208" s="3483"/>
      <c r="L4208" s="1">
        <v>8000</v>
      </c>
      <c r="M4208" s="1"/>
      <c r="N4208" s="3501"/>
      <c r="O4208" s="1090">
        <v>2327102</v>
      </c>
      <c r="P4208" s="913" t="s">
        <v>1298</v>
      </c>
      <c r="Q4208" s="278">
        <v>666.66666666666663</v>
      </c>
      <c r="R4208" s="278">
        <v>666.66666666666663</v>
      </c>
      <c r="S4208" s="278">
        <v>666.66666666666663</v>
      </c>
      <c r="T4208" s="278">
        <v>666.66666666666663</v>
      </c>
      <c r="U4208" s="278">
        <v>666.66666666666663</v>
      </c>
      <c r="V4208" s="278">
        <v>666.66666666666663</v>
      </c>
      <c r="W4208" s="278">
        <v>666.66666666666663</v>
      </c>
      <c r="X4208" s="278">
        <v>666.66666666666663</v>
      </c>
      <c r="Y4208" s="278">
        <v>666.66666666666663</v>
      </c>
      <c r="Z4208" s="278">
        <v>666.66666666666663</v>
      </c>
      <c r="AA4208" s="278">
        <v>666.66666666666663</v>
      </c>
      <c r="AB4208" s="278">
        <v>666.66666666666663</v>
      </c>
      <c r="AC4208" s="278">
        <f t="shared" si="673"/>
        <v>8000.0000000000009</v>
      </c>
    </row>
    <row r="4209" spans="1:29" x14ac:dyDescent="0.2">
      <c r="A4209" s="179"/>
      <c r="B4209" s="3191"/>
      <c r="C4209" s="2421"/>
      <c r="D4209" s="2421"/>
      <c r="E4209" s="2421"/>
      <c r="F4209" s="2421"/>
      <c r="G4209" s="2421"/>
      <c r="H4209" s="2421"/>
      <c r="I4209" s="2421"/>
      <c r="J4209" s="3483"/>
      <c r="K4209" s="3483"/>
      <c r="L4209" s="1">
        <v>10000</v>
      </c>
      <c r="M4209" s="1"/>
      <c r="N4209" s="3501"/>
      <c r="O4209" s="1090">
        <v>232711</v>
      </c>
      <c r="P4209" s="913" t="s">
        <v>1260</v>
      </c>
      <c r="Q4209" s="278">
        <v>833.33333333333337</v>
      </c>
      <c r="R4209" s="278">
        <v>833.33333333333337</v>
      </c>
      <c r="S4209" s="278">
        <v>833.33333333333337</v>
      </c>
      <c r="T4209" s="278">
        <v>833.33333333333337</v>
      </c>
      <c r="U4209" s="278">
        <v>833.33333333333337</v>
      </c>
      <c r="V4209" s="278">
        <v>833.33333333333337</v>
      </c>
      <c r="W4209" s="278">
        <v>833.33333333333337</v>
      </c>
      <c r="X4209" s="278">
        <v>833.33333333333337</v>
      </c>
      <c r="Y4209" s="278">
        <v>833.33333333333337</v>
      </c>
      <c r="Z4209" s="278">
        <v>833.33333333333337</v>
      </c>
      <c r="AA4209" s="278">
        <v>833.33333333333337</v>
      </c>
      <c r="AB4209" s="278">
        <v>833.33333333333337</v>
      </c>
      <c r="AC4209" s="278">
        <f t="shared" si="673"/>
        <v>10000</v>
      </c>
    </row>
    <row r="4210" spans="1:29" x14ac:dyDescent="0.2">
      <c r="A4210" s="179"/>
      <c r="B4210" s="3191"/>
      <c r="C4210" s="2421"/>
      <c r="D4210" s="2421"/>
      <c r="E4210" s="2421"/>
      <c r="F4210" s="2421"/>
      <c r="G4210" s="2421"/>
      <c r="H4210" s="2421"/>
      <c r="I4210" s="2421"/>
      <c r="J4210" s="3483"/>
      <c r="K4210" s="3483"/>
      <c r="L4210" s="1">
        <v>7000</v>
      </c>
      <c r="M4210" s="1"/>
      <c r="N4210" s="3501"/>
      <c r="O4210" s="1090">
        <v>23271199</v>
      </c>
      <c r="P4210" s="913" t="s">
        <v>1262</v>
      </c>
      <c r="Q4210" s="278">
        <v>583.33333333333337</v>
      </c>
      <c r="R4210" s="278">
        <v>583.33333333333337</v>
      </c>
      <c r="S4210" s="278">
        <v>583.33333333333337</v>
      </c>
      <c r="T4210" s="278">
        <v>583.33333333333337</v>
      </c>
      <c r="U4210" s="278">
        <v>583.33333333333337</v>
      </c>
      <c r="V4210" s="278">
        <v>583.33333333333337</v>
      </c>
      <c r="W4210" s="278">
        <v>583.33333333333337</v>
      </c>
      <c r="X4210" s="278">
        <v>583.33333333333337</v>
      </c>
      <c r="Y4210" s="278">
        <v>583.33333333333337</v>
      </c>
      <c r="Z4210" s="278">
        <v>583.33333333333337</v>
      </c>
      <c r="AA4210" s="278">
        <v>583.33333333333337</v>
      </c>
      <c r="AB4210" s="278">
        <v>583.33333333333337</v>
      </c>
      <c r="AC4210" s="278">
        <f t="shared" si="673"/>
        <v>6999.9999999999991</v>
      </c>
    </row>
    <row r="4211" spans="1:29" x14ac:dyDescent="0.2">
      <c r="A4211" s="179"/>
      <c r="B4211" s="3191"/>
      <c r="C4211" s="2421"/>
      <c r="D4211" s="2421"/>
      <c r="E4211" s="2421"/>
      <c r="F4211" s="2421"/>
      <c r="G4211" s="2421"/>
      <c r="H4211" s="2421"/>
      <c r="I4211" s="2421"/>
      <c r="J4211" s="3483"/>
      <c r="K4211" s="3483"/>
      <c r="L4211" s="1">
        <v>2000</v>
      </c>
      <c r="M4211" s="1"/>
      <c r="N4211" s="3501"/>
      <c r="O4211" s="1090">
        <v>232712</v>
      </c>
      <c r="P4211" s="913" t="s">
        <v>1595</v>
      </c>
      <c r="Q4211" s="278">
        <v>166.66666666666666</v>
      </c>
      <c r="R4211" s="278">
        <v>166.66666666666666</v>
      </c>
      <c r="S4211" s="278">
        <v>166.66666666666666</v>
      </c>
      <c r="T4211" s="278">
        <v>166.66666666666666</v>
      </c>
      <c r="U4211" s="278">
        <v>166.66666666666666</v>
      </c>
      <c r="V4211" s="278">
        <v>166.66666666666666</v>
      </c>
      <c r="W4211" s="278">
        <v>166.66666666666666</v>
      </c>
      <c r="X4211" s="278">
        <v>166.66666666666666</v>
      </c>
      <c r="Y4211" s="278">
        <v>166.66666666666666</v>
      </c>
      <c r="Z4211" s="278">
        <v>166.66666666666666</v>
      </c>
      <c r="AA4211" s="278">
        <v>166.66666666666666</v>
      </c>
      <c r="AB4211" s="278">
        <v>166.66666666666666</v>
      </c>
      <c r="AC4211" s="278">
        <f t="shared" si="673"/>
        <v>2000.0000000000002</v>
      </c>
    </row>
    <row r="4212" spans="1:29" x14ac:dyDescent="0.2">
      <c r="A4212" s="179"/>
      <c r="B4212" s="3191"/>
      <c r="C4212" s="2421"/>
      <c r="D4212" s="2421"/>
      <c r="E4212" s="2421"/>
      <c r="F4212" s="2421"/>
      <c r="G4212" s="2421"/>
      <c r="H4212" s="2421"/>
      <c r="I4212" s="2421"/>
      <c r="J4212" s="3483"/>
      <c r="K4212" s="3483"/>
      <c r="L4212" s="1">
        <v>5000</v>
      </c>
      <c r="M4212" s="1"/>
      <c r="N4212" s="3501"/>
      <c r="O4212" s="1090">
        <v>232721</v>
      </c>
      <c r="P4212" s="913" t="s">
        <v>1260</v>
      </c>
      <c r="Q4212" s="278">
        <v>416.66666666666669</v>
      </c>
      <c r="R4212" s="278">
        <v>416.66666666666669</v>
      </c>
      <c r="S4212" s="278">
        <v>416.66666666666669</v>
      </c>
      <c r="T4212" s="278">
        <v>416.66666666666669</v>
      </c>
      <c r="U4212" s="278">
        <v>416.66666666666669</v>
      </c>
      <c r="V4212" s="278">
        <v>416.66666666666669</v>
      </c>
      <c r="W4212" s="278">
        <v>416.66666666666669</v>
      </c>
      <c r="X4212" s="278">
        <v>416.66666666666669</v>
      </c>
      <c r="Y4212" s="278">
        <v>416.66666666666669</v>
      </c>
      <c r="Z4212" s="278">
        <v>416.66666666666669</v>
      </c>
      <c r="AA4212" s="278">
        <v>416.66666666666669</v>
      </c>
      <c r="AB4212" s="278">
        <v>416.66666666666669</v>
      </c>
      <c r="AC4212" s="278">
        <f t="shared" si="673"/>
        <v>5000</v>
      </c>
    </row>
    <row r="4213" spans="1:29" x14ac:dyDescent="0.2">
      <c r="A4213" s="179"/>
      <c r="B4213" s="3191"/>
      <c r="C4213" s="2421"/>
      <c r="D4213" s="2421"/>
      <c r="E4213" s="2421"/>
      <c r="F4213" s="2421"/>
      <c r="G4213" s="2421"/>
      <c r="H4213" s="2421"/>
      <c r="I4213" s="2421"/>
      <c r="J4213" s="3483"/>
      <c r="K4213" s="3483"/>
      <c r="L4213" s="1">
        <v>3000</v>
      </c>
      <c r="M4213" s="1"/>
      <c r="N4213" s="3501"/>
      <c r="O4213" s="1090">
        <v>232722</v>
      </c>
      <c r="P4213" s="913" t="s">
        <v>1595</v>
      </c>
      <c r="Q4213" s="278">
        <v>250</v>
      </c>
      <c r="R4213" s="278">
        <v>250</v>
      </c>
      <c r="S4213" s="278">
        <v>250</v>
      </c>
      <c r="T4213" s="278">
        <v>250</v>
      </c>
      <c r="U4213" s="278">
        <v>250</v>
      </c>
      <c r="V4213" s="278">
        <v>250</v>
      </c>
      <c r="W4213" s="278">
        <v>250</v>
      </c>
      <c r="X4213" s="278">
        <v>250</v>
      </c>
      <c r="Y4213" s="278">
        <v>250</v>
      </c>
      <c r="Z4213" s="278">
        <v>250</v>
      </c>
      <c r="AA4213" s="278">
        <v>250</v>
      </c>
      <c r="AB4213" s="278">
        <v>250</v>
      </c>
      <c r="AC4213" s="278">
        <f t="shared" si="673"/>
        <v>3000</v>
      </c>
    </row>
    <row r="4214" spans="1:29" x14ac:dyDescent="0.2">
      <c r="A4214" s="179"/>
      <c r="B4214" s="3191"/>
      <c r="C4214" s="2421"/>
      <c r="D4214" s="2421"/>
      <c r="E4214" s="2421"/>
      <c r="F4214" s="2421"/>
      <c r="G4214" s="2421"/>
      <c r="H4214" s="2421"/>
      <c r="I4214" s="2421"/>
      <c r="J4214" s="3483"/>
      <c r="K4214" s="3483"/>
      <c r="L4214" s="1">
        <v>360000</v>
      </c>
      <c r="M4214" s="1"/>
      <c r="N4214" s="3501"/>
      <c r="O4214" s="1090">
        <v>2327299</v>
      </c>
      <c r="P4214" s="913" t="s">
        <v>1599</v>
      </c>
      <c r="Q4214" s="278">
        <v>30000</v>
      </c>
      <c r="R4214" s="278">
        <v>30000</v>
      </c>
      <c r="S4214" s="278">
        <v>30000</v>
      </c>
      <c r="T4214" s="278">
        <v>30000</v>
      </c>
      <c r="U4214" s="278">
        <v>30000</v>
      </c>
      <c r="V4214" s="278">
        <v>30000</v>
      </c>
      <c r="W4214" s="278">
        <v>30000</v>
      </c>
      <c r="X4214" s="278">
        <v>30000</v>
      </c>
      <c r="Y4214" s="278">
        <v>30000</v>
      </c>
      <c r="Z4214" s="278">
        <v>30000</v>
      </c>
      <c r="AA4214" s="278">
        <v>30000</v>
      </c>
      <c r="AB4214" s="278">
        <v>30000</v>
      </c>
      <c r="AC4214" s="278">
        <f t="shared" si="673"/>
        <v>360000</v>
      </c>
    </row>
    <row r="4215" spans="1:29" x14ac:dyDescent="0.2">
      <c r="A4215" s="179"/>
      <c r="B4215" s="2439"/>
      <c r="C4215" s="2421"/>
      <c r="D4215" s="2421"/>
      <c r="E4215" s="2421"/>
      <c r="F4215" s="2421"/>
      <c r="G4215" s="2421"/>
      <c r="H4215" s="2421"/>
      <c r="I4215" s="2421"/>
      <c r="J4215" s="3483"/>
      <c r="K4215" s="3483"/>
      <c r="L4215" s="1">
        <v>2500</v>
      </c>
      <c r="M4215" s="1"/>
      <c r="N4215" s="3492"/>
      <c r="O4215" s="1090">
        <v>232732</v>
      </c>
      <c r="P4215" s="913" t="s">
        <v>1601</v>
      </c>
      <c r="Q4215" s="278">
        <v>208.33333333333334</v>
      </c>
      <c r="R4215" s="278">
        <v>208.33333333333334</v>
      </c>
      <c r="S4215" s="278">
        <v>208.33333333333334</v>
      </c>
      <c r="T4215" s="278">
        <v>208.33333333333334</v>
      </c>
      <c r="U4215" s="278">
        <v>208.33333333333334</v>
      </c>
      <c r="V4215" s="278">
        <v>208.33333333333334</v>
      </c>
      <c r="W4215" s="278">
        <v>208.33333333333334</v>
      </c>
      <c r="X4215" s="278">
        <v>208.33333333333334</v>
      </c>
      <c r="Y4215" s="278">
        <v>208.33333333333334</v>
      </c>
      <c r="Z4215" s="278">
        <v>208.33333333333334</v>
      </c>
      <c r="AA4215" s="278">
        <v>208.33333333333334</v>
      </c>
      <c r="AB4215" s="278">
        <v>208.33333333333334</v>
      </c>
      <c r="AC4215" s="278">
        <f t="shared" si="673"/>
        <v>2500</v>
      </c>
    </row>
    <row r="4216" spans="1:29" s="289" customFormat="1" x14ac:dyDescent="0.2">
      <c r="A4216" s="540"/>
      <c r="B4216" s="3474" t="s">
        <v>312</v>
      </c>
      <c r="C4216" s="3475"/>
      <c r="D4216" s="3475"/>
      <c r="E4216" s="3475"/>
      <c r="F4216" s="3475"/>
      <c r="G4216" s="3475"/>
      <c r="H4216" s="3475"/>
      <c r="I4216" s="3475"/>
      <c r="J4216" s="3475"/>
      <c r="K4216" s="3475"/>
      <c r="L4216" s="284">
        <f>+SUM(L4160:L4215)</f>
        <v>1702676</v>
      </c>
      <c r="M4216" s="284">
        <f>+SUM(M4172:M4215)</f>
        <v>0</v>
      </c>
      <c r="N4216" s="285"/>
      <c r="O4216" s="1148"/>
      <c r="P4216" s="286"/>
      <c r="Q4216" s="287"/>
      <c r="R4216" s="288"/>
      <c r="S4216" s="287"/>
      <c r="T4216" s="288"/>
      <c r="U4216" s="287"/>
      <c r="V4216" s="288"/>
      <c r="W4216" s="287"/>
      <c r="X4216" s="288"/>
      <c r="Y4216" s="287"/>
      <c r="Z4216" s="288"/>
      <c r="AA4216" s="287"/>
      <c r="AB4216" s="288"/>
      <c r="AC4216" s="287"/>
    </row>
    <row r="4217" spans="1:29" x14ac:dyDescent="0.2">
      <c r="A4217" s="179"/>
      <c r="B4217" s="2984" t="s">
        <v>20</v>
      </c>
      <c r="C4217" s="2847" t="s">
        <v>21</v>
      </c>
      <c r="D4217" s="2847" t="s">
        <v>22</v>
      </c>
      <c r="E4217" s="2847" t="s">
        <v>23</v>
      </c>
      <c r="F4217" s="2847" t="s">
        <v>24</v>
      </c>
      <c r="G4217" s="2847" t="s">
        <v>25</v>
      </c>
      <c r="H4217" s="2847" t="s">
        <v>26</v>
      </c>
      <c r="I4217" s="2847" t="s">
        <v>27</v>
      </c>
      <c r="J4217" s="2986" t="s">
        <v>28</v>
      </c>
      <c r="K4217" s="2987"/>
      <c r="L4217" s="2986" t="s">
        <v>1628</v>
      </c>
      <c r="M4217" s="2987"/>
      <c r="N4217" s="2988" t="s">
        <v>29</v>
      </c>
      <c r="O4217" s="2986" t="s">
        <v>30</v>
      </c>
      <c r="P4217" s="2987"/>
      <c r="Q4217" s="3489" t="s">
        <v>31</v>
      </c>
      <c r="R4217" s="3490"/>
      <c r="S4217" s="3490"/>
      <c r="T4217" s="3490"/>
      <c r="U4217" s="3490"/>
      <c r="V4217" s="3490"/>
      <c r="W4217" s="3490"/>
      <c r="X4217" s="3490"/>
      <c r="Y4217" s="3490"/>
      <c r="Z4217" s="3490"/>
      <c r="AA4217" s="3490"/>
      <c r="AB4217" s="3491"/>
      <c r="AC4217" s="3479" t="s">
        <v>32</v>
      </c>
    </row>
    <row r="4218" spans="1:29" x14ac:dyDescent="0.2">
      <c r="A4218" s="179"/>
      <c r="B4218" s="2985"/>
      <c r="C4218" s="2847"/>
      <c r="D4218" s="2847"/>
      <c r="E4218" s="2847"/>
      <c r="F4218" s="2847"/>
      <c r="G4218" s="2847"/>
      <c r="H4218" s="2847"/>
      <c r="I4218" s="2847"/>
      <c r="J4218" s="1017" t="s">
        <v>33</v>
      </c>
      <c r="K4218" s="1017" t="s">
        <v>34</v>
      </c>
      <c r="L4218" s="306" t="s">
        <v>1513</v>
      </c>
      <c r="M4218" s="306" t="s">
        <v>1514</v>
      </c>
      <c r="N4218" s="2989"/>
      <c r="O4218" s="3000"/>
      <c r="P4218" s="3001"/>
      <c r="Q4218" s="1111" t="s">
        <v>35</v>
      </c>
      <c r="R4218" s="1111" t="s">
        <v>36</v>
      </c>
      <c r="S4218" s="1111" t="s">
        <v>37</v>
      </c>
      <c r="T4218" s="1111" t="s">
        <v>38</v>
      </c>
      <c r="U4218" s="1111" t="s">
        <v>39</v>
      </c>
      <c r="V4218" s="1111" t="s">
        <v>40</v>
      </c>
      <c r="W4218" s="1111" t="s">
        <v>41</v>
      </c>
      <c r="X4218" s="1111" t="s">
        <v>42</v>
      </c>
      <c r="Y4218" s="1111" t="s">
        <v>43</v>
      </c>
      <c r="Z4218" s="1111" t="s">
        <v>44</v>
      </c>
      <c r="AA4218" s="1111" t="s">
        <v>45</v>
      </c>
      <c r="AB4218" s="1111" t="s">
        <v>46</v>
      </c>
      <c r="AC4218" s="3479"/>
    </row>
    <row r="4219" spans="1:29" x14ac:dyDescent="0.2">
      <c r="A4219" s="179"/>
      <c r="B4219" s="3190" t="s">
        <v>1724</v>
      </c>
      <c r="C4219" s="2421" t="s">
        <v>1725</v>
      </c>
      <c r="D4219" s="2421"/>
      <c r="E4219" s="2421" t="s">
        <v>1517</v>
      </c>
      <c r="F4219" s="2421" t="s">
        <v>1630</v>
      </c>
      <c r="G4219" s="2421" t="s">
        <v>1680</v>
      </c>
      <c r="H4219" s="2421"/>
      <c r="I4219" s="2421" t="s">
        <v>154</v>
      </c>
      <c r="J4219" s="3483">
        <v>14500</v>
      </c>
      <c r="K4219" s="3497">
        <f>+AC4220</f>
        <v>44500</v>
      </c>
      <c r="L4219" s="542"/>
      <c r="M4219" s="542"/>
      <c r="N4219" s="3500" t="s">
        <v>1726</v>
      </c>
      <c r="O4219" s="1111" t="s">
        <v>51</v>
      </c>
      <c r="P4219" s="1111"/>
      <c r="Q4219" s="1111">
        <v>1208</v>
      </c>
      <c r="R4219" s="1111">
        <v>1208</v>
      </c>
      <c r="S4219" s="1111">
        <v>1208</v>
      </c>
      <c r="T4219" s="1111">
        <v>1208</v>
      </c>
      <c r="U4219" s="1111">
        <v>1208</v>
      </c>
      <c r="V4219" s="1111">
        <v>1212</v>
      </c>
      <c r="W4219" s="1111">
        <v>1208</v>
      </c>
      <c r="X4219" s="1111">
        <v>1208</v>
      </c>
      <c r="Y4219" s="1111">
        <v>1208</v>
      </c>
      <c r="Z4219" s="1111">
        <v>1208</v>
      </c>
      <c r="AA4219" s="1111">
        <v>1208</v>
      </c>
      <c r="AB4219" s="1111">
        <v>1208</v>
      </c>
      <c r="AC4219" s="1111">
        <f>SUM(Q4219:AB4219)</f>
        <v>14500</v>
      </c>
    </row>
    <row r="4220" spans="1:29" x14ac:dyDescent="0.2">
      <c r="A4220" s="179"/>
      <c r="B4220" s="3191"/>
      <c r="C4220" s="2421"/>
      <c r="D4220" s="2421"/>
      <c r="E4220" s="2421"/>
      <c r="F4220" s="2421"/>
      <c r="G4220" s="2421"/>
      <c r="H4220" s="2421"/>
      <c r="I4220" s="2421"/>
      <c r="J4220" s="3483"/>
      <c r="K4220" s="3483"/>
      <c r="L4220" s="1"/>
      <c r="M4220" s="1"/>
      <c r="N4220" s="3501"/>
      <c r="O4220" s="2840" t="s">
        <v>1340</v>
      </c>
      <c r="P4220" s="2840"/>
      <c r="Q4220" s="274">
        <f>SUM(Q4221:Q4223)</f>
        <v>3708.3333333333335</v>
      </c>
      <c r="R4220" s="274">
        <f t="shared" ref="R4220:AC4220" si="674">SUM(R4221:R4223)</f>
        <v>3708.3333333333335</v>
      </c>
      <c r="S4220" s="274">
        <f t="shared" si="674"/>
        <v>3708.3333333333335</v>
      </c>
      <c r="T4220" s="274">
        <f t="shared" si="674"/>
        <v>3708.3333333333335</v>
      </c>
      <c r="U4220" s="274">
        <f t="shared" si="674"/>
        <v>3708.3333333333335</v>
      </c>
      <c r="V4220" s="274">
        <f t="shared" si="674"/>
        <v>3708.3333333333335</v>
      </c>
      <c r="W4220" s="274">
        <f t="shared" si="674"/>
        <v>3708.3333333333335</v>
      </c>
      <c r="X4220" s="274">
        <f t="shared" si="674"/>
        <v>3708.3333333333335</v>
      </c>
      <c r="Y4220" s="274">
        <f t="shared" si="674"/>
        <v>3708.3333333333335</v>
      </c>
      <c r="Z4220" s="274">
        <f t="shared" si="674"/>
        <v>3708.3333333333335</v>
      </c>
      <c r="AA4220" s="274">
        <f t="shared" si="674"/>
        <v>3708.3333333333335</v>
      </c>
      <c r="AB4220" s="274">
        <f t="shared" si="674"/>
        <v>3708.3333333333335</v>
      </c>
      <c r="AC4220" s="274">
        <f t="shared" si="674"/>
        <v>44500</v>
      </c>
    </row>
    <row r="4221" spans="1:29" x14ac:dyDescent="0.2">
      <c r="A4221" s="179"/>
      <c r="B4221" s="3191"/>
      <c r="C4221" s="2421"/>
      <c r="D4221" s="2421"/>
      <c r="E4221" s="2421"/>
      <c r="F4221" s="2421"/>
      <c r="G4221" s="2421"/>
      <c r="H4221" s="2421"/>
      <c r="I4221" s="2421"/>
      <c r="J4221" s="3483"/>
      <c r="K4221" s="3483"/>
      <c r="L4221" s="1">
        <v>1400</v>
      </c>
      <c r="M4221" s="1"/>
      <c r="N4221" s="3501"/>
      <c r="O4221" s="1090">
        <v>231512</v>
      </c>
      <c r="P4221" s="913" t="s">
        <v>1236</v>
      </c>
      <c r="Q4221" s="278">
        <v>116.66666666666667</v>
      </c>
      <c r="R4221" s="278">
        <v>116.66666666666667</v>
      </c>
      <c r="S4221" s="278">
        <v>116.66666666666667</v>
      </c>
      <c r="T4221" s="278">
        <v>116.66666666666667</v>
      </c>
      <c r="U4221" s="278">
        <v>116.66666666666667</v>
      </c>
      <c r="V4221" s="278">
        <v>116.66666666666667</v>
      </c>
      <c r="W4221" s="278">
        <v>116.66666666666667</v>
      </c>
      <c r="X4221" s="278">
        <v>116.66666666666667</v>
      </c>
      <c r="Y4221" s="278">
        <v>116.66666666666667</v>
      </c>
      <c r="Z4221" s="278">
        <v>116.66666666666667</v>
      </c>
      <c r="AA4221" s="278">
        <v>116.66666666666667</v>
      </c>
      <c r="AB4221" s="278">
        <v>116.66666666666667</v>
      </c>
      <c r="AC4221" s="278">
        <f>+SUM(Q4221:AB4221)</f>
        <v>1400.0000000000002</v>
      </c>
    </row>
    <row r="4222" spans="1:29" x14ac:dyDescent="0.2">
      <c r="A4222" s="179"/>
      <c r="B4222" s="3191"/>
      <c r="C4222" s="2421"/>
      <c r="D4222" s="2421"/>
      <c r="E4222" s="2421"/>
      <c r="F4222" s="2421"/>
      <c r="G4222" s="2421"/>
      <c r="H4222" s="2421"/>
      <c r="I4222" s="2421"/>
      <c r="J4222" s="3483"/>
      <c r="K4222" s="3483"/>
      <c r="L4222" s="1">
        <v>1300</v>
      </c>
      <c r="M4222" s="1"/>
      <c r="N4222" s="3501"/>
      <c r="O4222" s="1090">
        <v>231531</v>
      </c>
      <c r="P4222" s="913" t="s">
        <v>1268</v>
      </c>
      <c r="Q4222" s="278">
        <v>108.33333333333333</v>
      </c>
      <c r="R4222" s="278">
        <v>108.33333333333333</v>
      </c>
      <c r="S4222" s="278">
        <v>108.33333333333333</v>
      </c>
      <c r="T4222" s="278">
        <v>108.33333333333333</v>
      </c>
      <c r="U4222" s="278">
        <v>108.33333333333333</v>
      </c>
      <c r="V4222" s="278">
        <v>108.33333333333333</v>
      </c>
      <c r="W4222" s="278">
        <v>108.33333333333333</v>
      </c>
      <c r="X4222" s="278">
        <v>108.33333333333333</v>
      </c>
      <c r="Y4222" s="278">
        <v>108.33333333333333</v>
      </c>
      <c r="Z4222" s="278">
        <v>108.33333333333333</v>
      </c>
      <c r="AA4222" s="278">
        <v>108.33333333333333</v>
      </c>
      <c r="AB4222" s="278">
        <v>108.33333333333333</v>
      </c>
      <c r="AC4222" s="278">
        <f t="shared" si="673"/>
        <v>1300</v>
      </c>
    </row>
    <row r="4223" spans="1:29" x14ac:dyDescent="0.2">
      <c r="A4223" s="179"/>
      <c r="B4223" s="2439"/>
      <c r="C4223" s="2421"/>
      <c r="D4223" s="2421"/>
      <c r="E4223" s="2421"/>
      <c r="F4223" s="2421"/>
      <c r="G4223" s="2421"/>
      <c r="H4223" s="2421"/>
      <c r="I4223" s="2421"/>
      <c r="J4223" s="3483"/>
      <c r="K4223" s="3483"/>
      <c r="L4223" s="1">
        <v>41800</v>
      </c>
      <c r="M4223" s="1"/>
      <c r="N4223" s="3492"/>
      <c r="O4223" s="1090">
        <v>231821</v>
      </c>
      <c r="P4223" s="913" t="s">
        <v>1566</v>
      </c>
      <c r="Q4223" s="278">
        <v>3483.3333333333335</v>
      </c>
      <c r="R4223" s="278">
        <v>3483.3333333333335</v>
      </c>
      <c r="S4223" s="278">
        <v>3483.3333333333335</v>
      </c>
      <c r="T4223" s="278">
        <v>3483.3333333333335</v>
      </c>
      <c r="U4223" s="278">
        <v>3483.3333333333335</v>
      </c>
      <c r="V4223" s="278">
        <v>3483.3333333333335</v>
      </c>
      <c r="W4223" s="278">
        <v>3483.3333333333335</v>
      </c>
      <c r="X4223" s="278">
        <v>3483.3333333333335</v>
      </c>
      <c r="Y4223" s="278">
        <v>3483.3333333333335</v>
      </c>
      <c r="Z4223" s="278">
        <v>3483.3333333333335</v>
      </c>
      <c r="AA4223" s="278">
        <v>3483.3333333333335</v>
      </c>
      <c r="AB4223" s="278">
        <v>3483.3333333333335</v>
      </c>
      <c r="AC4223" s="278">
        <f t="shared" si="673"/>
        <v>41800</v>
      </c>
    </row>
    <row r="4224" spans="1:29" s="289" customFormat="1" x14ac:dyDescent="0.2">
      <c r="A4224" s="540"/>
      <c r="B4224" s="3474" t="s">
        <v>312</v>
      </c>
      <c r="C4224" s="3475"/>
      <c r="D4224" s="3475"/>
      <c r="E4224" s="3475"/>
      <c r="F4224" s="3475"/>
      <c r="G4224" s="3475"/>
      <c r="H4224" s="3475"/>
      <c r="I4224" s="3475"/>
      <c r="J4224" s="3475"/>
      <c r="K4224" s="3475"/>
      <c r="L4224" s="284">
        <f>+SUM(L4221:L4223)</f>
        <v>44500</v>
      </c>
      <c r="M4224" s="284">
        <f>+SUM(M4221:M4223)</f>
        <v>0</v>
      </c>
      <c r="N4224" s="285"/>
      <c r="O4224" s="1148"/>
      <c r="P4224" s="286"/>
      <c r="Q4224" s="287"/>
      <c r="R4224" s="288"/>
      <c r="S4224" s="287"/>
      <c r="T4224" s="288"/>
      <c r="U4224" s="287"/>
      <c r="V4224" s="288"/>
      <c r="W4224" s="287"/>
      <c r="X4224" s="288"/>
      <c r="Y4224" s="287"/>
      <c r="Z4224" s="288"/>
      <c r="AA4224" s="287"/>
      <c r="AB4224" s="288"/>
      <c r="AC4224" s="287"/>
    </row>
    <row r="4225" spans="1:29" x14ac:dyDescent="0.2">
      <c r="A4225" s="179"/>
      <c r="B4225" s="2999" t="s">
        <v>20</v>
      </c>
      <c r="C4225" s="2847" t="s">
        <v>21</v>
      </c>
      <c r="D4225" s="2847" t="s">
        <v>22</v>
      </c>
      <c r="E4225" s="2847" t="s">
        <v>23</v>
      </c>
      <c r="F4225" s="2847" t="s">
        <v>24</v>
      </c>
      <c r="G4225" s="2847" t="s">
        <v>25</v>
      </c>
      <c r="H4225" s="2847" t="s">
        <v>26</v>
      </c>
      <c r="I4225" s="2847" t="s">
        <v>27</v>
      </c>
      <c r="J4225" s="2986" t="s">
        <v>28</v>
      </c>
      <c r="K4225" s="2987"/>
      <c r="L4225" s="2986" t="s">
        <v>1628</v>
      </c>
      <c r="M4225" s="2987"/>
      <c r="N4225" s="2988" t="s">
        <v>29</v>
      </c>
      <c r="O4225" s="2986" t="s">
        <v>30</v>
      </c>
      <c r="P4225" s="2987"/>
      <c r="Q4225" s="3489" t="s">
        <v>31</v>
      </c>
      <c r="R4225" s="3490"/>
      <c r="S4225" s="3490"/>
      <c r="T4225" s="3490"/>
      <c r="U4225" s="3490"/>
      <c r="V4225" s="3490"/>
      <c r="W4225" s="3490"/>
      <c r="X4225" s="3490"/>
      <c r="Y4225" s="3490"/>
      <c r="Z4225" s="3490"/>
      <c r="AA4225" s="3490"/>
      <c r="AB4225" s="3491"/>
      <c r="AC4225" s="3479" t="s">
        <v>32</v>
      </c>
    </row>
    <row r="4226" spans="1:29" x14ac:dyDescent="0.2">
      <c r="A4226" s="179"/>
      <c r="B4226" s="2999"/>
      <c r="C4226" s="2847"/>
      <c r="D4226" s="2847"/>
      <c r="E4226" s="2847"/>
      <c r="F4226" s="2847"/>
      <c r="G4226" s="2847"/>
      <c r="H4226" s="2847"/>
      <c r="I4226" s="2847"/>
      <c r="J4226" s="1017" t="s">
        <v>33</v>
      </c>
      <c r="K4226" s="1017" t="s">
        <v>34</v>
      </c>
      <c r="L4226" s="306" t="s">
        <v>1513</v>
      </c>
      <c r="M4226" s="306" t="s">
        <v>1514</v>
      </c>
      <c r="N4226" s="2989"/>
      <c r="O4226" s="3000"/>
      <c r="P4226" s="3001"/>
      <c r="Q4226" s="1111" t="s">
        <v>35</v>
      </c>
      <c r="R4226" s="1111" t="s">
        <v>36</v>
      </c>
      <c r="S4226" s="1111" t="s">
        <v>37</v>
      </c>
      <c r="T4226" s="1111" t="s">
        <v>38</v>
      </c>
      <c r="U4226" s="1111" t="s">
        <v>39</v>
      </c>
      <c r="V4226" s="1111" t="s">
        <v>40</v>
      </c>
      <c r="W4226" s="1111" t="s">
        <v>41</v>
      </c>
      <c r="X4226" s="1111" t="s">
        <v>42</v>
      </c>
      <c r="Y4226" s="1111" t="s">
        <v>43</v>
      </c>
      <c r="Z4226" s="1111" t="s">
        <v>44</v>
      </c>
      <c r="AA4226" s="1111" t="s">
        <v>45</v>
      </c>
      <c r="AB4226" s="1111" t="s">
        <v>46</v>
      </c>
      <c r="AC4226" s="3479"/>
    </row>
    <row r="4227" spans="1:29" ht="11.25" customHeight="1" x14ac:dyDescent="0.2">
      <c r="A4227" s="179"/>
      <c r="B4227" s="3190" t="s">
        <v>1727</v>
      </c>
      <c r="C4227" s="2431" t="s">
        <v>3035</v>
      </c>
      <c r="D4227" s="2421"/>
      <c r="E4227" s="2421" t="s">
        <v>1517</v>
      </c>
      <c r="F4227" s="2421" t="s">
        <v>1630</v>
      </c>
      <c r="G4227" s="2421" t="s">
        <v>1680</v>
      </c>
      <c r="H4227" s="2421"/>
      <c r="I4227" s="2421" t="s">
        <v>1681</v>
      </c>
      <c r="J4227" s="3483">
        <v>157300</v>
      </c>
      <c r="K4227" s="3497">
        <f>+AC4228</f>
        <v>39000</v>
      </c>
      <c r="L4227" s="1"/>
      <c r="M4227" s="542"/>
      <c r="N4227" s="3500" t="s">
        <v>1682</v>
      </c>
      <c r="O4227" s="1111" t="s">
        <v>51</v>
      </c>
      <c r="P4227" s="1111"/>
      <c r="Q4227" s="1111">
        <v>13108</v>
      </c>
      <c r="R4227" s="1111">
        <v>13108</v>
      </c>
      <c r="S4227" s="1111">
        <v>13108</v>
      </c>
      <c r="T4227" s="1111">
        <v>13108</v>
      </c>
      <c r="U4227" s="1111">
        <v>13108</v>
      </c>
      <c r="V4227" s="1111">
        <v>13112</v>
      </c>
      <c r="W4227" s="1111">
        <v>13108</v>
      </c>
      <c r="X4227" s="1111">
        <v>13108</v>
      </c>
      <c r="Y4227" s="1111">
        <v>13108</v>
      </c>
      <c r="Z4227" s="1111">
        <v>13108</v>
      </c>
      <c r="AA4227" s="1111">
        <v>13108</v>
      </c>
      <c r="AB4227" s="1111">
        <v>13108</v>
      </c>
      <c r="AC4227" s="1111">
        <f>SUM(Q4227:AB4227)</f>
        <v>157300</v>
      </c>
    </row>
    <row r="4228" spans="1:29" x14ac:dyDescent="0.2">
      <c r="A4228" s="179"/>
      <c r="B4228" s="3191"/>
      <c r="C4228" s="2432"/>
      <c r="D4228" s="2421"/>
      <c r="E4228" s="2421"/>
      <c r="F4228" s="2421"/>
      <c r="G4228" s="2421"/>
      <c r="H4228" s="2421"/>
      <c r="I4228" s="2421"/>
      <c r="J4228" s="3483"/>
      <c r="K4228" s="3483"/>
      <c r="L4228" s="1"/>
      <c r="M4228" s="1"/>
      <c r="N4228" s="3501"/>
      <c r="O4228" s="2840" t="s">
        <v>1340</v>
      </c>
      <c r="P4228" s="2840"/>
      <c r="Q4228" s="274">
        <f>SUM(Q4229:Q4234)</f>
        <v>3250</v>
      </c>
      <c r="R4228" s="274">
        <f t="shared" ref="R4228:AB4228" si="675">SUM(R4229:R4234)</f>
        <v>3250</v>
      </c>
      <c r="S4228" s="274">
        <f t="shared" si="675"/>
        <v>3250</v>
      </c>
      <c r="T4228" s="274">
        <f t="shared" si="675"/>
        <v>3250</v>
      </c>
      <c r="U4228" s="274">
        <f t="shared" si="675"/>
        <v>3250</v>
      </c>
      <c r="V4228" s="274">
        <f t="shared" si="675"/>
        <v>3250</v>
      </c>
      <c r="W4228" s="274">
        <f t="shared" si="675"/>
        <v>3250</v>
      </c>
      <c r="X4228" s="274">
        <f t="shared" si="675"/>
        <v>3250</v>
      </c>
      <c r="Y4228" s="274">
        <f t="shared" si="675"/>
        <v>3250</v>
      </c>
      <c r="Z4228" s="274">
        <f t="shared" si="675"/>
        <v>3250</v>
      </c>
      <c r="AA4228" s="274">
        <f t="shared" si="675"/>
        <v>3250</v>
      </c>
      <c r="AB4228" s="274">
        <f t="shared" si="675"/>
        <v>3250</v>
      </c>
      <c r="AC4228" s="274">
        <f>SUM(Q4228:AB4228)</f>
        <v>39000</v>
      </c>
    </row>
    <row r="4229" spans="1:29" x14ac:dyDescent="0.2">
      <c r="A4229" s="179"/>
      <c r="B4229" s="3191"/>
      <c r="C4229" s="2432"/>
      <c r="D4229" s="2421"/>
      <c r="E4229" s="2421"/>
      <c r="F4229" s="2421"/>
      <c r="G4229" s="2421"/>
      <c r="H4229" s="2421"/>
      <c r="I4229" s="2421"/>
      <c r="J4229" s="3483"/>
      <c r="K4229" s="3483"/>
      <c r="L4229" s="1">
        <v>700</v>
      </c>
      <c r="M4229" s="1"/>
      <c r="N4229" s="3501"/>
      <c r="O4229" s="1090">
        <v>231512</v>
      </c>
      <c r="P4229" s="913" t="s">
        <v>1236</v>
      </c>
      <c r="Q4229" s="278">
        <v>58.333333333333336</v>
      </c>
      <c r="R4229" s="278">
        <v>58.333333333333336</v>
      </c>
      <c r="S4229" s="278">
        <v>58.333333333333336</v>
      </c>
      <c r="T4229" s="278">
        <v>58.333333333333336</v>
      </c>
      <c r="U4229" s="278">
        <v>58.333333333333336</v>
      </c>
      <c r="V4229" s="278">
        <v>58.333333333333336</v>
      </c>
      <c r="W4229" s="278">
        <v>58.333333333333336</v>
      </c>
      <c r="X4229" s="278">
        <v>58.333333333333336</v>
      </c>
      <c r="Y4229" s="278">
        <v>58.333333333333336</v>
      </c>
      <c r="Z4229" s="278">
        <v>58.333333333333336</v>
      </c>
      <c r="AA4229" s="278">
        <v>58.333333333333336</v>
      </c>
      <c r="AB4229" s="278">
        <v>58.333333333333336</v>
      </c>
      <c r="AC4229" s="278">
        <f t="shared" ref="AC4229:AC4234" si="676">+SUM(Q4229:AB4229)</f>
        <v>700.00000000000011</v>
      </c>
    </row>
    <row r="4230" spans="1:29" x14ac:dyDescent="0.2">
      <c r="A4230" s="179"/>
      <c r="B4230" s="3191"/>
      <c r="C4230" s="2432"/>
      <c r="D4230" s="2421"/>
      <c r="E4230" s="2421"/>
      <c r="F4230" s="2421"/>
      <c r="G4230" s="2421"/>
      <c r="H4230" s="2421"/>
      <c r="I4230" s="2421"/>
      <c r="J4230" s="3483"/>
      <c r="K4230" s="3483"/>
      <c r="L4230" s="1">
        <v>1200</v>
      </c>
      <c r="M4230" s="1"/>
      <c r="N4230" s="3501"/>
      <c r="O4230" s="1090">
        <v>231531</v>
      </c>
      <c r="P4230" s="913" t="s">
        <v>1268</v>
      </c>
      <c r="Q4230" s="278">
        <v>100</v>
      </c>
      <c r="R4230" s="278">
        <v>100</v>
      </c>
      <c r="S4230" s="278">
        <v>100</v>
      </c>
      <c r="T4230" s="278">
        <v>100</v>
      </c>
      <c r="U4230" s="278">
        <v>100</v>
      </c>
      <c r="V4230" s="278">
        <v>100</v>
      </c>
      <c r="W4230" s="278">
        <v>100</v>
      </c>
      <c r="X4230" s="278">
        <v>100</v>
      </c>
      <c r="Y4230" s="278">
        <v>100</v>
      </c>
      <c r="Z4230" s="278">
        <v>100</v>
      </c>
      <c r="AA4230" s="278">
        <v>100</v>
      </c>
      <c r="AB4230" s="278">
        <v>100</v>
      </c>
      <c r="AC4230" s="278">
        <f t="shared" si="676"/>
        <v>1200</v>
      </c>
    </row>
    <row r="4231" spans="1:29" x14ac:dyDescent="0.2">
      <c r="A4231" s="179"/>
      <c r="B4231" s="3191"/>
      <c r="C4231" s="2432"/>
      <c r="D4231" s="2421"/>
      <c r="E4231" s="2421"/>
      <c r="F4231" s="2421"/>
      <c r="G4231" s="2421"/>
      <c r="H4231" s="2421"/>
      <c r="I4231" s="2421"/>
      <c r="J4231" s="3483"/>
      <c r="K4231" s="3483"/>
      <c r="L4231" s="1">
        <v>1300</v>
      </c>
      <c r="M4231" s="1"/>
      <c r="N4231" s="3501"/>
      <c r="O4231" s="1090">
        <v>2318199</v>
      </c>
      <c r="P4231" s="913" t="s">
        <v>1568</v>
      </c>
      <c r="Q4231" s="278">
        <v>108.33333333333333</v>
      </c>
      <c r="R4231" s="278">
        <v>108.33333333333333</v>
      </c>
      <c r="S4231" s="278">
        <v>108.33333333333333</v>
      </c>
      <c r="T4231" s="278">
        <v>108.33333333333333</v>
      </c>
      <c r="U4231" s="278">
        <v>108.33333333333333</v>
      </c>
      <c r="V4231" s="278">
        <v>108.33333333333333</v>
      </c>
      <c r="W4231" s="278">
        <v>108.33333333333333</v>
      </c>
      <c r="X4231" s="278">
        <v>108.33333333333333</v>
      </c>
      <c r="Y4231" s="278">
        <v>108.33333333333333</v>
      </c>
      <c r="Z4231" s="278">
        <v>108.33333333333333</v>
      </c>
      <c r="AA4231" s="278">
        <v>108.33333333333333</v>
      </c>
      <c r="AB4231" s="278">
        <v>108.33333333333333</v>
      </c>
      <c r="AC4231" s="278">
        <f t="shared" si="676"/>
        <v>1300</v>
      </c>
    </row>
    <row r="4232" spans="1:29" x14ac:dyDescent="0.2">
      <c r="A4232" s="179"/>
      <c r="B4232" s="3191"/>
      <c r="C4232" s="2432"/>
      <c r="D4232" s="2421"/>
      <c r="E4232" s="2421"/>
      <c r="F4232" s="2421"/>
      <c r="G4232" s="2421"/>
      <c r="H4232" s="2421"/>
      <c r="I4232" s="2421"/>
      <c r="J4232" s="3483"/>
      <c r="K4232" s="3483"/>
      <c r="L4232" s="1"/>
      <c r="M4232" s="1">
        <v>5000</v>
      </c>
      <c r="N4232" s="3501"/>
      <c r="O4232" s="1090">
        <v>2318199</v>
      </c>
      <c r="P4232" s="913" t="s">
        <v>1568</v>
      </c>
      <c r="Q4232" s="278">
        <v>416.66666666666669</v>
      </c>
      <c r="R4232" s="278">
        <v>416.66666666666669</v>
      </c>
      <c r="S4232" s="278">
        <v>416.66666666666669</v>
      </c>
      <c r="T4232" s="278">
        <v>416.66666666666669</v>
      </c>
      <c r="U4232" s="278">
        <v>416.66666666666669</v>
      </c>
      <c r="V4232" s="278">
        <v>416.66666666666669</v>
      </c>
      <c r="W4232" s="278">
        <v>416.66666666666669</v>
      </c>
      <c r="X4232" s="278">
        <v>416.66666666666669</v>
      </c>
      <c r="Y4232" s="278">
        <v>416.66666666666669</v>
      </c>
      <c r="Z4232" s="278">
        <v>416.66666666666669</v>
      </c>
      <c r="AA4232" s="278">
        <v>416.66666666666669</v>
      </c>
      <c r="AB4232" s="278">
        <v>416.66666666666669</v>
      </c>
      <c r="AC4232" s="278">
        <f t="shared" si="676"/>
        <v>5000</v>
      </c>
    </row>
    <row r="4233" spans="1:29" x14ac:dyDescent="0.2">
      <c r="A4233" s="179"/>
      <c r="B4233" s="3191"/>
      <c r="C4233" s="2432"/>
      <c r="D4233" s="2421"/>
      <c r="E4233" s="2421"/>
      <c r="F4233" s="2421"/>
      <c r="G4233" s="2421"/>
      <c r="H4233" s="2421"/>
      <c r="I4233" s="2421"/>
      <c r="J4233" s="3483"/>
      <c r="K4233" s="3483"/>
      <c r="L4233" s="1">
        <v>800</v>
      </c>
      <c r="M4233" s="1"/>
      <c r="N4233" s="3501"/>
      <c r="O4233" s="1090">
        <v>231821</v>
      </c>
      <c r="P4233" s="913" t="s">
        <v>1566</v>
      </c>
      <c r="Q4233" s="278">
        <v>66.666666666666671</v>
      </c>
      <c r="R4233" s="278">
        <v>66.666666666666671</v>
      </c>
      <c r="S4233" s="278">
        <v>66.666666666666671</v>
      </c>
      <c r="T4233" s="278">
        <v>66.666666666666671</v>
      </c>
      <c r="U4233" s="278">
        <v>66.666666666666671</v>
      </c>
      <c r="V4233" s="278">
        <v>66.666666666666671</v>
      </c>
      <c r="W4233" s="278">
        <v>66.666666666666671</v>
      </c>
      <c r="X4233" s="278">
        <v>66.666666666666671</v>
      </c>
      <c r="Y4233" s="278">
        <v>66.666666666666671</v>
      </c>
      <c r="Z4233" s="278">
        <v>66.666666666666671</v>
      </c>
      <c r="AA4233" s="278">
        <v>66.666666666666671</v>
      </c>
      <c r="AB4233" s="278">
        <v>66.666666666666671</v>
      </c>
      <c r="AC4233" s="278">
        <f t="shared" si="676"/>
        <v>799.99999999999989</v>
      </c>
    </row>
    <row r="4234" spans="1:29" x14ac:dyDescent="0.2">
      <c r="A4234" s="179"/>
      <c r="B4234" s="2439"/>
      <c r="C4234" s="2437"/>
      <c r="D4234" s="2421"/>
      <c r="E4234" s="2421"/>
      <c r="F4234" s="2421"/>
      <c r="G4234" s="2421"/>
      <c r="H4234" s="2421"/>
      <c r="I4234" s="2421"/>
      <c r="J4234" s="3483"/>
      <c r="K4234" s="3483"/>
      <c r="L4234" s="1"/>
      <c r="M4234" s="1">
        <v>30000</v>
      </c>
      <c r="N4234" s="3492"/>
      <c r="O4234" s="1090">
        <v>231821</v>
      </c>
      <c r="P4234" s="913" t="s">
        <v>1566</v>
      </c>
      <c r="Q4234" s="278">
        <v>2500</v>
      </c>
      <c r="R4234" s="278">
        <v>2500</v>
      </c>
      <c r="S4234" s="278">
        <v>2500</v>
      </c>
      <c r="T4234" s="278">
        <v>2500</v>
      </c>
      <c r="U4234" s="278">
        <v>2500</v>
      </c>
      <c r="V4234" s="278">
        <v>2500</v>
      </c>
      <c r="W4234" s="278">
        <v>2500</v>
      </c>
      <c r="X4234" s="278">
        <v>2500</v>
      </c>
      <c r="Y4234" s="278">
        <v>2500</v>
      </c>
      <c r="Z4234" s="278">
        <v>2500</v>
      </c>
      <c r="AA4234" s="278">
        <v>2500</v>
      </c>
      <c r="AB4234" s="278">
        <v>2500</v>
      </c>
      <c r="AC4234" s="278">
        <f t="shared" si="676"/>
        <v>30000</v>
      </c>
    </row>
    <row r="4235" spans="1:29" s="289" customFormat="1" x14ac:dyDescent="0.2">
      <c r="A4235" s="540"/>
      <c r="B4235" s="3474" t="s">
        <v>312</v>
      </c>
      <c r="C4235" s="3475"/>
      <c r="D4235" s="3475"/>
      <c r="E4235" s="3475"/>
      <c r="F4235" s="3475"/>
      <c r="G4235" s="3475"/>
      <c r="H4235" s="3475"/>
      <c r="I4235" s="3475"/>
      <c r="J4235" s="3475"/>
      <c r="K4235" s="3475"/>
      <c r="L4235" s="284">
        <f>+SUM(L4229:L4234)</f>
        <v>4000</v>
      </c>
      <c r="M4235" s="284">
        <f>+SUM(M4229:M4234)</f>
        <v>35000</v>
      </c>
      <c r="N4235" s="285"/>
      <c r="O4235" s="1148"/>
      <c r="P4235" s="286"/>
      <c r="Q4235" s="287"/>
      <c r="R4235" s="288"/>
      <c r="S4235" s="287"/>
      <c r="T4235" s="288"/>
      <c r="U4235" s="287"/>
      <c r="V4235" s="288"/>
      <c r="W4235" s="287"/>
      <c r="X4235" s="288"/>
      <c r="Y4235" s="287"/>
      <c r="Z4235" s="288"/>
      <c r="AA4235" s="287"/>
      <c r="AB4235" s="288"/>
      <c r="AC4235" s="287"/>
    </row>
    <row r="4236" spans="1:29" x14ac:dyDescent="0.2">
      <c r="A4236" s="179"/>
      <c r="B4236" s="2999" t="s">
        <v>20</v>
      </c>
      <c r="C4236" s="2847" t="s">
        <v>21</v>
      </c>
      <c r="D4236" s="2847" t="s">
        <v>22</v>
      </c>
      <c r="E4236" s="2847" t="s">
        <v>23</v>
      </c>
      <c r="F4236" s="2847" t="s">
        <v>24</v>
      </c>
      <c r="G4236" s="2847" t="s">
        <v>25</v>
      </c>
      <c r="H4236" s="2847" t="s">
        <v>26</v>
      </c>
      <c r="I4236" s="2847" t="s">
        <v>27</v>
      </c>
      <c r="J4236" s="2986" t="s">
        <v>28</v>
      </c>
      <c r="K4236" s="2987"/>
      <c r="L4236" s="2986" t="s">
        <v>1628</v>
      </c>
      <c r="M4236" s="2987"/>
      <c r="N4236" s="2988" t="s">
        <v>29</v>
      </c>
      <c r="O4236" s="2986" t="s">
        <v>30</v>
      </c>
      <c r="P4236" s="2987"/>
      <c r="Q4236" s="3489" t="s">
        <v>31</v>
      </c>
      <c r="R4236" s="3490"/>
      <c r="S4236" s="3490"/>
      <c r="T4236" s="3490"/>
      <c r="U4236" s="3490"/>
      <c r="V4236" s="3490"/>
      <c r="W4236" s="3490"/>
      <c r="X4236" s="3490"/>
      <c r="Y4236" s="3490"/>
      <c r="Z4236" s="3490"/>
      <c r="AA4236" s="3490"/>
      <c r="AB4236" s="3491"/>
      <c r="AC4236" s="3502" t="s">
        <v>32</v>
      </c>
    </row>
    <row r="4237" spans="1:29" x14ac:dyDescent="0.2">
      <c r="A4237" s="179"/>
      <c r="B4237" s="2999"/>
      <c r="C4237" s="2847"/>
      <c r="D4237" s="2847"/>
      <c r="E4237" s="2847"/>
      <c r="F4237" s="2847"/>
      <c r="G4237" s="2847"/>
      <c r="H4237" s="2847"/>
      <c r="I4237" s="2847"/>
      <c r="J4237" s="1017" t="s">
        <v>33</v>
      </c>
      <c r="K4237" s="1017" t="s">
        <v>34</v>
      </c>
      <c r="L4237" s="306" t="s">
        <v>1513</v>
      </c>
      <c r="M4237" s="306" t="s">
        <v>1514</v>
      </c>
      <c r="N4237" s="2989"/>
      <c r="O4237" s="3000"/>
      <c r="P4237" s="3001"/>
      <c r="Q4237" s="1111" t="s">
        <v>35</v>
      </c>
      <c r="R4237" s="1111" t="s">
        <v>36</v>
      </c>
      <c r="S4237" s="1111" t="s">
        <v>37</v>
      </c>
      <c r="T4237" s="1111" t="s">
        <v>38</v>
      </c>
      <c r="U4237" s="1111" t="s">
        <v>39</v>
      </c>
      <c r="V4237" s="1111" t="s">
        <v>40</v>
      </c>
      <c r="W4237" s="1111" t="s">
        <v>41</v>
      </c>
      <c r="X4237" s="1111" t="s">
        <v>42</v>
      </c>
      <c r="Y4237" s="1111" t="s">
        <v>43</v>
      </c>
      <c r="Z4237" s="1111" t="s">
        <v>44</v>
      </c>
      <c r="AA4237" s="1111" t="s">
        <v>45</v>
      </c>
      <c r="AB4237" s="1111" t="s">
        <v>46</v>
      </c>
      <c r="AC4237" s="3503"/>
    </row>
    <row r="4238" spans="1:29" x14ac:dyDescent="0.2">
      <c r="A4238" s="179"/>
      <c r="B4238" s="3190" t="s">
        <v>1728</v>
      </c>
      <c r="C4238" s="2431" t="s">
        <v>1729</v>
      </c>
      <c r="D4238" s="2431"/>
      <c r="E4238" s="2431" t="s">
        <v>1517</v>
      </c>
      <c r="F4238" s="2431" t="s">
        <v>1630</v>
      </c>
      <c r="G4238" s="2431" t="s">
        <v>1685</v>
      </c>
      <c r="H4238" s="2431"/>
      <c r="I4238" s="2431" t="s">
        <v>1636</v>
      </c>
      <c r="J4238" s="2431">
        <v>11340</v>
      </c>
      <c r="K4238" s="3485">
        <f>+AC4239</f>
        <v>20000</v>
      </c>
      <c r="L4238" s="1"/>
      <c r="M4238" s="1"/>
      <c r="N4238" s="2431" t="s">
        <v>1730</v>
      </c>
      <c r="O4238" s="1111" t="s">
        <v>51</v>
      </c>
      <c r="P4238" s="1111"/>
      <c r="Q4238" s="1111">
        <f>J4238/12</f>
        <v>945</v>
      </c>
      <c r="R4238" s="1111">
        <f>+Q4238</f>
        <v>945</v>
      </c>
      <c r="S4238" s="1111">
        <f t="shared" ref="S4238:AB4238" si="677">+R4238</f>
        <v>945</v>
      </c>
      <c r="T4238" s="1111">
        <f t="shared" si="677"/>
        <v>945</v>
      </c>
      <c r="U4238" s="1111">
        <f t="shared" si="677"/>
        <v>945</v>
      </c>
      <c r="V4238" s="1111">
        <f t="shared" si="677"/>
        <v>945</v>
      </c>
      <c r="W4238" s="1111">
        <f t="shared" si="677"/>
        <v>945</v>
      </c>
      <c r="X4238" s="1111">
        <f t="shared" si="677"/>
        <v>945</v>
      </c>
      <c r="Y4238" s="1111">
        <f t="shared" si="677"/>
        <v>945</v>
      </c>
      <c r="Z4238" s="1111">
        <f t="shared" si="677"/>
        <v>945</v>
      </c>
      <c r="AA4238" s="1111">
        <f t="shared" si="677"/>
        <v>945</v>
      </c>
      <c r="AB4238" s="1111">
        <f t="shared" si="677"/>
        <v>945</v>
      </c>
      <c r="AC4238" s="1111">
        <f>SUM(Q4238:AB4238)</f>
        <v>11340</v>
      </c>
    </row>
    <row r="4239" spans="1:29" x14ac:dyDescent="0.2">
      <c r="A4239" s="179"/>
      <c r="B4239" s="3191"/>
      <c r="C4239" s="2432"/>
      <c r="D4239" s="2432"/>
      <c r="E4239" s="2432"/>
      <c r="F4239" s="2432"/>
      <c r="G4239" s="2432"/>
      <c r="H4239" s="2432"/>
      <c r="I4239" s="2432"/>
      <c r="J4239" s="2432"/>
      <c r="K4239" s="3486"/>
      <c r="L4239" s="1"/>
      <c r="M4239" s="1"/>
      <c r="N4239" s="2432"/>
      <c r="O4239" s="2840" t="s">
        <v>1340</v>
      </c>
      <c r="P4239" s="2840"/>
      <c r="Q4239" s="274">
        <f>SUM(Q4240)</f>
        <v>1666.6666666666667</v>
      </c>
      <c r="R4239" s="274">
        <f t="shared" ref="R4239:AB4239" si="678">SUM(R4240)</f>
        <v>1666.6666666666667</v>
      </c>
      <c r="S4239" s="274">
        <f t="shared" si="678"/>
        <v>1666.6666666666667</v>
      </c>
      <c r="T4239" s="274">
        <f t="shared" si="678"/>
        <v>1666.6666666666667</v>
      </c>
      <c r="U4239" s="274">
        <f t="shared" si="678"/>
        <v>1666.6666666666667</v>
      </c>
      <c r="V4239" s="274">
        <f t="shared" si="678"/>
        <v>1666.6666666666667</v>
      </c>
      <c r="W4239" s="274">
        <f t="shared" si="678"/>
        <v>1666.6666666666667</v>
      </c>
      <c r="X4239" s="274">
        <f t="shared" si="678"/>
        <v>1666.6666666666667</v>
      </c>
      <c r="Y4239" s="274">
        <f t="shared" si="678"/>
        <v>1666.6666666666667</v>
      </c>
      <c r="Z4239" s="274">
        <f t="shared" si="678"/>
        <v>1666.6666666666667</v>
      </c>
      <c r="AA4239" s="274">
        <f t="shared" si="678"/>
        <v>1666.6666666666667</v>
      </c>
      <c r="AB4239" s="274">
        <f t="shared" si="678"/>
        <v>1666.6666666666667</v>
      </c>
      <c r="AC4239" s="274">
        <f>SUM(Q4239:AB4239)</f>
        <v>20000</v>
      </c>
    </row>
    <row r="4240" spans="1:29" x14ac:dyDescent="0.2">
      <c r="A4240" s="179"/>
      <c r="B4240" s="2439"/>
      <c r="C4240" s="2437"/>
      <c r="D4240" s="2437"/>
      <c r="E4240" s="2437"/>
      <c r="F4240" s="2437"/>
      <c r="G4240" s="2437"/>
      <c r="H4240" s="2437"/>
      <c r="I4240" s="2437"/>
      <c r="J4240" s="2437"/>
      <c r="K4240" s="3487"/>
      <c r="L4240" s="1"/>
      <c r="M4240" s="1">
        <v>20000</v>
      </c>
      <c r="N4240" s="2437"/>
      <c r="O4240" s="1115">
        <v>231821</v>
      </c>
      <c r="P4240" s="913" t="s">
        <v>1566</v>
      </c>
      <c r="Q4240" s="278">
        <v>1666.6666666666667</v>
      </c>
      <c r="R4240" s="274">
        <v>1666.6666666666667</v>
      </c>
      <c r="S4240" s="278">
        <v>1666.6666666666667</v>
      </c>
      <c r="T4240" s="274">
        <v>1666.6666666666667</v>
      </c>
      <c r="U4240" s="278">
        <v>1666.6666666666667</v>
      </c>
      <c r="V4240" s="274">
        <v>1666.6666666666667</v>
      </c>
      <c r="W4240" s="278">
        <v>1666.6666666666667</v>
      </c>
      <c r="X4240" s="274">
        <v>1666.6666666666667</v>
      </c>
      <c r="Y4240" s="278">
        <v>1666.6666666666667</v>
      </c>
      <c r="Z4240" s="274">
        <v>1666.6666666666667</v>
      </c>
      <c r="AA4240" s="278">
        <v>1666.6666666666667</v>
      </c>
      <c r="AB4240" s="274">
        <v>1666.6666666666667</v>
      </c>
      <c r="AC4240" s="278">
        <f>+SUM(Q4240:AB4240)</f>
        <v>20000</v>
      </c>
    </row>
    <row r="4241" spans="1:29" s="289" customFormat="1" x14ac:dyDescent="0.2">
      <c r="A4241" s="540"/>
      <c r="B4241" s="3474" t="s">
        <v>312</v>
      </c>
      <c r="C4241" s="3475"/>
      <c r="D4241" s="3475"/>
      <c r="E4241" s="3475"/>
      <c r="F4241" s="3475"/>
      <c r="G4241" s="3475"/>
      <c r="H4241" s="3475"/>
      <c r="I4241" s="3475"/>
      <c r="J4241" s="3475"/>
      <c r="K4241" s="3475"/>
      <c r="L4241" s="284">
        <f>+SUM(L4233:L4240)</f>
        <v>4800</v>
      </c>
      <c r="M4241" s="284">
        <f>+SUM(M4233:M4240)</f>
        <v>85000</v>
      </c>
      <c r="N4241" s="285"/>
      <c r="O4241" s="1148"/>
      <c r="P4241" s="286"/>
      <c r="Q4241" s="287"/>
      <c r="R4241" s="288"/>
      <c r="S4241" s="287"/>
      <c r="T4241" s="288"/>
      <c r="U4241" s="287"/>
      <c r="V4241" s="288"/>
      <c r="W4241" s="287"/>
      <c r="X4241" s="288"/>
      <c r="Y4241" s="287"/>
      <c r="Z4241" s="288"/>
      <c r="AA4241" s="287"/>
      <c r="AB4241" s="288"/>
      <c r="AC4241" s="287"/>
    </row>
    <row r="4242" spans="1:29" x14ac:dyDescent="0.2">
      <c r="A4242" s="179"/>
      <c r="B4242" s="2999" t="s">
        <v>20</v>
      </c>
      <c r="C4242" s="2847" t="s">
        <v>21</v>
      </c>
      <c r="D4242" s="2847" t="s">
        <v>22</v>
      </c>
      <c r="E4242" s="2847" t="s">
        <v>23</v>
      </c>
      <c r="F4242" s="2847" t="s">
        <v>24</v>
      </c>
      <c r="G4242" s="2847" t="s">
        <v>25</v>
      </c>
      <c r="H4242" s="2847" t="s">
        <v>26</v>
      </c>
      <c r="I4242" s="2847" t="s">
        <v>27</v>
      </c>
      <c r="J4242" s="2986" t="s">
        <v>28</v>
      </c>
      <c r="K4242" s="2987"/>
      <c r="L4242" s="2986" t="s">
        <v>1628</v>
      </c>
      <c r="M4242" s="2987"/>
      <c r="N4242" s="2988" t="s">
        <v>29</v>
      </c>
      <c r="O4242" s="2986" t="s">
        <v>30</v>
      </c>
      <c r="P4242" s="2987"/>
      <c r="Q4242" s="3489" t="s">
        <v>31</v>
      </c>
      <c r="R4242" s="3490"/>
      <c r="S4242" s="3490"/>
      <c r="T4242" s="3490"/>
      <c r="U4242" s="3490"/>
      <c r="V4242" s="3490"/>
      <c r="W4242" s="3490"/>
      <c r="X4242" s="3490"/>
      <c r="Y4242" s="3490"/>
      <c r="Z4242" s="3490"/>
      <c r="AA4242" s="3490"/>
      <c r="AB4242" s="3491"/>
      <c r="AC4242" s="3502" t="s">
        <v>32</v>
      </c>
    </row>
    <row r="4243" spans="1:29" x14ac:dyDescent="0.2">
      <c r="A4243" s="179"/>
      <c r="B4243" s="2999"/>
      <c r="C4243" s="2847"/>
      <c r="D4243" s="2847"/>
      <c r="E4243" s="2847"/>
      <c r="F4243" s="2847"/>
      <c r="G4243" s="2847"/>
      <c r="H4243" s="2847"/>
      <c r="I4243" s="2847"/>
      <c r="J4243" s="1017" t="s">
        <v>33</v>
      </c>
      <c r="K4243" s="1017" t="s">
        <v>34</v>
      </c>
      <c r="L4243" s="306" t="s">
        <v>1513</v>
      </c>
      <c r="M4243" s="306" t="s">
        <v>1514</v>
      </c>
      <c r="N4243" s="2989"/>
      <c r="O4243" s="3000"/>
      <c r="P4243" s="3001"/>
      <c r="Q4243" s="1111" t="s">
        <v>35</v>
      </c>
      <c r="R4243" s="1111" t="s">
        <v>36</v>
      </c>
      <c r="S4243" s="1111" t="s">
        <v>37</v>
      </c>
      <c r="T4243" s="1111" t="s">
        <v>38</v>
      </c>
      <c r="U4243" s="1111" t="s">
        <v>39</v>
      </c>
      <c r="V4243" s="1111" t="s">
        <v>40</v>
      </c>
      <c r="W4243" s="1111" t="s">
        <v>41</v>
      </c>
      <c r="X4243" s="1111" t="s">
        <v>42</v>
      </c>
      <c r="Y4243" s="1111" t="s">
        <v>43</v>
      </c>
      <c r="Z4243" s="1111" t="s">
        <v>44</v>
      </c>
      <c r="AA4243" s="1111" t="s">
        <v>45</v>
      </c>
      <c r="AB4243" s="1111" t="s">
        <v>46</v>
      </c>
      <c r="AC4243" s="3503"/>
    </row>
    <row r="4244" spans="1:29" x14ac:dyDescent="0.2">
      <c r="A4244" s="179"/>
      <c r="B4244" s="3190" t="s">
        <v>1731</v>
      </c>
      <c r="C4244" s="2421" t="s">
        <v>1732</v>
      </c>
      <c r="D4244" s="2421"/>
      <c r="E4244" s="2421" t="s">
        <v>1517</v>
      </c>
      <c r="F4244" s="2421" t="s">
        <v>1630</v>
      </c>
      <c r="G4244" s="2421" t="s">
        <v>1680</v>
      </c>
      <c r="H4244" s="2421"/>
      <c r="I4244" s="2421" t="s">
        <v>1733</v>
      </c>
      <c r="J4244" s="3483">
        <v>20075</v>
      </c>
      <c r="K4244" s="3497">
        <v>88197</v>
      </c>
      <c r="L4244" s="1"/>
      <c r="M4244" s="1"/>
      <c r="N4244" s="3500" t="s">
        <v>1734</v>
      </c>
      <c r="O4244" s="1111" t="s">
        <v>51</v>
      </c>
      <c r="P4244" s="1111"/>
      <c r="Q4244" s="1111">
        <v>1672</v>
      </c>
      <c r="R4244" s="1111">
        <v>1672</v>
      </c>
      <c r="S4244" s="1111">
        <v>1672</v>
      </c>
      <c r="T4244" s="1111">
        <v>1672</v>
      </c>
      <c r="U4244" s="1111">
        <v>1678</v>
      </c>
      <c r="V4244" s="1111">
        <v>1672</v>
      </c>
      <c r="W4244" s="1111">
        <v>1672</v>
      </c>
      <c r="X4244" s="1111">
        <v>1672</v>
      </c>
      <c r="Y4244" s="1111">
        <v>1672</v>
      </c>
      <c r="Z4244" s="1111">
        <v>1672</v>
      </c>
      <c r="AA4244" s="1111">
        <v>1672</v>
      </c>
      <c r="AB4244" s="1111">
        <v>1677</v>
      </c>
      <c r="AC4244" s="1111">
        <f>SUM(Q4244:AB4244)</f>
        <v>20075</v>
      </c>
    </row>
    <row r="4245" spans="1:29" x14ac:dyDescent="0.2">
      <c r="A4245" s="179"/>
      <c r="B4245" s="3191"/>
      <c r="C4245" s="2421"/>
      <c r="D4245" s="2421"/>
      <c r="E4245" s="2421"/>
      <c r="F4245" s="2421"/>
      <c r="G4245" s="2421"/>
      <c r="H4245" s="2421"/>
      <c r="I4245" s="2421"/>
      <c r="J4245" s="3483"/>
      <c r="K4245" s="3483"/>
      <c r="L4245" s="1"/>
      <c r="M4245" s="1"/>
      <c r="N4245" s="3501"/>
      <c r="O4245" s="2840" t="s">
        <v>1340</v>
      </c>
      <c r="P4245" s="2840"/>
      <c r="Q4245" s="274">
        <f>SUM(Q4246:Q4251)</f>
        <v>7349.75</v>
      </c>
      <c r="R4245" s="274">
        <f t="shared" ref="R4245:AC4245" si="679">SUM(R4246:R4251)</f>
        <v>7349.75</v>
      </c>
      <c r="S4245" s="274">
        <f t="shared" si="679"/>
        <v>7349.75</v>
      </c>
      <c r="T4245" s="274">
        <f t="shared" si="679"/>
        <v>7349.75</v>
      </c>
      <c r="U4245" s="274">
        <f t="shared" si="679"/>
        <v>7349.75</v>
      </c>
      <c r="V4245" s="274">
        <f t="shared" si="679"/>
        <v>7349.75</v>
      </c>
      <c r="W4245" s="274">
        <f t="shared" si="679"/>
        <v>7349.75</v>
      </c>
      <c r="X4245" s="274">
        <f t="shared" si="679"/>
        <v>7349.75</v>
      </c>
      <c r="Y4245" s="274">
        <f t="shared" si="679"/>
        <v>7349.75</v>
      </c>
      <c r="Z4245" s="274">
        <f t="shared" si="679"/>
        <v>7349.75</v>
      </c>
      <c r="AA4245" s="274">
        <f t="shared" si="679"/>
        <v>7349.75</v>
      </c>
      <c r="AB4245" s="274">
        <f t="shared" si="679"/>
        <v>7349.75</v>
      </c>
      <c r="AC4245" s="274">
        <f t="shared" si="679"/>
        <v>88197</v>
      </c>
    </row>
    <row r="4246" spans="1:29" x14ac:dyDescent="0.2">
      <c r="A4246" s="179"/>
      <c r="B4246" s="3191"/>
      <c r="C4246" s="2421"/>
      <c r="D4246" s="2421"/>
      <c r="E4246" s="2421"/>
      <c r="F4246" s="2421"/>
      <c r="G4246" s="2421"/>
      <c r="H4246" s="2421"/>
      <c r="I4246" s="2421"/>
      <c r="J4246" s="3483"/>
      <c r="K4246" s="3483"/>
      <c r="L4246" s="38"/>
      <c r="M4246" s="1">
        <v>5000</v>
      </c>
      <c r="N4246" s="3501"/>
      <c r="O4246" s="1090">
        <v>231512</v>
      </c>
      <c r="P4246" s="913" t="s">
        <v>1236</v>
      </c>
      <c r="Q4246" s="278">
        <v>416.66666666666669</v>
      </c>
      <c r="R4246" s="278">
        <v>416.66666666666669</v>
      </c>
      <c r="S4246" s="278">
        <v>416.66666666666669</v>
      </c>
      <c r="T4246" s="278">
        <v>416.66666666666669</v>
      </c>
      <c r="U4246" s="278">
        <v>416.66666666666669</v>
      </c>
      <c r="V4246" s="278">
        <v>416.66666666666669</v>
      </c>
      <c r="W4246" s="278">
        <v>416.66666666666669</v>
      </c>
      <c r="X4246" s="278">
        <v>416.66666666666669</v>
      </c>
      <c r="Y4246" s="278">
        <v>416.66666666666669</v>
      </c>
      <c r="Z4246" s="278">
        <v>416.66666666666669</v>
      </c>
      <c r="AA4246" s="278">
        <v>416.66666666666669</v>
      </c>
      <c r="AB4246" s="278">
        <v>416.66666666666669</v>
      </c>
      <c r="AC4246" s="278">
        <f t="shared" ref="AC4246:AC4251" si="680">+SUM(Q4246:AB4246)</f>
        <v>5000</v>
      </c>
    </row>
    <row r="4247" spans="1:29" x14ac:dyDescent="0.2">
      <c r="A4247" s="179"/>
      <c r="B4247" s="3191"/>
      <c r="C4247" s="2421"/>
      <c r="D4247" s="2421"/>
      <c r="E4247" s="2421"/>
      <c r="F4247" s="2421"/>
      <c r="G4247" s="2421"/>
      <c r="H4247" s="2421"/>
      <c r="I4247" s="2421"/>
      <c r="J4247" s="3483"/>
      <c r="K4247" s="3483"/>
      <c r="L4247" s="38"/>
      <c r="M4247" s="1">
        <v>3000</v>
      </c>
      <c r="N4247" s="3501"/>
      <c r="O4247" s="1090">
        <v>231531</v>
      </c>
      <c r="P4247" s="913" t="s">
        <v>1268</v>
      </c>
      <c r="Q4247" s="278">
        <v>250</v>
      </c>
      <c r="R4247" s="278">
        <v>250</v>
      </c>
      <c r="S4247" s="278">
        <v>250</v>
      </c>
      <c r="T4247" s="278">
        <v>250</v>
      </c>
      <c r="U4247" s="278">
        <v>250</v>
      </c>
      <c r="V4247" s="278">
        <v>250</v>
      </c>
      <c r="W4247" s="278">
        <v>250</v>
      </c>
      <c r="X4247" s="278">
        <v>250</v>
      </c>
      <c r="Y4247" s="278">
        <v>250</v>
      </c>
      <c r="Z4247" s="278">
        <v>250</v>
      </c>
      <c r="AA4247" s="278">
        <v>250</v>
      </c>
      <c r="AB4247" s="278">
        <v>250</v>
      </c>
      <c r="AC4247" s="278">
        <f t="shared" si="680"/>
        <v>3000</v>
      </c>
    </row>
    <row r="4248" spans="1:29" x14ac:dyDescent="0.2">
      <c r="A4248" s="179"/>
      <c r="B4248" s="3191"/>
      <c r="C4248" s="2421"/>
      <c r="D4248" s="2421"/>
      <c r="E4248" s="2421"/>
      <c r="F4248" s="2421"/>
      <c r="G4248" s="2421"/>
      <c r="H4248" s="2421"/>
      <c r="I4248" s="2421"/>
      <c r="J4248" s="3483"/>
      <c r="K4248" s="3483"/>
      <c r="L4248" s="1">
        <v>20000</v>
      </c>
      <c r="M4248" s="1"/>
      <c r="N4248" s="3501"/>
      <c r="O4248" s="1090">
        <v>231812</v>
      </c>
      <c r="P4248" s="913" t="s">
        <v>1564</v>
      </c>
      <c r="Q4248" s="278">
        <v>1666.6666666666667</v>
      </c>
      <c r="R4248" s="278">
        <v>1666.6666666666667</v>
      </c>
      <c r="S4248" s="278">
        <v>1666.6666666666667</v>
      </c>
      <c r="T4248" s="278">
        <v>1666.6666666666667</v>
      </c>
      <c r="U4248" s="278">
        <v>1666.6666666666667</v>
      </c>
      <c r="V4248" s="278">
        <v>1666.6666666666667</v>
      </c>
      <c r="W4248" s="278">
        <v>1666.6666666666667</v>
      </c>
      <c r="X4248" s="278">
        <v>1666.6666666666667</v>
      </c>
      <c r="Y4248" s="278">
        <v>1666.6666666666667</v>
      </c>
      <c r="Z4248" s="278">
        <v>1666.6666666666667</v>
      </c>
      <c r="AA4248" s="278">
        <v>1666.6666666666667</v>
      </c>
      <c r="AB4248" s="278">
        <v>1666.6666666666667</v>
      </c>
      <c r="AC4248" s="278">
        <f t="shared" si="680"/>
        <v>20000</v>
      </c>
    </row>
    <row r="4249" spans="1:29" x14ac:dyDescent="0.2">
      <c r="A4249" s="179"/>
      <c r="B4249" s="3191"/>
      <c r="C4249" s="2421"/>
      <c r="D4249" s="2421"/>
      <c r="E4249" s="2421"/>
      <c r="F4249" s="2421"/>
      <c r="G4249" s="2421"/>
      <c r="H4249" s="2421"/>
      <c r="I4249" s="2421"/>
      <c r="J4249" s="3483"/>
      <c r="K4249" s="3483"/>
      <c r="L4249" s="38"/>
      <c r="M4249" s="1">
        <v>10000</v>
      </c>
      <c r="N4249" s="3501"/>
      <c r="O4249" s="1090">
        <v>2318199</v>
      </c>
      <c r="P4249" s="913" t="s">
        <v>1568</v>
      </c>
      <c r="Q4249" s="278">
        <v>833.33333333333337</v>
      </c>
      <c r="R4249" s="278">
        <v>833.33333333333337</v>
      </c>
      <c r="S4249" s="278">
        <v>833.33333333333337</v>
      </c>
      <c r="T4249" s="278">
        <v>833.33333333333337</v>
      </c>
      <c r="U4249" s="278">
        <v>833.33333333333337</v>
      </c>
      <c r="V4249" s="278">
        <v>833.33333333333337</v>
      </c>
      <c r="W4249" s="278">
        <v>833.33333333333337</v>
      </c>
      <c r="X4249" s="278">
        <v>833.33333333333337</v>
      </c>
      <c r="Y4249" s="278">
        <v>833.33333333333337</v>
      </c>
      <c r="Z4249" s="278">
        <v>833.33333333333337</v>
      </c>
      <c r="AA4249" s="278">
        <v>833.33333333333337</v>
      </c>
      <c r="AB4249" s="278">
        <v>833.33333333333337</v>
      </c>
      <c r="AC4249" s="278">
        <f t="shared" si="680"/>
        <v>10000</v>
      </c>
    </row>
    <row r="4250" spans="1:29" x14ac:dyDescent="0.2">
      <c r="A4250" s="179"/>
      <c r="B4250" s="3191"/>
      <c r="C4250" s="2421"/>
      <c r="D4250" s="2421"/>
      <c r="E4250" s="2421"/>
      <c r="F4250" s="2421"/>
      <c r="G4250" s="2421"/>
      <c r="H4250" s="2421"/>
      <c r="I4250" s="2421"/>
      <c r="J4250" s="3483"/>
      <c r="K4250" s="3483"/>
      <c r="L4250" s="1">
        <v>20197</v>
      </c>
      <c r="M4250" s="1"/>
      <c r="N4250" s="3501"/>
      <c r="O4250" s="1090">
        <v>231821</v>
      </c>
      <c r="P4250" s="913" t="s">
        <v>1566</v>
      </c>
      <c r="Q4250" s="278">
        <v>1683.0833333333333</v>
      </c>
      <c r="R4250" s="278">
        <v>1683.0833333333333</v>
      </c>
      <c r="S4250" s="278">
        <v>1683.0833333333333</v>
      </c>
      <c r="T4250" s="278">
        <v>1683.0833333333333</v>
      </c>
      <c r="U4250" s="278">
        <v>1683.0833333333333</v>
      </c>
      <c r="V4250" s="278">
        <v>1683.0833333333333</v>
      </c>
      <c r="W4250" s="278">
        <v>1683.0833333333333</v>
      </c>
      <c r="X4250" s="278">
        <v>1683.0833333333333</v>
      </c>
      <c r="Y4250" s="278">
        <v>1683.0833333333333</v>
      </c>
      <c r="Z4250" s="278">
        <v>1683.0833333333333</v>
      </c>
      <c r="AA4250" s="278">
        <v>1683.0833333333333</v>
      </c>
      <c r="AB4250" s="278">
        <v>1683.0833333333333</v>
      </c>
      <c r="AC4250" s="278">
        <f t="shared" si="680"/>
        <v>20197</v>
      </c>
    </row>
    <row r="4251" spans="1:29" x14ac:dyDescent="0.2">
      <c r="A4251" s="179"/>
      <c r="B4251" s="2439"/>
      <c r="C4251" s="2421"/>
      <c r="D4251" s="2421"/>
      <c r="E4251" s="2421"/>
      <c r="F4251" s="2421"/>
      <c r="G4251" s="2421"/>
      <c r="H4251" s="2421"/>
      <c r="I4251" s="2421"/>
      <c r="J4251" s="3483"/>
      <c r="K4251" s="3483"/>
      <c r="L4251" s="35"/>
      <c r="M4251" s="1">
        <v>30000</v>
      </c>
      <c r="N4251" s="3492"/>
      <c r="O4251" s="1090">
        <v>231821</v>
      </c>
      <c r="P4251" s="913" t="s">
        <v>1566</v>
      </c>
      <c r="Q4251" s="278">
        <v>2500</v>
      </c>
      <c r="R4251" s="278">
        <v>2500</v>
      </c>
      <c r="S4251" s="278">
        <v>2500</v>
      </c>
      <c r="T4251" s="278">
        <v>2500</v>
      </c>
      <c r="U4251" s="278">
        <v>2500</v>
      </c>
      <c r="V4251" s="278">
        <v>2500</v>
      </c>
      <c r="W4251" s="278">
        <v>2500</v>
      </c>
      <c r="X4251" s="278">
        <v>2500</v>
      </c>
      <c r="Y4251" s="278">
        <v>2500</v>
      </c>
      <c r="Z4251" s="278">
        <v>2500</v>
      </c>
      <c r="AA4251" s="278">
        <v>2500</v>
      </c>
      <c r="AB4251" s="278">
        <v>2500</v>
      </c>
      <c r="AC4251" s="278">
        <f t="shared" si="680"/>
        <v>30000</v>
      </c>
    </row>
    <row r="4252" spans="1:29" s="289" customFormat="1" x14ac:dyDescent="0.2">
      <c r="A4252" s="540"/>
      <c r="B4252" s="3474" t="s">
        <v>312</v>
      </c>
      <c r="C4252" s="3475"/>
      <c r="D4252" s="3475"/>
      <c r="E4252" s="3475"/>
      <c r="F4252" s="3475"/>
      <c r="G4252" s="3475"/>
      <c r="H4252" s="3475"/>
      <c r="I4252" s="3475"/>
      <c r="J4252" s="3475"/>
      <c r="K4252" s="3475"/>
      <c r="L4252" s="284">
        <f>+SUM(L4246:L4251)</f>
        <v>40197</v>
      </c>
      <c r="M4252" s="284">
        <f>+SUM(M4246:M4251)</f>
        <v>48000</v>
      </c>
      <c r="N4252" s="285"/>
      <c r="O4252" s="1148"/>
      <c r="P4252" s="286"/>
      <c r="Q4252" s="287"/>
      <c r="R4252" s="288"/>
      <c r="S4252" s="287"/>
      <c r="T4252" s="288"/>
      <c r="U4252" s="287"/>
      <c r="V4252" s="288"/>
      <c r="W4252" s="287"/>
      <c r="X4252" s="288"/>
      <c r="Y4252" s="287"/>
      <c r="Z4252" s="288"/>
      <c r="AA4252" s="287"/>
      <c r="AB4252" s="288"/>
      <c r="AC4252" s="287"/>
    </row>
    <row r="4253" spans="1:29" x14ac:dyDescent="0.2">
      <c r="A4253" s="179"/>
      <c r="B4253" s="2999" t="s">
        <v>20</v>
      </c>
      <c r="C4253" s="2847" t="s">
        <v>21</v>
      </c>
      <c r="D4253" s="2847" t="s">
        <v>22</v>
      </c>
      <c r="E4253" s="2847" t="s">
        <v>23</v>
      </c>
      <c r="F4253" s="2847" t="s">
        <v>24</v>
      </c>
      <c r="G4253" s="2847" t="s">
        <v>25</v>
      </c>
      <c r="H4253" s="2847" t="s">
        <v>26</v>
      </c>
      <c r="I4253" s="2847" t="s">
        <v>27</v>
      </c>
      <c r="J4253" s="2986" t="s">
        <v>28</v>
      </c>
      <c r="K4253" s="2987"/>
      <c r="L4253" s="2986" t="s">
        <v>1628</v>
      </c>
      <c r="M4253" s="2987"/>
      <c r="N4253" s="2988" t="s">
        <v>29</v>
      </c>
      <c r="O4253" s="2986" t="s">
        <v>30</v>
      </c>
      <c r="P4253" s="2987"/>
      <c r="Q4253" s="3489" t="s">
        <v>31</v>
      </c>
      <c r="R4253" s="3490"/>
      <c r="S4253" s="3490"/>
      <c r="T4253" s="3490"/>
      <c r="U4253" s="3490"/>
      <c r="V4253" s="3490"/>
      <c r="W4253" s="3490"/>
      <c r="X4253" s="3490"/>
      <c r="Y4253" s="3490"/>
      <c r="Z4253" s="3490"/>
      <c r="AA4253" s="3490"/>
      <c r="AB4253" s="3491"/>
      <c r="AC4253" s="3502" t="s">
        <v>32</v>
      </c>
    </row>
    <row r="4254" spans="1:29" x14ac:dyDescent="0.2">
      <c r="A4254" s="179"/>
      <c r="B4254" s="2999"/>
      <c r="C4254" s="2847"/>
      <c r="D4254" s="2847"/>
      <c r="E4254" s="2847"/>
      <c r="F4254" s="2847"/>
      <c r="G4254" s="2847"/>
      <c r="H4254" s="2847"/>
      <c r="I4254" s="2847"/>
      <c r="J4254" s="1017" t="s">
        <v>33</v>
      </c>
      <c r="K4254" s="1017" t="s">
        <v>34</v>
      </c>
      <c r="L4254" s="306" t="s">
        <v>1513</v>
      </c>
      <c r="M4254" s="306" t="s">
        <v>1514</v>
      </c>
      <c r="N4254" s="2989"/>
      <c r="O4254" s="3000"/>
      <c r="P4254" s="3001"/>
      <c r="Q4254" s="1111" t="s">
        <v>35</v>
      </c>
      <c r="R4254" s="1111" t="s">
        <v>36</v>
      </c>
      <c r="S4254" s="1111" t="s">
        <v>37</v>
      </c>
      <c r="T4254" s="1111" t="s">
        <v>38</v>
      </c>
      <c r="U4254" s="1111" t="s">
        <v>39</v>
      </c>
      <c r="V4254" s="1111" t="s">
        <v>40</v>
      </c>
      <c r="W4254" s="1111" t="s">
        <v>41</v>
      </c>
      <c r="X4254" s="1111" t="s">
        <v>42</v>
      </c>
      <c r="Y4254" s="1111" t="s">
        <v>43</v>
      </c>
      <c r="Z4254" s="1111" t="s">
        <v>44</v>
      </c>
      <c r="AA4254" s="1111" t="s">
        <v>45</v>
      </c>
      <c r="AB4254" s="1111" t="s">
        <v>46</v>
      </c>
      <c r="AC4254" s="3503"/>
    </row>
    <row r="4255" spans="1:29" x14ac:dyDescent="0.2">
      <c r="A4255" s="179"/>
      <c r="B4255" s="3190" t="s">
        <v>1735</v>
      </c>
      <c r="C4255" s="2431" t="s">
        <v>1736</v>
      </c>
      <c r="D4255" s="2431"/>
      <c r="E4255" s="2431" t="s">
        <v>1517</v>
      </c>
      <c r="F4255" s="2431" t="s">
        <v>1630</v>
      </c>
      <c r="G4255" s="2431" t="s">
        <v>1685</v>
      </c>
      <c r="H4255" s="2431"/>
      <c r="I4255" s="2431" t="s">
        <v>1705</v>
      </c>
      <c r="J4255" s="2431">
        <v>10889</v>
      </c>
      <c r="K4255" s="3297">
        <f>+AC4256</f>
        <v>14521.000000000002</v>
      </c>
      <c r="L4255" s="1"/>
      <c r="M4255" s="542"/>
      <c r="N4255" s="3297" t="s">
        <v>1737</v>
      </c>
      <c r="O4255" s="1111" t="s">
        <v>51</v>
      </c>
      <c r="P4255" s="1111"/>
      <c r="Q4255" s="1111">
        <v>907</v>
      </c>
      <c r="R4255" s="1111">
        <v>907</v>
      </c>
      <c r="S4255" s="1111">
        <v>907</v>
      </c>
      <c r="T4255" s="1111">
        <v>907</v>
      </c>
      <c r="U4255" s="1111">
        <v>907</v>
      </c>
      <c r="V4255" s="1111">
        <v>912</v>
      </c>
      <c r="W4255" s="1111">
        <v>907</v>
      </c>
      <c r="X4255" s="1111">
        <v>907</v>
      </c>
      <c r="Y4255" s="1111">
        <v>907</v>
      </c>
      <c r="Z4255" s="1111">
        <v>907</v>
      </c>
      <c r="AA4255" s="1111">
        <v>907</v>
      </c>
      <c r="AB4255" s="1111">
        <v>907</v>
      </c>
      <c r="AC4255" s="1111">
        <f>SUM(Q4255:AB4255)</f>
        <v>10889</v>
      </c>
    </row>
    <row r="4256" spans="1:29" x14ac:dyDescent="0.2">
      <c r="A4256" s="179"/>
      <c r="B4256" s="3191"/>
      <c r="C4256" s="2432"/>
      <c r="D4256" s="2432"/>
      <c r="E4256" s="2432"/>
      <c r="F4256" s="2432"/>
      <c r="G4256" s="2432"/>
      <c r="H4256" s="2432"/>
      <c r="I4256" s="2432"/>
      <c r="J4256" s="2432"/>
      <c r="K4256" s="2432"/>
      <c r="L4256" s="1"/>
      <c r="M4256" s="1"/>
      <c r="N4256" s="3298"/>
      <c r="O4256" s="2840" t="s">
        <v>1340</v>
      </c>
      <c r="P4256" s="2840"/>
      <c r="Q4256" s="274">
        <f>SUM(Q4257)</f>
        <v>1210.0833333333333</v>
      </c>
      <c r="R4256" s="274">
        <f t="shared" ref="R4256:AB4256" si="681">SUM(R4257)</f>
        <v>1210.0833333333333</v>
      </c>
      <c r="S4256" s="274">
        <f t="shared" si="681"/>
        <v>1210.0833333333333</v>
      </c>
      <c r="T4256" s="274">
        <f t="shared" si="681"/>
        <v>1210.0833333333333</v>
      </c>
      <c r="U4256" s="274">
        <f t="shared" si="681"/>
        <v>1210.0833333333333</v>
      </c>
      <c r="V4256" s="274">
        <f t="shared" si="681"/>
        <v>1210.0833333333333</v>
      </c>
      <c r="W4256" s="274">
        <f t="shared" si="681"/>
        <v>1210.0833333333333</v>
      </c>
      <c r="X4256" s="274">
        <f t="shared" si="681"/>
        <v>1210.0833333333333</v>
      </c>
      <c r="Y4256" s="274">
        <f t="shared" si="681"/>
        <v>1210.0833333333333</v>
      </c>
      <c r="Z4256" s="274">
        <f t="shared" si="681"/>
        <v>1210.0833333333333</v>
      </c>
      <c r="AA4256" s="274">
        <f t="shared" si="681"/>
        <v>1210.0833333333333</v>
      </c>
      <c r="AB4256" s="274">
        <f t="shared" si="681"/>
        <v>1210.0833333333333</v>
      </c>
      <c r="AC4256" s="274">
        <f>SUM(Q4256:AB4256)</f>
        <v>14521.000000000002</v>
      </c>
    </row>
    <row r="4257" spans="1:29" x14ac:dyDescent="0.2">
      <c r="A4257" s="179"/>
      <c r="B4257" s="2439"/>
      <c r="C4257" s="2437"/>
      <c r="D4257" s="2437"/>
      <c r="E4257" s="2437"/>
      <c r="F4257" s="2437"/>
      <c r="G4257" s="2437"/>
      <c r="H4257" s="2437"/>
      <c r="I4257" s="2437"/>
      <c r="J4257" s="2437"/>
      <c r="K4257" s="2437"/>
      <c r="L4257" s="1">
        <v>14521</v>
      </c>
      <c r="M4257" s="35"/>
      <c r="N4257" s="3299"/>
      <c r="O4257" s="1090">
        <v>231111</v>
      </c>
      <c r="P4257" s="913" t="s">
        <v>1306</v>
      </c>
      <c r="Q4257" s="278">
        <v>1210.0833333333333</v>
      </c>
      <c r="R4257" s="278">
        <v>1210.0833333333333</v>
      </c>
      <c r="S4257" s="278">
        <v>1210.0833333333333</v>
      </c>
      <c r="T4257" s="278">
        <v>1210.0833333333333</v>
      </c>
      <c r="U4257" s="278">
        <v>1210.0833333333333</v>
      </c>
      <c r="V4257" s="278">
        <v>1210.0833333333333</v>
      </c>
      <c r="W4257" s="278">
        <v>1210.0833333333333</v>
      </c>
      <c r="X4257" s="278">
        <v>1210.0833333333333</v>
      </c>
      <c r="Y4257" s="278">
        <v>1210.0833333333333</v>
      </c>
      <c r="Z4257" s="278">
        <v>1210.0833333333333</v>
      </c>
      <c r="AA4257" s="278">
        <v>1210.0833333333333</v>
      </c>
      <c r="AB4257" s="278">
        <v>1210.0833333333333</v>
      </c>
      <c r="AC4257" s="278">
        <f>+SUM(Q4257:AB4257)</f>
        <v>14521.000000000002</v>
      </c>
    </row>
    <row r="4258" spans="1:29" s="289" customFormat="1" x14ac:dyDescent="0.2">
      <c r="A4258" s="540"/>
      <c r="B4258" s="3474" t="s">
        <v>312</v>
      </c>
      <c r="C4258" s="3475"/>
      <c r="D4258" s="3475"/>
      <c r="E4258" s="3475"/>
      <c r="F4258" s="3475"/>
      <c r="G4258" s="3475"/>
      <c r="H4258" s="3475"/>
      <c r="I4258" s="3475"/>
      <c r="J4258" s="3475"/>
      <c r="K4258" s="3475"/>
      <c r="L4258" s="284">
        <f>+SUM(L4255:L4257)</f>
        <v>14521</v>
      </c>
      <c r="M4258" s="284">
        <f>+SUM(M4255:M4257)</f>
        <v>0</v>
      </c>
      <c r="N4258" s="285"/>
      <c r="O4258" s="1148"/>
      <c r="P4258" s="286"/>
      <c r="Q4258" s="287"/>
      <c r="R4258" s="288"/>
      <c r="S4258" s="287"/>
      <c r="T4258" s="288"/>
      <c r="U4258" s="287"/>
      <c r="V4258" s="288"/>
      <c r="W4258" s="287"/>
      <c r="X4258" s="288"/>
      <c r="Y4258" s="287"/>
      <c r="Z4258" s="288"/>
      <c r="AA4258" s="287"/>
      <c r="AB4258" s="288"/>
      <c r="AC4258" s="287"/>
    </row>
    <row r="4259" spans="1:29" x14ac:dyDescent="0.2">
      <c r="A4259" s="179"/>
      <c r="B4259" s="2999" t="s">
        <v>20</v>
      </c>
      <c r="C4259" s="2847" t="s">
        <v>21</v>
      </c>
      <c r="D4259" s="2847" t="s">
        <v>22</v>
      </c>
      <c r="E4259" s="2847" t="s">
        <v>23</v>
      </c>
      <c r="F4259" s="2847" t="s">
        <v>24</v>
      </c>
      <c r="G4259" s="2847" t="s">
        <v>25</v>
      </c>
      <c r="H4259" s="2847" t="s">
        <v>26</v>
      </c>
      <c r="I4259" s="2847" t="s">
        <v>27</v>
      </c>
      <c r="J4259" s="2986" t="s">
        <v>28</v>
      </c>
      <c r="K4259" s="2987"/>
      <c r="L4259" s="2986" t="s">
        <v>1628</v>
      </c>
      <c r="M4259" s="2987"/>
      <c r="N4259" s="2988" t="s">
        <v>29</v>
      </c>
      <c r="O4259" s="2986" t="s">
        <v>30</v>
      </c>
      <c r="P4259" s="2987"/>
      <c r="Q4259" s="3489" t="s">
        <v>31</v>
      </c>
      <c r="R4259" s="3490"/>
      <c r="S4259" s="3490"/>
      <c r="T4259" s="3490"/>
      <c r="U4259" s="3490"/>
      <c r="V4259" s="3490"/>
      <c r="W4259" s="3490"/>
      <c r="X4259" s="3490"/>
      <c r="Y4259" s="3490"/>
      <c r="Z4259" s="3490"/>
      <c r="AA4259" s="3490"/>
      <c r="AB4259" s="3491"/>
      <c r="AC4259" s="3502" t="s">
        <v>32</v>
      </c>
    </row>
    <row r="4260" spans="1:29" x14ac:dyDescent="0.2">
      <c r="A4260" s="179"/>
      <c r="B4260" s="2999"/>
      <c r="C4260" s="2847"/>
      <c r="D4260" s="2847"/>
      <c r="E4260" s="2847"/>
      <c r="F4260" s="2847"/>
      <c r="G4260" s="2847"/>
      <c r="H4260" s="2847"/>
      <c r="I4260" s="2847"/>
      <c r="J4260" s="1017" t="s">
        <v>33</v>
      </c>
      <c r="K4260" s="1017" t="s">
        <v>34</v>
      </c>
      <c r="L4260" s="306" t="s">
        <v>1513</v>
      </c>
      <c r="M4260" s="306" t="s">
        <v>1514</v>
      </c>
      <c r="N4260" s="2989"/>
      <c r="O4260" s="3000"/>
      <c r="P4260" s="3001"/>
      <c r="Q4260" s="1111" t="s">
        <v>35</v>
      </c>
      <c r="R4260" s="1111" t="s">
        <v>36</v>
      </c>
      <c r="S4260" s="1111" t="s">
        <v>37</v>
      </c>
      <c r="T4260" s="1111" t="s">
        <v>38</v>
      </c>
      <c r="U4260" s="1111" t="s">
        <v>39</v>
      </c>
      <c r="V4260" s="1111" t="s">
        <v>40</v>
      </c>
      <c r="W4260" s="1111" t="s">
        <v>41</v>
      </c>
      <c r="X4260" s="1111" t="s">
        <v>42</v>
      </c>
      <c r="Y4260" s="1111" t="s">
        <v>43</v>
      </c>
      <c r="Z4260" s="1111" t="s">
        <v>44</v>
      </c>
      <c r="AA4260" s="1111" t="s">
        <v>45</v>
      </c>
      <c r="AB4260" s="1111" t="s">
        <v>46</v>
      </c>
      <c r="AC4260" s="3503"/>
    </row>
    <row r="4261" spans="1:29" x14ac:dyDescent="0.2">
      <c r="A4261" s="179"/>
      <c r="B4261" s="3190" t="s">
        <v>1738</v>
      </c>
      <c r="C4261" s="2421" t="s">
        <v>1739</v>
      </c>
      <c r="D4261" s="2421"/>
      <c r="E4261" s="2421">
        <v>20</v>
      </c>
      <c r="F4261" s="2421" t="s">
        <v>1630</v>
      </c>
      <c r="G4261" s="2421" t="s">
        <v>1680</v>
      </c>
      <c r="H4261" s="2421"/>
      <c r="I4261" s="2421" t="s">
        <v>1733</v>
      </c>
      <c r="J4261" s="3483">
        <v>2108</v>
      </c>
      <c r="K4261" s="3497">
        <f>+AC4262</f>
        <v>16766.000000000004</v>
      </c>
      <c r="L4261" s="1"/>
      <c r="M4261" s="1"/>
      <c r="N4261" s="3500" t="s">
        <v>1740</v>
      </c>
      <c r="O4261" s="1111" t="s">
        <v>51</v>
      </c>
      <c r="P4261" s="1111"/>
      <c r="Q4261" s="1111">
        <v>175</v>
      </c>
      <c r="R4261" s="1111">
        <v>177</v>
      </c>
      <c r="S4261" s="1111">
        <v>175</v>
      </c>
      <c r="T4261" s="1111">
        <v>175</v>
      </c>
      <c r="U4261" s="1111">
        <v>175</v>
      </c>
      <c r="V4261" s="1111">
        <v>178</v>
      </c>
      <c r="W4261" s="1111">
        <v>175</v>
      </c>
      <c r="X4261" s="1111">
        <v>175</v>
      </c>
      <c r="Y4261" s="1111">
        <v>175</v>
      </c>
      <c r="Z4261" s="1111">
        <v>175</v>
      </c>
      <c r="AA4261" s="1111">
        <v>175</v>
      </c>
      <c r="AB4261" s="1111">
        <v>178</v>
      </c>
      <c r="AC4261" s="1111">
        <f>SUM(Q4261:AB4261)</f>
        <v>2108</v>
      </c>
    </row>
    <row r="4262" spans="1:29" x14ac:dyDescent="0.2">
      <c r="A4262" s="179"/>
      <c r="B4262" s="3191"/>
      <c r="C4262" s="2421"/>
      <c r="D4262" s="2421"/>
      <c r="E4262" s="2421"/>
      <c r="F4262" s="2421"/>
      <c r="G4262" s="2421"/>
      <c r="H4262" s="2421"/>
      <c r="I4262" s="2421"/>
      <c r="J4262" s="3483"/>
      <c r="K4262" s="3483"/>
      <c r="L4262" s="1"/>
      <c r="M4262" s="1"/>
      <c r="N4262" s="3501"/>
      <c r="O4262" s="2840" t="s">
        <v>1340</v>
      </c>
      <c r="P4262" s="2840"/>
      <c r="Q4262" s="274">
        <f>SUM(Q4263:Q4265)</f>
        <v>1397.1666666666665</v>
      </c>
      <c r="R4262" s="274">
        <f t="shared" ref="R4262:AC4262" si="682">SUM(R4263:R4265)</f>
        <v>1397.1666666666665</v>
      </c>
      <c r="S4262" s="274">
        <f t="shared" si="682"/>
        <v>1397.1666666666665</v>
      </c>
      <c r="T4262" s="274">
        <f t="shared" si="682"/>
        <v>1397.1666666666665</v>
      </c>
      <c r="U4262" s="274">
        <f t="shared" si="682"/>
        <v>1397.1666666666665</v>
      </c>
      <c r="V4262" s="274">
        <f t="shared" si="682"/>
        <v>1397.1666666666665</v>
      </c>
      <c r="W4262" s="274">
        <f t="shared" si="682"/>
        <v>1397.1666666666665</v>
      </c>
      <c r="X4262" s="274">
        <f t="shared" si="682"/>
        <v>1397.1666666666665</v>
      </c>
      <c r="Y4262" s="274">
        <f t="shared" si="682"/>
        <v>1397.1666666666665</v>
      </c>
      <c r="Z4262" s="274">
        <f t="shared" si="682"/>
        <v>1397.1666666666665</v>
      </c>
      <c r="AA4262" s="274">
        <f t="shared" si="682"/>
        <v>1397.1666666666665</v>
      </c>
      <c r="AB4262" s="274">
        <f t="shared" si="682"/>
        <v>1397.1666666666665</v>
      </c>
      <c r="AC4262" s="274">
        <f t="shared" si="682"/>
        <v>16766.000000000004</v>
      </c>
    </row>
    <row r="4263" spans="1:29" x14ac:dyDescent="0.2">
      <c r="A4263" s="179"/>
      <c r="B4263" s="3191"/>
      <c r="C4263" s="2421"/>
      <c r="D4263" s="2421"/>
      <c r="E4263" s="2421"/>
      <c r="F4263" s="2421"/>
      <c r="G4263" s="2421"/>
      <c r="H4263" s="2421"/>
      <c r="I4263" s="2421"/>
      <c r="J4263" s="3483"/>
      <c r="K4263" s="3483"/>
      <c r="L4263" s="539"/>
      <c r="M4263" s="1">
        <v>1000</v>
      </c>
      <c r="N4263" s="3501"/>
      <c r="O4263" s="1115">
        <v>231512</v>
      </c>
      <c r="P4263" s="913" t="s">
        <v>1236</v>
      </c>
      <c r="Q4263" s="278">
        <v>83.333333333333329</v>
      </c>
      <c r="R4263" s="278">
        <v>83.333333333333329</v>
      </c>
      <c r="S4263" s="278">
        <v>83.333333333333329</v>
      </c>
      <c r="T4263" s="278">
        <v>83.333333333333329</v>
      </c>
      <c r="U4263" s="278">
        <v>83.333333333333329</v>
      </c>
      <c r="V4263" s="278">
        <v>83.333333333333329</v>
      </c>
      <c r="W4263" s="278">
        <v>83.333333333333329</v>
      </c>
      <c r="X4263" s="278">
        <v>83.333333333333329</v>
      </c>
      <c r="Y4263" s="278">
        <v>83.333333333333329</v>
      </c>
      <c r="Z4263" s="278">
        <v>83.333333333333329</v>
      </c>
      <c r="AA4263" s="278">
        <v>83.333333333333329</v>
      </c>
      <c r="AB4263" s="278">
        <v>83.333333333333329</v>
      </c>
      <c r="AC4263" s="278">
        <f>+SUM(Q4263:AB4263)</f>
        <v>1000.0000000000001</v>
      </c>
    </row>
    <row r="4264" spans="1:29" x14ac:dyDescent="0.2">
      <c r="A4264" s="179"/>
      <c r="B4264" s="3191"/>
      <c r="C4264" s="2421"/>
      <c r="D4264" s="2421"/>
      <c r="E4264" s="2421"/>
      <c r="F4264" s="2421"/>
      <c r="G4264" s="2421"/>
      <c r="H4264" s="2421"/>
      <c r="I4264" s="2421"/>
      <c r="J4264" s="3483"/>
      <c r="K4264" s="3483"/>
      <c r="L4264" s="47"/>
      <c r="M4264" s="1">
        <v>8000</v>
      </c>
      <c r="N4264" s="3501"/>
      <c r="O4264" s="1115">
        <v>2318199</v>
      </c>
      <c r="P4264" s="913" t="s">
        <v>1568</v>
      </c>
      <c r="Q4264" s="278">
        <v>666.66666666666663</v>
      </c>
      <c r="R4264" s="278">
        <v>666.66666666666663</v>
      </c>
      <c r="S4264" s="278">
        <v>666.66666666666663</v>
      </c>
      <c r="T4264" s="278">
        <v>666.66666666666663</v>
      </c>
      <c r="U4264" s="278">
        <v>666.66666666666663</v>
      </c>
      <c r="V4264" s="278">
        <v>666.66666666666663</v>
      </c>
      <c r="W4264" s="278">
        <v>666.66666666666663</v>
      </c>
      <c r="X4264" s="278">
        <v>666.66666666666663</v>
      </c>
      <c r="Y4264" s="278">
        <v>666.66666666666663</v>
      </c>
      <c r="Z4264" s="278">
        <v>666.66666666666663</v>
      </c>
      <c r="AA4264" s="278">
        <v>666.66666666666663</v>
      </c>
      <c r="AB4264" s="278">
        <v>666.66666666666663</v>
      </c>
      <c r="AC4264" s="278">
        <f>+SUM(Q4264:AB4264)</f>
        <v>8000.0000000000009</v>
      </c>
    </row>
    <row r="4265" spans="1:29" x14ac:dyDescent="0.2">
      <c r="A4265" s="179"/>
      <c r="B4265" s="2439"/>
      <c r="C4265" s="2421"/>
      <c r="D4265" s="2421"/>
      <c r="E4265" s="2421"/>
      <c r="F4265" s="2421"/>
      <c r="G4265" s="2421"/>
      <c r="H4265" s="2421"/>
      <c r="I4265" s="2421"/>
      <c r="J4265" s="3483"/>
      <c r="K4265" s="3483"/>
      <c r="L4265" s="1">
        <v>7766</v>
      </c>
      <c r="M4265" s="1"/>
      <c r="N4265" s="3492"/>
      <c r="O4265" s="1115">
        <v>231821</v>
      </c>
      <c r="P4265" s="913" t="s">
        <v>1566</v>
      </c>
      <c r="Q4265" s="278">
        <v>647.16666666666663</v>
      </c>
      <c r="R4265" s="278">
        <v>647.16666666666663</v>
      </c>
      <c r="S4265" s="278">
        <v>647.16666666666663</v>
      </c>
      <c r="T4265" s="278">
        <v>647.16666666666663</v>
      </c>
      <c r="U4265" s="278">
        <v>647.16666666666663</v>
      </c>
      <c r="V4265" s="278">
        <v>647.16666666666663</v>
      </c>
      <c r="W4265" s="278">
        <v>647.16666666666663</v>
      </c>
      <c r="X4265" s="278">
        <v>647.16666666666663</v>
      </c>
      <c r="Y4265" s="278">
        <v>647.16666666666663</v>
      </c>
      <c r="Z4265" s="278">
        <v>647.16666666666663</v>
      </c>
      <c r="AA4265" s="278">
        <v>647.16666666666663</v>
      </c>
      <c r="AB4265" s="278">
        <v>647.16666666666663</v>
      </c>
      <c r="AC4265" s="278">
        <f>+SUM(Q4265:AB4265)</f>
        <v>7766.0000000000009</v>
      </c>
    </row>
    <row r="4266" spans="1:29" s="289" customFormat="1" x14ac:dyDescent="0.2">
      <c r="A4266" s="540"/>
      <c r="B4266" s="3474" t="s">
        <v>312</v>
      </c>
      <c r="C4266" s="3475"/>
      <c r="D4266" s="3475"/>
      <c r="E4266" s="3475"/>
      <c r="F4266" s="3475"/>
      <c r="G4266" s="3475"/>
      <c r="H4266" s="3475"/>
      <c r="I4266" s="3475"/>
      <c r="J4266" s="3475"/>
      <c r="K4266" s="3475"/>
      <c r="L4266" s="284">
        <f>+SUM(L4263:L4265)</f>
        <v>7766</v>
      </c>
      <c r="M4266" s="284">
        <f>+SUM(M4263:M4265)</f>
        <v>9000</v>
      </c>
      <c r="N4266" s="285"/>
      <c r="O4266" s="1148"/>
      <c r="P4266" s="286"/>
      <c r="Q4266" s="287"/>
      <c r="R4266" s="288"/>
      <c r="S4266" s="287"/>
      <c r="T4266" s="288"/>
      <c r="U4266" s="287"/>
      <c r="V4266" s="288"/>
      <c r="W4266" s="287"/>
      <c r="X4266" s="288"/>
      <c r="Y4266" s="287"/>
      <c r="Z4266" s="288"/>
      <c r="AA4266" s="287"/>
      <c r="AB4266" s="288"/>
      <c r="AC4266" s="287"/>
    </row>
    <row r="4267" spans="1:29" x14ac:dyDescent="0.2">
      <c r="A4267" s="179"/>
      <c r="B4267" s="2999" t="s">
        <v>20</v>
      </c>
      <c r="C4267" s="2847" t="s">
        <v>21</v>
      </c>
      <c r="D4267" s="2847" t="s">
        <v>22</v>
      </c>
      <c r="E4267" s="2847" t="s">
        <v>23</v>
      </c>
      <c r="F4267" s="2847" t="s">
        <v>24</v>
      </c>
      <c r="G4267" s="2847" t="s">
        <v>25</v>
      </c>
      <c r="H4267" s="2847" t="s">
        <v>26</v>
      </c>
      <c r="I4267" s="2847" t="s">
        <v>27</v>
      </c>
      <c r="J4267" s="2986" t="s">
        <v>28</v>
      </c>
      <c r="K4267" s="2987"/>
      <c r="L4267" s="2986" t="s">
        <v>1628</v>
      </c>
      <c r="M4267" s="2987"/>
      <c r="N4267" s="2988" t="s">
        <v>29</v>
      </c>
      <c r="O4267" s="2986" t="s">
        <v>30</v>
      </c>
      <c r="P4267" s="2987"/>
      <c r="Q4267" s="3489" t="s">
        <v>31</v>
      </c>
      <c r="R4267" s="3490"/>
      <c r="S4267" s="3490"/>
      <c r="T4267" s="3490"/>
      <c r="U4267" s="3490"/>
      <c r="V4267" s="3490"/>
      <c r="W4267" s="3490"/>
      <c r="X4267" s="3490"/>
      <c r="Y4267" s="3490"/>
      <c r="Z4267" s="3490"/>
      <c r="AA4267" s="3490"/>
      <c r="AB4267" s="3491"/>
      <c r="AC4267" s="3502" t="s">
        <v>32</v>
      </c>
    </row>
    <row r="4268" spans="1:29" x14ac:dyDescent="0.2">
      <c r="A4268" s="179"/>
      <c r="B4268" s="2999"/>
      <c r="C4268" s="2847"/>
      <c r="D4268" s="2847"/>
      <c r="E4268" s="2847"/>
      <c r="F4268" s="2847"/>
      <c r="G4268" s="2847"/>
      <c r="H4268" s="2847"/>
      <c r="I4268" s="2847"/>
      <c r="J4268" s="1017" t="s">
        <v>33</v>
      </c>
      <c r="K4268" s="1017" t="s">
        <v>34</v>
      </c>
      <c r="L4268" s="306" t="s">
        <v>1513</v>
      </c>
      <c r="M4268" s="306" t="s">
        <v>1514</v>
      </c>
      <c r="N4268" s="2989"/>
      <c r="O4268" s="3000"/>
      <c r="P4268" s="3001"/>
      <c r="Q4268" s="1111" t="s">
        <v>35</v>
      </c>
      <c r="R4268" s="1111" t="s">
        <v>36</v>
      </c>
      <c r="S4268" s="1111" t="s">
        <v>37</v>
      </c>
      <c r="T4268" s="1111" t="s">
        <v>38</v>
      </c>
      <c r="U4268" s="1111" t="s">
        <v>39</v>
      </c>
      <c r="V4268" s="1111" t="s">
        <v>40</v>
      </c>
      <c r="W4268" s="1111" t="s">
        <v>41</v>
      </c>
      <c r="X4268" s="1111" t="s">
        <v>42</v>
      </c>
      <c r="Y4268" s="1111" t="s">
        <v>43</v>
      </c>
      <c r="Z4268" s="1111" t="s">
        <v>44</v>
      </c>
      <c r="AA4268" s="1111" t="s">
        <v>45</v>
      </c>
      <c r="AB4268" s="1111" t="s">
        <v>46</v>
      </c>
      <c r="AC4268" s="3503"/>
    </row>
    <row r="4269" spans="1:29" x14ac:dyDescent="0.2">
      <c r="A4269" s="179"/>
      <c r="B4269" s="3190" t="s">
        <v>1741</v>
      </c>
      <c r="C4269" s="2431" t="s">
        <v>1742</v>
      </c>
      <c r="D4269" s="2431"/>
      <c r="E4269" s="2431" t="s">
        <v>1517</v>
      </c>
      <c r="F4269" s="2431" t="s">
        <v>1630</v>
      </c>
      <c r="G4269" s="2431" t="s">
        <v>1743</v>
      </c>
      <c r="H4269" s="2431"/>
      <c r="I4269" s="2431" t="s">
        <v>1640</v>
      </c>
      <c r="J4269" s="3199">
        <v>1</v>
      </c>
      <c r="K4269" s="3500">
        <f>+AC4270</f>
        <v>100000</v>
      </c>
      <c r="L4269" s="1"/>
      <c r="M4269" s="1111"/>
      <c r="N4269" s="3500" t="s">
        <v>1632</v>
      </c>
      <c r="O4269" s="1111" t="s">
        <v>51</v>
      </c>
      <c r="P4269" s="1111"/>
      <c r="Q4269" s="1111">
        <v>0</v>
      </c>
      <c r="R4269" s="1111">
        <v>0</v>
      </c>
      <c r="S4269" s="1111">
        <v>0</v>
      </c>
      <c r="T4269" s="1111">
        <v>0</v>
      </c>
      <c r="U4269" s="1111">
        <v>0</v>
      </c>
      <c r="V4269" s="1111"/>
      <c r="W4269" s="1111">
        <v>0</v>
      </c>
      <c r="X4269" s="1111">
        <v>0</v>
      </c>
      <c r="Y4269" s="1111">
        <v>0</v>
      </c>
      <c r="Z4269" s="1111">
        <v>0</v>
      </c>
      <c r="AA4269" s="1111">
        <v>0</v>
      </c>
      <c r="AB4269" s="1111">
        <v>1</v>
      </c>
      <c r="AC4269" s="1111">
        <f>SUM(Q4269:AB4269)</f>
        <v>1</v>
      </c>
    </row>
    <row r="4270" spans="1:29" x14ac:dyDescent="0.2">
      <c r="A4270" s="179"/>
      <c r="B4270" s="3191"/>
      <c r="C4270" s="2432"/>
      <c r="D4270" s="2432"/>
      <c r="E4270" s="2432"/>
      <c r="F4270" s="2432"/>
      <c r="G4270" s="2432"/>
      <c r="H4270" s="2432"/>
      <c r="I4270" s="2432"/>
      <c r="J4270" s="3200"/>
      <c r="K4270" s="3200"/>
      <c r="L4270" s="1"/>
      <c r="M4270" s="1"/>
      <c r="N4270" s="3501"/>
      <c r="O4270" s="2840" t="s">
        <v>1340</v>
      </c>
      <c r="P4270" s="2840"/>
      <c r="Q4270" s="274">
        <f>SUM(Q4272)</f>
        <v>0</v>
      </c>
      <c r="R4270" s="274">
        <f t="shared" ref="R4270:AB4270" si="683">SUM(R4272)</f>
        <v>0</v>
      </c>
      <c r="S4270" s="274">
        <f t="shared" si="683"/>
        <v>10000</v>
      </c>
      <c r="T4270" s="274">
        <f t="shared" si="683"/>
        <v>10000</v>
      </c>
      <c r="U4270" s="274">
        <f t="shared" si="683"/>
        <v>10000</v>
      </c>
      <c r="V4270" s="274">
        <f t="shared" si="683"/>
        <v>10000</v>
      </c>
      <c r="W4270" s="274">
        <f t="shared" si="683"/>
        <v>10000</v>
      </c>
      <c r="X4270" s="274">
        <f t="shared" si="683"/>
        <v>10000</v>
      </c>
      <c r="Y4270" s="274">
        <f t="shared" si="683"/>
        <v>10000</v>
      </c>
      <c r="Z4270" s="274">
        <f t="shared" si="683"/>
        <v>10000</v>
      </c>
      <c r="AA4270" s="274">
        <f t="shared" si="683"/>
        <v>10000</v>
      </c>
      <c r="AB4270" s="274">
        <f t="shared" si="683"/>
        <v>10000</v>
      </c>
      <c r="AC4270" s="274">
        <f>SUM(Q4270:AB4270)</f>
        <v>100000</v>
      </c>
    </row>
    <row r="4271" spans="1:29" ht="22.5" x14ac:dyDescent="0.2">
      <c r="A4271" s="179"/>
      <c r="B4271" s="3191"/>
      <c r="C4271" s="2432"/>
      <c r="D4271" s="2432"/>
      <c r="E4271" s="2432"/>
      <c r="F4271" s="2432"/>
      <c r="G4271" s="2432"/>
      <c r="H4271" s="2432"/>
      <c r="I4271" s="2432"/>
      <c r="J4271" s="3200"/>
      <c r="K4271" s="3200"/>
      <c r="L4271" s="1">
        <v>10000</v>
      </c>
      <c r="M4271" s="1"/>
      <c r="N4271" s="3501"/>
      <c r="O4271" s="1090">
        <v>2311114</v>
      </c>
      <c r="P4271" s="1018" t="s">
        <v>1548</v>
      </c>
      <c r="Q4271" s="278"/>
      <c r="R4271" s="278"/>
      <c r="S4271" s="278"/>
      <c r="T4271" s="278"/>
      <c r="U4271" s="278"/>
      <c r="V4271" s="278"/>
      <c r="W4271" s="278"/>
      <c r="X4271" s="278"/>
      <c r="Y4271" s="278"/>
      <c r="Z4271" s="278"/>
      <c r="AA4271" s="278"/>
      <c r="AB4271" s="278"/>
      <c r="AC4271" s="274"/>
    </row>
    <row r="4272" spans="1:29" x14ac:dyDescent="0.2">
      <c r="A4272" s="179"/>
      <c r="B4272" s="2439"/>
      <c r="C4272" s="2437"/>
      <c r="D4272" s="2437"/>
      <c r="E4272" s="2437"/>
      <c r="F4272" s="2437"/>
      <c r="G4272" s="2437"/>
      <c r="H4272" s="2437"/>
      <c r="I4272" s="2437"/>
      <c r="J4272" s="3201"/>
      <c r="K4272" s="3201"/>
      <c r="L4272" s="1">
        <v>100000</v>
      </c>
      <c r="M4272" s="1"/>
      <c r="N4272" s="3492"/>
      <c r="O4272" s="1090">
        <v>232411</v>
      </c>
      <c r="P4272" s="913" t="s">
        <v>1295</v>
      </c>
      <c r="Q4272" s="278"/>
      <c r="R4272" s="278"/>
      <c r="S4272" s="278">
        <v>10000</v>
      </c>
      <c r="T4272" s="278">
        <v>10000</v>
      </c>
      <c r="U4272" s="278">
        <v>10000</v>
      </c>
      <c r="V4272" s="278">
        <v>10000</v>
      </c>
      <c r="W4272" s="278">
        <v>10000</v>
      </c>
      <c r="X4272" s="278">
        <v>10000</v>
      </c>
      <c r="Y4272" s="278">
        <v>10000</v>
      </c>
      <c r="Z4272" s="278">
        <v>10000</v>
      </c>
      <c r="AA4272" s="278">
        <v>10000</v>
      </c>
      <c r="AB4272" s="278">
        <v>10000</v>
      </c>
      <c r="AC4272" s="278">
        <f>+SUM(Q4272:AB4272)</f>
        <v>100000</v>
      </c>
    </row>
    <row r="4273" spans="1:33" s="289" customFormat="1" x14ac:dyDescent="0.2">
      <c r="A4273" s="543"/>
      <c r="B4273" s="3474" t="s">
        <v>312</v>
      </c>
      <c r="C4273" s="3475"/>
      <c r="D4273" s="3475"/>
      <c r="E4273" s="3475"/>
      <c r="F4273" s="3475"/>
      <c r="G4273" s="3475"/>
      <c r="H4273" s="3475"/>
      <c r="I4273" s="3475"/>
      <c r="J4273" s="3475"/>
      <c r="K4273" s="3475"/>
      <c r="L4273" s="284">
        <f>+SUM(L4271:L4272)</f>
        <v>110000</v>
      </c>
      <c r="M4273" s="284">
        <f>+SUM(M4271:M4272)</f>
        <v>0</v>
      </c>
      <c r="N4273" s="285"/>
      <c r="O4273" s="1148"/>
      <c r="P4273" s="286"/>
      <c r="Q4273" s="287"/>
      <c r="R4273" s="288"/>
      <c r="S4273" s="287"/>
      <c r="T4273" s="288"/>
      <c r="U4273" s="287"/>
      <c r="V4273" s="288"/>
      <c r="W4273" s="287"/>
      <c r="X4273" s="288"/>
      <c r="Y4273" s="287"/>
      <c r="Z4273" s="288"/>
      <c r="AA4273" s="287"/>
      <c r="AB4273" s="288"/>
      <c r="AC4273" s="287"/>
    </row>
    <row r="4274" spans="1:33" x14ac:dyDescent="0.2">
      <c r="L4274" s="770"/>
      <c r="M4274" s="770"/>
      <c r="N4274" s="770"/>
      <c r="AD4274" s="571"/>
      <c r="AE4274" s="571"/>
      <c r="AF4274" s="571"/>
      <c r="AG4274" s="571"/>
    </row>
    <row r="4275" spans="1:33" ht="22.5" x14ac:dyDescent="0.2">
      <c r="B4275" s="950" t="s">
        <v>6</v>
      </c>
      <c r="C4275" s="2974" t="s">
        <v>1510</v>
      </c>
      <c r="D4275" s="2975"/>
      <c r="E4275" s="2975"/>
      <c r="F4275" s="2975"/>
      <c r="G4275" s="2975"/>
      <c r="H4275" s="2975"/>
      <c r="I4275" s="2975"/>
      <c r="J4275" s="2975"/>
      <c r="K4275" s="2975"/>
      <c r="L4275" s="2975"/>
      <c r="M4275" s="474"/>
      <c r="N4275" s="456"/>
      <c r="O4275" s="474"/>
      <c r="P4275" s="474"/>
      <c r="Q4275" s="43"/>
      <c r="R4275" s="43"/>
      <c r="S4275" s="43"/>
      <c r="T4275" s="43"/>
      <c r="U4275" s="43"/>
      <c r="V4275" s="474"/>
      <c r="W4275" s="474"/>
      <c r="X4275" s="474"/>
      <c r="Y4275" s="474"/>
      <c r="Z4275" s="474"/>
      <c r="AA4275" s="103"/>
    </row>
    <row r="4276" spans="1:33" ht="25.5" x14ac:dyDescent="0.2">
      <c r="B4276" s="2110" t="s">
        <v>8</v>
      </c>
      <c r="C4276" s="3504" t="s">
        <v>1744</v>
      </c>
      <c r="D4276" s="3505"/>
      <c r="E4276" s="3505"/>
      <c r="F4276" s="3505"/>
      <c r="G4276" s="3505"/>
      <c r="H4276" s="3505"/>
      <c r="I4276" s="3505"/>
      <c r="J4276" s="3505"/>
      <c r="K4276" s="3505"/>
      <c r="L4276" s="3505"/>
      <c r="M4276" s="3505"/>
      <c r="N4276" s="3505"/>
      <c r="O4276" s="3505"/>
      <c r="P4276" s="3505"/>
      <c r="Q4276" s="3505"/>
      <c r="R4276" s="3505"/>
      <c r="S4276" s="3505"/>
      <c r="T4276" s="3505"/>
      <c r="U4276" s="3505"/>
      <c r="V4276" s="3505"/>
      <c r="W4276" s="3505"/>
      <c r="X4276" s="3505"/>
      <c r="Y4276" s="3505"/>
      <c r="Z4276" s="3505"/>
      <c r="AA4276" s="3506"/>
    </row>
    <row r="4277" spans="1:33" ht="22.5" x14ac:dyDescent="0.2">
      <c r="B4277" s="950" t="s">
        <v>11</v>
      </c>
      <c r="C4277" s="472" t="s">
        <v>230</v>
      </c>
      <c r="D4277" s="20"/>
      <c r="E4277" s="20"/>
      <c r="F4277" s="20"/>
      <c r="G4277" s="20"/>
      <c r="H4277" s="20"/>
      <c r="I4277" s="20"/>
      <c r="J4277" s="20"/>
      <c r="K4277" s="297"/>
      <c r="L4277" s="20"/>
      <c r="M4277" s="20"/>
      <c r="N4277" s="473"/>
      <c r="O4277" s="20"/>
      <c r="P4277" s="20"/>
      <c r="Q4277" s="43"/>
      <c r="R4277" s="43"/>
      <c r="S4277" s="43"/>
      <c r="T4277" s="43"/>
      <c r="U4277" s="43"/>
      <c r="V4277" s="20"/>
      <c r="W4277" s="20"/>
      <c r="X4277" s="20"/>
      <c r="Y4277" s="20"/>
      <c r="Z4277" s="20"/>
      <c r="AA4277" s="21"/>
    </row>
    <row r="4278" spans="1:33" x14ac:dyDescent="0.2">
      <c r="B4278" s="2913" t="s">
        <v>13</v>
      </c>
      <c r="C4278" s="2993">
        <v>9001</v>
      </c>
      <c r="D4278" s="3139" t="s">
        <v>160</v>
      </c>
      <c r="E4278" s="3139"/>
      <c r="F4278" s="28"/>
      <c r="G4278" s="28"/>
      <c r="H4278" s="28"/>
      <c r="I4278" s="28"/>
      <c r="J4278" s="28"/>
      <c r="K4278" s="298"/>
      <c r="L4278" s="28"/>
      <c r="M4278" s="28"/>
      <c r="N4278" s="463"/>
      <c r="O4278" s="28"/>
      <c r="P4278" s="28"/>
      <c r="Q4278" s="544"/>
      <c r="R4278" s="544"/>
      <c r="S4278" s="544"/>
      <c r="T4278" s="544"/>
      <c r="U4278" s="544"/>
      <c r="V4278" s="2922" t="s">
        <v>15</v>
      </c>
      <c r="W4278" s="2922"/>
      <c r="X4278" s="2922"/>
      <c r="Y4278" s="2922"/>
      <c r="Z4278" s="2974" t="s">
        <v>16</v>
      </c>
      <c r="AA4278" s="2976"/>
    </row>
    <row r="4279" spans="1:33" x14ac:dyDescent="0.2">
      <c r="B4279" s="2913"/>
      <c r="C4279" s="2915"/>
      <c r="D4279" s="3139"/>
      <c r="E4279" s="3139"/>
      <c r="F4279" s="84"/>
      <c r="G4279" s="84"/>
      <c r="H4279" s="84"/>
      <c r="I4279" s="84"/>
      <c r="J4279" s="84"/>
      <c r="K4279" s="299"/>
      <c r="L4279" s="84"/>
      <c r="M4279" s="84"/>
      <c r="N4279" s="460"/>
      <c r="O4279" s="84"/>
      <c r="P4279" s="84"/>
      <c r="Q4279" s="545"/>
      <c r="R4279" s="545"/>
      <c r="S4279" s="545"/>
      <c r="T4279" s="545"/>
      <c r="U4279" s="545"/>
      <c r="V4279" s="3019" t="s">
        <v>1213</v>
      </c>
      <c r="W4279" s="3328"/>
      <c r="X4279" s="3328"/>
      <c r="Y4279" s="3020"/>
      <c r="Z4279" s="3019" t="s">
        <v>1213</v>
      </c>
      <c r="AA4279" s="3020"/>
    </row>
    <row r="4280" spans="1:33" x14ac:dyDescent="0.2">
      <c r="B4280" s="2913"/>
      <c r="C4280" s="2994"/>
      <c r="D4280" s="3139"/>
      <c r="E4280" s="3139"/>
      <c r="F4280" s="31"/>
      <c r="G4280" s="31"/>
      <c r="H4280" s="31"/>
      <c r="I4280" s="31"/>
      <c r="J4280" s="31"/>
      <c r="K4280" s="300"/>
      <c r="L4280" s="31"/>
      <c r="M4280" s="31"/>
      <c r="N4280" s="461"/>
      <c r="O4280" s="31"/>
      <c r="P4280" s="31"/>
      <c r="Q4280" s="546"/>
      <c r="R4280" s="546"/>
      <c r="S4280" s="546"/>
      <c r="T4280" s="546"/>
      <c r="U4280" s="546"/>
      <c r="V4280" s="3023"/>
      <c r="W4280" s="3337"/>
      <c r="X4280" s="3337"/>
      <c r="Y4280" s="3338"/>
      <c r="Z4280" s="3023"/>
      <c r="AA4280" s="3338"/>
    </row>
    <row r="4281" spans="1:33" x14ac:dyDescent="0.2">
      <c r="B4281" s="2913" t="s">
        <v>18</v>
      </c>
      <c r="C4281" s="2993">
        <v>3.9999989999999999</v>
      </c>
      <c r="D4281" s="2840" t="s">
        <v>163</v>
      </c>
      <c r="E4281" s="2840"/>
      <c r="F4281" s="244"/>
      <c r="G4281" s="244"/>
      <c r="H4281" s="244"/>
      <c r="I4281" s="244"/>
      <c r="J4281" s="244"/>
      <c r="K4281" s="302"/>
      <c r="L4281" s="244"/>
      <c r="M4281" s="244"/>
      <c r="N4281" s="245"/>
      <c r="O4281" s="244"/>
      <c r="P4281" s="244"/>
      <c r="Q4281" s="28"/>
      <c r="R4281" s="28"/>
      <c r="S4281" s="28"/>
      <c r="T4281" s="28"/>
      <c r="U4281" s="29"/>
      <c r="V4281" s="2840" t="s">
        <v>15</v>
      </c>
      <c r="W4281" s="2840"/>
      <c r="X4281" s="2840"/>
      <c r="Y4281" s="2840"/>
      <c r="Z4281" s="2922" t="s">
        <v>16</v>
      </c>
      <c r="AA4281" s="2922"/>
    </row>
    <row r="4282" spans="1:33" x14ac:dyDescent="0.2">
      <c r="B4282" s="2913"/>
      <c r="C4282" s="2994"/>
      <c r="D4282" s="2840"/>
      <c r="E4282" s="2840"/>
      <c r="F4282" s="248"/>
      <c r="G4282" s="248"/>
      <c r="H4282" s="248"/>
      <c r="I4282" s="248"/>
      <c r="J4282" s="248"/>
      <c r="K4282" s="303"/>
      <c r="L4282" s="248"/>
      <c r="M4282" s="248"/>
      <c r="N4282" s="249"/>
      <c r="O4282" s="248"/>
      <c r="P4282" s="248"/>
      <c r="Q4282" s="31"/>
      <c r="R4282" s="31"/>
      <c r="S4282" s="31"/>
      <c r="T4282" s="31"/>
      <c r="U4282" s="22"/>
      <c r="V4282" s="2671" t="s">
        <v>1213</v>
      </c>
      <c r="W4282" s="2672"/>
      <c r="X4282" s="2672"/>
      <c r="Y4282" s="3002"/>
      <c r="Z4282" s="2922" t="s">
        <v>1213</v>
      </c>
      <c r="AA4282" s="2922"/>
    </row>
    <row r="4283" spans="1:33" x14ac:dyDescent="0.2">
      <c r="B4283" s="3516" t="s">
        <v>20</v>
      </c>
      <c r="C4283" s="2847" t="s">
        <v>21</v>
      </c>
      <c r="D4283" s="2847" t="s">
        <v>22</v>
      </c>
      <c r="E4283" s="2847" t="s">
        <v>23</v>
      </c>
      <c r="F4283" s="2847" t="s">
        <v>164</v>
      </c>
      <c r="G4283" s="2847" t="s">
        <v>25</v>
      </c>
      <c r="H4283" s="2847" t="s">
        <v>26</v>
      </c>
      <c r="I4283" s="2847" t="s">
        <v>27</v>
      </c>
      <c r="J4283" s="2986" t="s">
        <v>28</v>
      </c>
      <c r="K4283" s="2987"/>
      <c r="L4283" s="2847" t="s">
        <v>29</v>
      </c>
      <c r="M4283" s="2986" t="s">
        <v>30</v>
      </c>
      <c r="N4283" s="2987"/>
      <c r="O4283" s="2990" t="s">
        <v>31</v>
      </c>
      <c r="P4283" s="2991"/>
      <c r="Q4283" s="2991"/>
      <c r="R4283" s="2991"/>
      <c r="S4283" s="2991"/>
      <c r="T4283" s="2991"/>
      <c r="U4283" s="2991"/>
      <c r="V4283" s="2991"/>
      <c r="W4283" s="2991"/>
      <c r="X4283" s="2991"/>
      <c r="Y4283" s="2991"/>
      <c r="Z4283" s="2992"/>
      <c r="AA4283" s="2916" t="s">
        <v>32</v>
      </c>
    </row>
    <row r="4284" spans="1:33" x14ac:dyDescent="0.2">
      <c r="B4284" s="3516"/>
      <c r="C4284" s="2847"/>
      <c r="D4284" s="2847"/>
      <c r="E4284" s="2847"/>
      <c r="F4284" s="2847"/>
      <c r="G4284" s="2847"/>
      <c r="H4284" s="2847"/>
      <c r="I4284" s="2847"/>
      <c r="J4284" s="455" t="s">
        <v>33</v>
      </c>
      <c r="K4284" s="304" t="s">
        <v>34</v>
      </c>
      <c r="L4284" s="2847"/>
      <c r="M4284" s="3000"/>
      <c r="N4284" s="3001"/>
      <c r="O4284" s="471" t="s">
        <v>35</v>
      </c>
      <c r="P4284" s="471" t="s">
        <v>36</v>
      </c>
      <c r="Q4284" s="471" t="s">
        <v>37</v>
      </c>
      <c r="R4284" s="471" t="s">
        <v>38</v>
      </c>
      <c r="S4284" s="471" t="s">
        <v>39</v>
      </c>
      <c r="T4284" s="471" t="s">
        <v>40</v>
      </c>
      <c r="U4284" s="471" t="s">
        <v>41</v>
      </c>
      <c r="V4284" s="471" t="s">
        <v>42</v>
      </c>
      <c r="W4284" s="471" t="s">
        <v>43</v>
      </c>
      <c r="X4284" s="471" t="s">
        <v>44</v>
      </c>
      <c r="Y4284" s="471" t="s">
        <v>45</v>
      </c>
      <c r="Z4284" s="471" t="s">
        <v>46</v>
      </c>
      <c r="AA4284" s="2916"/>
    </row>
    <row r="4285" spans="1:33" x14ac:dyDescent="0.2">
      <c r="B4285" s="3507" t="s">
        <v>1615</v>
      </c>
      <c r="C4285" s="3383" t="s">
        <v>1745</v>
      </c>
      <c r="D4285" s="3383" t="s">
        <v>1746</v>
      </c>
      <c r="E4285" s="3510">
        <v>20</v>
      </c>
      <c r="F4285" s="3512" t="s">
        <v>165</v>
      </c>
      <c r="G4285" s="3512" t="s">
        <v>1617</v>
      </c>
      <c r="H4285" s="3383" t="s">
        <v>1352</v>
      </c>
      <c r="I4285" s="3383" t="s">
        <v>477</v>
      </c>
      <c r="J4285" s="3514">
        <v>12</v>
      </c>
      <c r="K4285" s="3520">
        <v>31980</v>
      </c>
      <c r="L4285" s="3383" t="s">
        <v>1744</v>
      </c>
      <c r="M4285" s="3518" t="s">
        <v>51</v>
      </c>
      <c r="N4285" s="3519"/>
      <c r="O4285" s="325">
        <v>1</v>
      </c>
      <c r="P4285" s="325">
        <v>1</v>
      </c>
      <c r="Q4285" s="325">
        <v>1</v>
      </c>
      <c r="R4285" s="325">
        <v>1</v>
      </c>
      <c r="S4285" s="325">
        <v>1</v>
      </c>
      <c r="T4285" s="325">
        <v>1</v>
      </c>
      <c r="U4285" s="325">
        <v>1</v>
      </c>
      <c r="V4285" s="325">
        <v>1</v>
      </c>
      <c r="W4285" s="325">
        <v>1</v>
      </c>
      <c r="X4285" s="325">
        <v>1</v>
      </c>
      <c r="Y4285" s="325">
        <v>1</v>
      </c>
      <c r="Z4285" s="325">
        <v>1</v>
      </c>
      <c r="AA4285" s="2238">
        <f t="shared" ref="AA4285:AA4316" si="684">SUM(O4285:Z4285)</f>
        <v>12</v>
      </c>
    </row>
    <row r="4286" spans="1:33" x14ac:dyDescent="0.2">
      <c r="B4286" s="3508"/>
      <c r="C4286" s="3391"/>
      <c r="D4286" s="3391"/>
      <c r="E4286" s="3511"/>
      <c r="F4286" s="3513"/>
      <c r="G4286" s="3513"/>
      <c r="H4286" s="3391"/>
      <c r="I4286" s="3391"/>
      <c r="J4286" s="3515"/>
      <c r="K4286" s="3521"/>
      <c r="L4286" s="3391"/>
      <c r="M4286" s="3518" t="s">
        <v>111</v>
      </c>
      <c r="N4286" s="3519"/>
      <c r="O4286" s="326">
        <f t="shared" ref="O4286:Z4286" si="685">+O4287</f>
        <v>2665</v>
      </c>
      <c r="P4286" s="326">
        <f t="shared" si="685"/>
        <v>2665</v>
      </c>
      <c r="Q4286" s="326">
        <f t="shared" si="685"/>
        <v>2665</v>
      </c>
      <c r="R4286" s="326">
        <f t="shared" si="685"/>
        <v>2665</v>
      </c>
      <c r="S4286" s="326">
        <f t="shared" si="685"/>
        <v>2665</v>
      </c>
      <c r="T4286" s="326">
        <f t="shared" si="685"/>
        <v>2665</v>
      </c>
      <c r="U4286" s="326">
        <f t="shared" si="685"/>
        <v>2665</v>
      </c>
      <c r="V4286" s="326">
        <f t="shared" si="685"/>
        <v>2665</v>
      </c>
      <c r="W4286" s="326">
        <f t="shared" si="685"/>
        <v>2665</v>
      </c>
      <c r="X4286" s="326">
        <f t="shared" si="685"/>
        <v>2665</v>
      </c>
      <c r="Y4286" s="326">
        <f t="shared" si="685"/>
        <v>2665</v>
      </c>
      <c r="Z4286" s="326">
        <f t="shared" si="685"/>
        <v>2665</v>
      </c>
      <c r="AA4286" s="2239">
        <f t="shared" si="684"/>
        <v>31980</v>
      </c>
    </row>
    <row r="4287" spans="1:33" ht="45" x14ac:dyDescent="0.2">
      <c r="B4287" s="3509"/>
      <c r="C4287" s="3391"/>
      <c r="D4287" s="3391"/>
      <c r="E4287" s="3511"/>
      <c r="F4287" s="3513"/>
      <c r="G4287" s="3513"/>
      <c r="H4287" s="3391"/>
      <c r="I4287" s="3391"/>
      <c r="J4287" s="3515"/>
      <c r="K4287" s="3521"/>
      <c r="L4287" s="3391"/>
      <c r="M4287" s="894" t="s">
        <v>1747</v>
      </c>
      <c r="N4287" s="894" t="s">
        <v>1748</v>
      </c>
      <c r="O4287" s="326">
        <v>2665</v>
      </c>
      <c r="P4287" s="326">
        <v>2665</v>
      </c>
      <c r="Q4287" s="326">
        <v>2665</v>
      </c>
      <c r="R4287" s="326">
        <v>2665</v>
      </c>
      <c r="S4287" s="326">
        <v>2665</v>
      </c>
      <c r="T4287" s="326">
        <v>2665</v>
      </c>
      <c r="U4287" s="326">
        <v>2665</v>
      </c>
      <c r="V4287" s="326">
        <v>2665</v>
      </c>
      <c r="W4287" s="326">
        <v>2665</v>
      </c>
      <c r="X4287" s="326">
        <v>2665</v>
      </c>
      <c r="Y4287" s="326">
        <v>2665</v>
      </c>
      <c r="Z4287" s="326">
        <v>2665</v>
      </c>
      <c r="AA4287" s="2239">
        <f t="shared" si="684"/>
        <v>31980</v>
      </c>
    </row>
    <row r="4288" spans="1:33" x14ac:dyDescent="0.2">
      <c r="B4288" s="2941"/>
      <c r="C4288" s="3370" t="s">
        <v>1749</v>
      </c>
      <c r="D4288" s="3190" t="s">
        <v>1746</v>
      </c>
      <c r="E4288" s="3370">
        <v>20</v>
      </c>
      <c r="F4288" s="3370" t="s">
        <v>165</v>
      </c>
      <c r="G4288" s="3483" t="s">
        <v>1617</v>
      </c>
      <c r="H4288" s="2431" t="s">
        <v>1750</v>
      </c>
      <c r="I4288" s="3517" t="s">
        <v>1302</v>
      </c>
      <c r="J4288" s="3370">
        <v>120</v>
      </c>
      <c r="K4288" s="3497">
        <f>+AA4289</f>
        <v>57600</v>
      </c>
      <c r="L4288" s="3190" t="s">
        <v>1744</v>
      </c>
      <c r="M4288" s="3518" t="s">
        <v>51</v>
      </c>
      <c r="N4288" s="3519"/>
      <c r="O4288" s="490">
        <v>10</v>
      </c>
      <c r="P4288" s="490">
        <v>10</v>
      </c>
      <c r="Q4288" s="490">
        <v>10</v>
      </c>
      <c r="R4288" s="490">
        <v>10</v>
      </c>
      <c r="S4288" s="490">
        <v>10</v>
      </c>
      <c r="T4288" s="490">
        <v>10</v>
      </c>
      <c r="U4288" s="490">
        <v>10</v>
      </c>
      <c r="V4288" s="490">
        <v>10</v>
      </c>
      <c r="W4288" s="490">
        <v>10</v>
      </c>
      <c r="X4288" s="490">
        <v>10</v>
      </c>
      <c r="Y4288" s="490">
        <v>10</v>
      </c>
      <c r="Z4288" s="490">
        <v>10</v>
      </c>
      <c r="AA4288" s="373">
        <f t="shared" si="684"/>
        <v>120</v>
      </c>
    </row>
    <row r="4289" spans="2:27" x14ac:dyDescent="0.2">
      <c r="B4289" s="2941"/>
      <c r="C4289" s="3370"/>
      <c r="D4289" s="3191"/>
      <c r="E4289" s="3370"/>
      <c r="F4289" s="3370"/>
      <c r="G4289" s="3483"/>
      <c r="H4289" s="2432"/>
      <c r="I4289" s="3517"/>
      <c r="J4289" s="3370"/>
      <c r="K4289" s="3497"/>
      <c r="L4289" s="3191"/>
      <c r="M4289" s="3518" t="s">
        <v>111</v>
      </c>
      <c r="N4289" s="3519"/>
      <c r="O4289" s="490">
        <f t="shared" ref="O4289:Z4289" si="686">+O4290</f>
        <v>4800</v>
      </c>
      <c r="P4289" s="490">
        <f t="shared" si="686"/>
        <v>4800</v>
      </c>
      <c r="Q4289" s="490">
        <f t="shared" si="686"/>
        <v>4800</v>
      </c>
      <c r="R4289" s="490">
        <f t="shared" si="686"/>
        <v>4800</v>
      </c>
      <c r="S4289" s="490">
        <f t="shared" si="686"/>
        <v>4800</v>
      </c>
      <c r="T4289" s="490">
        <f t="shared" si="686"/>
        <v>4800</v>
      </c>
      <c r="U4289" s="490">
        <f t="shared" si="686"/>
        <v>4800</v>
      </c>
      <c r="V4289" s="490">
        <f t="shared" si="686"/>
        <v>4800</v>
      </c>
      <c r="W4289" s="490">
        <f t="shared" si="686"/>
        <v>4800</v>
      </c>
      <c r="X4289" s="490">
        <f t="shared" si="686"/>
        <v>4800</v>
      </c>
      <c r="Y4289" s="490">
        <f t="shared" si="686"/>
        <v>4800</v>
      </c>
      <c r="Z4289" s="490">
        <f t="shared" si="686"/>
        <v>4800</v>
      </c>
      <c r="AA4289" s="373">
        <f t="shared" si="684"/>
        <v>57600</v>
      </c>
    </row>
    <row r="4290" spans="2:27" ht="33.75" x14ac:dyDescent="0.2">
      <c r="B4290" s="2941"/>
      <c r="C4290" s="3370"/>
      <c r="D4290" s="2439"/>
      <c r="E4290" s="3370"/>
      <c r="F4290" s="3370"/>
      <c r="G4290" s="3483"/>
      <c r="H4290" s="2437"/>
      <c r="I4290" s="3517"/>
      <c r="J4290" s="3370"/>
      <c r="K4290" s="3497"/>
      <c r="L4290" s="2439"/>
      <c r="M4290" s="328" t="s">
        <v>1094</v>
      </c>
      <c r="N4290" s="898" t="s">
        <v>1751</v>
      </c>
      <c r="O4290" s="490">
        <v>4800</v>
      </c>
      <c r="P4290" s="490">
        <v>4800</v>
      </c>
      <c r="Q4290" s="490">
        <v>4800</v>
      </c>
      <c r="R4290" s="490">
        <v>4800</v>
      </c>
      <c r="S4290" s="490">
        <v>4800</v>
      </c>
      <c r="T4290" s="490">
        <v>4800</v>
      </c>
      <c r="U4290" s="490">
        <v>4800</v>
      </c>
      <c r="V4290" s="490">
        <v>4800</v>
      </c>
      <c r="W4290" s="490">
        <v>4800</v>
      </c>
      <c r="X4290" s="490">
        <v>4800</v>
      </c>
      <c r="Y4290" s="490">
        <v>4800</v>
      </c>
      <c r="Z4290" s="490">
        <v>4800</v>
      </c>
      <c r="AA4290" s="373">
        <f t="shared" si="684"/>
        <v>57600</v>
      </c>
    </row>
    <row r="4291" spans="2:27" x14ac:dyDescent="0.2">
      <c r="B4291" s="2941"/>
      <c r="C4291" s="3370" t="s">
        <v>1749</v>
      </c>
      <c r="D4291" s="3190" t="s">
        <v>1746</v>
      </c>
      <c r="E4291" s="3370">
        <v>20</v>
      </c>
      <c r="F4291" s="3370" t="s">
        <v>165</v>
      </c>
      <c r="G4291" s="3483" t="s">
        <v>1617</v>
      </c>
      <c r="H4291" s="2431" t="s">
        <v>1750</v>
      </c>
      <c r="I4291" s="3517" t="s">
        <v>1302</v>
      </c>
      <c r="J4291" s="3370">
        <v>120</v>
      </c>
      <c r="K4291" s="3497">
        <f>+AA4292</f>
        <v>314580</v>
      </c>
      <c r="L4291" s="3190" t="s">
        <v>1744</v>
      </c>
      <c r="M4291" s="3518" t="s">
        <v>51</v>
      </c>
      <c r="N4291" s="3519"/>
      <c r="O4291" s="490">
        <v>10</v>
      </c>
      <c r="P4291" s="490">
        <v>10</v>
      </c>
      <c r="Q4291" s="490">
        <v>10</v>
      </c>
      <c r="R4291" s="490">
        <v>10</v>
      </c>
      <c r="S4291" s="490">
        <v>10</v>
      </c>
      <c r="T4291" s="490">
        <v>10</v>
      </c>
      <c r="U4291" s="490">
        <v>10</v>
      </c>
      <c r="V4291" s="490">
        <v>10</v>
      </c>
      <c r="W4291" s="490">
        <v>10</v>
      </c>
      <c r="X4291" s="490">
        <v>10</v>
      </c>
      <c r="Y4291" s="490">
        <v>10</v>
      </c>
      <c r="Z4291" s="490">
        <v>10</v>
      </c>
      <c r="AA4291" s="373">
        <f t="shared" si="684"/>
        <v>120</v>
      </c>
    </row>
    <row r="4292" spans="2:27" x14ac:dyDescent="0.2">
      <c r="B4292" s="2941"/>
      <c r="C4292" s="3370"/>
      <c r="D4292" s="3191"/>
      <c r="E4292" s="3370"/>
      <c r="F4292" s="3370"/>
      <c r="G4292" s="3483"/>
      <c r="H4292" s="2432"/>
      <c r="I4292" s="3517"/>
      <c r="J4292" s="3370"/>
      <c r="K4292" s="3497"/>
      <c r="L4292" s="3191"/>
      <c r="M4292" s="3518" t="s">
        <v>111</v>
      </c>
      <c r="N4292" s="3519"/>
      <c r="O4292" s="490">
        <v>26215</v>
      </c>
      <c r="P4292" s="490">
        <v>26215</v>
      </c>
      <c r="Q4292" s="490">
        <v>26215</v>
      </c>
      <c r="R4292" s="490">
        <v>26215</v>
      </c>
      <c r="S4292" s="490">
        <v>26215</v>
      </c>
      <c r="T4292" s="490">
        <v>26215</v>
      </c>
      <c r="U4292" s="490">
        <v>26215</v>
      </c>
      <c r="V4292" s="490">
        <v>26215</v>
      </c>
      <c r="W4292" s="490">
        <v>26215</v>
      </c>
      <c r="X4292" s="490">
        <v>26215</v>
      </c>
      <c r="Y4292" s="490">
        <v>26215</v>
      </c>
      <c r="Z4292" s="490">
        <v>26215</v>
      </c>
      <c r="AA4292" s="373">
        <f t="shared" si="684"/>
        <v>314580</v>
      </c>
    </row>
    <row r="4293" spans="2:27" ht="33.75" x14ac:dyDescent="0.2">
      <c r="B4293" s="2941"/>
      <c r="C4293" s="3370"/>
      <c r="D4293" s="2439"/>
      <c r="E4293" s="3370"/>
      <c r="F4293" s="3370"/>
      <c r="G4293" s="3483"/>
      <c r="H4293" s="2437"/>
      <c r="I4293" s="3517"/>
      <c r="J4293" s="3370"/>
      <c r="K4293" s="3497"/>
      <c r="L4293" s="2439"/>
      <c r="M4293" s="328" t="s">
        <v>171</v>
      </c>
      <c r="N4293" s="898" t="s">
        <v>1752</v>
      </c>
      <c r="O4293" s="490">
        <v>26215</v>
      </c>
      <c r="P4293" s="490">
        <v>26215</v>
      </c>
      <c r="Q4293" s="490">
        <v>26215</v>
      </c>
      <c r="R4293" s="490">
        <v>26215</v>
      </c>
      <c r="S4293" s="490">
        <v>26215</v>
      </c>
      <c r="T4293" s="490">
        <v>26215</v>
      </c>
      <c r="U4293" s="490">
        <v>26215</v>
      </c>
      <c r="V4293" s="490">
        <v>26215</v>
      </c>
      <c r="W4293" s="490">
        <v>26215</v>
      </c>
      <c r="X4293" s="490">
        <v>26215</v>
      </c>
      <c r="Y4293" s="490">
        <v>26215</v>
      </c>
      <c r="Z4293" s="490">
        <v>26215</v>
      </c>
      <c r="AA4293" s="373">
        <f t="shared" si="684"/>
        <v>314580</v>
      </c>
    </row>
    <row r="4294" spans="2:27" x14ac:dyDescent="0.2">
      <c r="B4294" s="3370"/>
      <c r="C4294" s="3190" t="s">
        <v>1746</v>
      </c>
      <c r="D4294" s="3190" t="s">
        <v>1746</v>
      </c>
      <c r="E4294" s="3370">
        <v>20</v>
      </c>
      <c r="F4294" s="3370" t="s">
        <v>165</v>
      </c>
      <c r="G4294" s="3483" t="s">
        <v>1617</v>
      </c>
      <c r="H4294" s="2431" t="s">
        <v>1750</v>
      </c>
      <c r="I4294" s="3517" t="s">
        <v>1302</v>
      </c>
      <c r="J4294" s="3370">
        <v>11</v>
      </c>
      <c r="K4294" s="3297">
        <f>+AA4295</f>
        <v>12000</v>
      </c>
      <c r="L4294" s="3190" t="s">
        <v>1744</v>
      </c>
      <c r="M4294" s="3518" t="s">
        <v>51</v>
      </c>
      <c r="N4294" s="3519"/>
      <c r="O4294" s="490">
        <v>11</v>
      </c>
      <c r="P4294" s="490"/>
      <c r="Q4294" s="490"/>
      <c r="R4294" s="490"/>
      <c r="S4294" s="490"/>
      <c r="T4294" s="490"/>
      <c r="U4294" s="490"/>
      <c r="V4294" s="490"/>
      <c r="W4294" s="490"/>
      <c r="X4294" s="490"/>
      <c r="Y4294" s="490"/>
      <c r="Z4294" s="495"/>
      <c r="AA4294" s="373">
        <f t="shared" si="684"/>
        <v>11</v>
      </c>
    </row>
    <row r="4295" spans="2:27" x14ac:dyDescent="0.2">
      <c r="B4295" s="3370"/>
      <c r="C4295" s="3191"/>
      <c r="D4295" s="3191"/>
      <c r="E4295" s="3370"/>
      <c r="F4295" s="3370"/>
      <c r="G4295" s="3483"/>
      <c r="H4295" s="2432"/>
      <c r="I4295" s="3517"/>
      <c r="J4295" s="3370"/>
      <c r="K4295" s="3298"/>
      <c r="L4295" s="3191"/>
      <c r="M4295" s="3518" t="s">
        <v>111</v>
      </c>
      <c r="N4295" s="3519"/>
      <c r="O4295" s="490">
        <f>+O4296</f>
        <v>12000</v>
      </c>
      <c r="P4295" s="490"/>
      <c r="Q4295" s="490"/>
      <c r="R4295" s="490"/>
      <c r="S4295" s="490"/>
      <c r="T4295" s="490"/>
      <c r="U4295" s="490"/>
      <c r="V4295" s="490"/>
      <c r="W4295" s="490"/>
      <c r="X4295" s="490"/>
      <c r="Y4295" s="490"/>
      <c r="Z4295" s="495"/>
      <c r="AA4295" s="373">
        <f t="shared" si="684"/>
        <v>12000</v>
      </c>
    </row>
    <row r="4296" spans="2:27" x14ac:dyDescent="0.2">
      <c r="B4296" s="3370"/>
      <c r="C4296" s="2439"/>
      <c r="D4296" s="2439"/>
      <c r="E4296" s="3370"/>
      <c r="F4296" s="3370"/>
      <c r="G4296" s="3483"/>
      <c r="H4296" s="2437"/>
      <c r="I4296" s="3517"/>
      <c r="J4296" s="3370"/>
      <c r="K4296" s="3299"/>
      <c r="L4296" s="2439"/>
      <c r="M4296" s="704" t="s">
        <v>172</v>
      </c>
      <c r="N4296" s="988" t="s">
        <v>173</v>
      </c>
      <c r="O4296" s="490">
        <v>12000</v>
      </c>
      <c r="P4296" s="490"/>
      <c r="Q4296" s="490"/>
      <c r="R4296" s="490"/>
      <c r="S4296" s="490"/>
      <c r="T4296" s="490"/>
      <c r="U4296" s="490"/>
      <c r="V4296" s="490"/>
      <c r="W4296" s="490"/>
      <c r="X4296" s="490"/>
      <c r="Y4296" s="490"/>
      <c r="Z4296" s="495"/>
      <c r="AA4296" s="373">
        <f t="shared" si="684"/>
        <v>12000</v>
      </c>
    </row>
    <row r="4297" spans="2:27" x14ac:dyDescent="0.2">
      <c r="B4297" s="3370"/>
      <c r="C4297" s="3190" t="s">
        <v>1746</v>
      </c>
      <c r="D4297" s="3190" t="s">
        <v>1746</v>
      </c>
      <c r="E4297" s="3370">
        <v>20</v>
      </c>
      <c r="F4297" s="3370" t="s">
        <v>165</v>
      </c>
      <c r="G4297" s="3483" t="s">
        <v>1617</v>
      </c>
      <c r="H4297" s="2431" t="s">
        <v>1750</v>
      </c>
      <c r="I4297" s="3517" t="s">
        <v>1302</v>
      </c>
      <c r="J4297" s="3370">
        <v>9</v>
      </c>
      <c r="K4297" s="3297">
        <f>+AA4298</f>
        <v>5000</v>
      </c>
      <c r="L4297" s="3190" t="s">
        <v>1744</v>
      </c>
      <c r="M4297" s="3518" t="s">
        <v>51</v>
      </c>
      <c r="N4297" s="3519"/>
      <c r="O4297" s="490">
        <v>9</v>
      </c>
      <c r="P4297" s="490"/>
      <c r="Q4297" s="490"/>
      <c r="R4297" s="490"/>
      <c r="S4297" s="490"/>
      <c r="T4297" s="490"/>
      <c r="U4297" s="490"/>
      <c r="V4297" s="490"/>
      <c r="W4297" s="490"/>
      <c r="X4297" s="490"/>
      <c r="Y4297" s="490"/>
      <c r="Z4297" s="495"/>
      <c r="AA4297" s="373">
        <f t="shared" si="684"/>
        <v>9</v>
      </c>
    </row>
    <row r="4298" spans="2:27" x14ac:dyDescent="0.2">
      <c r="B4298" s="3370"/>
      <c r="C4298" s="3191"/>
      <c r="D4298" s="3191"/>
      <c r="E4298" s="3370"/>
      <c r="F4298" s="3370"/>
      <c r="G4298" s="3483"/>
      <c r="H4298" s="2432"/>
      <c r="I4298" s="3517"/>
      <c r="J4298" s="3370"/>
      <c r="K4298" s="3298"/>
      <c r="L4298" s="3191"/>
      <c r="M4298" s="3518" t="s">
        <v>111</v>
      </c>
      <c r="N4298" s="3519"/>
      <c r="O4298" s="490">
        <f>+O4299</f>
        <v>5000</v>
      </c>
      <c r="P4298" s="490"/>
      <c r="Q4298" s="490"/>
      <c r="R4298" s="490"/>
      <c r="S4298" s="490"/>
      <c r="T4298" s="490"/>
      <c r="U4298" s="490"/>
      <c r="V4298" s="490"/>
      <c r="W4298" s="490"/>
      <c r="X4298" s="490"/>
      <c r="Y4298" s="490"/>
      <c r="Z4298" s="495"/>
      <c r="AA4298" s="373">
        <f t="shared" si="684"/>
        <v>5000</v>
      </c>
    </row>
    <row r="4299" spans="2:27" ht="22.5" x14ac:dyDescent="0.2">
      <c r="B4299" s="3370"/>
      <c r="C4299" s="2439"/>
      <c r="D4299" s="2439"/>
      <c r="E4299" s="3370"/>
      <c r="F4299" s="3370"/>
      <c r="G4299" s="3483"/>
      <c r="H4299" s="2437"/>
      <c r="I4299" s="3517"/>
      <c r="J4299" s="3370"/>
      <c r="K4299" s="3299"/>
      <c r="L4299" s="2439"/>
      <c r="M4299" s="704" t="s">
        <v>174</v>
      </c>
      <c r="N4299" s="990" t="s">
        <v>1753</v>
      </c>
      <c r="O4299" s="490">
        <v>5000</v>
      </c>
      <c r="P4299" s="490"/>
      <c r="Q4299" s="490"/>
      <c r="R4299" s="490"/>
      <c r="S4299" s="490"/>
      <c r="T4299" s="490"/>
      <c r="U4299" s="490"/>
      <c r="V4299" s="490"/>
      <c r="W4299" s="490"/>
      <c r="X4299" s="490"/>
      <c r="Y4299" s="490"/>
      <c r="Z4299" s="495"/>
      <c r="AA4299" s="373">
        <f t="shared" si="684"/>
        <v>5000</v>
      </c>
    </row>
    <row r="4300" spans="2:27" x14ac:dyDescent="0.2">
      <c r="B4300" s="3370"/>
      <c r="C4300" s="3190" t="s">
        <v>1746</v>
      </c>
      <c r="D4300" s="3190" t="s">
        <v>1746</v>
      </c>
      <c r="E4300" s="3370">
        <v>20</v>
      </c>
      <c r="F4300" s="3370" t="s">
        <v>165</v>
      </c>
      <c r="G4300" s="3483" t="s">
        <v>1617</v>
      </c>
      <c r="H4300" s="2431" t="s">
        <v>1750</v>
      </c>
      <c r="I4300" s="3517" t="s">
        <v>1302</v>
      </c>
      <c r="J4300" s="3370">
        <v>18</v>
      </c>
      <c r="K4300" s="3297">
        <f>+AA4301</f>
        <v>2000</v>
      </c>
      <c r="L4300" s="3190" t="s">
        <v>1744</v>
      </c>
      <c r="M4300" s="3518" t="s">
        <v>51</v>
      </c>
      <c r="N4300" s="3519"/>
      <c r="O4300" s="490">
        <v>9</v>
      </c>
      <c r="P4300" s="490"/>
      <c r="Q4300" s="490"/>
      <c r="R4300" s="490"/>
      <c r="S4300" s="490"/>
      <c r="T4300" s="490"/>
      <c r="U4300" s="490">
        <v>9</v>
      </c>
      <c r="V4300" s="490"/>
      <c r="W4300" s="490"/>
      <c r="X4300" s="490"/>
      <c r="Y4300" s="490"/>
      <c r="Z4300" s="495"/>
      <c r="AA4300" s="373">
        <f t="shared" si="684"/>
        <v>18</v>
      </c>
    </row>
    <row r="4301" spans="2:27" x14ac:dyDescent="0.2">
      <c r="B4301" s="3370"/>
      <c r="C4301" s="3191"/>
      <c r="D4301" s="3191"/>
      <c r="E4301" s="3370"/>
      <c r="F4301" s="3370"/>
      <c r="G4301" s="3483"/>
      <c r="H4301" s="2432"/>
      <c r="I4301" s="3517"/>
      <c r="J4301" s="3370"/>
      <c r="K4301" s="3298"/>
      <c r="L4301" s="3191"/>
      <c r="M4301" s="3518" t="s">
        <v>111</v>
      </c>
      <c r="N4301" s="3519"/>
      <c r="O4301" s="490">
        <f>+O4302</f>
        <v>1000</v>
      </c>
      <c r="P4301" s="490"/>
      <c r="Q4301" s="490"/>
      <c r="R4301" s="490"/>
      <c r="S4301" s="490"/>
      <c r="T4301" s="490"/>
      <c r="U4301" s="490">
        <f>+U4302</f>
        <v>1000</v>
      </c>
      <c r="V4301" s="490"/>
      <c r="W4301" s="490"/>
      <c r="X4301" s="490"/>
      <c r="Y4301" s="490"/>
      <c r="Z4301" s="495"/>
      <c r="AA4301" s="373">
        <f t="shared" si="684"/>
        <v>2000</v>
      </c>
    </row>
    <row r="4302" spans="2:27" ht="22.5" x14ac:dyDescent="0.2">
      <c r="B4302" s="3370"/>
      <c r="C4302" s="2439"/>
      <c r="D4302" s="2439"/>
      <c r="E4302" s="3370"/>
      <c r="F4302" s="3370"/>
      <c r="G4302" s="3483"/>
      <c r="H4302" s="2437"/>
      <c r="I4302" s="3517"/>
      <c r="J4302" s="3370"/>
      <c r="K4302" s="3299"/>
      <c r="L4302" s="2439"/>
      <c r="M4302" s="704" t="s">
        <v>1754</v>
      </c>
      <c r="N4302" s="989" t="s">
        <v>1755</v>
      </c>
      <c r="O4302" s="490">
        <v>1000</v>
      </c>
      <c r="P4302" s="490"/>
      <c r="Q4302" s="490"/>
      <c r="R4302" s="490"/>
      <c r="S4302" s="490"/>
      <c r="T4302" s="490"/>
      <c r="U4302" s="490">
        <v>1000</v>
      </c>
      <c r="V4302" s="490"/>
      <c r="W4302" s="490"/>
      <c r="X4302" s="490"/>
      <c r="Y4302" s="490"/>
      <c r="Z4302" s="495"/>
      <c r="AA4302" s="373">
        <f t="shared" si="684"/>
        <v>2000</v>
      </c>
    </row>
    <row r="4303" spans="2:27" x14ac:dyDescent="0.2">
      <c r="B4303" s="3370"/>
      <c r="C4303" s="3190" t="s">
        <v>1746</v>
      </c>
      <c r="D4303" s="3190" t="s">
        <v>1746</v>
      </c>
      <c r="E4303" s="3370">
        <v>20</v>
      </c>
      <c r="F4303" s="3370" t="s">
        <v>165</v>
      </c>
      <c r="G4303" s="3483" t="s">
        <v>1617</v>
      </c>
      <c r="H4303" s="2431" t="s">
        <v>1750</v>
      </c>
      <c r="I4303" s="3517" t="s">
        <v>1302</v>
      </c>
      <c r="J4303" s="3370">
        <v>5</v>
      </c>
      <c r="K4303" s="3297">
        <f>+AA4304</f>
        <v>12000</v>
      </c>
      <c r="L4303" s="3190" t="s">
        <v>1744</v>
      </c>
      <c r="M4303" s="3518" t="s">
        <v>51</v>
      </c>
      <c r="N4303" s="3519"/>
      <c r="O4303" s="490"/>
      <c r="P4303" s="490"/>
      <c r="Q4303" s="490"/>
      <c r="R4303" s="490"/>
      <c r="S4303" s="490"/>
      <c r="T4303" s="490">
        <v>5</v>
      </c>
      <c r="U4303" s="490"/>
      <c r="V4303" s="490"/>
      <c r="W4303" s="490"/>
      <c r="X4303" s="490"/>
      <c r="Y4303" s="490"/>
      <c r="Z4303" s="495"/>
      <c r="AA4303" s="373">
        <f t="shared" si="684"/>
        <v>5</v>
      </c>
    </row>
    <row r="4304" spans="2:27" x14ac:dyDescent="0.2">
      <c r="B4304" s="3370"/>
      <c r="C4304" s="3191"/>
      <c r="D4304" s="3191"/>
      <c r="E4304" s="3370"/>
      <c r="F4304" s="3370"/>
      <c r="G4304" s="3483"/>
      <c r="H4304" s="2432"/>
      <c r="I4304" s="3517"/>
      <c r="J4304" s="3370"/>
      <c r="K4304" s="3298"/>
      <c r="L4304" s="3191"/>
      <c r="M4304" s="3518" t="s">
        <v>111</v>
      </c>
      <c r="N4304" s="3519"/>
      <c r="O4304" s="490"/>
      <c r="P4304" s="490"/>
      <c r="Q4304" s="490"/>
      <c r="R4304" s="490"/>
      <c r="S4304" s="490"/>
      <c r="T4304" s="490">
        <f>+T4305</f>
        <v>12000</v>
      </c>
      <c r="U4304" s="490"/>
      <c r="V4304" s="490"/>
      <c r="W4304" s="490"/>
      <c r="X4304" s="490"/>
      <c r="Y4304" s="490"/>
      <c r="Z4304" s="495"/>
      <c r="AA4304" s="373">
        <f t="shared" si="684"/>
        <v>12000</v>
      </c>
    </row>
    <row r="4305" spans="2:27" x14ac:dyDescent="0.2">
      <c r="B4305" s="3370"/>
      <c r="C4305" s="2439"/>
      <c r="D4305" s="2439"/>
      <c r="E4305" s="3370"/>
      <c r="F4305" s="3370"/>
      <c r="G4305" s="3483"/>
      <c r="H4305" s="2437"/>
      <c r="I4305" s="3517"/>
      <c r="J4305" s="3370"/>
      <c r="K4305" s="3299"/>
      <c r="L4305" s="2439"/>
      <c r="M4305" s="704" t="s">
        <v>1756</v>
      </c>
      <c r="N4305" s="988" t="s">
        <v>1757</v>
      </c>
      <c r="O4305" s="490"/>
      <c r="P4305" s="327"/>
      <c r="Q4305" s="327"/>
      <c r="R4305" s="327"/>
      <c r="S4305" s="327"/>
      <c r="T4305" s="327">
        <v>12000</v>
      </c>
      <c r="U4305" s="327"/>
      <c r="V4305" s="327"/>
      <c r="W4305" s="327"/>
      <c r="X4305" s="327"/>
      <c r="Y4305" s="327"/>
      <c r="Z4305" s="327"/>
      <c r="AA4305" s="1697">
        <f t="shared" si="684"/>
        <v>12000</v>
      </c>
    </row>
    <row r="4306" spans="2:27" x14ac:dyDescent="0.2">
      <c r="B4306" s="3370"/>
      <c r="C4306" s="3190" t="s">
        <v>1746</v>
      </c>
      <c r="D4306" s="3190" t="s">
        <v>1746</v>
      </c>
      <c r="E4306" s="3370">
        <v>20</v>
      </c>
      <c r="F4306" s="3370" t="s">
        <v>165</v>
      </c>
      <c r="G4306" s="3483" t="s">
        <v>1617</v>
      </c>
      <c r="H4306" s="2431" t="s">
        <v>1750</v>
      </c>
      <c r="I4306" s="3517" t="s">
        <v>1302</v>
      </c>
      <c r="J4306" s="3370">
        <v>7</v>
      </c>
      <c r="K4306" s="3297">
        <f>+AA4307</f>
        <v>4000</v>
      </c>
      <c r="L4306" s="3190" t="s">
        <v>1744</v>
      </c>
      <c r="M4306" s="3518" t="s">
        <v>51</v>
      </c>
      <c r="N4306" s="3519"/>
      <c r="O4306" s="490">
        <v>7</v>
      </c>
      <c r="P4306" s="490"/>
      <c r="Q4306" s="490"/>
      <c r="R4306" s="490"/>
      <c r="S4306" s="490"/>
      <c r="T4306" s="490"/>
      <c r="U4306" s="490"/>
      <c r="V4306" s="490"/>
      <c r="W4306" s="490"/>
      <c r="X4306" s="490"/>
      <c r="Y4306" s="490"/>
      <c r="Z4306" s="495"/>
      <c r="AA4306" s="373">
        <f t="shared" si="684"/>
        <v>7</v>
      </c>
    </row>
    <row r="4307" spans="2:27" x14ac:dyDescent="0.2">
      <c r="B4307" s="3370"/>
      <c r="C4307" s="3191"/>
      <c r="D4307" s="3191"/>
      <c r="E4307" s="3370"/>
      <c r="F4307" s="3370"/>
      <c r="G4307" s="3483"/>
      <c r="H4307" s="2432"/>
      <c r="I4307" s="3517"/>
      <c r="J4307" s="3370"/>
      <c r="K4307" s="3298"/>
      <c r="L4307" s="3191"/>
      <c r="M4307" s="3518" t="s">
        <v>111</v>
      </c>
      <c r="N4307" s="3519"/>
      <c r="O4307" s="490">
        <v>4000</v>
      </c>
      <c r="P4307" s="490"/>
      <c r="Q4307" s="490"/>
      <c r="R4307" s="490"/>
      <c r="S4307" s="490"/>
      <c r="T4307" s="490"/>
      <c r="U4307" s="490"/>
      <c r="V4307" s="490"/>
      <c r="W4307" s="490"/>
      <c r="X4307" s="490"/>
      <c r="Y4307" s="490"/>
      <c r="Z4307" s="495"/>
      <c r="AA4307" s="373">
        <f t="shared" si="684"/>
        <v>4000</v>
      </c>
    </row>
    <row r="4308" spans="2:27" x14ac:dyDescent="0.2">
      <c r="B4308" s="3370"/>
      <c r="C4308" s="2439"/>
      <c r="D4308" s="2439"/>
      <c r="E4308" s="3370"/>
      <c r="F4308" s="3370"/>
      <c r="G4308" s="3483"/>
      <c r="H4308" s="2437"/>
      <c r="I4308" s="3517"/>
      <c r="J4308" s="3370"/>
      <c r="K4308" s="3299"/>
      <c r="L4308" s="2439"/>
      <c r="M4308" s="704" t="s">
        <v>1758</v>
      </c>
      <c r="N4308" s="988" t="s">
        <v>1759</v>
      </c>
      <c r="O4308" s="490">
        <v>8000</v>
      </c>
      <c r="P4308" s="327"/>
      <c r="Q4308" s="327"/>
      <c r="R4308" s="327"/>
      <c r="S4308" s="327"/>
      <c r="T4308" s="327"/>
      <c r="U4308" s="327"/>
      <c r="V4308" s="327"/>
      <c r="W4308" s="327"/>
      <c r="X4308" s="327"/>
      <c r="Y4308" s="327"/>
      <c r="Z4308" s="327"/>
      <c r="AA4308" s="1697">
        <f t="shared" si="684"/>
        <v>8000</v>
      </c>
    </row>
    <row r="4309" spans="2:27" x14ac:dyDescent="0.2">
      <c r="B4309" s="3370"/>
      <c r="C4309" s="3190" t="s">
        <v>1746</v>
      </c>
      <c r="D4309" s="3190" t="s">
        <v>1746</v>
      </c>
      <c r="E4309" s="3370">
        <v>20</v>
      </c>
      <c r="F4309" s="3370" t="s">
        <v>165</v>
      </c>
      <c r="G4309" s="3483" t="s">
        <v>1617</v>
      </c>
      <c r="H4309" s="2431" t="s">
        <v>1750</v>
      </c>
      <c r="I4309" s="3517" t="s">
        <v>1302</v>
      </c>
      <c r="J4309" s="3370">
        <v>168</v>
      </c>
      <c r="K4309" s="3297">
        <f>+AA4310</f>
        <v>15600</v>
      </c>
      <c r="L4309" s="3190" t="s">
        <v>1744</v>
      </c>
      <c r="M4309" s="3518" t="s">
        <v>51</v>
      </c>
      <c r="N4309" s="3519"/>
      <c r="O4309" s="490">
        <f t="shared" ref="O4309:Z4309" si="687">11+3</f>
        <v>14</v>
      </c>
      <c r="P4309" s="490">
        <f t="shared" si="687"/>
        <v>14</v>
      </c>
      <c r="Q4309" s="490">
        <f t="shared" si="687"/>
        <v>14</v>
      </c>
      <c r="R4309" s="490">
        <f t="shared" si="687"/>
        <v>14</v>
      </c>
      <c r="S4309" s="490">
        <f t="shared" si="687"/>
        <v>14</v>
      </c>
      <c r="T4309" s="490">
        <f t="shared" si="687"/>
        <v>14</v>
      </c>
      <c r="U4309" s="490">
        <f t="shared" si="687"/>
        <v>14</v>
      </c>
      <c r="V4309" s="490">
        <f t="shared" si="687"/>
        <v>14</v>
      </c>
      <c r="W4309" s="490">
        <f t="shared" si="687"/>
        <v>14</v>
      </c>
      <c r="X4309" s="490">
        <f t="shared" si="687"/>
        <v>14</v>
      </c>
      <c r="Y4309" s="490">
        <f t="shared" si="687"/>
        <v>14</v>
      </c>
      <c r="Z4309" s="490">
        <f t="shared" si="687"/>
        <v>14</v>
      </c>
      <c r="AA4309" s="373">
        <f t="shared" si="684"/>
        <v>168</v>
      </c>
    </row>
    <row r="4310" spans="2:27" x14ac:dyDescent="0.2">
      <c r="B4310" s="3370"/>
      <c r="C4310" s="3191"/>
      <c r="D4310" s="3191"/>
      <c r="E4310" s="3370"/>
      <c r="F4310" s="3370"/>
      <c r="G4310" s="3483"/>
      <c r="H4310" s="2432"/>
      <c r="I4310" s="3517"/>
      <c r="J4310" s="3370"/>
      <c r="K4310" s="3298"/>
      <c r="L4310" s="3191"/>
      <c r="M4310" s="3518" t="s">
        <v>111</v>
      </c>
      <c r="N4310" s="3519"/>
      <c r="O4310" s="490">
        <f t="shared" ref="O4310:Z4310" si="688">+O4311</f>
        <v>1300</v>
      </c>
      <c r="P4310" s="490">
        <f t="shared" si="688"/>
        <v>1300</v>
      </c>
      <c r="Q4310" s="490">
        <f t="shared" si="688"/>
        <v>1300</v>
      </c>
      <c r="R4310" s="490">
        <f t="shared" si="688"/>
        <v>1300</v>
      </c>
      <c r="S4310" s="490">
        <f t="shared" si="688"/>
        <v>1300</v>
      </c>
      <c r="T4310" s="490">
        <f t="shared" si="688"/>
        <v>1300</v>
      </c>
      <c r="U4310" s="490">
        <f t="shared" si="688"/>
        <v>1300</v>
      </c>
      <c r="V4310" s="490">
        <f t="shared" si="688"/>
        <v>1300</v>
      </c>
      <c r="W4310" s="490">
        <f t="shared" si="688"/>
        <v>1300</v>
      </c>
      <c r="X4310" s="490">
        <f t="shared" si="688"/>
        <v>1300</v>
      </c>
      <c r="Y4310" s="490">
        <f t="shared" si="688"/>
        <v>1300</v>
      </c>
      <c r="Z4310" s="490">
        <f t="shared" si="688"/>
        <v>1300</v>
      </c>
      <c r="AA4310" s="373">
        <f t="shared" si="684"/>
        <v>15600</v>
      </c>
    </row>
    <row r="4311" spans="2:27" x14ac:dyDescent="0.2">
      <c r="B4311" s="3370"/>
      <c r="C4311" s="2439"/>
      <c r="D4311" s="2439"/>
      <c r="E4311" s="3370"/>
      <c r="F4311" s="3370"/>
      <c r="G4311" s="3483"/>
      <c r="H4311" s="2437"/>
      <c r="I4311" s="3517"/>
      <c r="J4311" s="3370"/>
      <c r="K4311" s="3299"/>
      <c r="L4311" s="2439"/>
      <c r="M4311" s="704" t="s">
        <v>176</v>
      </c>
      <c r="N4311" s="988" t="s">
        <v>1760</v>
      </c>
      <c r="O4311" s="490">
        <v>1300</v>
      </c>
      <c r="P4311" s="490">
        <v>1300</v>
      </c>
      <c r="Q4311" s="490">
        <v>1300</v>
      </c>
      <c r="R4311" s="490">
        <v>1300</v>
      </c>
      <c r="S4311" s="490">
        <v>1300</v>
      </c>
      <c r="T4311" s="490">
        <v>1300</v>
      </c>
      <c r="U4311" s="490">
        <v>1300</v>
      </c>
      <c r="V4311" s="490">
        <v>1300</v>
      </c>
      <c r="W4311" s="490">
        <v>1300</v>
      </c>
      <c r="X4311" s="490">
        <v>1300</v>
      </c>
      <c r="Y4311" s="490">
        <v>1300</v>
      </c>
      <c r="Z4311" s="490">
        <v>1300</v>
      </c>
      <c r="AA4311" s="373">
        <f t="shared" si="684"/>
        <v>15600</v>
      </c>
    </row>
    <row r="4312" spans="2:27" x14ac:dyDescent="0.2">
      <c r="B4312" s="3370"/>
      <c r="C4312" s="3190" t="s">
        <v>1746</v>
      </c>
      <c r="D4312" s="3190" t="s">
        <v>1746</v>
      </c>
      <c r="E4312" s="3370">
        <v>20</v>
      </c>
      <c r="F4312" s="3370" t="s">
        <v>165</v>
      </c>
      <c r="G4312" s="3483" t="s">
        <v>1617</v>
      </c>
      <c r="H4312" s="2431" t="s">
        <v>1750</v>
      </c>
      <c r="I4312" s="3517" t="s">
        <v>1302</v>
      </c>
      <c r="J4312" s="3370">
        <v>2</v>
      </c>
      <c r="K4312" s="3297">
        <f>+AA4313</f>
        <v>10000</v>
      </c>
      <c r="L4312" s="3190" t="s">
        <v>1744</v>
      </c>
      <c r="M4312" s="3518" t="s">
        <v>51</v>
      </c>
      <c r="N4312" s="3519"/>
      <c r="O4312" s="490">
        <v>2</v>
      </c>
      <c r="P4312" s="490"/>
      <c r="Q4312" s="490"/>
      <c r="R4312" s="490"/>
      <c r="S4312" s="490"/>
      <c r="T4312" s="490"/>
      <c r="U4312" s="490"/>
      <c r="V4312" s="490"/>
      <c r="W4312" s="490"/>
      <c r="X4312" s="490"/>
      <c r="Y4312" s="490"/>
      <c r="Z4312" s="495"/>
      <c r="AA4312" s="373">
        <f t="shared" si="684"/>
        <v>2</v>
      </c>
    </row>
    <row r="4313" spans="2:27" x14ac:dyDescent="0.2">
      <c r="B4313" s="3370"/>
      <c r="C4313" s="3191"/>
      <c r="D4313" s="3191"/>
      <c r="E4313" s="3370"/>
      <c r="F4313" s="3370"/>
      <c r="G4313" s="3483"/>
      <c r="H4313" s="2432"/>
      <c r="I4313" s="3517"/>
      <c r="J4313" s="3370"/>
      <c r="K4313" s="3298"/>
      <c r="L4313" s="3191"/>
      <c r="M4313" s="3518" t="s">
        <v>111</v>
      </c>
      <c r="N4313" s="3519"/>
      <c r="O4313" s="490">
        <f>+O4314</f>
        <v>10000</v>
      </c>
      <c r="P4313" s="490"/>
      <c r="Q4313" s="490"/>
      <c r="R4313" s="490"/>
      <c r="S4313" s="490"/>
      <c r="T4313" s="490"/>
      <c r="U4313" s="490"/>
      <c r="V4313" s="490"/>
      <c r="W4313" s="490"/>
      <c r="X4313" s="490"/>
      <c r="Y4313" s="490"/>
      <c r="Z4313" s="495"/>
      <c r="AA4313" s="373">
        <f t="shared" si="684"/>
        <v>10000</v>
      </c>
    </row>
    <row r="4314" spans="2:27" x14ac:dyDescent="0.2">
      <c r="B4314" s="3370"/>
      <c r="C4314" s="2439"/>
      <c r="D4314" s="2439"/>
      <c r="E4314" s="3370"/>
      <c r="F4314" s="3370"/>
      <c r="G4314" s="3483"/>
      <c r="H4314" s="2437"/>
      <c r="I4314" s="3517"/>
      <c r="J4314" s="3370"/>
      <c r="K4314" s="3299"/>
      <c r="L4314" s="2439"/>
      <c r="M4314" s="704" t="s">
        <v>1761</v>
      </c>
      <c r="N4314" s="988" t="s">
        <v>1762</v>
      </c>
      <c r="O4314" s="490">
        <v>10000</v>
      </c>
      <c r="P4314" s="327"/>
      <c r="Q4314" s="327"/>
      <c r="R4314" s="327"/>
      <c r="S4314" s="327"/>
      <c r="T4314" s="327"/>
      <c r="U4314" s="327"/>
      <c r="V4314" s="327"/>
      <c r="W4314" s="327"/>
      <c r="X4314" s="327"/>
      <c r="Y4314" s="327"/>
      <c r="Z4314" s="327">
        <v>10000</v>
      </c>
      <c r="AA4314" s="1697">
        <f t="shared" si="684"/>
        <v>20000</v>
      </c>
    </row>
    <row r="4315" spans="2:27" x14ac:dyDescent="0.2">
      <c r="B4315" s="3370"/>
      <c r="C4315" s="3190" t="s">
        <v>1746</v>
      </c>
      <c r="D4315" s="3190" t="s">
        <v>1746</v>
      </c>
      <c r="E4315" s="3370">
        <v>20</v>
      </c>
      <c r="F4315" s="3370" t="s">
        <v>165</v>
      </c>
      <c r="G4315" s="3483" t="s">
        <v>1617</v>
      </c>
      <c r="H4315" s="2431" t="s">
        <v>1750</v>
      </c>
      <c r="I4315" s="3517" t="s">
        <v>1302</v>
      </c>
      <c r="J4315" s="3370">
        <v>120</v>
      </c>
      <c r="K4315" s="3297">
        <f>+AA4316</f>
        <v>187017</v>
      </c>
      <c r="L4315" s="3190" t="s">
        <v>1744</v>
      </c>
      <c r="M4315" s="3518" t="s">
        <v>51</v>
      </c>
      <c r="N4315" s="3519"/>
      <c r="O4315" s="490">
        <v>10</v>
      </c>
      <c r="P4315" s="490">
        <v>10</v>
      </c>
      <c r="Q4315" s="490">
        <v>10</v>
      </c>
      <c r="R4315" s="490">
        <v>10</v>
      </c>
      <c r="S4315" s="490">
        <v>10</v>
      </c>
      <c r="T4315" s="490">
        <v>10</v>
      </c>
      <c r="U4315" s="490">
        <v>10</v>
      </c>
      <c r="V4315" s="490">
        <v>10</v>
      </c>
      <c r="W4315" s="490">
        <v>10</v>
      </c>
      <c r="X4315" s="490">
        <v>10</v>
      </c>
      <c r="Y4315" s="490">
        <v>10</v>
      </c>
      <c r="Z4315" s="490">
        <v>10</v>
      </c>
      <c r="AA4315" s="373">
        <f t="shared" si="684"/>
        <v>120</v>
      </c>
    </row>
    <row r="4316" spans="2:27" x14ac:dyDescent="0.2">
      <c r="B4316" s="3370"/>
      <c r="C4316" s="3191"/>
      <c r="D4316" s="3191"/>
      <c r="E4316" s="3370"/>
      <c r="F4316" s="3370"/>
      <c r="G4316" s="3483"/>
      <c r="H4316" s="2432"/>
      <c r="I4316" s="3517"/>
      <c r="J4316" s="3370"/>
      <c r="K4316" s="3298"/>
      <c r="L4316" s="3191"/>
      <c r="M4316" s="3518" t="s">
        <v>111</v>
      </c>
      <c r="N4316" s="3519"/>
      <c r="O4316" s="490">
        <v>17</v>
      </c>
      <c r="P4316" s="490">
        <v>17000</v>
      </c>
      <c r="Q4316" s="490">
        <v>17000</v>
      </c>
      <c r="R4316" s="490">
        <v>17000</v>
      </c>
      <c r="S4316" s="490">
        <v>17000</v>
      </c>
      <c r="T4316" s="490">
        <v>17000</v>
      </c>
      <c r="U4316" s="490">
        <v>17000</v>
      </c>
      <c r="V4316" s="490">
        <v>17000</v>
      </c>
      <c r="W4316" s="490">
        <v>17000</v>
      </c>
      <c r="X4316" s="490">
        <v>17000</v>
      </c>
      <c r="Y4316" s="490">
        <v>17000</v>
      </c>
      <c r="Z4316" s="490">
        <v>17000</v>
      </c>
      <c r="AA4316" s="373">
        <f t="shared" si="684"/>
        <v>187017</v>
      </c>
    </row>
    <row r="4317" spans="2:27" x14ac:dyDescent="0.2">
      <c r="B4317" s="3370"/>
      <c r="C4317" s="2439"/>
      <c r="D4317" s="2439"/>
      <c r="E4317" s="3370"/>
      <c r="F4317" s="3370"/>
      <c r="G4317" s="3483"/>
      <c r="H4317" s="2437"/>
      <c r="I4317" s="3517"/>
      <c r="J4317" s="3370"/>
      <c r="K4317" s="3299"/>
      <c r="L4317" s="2439"/>
      <c r="M4317" s="704" t="s">
        <v>208</v>
      </c>
      <c r="N4317" s="988" t="s">
        <v>1763</v>
      </c>
      <c r="O4317" s="327"/>
      <c r="P4317" s="327"/>
      <c r="Q4317" s="327"/>
      <c r="R4317" s="327"/>
      <c r="S4317" s="327"/>
      <c r="T4317" s="327"/>
      <c r="U4317" s="327"/>
      <c r="V4317" s="327"/>
      <c r="W4317" s="327"/>
      <c r="X4317" s="327"/>
      <c r="Y4317" s="327"/>
      <c r="Z4317" s="327"/>
      <c r="AA4317" s="2240"/>
    </row>
    <row r="4318" spans="2:27" x14ac:dyDescent="0.2">
      <c r="B4318" s="3370"/>
      <c r="C4318" s="3190" t="s">
        <v>1746</v>
      </c>
      <c r="D4318" s="3190" t="s">
        <v>1746</v>
      </c>
      <c r="E4318" s="3370">
        <v>20</v>
      </c>
      <c r="F4318" s="3370" t="s">
        <v>165</v>
      </c>
      <c r="G4318" s="3483" t="s">
        <v>1617</v>
      </c>
      <c r="H4318" s="2431" t="s">
        <v>1750</v>
      </c>
      <c r="I4318" s="3517" t="s">
        <v>1302</v>
      </c>
      <c r="J4318" s="3370">
        <v>120</v>
      </c>
      <c r="K4318" s="3297">
        <v>31200</v>
      </c>
      <c r="L4318" s="3190" t="s">
        <v>1744</v>
      </c>
      <c r="M4318" s="3518" t="s">
        <v>51</v>
      </c>
      <c r="N4318" s="3519"/>
      <c r="O4318" s="490">
        <f t="shared" ref="O4318:Z4318" si="689">7+3</f>
        <v>10</v>
      </c>
      <c r="P4318" s="490">
        <f t="shared" si="689"/>
        <v>10</v>
      </c>
      <c r="Q4318" s="490">
        <f t="shared" si="689"/>
        <v>10</v>
      </c>
      <c r="R4318" s="490">
        <f t="shared" si="689"/>
        <v>10</v>
      </c>
      <c r="S4318" s="490">
        <f t="shared" si="689"/>
        <v>10</v>
      </c>
      <c r="T4318" s="490">
        <f t="shared" si="689"/>
        <v>10</v>
      </c>
      <c r="U4318" s="490">
        <f t="shared" si="689"/>
        <v>10</v>
      </c>
      <c r="V4318" s="490">
        <f t="shared" si="689"/>
        <v>10</v>
      </c>
      <c r="W4318" s="490">
        <f t="shared" si="689"/>
        <v>10</v>
      </c>
      <c r="X4318" s="490">
        <f t="shared" si="689"/>
        <v>10</v>
      </c>
      <c r="Y4318" s="490">
        <f t="shared" si="689"/>
        <v>10</v>
      </c>
      <c r="Z4318" s="490">
        <f t="shared" si="689"/>
        <v>10</v>
      </c>
      <c r="AA4318" s="371">
        <f>SUM(O4318:Z4318)</f>
        <v>120</v>
      </c>
    </row>
    <row r="4319" spans="2:27" x14ac:dyDescent="0.2">
      <c r="B4319" s="3370"/>
      <c r="C4319" s="3191"/>
      <c r="D4319" s="3191"/>
      <c r="E4319" s="3370"/>
      <c r="F4319" s="3370"/>
      <c r="G4319" s="3483"/>
      <c r="H4319" s="2432"/>
      <c r="I4319" s="3517"/>
      <c r="J4319" s="3370"/>
      <c r="K4319" s="3298"/>
      <c r="L4319" s="3191"/>
      <c r="M4319" s="3518" t="s">
        <v>111</v>
      </c>
      <c r="N4319" s="3519"/>
      <c r="O4319" s="490">
        <f t="shared" ref="O4319:Z4319" si="690">+O4320</f>
        <v>2600</v>
      </c>
      <c r="P4319" s="490">
        <f t="shared" si="690"/>
        <v>2600</v>
      </c>
      <c r="Q4319" s="490">
        <f t="shared" si="690"/>
        <v>2600</v>
      </c>
      <c r="R4319" s="490">
        <f t="shared" si="690"/>
        <v>2600</v>
      </c>
      <c r="S4319" s="490">
        <f t="shared" si="690"/>
        <v>2600</v>
      </c>
      <c r="T4319" s="490">
        <f t="shared" si="690"/>
        <v>2600</v>
      </c>
      <c r="U4319" s="490">
        <f t="shared" si="690"/>
        <v>2600</v>
      </c>
      <c r="V4319" s="490">
        <f t="shared" si="690"/>
        <v>2600</v>
      </c>
      <c r="W4319" s="490">
        <f t="shared" si="690"/>
        <v>2600</v>
      </c>
      <c r="X4319" s="490">
        <f t="shared" si="690"/>
        <v>2600</v>
      </c>
      <c r="Y4319" s="490">
        <f t="shared" si="690"/>
        <v>2600</v>
      </c>
      <c r="Z4319" s="490">
        <f t="shared" si="690"/>
        <v>2600</v>
      </c>
      <c r="AA4319" s="373">
        <f>SUM(O4319:Z4319)</f>
        <v>31200</v>
      </c>
    </row>
    <row r="4320" spans="2:27" x14ac:dyDescent="0.2">
      <c r="B4320" s="3370"/>
      <c r="C4320" s="2439"/>
      <c r="D4320" s="2439"/>
      <c r="E4320" s="3370"/>
      <c r="F4320" s="3370"/>
      <c r="G4320" s="3483"/>
      <c r="H4320" s="2437"/>
      <c r="I4320" s="3517"/>
      <c r="J4320" s="3370"/>
      <c r="K4320" s="3299"/>
      <c r="L4320" s="2439"/>
      <c r="M4320" s="704" t="s">
        <v>210</v>
      </c>
      <c r="N4320" s="988" t="s">
        <v>1760</v>
      </c>
      <c r="O4320" s="500">
        <v>2600</v>
      </c>
      <c r="P4320" s="500">
        <v>2600</v>
      </c>
      <c r="Q4320" s="500">
        <v>2600</v>
      </c>
      <c r="R4320" s="500">
        <v>2600</v>
      </c>
      <c r="S4320" s="500">
        <v>2600</v>
      </c>
      <c r="T4320" s="500">
        <v>2600</v>
      </c>
      <c r="U4320" s="500">
        <v>2600</v>
      </c>
      <c r="V4320" s="500">
        <v>2600</v>
      </c>
      <c r="W4320" s="500">
        <v>2600</v>
      </c>
      <c r="X4320" s="500">
        <v>2600</v>
      </c>
      <c r="Y4320" s="500">
        <v>2600</v>
      </c>
      <c r="Z4320" s="500">
        <v>2600</v>
      </c>
      <c r="AA4320" s="92">
        <f>SUM(O4320:Z4320)</f>
        <v>31200</v>
      </c>
    </row>
    <row r="4321" spans="2:27" x14ac:dyDescent="0.2">
      <c r="K4321" s="771">
        <f>SUM(K4285:K4320)</f>
        <v>682977</v>
      </c>
    </row>
    <row r="4322" spans="2:27" ht="22.5" x14ac:dyDescent="0.2">
      <c r="B4322" s="1257" t="s">
        <v>6</v>
      </c>
      <c r="C4322" s="3526" t="s">
        <v>1510</v>
      </c>
      <c r="D4322" s="3527"/>
      <c r="E4322" s="3527"/>
      <c r="F4322" s="3527"/>
      <c r="G4322" s="3527"/>
      <c r="H4322" s="3527"/>
      <c r="I4322" s="3527"/>
      <c r="J4322" s="3527"/>
      <c r="K4322" s="3527"/>
      <c r="L4322" s="3527"/>
      <c r="M4322" s="3527"/>
      <c r="N4322" s="3527"/>
      <c r="O4322" s="3527"/>
      <c r="P4322" s="3527"/>
      <c r="Q4322" s="3527"/>
      <c r="R4322" s="3527"/>
      <c r="S4322" s="3527"/>
      <c r="T4322" s="3527"/>
      <c r="U4322" s="3527"/>
      <c r="V4322" s="3527"/>
      <c r="W4322" s="3527"/>
      <c r="X4322" s="3527"/>
      <c r="Y4322" s="3527"/>
      <c r="Z4322" s="3527"/>
      <c r="AA4322" s="3528"/>
    </row>
    <row r="4323" spans="2:27" x14ac:dyDescent="0.2">
      <c r="B4323" s="2116" t="s">
        <v>8</v>
      </c>
      <c r="C4323" s="2117" t="s">
        <v>1744</v>
      </c>
      <c r="D4323" s="2118"/>
      <c r="E4323" s="2118"/>
      <c r="F4323" s="2118"/>
      <c r="G4323" s="2118"/>
      <c r="H4323" s="2118"/>
      <c r="I4323" s="2118"/>
      <c r="J4323" s="2119"/>
      <c r="K4323" s="2120"/>
      <c r="L4323" s="2121"/>
      <c r="M4323" s="2118"/>
      <c r="N4323" s="2118"/>
      <c r="O4323" s="2118"/>
      <c r="P4323" s="2118"/>
      <c r="Q4323" s="2118"/>
      <c r="R4323" s="2118"/>
      <c r="S4323" s="2118"/>
      <c r="T4323" s="2118"/>
      <c r="U4323" s="2118"/>
      <c r="V4323" s="2118"/>
      <c r="W4323" s="2122"/>
      <c r="X4323" s="2122"/>
      <c r="Y4323" s="2122"/>
      <c r="Z4323" s="2122"/>
      <c r="AA4323" s="2123"/>
    </row>
    <row r="4324" spans="2:27" ht="22.5" x14ac:dyDescent="0.2">
      <c r="B4324" s="1257" t="s">
        <v>11</v>
      </c>
      <c r="C4324" s="658" t="s">
        <v>238</v>
      </c>
      <c r="D4324" s="654"/>
      <c r="E4324" s="654"/>
      <c r="F4324" s="654"/>
      <c r="G4324" s="654"/>
      <c r="H4324" s="654"/>
      <c r="I4324" s="654"/>
      <c r="J4324" s="655"/>
      <c r="K4324" s="656"/>
      <c r="L4324" s="657"/>
      <c r="M4324" s="654"/>
      <c r="N4324" s="654"/>
      <c r="O4324" s="654"/>
      <c r="P4324" s="654"/>
      <c r="Q4324" s="654"/>
      <c r="R4324" s="654"/>
      <c r="S4324" s="654"/>
      <c r="T4324" s="654"/>
      <c r="U4324" s="654"/>
      <c r="V4324" s="654"/>
      <c r="W4324" s="654"/>
      <c r="X4324" s="654"/>
      <c r="Y4324" s="654"/>
      <c r="Z4324" s="654"/>
      <c r="AA4324" s="659"/>
    </row>
    <row r="4325" spans="2:27" x14ac:dyDescent="0.2">
      <c r="B4325" s="3529" t="s">
        <v>13</v>
      </c>
      <c r="C4325" s="3530">
        <v>9002</v>
      </c>
      <c r="D4325" s="3532" t="s">
        <v>14</v>
      </c>
      <c r="E4325" s="3533"/>
      <c r="F4325" s="3533"/>
      <c r="G4325" s="3533"/>
      <c r="H4325" s="3533"/>
      <c r="I4325" s="3533"/>
      <c r="J4325" s="3533"/>
      <c r="K4325" s="3533"/>
      <c r="L4325" s="3533"/>
      <c r="M4325" s="3533"/>
      <c r="N4325" s="3533"/>
      <c r="O4325" s="3533"/>
      <c r="P4325" s="3533"/>
      <c r="Q4325" s="660"/>
      <c r="R4325" s="660"/>
      <c r="S4325" s="660"/>
      <c r="T4325" s="660"/>
      <c r="U4325" s="661"/>
      <c r="V4325" s="3536" t="s">
        <v>15</v>
      </c>
      <c r="W4325" s="3537"/>
      <c r="X4325" s="3537"/>
      <c r="Y4325" s="3538"/>
      <c r="Z4325" s="3536" t="s">
        <v>16</v>
      </c>
      <c r="AA4325" s="3538"/>
    </row>
    <row r="4326" spans="2:27" x14ac:dyDescent="0.2">
      <c r="B4326" s="3529"/>
      <c r="C4326" s="3531"/>
      <c r="D4326" s="3534"/>
      <c r="E4326" s="3535"/>
      <c r="F4326" s="3535"/>
      <c r="G4326" s="3535"/>
      <c r="H4326" s="3535"/>
      <c r="I4326" s="3535"/>
      <c r="J4326" s="3535"/>
      <c r="K4326" s="3535"/>
      <c r="L4326" s="3535"/>
      <c r="M4326" s="3535"/>
      <c r="N4326" s="3535"/>
      <c r="O4326" s="3535"/>
      <c r="P4326" s="3535"/>
      <c r="Q4326" s="662"/>
      <c r="R4326" s="662"/>
      <c r="S4326" s="662"/>
      <c r="T4326" s="662"/>
      <c r="U4326" s="663"/>
      <c r="V4326" s="3539" t="s">
        <v>19</v>
      </c>
      <c r="W4326" s="3540"/>
      <c r="X4326" s="3540"/>
      <c r="Y4326" s="3541"/>
      <c r="Z4326" s="3536"/>
      <c r="AA4326" s="3538"/>
    </row>
    <row r="4327" spans="2:27" x14ac:dyDescent="0.2">
      <c r="B4327" s="3529" t="s">
        <v>18</v>
      </c>
      <c r="C4327" s="3542">
        <v>5000708</v>
      </c>
      <c r="D4327" s="3544" t="s">
        <v>163</v>
      </c>
      <c r="E4327" s="3545"/>
      <c r="F4327" s="3545"/>
      <c r="G4327" s="3545"/>
      <c r="H4327" s="3545"/>
      <c r="I4327" s="3545"/>
      <c r="J4327" s="3545"/>
      <c r="K4327" s="3545"/>
      <c r="L4327" s="3545"/>
      <c r="M4327" s="3545"/>
      <c r="N4327" s="3545"/>
      <c r="O4327" s="3545"/>
      <c r="P4327" s="3545"/>
      <c r="Q4327" s="664"/>
      <c r="R4327" s="664"/>
      <c r="S4327" s="664"/>
      <c r="T4327" s="664"/>
      <c r="U4327" s="665"/>
      <c r="V4327" s="3536" t="s">
        <v>15</v>
      </c>
      <c r="W4327" s="3537"/>
      <c r="X4327" s="3537"/>
      <c r="Y4327" s="3538"/>
      <c r="Z4327" s="3548" t="s">
        <v>16</v>
      </c>
      <c r="AA4327" s="3548"/>
    </row>
    <row r="4328" spans="2:27" x14ac:dyDescent="0.2">
      <c r="B4328" s="3529"/>
      <c r="C4328" s="3543"/>
      <c r="D4328" s="3546"/>
      <c r="E4328" s="3547"/>
      <c r="F4328" s="3547"/>
      <c r="G4328" s="3547"/>
      <c r="H4328" s="3547"/>
      <c r="I4328" s="3547"/>
      <c r="J4328" s="3547"/>
      <c r="K4328" s="3547"/>
      <c r="L4328" s="3547"/>
      <c r="M4328" s="3547"/>
      <c r="N4328" s="3547"/>
      <c r="O4328" s="3547"/>
      <c r="P4328" s="3547"/>
      <c r="Q4328" s="666"/>
      <c r="R4328" s="666"/>
      <c r="S4328" s="666"/>
      <c r="T4328" s="666"/>
      <c r="U4328" s="667"/>
      <c r="V4328" s="3539" t="s">
        <v>19</v>
      </c>
      <c r="W4328" s="3540"/>
      <c r="X4328" s="3540"/>
      <c r="Y4328" s="3541"/>
      <c r="Z4328" s="3548"/>
      <c r="AA4328" s="3548"/>
    </row>
    <row r="4329" spans="2:27" x14ac:dyDescent="0.2">
      <c r="B4329" s="3549" t="s">
        <v>20</v>
      </c>
      <c r="C4329" s="3550" t="s">
        <v>21</v>
      </c>
      <c r="D4329" s="3550" t="s">
        <v>22</v>
      </c>
      <c r="E4329" s="3550" t="s">
        <v>23</v>
      </c>
      <c r="F4329" s="3550" t="s">
        <v>24</v>
      </c>
      <c r="G4329" s="3550" t="s">
        <v>25</v>
      </c>
      <c r="H4329" s="3550" t="s">
        <v>26</v>
      </c>
      <c r="I4329" s="3550" t="s">
        <v>27</v>
      </c>
      <c r="J4329" s="3943" t="s">
        <v>28</v>
      </c>
      <c r="K4329" s="3944"/>
      <c r="L4329" s="3549" t="s">
        <v>29</v>
      </c>
      <c r="M4329" s="3943" t="s">
        <v>30</v>
      </c>
      <c r="N4329" s="3944"/>
      <c r="O4329" s="3947" t="s">
        <v>31</v>
      </c>
      <c r="P4329" s="3948"/>
      <c r="Q4329" s="3948"/>
      <c r="R4329" s="3948"/>
      <c r="S4329" s="3948"/>
      <c r="T4329" s="3948"/>
      <c r="U4329" s="3948"/>
      <c r="V4329" s="3948"/>
      <c r="W4329" s="3948"/>
      <c r="X4329" s="3948"/>
      <c r="Y4329" s="3948"/>
      <c r="Z4329" s="3949"/>
      <c r="AA4329" s="3922" t="s">
        <v>32</v>
      </c>
    </row>
    <row r="4330" spans="2:27" x14ac:dyDescent="0.2">
      <c r="B4330" s="3549"/>
      <c r="C4330" s="3550"/>
      <c r="D4330" s="3550"/>
      <c r="E4330" s="3550"/>
      <c r="F4330" s="3550"/>
      <c r="G4330" s="3550"/>
      <c r="H4330" s="3550"/>
      <c r="I4330" s="3550"/>
      <c r="J4330" s="668" t="s">
        <v>33</v>
      </c>
      <c r="K4330" s="669" t="s">
        <v>34</v>
      </c>
      <c r="L4330" s="3549"/>
      <c r="M4330" s="3945"/>
      <c r="N4330" s="3946"/>
      <c r="O4330" s="670" t="s">
        <v>35</v>
      </c>
      <c r="P4330" s="670" t="s">
        <v>36</v>
      </c>
      <c r="Q4330" s="670" t="s">
        <v>37</v>
      </c>
      <c r="R4330" s="670" t="s">
        <v>38</v>
      </c>
      <c r="S4330" s="670" t="s">
        <v>39</v>
      </c>
      <c r="T4330" s="670" t="s">
        <v>40</v>
      </c>
      <c r="U4330" s="670" t="s">
        <v>41</v>
      </c>
      <c r="V4330" s="670" t="s">
        <v>42</v>
      </c>
      <c r="W4330" s="670" t="s">
        <v>43</v>
      </c>
      <c r="X4330" s="670" t="s">
        <v>44</v>
      </c>
      <c r="Y4330" s="670" t="s">
        <v>45</v>
      </c>
      <c r="Z4330" s="670" t="s">
        <v>46</v>
      </c>
      <c r="AA4330" s="3923"/>
    </row>
    <row r="4331" spans="2:27" x14ac:dyDescent="0.2">
      <c r="B4331" s="3924">
        <v>5000708</v>
      </c>
      <c r="C4331" s="3924" t="s">
        <v>1764</v>
      </c>
      <c r="D4331" s="3927">
        <v>69</v>
      </c>
      <c r="E4331" s="3927"/>
      <c r="F4331" s="3927"/>
      <c r="G4331" s="3927"/>
      <c r="H4331" s="3927" t="s">
        <v>1765</v>
      </c>
      <c r="I4331" s="3927" t="s">
        <v>1766</v>
      </c>
      <c r="J4331" s="3927">
        <v>480</v>
      </c>
      <c r="K4331" s="3930">
        <f>+AA4332</f>
        <v>135911.6</v>
      </c>
      <c r="L4331" s="3924" t="s">
        <v>1767</v>
      </c>
      <c r="M4331" s="3551" t="s">
        <v>51</v>
      </c>
      <c r="N4331" s="3552"/>
      <c r="O4331" s="991">
        <v>40</v>
      </c>
      <c r="P4331" s="991">
        <v>40</v>
      </c>
      <c r="Q4331" s="991">
        <v>40</v>
      </c>
      <c r="R4331" s="991">
        <v>40</v>
      </c>
      <c r="S4331" s="991">
        <v>40</v>
      </c>
      <c r="T4331" s="991">
        <v>40</v>
      </c>
      <c r="U4331" s="991">
        <v>40</v>
      </c>
      <c r="V4331" s="991">
        <v>40</v>
      </c>
      <c r="W4331" s="991">
        <v>40</v>
      </c>
      <c r="X4331" s="991">
        <v>40</v>
      </c>
      <c r="Y4331" s="991">
        <v>40</v>
      </c>
      <c r="Z4331" s="991">
        <v>40</v>
      </c>
      <c r="AA4331" s="992">
        <f>SUM(O4331:Z4331)</f>
        <v>480</v>
      </c>
    </row>
    <row r="4332" spans="2:27" x14ac:dyDescent="0.2">
      <c r="B4332" s="3925"/>
      <c r="C4332" s="3925"/>
      <c r="D4332" s="3928"/>
      <c r="E4332" s="3928"/>
      <c r="F4332" s="3928"/>
      <c r="G4332" s="3928"/>
      <c r="H4332" s="3928"/>
      <c r="I4332" s="3928"/>
      <c r="J4332" s="3928"/>
      <c r="K4332" s="3931"/>
      <c r="L4332" s="3925"/>
      <c r="M4332" s="3933" t="s">
        <v>1340</v>
      </c>
      <c r="N4332" s="3934"/>
      <c r="O4332" s="991">
        <f t="shared" ref="O4332:Z4332" si="691">SUM(O4333:O4340)</f>
        <v>13715</v>
      </c>
      <c r="P4332" s="991">
        <f t="shared" si="691"/>
        <v>23110</v>
      </c>
      <c r="Q4332" s="991">
        <f t="shared" si="691"/>
        <v>9098.6</v>
      </c>
      <c r="R4332" s="991">
        <f t="shared" si="691"/>
        <v>8760</v>
      </c>
      <c r="S4332" s="991">
        <f t="shared" si="691"/>
        <v>9560</v>
      </c>
      <c r="T4332" s="991">
        <f t="shared" si="691"/>
        <v>8760</v>
      </c>
      <c r="U4332" s="991">
        <f t="shared" si="691"/>
        <v>8760</v>
      </c>
      <c r="V4332" s="991">
        <f t="shared" si="691"/>
        <v>8760</v>
      </c>
      <c r="W4332" s="991">
        <f t="shared" si="691"/>
        <v>13304</v>
      </c>
      <c r="X4332" s="991">
        <f t="shared" si="691"/>
        <v>8760</v>
      </c>
      <c r="Y4332" s="991">
        <f t="shared" si="691"/>
        <v>14560</v>
      </c>
      <c r="Z4332" s="991">
        <f t="shared" si="691"/>
        <v>8764</v>
      </c>
      <c r="AA4332" s="995">
        <f>SUM(O4332:Z4332)</f>
        <v>135911.6</v>
      </c>
    </row>
    <row r="4333" spans="2:27" ht="33.75" x14ac:dyDescent="0.2">
      <c r="B4333" s="3925"/>
      <c r="C4333" s="3925"/>
      <c r="D4333" s="3928"/>
      <c r="E4333" s="3928"/>
      <c r="F4333" s="3928"/>
      <c r="G4333" s="3928"/>
      <c r="H4333" s="3928"/>
      <c r="I4333" s="3928"/>
      <c r="J4333" s="3928"/>
      <c r="K4333" s="3931"/>
      <c r="L4333" s="3925"/>
      <c r="M4333" s="984" t="s">
        <v>178</v>
      </c>
      <c r="N4333" s="984" t="s">
        <v>1101</v>
      </c>
      <c r="O4333" s="680">
        <v>8333</v>
      </c>
      <c r="P4333" s="680">
        <v>8333</v>
      </c>
      <c r="Q4333" s="680">
        <v>8333</v>
      </c>
      <c r="R4333" s="680">
        <v>8333</v>
      </c>
      <c r="S4333" s="680">
        <v>8333</v>
      </c>
      <c r="T4333" s="680">
        <v>8333</v>
      </c>
      <c r="U4333" s="680">
        <v>8333</v>
      </c>
      <c r="V4333" s="680">
        <v>8333</v>
      </c>
      <c r="W4333" s="680">
        <v>8333</v>
      </c>
      <c r="X4333" s="680">
        <v>8333</v>
      </c>
      <c r="Y4333" s="680">
        <v>8333</v>
      </c>
      <c r="Z4333" s="680">
        <v>8337</v>
      </c>
      <c r="AA4333" s="987">
        <f>SUM(O4333:Z4333)</f>
        <v>100000</v>
      </c>
    </row>
    <row r="4334" spans="2:27" ht="22.5" x14ac:dyDescent="0.2">
      <c r="B4334" s="3925"/>
      <c r="C4334" s="3925"/>
      <c r="D4334" s="3928"/>
      <c r="E4334" s="3928"/>
      <c r="F4334" s="3928"/>
      <c r="G4334" s="3928"/>
      <c r="H4334" s="3928"/>
      <c r="I4334" s="3928"/>
      <c r="J4334" s="3928"/>
      <c r="K4334" s="3931"/>
      <c r="L4334" s="3925"/>
      <c r="M4334" s="984" t="s">
        <v>213</v>
      </c>
      <c r="N4334" s="984" t="s">
        <v>1768</v>
      </c>
      <c r="O4334" s="680"/>
      <c r="P4334" s="680">
        <v>5600</v>
      </c>
      <c r="Q4334" s="680"/>
      <c r="R4334" s="680"/>
      <c r="S4334" s="680"/>
      <c r="T4334" s="680"/>
      <c r="U4334" s="680"/>
      <c r="V4334" s="680"/>
      <c r="W4334" s="680"/>
      <c r="X4334" s="680"/>
      <c r="Y4334" s="680"/>
      <c r="Z4334" s="680"/>
      <c r="AA4334" s="985">
        <f t="shared" ref="AA4334:AA4369" si="692">SUM(O4334:Z4334)</f>
        <v>5600</v>
      </c>
    </row>
    <row r="4335" spans="2:27" x14ac:dyDescent="0.2">
      <c r="B4335" s="3925"/>
      <c r="C4335" s="3925"/>
      <c r="D4335" s="3928"/>
      <c r="E4335" s="3928"/>
      <c r="F4335" s="3928"/>
      <c r="G4335" s="3928"/>
      <c r="H4335" s="3928"/>
      <c r="I4335" s="3928"/>
      <c r="J4335" s="3928"/>
      <c r="K4335" s="3931"/>
      <c r="L4335" s="3925"/>
      <c r="M4335" s="984" t="s">
        <v>1103</v>
      </c>
      <c r="N4335" s="984" t="s">
        <v>1104</v>
      </c>
      <c r="O4335" s="680"/>
      <c r="P4335" s="680">
        <v>5600</v>
      </c>
      <c r="Q4335" s="680"/>
      <c r="R4335" s="680"/>
      <c r="S4335" s="680"/>
      <c r="T4335" s="680"/>
      <c r="U4335" s="680"/>
      <c r="V4335" s="680"/>
      <c r="W4335" s="680"/>
      <c r="X4335" s="680"/>
      <c r="Y4335" s="680"/>
      <c r="Z4335" s="680"/>
      <c r="AA4335" s="985">
        <f t="shared" si="692"/>
        <v>5600</v>
      </c>
    </row>
    <row r="4336" spans="2:27" ht="22.5" x14ac:dyDescent="0.2">
      <c r="B4336" s="3925"/>
      <c r="C4336" s="3925"/>
      <c r="D4336" s="3928"/>
      <c r="E4336" s="3928"/>
      <c r="F4336" s="3928"/>
      <c r="G4336" s="3928"/>
      <c r="H4336" s="3928"/>
      <c r="I4336" s="3928"/>
      <c r="J4336" s="3928"/>
      <c r="K4336" s="3931"/>
      <c r="L4336" s="3925"/>
      <c r="M4336" s="984" t="s">
        <v>184</v>
      </c>
      <c r="N4336" s="984" t="s">
        <v>1367</v>
      </c>
      <c r="O4336" s="680"/>
      <c r="P4336" s="680">
        <v>3150</v>
      </c>
      <c r="Q4336" s="680"/>
      <c r="R4336" s="680"/>
      <c r="S4336" s="680"/>
      <c r="T4336" s="680"/>
      <c r="U4336" s="680"/>
      <c r="V4336" s="680"/>
      <c r="W4336" s="680"/>
      <c r="X4336" s="680"/>
      <c r="Y4336" s="680"/>
      <c r="Z4336" s="680"/>
      <c r="AA4336" s="985">
        <f t="shared" si="692"/>
        <v>3150</v>
      </c>
    </row>
    <row r="4337" spans="2:27" x14ac:dyDescent="0.2">
      <c r="B4337" s="3925"/>
      <c r="C4337" s="3925"/>
      <c r="D4337" s="3928"/>
      <c r="E4337" s="3928"/>
      <c r="F4337" s="3928"/>
      <c r="G4337" s="3928"/>
      <c r="H4337" s="3928"/>
      <c r="I4337" s="3928"/>
      <c r="J4337" s="3928"/>
      <c r="K4337" s="3931"/>
      <c r="L4337" s="3925"/>
      <c r="M4337" s="984" t="s">
        <v>1769</v>
      </c>
      <c r="N4337" s="984" t="s">
        <v>1770</v>
      </c>
      <c r="O4337" s="680">
        <v>427</v>
      </c>
      <c r="P4337" s="680">
        <v>427</v>
      </c>
      <c r="Q4337" s="680">
        <v>427</v>
      </c>
      <c r="R4337" s="680">
        <v>427</v>
      </c>
      <c r="S4337" s="680">
        <v>427</v>
      </c>
      <c r="T4337" s="680">
        <v>427</v>
      </c>
      <c r="U4337" s="680">
        <v>427</v>
      </c>
      <c r="V4337" s="680">
        <v>427</v>
      </c>
      <c r="W4337" s="680">
        <v>427</v>
      </c>
      <c r="X4337" s="680">
        <v>427</v>
      </c>
      <c r="Y4337" s="680">
        <v>427</v>
      </c>
      <c r="Z4337" s="680">
        <v>427</v>
      </c>
      <c r="AA4337" s="985">
        <f t="shared" si="692"/>
        <v>5124</v>
      </c>
    </row>
    <row r="4338" spans="2:27" ht="22.5" x14ac:dyDescent="0.2">
      <c r="B4338" s="3925"/>
      <c r="C4338" s="3925"/>
      <c r="D4338" s="3928"/>
      <c r="E4338" s="3928"/>
      <c r="F4338" s="3928"/>
      <c r="G4338" s="3928"/>
      <c r="H4338" s="3928"/>
      <c r="I4338" s="3928"/>
      <c r="J4338" s="3928"/>
      <c r="K4338" s="3931"/>
      <c r="L4338" s="3925"/>
      <c r="M4338" s="984" t="s">
        <v>186</v>
      </c>
      <c r="N4338" s="984" t="s">
        <v>1771</v>
      </c>
      <c r="O4338" s="680">
        <v>4155</v>
      </c>
      <c r="P4338" s="680"/>
      <c r="Q4338" s="680">
        <v>338.6</v>
      </c>
      <c r="R4338" s="680"/>
      <c r="S4338" s="680"/>
      <c r="T4338" s="680"/>
      <c r="U4338" s="680"/>
      <c r="V4338" s="680"/>
      <c r="W4338" s="680">
        <f>3400+795</f>
        <v>4195</v>
      </c>
      <c r="X4338" s="680"/>
      <c r="Y4338" s="680">
        <v>5800</v>
      </c>
      <c r="Z4338" s="680"/>
      <c r="AA4338" s="985">
        <f t="shared" si="692"/>
        <v>14488.6</v>
      </c>
    </row>
    <row r="4339" spans="2:27" x14ac:dyDescent="0.2">
      <c r="B4339" s="3925"/>
      <c r="C4339" s="3925"/>
      <c r="D4339" s="3928"/>
      <c r="E4339" s="3928"/>
      <c r="F4339" s="3928"/>
      <c r="G4339" s="3928"/>
      <c r="H4339" s="3928"/>
      <c r="I4339" s="3928"/>
      <c r="J4339" s="3928"/>
      <c r="K4339" s="3931"/>
      <c r="L4339" s="3925"/>
      <c r="M4339" s="984" t="s">
        <v>1772</v>
      </c>
      <c r="N4339" s="984" t="s">
        <v>1773</v>
      </c>
      <c r="O4339" s="680">
        <v>500</v>
      </c>
      <c r="P4339" s="680"/>
      <c r="Q4339" s="680"/>
      <c r="R4339" s="680"/>
      <c r="S4339" s="680">
        <v>500</v>
      </c>
      <c r="T4339" s="680"/>
      <c r="U4339" s="680"/>
      <c r="V4339" s="680"/>
      <c r="W4339" s="680">
        <v>200</v>
      </c>
      <c r="X4339" s="680"/>
      <c r="Y4339" s="680"/>
      <c r="Z4339" s="680"/>
      <c r="AA4339" s="985">
        <f t="shared" si="692"/>
        <v>1200</v>
      </c>
    </row>
    <row r="4340" spans="2:27" x14ac:dyDescent="0.2">
      <c r="B4340" s="3926"/>
      <c r="C4340" s="3925"/>
      <c r="D4340" s="3928"/>
      <c r="E4340" s="3928"/>
      <c r="F4340" s="3928"/>
      <c r="G4340" s="3929"/>
      <c r="H4340" s="3929"/>
      <c r="I4340" s="3929"/>
      <c r="J4340" s="3929"/>
      <c r="K4340" s="3932"/>
      <c r="L4340" s="3925"/>
      <c r="M4340" s="984" t="s">
        <v>1774</v>
      </c>
      <c r="N4340" s="984" t="s">
        <v>1775</v>
      </c>
      <c r="O4340" s="680">
        <v>300</v>
      </c>
      <c r="P4340" s="680"/>
      <c r="Q4340" s="680"/>
      <c r="R4340" s="680"/>
      <c r="S4340" s="680">
        <v>300</v>
      </c>
      <c r="T4340" s="680"/>
      <c r="U4340" s="680"/>
      <c r="V4340" s="680"/>
      <c r="W4340" s="680">
        <v>149</v>
      </c>
      <c r="X4340" s="680"/>
      <c r="Y4340" s="680"/>
      <c r="Z4340" s="680"/>
      <c r="AA4340" s="985">
        <f t="shared" si="692"/>
        <v>749</v>
      </c>
    </row>
    <row r="4341" spans="2:27" x14ac:dyDescent="0.2">
      <c r="B4341" s="3924">
        <v>5000708</v>
      </c>
      <c r="C4341" s="3924" t="s">
        <v>1776</v>
      </c>
      <c r="D4341" s="3927">
        <v>69</v>
      </c>
      <c r="E4341" s="3927"/>
      <c r="F4341" s="3927"/>
      <c r="G4341" s="3927"/>
      <c r="H4341" s="3927"/>
      <c r="I4341" s="3927" t="s">
        <v>2921</v>
      </c>
      <c r="J4341" s="3927">
        <v>108</v>
      </c>
      <c r="K4341" s="3930">
        <f>+AA4342</f>
        <v>55004.400000000009</v>
      </c>
      <c r="L4341" s="3927" t="s">
        <v>1767</v>
      </c>
      <c r="M4341" s="3935" t="s">
        <v>51</v>
      </c>
      <c r="N4341" s="3936"/>
      <c r="O4341" s="681">
        <v>7</v>
      </c>
      <c r="P4341" s="681">
        <v>7</v>
      </c>
      <c r="Q4341" s="681">
        <v>7</v>
      </c>
      <c r="R4341" s="681">
        <v>7</v>
      </c>
      <c r="S4341" s="681">
        <v>7</v>
      </c>
      <c r="T4341" s="681">
        <v>7</v>
      </c>
      <c r="U4341" s="681">
        <v>7</v>
      </c>
      <c r="V4341" s="681">
        <v>7</v>
      </c>
      <c r="W4341" s="681">
        <v>7</v>
      </c>
      <c r="X4341" s="681">
        <v>7</v>
      </c>
      <c r="Y4341" s="681">
        <v>7</v>
      </c>
      <c r="Z4341" s="681">
        <v>7</v>
      </c>
      <c r="AA4341" s="986">
        <f t="shared" si="692"/>
        <v>84</v>
      </c>
    </row>
    <row r="4342" spans="2:27" x14ac:dyDescent="0.2">
      <c r="B4342" s="3925"/>
      <c r="C4342" s="3925"/>
      <c r="D4342" s="3928"/>
      <c r="E4342" s="3928"/>
      <c r="F4342" s="3928"/>
      <c r="G4342" s="3928"/>
      <c r="H4342" s="3928"/>
      <c r="I4342" s="3928"/>
      <c r="J4342" s="3928"/>
      <c r="K4342" s="3931"/>
      <c r="L4342" s="3928"/>
      <c r="M4342" s="3937" t="s">
        <v>1340</v>
      </c>
      <c r="N4342" s="3938"/>
      <c r="O4342" s="681">
        <f t="shared" ref="O4342:Z4342" si="693">SUM(O4343:O4360)</f>
        <v>19375.900000000001</v>
      </c>
      <c r="P4342" s="681">
        <f t="shared" si="693"/>
        <v>2562</v>
      </c>
      <c r="Q4342" s="681">
        <f t="shared" si="693"/>
        <v>2721.9</v>
      </c>
      <c r="R4342" s="681">
        <f t="shared" si="693"/>
        <v>3121.9</v>
      </c>
      <c r="S4342" s="681">
        <f t="shared" si="693"/>
        <v>2721.9</v>
      </c>
      <c r="T4342" s="681">
        <f t="shared" si="693"/>
        <v>12111.9</v>
      </c>
      <c r="U4342" s="681">
        <f t="shared" si="693"/>
        <v>3821.9</v>
      </c>
      <c r="V4342" s="681">
        <f t="shared" si="693"/>
        <v>2562</v>
      </c>
      <c r="W4342" s="681">
        <f t="shared" si="693"/>
        <v>2562</v>
      </c>
      <c r="X4342" s="681">
        <f t="shared" si="693"/>
        <v>1431</v>
      </c>
      <c r="Y4342" s="681">
        <f t="shared" si="693"/>
        <v>1031</v>
      </c>
      <c r="Z4342" s="681">
        <f t="shared" si="693"/>
        <v>981</v>
      </c>
      <c r="AA4342" s="986">
        <f>SUM(O4342:Z4342)</f>
        <v>55004.400000000009</v>
      </c>
    </row>
    <row r="4343" spans="2:27" ht="22.5" x14ac:dyDescent="0.2">
      <c r="B4343" s="3925"/>
      <c r="C4343" s="3925"/>
      <c r="D4343" s="3928"/>
      <c r="E4343" s="3928"/>
      <c r="F4343" s="3928"/>
      <c r="G4343" s="3928"/>
      <c r="H4343" s="3928"/>
      <c r="I4343" s="3928"/>
      <c r="J4343" s="3928"/>
      <c r="K4343" s="3931"/>
      <c r="L4343" s="3928"/>
      <c r="M4343" s="984" t="s">
        <v>180</v>
      </c>
      <c r="N4343" s="984" t="s">
        <v>181</v>
      </c>
      <c r="O4343" s="680">
        <v>500</v>
      </c>
      <c r="P4343" s="680">
        <v>500</v>
      </c>
      <c r="Q4343" s="680">
        <v>500</v>
      </c>
      <c r="R4343" s="680">
        <v>500</v>
      </c>
      <c r="S4343" s="680">
        <v>500</v>
      </c>
      <c r="T4343" s="680">
        <v>500</v>
      </c>
      <c r="U4343" s="680">
        <v>500</v>
      </c>
      <c r="V4343" s="680">
        <v>500</v>
      </c>
      <c r="W4343" s="680">
        <v>500</v>
      </c>
      <c r="X4343" s="680">
        <v>500</v>
      </c>
      <c r="Y4343" s="680">
        <v>500</v>
      </c>
      <c r="Z4343" s="680">
        <v>500</v>
      </c>
      <c r="AA4343" s="985">
        <f>SUM(O4343:Z4343)</f>
        <v>6000</v>
      </c>
    </row>
    <row r="4344" spans="2:27" ht="22.5" x14ac:dyDescent="0.2">
      <c r="B4344" s="3925"/>
      <c r="C4344" s="3925"/>
      <c r="D4344" s="3928"/>
      <c r="E4344" s="3928"/>
      <c r="F4344" s="3928"/>
      <c r="G4344" s="3928"/>
      <c r="H4344" s="3928"/>
      <c r="I4344" s="3928"/>
      <c r="J4344" s="3928"/>
      <c r="K4344" s="3931"/>
      <c r="L4344" s="3928"/>
      <c r="M4344" s="984" t="s">
        <v>182</v>
      </c>
      <c r="N4344" s="984" t="s">
        <v>1777</v>
      </c>
      <c r="O4344" s="680">
        <v>400</v>
      </c>
      <c r="P4344" s="680"/>
      <c r="Q4344" s="680"/>
      <c r="R4344" s="680">
        <v>400</v>
      </c>
      <c r="S4344" s="680"/>
      <c r="T4344" s="680"/>
      <c r="U4344" s="680">
        <v>400</v>
      </c>
      <c r="V4344" s="680"/>
      <c r="W4344" s="680"/>
      <c r="X4344" s="680">
        <v>400</v>
      </c>
      <c r="Y4344" s="680"/>
      <c r="Z4344" s="680"/>
      <c r="AA4344" s="985">
        <f t="shared" ref="AA4344" si="694">SUM(O4344:Z4344)</f>
        <v>1600</v>
      </c>
    </row>
    <row r="4345" spans="2:27" x14ac:dyDescent="0.2">
      <c r="B4345" s="3925"/>
      <c r="C4345" s="3925"/>
      <c r="D4345" s="3928"/>
      <c r="E4345" s="3928"/>
      <c r="F4345" s="3928"/>
      <c r="G4345" s="3928"/>
      <c r="H4345" s="3928"/>
      <c r="I4345" s="3928"/>
      <c r="J4345" s="3928"/>
      <c r="K4345" s="3931"/>
      <c r="L4345" s="3928"/>
      <c r="M4345" s="984" t="s">
        <v>1778</v>
      </c>
      <c r="N4345" s="984" t="s">
        <v>1779</v>
      </c>
      <c r="O4345" s="680">
        <v>2322</v>
      </c>
      <c r="P4345" s="680"/>
      <c r="Q4345" s="680"/>
      <c r="R4345" s="680"/>
      <c r="S4345" s="680"/>
      <c r="T4345" s="680"/>
      <c r="U4345" s="680"/>
      <c r="V4345" s="680"/>
      <c r="W4345" s="680"/>
      <c r="X4345" s="680"/>
      <c r="Y4345" s="680"/>
      <c r="Z4345" s="680"/>
      <c r="AA4345" s="985">
        <f t="shared" si="692"/>
        <v>2322</v>
      </c>
    </row>
    <row r="4346" spans="2:27" ht="22.5" x14ac:dyDescent="0.2">
      <c r="B4346" s="3925"/>
      <c r="C4346" s="3925"/>
      <c r="D4346" s="3928"/>
      <c r="E4346" s="3928"/>
      <c r="F4346" s="3928"/>
      <c r="G4346" s="3928"/>
      <c r="H4346" s="3928"/>
      <c r="I4346" s="3928"/>
      <c r="J4346" s="3928"/>
      <c r="K4346" s="3931"/>
      <c r="L4346" s="3928"/>
      <c r="M4346" s="984" t="s">
        <v>1780</v>
      </c>
      <c r="N4346" s="984" t="s">
        <v>1781</v>
      </c>
      <c r="O4346" s="680">
        <v>200</v>
      </c>
      <c r="P4346" s="680"/>
      <c r="Q4346" s="680"/>
      <c r="R4346" s="680"/>
      <c r="S4346" s="680"/>
      <c r="T4346" s="680">
        <v>200</v>
      </c>
      <c r="U4346" s="680"/>
      <c r="V4346" s="680"/>
      <c r="W4346" s="680"/>
      <c r="X4346" s="680"/>
      <c r="Y4346" s="680"/>
      <c r="Z4346" s="680"/>
      <c r="AA4346" s="985">
        <f t="shared" si="692"/>
        <v>400</v>
      </c>
    </row>
    <row r="4347" spans="2:27" x14ac:dyDescent="0.2">
      <c r="B4347" s="3925"/>
      <c r="C4347" s="3925"/>
      <c r="D4347" s="3928"/>
      <c r="E4347" s="3928"/>
      <c r="F4347" s="3928"/>
      <c r="G4347" s="3928"/>
      <c r="H4347" s="3928"/>
      <c r="I4347" s="3928"/>
      <c r="J4347" s="3928"/>
      <c r="K4347" s="3931"/>
      <c r="L4347" s="3928"/>
      <c r="M4347" s="984" t="s">
        <v>217</v>
      </c>
      <c r="N4347" s="984" t="s">
        <v>997</v>
      </c>
      <c r="O4347" s="680">
        <v>300</v>
      </c>
      <c r="P4347" s="680"/>
      <c r="Q4347" s="680"/>
      <c r="R4347" s="680"/>
      <c r="S4347" s="680"/>
      <c r="T4347" s="680">
        <v>300</v>
      </c>
      <c r="U4347" s="680"/>
      <c r="V4347" s="680"/>
      <c r="W4347" s="680"/>
      <c r="X4347" s="680"/>
      <c r="Y4347" s="680"/>
      <c r="Z4347" s="680"/>
      <c r="AA4347" s="985">
        <f t="shared" si="692"/>
        <v>600</v>
      </c>
    </row>
    <row r="4348" spans="2:27" ht="22.5" x14ac:dyDescent="0.2">
      <c r="B4348" s="3925"/>
      <c r="C4348" s="3925"/>
      <c r="D4348" s="3928"/>
      <c r="E4348" s="3928"/>
      <c r="F4348" s="3928"/>
      <c r="G4348" s="3928"/>
      <c r="H4348" s="3928"/>
      <c r="I4348" s="3928"/>
      <c r="J4348" s="3928"/>
      <c r="K4348" s="3931"/>
      <c r="L4348" s="3928"/>
      <c r="M4348" s="984" t="s">
        <v>1782</v>
      </c>
      <c r="N4348" s="984" t="s">
        <v>1783</v>
      </c>
      <c r="O4348" s="680">
        <v>300</v>
      </c>
      <c r="P4348" s="680"/>
      <c r="Q4348" s="680"/>
      <c r="R4348" s="680"/>
      <c r="S4348" s="680"/>
      <c r="T4348" s="680">
        <v>300</v>
      </c>
      <c r="U4348" s="680"/>
      <c r="V4348" s="680"/>
      <c r="W4348" s="680"/>
      <c r="X4348" s="680"/>
      <c r="Y4348" s="680"/>
      <c r="Z4348" s="680"/>
      <c r="AA4348" s="985">
        <f t="shared" si="692"/>
        <v>600</v>
      </c>
    </row>
    <row r="4349" spans="2:27" ht="22.5" x14ac:dyDescent="0.2">
      <c r="B4349" s="3925"/>
      <c r="C4349" s="3925"/>
      <c r="D4349" s="3928"/>
      <c r="E4349" s="3928"/>
      <c r="F4349" s="3928"/>
      <c r="G4349" s="3928"/>
      <c r="H4349" s="3928"/>
      <c r="I4349" s="3928"/>
      <c r="J4349" s="3928"/>
      <c r="K4349" s="3931"/>
      <c r="L4349" s="3928"/>
      <c r="M4349" s="984" t="s">
        <v>1784</v>
      </c>
      <c r="N4349" s="984" t="s">
        <v>1785</v>
      </c>
      <c r="O4349" s="680">
        <v>600</v>
      </c>
      <c r="P4349" s="680"/>
      <c r="Q4349" s="680"/>
      <c r="R4349" s="680"/>
      <c r="S4349" s="680"/>
      <c r="T4349" s="680"/>
      <c r="U4349" s="680"/>
      <c r="V4349" s="680"/>
      <c r="W4349" s="680"/>
      <c r="X4349" s="680"/>
      <c r="Y4349" s="680"/>
      <c r="Z4349" s="680"/>
      <c r="AA4349" s="985">
        <f t="shared" si="692"/>
        <v>600</v>
      </c>
    </row>
    <row r="4350" spans="2:27" x14ac:dyDescent="0.2">
      <c r="B4350" s="3925"/>
      <c r="C4350" s="3925"/>
      <c r="D4350" s="3928"/>
      <c r="E4350" s="3928"/>
      <c r="F4350" s="3928"/>
      <c r="G4350" s="3928"/>
      <c r="H4350" s="3928"/>
      <c r="I4350" s="3928"/>
      <c r="J4350" s="3928"/>
      <c r="K4350" s="3931"/>
      <c r="L4350" s="3928"/>
      <c r="M4350" s="673" t="s">
        <v>1786</v>
      </c>
      <c r="N4350" s="672" t="s">
        <v>191</v>
      </c>
      <c r="O4350" s="680">
        <v>1400</v>
      </c>
      <c r="P4350" s="680"/>
      <c r="Q4350" s="680"/>
      <c r="R4350" s="680"/>
      <c r="S4350" s="680"/>
      <c r="T4350" s="680">
        <v>1200</v>
      </c>
      <c r="U4350" s="680"/>
      <c r="V4350" s="680"/>
      <c r="W4350" s="680"/>
      <c r="X4350" s="680"/>
      <c r="Y4350" s="680"/>
      <c r="Z4350" s="680"/>
      <c r="AA4350" s="985">
        <f t="shared" si="692"/>
        <v>2600</v>
      </c>
    </row>
    <row r="4351" spans="2:27" x14ac:dyDescent="0.2">
      <c r="B4351" s="3925"/>
      <c r="C4351" s="3925"/>
      <c r="D4351" s="3928"/>
      <c r="E4351" s="3928"/>
      <c r="F4351" s="3928"/>
      <c r="G4351" s="3928"/>
      <c r="H4351" s="3928"/>
      <c r="I4351" s="3928"/>
      <c r="J4351" s="3928"/>
      <c r="K4351" s="3931"/>
      <c r="L4351" s="3928"/>
      <c r="M4351" s="673" t="s">
        <v>1787</v>
      </c>
      <c r="N4351" s="672" t="s">
        <v>193</v>
      </c>
      <c r="O4351" s="680">
        <v>150</v>
      </c>
      <c r="P4351" s="680">
        <v>150</v>
      </c>
      <c r="Q4351" s="680">
        <v>150</v>
      </c>
      <c r="R4351" s="680">
        <v>150</v>
      </c>
      <c r="S4351" s="680">
        <v>150</v>
      </c>
      <c r="T4351" s="680">
        <v>150</v>
      </c>
      <c r="U4351" s="680">
        <v>150</v>
      </c>
      <c r="V4351" s="680">
        <v>150</v>
      </c>
      <c r="W4351" s="680">
        <v>150</v>
      </c>
      <c r="X4351" s="680">
        <v>150</v>
      </c>
      <c r="Y4351" s="680">
        <v>150</v>
      </c>
      <c r="Z4351" s="680">
        <v>100</v>
      </c>
      <c r="AA4351" s="985">
        <f t="shared" si="692"/>
        <v>1750</v>
      </c>
    </row>
    <row r="4352" spans="2:27" ht="33.75" x14ac:dyDescent="0.2">
      <c r="B4352" s="3925"/>
      <c r="C4352" s="3925"/>
      <c r="D4352" s="3928"/>
      <c r="E4352" s="3928"/>
      <c r="F4352" s="3928"/>
      <c r="G4352" s="3928"/>
      <c r="H4352" s="3928"/>
      <c r="I4352" s="3928"/>
      <c r="J4352" s="3928"/>
      <c r="K4352" s="3931"/>
      <c r="L4352" s="3928"/>
      <c r="M4352" s="673" t="s">
        <v>195</v>
      </c>
      <c r="N4352" s="672" t="s">
        <v>1115</v>
      </c>
      <c r="O4352" s="680">
        <v>1531</v>
      </c>
      <c r="P4352" s="680">
        <v>1531</v>
      </c>
      <c r="Q4352" s="680">
        <v>1531</v>
      </c>
      <c r="R4352" s="680">
        <v>1531</v>
      </c>
      <c r="S4352" s="680">
        <v>1531</v>
      </c>
      <c r="T4352" s="680">
        <v>1531</v>
      </c>
      <c r="U4352" s="680">
        <v>1531</v>
      </c>
      <c r="V4352" s="680">
        <v>1531</v>
      </c>
      <c r="W4352" s="680">
        <v>1531</v>
      </c>
      <c r="X4352" s="680"/>
      <c r="Y4352" s="680"/>
      <c r="Z4352" s="680"/>
      <c r="AA4352" s="679">
        <f t="shared" si="692"/>
        <v>13779</v>
      </c>
    </row>
    <row r="4353" spans="2:27" ht="22.5" x14ac:dyDescent="0.2">
      <c r="B4353" s="3925"/>
      <c r="C4353" s="3925"/>
      <c r="D4353" s="3928"/>
      <c r="E4353" s="3928"/>
      <c r="F4353" s="3928"/>
      <c r="G4353" s="3928"/>
      <c r="H4353" s="3928"/>
      <c r="I4353" s="3928"/>
      <c r="J4353" s="3928"/>
      <c r="K4353" s="3931"/>
      <c r="L4353" s="3928"/>
      <c r="M4353" s="673" t="s">
        <v>196</v>
      </c>
      <c r="N4353" s="672" t="s">
        <v>1788</v>
      </c>
      <c r="O4353" s="680">
        <v>350</v>
      </c>
      <c r="P4353" s="680">
        <v>350</v>
      </c>
      <c r="Q4353" s="680">
        <v>350</v>
      </c>
      <c r="R4353" s="680">
        <v>350</v>
      </c>
      <c r="S4353" s="680">
        <v>350</v>
      </c>
      <c r="T4353" s="680">
        <v>350</v>
      </c>
      <c r="U4353" s="680">
        <v>350</v>
      </c>
      <c r="V4353" s="680">
        <v>350</v>
      </c>
      <c r="W4353" s="680">
        <v>350</v>
      </c>
      <c r="X4353" s="680">
        <v>350</v>
      </c>
      <c r="Y4353" s="680">
        <v>350</v>
      </c>
      <c r="Z4353" s="680">
        <v>350</v>
      </c>
      <c r="AA4353" s="679">
        <f t="shared" si="692"/>
        <v>4200</v>
      </c>
    </row>
    <row r="4354" spans="2:27" ht="22.5" x14ac:dyDescent="0.2">
      <c r="B4354" s="3925"/>
      <c r="C4354" s="3925"/>
      <c r="D4354" s="3928"/>
      <c r="E4354" s="3928"/>
      <c r="F4354" s="3928"/>
      <c r="G4354" s="3928"/>
      <c r="H4354" s="3928"/>
      <c r="I4354" s="3928"/>
      <c r="J4354" s="3928"/>
      <c r="K4354" s="3931"/>
      <c r="L4354" s="3928"/>
      <c r="M4354" s="673" t="s">
        <v>199</v>
      </c>
      <c r="N4354" s="672" t="s">
        <v>1118</v>
      </c>
      <c r="O4354" s="680">
        <v>159.9</v>
      </c>
      <c r="P4354" s="680"/>
      <c r="Q4354" s="680">
        <v>159.9</v>
      </c>
      <c r="R4354" s="680">
        <v>159.9</v>
      </c>
      <c r="S4354" s="680">
        <v>159.9</v>
      </c>
      <c r="T4354" s="680">
        <v>159.9</v>
      </c>
      <c r="U4354" s="680">
        <v>159.9</v>
      </c>
      <c r="V4354" s="680"/>
      <c r="W4354" s="680"/>
      <c r="X4354" s="680"/>
      <c r="Y4354" s="680"/>
      <c r="Z4354" s="680"/>
      <c r="AA4354" s="679">
        <f t="shared" si="692"/>
        <v>959.4</v>
      </c>
    </row>
    <row r="4355" spans="2:27" x14ac:dyDescent="0.2">
      <c r="B4355" s="3925"/>
      <c r="C4355" s="3925"/>
      <c r="D4355" s="3928"/>
      <c r="E4355" s="3928"/>
      <c r="F4355" s="3928"/>
      <c r="G4355" s="3928"/>
      <c r="H4355" s="3928"/>
      <c r="I4355" s="3928"/>
      <c r="J4355" s="3928"/>
      <c r="K4355" s="3931"/>
      <c r="L4355" s="3928"/>
      <c r="M4355" s="671" t="s">
        <v>544</v>
      </c>
      <c r="N4355" s="672" t="s">
        <v>1789</v>
      </c>
      <c r="O4355" s="680">
        <v>31</v>
      </c>
      <c r="P4355" s="680">
        <v>31</v>
      </c>
      <c r="Q4355" s="680">
        <v>31</v>
      </c>
      <c r="R4355" s="680">
        <v>31</v>
      </c>
      <c r="S4355" s="680">
        <v>31</v>
      </c>
      <c r="T4355" s="680">
        <v>31</v>
      </c>
      <c r="U4355" s="680">
        <v>31</v>
      </c>
      <c r="V4355" s="680">
        <v>31</v>
      </c>
      <c r="W4355" s="680">
        <v>31</v>
      </c>
      <c r="X4355" s="680">
        <v>31</v>
      </c>
      <c r="Y4355" s="680">
        <v>31</v>
      </c>
      <c r="Z4355" s="680">
        <v>31</v>
      </c>
      <c r="AA4355" s="987">
        <f t="shared" si="692"/>
        <v>372</v>
      </c>
    </row>
    <row r="4356" spans="2:27" ht="22.5" x14ac:dyDescent="0.2">
      <c r="B4356" s="3925"/>
      <c r="C4356" s="3925"/>
      <c r="D4356" s="3928"/>
      <c r="E4356" s="3928"/>
      <c r="F4356" s="3928"/>
      <c r="G4356" s="3928"/>
      <c r="H4356" s="3928"/>
      <c r="I4356" s="3928"/>
      <c r="J4356" s="3928"/>
      <c r="K4356" s="3931"/>
      <c r="L4356" s="3928"/>
      <c r="M4356" s="671" t="s">
        <v>200</v>
      </c>
      <c r="N4356" s="672" t="s">
        <v>546</v>
      </c>
      <c r="O4356" s="680">
        <v>700</v>
      </c>
      <c r="P4356" s="680"/>
      <c r="Q4356" s="680"/>
      <c r="R4356" s="680"/>
      <c r="S4356" s="680"/>
      <c r="T4356" s="680"/>
      <c r="U4356" s="680">
        <v>450</v>
      </c>
      <c r="V4356" s="680"/>
      <c r="W4356" s="680"/>
      <c r="X4356" s="680"/>
      <c r="Y4356" s="680"/>
      <c r="Z4356" s="680"/>
      <c r="AA4356" s="985">
        <f t="shared" si="692"/>
        <v>1150</v>
      </c>
    </row>
    <row r="4357" spans="2:27" ht="22.5" x14ac:dyDescent="0.2">
      <c r="B4357" s="3925"/>
      <c r="C4357" s="3925"/>
      <c r="D4357" s="3928"/>
      <c r="E4357" s="3928"/>
      <c r="F4357" s="3928"/>
      <c r="G4357" s="3928"/>
      <c r="H4357" s="3928"/>
      <c r="I4357" s="3928"/>
      <c r="J4357" s="3928"/>
      <c r="K4357" s="3931"/>
      <c r="L4357" s="3928"/>
      <c r="M4357" s="671" t="s">
        <v>226</v>
      </c>
      <c r="N4357" s="672" t="s">
        <v>1790</v>
      </c>
      <c r="O4357" s="680">
        <v>4932</v>
      </c>
      <c r="P4357" s="680"/>
      <c r="Q4357" s="680"/>
      <c r="R4357" s="680"/>
      <c r="S4357" s="680"/>
      <c r="T4357" s="680"/>
      <c r="U4357" s="680"/>
      <c r="V4357" s="680"/>
      <c r="W4357" s="680"/>
      <c r="X4357" s="680"/>
      <c r="Y4357" s="680"/>
      <c r="Z4357" s="680"/>
      <c r="AA4357" s="985">
        <f t="shared" si="692"/>
        <v>4932</v>
      </c>
    </row>
    <row r="4358" spans="2:27" ht="22.5" x14ac:dyDescent="0.2">
      <c r="B4358" s="3925"/>
      <c r="C4358" s="3925"/>
      <c r="D4358" s="3928"/>
      <c r="E4358" s="3928"/>
      <c r="F4358" s="3928"/>
      <c r="G4358" s="3928"/>
      <c r="H4358" s="3928"/>
      <c r="I4358" s="3928"/>
      <c r="J4358" s="3928"/>
      <c r="K4358" s="3931"/>
      <c r="L4358" s="3928"/>
      <c r="M4358" s="671" t="s">
        <v>228</v>
      </c>
      <c r="N4358" s="672" t="s">
        <v>1791</v>
      </c>
      <c r="O4358" s="680">
        <v>500</v>
      </c>
      <c r="P4358" s="680"/>
      <c r="Q4358" s="680"/>
      <c r="R4358" s="680"/>
      <c r="S4358" s="680"/>
      <c r="T4358" s="680"/>
      <c r="U4358" s="680">
        <v>250</v>
      </c>
      <c r="V4358" s="680"/>
      <c r="W4358" s="680"/>
      <c r="X4358" s="680"/>
      <c r="Y4358" s="680"/>
      <c r="Z4358" s="680"/>
      <c r="AA4358" s="985">
        <f t="shared" si="692"/>
        <v>750</v>
      </c>
    </row>
    <row r="4359" spans="2:27" x14ac:dyDescent="0.2">
      <c r="B4359" s="3925"/>
      <c r="C4359" s="3925"/>
      <c r="D4359" s="3928"/>
      <c r="E4359" s="3928"/>
      <c r="F4359" s="3928"/>
      <c r="G4359" s="3928"/>
      <c r="H4359" s="3928"/>
      <c r="I4359" s="3928"/>
      <c r="J4359" s="3928"/>
      <c r="K4359" s="3931"/>
      <c r="L4359" s="3928"/>
      <c r="M4359" s="671" t="s">
        <v>1126</v>
      </c>
      <c r="N4359" s="672" t="s">
        <v>1792</v>
      </c>
      <c r="O4359" s="680"/>
      <c r="P4359" s="680"/>
      <c r="Q4359" s="680"/>
      <c r="R4359" s="680"/>
      <c r="S4359" s="680"/>
      <c r="T4359" s="680">
        <v>500</v>
      </c>
      <c r="U4359" s="680"/>
      <c r="V4359" s="680"/>
      <c r="W4359" s="680"/>
      <c r="X4359" s="680"/>
      <c r="Y4359" s="680"/>
      <c r="Z4359" s="680"/>
      <c r="AA4359" s="985">
        <f t="shared" si="692"/>
        <v>500</v>
      </c>
    </row>
    <row r="4360" spans="2:27" x14ac:dyDescent="0.2">
      <c r="B4360" s="3925"/>
      <c r="C4360" s="3925"/>
      <c r="D4360" s="3928"/>
      <c r="E4360" s="3928"/>
      <c r="F4360" s="3928"/>
      <c r="G4360" s="3928"/>
      <c r="H4360" s="3928"/>
      <c r="I4360" s="3928"/>
      <c r="J4360" s="3929"/>
      <c r="K4360" s="3932"/>
      <c r="L4360" s="3928"/>
      <c r="M4360" s="671" t="s">
        <v>1454</v>
      </c>
      <c r="N4360" s="672" t="s">
        <v>207</v>
      </c>
      <c r="O4360" s="680">
        <v>5000</v>
      </c>
      <c r="P4360" s="680"/>
      <c r="Q4360" s="680"/>
      <c r="R4360" s="680"/>
      <c r="S4360" s="680"/>
      <c r="T4360" s="680">
        <v>6890</v>
      </c>
      <c r="U4360" s="680"/>
      <c r="V4360" s="680"/>
      <c r="W4360" s="680"/>
      <c r="X4360" s="680"/>
      <c r="Y4360" s="680"/>
      <c r="Z4360" s="680"/>
      <c r="AA4360" s="985">
        <f t="shared" si="692"/>
        <v>11890</v>
      </c>
    </row>
    <row r="4361" spans="2:27" x14ac:dyDescent="0.2">
      <c r="B4361" s="3925"/>
      <c r="C4361" s="3925"/>
      <c r="D4361" s="3928"/>
      <c r="E4361" s="3928"/>
      <c r="F4361" s="3928"/>
      <c r="G4361" s="3928"/>
      <c r="H4361" s="3928"/>
      <c r="I4361" s="3928"/>
      <c r="J4361" s="3939">
        <v>84</v>
      </c>
      <c r="K4361" s="3940">
        <f>+AA4362</f>
        <v>102211</v>
      </c>
      <c r="L4361" s="3928"/>
      <c r="M4361" s="3551" t="s">
        <v>51</v>
      </c>
      <c r="N4361" s="3552"/>
      <c r="O4361" s="991">
        <v>7</v>
      </c>
      <c r="P4361" s="991">
        <v>7</v>
      </c>
      <c r="Q4361" s="991">
        <v>7</v>
      </c>
      <c r="R4361" s="991">
        <v>7</v>
      </c>
      <c r="S4361" s="991">
        <v>7</v>
      </c>
      <c r="T4361" s="991">
        <v>7</v>
      </c>
      <c r="U4361" s="991">
        <v>7</v>
      </c>
      <c r="V4361" s="991">
        <v>7</v>
      </c>
      <c r="W4361" s="991">
        <v>7</v>
      </c>
      <c r="X4361" s="991">
        <v>7</v>
      </c>
      <c r="Y4361" s="991">
        <v>7</v>
      </c>
      <c r="Z4361" s="991">
        <v>7</v>
      </c>
      <c r="AA4361" s="995">
        <f t="shared" si="692"/>
        <v>84</v>
      </c>
    </row>
    <row r="4362" spans="2:27" x14ac:dyDescent="0.2">
      <c r="B4362" s="3925"/>
      <c r="C4362" s="3925"/>
      <c r="D4362" s="3928"/>
      <c r="E4362" s="3928"/>
      <c r="F4362" s="3928"/>
      <c r="G4362" s="3928"/>
      <c r="H4362" s="3928"/>
      <c r="I4362" s="3928"/>
      <c r="J4362" s="3939"/>
      <c r="K4362" s="3941"/>
      <c r="L4362" s="3928"/>
      <c r="M4362" s="3551" t="s">
        <v>111</v>
      </c>
      <c r="N4362" s="3552"/>
      <c r="O4362" s="991">
        <f t="shared" ref="O4362:Z4362" si="695">+O4363</f>
        <v>8518</v>
      </c>
      <c r="P4362" s="991">
        <f t="shared" si="695"/>
        <v>8518</v>
      </c>
      <c r="Q4362" s="991">
        <f t="shared" si="695"/>
        <v>8518</v>
      </c>
      <c r="R4362" s="991">
        <f t="shared" si="695"/>
        <v>8518</v>
      </c>
      <c r="S4362" s="991">
        <f t="shared" si="695"/>
        <v>8518</v>
      </c>
      <c r="T4362" s="991">
        <f t="shared" si="695"/>
        <v>8518</v>
      </c>
      <c r="U4362" s="991">
        <f t="shared" si="695"/>
        <v>8518</v>
      </c>
      <c r="V4362" s="991">
        <f t="shared" si="695"/>
        <v>8518</v>
      </c>
      <c r="W4362" s="991">
        <f t="shared" si="695"/>
        <v>8518</v>
      </c>
      <c r="X4362" s="991">
        <f t="shared" si="695"/>
        <v>8518</v>
      </c>
      <c r="Y4362" s="991">
        <f t="shared" si="695"/>
        <v>8518</v>
      </c>
      <c r="Z4362" s="991">
        <f t="shared" si="695"/>
        <v>8513</v>
      </c>
      <c r="AA4362" s="995">
        <f t="shared" si="692"/>
        <v>102211</v>
      </c>
    </row>
    <row r="4363" spans="2:27" ht="33.75" x14ac:dyDescent="0.2">
      <c r="B4363" s="3925"/>
      <c r="C4363" s="3925"/>
      <c r="D4363" s="3928"/>
      <c r="E4363" s="3928"/>
      <c r="F4363" s="3928"/>
      <c r="G4363" s="3928"/>
      <c r="H4363" s="3928"/>
      <c r="I4363" s="3928"/>
      <c r="J4363" s="3939"/>
      <c r="K4363" s="3942"/>
      <c r="L4363" s="3928"/>
      <c r="M4363" s="673" t="s">
        <v>208</v>
      </c>
      <c r="N4363" s="993" t="s">
        <v>1763</v>
      </c>
      <c r="O4363" s="996">
        <v>8518</v>
      </c>
      <c r="P4363" s="996">
        <v>8518</v>
      </c>
      <c r="Q4363" s="996">
        <v>8518</v>
      </c>
      <c r="R4363" s="996">
        <v>8518</v>
      </c>
      <c r="S4363" s="996">
        <v>8518</v>
      </c>
      <c r="T4363" s="996">
        <v>8518</v>
      </c>
      <c r="U4363" s="996">
        <v>8518</v>
      </c>
      <c r="V4363" s="996">
        <v>8518</v>
      </c>
      <c r="W4363" s="996">
        <v>8518</v>
      </c>
      <c r="X4363" s="996">
        <v>8518</v>
      </c>
      <c r="Y4363" s="996">
        <v>8518</v>
      </c>
      <c r="Z4363" s="996">
        <v>8513</v>
      </c>
      <c r="AA4363" s="1000">
        <f t="shared" si="692"/>
        <v>102211</v>
      </c>
    </row>
    <row r="4364" spans="2:27" x14ac:dyDescent="0.2">
      <c r="B4364" s="3925"/>
      <c r="C4364" s="3925"/>
      <c r="D4364" s="3928"/>
      <c r="E4364" s="3928"/>
      <c r="F4364" s="3928"/>
      <c r="G4364" s="3928"/>
      <c r="H4364" s="3928"/>
      <c r="I4364" s="3928"/>
      <c r="J4364" s="3939">
        <v>84</v>
      </c>
      <c r="K4364" s="3940">
        <v>7505</v>
      </c>
      <c r="L4364" s="3928"/>
      <c r="M4364" s="3551" t="s">
        <v>51</v>
      </c>
      <c r="N4364" s="3552"/>
      <c r="O4364" s="991">
        <v>7</v>
      </c>
      <c r="P4364" s="991">
        <v>7</v>
      </c>
      <c r="Q4364" s="991">
        <v>7</v>
      </c>
      <c r="R4364" s="991">
        <v>7</v>
      </c>
      <c r="S4364" s="991">
        <v>7</v>
      </c>
      <c r="T4364" s="991">
        <v>7</v>
      </c>
      <c r="U4364" s="991">
        <v>7</v>
      </c>
      <c r="V4364" s="991">
        <v>7</v>
      </c>
      <c r="W4364" s="991">
        <v>7</v>
      </c>
      <c r="X4364" s="991">
        <v>7</v>
      </c>
      <c r="Y4364" s="991">
        <v>7</v>
      </c>
      <c r="Z4364" s="991">
        <f t="shared" ref="Z4364" si="696">7+3</f>
        <v>10</v>
      </c>
      <c r="AA4364" s="995">
        <f t="shared" si="692"/>
        <v>87</v>
      </c>
    </row>
    <row r="4365" spans="2:27" x14ac:dyDescent="0.2">
      <c r="B4365" s="3925"/>
      <c r="C4365" s="3925"/>
      <c r="D4365" s="3928"/>
      <c r="E4365" s="3928"/>
      <c r="F4365" s="3928"/>
      <c r="G4365" s="3928"/>
      <c r="H4365" s="3928"/>
      <c r="I4365" s="3928"/>
      <c r="J4365" s="3939"/>
      <c r="K4365" s="3941"/>
      <c r="L4365" s="3928"/>
      <c r="M4365" s="3551" t="s">
        <v>111</v>
      </c>
      <c r="N4365" s="3552"/>
      <c r="O4365" s="991">
        <v>625</v>
      </c>
      <c r="P4365" s="991">
        <v>625</v>
      </c>
      <c r="Q4365" s="991">
        <v>625</v>
      </c>
      <c r="R4365" s="991">
        <v>625</v>
      </c>
      <c r="S4365" s="991">
        <v>625</v>
      </c>
      <c r="T4365" s="991">
        <v>625</v>
      </c>
      <c r="U4365" s="991">
        <v>625</v>
      </c>
      <c r="V4365" s="991">
        <v>625</v>
      </c>
      <c r="W4365" s="991">
        <v>625</v>
      </c>
      <c r="X4365" s="991">
        <v>625</v>
      </c>
      <c r="Y4365" s="991">
        <v>625</v>
      </c>
      <c r="Z4365" s="991">
        <v>630</v>
      </c>
      <c r="AA4365" s="995">
        <f t="shared" si="692"/>
        <v>7505</v>
      </c>
    </row>
    <row r="4366" spans="2:27" ht="19.5" customHeight="1" x14ac:dyDescent="0.2">
      <c r="B4366" s="3926"/>
      <c r="C4366" s="3926"/>
      <c r="D4366" s="3929"/>
      <c r="E4366" s="3929"/>
      <c r="F4366" s="3929"/>
      <c r="G4366" s="3929"/>
      <c r="H4366" s="3929"/>
      <c r="I4366" s="3929"/>
      <c r="J4366" s="3939"/>
      <c r="K4366" s="3942"/>
      <c r="L4366" s="3929"/>
      <c r="M4366" s="673" t="s">
        <v>210</v>
      </c>
      <c r="N4366" s="993" t="s">
        <v>1760</v>
      </c>
      <c r="O4366" s="680">
        <v>625</v>
      </c>
      <c r="P4366" s="680">
        <v>625</v>
      </c>
      <c r="Q4366" s="680">
        <v>625</v>
      </c>
      <c r="R4366" s="680">
        <v>625</v>
      </c>
      <c r="S4366" s="680">
        <v>625</v>
      </c>
      <c r="T4366" s="680">
        <v>625</v>
      </c>
      <c r="U4366" s="680">
        <v>625</v>
      </c>
      <c r="V4366" s="680">
        <v>625</v>
      </c>
      <c r="W4366" s="680">
        <v>625</v>
      </c>
      <c r="X4366" s="680">
        <v>625</v>
      </c>
      <c r="Y4366" s="680">
        <v>625</v>
      </c>
      <c r="Z4366" s="680">
        <v>630</v>
      </c>
      <c r="AA4366" s="987">
        <f t="shared" si="692"/>
        <v>7505</v>
      </c>
    </row>
    <row r="4367" spans="2:27" x14ac:dyDescent="0.2">
      <c r="B4367" s="3924">
        <v>5000708</v>
      </c>
      <c r="C4367" s="3924" t="s">
        <v>1793</v>
      </c>
      <c r="D4367" s="3927">
        <v>69</v>
      </c>
      <c r="E4367" s="3927"/>
      <c r="F4367" s="3927"/>
      <c r="G4367" s="3927"/>
      <c r="H4367" s="3927" t="s">
        <v>1794</v>
      </c>
      <c r="I4367" s="3927" t="s">
        <v>1795</v>
      </c>
      <c r="J4367" s="3927">
        <v>5</v>
      </c>
      <c r="K4367" s="3930">
        <v>960</v>
      </c>
      <c r="L4367" s="3950" t="s">
        <v>1796</v>
      </c>
      <c r="M4367" s="3551" t="s">
        <v>51</v>
      </c>
      <c r="N4367" s="3552"/>
      <c r="O4367" s="991"/>
      <c r="P4367" s="991"/>
      <c r="Q4367" s="991">
        <v>1</v>
      </c>
      <c r="R4367" s="991"/>
      <c r="S4367" s="991"/>
      <c r="T4367" s="991">
        <v>1</v>
      </c>
      <c r="U4367" s="991"/>
      <c r="V4367" s="991"/>
      <c r="W4367" s="991">
        <v>1</v>
      </c>
      <c r="X4367" s="991"/>
      <c r="Y4367" s="991">
        <v>2</v>
      </c>
      <c r="Z4367" s="991"/>
      <c r="AA4367" s="995">
        <f t="shared" si="692"/>
        <v>5</v>
      </c>
    </row>
    <row r="4368" spans="2:27" x14ac:dyDescent="0.2">
      <c r="B4368" s="3925"/>
      <c r="C4368" s="3925"/>
      <c r="D4368" s="3928"/>
      <c r="E4368" s="3928"/>
      <c r="F4368" s="3928"/>
      <c r="G4368" s="3928"/>
      <c r="H4368" s="3928"/>
      <c r="I4368" s="3928"/>
      <c r="J4368" s="3928"/>
      <c r="K4368" s="3931"/>
      <c r="L4368" s="3950"/>
      <c r="M4368" s="3933" t="s">
        <v>1340</v>
      </c>
      <c r="N4368" s="3934"/>
      <c r="O4368" s="991">
        <f>SUM(O4369:O4370)</f>
        <v>240</v>
      </c>
      <c r="P4368" s="991"/>
      <c r="Q4368" s="991">
        <f>SUM(Q4369:Q4370)</f>
        <v>0</v>
      </c>
      <c r="R4368" s="991">
        <f>SUM(R4369:R4370)</f>
        <v>0</v>
      </c>
      <c r="S4368" s="991"/>
      <c r="T4368" s="991">
        <f>SUM(T4369:T4370)</f>
        <v>240</v>
      </c>
      <c r="U4368" s="991">
        <f>SUM(U4369:U4370)</f>
        <v>0</v>
      </c>
      <c r="V4368" s="991"/>
      <c r="W4368" s="991">
        <f>SUM(W4369:W4370)</f>
        <v>240</v>
      </c>
      <c r="X4368" s="991">
        <f>SUM(X4369:X4370)</f>
        <v>0</v>
      </c>
      <c r="Y4368" s="991">
        <f>SUM(Y4369:Y4370)</f>
        <v>240</v>
      </c>
      <c r="Z4368" s="991"/>
      <c r="AA4368" s="995">
        <f t="shared" si="692"/>
        <v>960</v>
      </c>
    </row>
    <row r="4369" spans="2:27" x14ac:dyDescent="0.2">
      <c r="B4369" s="3925"/>
      <c r="C4369" s="3925"/>
      <c r="D4369" s="3928"/>
      <c r="E4369" s="3928"/>
      <c r="F4369" s="3928"/>
      <c r="G4369" s="3928"/>
      <c r="H4369" s="3928"/>
      <c r="I4369" s="3928"/>
      <c r="J4369" s="3928"/>
      <c r="K4369" s="3931"/>
      <c r="L4369" s="3950"/>
      <c r="M4369" s="673" t="s">
        <v>541</v>
      </c>
      <c r="N4369" s="673" t="s">
        <v>1797</v>
      </c>
      <c r="O4369" s="680">
        <v>30</v>
      </c>
      <c r="P4369" s="680"/>
      <c r="Q4369" s="680"/>
      <c r="R4369" s="680"/>
      <c r="S4369" s="680"/>
      <c r="T4369" s="680">
        <v>30</v>
      </c>
      <c r="U4369" s="680"/>
      <c r="V4369" s="680"/>
      <c r="W4369" s="680">
        <v>30</v>
      </c>
      <c r="X4369" s="680"/>
      <c r="Y4369" s="680">
        <v>30</v>
      </c>
      <c r="Z4369" s="680"/>
      <c r="AA4369" s="985">
        <f t="shared" si="692"/>
        <v>120</v>
      </c>
    </row>
    <row r="4370" spans="2:27" ht="22.5" x14ac:dyDescent="0.2">
      <c r="B4370" s="3925"/>
      <c r="C4370" s="3925"/>
      <c r="D4370" s="3928"/>
      <c r="E4370" s="3928"/>
      <c r="F4370" s="3928"/>
      <c r="G4370" s="3928"/>
      <c r="H4370" s="3928"/>
      <c r="I4370" s="3928"/>
      <c r="J4370" s="3928"/>
      <c r="K4370" s="3931"/>
      <c r="L4370" s="3924"/>
      <c r="M4370" s="675" t="s">
        <v>194</v>
      </c>
      <c r="N4370" s="675" t="s">
        <v>1197</v>
      </c>
      <c r="O4370" s="680">
        <v>210</v>
      </c>
      <c r="P4370" s="680"/>
      <c r="Q4370" s="680"/>
      <c r="R4370" s="680"/>
      <c r="S4370" s="680"/>
      <c r="T4370" s="680">
        <v>210</v>
      </c>
      <c r="U4370" s="680"/>
      <c r="V4370" s="680"/>
      <c r="W4370" s="680">
        <v>210</v>
      </c>
      <c r="X4370" s="680"/>
      <c r="Y4370" s="680">
        <v>210</v>
      </c>
      <c r="Z4370" s="680"/>
      <c r="AA4370" s="985">
        <f>SUM(O4370:Z4370)</f>
        <v>840</v>
      </c>
    </row>
    <row r="4371" spans="2:27" x14ac:dyDescent="0.2">
      <c r="B4371" s="3925"/>
      <c r="C4371" s="3925"/>
      <c r="D4371" s="3928"/>
      <c r="E4371" s="3928"/>
      <c r="F4371" s="3928"/>
      <c r="G4371" s="3928"/>
      <c r="H4371" s="3553" t="s">
        <v>2922</v>
      </c>
      <c r="I4371" s="3951" t="s">
        <v>1302</v>
      </c>
      <c r="J4371" s="3952">
        <v>12</v>
      </c>
      <c r="K4371" s="3954">
        <v>31980</v>
      </c>
      <c r="L4371" s="3956" t="s">
        <v>1767</v>
      </c>
      <c r="M4371" s="3551" t="s">
        <v>51</v>
      </c>
      <c r="N4371" s="3552"/>
      <c r="O4371" s="991">
        <v>1</v>
      </c>
      <c r="P4371" s="991">
        <v>1</v>
      </c>
      <c r="Q4371" s="991">
        <v>1</v>
      </c>
      <c r="R4371" s="991">
        <v>1</v>
      </c>
      <c r="S4371" s="991">
        <v>1</v>
      </c>
      <c r="T4371" s="991">
        <v>1</v>
      </c>
      <c r="U4371" s="991">
        <v>1</v>
      </c>
      <c r="V4371" s="991">
        <v>1</v>
      </c>
      <c r="W4371" s="991">
        <v>1</v>
      </c>
      <c r="X4371" s="991">
        <v>1</v>
      </c>
      <c r="Y4371" s="991">
        <v>1</v>
      </c>
      <c r="Z4371" s="991">
        <v>1</v>
      </c>
      <c r="AA4371" s="995">
        <f t="shared" ref="AA4371:AA4397" si="697">SUM(O4371:Z4371)</f>
        <v>12</v>
      </c>
    </row>
    <row r="4372" spans="2:27" x14ac:dyDescent="0.2">
      <c r="B4372" s="3925"/>
      <c r="C4372" s="3925"/>
      <c r="D4372" s="3928"/>
      <c r="E4372" s="3928"/>
      <c r="F4372" s="3928"/>
      <c r="G4372" s="3928"/>
      <c r="H4372" s="3554"/>
      <c r="I4372" s="3951"/>
      <c r="J4372" s="3953"/>
      <c r="K4372" s="3955"/>
      <c r="L4372" s="3957"/>
      <c r="M4372" s="3551" t="s">
        <v>111</v>
      </c>
      <c r="N4372" s="3552"/>
      <c r="O4372" s="991">
        <f t="shared" ref="O4372:Z4372" si="698">+O4373</f>
        <v>2665</v>
      </c>
      <c r="P4372" s="991">
        <f t="shared" si="698"/>
        <v>2665</v>
      </c>
      <c r="Q4372" s="991">
        <f t="shared" si="698"/>
        <v>2665</v>
      </c>
      <c r="R4372" s="991">
        <f t="shared" si="698"/>
        <v>2665</v>
      </c>
      <c r="S4372" s="991">
        <f t="shared" si="698"/>
        <v>2665</v>
      </c>
      <c r="T4372" s="991">
        <f t="shared" si="698"/>
        <v>2665</v>
      </c>
      <c r="U4372" s="991">
        <f t="shared" si="698"/>
        <v>2665</v>
      </c>
      <c r="V4372" s="991">
        <f t="shared" si="698"/>
        <v>2665</v>
      </c>
      <c r="W4372" s="991">
        <f t="shared" si="698"/>
        <v>2665</v>
      </c>
      <c r="X4372" s="991">
        <f t="shared" si="698"/>
        <v>2665</v>
      </c>
      <c r="Y4372" s="991">
        <f t="shared" si="698"/>
        <v>2665</v>
      </c>
      <c r="Z4372" s="991">
        <f t="shared" si="698"/>
        <v>2665</v>
      </c>
      <c r="AA4372" s="995">
        <f t="shared" si="697"/>
        <v>31980</v>
      </c>
    </row>
    <row r="4373" spans="2:27" ht="45" x14ac:dyDescent="0.2">
      <c r="B4373" s="3925"/>
      <c r="C4373" s="3925"/>
      <c r="D4373" s="3928"/>
      <c r="E4373" s="3928"/>
      <c r="F4373" s="3928"/>
      <c r="G4373" s="3928"/>
      <c r="H4373" s="3555"/>
      <c r="I4373" s="3951"/>
      <c r="J4373" s="3953"/>
      <c r="K4373" s="3955"/>
      <c r="L4373" s="3957"/>
      <c r="M4373" s="1002" t="s">
        <v>1747</v>
      </c>
      <c r="N4373" s="1002" t="s">
        <v>1748</v>
      </c>
      <c r="O4373" s="1003">
        <v>2665</v>
      </c>
      <c r="P4373" s="1003">
        <v>2665</v>
      </c>
      <c r="Q4373" s="1003">
        <v>2665</v>
      </c>
      <c r="R4373" s="1003">
        <v>2665</v>
      </c>
      <c r="S4373" s="1003">
        <v>2665</v>
      </c>
      <c r="T4373" s="1003">
        <v>2665</v>
      </c>
      <c r="U4373" s="1003">
        <v>2665</v>
      </c>
      <c r="V4373" s="1003">
        <v>2665</v>
      </c>
      <c r="W4373" s="1003">
        <v>2665</v>
      </c>
      <c r="X4373" s="1003">
        <v>2665</v>
      </c>
      <c r="Y4373" s="1003">
        <v>2665</v>
      </c>
      <c r="Z4373" s="1003">
        <v>2665</v>
      </c>
      <c r="AA4373" s="1004">
        <f t="shared" si="697"/>
        <v>31980</v>
      </c>
    </row>
    <row r="4374" spans="2:27" x14ac:dyDescent="0.2">
      <c r="B4374" s="3925"/>
      <c r="C4374" s="3925"/>
      <c r="D4374" s="3928"/>
      <c r="E4374" s="3928"/>
      <c r="F4374" s="3928"/>
      <c r="G4374" s="3928"/>
      <c r="H4374" s="3553" t="s">
        <v>2922</v>
      </c>
      <c r="I4374" s="3951" t="s">
        <v>1302</v>
      </c>
      <c r="J4374" s="3939">
        <v>120</v>
      </c>
      <c r="K4374" s="3964">
        <f>+AA4375</f>
        <v>57147</v>
      </c>
      <c r="L4374" s="3957"/>
      <c r="M4374" s="3551" t="s">
        <v>51</v>
      </c>
      <c r="N4374" s="3552"/>
      <c r="O4374" s="994">
        <v>10</v>
      </c>
      <c r="P4374" s="994">
        <v>10</v>
      </c>
      <c r="Q4374" s="994">
        <v>10</v>
      </c>
      <c r="R4374" s="994">
        <v>10</v>
      </c>
      <c r="S4374" s="994">
        <v>10</v>
      </c>
      <c r="T4374" s="994">
        <v>10</v>
      </c>
      <c r="U4374" s="994">
        <v>10</v>
      </c>
      <c r="V4374" s="994">
        <v>10</v>
      </c>
      <c r="W4374" s="994">
        <v>10</v>
      </c>
      <c r="X4374" s="994">
        <v>10</v>
      </c>
      <c r="Y4374" s="994">
        <v>10</v>
      </c>
      <c r="Z4374" s="994">
        <v>10</v>
      </c>
      <c r="AA4374" s="999">
        <f t="shared" si="697"/>
        <v>120</v>
      </c>
    </row>
    <row r="4375" spans="2:27" x14ac:dyDescent="0.2">
      <c r="B4375" s="3925"/>
      <c r="C4375" s="3925"/>
      <c r="D4375" s="3928"/>
      <c r="E4375" s="3928"/>
      <c r="F4375" s="3928"/>
      <c r="G4375" s="3928"/>
      <c r="H4375" s="3554"/>
      <c r="I4375" s="3951"/>
      <c r="J4375" s="3939"/>
      <c r="K4375" s="3964"/>
      <c r="L4375" s="3957"/>
      <c r="M4375" s="3551" t="s">
        <v>111</v>
      </c>
      <c r="N4375" s="3552"/>
      <c r="O4375" s="994">
        <f t="shared" ref="O4375:W4375" si="699">+O4376</f>
        <v>4762</v>
      </c>
      <c r="P4375" s="994">
        <f t="shared" si="699"/>
        <v>4762</v>
      </c>
      <c r="Q4375" s="994">
        <f t="shared" si="699"/>
        <v>4762</v>
      </c>
      <c r="R4375" s="994">
        <f t="shared" si="699"/>
        <v>4762</v>
      </c>
      <c r="S4375" s="994">
        <f t="shared" si="699"/>
        <v>4762</v>
      </c>
      <c r="T4375" s="994">
        <f t="shared" si="699"/>
        <v>4762</v>
      </c>
      <c r="U4375" s="994">
        <f t="shared" si="699"/>
        <v>4762</v>
      </c>
      <c r="V4375" s="994">
        <f t="shared" si="699"/>
        <v>4762</v>
      </c>
      <c r="W4375" s="994">
        <f t="shared" si="699"/>
        <v>4762</v>
      </c>
      <c r="X4375" s="994">
        <f>+X4376</f>
        <v>4762</v>
      </c>
      <c r="Y4375" s="994">
        <f>+Y4376</f>
        <v>4762</v>
      </c>
      <c r="Z4375" s="994">
        <v>4765</v>
      </c>
      <c r="AA4375" s="999">
        <f t="shared" si="697"/>
        <v>57147</v>
      </c>
    </row>
    <row r="4376" spans="2:27" ht="33.75" x14ac:dyDescent="0.2">
      <c r="B4376" s="3925"/>
      <c r="C4376" s="3925"/>
      <c r="D4376" s="3928"/>
      <c r="E4376" s="3928"/>
      <c r="F4376" s="3928"/>
      <c r="G4376" s="3928"/>
      <c r="H4376" s="3555"/>
      <c r="I4376" s="3951"/>
      <c r="J4376" s="3939"/>
      <c r="K4376" s="3964"/>
      <c r="L4376" s="3957"/>
      <c r="M4376" s="676" t="s">
        <v>1094</v>
      </c>
      <c r="N4376" s="672" t="s">
        <v>1751</v>
      </c>
      <c r="O4376" s="680">
        <v>4762</v>
      </c>
      <c r="P4376" s="680">
        <v>4762</v>
      </c>
      <c r="Q4376" s="680">
        <v>4762</v>
      </c>
      <c r="R4376" s="680">
        <v>4762</v>
      </c>
      <c r="S4376" s="680">
        <v>4762</v>
      </c>
      <c r="T4376" s="680">
        <v>4762</v>
      </c>
      <c r="U4376" s="680">
        <v>4762</v>
      </c>
      <c r="V4376" s="680">
        <v>4762</v>
      </c>
      <c r="W4376" s="680">
        <v>4762</v>
      </c>
      <c r="X4376" s="680">
        <v>4762</v>
      </c>
      <c r="Y4376" s="680">
        <v>4762</v>
      </c>
      <c r="Z4376" s="680">
        <v>4765</v>
      </c>
      <c r="AA4376" s="985">
        <f t="shared" si="697"/>
        <v>57147</v>
      </c>
    </row>
    <row r="4377" spans="2:27" x14ac:dyDescent="0.2">
      <c r="B4377" s="3925"/>
      <c r="C4377" s="3925"/>
      <c r="D4377" s="3928"/>
      <c r="E4377" s="3928"/>
      <c r="F4377" s="3928"/>
      <c r="G4377" s="3928"/>
      <c r="H4377" s="3553" t="s">
        <v>2922</v>
      </c>
      <c r="I4377" s="3951" t="s">
        <v>1302</v>
      </c>
      <c r="J4377" s="3939">
        <v>120</v>
      </c>
      <c r="K4377" s="3964">
        <f>+AA4378</f>
        <v>314563</v>
      </c>
      <c r="L4377" s="3957"/>
      <c r="M4377" s="3551" t="s">
        <v>51</v>
      </c>
      <c r="N4377" s="3552"/>
      <c r="O4377" s="682">
        <v>10</v>
      </c>
      <c r="P4377" s="682">
        <v>10</v>
      </c>
      <c r="Q4377" s="682">
        <v>10</v>
      </c>
      <c r="R4377" s="682">
        <v>10</v>
      </c>
      <c r="S4377" s="682">
        <v>10</v>
      </c>
      <c r="T4377" s="682">
        <v>10</v>
      </c>
      <c r="U4377" s="682">
        <v>10</v>
      </c>
      <c r="V4377" s="682">
        <v>10</v>
      </c>
      <c r="W4377" s="682">
        <v>10</v>
      </c>
      <c r="X4377" s="682">
        <v>10</v>
      </c>
      <c r="Y4377" s="682">
        <v>10</v>
      </c>
      <c r="Z4377" s="682">
        <v>10</v>
      </c>
      <c r="AA4377" s="987">
        <f t="shared" si="697"/>
        <v>120</v>
      </c>
    </row>
    <row r="4378" spans="2:27" x14ac:dyDescent="0.2">
      <c r="B4378" s="3925"/>
      <c r="C4378" s="3925"/>
      <c r="D4378" s="3928"/>
      <c r="E4378" s="3928"/>
      <c r="F4378" s="3928"/>
      <c r="G4378" s="3928"/>
      <c r="H4378" s="3554"/>
      <c r="I4378" s="3951"/>
      <c r="J4378" s="3939"/>
      <c r="K4378" s="3964"/>
      <c r="L4378" s="3957"/>
      <c r="M4378" s="3551" t="s">
        <v>111</v>
      </c>
      <c r="N4378" s="3552"/>
      <c r="O4378" s="682">
        <f t="shared" ref="O4378:Z4378" si="700">+O4379</f>
        <v>26215</v>
      </c>
      <c r="P4378" s="682">
        <f t="shared" si="700"/>
        <v>26215</v>
      </c>
      <c r="Q4378" s="682">
        <f t="shared" si="700"/>
        <v>26215</v>
      </c>
      <c r="R4378" s="682">
        <f t="shared" si="700"/>
        <v>22344.9</v>
      </c>
      <c r="S4378" s="682">
        <f t="shared" si="700"/>
        <v>20768.63</v>
      </c>
      <c r="T4378" s="682">
        <f t="shared" si="700"/>
        <v>20093</v>
      </c>
      <c r="U4378" s="682">
        <f t="shared" si="700"/>
        <v>20093.080000000002</v>
      </c>
      <c r="V4378" s="682">
        <f t="shared" si="700"/>
        <v>24596.720000000001</v>
      </c>
      <c r="W4378" s="682">
        <f t="shared" si="700"/>
        <v>22344.6</v>
      </c>
      <c r="X4378" s="682">
        <f t="shared" si="700"/>
        <v>18544.3</v>
      </c>
      <c r="Y4378" s="682">
        <f t="shared" si="700"/>
        <v>20444.599999999999</v>
      </c>
      <c r="Z4378" s="682">
        <f t="shared" si="700"/>
        <v>66688.17</v>
      </c>
      <c r="AA4378" s="987">
        <f t="shared" si="697"/>
        <v>314563</v>
      </c>
    </row>
    <row r="4379" spans="2:27" ht="22.5" x14ac:dyDescent="0.2">
      <c r="B4379" s="3925"/>
      <c r="C4379" s="3925"/>
      <c r="D4379" s="3928"/>
      <c r="E4379" s="3928"/>
      <c r="F4379" s="3928"/>
      <c r="G4379" s="3928"/>
      <c r="H4379" s="3555"/>
      <c r="I4379" s="3951"/>
      <c r="J4379" s="3939"/>
      <c r="K4379" s="3964"/>
      <c r="L4379" s="3957"/>
      <c r="M4379" s="676" t="s">
        <v>171</v>
      </c>
      <c r="N4379" s="672" t="s">
        <v>3022</v>
      </c>
      <c r="O4379" s="680">
        <v>26215</v>
      </c>
      <c r="P4379" s="680">
        <v>26215</v>
      </c>
      <c r="Q4379" s="680">
        <v>26215</v>
      </c>
      <c r="R4379" s="680">
        <v>22344.9</v>
      </c>
      <c r="S4379" s="680">
        <v>20768.63</v>
      </c>
      <c r="T4379" s="680">
        <v>20093</v>
      </c>
      <c r="U4379" s="680">
        <v>20093.080000000002</v>
      </c>
      <c r="V4379" s="680">
        <v>24596.720000000001</v>
      </c>
      <c r="W4379" s="680">
        <v>22344.6</v>
      </c>
      <c r="X4379" s="680">
        <v>18544.3</v>
      </c>
      <c r="Y4379" s="680">
        <v>20444.599999999999</v>
      </c>
      <c r="Z4379" s="680">
        <v>66688.17</v>
      </c>
      <c r="AA4379" s="987">
        <f t="shared" si="697"/>
        <v>314563</v>
      </c>
    </row>
    <row r="4380" spans="2:27" x14ac:dyDescent="0.2">
      <c r="B4380" s="3925"/>
      <c r="C4380" s="3925"/>
      <c r="D4380" s="3928"/>
      <c r="E4380" s="3928"/>
      <c r="F4380" s="3928"/>
      <c r="G4380" s="3928"/>
      <c r="H4380" s="3553" t="s">
        <v>2922</v>
      </c>
      <c r="I4380" s="3951" t="s">
        <v>1302</v>
      </c>
      <c r="J4380" s="3939">
        <v>14</v>
      </c>
      <c r="K4380" s="3940">
        <f>+AA4381</f>
        <v>7200</v>
      </c>
      <c r="L4380" s="3957"/>
      <c r="M4380" s="3551" t="s">
        <v>51</v>
      </c>
      <c r="N4380" s="3552"/>
      <c r="O4380" s="678"/>
      <c r="P4380" s="678"/>
      <c r="Q4380" s="678"/>
      <c r="R4380" s="678"/>
      <c r="S4380" s="678"/>
      <c r="T4380" s="678">
        <v>7</v>
      </c>
      <c r="U4380" s="678"/>
      <c r="V4380" s="678"/>
      <c r="W4380" s="678"/>
      <c r="X4380" s="678"/>
      <c r="Y4380" s="678"/>
      <c r="Z4380" s="681">
        <v>7</v>
      </c>
      <c r="AA4380" s="986">
        <f t="shared" si="697"/>
        <v>14</v>
      </c>
    </row>
    <row r="4381" spans="2:27" x14ac:dyDescent="0.2">
      <c r="B4381" s="3925"/>
      <c r="C4381" s="3925"/>
      <c r="D4381" s="3928"/>
      <c r="E4381" s="3928"/>
      <c r="F4381" s="3928"/>
      <c r="G4381" s="3928"/>
      <c r="H4381" s="3554"/>
      <c r="I4381" s="3951"/>
      <c r="J4381" s="3939"/>
      <c r="K4381" s="3941"/>
      <c r="L4381" s="3957"/>
      <c r="M4381" s="3551" t="s">
        <v>111</v>
      </c>
      <c r="N4381" s="3552"/>
      <c r="O4381" s="678"/>
      <c r="P4381" s="678"/>
      <c r="Q4381" s="678"/>
      <c r="R4381" s="678"/>
      <c r="S4381" s="678"/>
      <c r="T4381" s="678">
        <f>+T4382</f>
        <v>3300</v>
      </c>
      <c r="U4381" s="678"/>
      <c r="V4381" s="678"/>
      <c r="W4381" s="678"/>
      <c r="X4381" s="678"/>
      <c r="Y4381" s="678"/>
      <c r="Z4381" s="681">
        <f>+Z4382</f>
        <v>3900</v>
      </c>
      <c r="AA4381" s="986">
        <f t="shared" si="697"/>
        <v>7200</v>
      </c>
    </row>
    <row r="4382" spans="2:27" x14ac:dyDescent="0.2">
      <c r="B4382" s="3925"/>
      <c r="C4382" s="3925"/>
      <c r="D4382" s="3928"/>
      <c r="E4382" s="3928"/>
      <c r="F4382" s="3928"/>
      <c r="G4382" s="3928"/>
      <c r="H4382" s="3555"/>
      <c r="I4382" s="3951"/>
      <c r="J4382" s="3939"/>
      <c r="K4382" s="3942"/>
      <c r="L4382" s="3957"/>
      <c r="M4382" s="673" t="s">
        <v>172</v>
      </c>
      <c r="N4382" s="674" t="s">
        <v>173</v>
      </c>
      <c r="O4382" s="680"/>
      <c r="P4382" s="680"/>
      <c r="Q4382" s="680"/>
      <c r="R4382" s="680"/>
      <c r="S4382" s="680"/>
      <c r="T4382" s="680">
        <v>3300</v>
      </c>
      <c r="U4382" s="680"/>
      <c r="V4382" s="680"/>
      <c r="W4382" s="680"/>
      <c r="X4382" s="680"/>
      <c r="Y4382" s="680"/>
      <c r="Z4382" s="680">
        <v>3900</v>
      </c>
      <c r="AA4382" s="985">
        <f t="shared" si="697"/>
        <v>7200</v>
      </c>
    </row>
    <row r="4383" spans="2:27" x14ac:dyDescent="0.2">
      <c r="B4383" s="3925"/>
      <c r="C4383" s="3925"/>
      <c r="D4383" s="3928"/>
      <c r="E4383" s="3928"/>
      <c r="F4383" s="3928"/>
      <c r="G4383" s="3928"/>
      <c r="H4383" s="3553" t="s">
        <v>2922</v>
      </c>
      <c r="I4383" s="3951" t="s">
        <v>1302</v>
      </c>
      <c r="J4383" s="3939">
        <v>9</v>
      </c>
      <c r="K4383" s="3940">
        <f>+AA4384</f>
        <v>4800</v>
      </c>
      <c r="L4383" s="3957"/>
      <c r="M4383" s="3551" t="s">
        <v>51</v>
      </c>
      <c r="N4383" s="3552"/>
      <c r="O4383" s="991">
        <v>9</v>
      </c>
      <c r="P4383" s="991"/>
      <c r="Q4383" s="991"/>
      <c r="R4383" s="991"/>
      <c r="S4383" s="991"/>
      <c r="T4383" s="991"/>
      <c r="U4383" s="991"/>
      <c r="V4383" s="991"/>
      <c r="W4383" s="991"/>
      <c r="X4383" s="991"/>
      <c r="Y4383" s="991"/>
      <c r="Z4383" s="991"/>
      <c r="AA4383" s="995">
        <f t="shared" si="697"/>
        <v>9</v>
      </c>
    </row>
    <row r="4384" spans="2:27" x14ac:dyDescent="0.2">
      <c r="B4384" s="3925"/>
      <c r="C4384" s="3925"/>
      <c r="D4384" s="3928"/>
      <c r="E4384" s="3928"/>
      <c r="F4384" s="3928"/>
      <c r="G4384" s="3928"/>
      <c r="H4384" s="3554"/>
      <c r="I4384" s="3951"/>
      <c r="J4384" s="3939"/>
      <c r="K4384" s="3941"/>
      <c r="L4384" s="3957"/>
      <c r="M4384" s="3551" t="s">
        <v>111</v>
      </c>
      <c r="N4384" s="3552"/>
      <c r="O4384" s="991">
        <f>+O4385</f>
        <v>4800</v>
      </c>
      <c r="P4384" s="991"/>
      <c r="Q4384" s="991"/>
      <c r="R4384" s="991"/>
      <c r="S4384" s="991"/>
      <c r="T4384" s="991"/>
      <c r="U4384" s="991"/>
      <c r="V4384" s="991"/>
      <c r="W4384" s="991"/>
      <c r="X4384" s="991"/>
      <c r="Y4384" s="991"/>
      <c r="Z4384" s="991"/>
      <c r="AA4384" s="995">
        <f t="shared" si="697"/>
        <v>4800</v>
      </c>
    </row>
    <row r="4385" spans="1:27" ht="22.5" x14ac:dyDescent="0.2">
      <c r="B4385" s="3925"/>
      <c r="C4385" s="3925"/>
      <c r="D4385" s="3928"/>
      <c r="E4385" s="3928"/>
      <c r="F4385" s="3928"/>
      <c r="G4385" s="3928"/>
      <c r="H4385" s="3555"/>
      <c r="I4385" s="3951"/>
      <c r="J4385" s="3939"/>
      <c r="K4385" s="3942"/>
      <c r="L4385" s="3957"/>
      <c r="M4385" s="673" t="s">
        <v>174</v>
      </c>
      <c r="N4385" s="993" t="s">
        <v>1753</v>
      </c>
      <c r="O4385" s="680">
        <v>4800</v>
      </c>
      <c r="P4385" s="680"/>
      <c r="Q4385" s="680"/>
      <c r="R4385" s="680"/>
      <c r="S4385" s="680"/>
      <c r="T4385" s="680"/>
      <c r="U4385" s="680"/>
      <c r="V4385" s="680"/>
      <c r="W4385" s="680"/>
      <c r="X4385" s="680"/>
      <c r="Y4385" s="680"/>
      <c r="Z4385" s="682"/>
      <c r="AA4385" s="985">
        <f t="shared" si="697"/>
        <v>4800</v>
      </c>
    </row>
    <row r="4386" spans="1:27" x14ac:dyDescent="0.2">
      <c r="B4386" s="3925"/>
      <c r="C4386" s="3925"/>
      <c r="D4386" s="3928"/>
      <c r="E4386" s="3928"/>
      <c r="F4386" s="3928"/>
      <c r="G4386" s="3928"/>
      <c r="H4386" s="3553" t="s">
        <v>2922</v>
      </c>
      <c r="I4386" s="3951" t="s">
        <v>1302</v>
      </c>
      <c r="J4386" s="3939">
        <v>1</v>
      </c>
      <c r="K4386" s="3940">
        <f>+AA4387</f>
        <v>37</v>
      </c>
      <c r="L4386" s="3957"/>
      <c r="M4386" s="3551" t="s">
        <v>51</v>
      </c>
      <c r="N4386" s="3552"/>
      <c r="O4386" s="991"/>
      <c r="P4386" s="991"/>
      <c r="Q4386" s="991"/>
      <c r="R4386" s="991"/>
      <c r="S4386" s="991"/>
      <c r="T4386" s="991"/>
      <c r="U4386" s="991"/>
      <c r="V4386" s="991">
        <v>1</v>
      </c>
      <c r="W4386" s="991"/>
      <c r="X4386" s="991"/>
      <c r="Y4386" s="991"/>
      <c r="Z4386" s="991"/>
      <c r="AA4386" s="995">
        <f t="shared" si="697"/>
        <v>1</v>
      </c>
    </row>
    <row r="4387" spans="1:27" x14ac:dyDescent="0.2">
      <c r="B4387" s="3925"/>
      <c r="C4387" s="3925"/>
      <c r="D4387" s="3928"/>
      <c r="E4387" s="3928"/>
      <c r="F4387" s="3928"/>
      <c r="G4387" s="3928"/>
      <c r="H4387" s="3554"/>
      <c r="I4387" s="3951"/>
      <c r="J4387" s="3939"/>
      <c r="K4387" s="3941"/>
      <c r="L4387" s="3957"/>
      <c r="M4387" s="3551" t="s">
        <v>111</v>
      </c>
      <c r="N4387" s="3552"/>
      <c r="O4387" s="991"/>
      <c r="P4387" s="991"/>
      <c r="Q4387" s="991"/>
      <c r="R4387" s="991"/>
      <c r="S4387" s="991"/>
      <c r="T4387" s="991"/>
      <c r="U4387" s="991"/>
      <c r="V4387" s="991">
        <f>+V4388</f>
        <v>37</v>
      </c>
      <c r="W4387" s="991"/>
      <c r="X4387" s="991"/>
      <c r="Y4387" s="991"/>
      <c r="Z4387" s="991"/>
      <c r="AA4387" s="995">
        <f t="shared" si="697"/>
        <v>37</v>
      </c>
    </row>
    <row r="4388" spans="1:27" ht="22.5" x14ac:dyDescent="0.2">
      <c r="B4388" s="3925"/>
      <c r="C4388" s="3925"/>
      <c r="D4388" s="3928"/>
      <c r="E4388" s="3928"/>
      <c r="F4388" s="3928"/>
      <c r="G4388" s="3928"/>
      <c r="H4388" s="3555"/>
      <c r="I4388" s="3951"/>
      <c r="J4388" s="3939"/>
      <c r="K4388" s="3942"/>
      <c r="L4388" s="3957"/>
      <c r="M4388" s="673" t="s">
        <v>1754</v>
      </c>
      <c r="N4388" s="677" t="s">
        <v>1755</v>
      </c>
      <c r="O4388" s="680"/>
      <c r="P4388" s="680"/>
      <c r="Q4388" s="680"/>
      <c r="R4388" s="680"/>
      <c r="S4388" s="680"/>
      <c r="T4388" s="680"/>
      <c r="U4388" s="680"/>
      <c r="V4388" s="680">
        <v>37</v>
      </c>
      <c r="W4388" s="680"/>
      <c r="X4388" s="680"/>
      <c r="Y4388" s="680"/>
      <c r="Z4388" s="682"/>
      <c r="AA4388" s="985">
        <f t="shared" si="697"/>
        <v>37</v>
      </c>
    </row>
    <row r="4389" spans="1:27" x14ac:dyDescent="0.2">
      <c r="B4389" s="3925"/>
      <c r="C4389" s="3925"/>
      <c r="D4389" s="3928"/>
      <c r="E4389" s="3928"/>
      <c r="F4389" s="3928"/>
      <c r="G4389" s="3928"/>
      <c r="H4389" s="3553" t="s">
        <v>2922</v>
      </c>
      <c r="I4389" s="3951" t="s">
        <v>1302</v>
      </c>
      <c r="J4389" s="3939">
        <v>7</v>
      </c>
      <c r="K4389" s="3940">
        <f>+AA4390</f>
        <v>712</v>
      </c>
      <c r="L4389" s="3957"/>
      <c r="M4389" s="3551" t="s">
        <v>51</v>
      </c>
      <c r="N4389" s="3552"/>
      <c r="O4389" s="991">
        <v>7</v>
      </c>
      <c r="P4389" s="991"/>
      <c r="Q4389" s="991"/>
      <c r="R4389" s="991"/>
      <c r="S4389" s="991"/>
      <c r="T4389" s="991"/>
      <c r="U4389" s="991"/>
      <c r="V4389" s="991"/>
      <c r="W4389" s="991"/>
      <c r="X4389" s="991"/>
      <c r="Y4389" s="991"/>
      <c r="Z4389" s="991"/>
      <c r="AA4389" s="995">
        <f t="shared" si="697"/>
        <v>7</v>
      </c>
    </row>
    <row r="4390" spans="1:27" x14ac:dyDescent="0.2">
      <c r="B4390" s="3925"/>
      <c r="C4390" s="3925"/>
      <c r="D4390" s="3928"/>
      <c r="E4390" s="3928"/>
      <c r="F4390" s="3928"/>
      <c r="G4390" s="3928"/>
      <c r="H4390" s="3554"/>
      <c r="I4390" s="3951"/>
      <c r="J4390" s="3939"/>
      <c r="K4390" s="3941"/>
      <c r="L4390" s="3957"/>
      <c r="M4390" s="3551" t="s">
        <v>111</v>
      </c>
      <c r="N4390" s="3552"/>
      <c r="O4390" s="991">
        <f>+O4391</f>
        <v>712</v>
      </c>
      <c r="P4390" s="991"/>
      <c r="Q4390" s="991"/>
      <c r="R4390" s="991"/>
      <c r="S4390" s="991"/>
      <c r="T4390" s="991"/>
      <c r="U4390" s="991"/>
      <c r="V4390" s="991"/>
      <c r="W4390" s="991"/>
      <c r="X4390" s="991"/>
      <c r="Y4390" s="991"/>
      <c r="Z4390" s="991"/>
      <c r="AA4390" s="995">
        <f t="shared" si="697"/>
        <v>712</v>
      </c>
    </row>
    <row r="4391" spans="1:27" ht="22.5" x14ac:dyDescent="0.2">
      <c r="B4391" s="3925"/>
      <c r="C4391" s="3925"/>
      <c r="D4391" s="3928"/>
      <c r="E4391" s="3928"/>
      <c r="F4391" s="3928"/>
      <c r="G4391" s="3928"/>
      <c r="H4391" s="3555"/>
      <c r="I4391" s="3951"/>
      <c r="J4391" s="3939"/>
      <c r="K4391" s="3942"/>
      <c r="L4391" s="3957"/>
      <c r="M4391" s="673" t="s">
        <v>1758</v>
      </c>
      <c r="N4391" s="993" t="s">
        <v>1759</v>
      </c>
      <c r="O4391" s="680">
        <v>712</v>
      </c>
      <c r="P4391" s="996"/>
      <c r="Q4391" s="996"/>
      <c r="R4391" s="996"/>
      <c r="S4391" s="996"/>
      <c r="T4391" s="996"/>
      <c r="U4391" s="996"/>
      <c r="V4391" s="996"/>
      <c r="W4391" s="996"/>
      <c r="X4391" s="996"/>
      <c r="Y4391" s="996"/>
      <c r="Z4391" s="996"/>
      <c r="AA4391" s="1000">
        <f t="shared" si="697"/>
        <v>712</v>
      </c>
    </row>
    <row r="4392" spans="1:27" x14ac:dyDescent="0.2">
      <c r="B4392" s="3925"/>
      <c r="C4392" s="3925"/>
      <c r="D4392" s="3928"/>
      <c r="E4392" s="3928"/>
      <c r="F4392" s="3928"/>
      <c r="G4392" s="3928"/>
      <c r="H4392" s="3553" t="s">
        <v>2922</v>
      </c>
      <c r="I4392" s="3951" t="s">
        <v>1302</v>
      </c>
      <c r="J4392" s="3939">
        <v>168</v>
      </c>
      <c r="K4392" s="3940">
        <f>+AA4393</f>
        <v>10628</v>
      </c>
      <c r="L4392" s="3957"/>
      <c r="M4392" s="3551" t="s">
        <v>51</v>
      </c>
      <c r="N4392" s="3552"/>
      <c r="O4392" s="991">
        <f t="shared" ref="O4392:Z4392" si="701">11+3</f>
        <v>14</v>
      </c>
      <c r="P4392" s="991">
        <f t="shared" si="701"/>
        <v>14</v>
      </c>
      <c r="Q4392" s="991">
        <f t="shared" si="701"/>
        <v>14</v>
      </c>
      <c r="R4392" s="991">
        <f t="shared" si="701"/>
        <v>14</v>
      </c>
      <c r="S4392" s="991">
        <f t="shared" si="701"/>
        <v>14</v>
      </c>
      <c r="T4392" s="991">
        <f t="shared" si="701"/>
        <v>14</v>
      </c>
      <c r="U4392" s="991">
        <f t="shared" si="701"/>
        <v>14</v>
      </c>
      <c r="V4392" s="991">
        <f t="shared" si="701"/>
        <v>14</v>
      </c>
      <c r="W4392" s="991">
        <f t="shared" si="701"/>
        <v>14</v>
      </c>
      <c r="X4392" s="991">
        <f t="shared" si="701"/>
        <v>14</v>
      </c>
      <c r="Y4392" s="991">
        <f t="shared" si="701"/>
        <v>14</v>
      </c>
      <c r="Z4392" s="991">
        <f t="shared" si="701"/>
        <v>14</v>
      </c>
      <c r="AA4392" s="995">
        <f t="shared" si="697"/>
        <v>168</v>
      </c>
    </row>
    <row r="4393" spans="1:27" x14ac:dyDescent="0.2">
      <c r="B4393" s="3925"/>
      <c r="C4393" s="3925"/>
      <c r="D4393" s="3928"/>
      <c r="E4393" s="3928"/>
      <c r="F4393" s="3928"/>
      <c r="G4393" s="3928"/>
      <c r="H4393" s="3554"/>
      <c r="I4393" s="3951"/>
      <c r="J4393" s="3939"/>
      <c r="K4393" s="3941"/>
      <c r="L4393" s="3957"/>
      <c r="M4393" s="3551" t="s">
        <v>111</v>
      </c>
      <c r="N4393" s="3552"/>
      <c r="O4393" s="991">
        <f t="shared" ref="O4393:Z4393" si="702">+O4394</f>
        <v>822</v>
      </c>
      <c r="P4393" s="991">
        <f t="shared" si="702"/>
        <v>822</v>
      </c>
      <c r="Q4393" s="991">
        <f t="shared" si="702"/>
        <v>822</v>
      </c>
      <c r="R4393" s="991">
        <f t="shared" si="702"/>
        <v>822</v>
      </c>
      <c r="S4393" s="991">
        <f t="shared" si="702"/>
        <v>822</v>
      </c>
      <c r="T4393" s="991">
        <f t="shared" si="702"/>
        <v>822</v>
      </c>
      <c r="U4393" s="991">
        <f t="shared" si="702"/>
        <v>822</v>
      </c>
      <c r="V4393" s="991">
        <f t="shared" si="702"/>
        <v>822</v>
      </c>
      <c r="W4393" s="991">
        <f t="shared" si="702"/>
        <v>822</v>
      </c>
      <c r="X4393" s="991">
        <f t="shared" si="702"/>
        <v>822</v>
      </c>
      <c r="Y4393" s="991">
        <f t="shared" si="702"/>
        <v>822</v>
      </c>
      <c r="Z4393" s="991">
        <f t="shared" si="702"/>
        <v>1586</v>
      </c>
      <c r="AA4393" s="995">
        <f t="shared" si="697"/>
        <v>10628</v>
      </c>
    </row>
    <row r="4394" spans="1:27" x14ac:dyDescent="0.2">
      <c r="B4394" s="3925"/>
      <c r="C4394" s="3925"/>
      <c r="D4394" s="3928"/>
      <c r="E4394" s="3928"/>
      <c r="F4394" s="3928"/>
      <c r="G4394" s="3928"/>
      <c r="H4394" s="3555"/>
      <c r="I4394" s="3951"/>
      <c r="J4394" s="3939"/>
      <c r="K4394" s="3942"/>
      <c r="L4394" s="3957"/>
      <c r="M4394" s="673" t="s">
        <v>176</v>
      </c>
      <c r="N4394" s="674" t="s">
        <v>1760</v>
      </c>
      <c r="O4394" s="680">
        <v>822</v>
      </c>
      <c r="P4394" s="680">
        <v>822</v>
      </c>
      <c r="Q4394" s="680">
        <v>822</v>
      </c>
      <c r="R4394" s="680">
        <v>822</v>
      </c>
      <c r="S4394" s="680">
        <v>822</v>
      </c>
      <c r="T4394" s="680">
        <v>822</v>
      </c>
      <c r="U4394" s="680">
        <v>822</v>
      </c>
      <c r="V4394" s="680">
        <v>822</v>
      </c>
      <c r="W4394" s="680">
        <v>822</v>
      </c>
      <c r="X4394" s="680">
        <v>822</v>
      </c>
      <c r="Y4394" s="680">
        <v>822</v>
      </c>
      <c r="Z4394" s="680">
        <v>1586</v>
      </c>
      <c r="AA4394" s="985">
        <f t="shared" si="697"/>
        <v>10628</v>
      </c>
    </row>
    <row r="4395" spans="1:27" x14ac:dyDescent="0.2">
      <c r="B4395" s="3925"/>
      <c r="C4395" s="3925"/>
      <c r="D4395" s="3928"/>
      <c r="E4395" s="3928"/>
      <c r="F4395" s="3928"/>
      <c r="G4395" s="3928"/>
      <c r="H4395" s="3553" t="s">
        <v>2922</v>
      </c>
      <c r="I4395" s="3951" t="s">
        <v>1302</v>
      </c>
      <c r="J4395" s="3939">
        <v>2</v>
      </c>
      <c r="K4395" s="3940">
        <f>+AA4396</f>
        <v>6043</v>
      </c>
      <c r="L4395" s="3957"/>
      <c r="M4395" s="3551" t="s">
        <v>51</v>
      </c>
      <c r="N4395" s="3552"/>
      <c r="O4395" s="991">
        <v>2</v>
      </c>
      <c r="P4395" s="991"/>
      <c r="Q4395" s="991"/>
      <c r="R4395" s="991"/>
      <c r="S4395" s="991"/>
      <c r="T4395" s="991"/>
      <c r="U4395" s="991"/>
      <c r="V4395" s="991"/>
      <c r="W4395" s="991"/>
      <c r="X4395" s="991"/>
      <c r="Y4395" s="991"/>
      <c r="Z4395" s="991"/>
      <c r="AA4395" s="995">
        <f t="shared" si="697"/>
        <v>2</v>
      </c>
    </row>
    <row r="4396" spans="1:27" x14ac:dyDescent="0.2">
      <c r="B4396" s="3925"/>
      <c r="C4396" s="3925"/>
      <c r="D4396" s="3928"/>
      <c r="E4396" s="3928"/>
      <c r="F4396" s="3928"/>
      <c r="G4396" s="3928"/>
      <c r="H4396" s="3554"/>
      <c r="I4396" s="3951"/>
      <c r="J4396" s="3939"/>
      <c r="K4396" s="3941"/>
      <c r="L4396" s="3957"/>
      <c r="M4396" s="3551" t="s">
        <v>111</v>
      </c>
      <c r="N4396" s="3552"/>
      <c r="O4396" s="991">
        <f>+O4397</f>
        <v>6043</v>
      </c>
      <c r="P4396" s="991"/>
      <c r="Q4396" s="991"/>
      <c r="R4396" s="991"/>
      <c r="S4396" s="991"/>
      <c r="T4396" s="991"/>
      <c r="U4396" s="991"/>
      <c r="V4396" s="991"/>
      <c r="W4396" s="991"/>
      <c r="X4396" s="991"/>
      <c r="Y4396" s="991"/>
      <c r="Z4396" s="991"/>
      <c r="AA4396" s="995">
        <f t="shared" si="697"/>
        <v>6043</v>
      </c>
    </row>
    <row r="4397" spans="1:27" x14ac:dyDescent="0.2">
      <c r="B4397" s="3926"/>
      <c r="C4397" s="3926"/>
      <c r="D4397" s="3929"/>
      <c r="E4397" s="3929"/>
      <c r="F4397" s="3929"/>
      <c r="G4397" s="3929"/>
      <c r="H4397" s="3555"/>
      <c r="I4397" s="3951"/>
      <c r="J4397" s="3939"/>
      <c r="K4397" s="3942"/>
      <c r="L4397" s="3958"/>
      <c r="M4397" s="673" t="s">
        <v>1761</v>
      </c>
      <c r="N4397" s="674" t="s">
        <v>1762</v>
      </c>
      <c r="O4397" s="997">
        <v>6043</v>
      </c>
      <c r="P4397" s="998"/>
      <c r="Q4397" s="998"/>
      <c r="R4397" s="998"/>
      <c r="S4397" s="998"/>
      <c r="T4397" s="998"/>
      <c r="U4397" s="998"/>
      <c r="V4397" s="998"/>
      <c r="W4397" s="998"/>
      <c r="X4397" s="998"/>
      <c r="Y4397" s="998"/>
      <c r="Z4397" s="998">
        <v>10000</v>
      </c>
      <c r="AA4397" s="1001">
        <f t="shared" si="697"/>
        <v>16043</v>
      </c>
    </row>
    <row r="4398" spans="1:27" x14ac:dyDescent="0.2">
      <c r="K4398" s="770">
        <f>SUM(K4331:K4397)</f>
        <v>734702</v>
      </c>
    </row>
    <row r="4400" spans="1:27" ht="22.5" x14ac:dyDescent="0.2">
      <c r="A4400" s="38"/>
      <c r="B4400" s="954" t="s">
        <v>6</v>
      </c>
      <c r="C4400" s="2522" t="s">
        <v>1802</v>
      </c>
      <c r="D4400" s="2522"/>
      <c r="E4400" s="2522"/>
      <c r="F4400" s="2522"/>
      <c r="G4400" s="2522"/>
      <c r="H4400" s="2522"/>
      <c r="I4400" s="2522"/>
      <c r="J4400" s="2522"/>
      <c r="K4400" s="2522"/>
      <c r="L4400" s="2522"/>
      <c r="M4400" s="2522"/>
      <c r="N4400" s="2522"/>
      <c r="O4400" s="2522"/>
      <c r="P4400" s="2522"/>
      <c r="Q4400" s="2522"/>
      <c r="R4400" s="2522"/>
      <c r="S4400" s="2522"/>
      <c r="T4400" s="2522"/>
      <c r="U4400" s="2522"/>
      <c r="V4400" s="2522"/>
      <c r="W4400" s="2522"/>
      <c r="X4400" s="2522"/>
      <c r="Y4400" s="2522"/>
      <c r="Z4400" s="2522"/>
      <c r="AA4400" s="2522"/>
    </row>
    <row r="4401" spans="1:27" ht="33.75" customHeight="1" x14ac:dyDescent="0.2">
      <c r="A4401" s="38"/>
      <c r="B4401" s="2115" t="s">
        <v>8</v>
      </c>
      <c r="C4401" s="3523" t="s">
        <v>1803</v>
      </c>
      <c r="D4401" s="3524"/>
      <c r="E4401" s="3524"/>
      <c r="F4401" s="3524"/>
      <c r="G4401" s="3524"/>
      <c r="H4401" s="3524"/>
      <c r="I4401" s="3524"/>
      <c r="J4401" s="3524"/>
      <c r="K4401" s="3524"/>
      <c r="L4401" s="3524"/>
      <c r="M4401" s="3524"/>
      <c r="N4401" s="3524"/>
      <c r="O4401" s="3524"/>
      <c r="P4401" s="3524"/>
      <c r="Q4401" s="3524"/>
      <c r="R4401" s="3524"/>
      <c r="S4401" s="3524"/>
      <c r="T4401" s="3524"/>
      <c r="U4401" s="3524"/>
      <c r="V4401" s="3524"/>
      <c r="W4401" s="3524"/>
      <c r="X4401" s="3524"/>
      <c r="Y4401" s="3524"/>
      <c r="Z4401" s="3524"/>
      <c r="AA4401" s="3524"/>
    </row>
    <row r="4402" spans="1:27" ht="22.5" x14ac:dyDescent="0.2">
      <c r="A4402" s="38"/>
      <c r="B4402" s="954" t="s">
        <v>11</v>
      </c>
      <c r="C4402" s="3373" t="s">
        <v>1804</v>
      </c>
      <c r="D4402" s="3373"/>
      <c r="E4402" s="3373"/>
      <c r="F4402" s="3373"/>
      <c r="G4402" s="3373"/>
      <c r="H4402" s="3373"/>
      <c r="I4402" s="3373"/>
      <c r="J4402" s="3373"/>
      <c r="K4402" s="3373"/>
      <c r="L4402" s="3373"/>
      <c r="M4402" s="3373"/>
      <c r="N4402" s="3373"/>
      <c r="O4402" s="3373"/>
      <c r="P4402" s="3373"/>
      <c r="Q4402" s="3373"/>
      <c r="R4402" s="3373"/>
      <c r="S4402" s="3373"/>
      <c r="T4402" s="3373"/>
      <c r="U4402" s="3373"/>
      <c r="V4402" s="3373"/>
      <c r="W4402" s="3373"/>
      <c r="X4402" s="3373"/>
      <c r="Y4402" s="3373"/>
      <c r="Z4402" s="3373"/>
      <c r="AA4402" s="3373"/>
    </row>
    <row r="4403" spans="1:27" x14ac:dyDescent="0.2">
      <c r="A4403" s="38"/>
      <c r="B4403" s="3525" t="s">
        <v>20</v>
      </c>
      <c r="C4403" s="2847" t="s">
        <v>21</v>
      </c>
      <c r="D4403" s="2847" t="s">
        <v>22</v>
      </c>
      <c r="E4403" s="2847" t="s">
        <v>23</v>
      </c>
      <c r="F4403" s="2847" t="s">
        <v>24</v>
      </c>
      <c r="G4403" s="2847" t="s">
        <v>25</v>
      </c>
      <c r="H4403" s="2847" t="s">
        <v>26</v>
      </c>
      <c r="I4403" s="2847" t="s">
        <v>27</v>
      </c>
      <c r="J4403" s="2847" t="s">
        <v>28</v>
      </c>
      <c r="K4403" s="2847"/>
      <c r="L4403" s="2847" t="s">
        <v>29</v>
      </c>
      <c r="M4403" s="2847" t="s">
        <v>30</v>
      </c>
      <c r="N4403" s="2847"/>
      <c r="O4403" s="2916" t="s">
        <v>31</v>
      </c>
      <c r="P4403" s="2916"/>
      <c r="Q4403" s="2916"/>
      <c r="R4403" s="2916"/>
      <c r="S4403" s="2916"/>
      <c r="T4403" s="2916"/>
      <c r="U4403" s="2916"/>
      <c r="V4403" s="2916"/>
      <c r="W4403" s="2916"/>
      <c r="X4403" s="2916"/>
      <c r="Y4403" s="2916"/>
      <c r="Z4403" s="2916"/>
      <c r="AA4403" s="3522" t="s">
        <v>32</v>
      </c>
    </row>
    <row r="4404" spans="1:27" x14ac:dyDescent="0.2">
      <c r="A4404" s="38"/>
      <c r="B4404" s="3525"/>
      <c r="C4404" s="2847"/>
      <c r="D4404" s="2847"/>
      <c r="E4404" s="2847"/>
      <c r="F4404" s="2847"/>
      <c r="G4404" s="2847"/>
      <c r="H4404" s="2847"/>
      <c r="I4404" s="2847"/>
      <c r="J4404" s="455" t="s">
        <v>33</v>
      </c>
      <c r="K4404" s="306" t="s">
        <v>34</v>
      </c>
      <c r="L4404" s="2847"/>
      <c r="M4404" s="2847"/>
      <c r="N4404" s="2847"/>
      <c r="O4404" s="471" t="s">
        <v>35</v>
      </c>
      <c r="P4404" s="471" t="s">
        <v>36</v>
      </c>
      <c r="Q4404" s="471" t="s">
        <v>37</v>
      </c>
      <c r="R4404" s="471" t="s">
        <v>38</v>
      </c>
      <c r="S4404" s="471" t="s">
        <v>39</v>
      </c>
      <c r="T4404" s="471" t="s">
        <v>40</v>
      </c>
      <c r="U4404" s="471" t="s">
        <v>41</v>
      </c>
      <c r="V4404" s="471" t="s">
        <v>42</v>
      </c>
      <c r="W4404" s="471" t="s">
        <v>43</v>
      </c>
      <c r="X4404" s="471" t="s">
        <v>44</v>
      </c>
      <c r="Y4404" s="471" t="s">
        <v>45</v>
      </c>
      <c r="Z4404" s="471" t="s">
        <v>46</v>
      </c>
      <c r="AA4404" s="3522"/>
    </row>
    <row r="4405" spans="1:27" ht="22.5" x14ac:dyDescent="0.2">
      <c r="A4405" s="38"/>
      <c r="B4405" s="957">
        <v>500000013</v>
      </c>
      <c r="C4405" s="453" t="s">
        <v>1805</v>
      </c>
      <c r="D4405" s="453" t="s">
        <v>1806</v>
      </c>
      <c r="E4405" s="453">
        <v>23</v>
      </c>
      <c r="F4405" s="489" t="s">
        <v>1807</v>
      </c>
      <c r="G4405" s="489" t="s">
        <v>166</v>
      </c>
      <c r="H4405" s="489" t="s">
        <v>1213</v>
      </c>
      <c r="I4405" s="453" t="s">
        <v>156</v>
      </c>
      <c r="J4405" s="357">
        <f>SUM(J4406:J4473)</f>
        <v>111</v>
      </c>
      <c r="K4405" s="493">
        <f>SUM(K4406:K4473)</f>
        <v>194818</v>
      </c>
      <c r="L4405" s="453"/>
      <c r="M4405" s="453"/>
      <c r="N4405" s="453"/>
      <c r="O4405" s="308"/>
      <c r="P4405" s="308"/>
      <c r="Q4405" s="308"/>
      <c r="R4405" s="308"/>
      <c r="S4405" s="308"/>
      <c r="T4405" s="308"/>
      <c r="U4405" s="308"/>
      <c r="V4405" s="308"/>
      <c r="W4405" s="308"/>
      <c r="X4405" s="308"/>
      <c r="Y4405" s="308"/>
      <c r="Z4405" s="308"/>
      <c r="AA4405" s="494"/>
    </row>
    <row r="4406" spans="1:27" x14ac:dyDescent="0.2">
      <c r="A4406" s="3569" t="s">
        <v>1808</v>
      </c>
      <c r="B4406" s="3561" t="s">
        <v>1809</v>
      </c>
      <c r="C4406" s="3562" t="s">
        <v>1810</v>
      </c>
      <c r="D4406" s="3563" t="s">
        <v>1806</v>
      </c>
      <c r="E4406" s="3563">
        <v>23</v>
      </c>
      <c r="F4406" s="3566" t="s">
        <v>1807</v>
      </c>
      <c r="G4406" s="3566" t="s">
        <v>166</v>
      </c>
      <c r="H4406" s="3390" t="s">
        <v>1811</v>
      </c>
      <c r="I4406" s="3567" t="s">
        <v>156</v>
      </c>
      <c r="J4406" s="3568">
        <f>AA4406</f>
        <v>1</v>
      </c>
      <c r="K4406" s="3557">
        <f>AA4407</f>
        <v>18500</v>
      </c>
      <c r="L4406" s="3558" t="s">
        <v>1812</v>
      </c>
      <c r="M4406" s="3565" t="s">
        <v>51</v>
      </c>
      <c r="N4406" s="3565"/>
      <c r="O4406" s="319">
        <v>0</v>
      </c>
      <c r="P4406" s="319">
        <v>1</v>
      </c>
      <c r="Q4406" s="319">
        <v>0</v>
      </c>
      <c r="R4406" s="319">
        <v>0</v>
      </c>
      <c r="S4406" s="319">
        <v>0</v>
      </c>
      <c r="T4406" s="319">
        <v>0</v>
      </c>
      <c r="U4406" s="319">
        <v>0</v>
      </c>
      <c r="V4406" s="319">
        <v>0</v>
      </c>
      <c r="W4406" s="319">
        <v>0</v>
      </c>
      <c r="X4406" s="319">
        <v>0</v>
      </c>
      <c r="Y4406" s="319">
        <v>0</v>
      </c>
      <c r="Z4406" s="319">
        <v>0</v>
      </c>
      <c r="AA4406" s="978">
        <f>SUM(O4406:Z4406)</f>
        <v>1</v>
      </c>
    </row>
    <row r="4407" spans="1:27" x14ac:dyDescent="0.2">
      <c r="A4407" s="3569"/>
      <c r="B4407" s="3561"/>
      <c r="C4407" s="3562"/>
      <c r="D4407" s="3563"/>
      <c r="E4407" s="3563"/>
      <c r="F4407" s="3566"/>
      <c r="G4407" s="3566"/>
      <c r="H4407" s="3390"/>
      <c r="I4407" s="3567"/>
      <c r="J4407" s="3568"/>
      <c r="K4407" s="3557"/>
      <c r="L4407" s="3558"/>
      <c r="M4407" s="3565" t="s">
        <v>1813</v>
      </c>
      <c r="N4407" s="3565"/>
      <c r="O4407" s="970">
        <f>SUM(O4408:O4411)</f>
        <v>10500</v>
      </c>
      <c r="P4407" s="970">
        <f>SUM(P4408:P4411)</f>
        <v>8000</v>
      </c>
      <c r="Q4407" s="970">
        <f t="shared" ref="Q4407:Z4407" si="703">SUM(Q4408:Q4411)</f>
        <v>0</v>
      </c>
      <c r="R4407" s="970">
        <f t="shared" si="703"/>
        <v>0</v>
      </c>
      <c r="S4407" s="970">
        <f t="shared" si="703"/>
        <v>0</v>
      </c>
      <c r="T4407" s="970">
        <f t="shared" si="703"/>
        <v>0</v>
      </c>
      <c r="U4407" s="970">
        <f t="shared" si="703"/>
        <v>0</v>
      </c>
      <c r="V4407" s="970">
        <f t="shared" si="703"/>
        <v>0</v>
      </c>
      <c r="W4407" s="970">
        <f t="shared" si="703"/>
        <v>0</v>
      </c>
      <c r="X4407" s="970">
        <f t="shared" si="703"/>
        <v>0</v>
      </c>
      <c r="Y4407" s="970">
        <f t="shared" si="703"/>
        <v>0</v>
      </c>
      <c r="Z4407" s="970">
        <f t="shared" si="703"/>
        <v>0</v>
      </c>
      <c r="AA4407" s="975">
        <f>SUM(O4407:Z4407)</f>
        <v>18500</v>
      </c>
    </row>
    <row r="4408" spans="1:27" ht="22.5" x14ac:dyDescent="0.2">
      <c r="A4408" s="3569"/>
      <c r="B4408" s="3561"/>
      <c r="C4408" s="3562"/>
      <c r="D4408" s="3563"/>
      <c r="E4408" s="3563"/>
      <c r="F4408" s="3566"/>
      <c r="G4408" s="3566"/>
      <c r="H4408" s="3390"/>
      <c r="I4408" s="3567"/>
      <c r="J4408" s="3568"/>
      <c r="K4408" s="3557"/>
      <c r="L4408" s="3558"/>
      <c r="M4408" s="892" t="s">
        <v>184</v>
      </c>
      <c r="N4408" s="892" t="s">
        <v>1814</v>
      </c>
      <c r="O4408" s="888">
        <v>300</v>
      </c>
      <c r="P4408" s="888">
        <v>0</v>
      </c>
      <c r="Q4408" s="888">
        <v>0</v>
      </c>
      <c r="R4408" s="888">
        <v>0</v>
      </c>
      <c r="S4408" s="888">
        <v>0</v>
      </c>
      <c r="T4408" s="888">
        <v>0</v>
      </c>
      <c r="U4408" s="888">
        <v>0</v>
      </c>
      <c r="V4408" s="888">
        <v>0</v>
      </c>
      <c r="W4408" s="888">
        <v>0</v>
      </c>
      <c r="X4408" s="888">
        <v>0</v>
      </c>
      <c r="Y4408" s="888">
        <v>0</v>
      </c>
      <c r="Z4408" s="888">
        <v>0</v>
      </c>
      <c r="AA4408" s="974">
        <f>SUM(O4408:Z4408)</f>
        <v>300</v>
      </c>
    </row>
    <row r="4409" spans="1:27" ht="22.5" x14ac:dyDescent="0.2">
      <c r="A4409" s="3569"/>
      <c r="B4409" s="3561"/>
      <c r="C4409" s="3562"/>
      <c r="D4409" s="3563"/>
      <c r="E4409" s="3563"/>
      <c r="F4409" s="3566"/>
      <c r="G4409" s="3566"/>
      <c r="H4409" s="3390"/>
      <c r="I4409" s="3567"/>
      <c r="J4409" s="3568"/>
      <c r="K4409" s="3557"/>
      <c r="L4409" s="3558"/>
      <c r="M4409" s="892" t="s">
        <v>194</v>
      </c>
      <c r="N4409" s="892" t="s">
        <v>1469</v>
      </c>
      <c r="O4409" s="897">
        <v>1400</v>
      </c>
      <c r="P4409" s="897">
        <v>0</v>
      </c>
      <c r="Q4409" s="897">
        <v>0</v>
      </c>
      <c r="R4409" s="897">
        <v>0</v>
      </c>
      <c r="S4409" s="897">
        <v>0</v>
      </c>
      <c r="T4409" s="897">
        <v>0</v>
      </c>
      <c r="U4409" s="897">
        <v>0</v>
      </c>
      <c r="V4409" s="897">
        <v>0</v>
      </c>
      <c r="W4409" s="897">
        <v>0</v>
      </c>
      <c r="X4409" s="897">
        <v>0</v>
      </c>
      <c r="Y4409" s="897">
        <v>0</v>
      </c>
      <c r="Z4409" s="897">
        <v>0</v>
      </c>
      <c r="AA4409" s="974">
        <f>SUM(O4409:Z4409)</f>
        <v>1400</v>
      </c>
    </row>
    <row r="4410" spans="1:27" ht="22.5" x14ac:dyDescent="0.2">
      <c r="A4410" s="3569"/>
      <c r="B4410" s="3561"/>
      <c r="C4410" s="3562"/>
      <c r="D4410" s="3563"/>
      <c r="E4410" s="3563"/>
      <c r="F4410" s="3566"/>
      <c r="G4410" s="3566"/>
      <c r="H4410" s="3390"/>
      <c r="I4410" s="3567"/>
      <c r="J4410" s="3568"/>
      <c r="K4410" s="3557"/>
      <c r="L4410" s="3558"/>
      <c r="M4410" s="892" t="s">
        <v>180</v>
      </c>
      <c r="N4410" s="892" t="s">
        <v>181</v>
      </c>
      <c r="O4410" s="897">
        <v>800</v>
      </c>
      <c r="P4410" s="897">
        <v>0</v>
      </c>
      <c r="Q4410" s="897">
        <v>0</v>
      </c>
      <c r="R4410" s="897">
        <v>0</v>
      </c>
      <c r="S4410" s="897">
        <v>0</v>
      </c>
      <c r="T4410" s="897">
        <v>0</v>
      </c>
      <c r="U4410" s="897">
        <v>0</v>
      </c>
      <c r="V4410" s="897">
        <v>0</v>
      </c>
      <c r="W4410" s="897">
        <v>0</v>
      </c>
      <c r="X4410" s="897">
        <v>0</v>
      </c>
      <c r="Y4410" s="897">
        <v>0</v>
      </c>
      <c r="Z4410" s="897">
        <v>0</v>
      </c>
      <c r="AA4410" s="974">
        <f>SUM(O4409:Z4409)</f>
        <v>1400</v>
      </c>
    </row>
    <row r="4411" spans="1:27" ht="22.5" x14ac:dyDescent="0.2">
      <c r="A4411" s="3569"/>
      <c r="B4411" s="3561"/>
      <c r="C4411" s="3562"/>
      <c r="D4411" s="3563"/>
      <c r="E4411" s="3563"/>
      <c r="F4411" s="3566"/>
      <c r="G4411" s="3566"/>
      <c r="H4411" s="3390"/>
      <c r="I4411" s="3567"/>
      <c r="J4411" s="3568"/>
      <c r="K4411" s="3557"/>
      <c r="L4411" s="3558"/>
      <c r="M4411" s="892" t="s">
        <v>1359</v>
      </c>
      <c r="N4411" s="892" t="s">
        <v>1815</v>
      </c>
      <c r="O4411" s="897">
        <v>8000</v>
      </c>
      <c r="P4411" s="897">
        <v>8000</v>
      </c>
      <c r="Q4411" s="897">
        <v>0</v>
      </c>
      <c r="R4411" s="897">
        <v>0</v>
      </c>
      <c r="S4411" s="897">
        <v>0</v>
      </c>
      <c r="T4411" s="897">
        <v>0</v>
      </c>
      <c r="U4411" s="897">
        <v>0</v>
      </c>
      <c r="V4411" s="897">
        <v>0</v>
      </c>
      <c r="W4411" s="897">
        <v>0</v>
      </c>
      <c r="X4411" s="897">
        <v>0</v>
      </c>
      <c r="Y4411" s="897">
        <v>0</v>
      </c>
      <c r="Z4411" s="897">
        <v>0</v>
      </c>
      <c r="AA4411" s="974">
        <f t="shared" ref="AA4411:AA4425" si="704">SUM(O4411:Z4411)</f>
        <v>16000</v>
      </c>
    </row>
    <row r="4412" spans="1:27" x14ac:dyDescent="0.2">
      <c r="A4412" s="3569"/>
      <c r="B4412" s="3561">
        <v>1.2</v>
      </c>
      <c r="C4412" s="3562" t="s">
        <v>1816</v>
      </c>
      <c r="D4412" s="3563" t="s">
        <v>1806</v>
      </c>
      <c r="E4412" s="3563">
        <v>23</v>
      </c>
      <c r="F4412" s="3566" t="s">
        <v>1807</v>
      </c>
      <c r="G4412" s="3566" t="s">
        <v>166</v>
      </c>
      <c r="H4412" s="3390" t="s">
        <v>1817</v>
      </c>
      <c r="I4412" s="3567" t="s">
        <v>156</v>
      </c>
      <c r="J4412" s="3556">
        <f>AA4412</f>
        <v>10</v>
      </c>
      <c r="K4412" s="3557">
        <f>AA4413</f>
        <v>85880</v>
      </c>
      <c r="L4412" s="3558" t="s">
        <v>1812</v>
      </c>
      <c r="M4412" s="3559" t="s">
        <v>51</v>
      </c>
      <c r="N4412" s="3559"/>
      <c r="O4412" s="893">
        <v>0</v>
      </c>
      <c r="P4412" s="893">
        <v>0</v>
      </c>
      <c r="Q4412" s="893">
        <v>1</v>
      </c>
      <c r="R4412" s="893">
        <v>1</v>
      </c>
      <c r="S4412" s="893">
        <v>1</v>
      </c>
      <c r="T4412" s="893">
        <v>1</v>
      </c>
      <c r="U4412" s="893">
        <v>1</v>
      </c>
      <c r="V4412" s="893">
        <v>1</v>
      </c>
      <c r="W4412" s="893">
        <v>1</v>
      </c>
      <c r="X4412" s="893">
        <v>1</v>
      </c>
      <c r="Y4412" s="893">
        <v>1</v>
      </c>
      <c r="Z4412" s="893">
        <v>1</v>
      </c>
      <c r="AA4412" s="975">
        <f t="shared" si="704"/>
        <v>10</v>
      </c>
    </row>
    <row r="4413" spans="1:27" x14ac:dyDescent="0.2">
      <c r="A4413" s="3569"/>
      <c r="B4413" s="3561"/>
      <c r="C4413" s="3562"/>
      <c r="D4413" s="3563"/>
      <c r="E4413" s="3563"/>
      <c r="F4413" s="3566"/>
      <c r="G4413" s="3566"/>
      <c r="H4413" s="3390"/>
      <c r="I4413" s="3567"/>
      <c r="J4413" s="3556"/>
      <c r="K4413" s="3557"/>
      <c r="L4413" s="3558"/>
      <c r="M4413" s="3560" t="s">
        <v>1813</v>
      </c>
      <c r="N4413" s="3560"/>
      <c r="O4413" s="893">
        <f>SUM(O4414:O4418)</f>
        <v>0</v>
      </c>
      <c r="P4413" s="893">
        <f t="shared" ref="P4413:Z4413" si="705">SUM(P4414:P4418)</f>
        <v>400</v>
      </c>
      <c r="Q4413" s="893">
        <f t="shared" si="705"/>
        <v>8000</v>
      </c>
      <c r="R4413" s="893">
        <f t="shared" si="705"/>
        <v>8300</v>
      </c>
      <c r="S4413" s="893">
        <f t="shared" si="705"/>
        <v>9640</v>
      </c>
      <c r="T4413" s="893">
        <f t="shared" si="705"/>
        <v>8400</v>
      </c>
      <c r="U4413" s="893">
        <f t="shared" si="705"/>
        <v>8000</v>
      </c>
      <c r="V4413" s="893">
        <f t="shared" si="705"/>
        <v>8300</v>
      </c>
      <c r="W4413" s="893">
        <f t="shared" si="705"/>
        <v>8000</v>
      </c>
      <c r="X4413" s="893">
        <f t="shared" si="705"/>
        <v>10040</v>
      </c>
      <c r="Y4413" s="893">
        <f t="shared" si="705"/>
        <v>8000</v>
      </c>
      <c r="Z4413" s="893">
        <f t="shared" si="705"/>
        <v>8800</v>
      </c>
      <c r="AA4413" s="975">
        <f>SUM(O4413:Z4413)</f>
        <v>85880</v>
      </c>
    </row>
    <row r="4414" spans="1:27" x14ac:dyDescent="0.2">
      <c r="A4414" s="3569"/>
      <c r="B4414" s="3561"/>
      <c r="C4414" s="3562"/>
      <c r="D4414" s="3563"/>
      <c r="E4414" s="3563"/>
      <c r="F4414" s="3566"/>
      <c r="G4414" s="3566"/>
      <c r="H4414" s="3390"/>
      <c r="I4414" s="3567"/>
      <c r="J4414" s="3556"/>
      <c r="K4414" s="3557"/>
      <c r="L4414" s="3558"/>
      <c r="M4414" s="982" t="s">
        <v>1452</v>
      </c>
      <c r="N4414" s="982" t="s">
        <v>1818</v>
      </c>
      <c r="O4414" s="897">
        <v>0</v>
      </c>
      <c r="P4414" s="897">
        <v>0</v>
      </c>
      <c r="Q4414" s="897">
        <v>0</v>
      </c>
      <c r="R4414" s="897">
        <v>300</v>
      </c>
      <c r="S4414" s="897">
        <v>0</v>
      </c>
      <c r="T4414" s="897">
        <v>0</v>
      </c>
      <c r="U4414" s="897">
        <v>0</v>
      </c>
      <c r="V4414" s="897">
        <v>300</v>
      </c>
      <c r="W4414" s="897">
        <v>0</v>
      </c>
      <c r="X4414" s="897">
        <v>0</v>
      </c>
      <c r="Y4414" s="897">
        <v>0</v>
      </c>
      <c r="Z4414" s="897">
        <v>800</v>
      </c>
      <c r="AA4414" s="974">
        <f t="shared" si="704"/>
        <v>1400</v>
      </c>
    </row>
    <row r="4415" spans="1:27" ht="22.5" x14ac:dyDescent="0.2">
      <c r="A4415" s="3569"/>
      <c r="B4415" s="3561"/>
      <c r="C4415" s="3562"/>
      <c r="D4415" s="3563"/>
      <c r="E4415" s="3563"/>
      <c r="F4415" s="3566"/>
      <c r="G4415" s="3566"/>
      <c r="H4415" s="3390"/>
      <c r="I4415" s="3567"/>
      <c r="J4415" s="3556"/>
      <c r="K4415" s="3557"/>
      <c r="L4415" s="3558"/>
      <c r="M4415" s="982" t="s">
        <v>194</v>
      </c>
      <c r="N4415" s="982" t="s">
        <v>1368</v>
      </c>
      <c r="O4415" s="897">
        <v>0</v>
      </c>
      <c r="P4415" s="897">
        <v>0</v>
      </c>
      <c r="Q4415" s="897">
        <v>0</v>
      </c>
      <c r="R4415" s="897">
        <v>0</v>
      </c>
      <c r="S4415" s="897">
        <v>1400</v>
      </c>
      <c r="T4415" s="897">
        <v>0</v>
      </c>
      <c r="U4415" s="897">
        <v>0</v>
      </c>
      <c r="V4415" s="897">
        <v>0</v>
      </c>
      <c r="W4415" s="897">
        <v>0</v>
      </c>
      <c r="X4415" s="897">
        <v>1400</v>
      </c>
      <c r="Y4415" s="897">
        <v>0</v>
      </c>
      <c r="Z4415" s="897">
        <v>0</v>
      </c>
      <c r="AA4415" s="974">
        <f t="shared" si="704"/>
        <v>2800</v>
      </c>
    </row>
    <row r="4416" spans="1:27" x14ac:dyDescent="0.2">
      <c r="A4416" s="3569"/>
      <c r="B4416" s="3561"/>
      <c r="C4416" s="3562"/>
      <c r="D4416" s="3563"/>
      <c r="E4416" s="3563"/>
      <c r="F4416" s="3566"/>
      <c r="G4416" s="3566"/>
      <c r="H4416" s="3390"/>
      <c r="I4416" s="3567"/>
      <c r="J4416" s="3556"/>
      <c r="K4416" s="3557"/>
      <c r="L4416" s="3558"/>
      <c r="M4416" s="982" t="s">
        <v>1359</v>
      </c>
      <c r="N4416" s="982" t="s">
        <v>1336</v>
      </c>
      <c r="O4416" s="897">
        <v>0</v>
      </c>
      <c r="P4416" s="897">
        <v>0</v>
      </c>
      <c r="Q4416" s="897">
        <v>8000</v>
      </c>
      <c r="R4416" s="897">
        <v>8000</v>
      </c>
      <c r="S4416" s="897">
        <v>8000</v>
      </c>
      <c r="T4416" s="897">
        <v>8000</v>
      </c>
      <c r="U4416" s="897">
        <v>8000</v>
      </c>
      <c r="V4416" s="897">
        <v>8000</v>
      </c>
      <c r="W4416" s="897">
        <v>8000</v>
      </c>
      <c r="X4416" s="897">
        <v>8000</v>
      </c>
      <c r="Y4416" s="897">
        <v>8000</v>
      </c>
      <c r="Z4416" s="897">
        <v>8000</v>
      </c>
      <c r="AA4416" s="974">
        <f t="shared" si="704"/>
        <v>80000</v>
      </c>
    </row>
    <row r="4417" spans="1:27" ht="22.5" x14ac:dyDescent="0.2">
      <c r="A4417" s="3569"/>
      <c r="B4417" s="3561"/>
      <c r="C4417" s="3562"/>
      <c r="D4417" s="3563"/>
      <c r="E4417" s="3563"/>
      <c r="F4417" s="3566"/>
      <c r="G4417" s="3566"/>
      <c r="H4417" s="3390"/>
      <c r="I4417" s="3567"/>
      <c r="J4417" s="3556"/>
      <c r="K4417" s="3557"/>
      <c r="L4417" s="3558"/>
      <c r="M4417" s="982" t="s">
        <v>200</v>
      </c>
      <c r="N4417" s="982" t="s">
        <v>1473</v>
      </c>
      <c r="O4417" s="897">
        <v>0</v>
      </c>
      <c r="P4417" s="897">
        <v>400</v>
      </c>
      <c r="Q4417" s="897">
        <v>0</v>
      </c>
      <c r="R4417" s="897">
        <v>0</v>
      </c>
      <c r="S4417" s="897">
        <v>0</v>
      </c>
      <c r="T4417" s="897">
        <v>400</v>
      </c>
      <c r="U4417" s="897">
        <v>0</v>
      </c>
      <c r="V4417" s="897">
        <v>0</v>
      </c>
      <c r="W4417" s="897">
        <v>0</v>
      </c>
      <c r="X4417" s="897">
        <v>400</v>
      </c>
      <c r="Y4417" s="897">
        <v>0</v>
      </c>
      <c r="Z4417" s="897">
        <v>0</v>
      </c>
      <c r="AA4417" s="974">
        <f t="shared" si="704"/>
        <v>1200</v>
      </c>
    </row>
    <row r="4418" spans="1:27" x14ac:dyDescent="0.2">
      <c r="A4418" s="3569"/>
      <c r="B4418" s="3561"/>
      <c r="C4418" s="3562"/>
      <c r="D4418" s="3563"/>
      <c r="E4418" s="3563"/>
      <c r="F4418" s="3566"/>
      <c r="G4418" s="3566"/>
      <c r="H4418" s="3390"/>
      <c r="I4418" s="3567"/>
      <c r="J4418" s="3556"/>
      <c r="K4418" s="3557"/>
      <c r="L4418" s="3558"/>
      <c r="M4418" s="983" t="s">
        <v>541</v>
      </c>
      <c r="N4418" s="983" t="s">
        <v>542</v>
      </c>
      <c r="O4418" s="897">
        <v>0</v>
      </c>
      <c r="P4418" s="897">
        <v>0</v>
      </c>
      <c r="Q4418" s="897"/>
      <c r="R4418" s="897"/>
      <c r="S4418" s="897">
        <v>240</v>
      </c>
      <c r="T4418" s="897"/>
      <c r="U4418" s="897"/>
      <c r="V4418" s="897"/>
      <c r="W4418" s="897"/>
      <c r="X4418" s="897">
        <v>240</v>
      </c>
      <c r="Y4418" s="897"/>
      <c r="Z4418" s="897"/>
      <c r="AA4418" s="974">
        <f t="shared" si="704"/>
        <v>480</v>
      </c>
    </row>
    <row r="4419" spans="1:27" x14ac:dyDescent="0.2">
      <c r="A4419" s="3569"/>
      <c r="B4419" s="3561">
        <v>1.3</v>
      </c>
      <c r="C4419" s="3562" t="s">
        <v>1819</v>
      </c>
      <c r="D4419" s="3563" t="s">
        <v>1806</v>
      </c>
      <c r="E4419" s="3563">
        <v>23</v>
      </c>
      <c r="F4419" s="3564" t="s">
        <v>1807</v>
      </c>
      <c r="G4419" s="3564" t="s">
        <v>166</v>
      </c>
      <c r="H4419" s="3390" t="s">
        <v>1817</v>
      </c>
      <c r="I4419" s="3567" t="s">
        <v>156</v>
      </c>
      <c r="J4419" s="3556">
        <f>AA4419</f>
        <v>4</v>
      </c>
      <c r="K4419" s="3557">
        <f>AA4420</f>
        <v>1000</v>
      </c>
      <c r="L4419" s="3567" t="s">
        <v>1812</v>
      </c>
      <c r="M4419" s="3559" t="s">
        <v>51</v>
      </c>
      <c r="N4419" s="3559"/>
      <c r="O4419" s="314">
        <v>0</v>
      </c>
      <c r="P4419" s="314">
        <v>1</v>
      </c>
      <c r="Q4419" s="314">
        <v>0</v>
      </c>
      <c r="R4419" s="314">
        <v>0</v>
      </c>
      <c r="S4419" s="314">
        <v>1</v>
      </c>
      <c r="T4419" s="314">
        <v>0</v>
      </c>
      <c r="U4419" s="314">
        <v>0</v>
      </c>
      <c r="V4419" s="314">
        <v>1</v>
      </c>
      <c r="W4419" s="314">
        <v>0</v>
      </c>
      <c r="X4419" s="314">
        <v>0</v>
      </c>
      <c r="Y4419" s="314">
        <v>1</v>
      </c>
      <c r="Z4419" s="314">
        <v>0</v>
      </c>
      <c r="AA4419" s="978">
        <f t="shared" si="704"/>
        <v>4</v>
      </c>
    </row>
    <row r="4420" spans="1:27" x14ac:dyDescent="0.2">
      <c r="A4420" s="3569"/>
      <c r="B4420" s="3561"/>
      <c r="C4420" s="3562"/>
      <c r="D4420" s="3563"/>
      <c r="E4420" s="3563"/>
      <c r="F4420" s="3564"/>
      <c r="G4420" s="3564"/>
      <c r="H4420" s="3390"/>
      <c r="I4420" s="3567"/>
      <c r="J4420" s="3556"/>
      <c r="K4420" s="3557"/>
      <c r="L4420" s="3567"/>
      <c r="M4420" s="3559" t="s">
        <v>1813</v>
      </c>
      <c r="N4420" s="3559"/>
      <c r="O4420" s="980">
        <f>SUM(O4421)</f>
        <v>0</v>
      </c>
      <c r="P4420" s="980">
        <f>SUM(P4421)</f>
        <v>250</v>
      </c>
      <c r="Q4420" s="980">
        <f t="shared" ref="Q4420:X4420" si="706">SUM(Q4421)</f>
        <v>0</v>
      </c>
      <c r="R4420" s="980">
        <f t="shared" si="706"/>
        <v>0</v>
      </c>
      <c r="S4420" s="980">
        <v>250</v>
      </c>
      <c r="T4420" s="980">
        <f t="shared" si="706"/>
        <v>0</v>
      </c>
      <c r="U4420" s="980">
        <f t="shared" si="706"/>
        <v>0</v>
      </c>
      <c r="V4420" s="980">
        <f t="shared" si="706"/>
        <v>250</v>
      </c>
      <c r="W4420" s="980">
        <f t="shared" si="706"/>
        <v>0</v>
      </c>
      <c r="X4420" s="980">
        <f t="shared" si="706"/>
        <v>0</v>
      </c>
      <c r="Y4420" s="980">
        <v>250</v>
      </c>
      <c r="Z4420" s="980">
        <f>SUM(Z4421)</f>
        <v>0</v>
      </c>
      <c r="AA4420" s="979">
        <f>SUM(O4420:Z4420)</f>
        <v>1000</v>
      </c>
    </row>
    <row r="4421" spans="1:27" ht="30" customHeight="1" x14ac:dyDescent="0.2">
      <c r="A4421" s="3569"/>
      <c r="B4421" s="3561"/>
      <c r="C4421" s="3562"/>
      <c r="D4421" s="3563"/>
      <c r="E4421" s="3563"/>
      <c r="F4421" s="3564"/>
      <c r="G4421" s="3564"/>
      <c r="H4421" s="3390"/>
      <c r="I4421" s="3567"/>
      <c r="J4421" s="3556"/>
      <c r="K4421" s="3557"/>
      <c r="L4421" s="3567"/>
      <c r="M4421" s="892" t="s">
        <v>1452</v>
      </c>
      <c r="N4421" s="892" t="s">
        <v>1818</v>
      </c>
      <c r="O4421" s="549">
        <v>0</v>
      </c>
      <c r="P4421" s="549">
        <v>250</v>
      </c>
      <c r="Q4421" s="549">
        <v>0</v>
      </c>
      <c r="R4421" s="549">
        <v>0</v>
      </c>
      <c r="S4421" s="549">
        <v>250</v>
      </c>
      <c r="T4421" s="549">
        <v>0</v>
      </c>
      <c r="U4421" s="549">
        <v>0</v>
      </c>
      <c r="V4421" s="549">
        <v>250</v>
      </c>
      <c r="W4421" s="549">
        <v>0</v>
      </c>
      <c r="X4421" s="549">
        <v>0</v>
      </c>
      <c r="Y4421" s="549">
        <v>250</v>
      </c>
      <c r="Z4421" s="549">
        <v>0</v>
      </c>
      <c r="AA4421" s="976">
        <f t="shared" si="704"/>
        <v>1000</v>
      </c>
    </row>
    <row r="4422" spans="1:27" x14ac:dyDescent="0.2">
      <c r="A4422" s="3569"/>
      <c r="B4422" s="3561">
        <v>1.4</v>
      </c>
      <c r="C4422" s="3562" t="s">
        <v>1820</v>
      </c>
      <c r="D4422" s="3563" t="s">
        <v>1806</v>
      </c>
      <c r="E4422" s="3563">
        <v>23</v>
      </c>
      <c r="F4422" s="3564" t="s">
        <v>1807</v>
      </c>
      <c r="G4422" s="3564" t="s">
        <v>166</v>
      </c>
      <c r="H4422" s="3390" t="s">
        <v>1817</v>
      </c>
      <c r="I4422" s="3567" t="s">
        <v>156</v>
      </c>
      <c r="J4422" s="3568">
        <v>6</v>
      </c>
      <c r="K4422" s="3557">
        <f>AA4423</f>
        <v>1300</v>
      </c>
      <c r="L4422" s="3567" t="s">
        <v>1812</v>
      </c>
      <c r="M4422" s="3565" t="s">
        <v>51</v>
      </c>
      <c r="N4422" s="3565"/>
      <c r="O4422" s="314">
        <v>2</v>
      </c>
      <c r="P4422" s="314">
        <v>2</v>
      </c>
      <c r="Q4422" s="314">
        <v>2</v>
      </c>
      <c r="R4422" s="314">
        <v>0</v>
      </c>
      <c r="S4422" s="314">
        <v>0</v>
      </c>
      <c r="T4422" s="314">
        <v>0</v>
      </c>
      <c r="U4422" s="314">
        <v>0</v>
      </c>
      <c r="V4422" s="314">
        <v>0</v>
      </c>
      <c r="W4422" s="314">
        <v>0</v>
      </c>
      <c r="X4422" s="314">
        <v>0</v>
      </c>
      <c r="Y4422" s="314">
        <v>0</v>
      </c>
      <c r="Z4422" s="314">
        <v>0</v>
      </c>
      <c r="AA4422" s="978">
        <f t="shared" si="704"/>
        <v>6</v>
      </c>
    </row>
    <row r="4423" spans="1:27" x14ac:dyDescent="0.2">
      <c r="A4423" s="3569"/>
      <c r="B4423" s="3561"/>
      <c r="C4423" s="3562"/>
      <c r="D4423" s="3563"/>
      <c r="E4423" s="3563"/>
      <c r="F4423" s="3564"/>
      <c r="G4423" s="3564"/>
      <c r="H4423" s="3390"/>
      <c r="I4423" s="3567"/>
      <c r="J4423" s="3568"/>
      <c r="K4423" s="3557"/>
      <c r="L4423" s="3567"/>
      <c r="M4423" s="3565" t="s">
        <v>1813</v>
      </c>
      <c r="N4423" s="3565"/>
      <c r="O4423" s="893">
        <f>SUM(O4424:O4425)</f>
        <v>300</v>
      </c>
      <c r="P4423" s="893">
        <v>200</v>
      </c>
      <c r="Q4423" s="893">
        <f>+Q4424</f>
        <v>300</v>
      </c>
      <c r="R4423" s="893">
        <f>+R4425</f>
        <v>500</v>
      </c>
      <c r="S4423" s="893">
        <f t="shared" ref="S4423:Z4423" si="707">SUM(S4424:S4425)</f>
        <v>0</v>
      </c>
      <c r="T4423" s="893">
        <f t="shared" si="707"/>
        <v>0</v>
      </c>
      <c r="U4423" s="893">
        <f t="shared" si="707"/>
        <v>0</v>
      </c>
      <c r="V4423" s="893">
        <f t="shared" si="707"/>
        <v>0</v>
      </c>
      <c r="W4423" s="893">
        <f t="shared" si="707"/>
        <v>0</v>
      </c>
      <c r="X4423" s="893">
        <f t="shared" si="707"/>
        <v>0</v>
      </c>
      <c r="Y4423" s="893">
        <f t="shared" si="707"/>
        <v>0</v>
      </c>
      <c r="Z4423" s="893">
        <f t="shared" si="707"/>
        <v>0</v>
      </c>
      <c r="AA4423" s="975">
        <f t="shared" si="704"/>
        <v>1300</v>
      </c>
    </row>
    <row r="4424" spans="1:27" x14ac:dyDescent="0.2">
      <c r="A4424" s="3569"/>
      <c r="B4424" s="3561"/>
      <c r="C4424" s="3562"/>
      <c r="D4424" s="3563"/>
      <c r="E4424" s="3563"/>
      <c r="F4424" s="3564"/>
      <c r="G4424" s="3564"/>
      <c r="H4424" s="3390"/>
      <c r="I4424" s="3567"/>
      <c r="J4424" s="3568"/>
      <c r="K4424" s="3557"/>
      <c r="L4424" s="3567"/>
      <c r="M4424" s="892" t="s">
        <v>1452</v>
      </c>
      <c r="N4424" s="969" t="s">
        <v>1818</v>
      </c>
      <c r="O4424" s="548">
        <v>300</v>
      </c>
      <c r="P4424" s="548">
        <v>200</v>
      </c>
      <c r="Q4424" s="548">
        <v>300</v>
      </c>
      <c r="R4424" s="548">
        <v>0</v>
      </c>
      <c r="S4424" s="548">
        <v>0</v>
      </c>
      <c r="T4424" s="548">
        <v>0</v>
      </c>
      <c r="U4424" s="548">
        <v>0</v>
      </c>
      <c r="V4424" s="548">
        <v>0</v>
      </c>
      <c r="W4424" s="548">
        <v>0</v>
      </c>
      <c r="X4424" s="548">
        <v>0</v>
      </c>
      <c r="Y4424" s="548">
        <v>0</v>
      </c>
      <c r="Z4424" s="548">
        <v>0</v>
      </c>
      <c r="AA4424" s="974">
        <f t="shared" si="704"/>
        <v>800</v>
      </c>
    </row>
    <row r="4425" spans="1:27" x14ac:dyDescent="0.2">
      <c r="A4425" s="3569"/>
      <c r="B4425" s="3561"/>
      <c r="C4425" s="3562"/>
      <c r="D4425" s="3563"/>
      <c r="E4425" s="3563"/>
      <c r="F4425" s="3564"/>
      <c r="G4425" s="3564"/>
      <c r="H4425" s="3390"/>
      <c r="I4425" s="3567"/>
      <c r="J4425" s="3568"/>
      <c r="K4425" s="3557"/>
      <c r="L4425" s="3567"/>
      <c r="M4425" s="892" t="s">
        <v>182</v>
      </c>
      <c r="N4425" s="969" t="s">
        <v>534</v>
      </c>
      <c r="O4425" s="549">
        <v>0</v>
      </c>
      <c r="P4425" s="549">
        <v>0</v>
      </c>
      <c r="Q4425" s="549">
        <v>0</v>
      </c>
      <c r="R4425" s="549">
        <v>500</v>
      </c>
      <c r="S4425" s="549">
        <v>0</v>
      </c>
      <c r="T4425" s="549">
        <v>0</v>
      </c>
      <c r="U4425" s="549">
        <v>0</v>
      </c>
      <c r="V4425" s="549">
        <v>0</v>
      </c>
      <c r="W4425" s="549">
        <v>0</v>
      </c>
      <c r="X4425" s="549">
        <v>0</v>
      </c>
      <c r="Y4425" s="549">
        <v>0</v>
      </c>
      <c r="Z4425" s="549">
        <v>0</v>
      </c>
      <c r="AA4425" s="976">
        <f t="shared" si="704"/>
        <v>500</v>
      </c>
    </row>
    <row r="4426" spans="1:27" x14ac:dyDescent="0.2">
      <c r="A4426" s="3569"/>
      <c r="B4426" s="3561">
        <v>1.5</v>
      </c>
      <c r="C4426" s="3562" t="s">
        <v>1821</v>
      </c>
      <c r="D4426" s="3563" t="s">
        <v>1806</v>
      </c>
      <c r="E4426" s="3563">
        <v>23</v>
      </c>
      <c r="F4426" s="3564" t="s">
        <v>1807</v>
      </c>
      <c r="G4426" s="3564" t="s">
        <v>166</v>
      </c>
      <c r="H4426" s="3390" t="s">
        <v>1822</v>
      </c>
      <c r="I4426" s="3567" t="s">
        <v>156</v>
      </c>
      <c r="J4426" s="3568">
        <v>3</v>
      </c>
      <c r="K4426" s="3557">
        <f>AA4427</f>
        <v>3750</v>
      </c>
      <c r="L4426" s="3567" t="s">
        <v>1812</v>
      </c>
      <c r="M4426" s="3565" t="s">
        <v>51</v>
      </c>
      <c r="N4426" s="3565"/>
      <c r="O4426" s="314">
        <v>0</v>
      </c>
      <c r="P4426" s="314">
        <v>0</v>
      </c>
      <c r="Q4426" s="314">
        <v>1</v>
      </c>
      <c r="R4426" s="314">
        <v>0</v>
      </c>
      <c r="S4426" s="314">
        <v>0</v>
      </c>
      <c r="T4426" s="314">
        <v>0</v>
      </c>
      <c r="U4426" s="314">
        <v>1</v>
      </c>
      <c r="V4426" s="314">
        <v>0</v>
      </c>
      <c r="W4426" s="314">
        <v>0</v>
      </c>
      <c r="X4426" s="314">
        <v>1</v>
      </c>
      <c r="Y4426" s="314">
        <v>0</v>
      </c>
      <c r="Z4426" s="314">
        <v>0</v>
      </c>
      <c r="AA4426" s="978">
        <f>SUM(O4426:Z4426)</f>
        <v>3</v>
      </c>
    </row>
    <row r="4427" spans="1:27" x14ac:dyDescent="0.2">
      <c r="A4427" s="3569"/>
      <c r="B4427" s="3561"/>
      <c r="C4427" s="3562"/>
      <c r="D4427" s="3563"/>
      <c r="E4427" s="3563"/>
      <c r="F4427" s="3564"/>
      <c r="G4427" s="3564"/>
      <c r="H4427" s="3390"/>
      <c r="I4427" s="3567"/>
      <c r="J4427" s="3568"/>
      <c r="K4427" s="3557"/>
      <c r="L4427" s="3567"/>
      <c r="M4427" s="3565" t="s">
        <v>1813</v>
      </c>
      <c r="N4427" s="3565"/>
      <c r="O4427" s="893">
        <f>SUM(O4428:O4430)</f>
        <v>1900</v>
      </c>
      <c r="P4427" s="893">
        <f>SUM(P4428:P4430)</f>
        <v>0</v>
      </c>
      <c r="Q4427" s="893">
        <f t="shared" ref="Q4427:Y4427" si="708">SUM(Q4428:Q4430)</f>
        <v>150</v>
      </c>
      <c r="R4427" s="893">
        <f t="shared" si="708"/>
        <v>0</v>
      </c>
      <c r="S4427" s="893">
        <f t="shared" si="708"/>
        <v>0</v>
      </c>
      <c r="T4427" s="893">
        <f t="shared" si="708"/>
        <v>0</v>
      </c>
      <c r="U4427" s="893">
        <f t="shared" si="708"/>
        <v>150</v>
      </c>
      <c r="V4427" s="893">
        <f t="shared" si="708"/>
        <v>0</v>
      </c>
      <c r="W4427" s="893">
        <f t="shared" si="708"/>
        <v>0</v>
      </c>
      <c r="X4427" s="893">
        <f t="shared" si="708"/>
        <v>150</v>
      </c>
      <c r="Y4427" s="893">
        <f t="shared" si="708"/>
        <v>0</v>
      </c>
      <c r="Z4427" s="893">
        <f>SUM(Z4428:Z4430)</f>
        <v>1400</v>
      </c>
      <c r="AA4427" s="975">
        <f>SUM(O4427:Z4427)</f>
        <v>3750</v>
      </c>
    </row>
    <row r="4428" spans="1:27" x14ac:dyDescent="0.2">
      <c r="A4428" s="3569"/>
      <c r="B4428" s="3561"/>
      <c r="C4428" s="3562"/>
      <c r="D4428" s="3563"/>
      <c r="E4428" s="3563"/>
      <c r="F4428" s="3564"/>
      <c r="G4428" s="3564"/>
      <c r="H4428" s="3390"/>
      <c r="I4428" s="3567"/>
      <c r="J4428" s="3568"/>
      <c r="K4428" s="3557"/>
      <c r="L4428" s="3567"/>
      <c r="M4428" s="886" t="s">
        <v>1452</v>
      </c>
      <c r="N4428" s="887" t="s">
        <v>1818</v>
      </c>
      <c r="O4428" s="318">
        <v>0</v>
      </c>
      <c r="P4428" s="318">
        <v>0</v>
      </c>
      <c r="Q4428" s="318">
        <v>150</v>
      </c>
      <c r="R4428" s="318">
        <v>0</v>
      </c>
      <c r="S4428" s="318">
        <v>0</v>
      </c>
      <c r="T4428" s="318">
        <v>0</v>
      </c>
      <c r="U4428" s="318">
        <v>150</v>
      </c>
      <c r="V4428" s="318">
        <v>0</v>
      </c>
      <c r="W4428" s="318">
        <v>0</v>
      </c>
      <c r="X4428" s="318">
        <v>150</v>
      </c>
      <c r="Y4428" s="318">
        <v>0</v>
      </c>
      <c r="Z4428" s="318">
        <v>0</v>
      </c>
      <c r="AA4428" s="976">
        <f>SUM(O4428:Z4428)</f>
        <v>450</v>
      </c>
    </row>
    <row r="4429" spans="1:27" x14ac:dyDescent="0.2">
      <c r="A4429" s="3569"/>
      <c r="B4429" s="3561"/>
      <c r="C4429" s="3562"/>
      <c r="D4429" s="3563"/>
      <c r="E4429" s="3563"/>
      <c r="F4429" s="3564"/>
      <c r="G4429" s="3564"/>
      <c r="H4429" s="3390"/>
      <c r="I4429" s="3567"/>
      <c r="J4429" s="3568"/>
      <c r="K4429" s="3557"/>
      <c r="L4429" s="3567"/>
      <c r="M4429" s="886" t="s">
        <v>541</v>
      </c>
      <c r="N4429" s="887" t="s">
        <v>542</v>
      </c>
      <c r="O4429" s="318">
        <v>500</v>
      </c>
      <c r="P4429" s="318">
        <v>0</v>
      </c>
      <c r="Q4429" s="318">
        <v>0</v>
      </c>
      <c r="R4429" s="318">
        <v>0</v>
      </c>
      <c r="S4429" s="318">
        <v>0</v>
      </c>
      <c r="T4429" s="318">
        <v>0</v>
      </c>
      <c r="U4429" s="318">
        <v>0</v>
      </c>
      <c r="V4429" s="318">
        <v>0</v>
      </c>
      <c r="W4429" s="318">
        <v>0</v>
      </c>
      <c r="X4429" s="318">
        <v>0</v>
      </c>
      <c r="Y4429" s="318">
        <v>0</v>
      </c>
      <c r="Z4429" s="318">
        <v>0</v>
      </c>
      <c r="AA4429" s="974">
        <f>SUM(O4429:Z4429)</f>
        <v>500</v>
      </c>
    </row>
    <row r="4430" spans="1:27" ht="22.5" x14ac:dyDescent="0.2">
      <c r="A4430" s="3569"/>
      <c r="B4430" s="3561"/>
      <c r="C4430" s="3562"/>
      <c r="D4430" s="3563"/>
      <c r="E4430" s="3563"/>
      <c r="F4430" s="3564"/>
      <c r="G4430" s="3564"/>
      <c r="H4430" s="3390"/>
      <c r="I4430" s="3567"/>
      <c r="J4430" s="3568"/>
      <c r="K4430" s="3557"/>
      <c r="L4430" s="3567"/>
      <c r="M4430" s="886" t="s">
        <v>194</v>
      </c>
      <c r="N4430" s="886" t="s">
        <v>1368</v>
      </c>
      <c r="O4430" s="376">
        <v>1400</v>
      </c>
      <c r="P4430" s="376">
        <v>0</v>
      </c>
      <c r="Q4430" s="376">
        <v>0</v>
      </c>
      <c r="R4430" s="376">
        <v>0</v>
      </c>
      <c r="S4430" s="376">
        <v>0</v>
      </c>
      <c r="T4430" s="376">
        <v>0</v>
      </c>
      <c r="U4430" s="376">
        <v>0</v>
      </c>
      <c r="V4430" s="376">
        <v>0</v>
      </c>
      <c r="W4430" s="376">
        <v>0</v>
      </c>
      <c r="X4430" s="376">
        <v>0</v>
      </c>
      <c r="Y4430" s="376">
        <v>0</v>
      </c>
      <c r="Z4430" s="376">
        <v>1400</v>
      </c>
      <c r="AA4430" s="974">
        <f>SUM(O4430:Z4430)</f>
        <v>2800</v>
      </c>
    </row>
    <row r="4431" spans="1:27" x14ac:dyDescent="0.2">
      <c r="A4431" s="3569" t="s">
        <v>1823</v>
      </c>
      <c r="B4431" s="3561">
        <v>2.1</v>
      </c>
      <c r="C4431" s="3562" t="s">
        <v>1824</v>
      </c>
      <c r="D4431" s="3390" t="s">
        <v>1806</v>
      </c>
      <c r="E4431" s="3390">
        <v>23</v>
      </c>
      <c r="F4431" s="3571" t="s">
        <v>1807</v>
      </c>
      <c r="G4431" s="3571" t="s">
        <v>166</v>
      </c>
      <c r="H4431" s="3390" t="s">
        <v>1811</v>
      </c>
      <c r="I4431" s="3390" t="s">
        <v>156</v>
      </c>
      <c r="J4431" s="3556">
        <f>AA4431</f>
        <v>1</v>
      </c>
      <c r="K4431" s="3570">
        <f>AA4432</f>
        <v>400</v>
      </c>
      <c r="L4431" s="3390" t="s">
        <v>1812</v>
      </c>
      <c r="M4431" s="3565" t="s">
        <v>51</v>
      </c>
      <c r="N4431" s="3565"/>
      <c r="O4431" s="891">
        <v>0</v>
      </c>
      <c r="P4431" s="311">
        <v>0</v>
      </c>
      <c r="Q4431" s="311">
        <v>1</v>
      </c>
      <c r="R4431" s="311">
        <v>0</v>
      </c>
      <c r="S4431" s="311">
        <v>0</v>
      </c>
      <c r="T4431" s="311">
        <v>0</v>
      </c>
      <c r="U4431" s="311">
        <v>0</v>
      </c>
      <c r="V4431" s="311">
        <v>0</v>
      </c>
      <c r="W4431" s="311">
        <v>0</v>
      </c>
      <c r="X4431" s="311">
        <v>0</v>
      </c>
      <c r="Y4431" s="311">
        <v>0</v>
      </c>
      <c r="Z4431" s="314">
        <v>0</v>
      </c>
      <c r="AA4431" s="975">
        <f t="shared" ref="AA4431:AA4439" si="709">SUM(O4431:Z4431)</f>
        <v>1</v>
      </c>
    </row>
    <row r="4432" spans="1:27" x14ac:dyDescent="0.2">
      <c r="A4432" s="3569"/>
      <c r="B4432" s="3561"/>
      <c r="C4432" s="3562"/>
      <c r="D4432" s="3390"/>
      <c r="E4432" s="3390"/>
      <c r="F4432" s="3571"/>
      <c r="G4432" s="3571"/>
      <c r="H4432" s="3390"/>
      <c r="I4432" s="3390"/>
      <c r="J4432" s="3556"/>
      <c r="K4432" s="3570"/>
      <c r="L4432" s="3390"/>
      <c r="M4432" s="3565" t="s">
        <v>1813</v>
      </c>
      <c r="N4432" s="3565"/>
      <c r="O4432" s="312">
        <f>SUM(O4433:O4435)</f>
        <v>400</v>
      </c>
      <c r="P4432" s="312">
        <v>0</v>
      </c>
      <c r="Q4432" s="312">
        <f t="shared" ref="Q4432:X4432" si="710">SUM(Q4433:Q4435)</f>
        <v>0</v>
      </c>
      <c r="R4432" s="312">
        <f t="shared" si="710"/>
        <v>0</v>
      </c>
      <c r="S4432" s="312">
        <f t="shared" si="710"/>
        <v>0</v>
      </c>
      <c r="T4432" s="312">
        <f t="shared" si="710"/>
        <v>0</v>
      </c>
      <c r="U4432" s="312">
        <f t="shared" si="710"/>
        <v>0</v>
      </c>
      <c r="V4432" s="312">
        <f t="shared" si="710"/>
        <v>0</v>
      </c>
      <c r="W4432" s="312">
        <f t="shared" si="710"/>
        <v>0</v>
      </c>
      <c r="X4432" s="312">
        <f t="shared" si="710"/>
        <v>0</v>
      </c>
      <c r="Y4432" s="312">
        <f>SUM(Y4433:Y4435)</f>
        <v>0</v>
      </c>
      <c r="Z4432" s="312">
        <f>SUM(Z4433:Z4435)</f>
        <v>0</v>
      </c>
      <c r="AA4432" s="975">
        <f>SUM(O4432:Z4432)</f>
        <v>400</v>
      </c>
    </row>
    <row r="4433" spans="1:27" ht="22.5" x14ac:dyDescent="0.2">
      <c r="A4433" s="3569"/>
      <c r="B4433" s="3561"/>
      <c r="C4433" s="3562"/>
      <c r="D4433" s="3390"/>
      <c r="E4433" s="3390"/>
      <c r="F4433" s="3571"/>
      <c r="G4433" s="3571"/>
      <c r="H4433" s="3390"/>
      <c r="I4433" s="3390"/>
      <c r="J4433" s="3556"/>
      <c r="K4433" s="3570"/>
      <c r="L4433" s="3390"/>
      <c r="M4433" s="892" t="s">
        <v>194</v>
      </c>
      <c r="N4433" s="892" t="s">
        <v>1368</v>
      </c>
      <c r="O4433" s="551">
        <v>250</v>
      </c>
      <c r="P4433" s="551">
        <v>0</v>
      </c>
      <c r="Q4433" s="551">
        <v>0</v>
      </c>
      <c r="R4433" s="551">
        <v>0</v>
      </c>
      <c r="S4433" s="551">
        <v>0</v>
      </c>
      <c r="T4433" s="551">
        <v>0</v>
      </c>
      <c r="U4433" s="551">
        <v>0</v>
      </c>
      <c r="V4433" s="551">
        <v>0</v>
      </c>
      <c r="W4433" s="551">
        <v>0</v>
      </c>
      <c r="X4433" s="551">
        <v>0</v>
      </c>
      <c r="Y4433" s="551">
        <v>0</v>
      </c>
      <c r="Z4433" s="549">
        <v>0</v>
      </c>
      <c r="AA4433" s="974">
        <f>SUM(O4433:Z4433)</f>
        <v>250</v>
      </c>
    </row>
    <row r="4434" spans="1:27" x14ac:dyDescent="0.2">
      <c r="A4434" s="3569"/>
      <c r="B4434" s="3561"/>
      <c r="C4434" s="3562"/>
      <c r="D4434" s="3390"/>
      <c r="E4434" s="3390"/>
      <c r="F4434" s="3571"/>
      <c r="G4434" s="3571"/>
      <c r="H4434" s="3390"/>
      <c r="I4434" s="3390"/>
      <c r="J4434" s="3556"/>
      <c r="K4434" s="3570"/>
      <c r="L4434" s="3390"/>
      <c r="M4434" s="892" t="s">
        <v>1452</v>
      </c>
      <c r="N4434" s="892" t="s">
        <v>1818</v>
      </c>
      <c r="O4434" s="551">
        <v>0</v>
      </c>
      <c r="P4434" s="551">
        <v>0</v>
      </c>
      <c r="Q4434" s="551">
        <v>0</v>
      </c>
      <c r="R4434" s="551">
        <v>0</v>
      </c>
      <c r="S4434" s="551">
        <v>0</v>
      </c>
      <c r="T4434" s="551">
        <v>0</v>
      </c>
      <c r="U4434" s="551">
        <v>0</v>
      </c>
      <c r="V4434" s="551">
        <v>0</v>
      </c>
      <c r="W4434" s="551">
        <v>0</v>
      </c>
      <c r="X4434" s="551">
        <v>0</v>
      </c>
      <c r="Y4434" s="551">
        <v>0</v>
      </c>
      <c r="Z4434" s="549">
        <v>0</v>
      </c>
      <c r="AA4434" s="974">
        <f t="shared" si="709"/>
        <v>0</v>
      </c>
    </row>
    <row r="4435" spans="1:27" x14ac:dyDescent="0.2">
      <c r="A4435" s="3569"/>
      <c r="B4435" s="3561"/>
      <c r="C4435" s="3562"/>
      <c r="D4435" s="3390"/>
      <c r="E4435" s="3390"/>
      <c r="F4435" s="3571"/>
      <c r="G4435" s="3571"/>
      <c r="H4435" s="3390"/>
      <c r="I4435" s="3390"/>
      <c r="J4435" s="3556"/>
      <c r="K4435" s="3570"/>
      <c r="L4435" s="3390"/>
      <c r="M4435" s="892" t="s">
        <v>541</v>
      </c>
      <c r="N4435" s="892" t="s">
        <v>542</v>
      </c>
      <c r="O4435" s="549">
        <v>150</v>
      </c>
      <c r="P4435" s="549">
        <v>0</v>
      </c>
      <c r="Q4435" s="549">
        <v>0</v>
      </c>
      <c r="R4435" s="549">
        <v>0</v>
      </c>
      <c r="S4435" s="549">
        <v>0</v>
      </c>
      <c r="T4435" s="549">
        <v>0</v>
      </c>
      <c r="U4435" s="549">
        <v>0</v>
      </c>
      <c r="V4435" s="549">
        <v>0</v>
      </c>
      <c r="W4435" s="552">
        <v>0</v>
      </c>
      <c r="X4435" s="552">
        <v>0</v>
      </c>
      <c r="Y4435" s="552">
        <v>0</v>
      </c>
      <c r="Z4435" s="552">
        <v>0</v>
      </c>
      <c r="AA4435" s="974">
        <f t="shared" si="709"/>
        <v>150</v>
      </c>
    </row>
    <row r="4436" spans="1:27" x14ac:dyDescent="0.2">
      <c r="A4436" s="3569"/>
      <c r="B4436" s="3561">
        <v>2.2000000000000002</v>
      </c>
      <c r="C4436" s="3562" t="s">
        <v>1825</v>
      </c>
      <c r="D4436" s="3390" t="s">
        <v>1806</v>
      </c>
      <c r="E4436" s="3567">
        <v>23</v>
      </c>
      <c r="F4436" s="3571" t="s">
        <v>1807</v>
      </c>
      <c r="G4436" s="3571" t="s">
        <v>166</v>
      </c>
      <c r="H4436" s="3390" t="s">
        <v>1826</v>
      </c>
      <c r="I4436" s="3567" t="s">
        <v>156</v>
      </c>
      <c r="J4436" s="3556">
        <f>AA4436</f>
        <v>4</v>
      </c>
      <c r="K4436" s="3570">
        <f>AA4437</f>
        <v>1800</v>
      </c>
      <c r="L4436" s="3572" t="s">
        <v>1812</v>
      </c>
      <c r="M4436" s="3565" t="s">
        <v>51</v>
      </c>
      <c r="N4436" s="3565"/>
      <c r="O4436" s="314">
        <v>0</v>
      </c>
      <c r="P4436" s="314">
        <v>0</v>
      </c>
      <c r="Q4436" s="314">
        <v>0</v>
      </c>
      <c r="R4436" s="314">
        <v>1</v>
      </c>
      <c r="S4436" s="314">
        <v>1</v>
      </c>
      <c r="T4436" s="314">
        <v>0</v>
      </c>
      <c r="U4436" s="314">
        <v>0</v>
      </c>
      <c r="V4436" s="314">
        <v>0</v>
      </c>
      <c r="W4436" s="314">
        <v>1</v>
      </c>
      <c r="X4436" s="314">
        <v>1</v>
      </c>
      <c r="Y4436" s="314">
        <v>0</v>
      </c>
      <c r="Z4436" s="314">
        <v>0</v>
      </c>
      <c r="AA4436" s="975">
        <f t="shared" si="709"/>
        <v>4</v>
      </c>
    </row>
    <row r="4437" spans="1:27" x14ac:dyDescent="0.2">
      <c r="A4437" s="3569"/>
      <c r="B4437" s="3561"/>
      <c r="C4437" s="3562"/>
      <c r="D4437" s="3390"/>
      <c r="E4437" s="3567"/>
      <c r="F4437" s="3571"/>
      <c r="G4437" s="3571"/>
      <c r="H4437" s="3390"/>
      <c r="I4437" s="3567"/>
      <c r="J4437" s="3556"/>
      <c r="K4437" s="3570"/>
      <c r="L4437" s="3572"/>
      <c r="M4437" s="3565" t="s">
        <v>1813</v>
      </c>
      <c r="N4437" s="3565"/>
      <c r="O4437" s="315">
        <f>SUM(O4438:O4439)</f>
        <v>0</v>
      </c>
      <c r="P4437" s="315">
        <f t="shared" ref="P4437:Z4437" si="711">SUM(P4438:P4439)</f>
        <v>0</v>
      </c>
      <c r="Q4437" s="315">
        <f t="shared" si="711"/>
        <v>0</v>
      </c>
      <c r="R4437" s="315">
        <f t="shared" si="711"/>
        <v>750</v>
      </c>
      <c r="S4437" s="315">
        <f t="shared" si="711"/>
        <v>150</v>
      </c>
      <c r="T4437" s="315">
        <f t="shared" si="711"/>
        <v>0</v>
      </c>
      <c r="U4437" s="315">
        <f t="shared" si="711"/>
        <v>0</v>
      </c>
      <c r="V4437" s="315">
        <f t="shared" si="711"/>
        <v>0</v>
      </c>
      <c r="W4437" s="315">
        <f t="shared" si="711"/>
        <v>750</v>
      </c>
      <c r="X4437" s="315">
        <f t="shared" si="711"/>
        <v>150</v>
      </c>
      <c r="Y4437" s="315">
        <f t="shared" si="711"/>
        <v>0</v>
      </c>
      <c r="Z4437" s="315">
        <f t="shared" si="711"/>
        <v>0</v>
      </c>
      <c r="AA4437" s="975">
        <f>SUM(O4437:Z4437)</f>
        <v>1800</v>
      </c>
    </row>
    <row r="4438" spans="1:27" x14ac:dyDescent="0.2">
      <c r="A4438" s="3569"/>
      <c r="B4438" s="3561"/>
      <c r="C4438" s="3562"/>
      <c r="D4438" s="3390"/>
      <c r="E4438" s="3567"/>
      <c r="F4438" s="3571"/>
      <c r="G4438" s="3571"/>
      <c r="H4438" s="3390"/>
      <c r="I4438" s="3567"/>
      <c r="J4438" s="3556"/>
      <c r="K4438" s="3570"/>
      <c r="L4438" s="3572"/>
      <c r="M4438" s="892" t="s">
        <v>1452</v>
      </c>
      <c r="N4438" s="892" t="s">
        <v>1818</v>
      </c>
      <c r="O4438" s="318">
        <v>0</v>
      </c>
      <c r="P4438" s="318">
        <v>0</v>
      </c>
      <c r="Q4438" s="318">
        <v>0</v>
      </c>
      <c r="R4438" s="318">
        <v>0</v>
      </c>
      <c r="S4438" s="318">
        <v>150</v>
      </c>
      <c r="T4438" s="318">
        <v>0</v>
      </c>
      <c r="U4438" s="318">
        <v>0</v>
      </c>
      <c r="V4438" s="318">
        <v>0</v>
      </c>
      <c r="W4438" s="318">
        <v>0</v>
      </c>
      <c r="X4438" s="318">
        <v>150</v>
      </c>
      <c r="Y4438" s="318">
        <v>0</v>
      </c>
      <c r="Z4438" s="318">
        <v>0</v>
      </c>
      <c r="AA4438" s="974">
        <f t="shared" si="709"/>
        <v>300</v>
      </c>
    </row>
    <row r="4439" spans="1:27" ht="22.5" x14ac:dyDescent="0.2">
      <c r="A4439" s="3569"/>
      <c r="B4439" s="3561"/>
      <c r="C4439" s="3562"/>
      <c r="D4439" s="3390"/>
      <c r="E4439" s="3567"/>
      <c r="F4439" s="3571"/>
      <c r="G4439" s="3571"/>
      <c r="H4439" s="3390"/>
      <c r="I4439" s="3567"/>
      <c r="J4439" s="3556"/>
      <c r="K4439" s="3570"/>
      <c r="L4439" s="3572"/>
      <c r="M4439" s="892" t="s">
        <v>194</v>
      </c>
      <c r="N4439" s="892" t="s">
        <v>1368</v>
      </c>
      <c r="O4439" s="318">
        <v>0</v>
      </c>
      <c r="P4439" s="318">
        <v>0</v>
      </c>
      <c r="Q4439" s="318">
        <v>0</v>
      </c>
      <c r="R4439" s="318">
        <v>750</v>
      </c>
      <c r="S4439" s="318">
        <v>0</v>
      </c>
      <c r="T4439" s="318">
        <v>0</v>
      </c>
      <c r="U4439" s="318">
        <v>0</v>
      </c>
      <c r="V4439" s="318">
        <v>0</v>
      </c>
      <c r="W4439" s="318">
        <v>750</v>
      </c>
      <c r="X4439" s="318">
        <v>0</v>
      </c>
      <c r="Y4439" s="318">
        <v>0</v>
      </c>
      <c r="Z4439" s="318">
        <v>0</v>
      </c>
      <c r="AA4439" s="974">
        <f t="shared" si="709"/>
        <v>1500</v>
      </c>
    </row>
    <row r="4440" spans="1:27" x14ac:dyDescent="0.2">
      <c r="A4440" s="3569" t="s">
        <v>1827</v>
      </c>
      <c r="B4440" s="3561">
        <v>3.1</v>
      </c>
      <c r="C4440" s="3562" t="s">
        <v>1828</v>
      </c>
      <c r="D4440" s="3390" t="s">
        <v>1806</v>
      </c>
      <c r="E4440" s="3390">
        <v>23</v>
      </c>
      <c r="F4440" s="3571" t="s">
        <v>1807</v>
      </c>
      <c r="G4440" s="3571" t="s">
        <v>166</v>
      </c>
      <c r="H4440" s="3390" t="s">
        <v>1829</v>
      </c>
      <c r="I4440" s="3390" t="s">
        <v>156</v>
      </c>
      <c r="J4440" s="3556">
        <f>AA4440</f>
        <v>13</v>
      </c>
      <c r="K4440" s="3570">
        <v>3900</v>
      </c>
      <c r="L4440" s="3390" t="s">
        <v>1812</v>
      </c>
      <c r="M4440" s="3565" t="s">
        <v>51</v>
      </c>
      <c r="N4440" s="3565"/>
      <c r="O4440" s="311">
        <v>1</v>
      </c>
      <c r="P4440" s="311">
        <v>1</v>
      </c>
      <c r="Q4440" s="311">
        <v>1</v>
      </c>
      <c r="R4440" s="311">
        <v>1</v>
      </c>
      <c r="S4440" s="311">
        <v>2</v>
      </c>
      <c r="T4440" s="311">
        <v>1</v>
      </c>
      <c r="U4440" s="311">
        <v>1</v>
      </c>
      <c r="V4440" s="311">
        <v>1</v>
      </c>
      <c r="W4440" s="311">
        <v>1</v>
      </c>
      <c r="X4440" s="311">
        <v>1</v>
      </c>
      <c r="Y4440" s="311">
        <v>1</v>
      </c>
      <c r="Z4440" s="311">
        <v>1</v>
      </c>
      <c r="AA4440" s="975">
        <f>SUM(O4440:Z4440)</f>
        <v>13</v>
      </c>
    </row>
    <row r="4441" spans="1:27" x14ac:dyDescent="0.2">
      <c r="A4441" s="3569"/>
      <c r="B4441" s="3561"/>
      <c r="C4441" s="3562"/>
      <c r="D4441" s="3390"/>
      <c r="E4441" s="3390"/>
      <c r="F4441" s="3571"/>
      <c r="G4441" s="3571"/>
      <c r="H4441" s="3390"/>
      <c r="I4441" s="3390"/>
      <c r="J4441" s="3556"/>
      <c r="K4441" s="3570"/>
      <c r="L4441" s="3390"/>
      <c r="M4441" s="3565" t="s">
        <v>1813</v>
      </c>
      <c r="N4441" s="3565"/>
      <c r="O4441" s="891">
        <f t="shared" ref="O4441:Z4441" si="712">SUM(O4442:O4445)</f>
        <v>300</v>
      </c>
      <c r="P4441" s="891">
        <f t="shared" si="712"/>
        <v>300</v>
      </c>
      <c r="Q4441" s="891">
        <f t="shared" si="712"/>
        <v>300</v>
      </c>
      <c r="R4441" s="891">
        <f t="shared" si="712"/>
        <v>300</v>
      </c>
      <c r="S4441" s="891">
        <f t="shared" si="712"/>
        <v>600</v>
      </c>
      <c r="T4441" s="891">
        <f t="shared" si="712"/>
        <v>300</v>
      </c>
      <c r="U4441" s="891">
        <f t="shared" si="712"/>
        <v>300</v>
      </c>
      <c r="V4441" s="891">
        <f t="shared" si="712"/>
        <v>300</v>
      </c>
      <c r="W4441" s="891">
        <f t="shared" si="712"/>
        <v>300</v>
      </c>
      <c r="X4441" s="891">
        <f t="shared" si="712"/>
        <v>300</v>
      </c>
      <c r="Y4441" s="891">
        <f t="shared" si="712"/>
        <v>300</v>
      </c>
      <c r="Z4441" s="891">
        <f t="shared" si="712"/>
        <v>300</v>
      </c>
      <c r="AA4441" s="975">
        <f>SUM(O4441:Z4441)</f>
        <v>3900</v>
      </c>
    </row>
    <row r="4442" spans="1:27" ht="22.5" x14ac:dyDescent="0.2">
      <c r="A4442" s="3569"/>
      <c r="B4442" s="3561"/>
      <c r="C4442" s="3562"/>
      <c r="D4442" s="3390"/>
      <c r="E4442" s="3390"/>
      <c r="F4442" s="3571"/>
      <c r="G4442" s="3571"/>
      <c r="H4442" s="3390"/>
      <c r="I4442" s="3390"/>
      <c r="J4442" s="3556"/>
      <c r="K4442" s="3570"/>
      <c r="L4442" s="3390"/>
      <c r="M4442" s="892" t="s">
        <v>194</v>
      </c>
      <c r="N4442" s="892" t="s">
        <v>1368</v>
      </c>
      <c r="O4442" s="503">
        <v>200</v>
      </c>
      <c r="P4442" s="503">
        <v>200</v>
      </c>
      <c r="Q4442" s="503">
        <v>200</v>
      </c>
      <c r="R4442" s="503">
        <v>200</v>
      </c>
      <c r="S4442" s="503">
        <v>400</v>
      </c>
      <c r="T4442" s="503">
        <v>200</v>
      </c>
      <c r="U4442" s="503">
        <v>200</v>
      </c>
      <c r="V4442" s="503">
        <v>200</v>
      </c>
      <c r="W4442" s="503">
        <v>200</v>
      </c>
      <c r="X4442" s="503">
        <v>200</v>
      </c>
      <c r="Y4442" s="503">
        <v>200</v>
      </c>
      <c r="Z4442" s="503">
        <v>200</v>
      </c>
      <c r="AA4442" s="974">
        <f t="shared" ref="AA4442:AA4467" si="713">SUM(O4442:Z4442)</f>
        <v>2600</v>
      </c>
    </row>
    <row r="4443" spans="1:27" x14ac:dyDescent="0.2">
      <c r="A4443" s="3569"/>
      <c r="B4443" s="3561"/>
      <c r="C4443" s="3562"/>
      <c r="D4443" s="3390"/>
      <c r="E4443" s="3390"/>
      <c r="F4443" s="3571"/>
      <c r="G4443" s="3571"/>
      <c r="H4443" s="3390"/>
      <c r="I4443" s="3390"/>
      <c r="J4443" s="3556"/>
      <c r="K4443" s="3570"/>
      <c r="L4443" s="3390"/>
      <c r="M4443" s="892" t="s">
        <v>541</v>
      </c>
      <c r="N4443" s="892" t="s">
        <v>542</v>
      </c>
      <c r="O4443" s="503">
        <v>0</v>
      </c>
      <c r="P4443" s="503">
        <v>0</v>
      </c>
      <c r="Q4443" s="503">
        <v>0</v>
      </c>
      <c r="R4443" s="503">
        <v>0</v>
      </c>
      <c r="S4443" s="503">
        <v>0</v>
      </c>
      <c r="T4443" s="503">
        <v>0</v>
      </c>
      <c r="U4443" s="503">
        <v>0</v>
      </c>
      <c r="V4443" s="503">
        <v>0</v>
      </c>
      <c r="W4443" s="503">
        <v>0</v>
      </c>
      <c r="X4443" s="503">
        <v>0</v>
      </c>
      <c r="Y4443" s="503">
        <v>0</v>
      </c>
      <c r="Z4443" s="503">
        <v>0</v>
      </c>
      <c r="AA4443" s="974">
        <f t="shared" si="713"/>
        <v>0</v>
      </c>
    </row>
    <row r="4444" spans="1:27" ht="22.5" x14ac:dyDescent="0.2">
      <c r="A4444" s="3569"/>
      <c r="B4444" s="3561"/>
      <c r="C4444" s="3562"/>
      <c r="D4444" s="3390"/>
      <c r="E4444" s="3390"/>
      <c r="F4444" s="3571"/>
      <c r="G4444" s="3571"/>
      <c r="H4444" s="3390"/>
      <c r="I4444" s="3390"/>
      <c r="J4444" s="3556"/>
      <c r="K4444" s="3570"/>
      <c r="L4444" s="3390"/>
      <c r="M4444" s="892" t="s">
        <v>200</v>
      </c>
      <c r="N4444" s="892" t="s">
        <v>1473</v>
      </c>
      <c r="O4444" s="503">
        <v>0</v>
      </c>
      <c r="P4444" s="503">
        <v>0</v>
      </c>
      <c r="Q4444" s="503">
        <v>0</v>
      </c>
      <c r="R4444" s="503">
        <v>0</v>
      </c>
      <c r="S4444" s="503">
        <v>0</v>
      </c>
      <c r="T4444" s="503">
        <v>0</v>
      </c>
      <c r="U4444" s="503">
        <v>0</v>
      </c>
      <c r="V4444" s="503">
        <v>0</v>
      </c>
      <c r="W4444" s="503">
        <v>0</v>
      </c>
      <c r="X4444" s="503">
        <v>0</v>
      </c>
      <c r="Y4444" s="503">
        <v>0</v>
      </c>
      <c r="Z4444" s="503">
        <v>0</v>
      </c>
      <c r="AA4444" s="974">
        <f t="shared" si="713"/>
        <v>0</v>
      </c>
    </row>
    <row r="4445" spans="1:27" x14ac:dyDescent="0.2">
      <c r="A4445" s="3569"/>
      <c r="B4445" s="3561"/>
      <c r="C4445" s="3562"/>
      <c r="D4445" s="3390"/>
      <c r="E4445" s="3390"/>
      <c r="F4445" s="3571"/>
      <c r="G4445" s="3571"/>
      <c r="H4445" s="3390"/>
      <c r="I4445" s="3390"/>
      <c r="J4445" s="3556"/>
      <c r="K4445" s="3570"/>
      <c r="L4445" s="3390"/>
      <c r="M4445" s="892" t="s">
        <v>1452</v>
      </c>
      <c r="N4445" s="892" t="s">
        <v>1818</v>
      </c>
      <c r="O4445" s="553">
        <v>100</v>
      </c>
      <c r="P4445" s="553">
        <v>100</v>
      </c>
      <c r="Q4445" s="553">
        <v>100</v>
      </c>
      <c r="R4445" s="553">
        <v>100</v>
      </c>
      <c r="S4445" s="553">
        <v>200</v>
      </c>
      <c r="T4445" s="553">
        <v>100</v>
      </c>
      <c r="U4445" s="553">
        <v>100</v>
      </c>
      <c r="V4445" s="553">
        <v>100</v>
      </c>
      <c r="W4445" s="553">
        <v>100</v>
      </c>
      <c r="X4445" s="553">
        <v>100</v>
      </c>
      <c r="Y4445" s="553">
        <v>100</v>
      </c>
      <c r="Z4445" s="553">
        <v>100</v>
      </c>
      <c r="AA4445" s="974">
        <f t="shared" si="713"/>
        <v>1300</v>
      </c>
    </row>
    <row r="4446" spans="1:27" x14ac:dyDescent="0.2">
      <c r="A4446" s="3569"/>
      <c r="B4446" s="3561">
        <v>3.2</v>
      </c>
      <c r="C4446" s="3562" t="s">
        <v>1830</v>
      </c>
      <c r="D4446" s="3573" t="s">
        <v>1806</v>
      </c>
      <c r="E4446" s="3567">
        <v>23</v>
      </c>
      <c r="F4446" s="3571" t="s">
        <v>1807</v>
      </c>
      <c r="G4446" s="3571" t="s">
        <v>166</v>
      </c>
      <c r="H4446" s="3390" t="s">
        <v>1831</v>
      </c>
      <c r="I4446" s="3567" t="s">
        <v>156</v>
      </c>
      <c r="J4446" s="3556">
        <f>AA4446</f>
        <v>3</v>
      </c>
      <c r="K4446" s="3570">
        <f>AA4447</f>
        <v>3450</v>
      </c>
      <c r="L4446" s="3572" t="s">
        <v>1812</v>
      </c>
      <c r="M4446" s="3565" t="s">
        <v>51</v>
      </c>
      <c r="N4446" s="3565"/>
      <c r="O4446" s="314">
        <v>0</v>
      </c>
      <c r="P4446" s="314">
        <v>1</v>
      </c>
      <c r="Q4446" s="314">
        <v>0</v>
      </c>
      <c r="R4446" s="314">
        <v>0</v>
      </c>
      <c r="S4446" s="314">
        <v>0</v>
      </c>
      <c r="T4446" s="314">
        <v>0</v>
      </c>
      <c r="U4446" s="314">
        <v>1</v>
      </c>
      <c r="V4446" s="314">
        <v>0</v>
      </c>
      <c r="W4446" s="314">
        <v>0</v>
      </c>
      <c r="X4446" s="314">
        <v>0</v>
      </c>
      <c r="Y4446" s="314">
        <v>0</v>
      </c>
      <c r="Z4446" s="314">
        <v>1</v>
      </c>
      <c r="AA4446" s="975">
        <f t="shared" si="713"/>
        <v>3</v>
      </c>
    </row>
    <row r="4447" spans="1:27" x14ac:dyDescent="0.2">
      <c r="A4447" s="3569"/>
      <c r="B4447" s="3561"/>
      <c r="C4447" s="3562"/>
      <c r="D4447" s="3573"/>
      <c r="E4447" s="3567"/>
      <c r="F4447" s="3571"/>
      <c r="G4447" s="3571"/>
      <c r="H4447" s="3390"/>
      <c r="I4447" s="3567"/>
      <c r="J4447" s="3556"/>
      <c r="K4447" s="3570"/>
      <c r="L4447" s="3572"/>
      <c r="M4447" s="3565" t="s">
        <v>1813</v>
      </c>
      <c r="N4447" s="3565"/>
      <c r="O4447" s="315">
        <f>SUM(O4448:O4449)</f>
        <v>0</v>
      </c>
      <c r="P4447" s="315">
        <f t="shared" ref="P4447:Z4447" si="714">SUM(P4448:P4449)</f>
        <v>1150</v>
      </c>
      <c r="Q4447" s="315">
        <f t="shared" si="714"/>
        <v>0</v>
      </c>
      <c r="R4447" s="315">
        <f t="shared" si="714"/>
        <v>0</v>
      </c>
      <c r="S4447" s="315">
        <f t="shared" si="714"/>
        <v>0</v>
      </c>
      <c r="T4447" s="315">
        <f t="shared" si="714"/>
        <v>0</v>
      </c>
      <c r="U4447" s="315">
        <f t="shared" si="714"/>
        <v>1150</v>
      </c>
      <c r="V4447" s="315">
        <f t="shared" si="714"/>
        <v>0</v>
      </c>
      <c r="W4447" s="315">
        <f t="shared" si="714"/>
        <v>0</v>
      </c>
      <c r="X4447" s="315">
        <f t="shared" si="714"/>
        <v>0</v>
      </c>
      <c r="Y4447" s="315">
        <f t="shared" si="714"/>
        <v>0</v>
      </c>
      <c r="Z4447" s="315">
        <f t="shared" si="714"/>
        <v>1150</v>
      </c>
      <c r="AA4447" s="975">
        <f>SUM(O4447:Z4447)</f>
        <v>3450</v>
      </c>
    </row>
    <row r="4448" spans="1:27" ht="22.5" x14ac:dyDescent="0.2">
      <c r="A4448" s="3569"/>
      <c r="B4448" s="3561"/>
      <c r="C4448" s="3562"/>
      <c r="D4448" s="3573"/>
      <c r="E4448" s="3567"/>
      <c r="F4448" s="3571"/>
      <c r="G4448" s="3571"/>
      <c r="H4448" s="3390"/>
      <c r="I4448" s="3567"/>
      <c r="J4448" s="3556"/>
      <c r="K4448" s="3570"/>
      <c r="L4448" s="3572"/>
      <c r="M4448" s="892" t="s">
        <v>200</v>
      </c>
      <c r="N4448" s="892" t="s">
        <v>1473</v>
      </c>
      <c r="O4448" s="318">
        <v>0</v>
      </c>
      <c r="P4448" s="318">
        <v>450</v>
      </c>
      <c r="Q4448" s="318">
        <v>0</v>
      </c>
      <c r="R4448" s="318">
        <v>0</v>
      </c>
      <c r="S4448" s="318">
        <v>0</v>
      </c>
      <c r="T4448" s="318">
        <v>0</v>
      </c>
      <c r="U4448" s="318">
        <v>450</v>
      </c>
      <c r="V4448" s="318">
        <v>0</v>
      </c>
      <c r="W4448" s="318">
        <v>0</v>
      </c>
      <c r="X4448" s="318">
        <v>0</v>
      </c>
      <c r="Y4448" s="318">
        <v>0</v>
      </c>
      <c r="Z4448" s="318">
        <v>450</v>
      </c>
      <c r="AA4448" s="974">
        <f t="shared" si="713"/>
        <v>1350</v>
      </c>
    </row>
    <row r="4449" spans="1:27" x14ac:dyDescent="0.2">
      <c r="A4449" s="3569"/>
      <c r="B4449" s="3561"/>
      <c r="C4449" s="3562"/>
      <c r="D4449" s="3573"/>
      <c r="E4449" s="3567"/>
      <c r="F4449" s="3571"/>
      <c r="G4449" s="3571"/>
      <c r="H4449" s="3390"/>
      <c r="I4449" s="3567"/>
      <c r="J4449" s="3556"/>
      <c r="K4449" s="3570"/>
      <c r="L4449" s="3572"/>
      <c r="M4449" s="892" t="s">
        <v>1452</v>
      </c>
      <c r="N4449" s="892" t="s">
        <v>1818</v>
      </c>
      <c r="O4449" s="318">
        <v>0</v>
      </c>
      <c r="P4449" s="318">
        <v>700</v>
      </c>
      <c r="Q4449" s="318">
        <v>0</v>
      </c>
      <c r="R4449" s="318">
        <v>0</v>
      </c>
      <c r="S4449" s="318">
        <v>0</v>
      </c>
      <c r="T4449" s="318">
        <v>0</v>
      </c>
      <c r="U4449" s="318">
        <v>700</v>
      </c>
      <c r="V4449" s="318">
        <v>0</v>
      </c>
      <c r="W4449" s="318">
        <v>0</v>
      </c>
      <c r="X4449" s="318">
        <v>0</v>
      </c>
      <c r="Y4449" s="318">
        <v>0</v>
      </c>
      <c r="Z4449" s="318">
        <v>700</v>
      </c>
      <c r="AA4449" s="974">
        <f t="shared" si="713"/>
        <v>2100</v>
      </c>
    </row>
    <row r="4450" spans="1:27" x14ac:dyDescent="0.2">
      <c r="A4450" s="3569" t="s">
        <v>1832</v>
      </c>
      <c r="B4450" s="3561">
        <v>4.0999999999999996</v>
      </c>
      <c r="C4450" s="3562" t="s">
        <v>1833</v>
      </c>
      <c r="D4450" s="3390" t="s">
        <v>1806</v>
      </c>
      <c r="E4450" s="3390">
        <v>23</v>
      </c>
      <c r="F4450" s="3571" t="s">
        <v>1807</v>
      </c>
      <c r="G4450" s="3571" t="s">
        <v>166</v>
      </c>
      <c r="H4450" s="3390" t="s">
        <v>1817</v>
      </c>
      <c r="I4450" s="3567" t="s">
        <v>156</v>
      </c>
      <c r="J4450" s="3556">
        <f>AA4450</f>
        <v>3</v>
      </c>
      <c r="K4450" s="3570">
        <f>AA4451</f>
        <v>1050</v>
      </c>
      <c r="L4450" s="3572" t="s">
        <v>1812</v>
      </c>
      <c r="M4450" s="3565" t="s">
        <v>51</v>
      </c>
      <c r="N4450" s="3565"/>
      <c r="O4450" s="311">
        <v>1</v>
      </c>
      <c r="P4450" s="311">
        <v>0</v>
      </c>
      <c r="Q4450" s="311">
        <v>0</v>
      </c>
      <c r="R4450" s="311">
        <v>0</v>
      </c>
      <c r="S4450" s="311">
        <v>0</v>
      </c>
      <c r="T4450" s="311">
        <v>0</v>
      </c>
      <c r="U4450" s="311">
        <v>1</v>
      </c>
      <c r="V4450" s="311">
        <v>0</v>
      </c>
      <c r="W4450" s="311">
        <v>0</v>
      </c>
      <c r="X4450" s="311">
        <v>0</v>
      </c>
      <c r="Y4450" s="311">
        <v>0</v>
      </c>
      <c r="Z4450" s="319">
        <v>1</v>
      </c>
      <c r="AA4450" s="975">
        <f t="shared" si="713"/>
        <v>3</v>
      </c>
    </row>
    <row r="4451" spans="1:27" x14ac:dyDescent="0.2">
      <c r="A4451" s="3569"/>
      <c r="B4451" s="3561"/>
      <c r="C4451" s="3562"/>
      <c r="D4451" s="3390"/>
      <c r="E4451" s="3390"/>
      <c r="F4451" s="3571"/>
      <c r="G4451" s="3571"/>
      <c r="H4451" s="3390"/>
      <c r="I4451" s="3567"/>
      <c r="J4451" s="3556"/>
      <c r="K4451" s="3570"/>
      <c r="L4451" s="3572"/>
      <c r="M4451" s="3565" t="s">
        <v>1813</v>
      </c>
      <c r="N4451" s="3565"/>
      <c r="O4451" s="311">
        <f>SUM(O4452)</f>
        <v>350</v>
      </c>
      <c r="P4451" s="311">
        <f t="shared" ref="P4451:X4451" si="715">SUM(P4452)</f>
        <v>0</v>
      </c>
      <c r="Q4451" s="311">
        <f t="shared" si="715"/>
        <v>0</v>
      </c>
      <c r="R4451" s="311">
        <f t="shared" si="715"/>
        <v>0</v>
      </c>
      <c r="S4451" s="311">
        <f t="shared" si="715"/>
        <v>0</v>
      </c>
      <c r="T4451" s="311">
        <f t="shared" si="715"/>
        <v>0</v>
      </c>
      <c r="U4451" s="311">
        <f t="shared" si="715"/>
        <v>350</v>
      </c>
      <c r="V4451" s="311">
        <f t="shared" si="715"/>
        <v>0</v>
      </c>
      <c r="W4451" s="311">
        <f t="shared" si="715"/>
        <v>0</v>
      </c>
      <c r="X4451" s="311">
        <f t="shared" si="715"/>
        <v>0</v>
      </c>
      <c r="Y4451" s="311">
        <f>SUM(Y4452)</f>
        <v>0</v>
      </c>
      <c r="Z4451" s="311">
        <f>SUM(Z4452)</f>
        <v>350</v>
      </c>
      <c r="AA4451" s="975">
        <f>SUM(O4451:Z4451)</f>
        <v>1050</v>
      </c>
    </row>
    <row r="4452" spans="1:27" x14ac:dyDescent="0.2">
      <c r="A4452" s="3569"/>
      <c r="B4452" s="3561"/>
      <c r="C4452" s="3562"/>
      <c r="D4452" s="3390"/>
      <c r="E4452" s="3390"/>
      <c r="F4452" s="3571"/>
      <c r="G4452" s="3571"/>
      <c r="H4452" s="3390"/>
      <c r="I4452" s="3567"/>
      <c r="J4452" s="3556"/>
      <c r="K4452" s="3570"/>
      <c r="L4452" s="3572"/>
      <c r="M4452" s="511" t="s">
        <v>1452</v>
      </c>
      <c r="N4452" s="511" t="s">
        <v>1818</v>
      </c>
      <c r="O4452" s="550">
        <v>350</v>
      </c>
      <c r="P4452" s="550">
        <v>0</v>
      </c>
      <c r="Q4452" s="550">
        <v>0</v>
      </c>
      <c r="R4452" s="550">
        <v>0</v>
      </c>
      <c r="S4452" s="550">
        <v>0</v>
      </c>
      <c r="T4452" s="550">
        <v>0</v>
      </c>
      <c r="U4452" s="550">
        <v>350</v>
      </c>
      <c r="V4452" s="550">
        <v>0</v>
      </c>
      <c r="W4452" s="550">
        <v>0</v>
      </c>
      <c r="X4452" s="550">
        <v>0</v>
      </c>
      <c r="Y4452" s="550">
        <v>0</v>
      </c>
      <c r="Z4452" s="320">
        <v>350</v>
      </c>
      <c r="AA4452" s="974">
        <f t="shared" si="713"/>
        <v>1050</v>
      </c>
    </row>
    <row r="4453" spans="1:27" x14ac:dyDescent="0.2">
      <c r="A4453" s="3569"/>
      <c r="B4453" s="3561">
        <v>4.2</v>
      </c>
      <c r="C4453" s="3562" t="s">
        <v>1834</v>
      </c>
      <c r="D4453" s="3390" t="s">
        <v>1806</v>
      </c>
      <c r="E4453" s="3390">
        <v>23</v>
      </c>
      <c r="F4453" s="3571" t="s">
        <v>1807</v>
      </c>
      <c r="G4453" s="3571" t="s">
        <v>166</v>
      </c>
      <c r="H4453" s="3390" t="str">
        <f>+H4450</f>
        <v>Número de acciones realizadas.</v>
      </c>
      <c r="I4453" s="3567" t="str">
        <f>+I4450</f>
        <v>Unidad</v>
      </c>
      <c r="J4453" s="3556">
        <f>AA4453</f>
        <v>3</v>
      </c>
      <c r="K4453" s="3570">
        <f>AA4455</f>
        <v>1050</v>
      </c>
      <c r="L4453" s="3572" t="s">
        <v>1812</v>
      </c>
      <c r="M4453" s="3574" t="s">
        <v>51</v>
      </c>
      <c r="N4453" s="3574"/>
      <c r="O4453" s="311">
        <v>1</v>
      </c>
      <c r="P4453" s="311">
        <v>0</v>
      </c>
      <c r="Q4453" s="311">
        <v>0</v>
      </c>
      <c r="R4453" s="311">
        <v>0</v>
      </c>
      <c r="S4453" s="311">
        <v>0</v>
      </c>
      <c r="T4453" s="311">
        <v>0</v>
      </c>
      <c r="U4453" s="311">
        <v>1</v>
      </c>
      <c r="V4453" s="311">
        <v>0</v>
      </c>
      <c r="W4453" s="311">
        <v>0</v>
      </c>
      <c r="X4453" s="311">
        <v>0</v>
      </c>
      <c r="Y4453" s="311">
        <v>0</v>
      </c>
      <c r="Z4453" s="319">
        <v>1</v>
      </c>
      <c r="AA4453" s="975">
        <f t="shared" si="713"/>
        <v>3</v>
      </c>
    </row>
    <row r="4454" spans="1:27" x14ac:dyDescent="0.2">
      <c r="A4454" s="3569"/>
      <c r="B4454" s="3561"/>
      <c r="C4454" s="3562"/>
      <c r="D4454" s="3390"/>
      <c r="E4454" s="3390"/>
      <c r="F4454" s="3571"/>
      <c r="G4454" s="3571"/>
      <c r="H4454" s="3390"/>
      <c r="I4454" s="3567"/>
      <c r="J4454" s="3556"/>
      <c r="K4454" s="3570"/>
      <c r="L4454" s="3572"/>
      <c r="M4454" s="3574" t="s">
        <v>1813</v>
      </c>
      <c r="N4454" s="3574"/>
      <c r="O4454" s="311">
        <f>SUM(O4455)</f>
        <v>350</v>
      </c>
      <c r="P4454" s="311">
        <f t="shared" ref="P4454:X4454" si="716">SUM(P4455)</f>
        <v>0</v>
      </c>
      <c r="Q4454" s="311">
        <f t="shared" si="716"/>
        <v>0</v>
      </c>
      <c r="R4454" s="311">
        <f t="shared" si="716"/>
        <v>0</v>
      </c>
      <c r="S4454" s="311">
        <f t="shared" si="716"/>
        <v>0</v>
      </c>
      <c r="T4454" s="311">
        <f t="shared" si="716"/>
        <v>0</v>
      </c>
      <c r="U4454" s="311">
        <f t="shared" si="716"/>
        <v>350</v>
      </c>
      <c r="V4454" s="311">
        <f t="shared" si="716"/>
        <v>0</v>
      </c>
      <c r="W4454" s="311">
        <f t="shared" si="716"/>
        <v>0</v>
      </c>
      <c r="X4454" s="311">
        <f t="shared" si="716"/>
        <v>0</v>
      </c>
      <c r="Y4454" s="311">
        <f>SUM(Y4455)</f>
        <v>0</v>
      </c>
      <c r="Z4454" s="311">
        <f>SUM(Z4455)</f>
        <v>350</v>
      </c>
      <c r="AA4454" s="975">
        <f>SUM(O4454:Z4454)</f>
        <v>1050</v>
      </c>
    </row>
    <row r="4455" spans="1:27" x14ac:dyDescent="0.2">
      <c r="A4455" s="3569"/>
      <c r="B4455" s="3561"/>
      <c r="C4455" s="3562"/>
      <c r="D4455" s="3390"/>
      <c r="E4455" s="3390"/>
      <c r="F4455" s="3571"/>
      <c r="G4455" s="3571"/>
      <c r="H4455" s="3390"/>
      <c r="I4455" s="3567"/>
      <c r="J4455" s="3556"/>
      <c r="K4455" s="3570"/>
      <c r="L4455" s="3572"/>
      <c r="M4455" s="511" t="s">
        <v>1452</v>
      </c>
      <c r="N4455" s="511" t="s">
        <v>1818</v>
      </c>
      <c r="O4455" s="550">
        <v>350</v>
      </c>
      <c r="P4455" s="550">
        <v>0</v>
      </c>
      <c r="Q4455" s="550">
        <v>0</v>
      </c>
      <c r="R4455" s="550">
        <v>0</v>
      </c>
      <c r="S4455" s="550">
        <v>0</v>
      </c>
      <c r="T4455" s="550">
        <v>0</v>
      </c>
      <c r="U4455" s="550">
        <v>350</v>
      </c>
      <c r="V4455" s="550">
        <v>0</v>
      </c>
      <c r="W4455" s="550">
        <v>0</v>
      </c>
      <c r="X4455" s="550">
        <v>0</v>
      </c>
      <c r="Y4455" s="550">
        <v>0</v>
      </c>
      <c r="Z4455" s="320">
        <v>350</v>
      </c>
      <c r="AA4455" s="974">
        <f t="shared" si="713"/>
        <v>1050</v>
      </c>
    </row>
    <row r="4456" spans="1:27" x14ac:dyDescent="0.2">
      <c r="A4456" s="3569"/>
      <c r="B4456" s="3561">
        <v>4.3</v>
      </c>
      <c r="C4456" s="3562" t="s">
        <v>1835</v>
      </c>
      <c r="D4456" s="3390" t="s">
        <v>1806</v>
      </c>
      <c r="E4456" s="3390">
        <v>23</v>
      </c>
      <c r="F4456" s="3571" t="s">
        <v>1807</v>
      </c>
      <c r="G4456" s="3571" t="s">
        <v>166</v>
      </c>
      <c r="H4456" s="3390" t="s">
        <v>1826</v>
      </c>
      <c r="I4456" s="3567" t="s">
        <v>156</v>
      </c>
      <c r="J4456" s="3556">
        <f>AA4456</f>
        <v>4</v>
      </c>
      <c r="K4456" s="3570">
        <f>AA4457</f>
        <v>3000</v>
      </c>
      <c r="L4456" s="3572" t="s">
        <v>1812</v>
      </c>
      <c r="M4456" s="3574" t="s">
        <v>51</v>
      </c>
      <c r="N4456" s="3574"/>
      <c r="O4456" s="893">
        <v>0</v>
      </c>
      <c r="P4456" s="893">
        <v>0</v>
      </c>
      <c r="Q4456" s="893">
        <v>1</v>
      </c>
      <c r="R4456" s="893">
        <v>0</v>
      </c>
      <c r="S4456" s="893">
        <v>1</v>
      </c>
      <c r="T4456" s="893">
        <v>0</v>
      </c>
      <c r="U4456" s="893">
        <v>0</v>
      </c>
      <c r="V4456" s="893">
        <v>0</v>
      </c>
      <c r="W4456" s="970">
        <v>1</v>
      </c>
      <c r="X4456" s="970">
        <v>0</v>
      </c>
      <c r="Y4456" s="970">
        <v>0</v>
      </c>
      <c r="Z4456" s="970">
        <v>1</v>
      </c>
      <c r="AA4456" s="975">
        <f>SUM(O4456:Z4456)</f>
        <v>4</v>
      </c>
    </row>
    <row r="4457" spans="1:27" x14ac:dyDescent="0.2">
      <c r="A4457" s="3569"/>
      <c r="B4457" s="3561"/>
      <c r="C4457" s="3562"/>
      <c r="D4457" s="3390"/>
      <c r="E4457" s="3390"/>
      <c r="F4457" s="3571"/>
      <c r="G4457" s="3571"/>
      <c r="H4457" s="3390"/>
      <c r="I4457" s="3567"/>
      <c r="J4457" s="3556"/>
      <c r="K4457" s="3570"/>
      <c r="L4457" s="3572"/>
      <c r="M4457" s="3574" t="s">
        <v>1813</v>
      </c>
      <c r="N4457" s="3574"/>
      <c r="O4457" s="314">
        <f>SUM(O4458)</f>
        <v>0</v>
      </c>
      <c r="P4457" s="314">
        <f t="shared" ref="P4457:W4457" si="717">SUM(P4458)</f>
        <v>0</v>
      </c>
      <c r="Q4457" s="314">
        <f t="shared" si="717"/>
        <v>750</v>
      </c>
      <c r="R4457" s="314">
        <f t="shared" si="717"/>
        <v>0</v>
      </c>
      <c r="S4457" s="314">
        <f t="shared" si="717"/>
        <v>750</v>
      </c>
      <c r="T4457" s="314">
        <f t="shared" si="717"/>
        <v>0</v>
      </c>
      <c r="U4457" s="314">
        <f t="shared" si="717"/>
        <v>0</v>
      </c>
      <c r="V4457" s="314">
        <f t="shared" si="717"/>
        <v>0</v>
      </c>
      <c r="W4457" s="314">
        <f t="shared" si="717"/>
        <v>750</v>
      </c>
      <c r="X4457" s="314">
        <f>SUM(X4458)</f>
        <v>0</v>
      </c>
      <c r="Y4457" s="314">
        <f>SUM(Y4458)</f>
        <v>0</v>
      </c>
      <c r="Z4457" s="314">
        <f>SUM(Z4458)</f>
        <v>750</v>
      </c>
      <c r="AA4457" s="975">
        <f>SUM(O4457:Z4457)</f>
        <v>3000</v>
      </c>
    </row>
    <row r="4458" spans="1:27" ht="22.5" x14ac:dyDescent="0.2">
      <c r="A4458" s="3569"/>
      <c r="B4458" s="3561"/>
      <c r="C4458" s="3562"/>
      <c r="D4458" s="3390"/>
      <c r="E4458" s="3390"/>
      <c r="F4458" s="3571"/>
      <c r="G4458" s="3571"/>
      <c r="H4458" s="3390"/>
      <c r="I4458" s="3567"/>
      <c r="J4458" s="3556"/>
      <c r="K4458" s="3570"/>
      <c r="L4458" s="3390"/>
      <c r="M4458" s="511" t="s">
        <v>194</v>
      </c>
      <c r="N4458" s="511" t="s">
        <v>1368</v>
      </c>
      <c r="O4458" s="549">
        <v>0</v>
      </c>
      <c r="P4458" s="549">
        <v>0</v>
      </c>
      <c r="Q4458" s="549">
        <v>750</v>
      </c>
      <c r="R4458" s="549">
        <v>0</v>
      </c>
      <c r="S4458" s="549">
        <v>750</v>
      </c>
      <c r="T4458" s="549">
        <v>0</v>
      </c>
      <c r="U4458" s="549">
        <v>0</v>
      </c>
      <c r="V4458" s="549">
        <v>0</v>
      </c>
      <c r="W4458" s="555">
        <v>750</v>
      </c>
      <c r="X4458" s="555">
        <v>0</v>
      </c>
      <c r="Y4458" s="555">
        <v>0</v>
      </c>
      <c r="Z4458" s="555">
        <v>750</v>
      </c>
      <c r="AA4458" s="974">
        <f t="shared" si="713"/>
        <v>3000</v>
      </c>
    </row>
    <row r="4459" spans="1:27" x14ac:dyDescent="0.2">
      <c r="A4459" s="3569" t="s">
        <v>1836</v>
      </c>
      <c r="B4459" s="3561">
        <v>5.0999999999999996</v>
      </c>
      <c r="C4459" s="3562" t="s">
        <v>1837</v>
      </c>
      <c r="D4459" s="3390" t="s">
        <v>1806</v>
      </c>
      <c r="E4459" s="3390">
        <v>23</v>
      </c>
      <c r="F4459" s="3571" t="s">
        <v>1807</v>
      </c>
      <c r="G4459" s="3571" t="s">
        <v>166</v>
      </c>
      <c r="H4459" s="3390" t="s">
        <v>1838</v>
      </c>
      <c r="I4459" s="3390" t="s">
        <v>156</v>
      </c>
      <c r="J4459" s="3556">
        <f>AA4459</f>
        <v>2</v>
      </c>
      <c r="K4459" s="3570">
        <f>AA4461</f>
        <v>300</v>
      </c>
      <c r="L4459" s="3390" t="s">
        <v>1812</v>
      </c>
      <c r="M4459" s="3574" t="s">
        <v>51</v>
      </c>
      <c r="N4459" s="3574"/>
      <c r="O4459" s="311">
        <v>0</v>
      </c>
      <c r="P4459" s="311">
        <v>0</v>
      </c>
      <c r="Q4459" s="311">
        <v>1</v>
      </c>
      <c r="R4459" s="311">
        <v>0</v>
      </c>
      <c r="S4459" s="311">
        <v>0</v>
      </c>
      <c r="T4459" s="311">
        <v>0</v>
      </c>
      <c r="U4459" s="311">
        <v>1</v>
      </c>
      <c r="V4459" s="311">
        <v>0</v>
      </c>
      <c r="W4459" s="311">
        <v>0</v>
      </c>
      <c r="X4459" s="311">
        <v>0</v>
      </c>
      <c r="Y4459" s="311">
        <v>0</v>
      </c>
      <c r="Z4459" s="314">
        <v>0</v>
      </c>
      <c r="AA4459" s="975">
        <f t="shared" si="713"/>
        <v>2</v>
      </c>
    </row>
    <row r="4460" spans="1:27" x14ac:dyDescent="0.2">
      <c r="A4460" s="3569"/>
      <c r="B4460" s="3561"/>
      <c r="C4460" s="3562"/>
      <c r="D4460" s="3390"/>
      <c r="E4460" s="3390"/>
      <c r="F4460" s="3571"/>
      <c r="G4460" s="3571"/>
      <c r="H4460" s="3390"/>
      <c r="I4460" s="3390"/>
      <c r="J4460" s="3556"/>
      <c r="K4460" s="3570"/>
      <c r="L4460" s="3390"/>
      <c r="M4460" s="3574" t="s">
        <v>1813</v>
      </c>
      <c r="N4460" s="3574"/>
      <c r="O4460" s="312">
        <f>SUM(O4461)</f>
        <v>0</v>
      </c>
      <c r="P4460" s="312">
        <f t="shared" ref="P4460:Y4460" si="718">SUM(P4461)</f>
        <v>0</v>
      </c>
      <c r="Q4460" s="312">
        <f t="shared" si="718"/>
        <v>150</v>
      </c>
      <c r="R4460" s="312">
        <f t="shared" si="718"/>
        <v>0</v>
      </c>
      <c r="S4460" s="312">
        <f t="shared" si="718"/>
        <v>0</v>
      </c>
      <c r="T4460" s="312">
        <f t="shared" si="718"/>
        <v>0</v>
      </c>
      <c r="U4460" s="312">
        <f t="shared" si="718"/>
        <v>150</v>
      </c>
      <c r="V4460" s="312">
        <f t="shared" si="718"/>
        <v>0</v>
      </c>
      <c r="W4460" s="312">
        <f t="shared" si="718"/>
        <v>0</v>
      </c>
      <c r="X4460" s="312">
        <f t="shared" si="718"/>
        <v>0</v>
      </c>
      <c r="Y4460" s="312">
        <f t="shared" si="718"/>
        <v>0</v>
      </c>
      <c r="Z4460" s="312">
        <f>SUM(Z4461)</f>
        <v>0</v>
      </c>
      <c r="AA4460" s="975">
        <f t="shared" si="713"/>
        <v>300</v>
      </c>
    </row>
    <row r="4461" spans="1:27" x14ac:dyDescent="0.2">
      <c r="A4461" s="3569"/>
      <c r="B4461" s="3561"/>
      <c r="C4461" s="3562"/>
      <c r="D4461" s="3390"/>
      <c r="E4461" s="3390"/>
      <c r="F4461" s="3571"/>
      <c r="G4461" s="3571"/>
      <c r="H4461" s="3390"/>
      <c r="I4461" s="3390"/>
      <c r="J4461" s="3556"/>
      <c r="K4461" s="3570"/>
      <c r="L4461" s="3390"/>
      <c r="M4461" s="511" t="s">
        <v>1452</v>
      </c>
      <c r="N4461" s="511" t="s">
        <v>1818</v>
      </c>
      <c r="O4461" s="549">
        <v>0</v>
      </c>
      <c r="P4461" s="549">
        <v>0</v>
      </c>
      <c r="Q4461" s="549">
        <v>150</v>
      </c>
      <c r="R4461" s="549">
        <v>0</v>
      </c>
      <c r="S4461" s="549">
        <v>0</v>
      </c>
      <c r="T4461" s="549">
        <v>0</v>
      </c>
      <c r="U4461" s="549">
        <v>150</v>
      </c>
      <c r="V4461" s="549">
        <v>0</v>
      </c>
      <c r="W4461" s="508">
        <v>0</v>
      </c>
      <c r="X4461" s="508">
        <v>0</v>
      </c>
      <c r="Y4461" s="508">
        <v>0</v>
      </c>
      <c r="Z4461" s="508">
        <v>0</v>
      </c>
      <c r="AA4461" s="974">
        <f t="shared" si="713"/>
        <v>300</v>
      </c>
    </row>
    <row r="4462" spans="1:27" x14ac:dyDescent="0.2">
      <c r="A4462" s="3569"/>
      <c r="B4462" s="3561">
        <v>5.2</v>
      </c>
      <c r="C4462" s="3562" t="s">
        <v>1839</v>
      </c>
      <c r="D4462" s="3390" t="s">
        <v>1806</v>
      </c>
      <c r="E4462" s="3567">
        <v>23</v>
      </c>
      <c r="F4462" s="3571" t="s">
        <v>1807</v>
      </c>
      <c r="G4462" s="3571" t="s">
        <v>166</v>
      </c>
      <c r="H4462" s="3390" t="s">
        <v>1817</v>
      </c>
      <c r="I4462" s="3567" t="s">
        <v>156</v>
      </c>
      <c r="J4462" s="3556">
        <f>AA4462</f>
        <v>3</v>
      </c>
      <c r="K4462" s="3570">
        <f>+AA4463</f>
        <v>160</v>
      </c>
      <c r="L4462" s="3572" t="s">
        <v>1812</v>
      </c>
      <c r="M4462" s="3574" t="s">
        <v>51</v>
      </c>
      <c r="N4462" s="3574"/>
      <c r="O4462" s="314">
        <v>0</v>
      </c>
      <c r="P4462" s="314">
        <v>0</v>
      </c>
      <c r="Q4462" s="314">
        <v>1</v>
      </c>
      <c r="R4462" s="314">
        <v>0</v>
      </c>
      <c r="S4462" s="314">
        <v>0</v>
      </c>
      <c r="T4462" s="314">
        <v>0</v>
      </c>
      <c r="U4462" s="314">
        <v>1</v>
      </c>
      <c r="V4462" s="314">
        <v>0</v>
      </c>
      <c r="W4462" s="314">
        <v>0</v>
      </c>
      <c r="X4462" s="314">
        <v>0</v>
      </c>
      <c r="Y4462" s="314">
        <v>1</v>
      </c>
      <c r="Z4462" s="314">
        <v>0</v>
      </c>
      <c r="AA4462" s="975">
        <f t="shared" si="713"/>
        <v>3</v>
      </c>
    </row>
    <row r="4463" spans="1:27" x14ac:dyDescent="0.2">
      <c r="A4463" s="3569"/>
      <c r="B4463" s="3561"/>
      <c r="C4463" s="3562"/>
      <c r="D4463" s="3390"/>
      <c r="E4463" s="3567"/>
      <c r="F4463" s="3571"/>
      <c r="G4463" s="3571"/>
      <c r="H4463" s="3390"/>
      <c r="I4463" s="3567"/>
      <c r="J4463" s="3556"/>
      <c r="K4463" s="3570"/>
      <c r="L4463" s="3572"/>
      <c r="M4463" s="3574" t="s">
        <v>1813</v>
      </c>
      <c r="N4463" s="3574"/>
      <c r="O4463" s="314">
        <f>SUM(O4464)</f>
        <v>0</v>
      </c>
      <c r="P4463" s="314">
        <f t="shared" ref="P4463:W4463" si="719">SUM(P4464)</f>
        <v>0</v>
      </c>
      <c r="Q4463" s="314">
        <v>50</v>
      </c>
      <c r="R4463" s="314">
        <f t="shared" si="719"/>
        <v>0</v>
      </c>
      <c r="S4463" s="314">
        <f t="shared" si="719"/>
        <v>0</v>
      </c>
      <c r="T4463" s="314">
        <f t="shared" si="719"/>
        <v>0</v>
      </c>
      <c r="U4463" s="314">
        <v>50</v>
      </c>
      <c r="V4463" s="314">
        <f t="shared" si="719"/>
        <v>0</v>
      </c>
      <c r="W4463" s="314">
        <f t="shared" si="719"/>
        <v>0</v>
      </c>
      <c r="X4463" s="314">
        <f>SUM(X4464)</f>
        <v>0</v>
      </c>
      <c r="Y4463" s="314">
        <v>60</v>
      </c>
      <c r="Z4463" s="314">
        <f>SUM(Z4464)</f>
        <v>0</v>
      </c>
      <c r="AA4463" s="975">
        <f>SUM(O4463:Z4463)</f>
        <v>160</v>
      </c>
    </row>
    <row r="4464" spans="1:27" x14ac:dyDescent="0.2">
      <c r="A4464" s="3569"/>
      <c r="B4464" s="3561"/>
      <c r="C4464" s="3562"/>
      <c r="D4464" s="3390"/>
      <c r="E4464" s="3567"/>
      <c r="F4464" s="3571"/>
      <c r="G4464" s="3571"/>
      <c r="H4464" s="3390"/>
      <c r="I4464" s="3567"/>
      <c r="J4464" s="3556"/>
      <c r="K4464" s="3570"/>
      <c r="L4464" s="3572"/>
      <c r="M4464" s="511" t="s">
        <v>1452</v>
      </c>
      <c r="N4464" s="511" t="s">
        <v>1818</v>
      </c>
      <c r="O4464" s="549">
        <v>0</v>
      </c>
      <c r="P4464" s="549">
        <v>0</v>
      </c>
      <c r="Q4464" s="549">
        <v>50</v>
      </c>
      <c r="R4464" s="549">
        <v>0</v>
      </c>
      <c r="S4464" s="549">
        <v>0</v>
      </c>
      <c r="T4464" s="549">
        <v>0</v>
      </c>
      <c r="U4464" s="549">
        <v>50</v>
      </c>
      <c r="V4464" s="549">
        <v>0</v>
      </c>
      <c r="W4464" s="508">
        <v>0</v>
      </c>
      <c r="X4464" s="508">
        <v>0</v>
      </c>
      <c r="Y4464" s="553">
        <v>60</v>
      </c>
      <c r="Z4464" s="508">
        <v>0</v>
      </c>
      <c r="AA4464" s="974">
        <f t="shared" si="713"/>
        <v>160</v>
      </c>
    </row>
    <row r="4465" spans="1:27" x14ac:dyDescent="0.2">
      <c r="A4465" s="3569"/>
      <c r="B4465" s="3561">
        <v>5.3</v>
      </c>
      <c r="C4465" s="3562" t="s">
        <v>1840</v>
      </c>
      <c r="D4465" s="3390" t="s">
        <v>1806</v>
      </c>
      <c r="E4465" s="3567">
        <v>23</v>
      </c>
      <c r="F4465" s="3571" t="s">
        <v>1807</v>
      </c>
      <c r="G4465" s="3571" t="s">
        <v>166</v>
      </c>
      <c r="H4465" s="3390" t="s">
        <v>1838</v>
      </c>
      <c r="I4465" s="3567" t="s">
        <v>156</v>
      </c>
      <c r="J4465" s="3556">
        <f>AA4465</f>
        <v>3</v>
      </c>
      <c r="K4465" s="3570">
        <f>AA4467</f>
        <v>750</v>
      </c>
      <c r="L4465" s="3572" t="s">
        <v>1812</v>
      </c>
      <c r="M4465" s="3574" t="s">
        <v>51</v>
      </c>
      <c r="N4465" s="3574"/>
      <c r="O4465" s="314" t="s">
        <v>440</v>
      </c>
      <c r="P4465" s="314">
        <v>1</v>
      </c>
      <c r="Q4465" s="314">
        <v>0</v>
      </c>
      <c r="R4465" s="314">
        <v>0</v>
      </c>
      <c r="S4465" s="314">
        <v>1</v>
      </c>
      <c r="T4465" s="314">
        <v>0</v>
      </c>
      <c r="U4465" s="314">
        <v>0</v>
      </c>
      <c r="V4465" s="314">
        <v>0</v>
      </c>
      <c r="W4465" s="314">
        <v>1</v>
      </c>
      <c r="X4465" s="314">
        <v>0</v>
      </c>
      <c r="Y4465" s="314">
        <v>0</v>
      </c>
      <c r="Z4465" s="314">
        <v>0</v>
      </c>
      <c r="AA4465" s="975">
        <f>SUM(O4465:Z4465)</f>
        <v>3</v>
      </c>
    </row>
    <row r="4466" spans="1:27" x14ac:dyDescent="0.2">
      <c r="A4466" s="3569"/>
      <c r="B4466" s="3561"/>
      <c r="C4466" s="3562"/>
      <c r="D4466" s="3390"/>
      <c r="E4466" s="3567"/>
      <c r="F4466" s="3571"/>
      <c r="G4466" s="3571"/>
      <c r="H4466" s="3390"/>
      <c r="I4466" s="3567"/>
      <c r="J4466" s="3556"/>
      <c r="K4466" s="3570"/>
      <c r="L4466" s="3572"/>
      <c r="M4466" s="3574" t="s">
        <v>1813</v>
      </c>
      <c r="N4466" s="3574"/>
      <c r="O4466" s="314">
        <f>SUM(O4467)</f>
        <v>0</v>
      </c>
      <c r="P4466" s="314">
        <f t="shared" ref="P4466:X4466" si="720">SUM(P4467)</f>
        <v>250</v>
      </c>
      <c r="Q4466" s="314">
        <f t="shared" si="720"/>
        <v>0</v>
      </c>
      <c r="R4466" s="314">
        <f t="shared" si="720"/>
        <v>0</v>
      </c>
      <c r="S4466" s="314">
        <f t="shared" si="720"/>
        <v>250</v>
      </c>
      <c r="T4466" s="314">
        <f t="shared" si="720"/>
        <v>0</v>
      </c>
      <c r="U4466" s="314">
        <f t="shared" si="720"/>
        <v>0</v>
      </c>
      <c r="V4466" s="314">
        <f t="shared" si="720"/>
        <v>0</v>
      </c>
      <c r="W4466" s="314">
        <f t="shared" si="720"/>
        <v>250</v>
      </c>
      <c r="X4466" s="314">
        <f t="shared" si="720"/>
        <v>0</v>
      </c>
      <c r="Y4466" s="314">
        <f>SUM(Y4467)</f>
        <v>0</v>
      </c>
      <c r="Z4466" s="314">
        <f>SUM(Z4467)</f>
        <v>0</v>
      </c>
      <c r="AA4466" s="975">
        <f>SUM(O4466:Z4466)</f>
        <v>750</v>
      </c>
    </row>
    <row r="4467" spans="1:27" x14ac:dyDescent="0.2">
      <c r="A4467" s="3569"/>
      <c r="B4467" s="3561"/>
      <c r="C4467" s="3562"/>
      <c r="D4467" s="3390"/>
      <c r="E4467" s="3567"/>
      <c r="F4467" s="3571"/>
      <c r="G4467" s="3571"/>
      <c r="H4467" s="3390"/>
      <c r="I4467" s="3567"/>
      <c r="J4467" s="3556"/>
      <c r="K4467" s="3570"/>
      <c r="L4467" s="3572"/>
      <c r="M4467" s="511" t="s">
        <v>1452</v>
      </c>
      <c r="N4467" s="511" t="s">
        <v>1818</v>
      </c>
      <c r="O4467" s="549">
        <v>0</v>
      </c>
      <c r="P4467" s="549">
        <v>250</v>
      </c>
      <c r="Q4467" s="549">
        <v>0</v>
      </c>
      <c r="R4467" s="549">
        <v>0</v>
      </c>
      <c r="S4467" s="549">
        <v>250</v>
      </c>
      <c r="T4467" s="549">
        <v>0</v>
      </c>
      <c r="U4467" s="549">
        <v>0</v>
      </c>
      <c r="V4467" s="549">
        <v>0</v>
      </c>
      <c r="W4467" s="549">
        <v>250</v>
      </c>
      <c r="X4467" s="549">
        <v>0</v>
      </c>
      <c r="Y4467" s="549">
        <v>0</v>
      </c>
      <c r="Z4467" s="549">
        <v>0</v>
      </c>
      <c r="AA4467" s="974">
        <f t="shared" si="713"/>
        <v>750</v>
      </c>
    </row>
    <row r="4468" spans="1:27" x14ac:dyDescent="0.2">
      <c r="A4468" s="3569" t="s">
        <v>1841</v>
      </c>
      <c r="B4468" s="3561">
        <v>6.1</v>
      </c>
      <c r="C4468" s="3562" t="s">
        <v>1842</v>
      </c>
      <c r="D4468" s="3390" t="s">
        <v>1806</v>
      </c>
      <c r="E4468" s="3390">
        <f>+E4405</f>
        <v>23</v>
      </c>
      <c r="F4468" s="3575" t="s">
        <v>1807</v>
      </c>
      <c r="G4468" s="3571" t="s">
        <v>166</v>
      </c>
      <c r="H4468" s="3390" t="s">
        <v>1843</v>
      </c>
      <c r="I4468" s="3390" t="s">
        <v>156</v>
      </c>
      <c r="J4468" s="3556">
        <v>24</v>
      </c>
      <c r="K4468" s="3557">
        <f>AA4469</f>
        <v>68528</v>
      </c>
      <c r="L4468" s="3572" t="str">
        <f>+L4465</f>
        <v>Sub Gerencia de Asuntos Poblacionales</v>
      </c>
      <c r="M4468" s="3574" t="s">
        <v>51</v>
      </c>
      <c r="N4468" s="3574"/>
      <c r="O4468" s="891">
        <v>2</v>
      </c>
      <c r="P4468" s="891">
        <v>2</v>
      </c>
      <c r="Q4468" s="891">
        <v>2</v>
      </c>
      <c r="R4468" s="891">
        <v>2</v>
      </c>
      <c r="S4468" s="891">
        <v>2</v>
      </c>
      <c r="T4468" s="891">
        <v>2</v>
      </c>
      <c r="U4468" s="891">
        <v>2</v>
      </c>
      <c r="V4468" s="891">
        <v>2</v>
      </c>
      <c r="W4468" s="891">
        <v>2</v>
      </c>
      <c r="X4468" s="891">
        <v>2</v>
      </c>
      <c r="Y4468" s="891">
        <v>2</v>
      </c>
      <c r="Z4468" s="321">
        <v>2</v>
      </c>
      <c r="AA4468" s="975">
        <f>SUM(O4468:Z4468)</f>
        <v>24</v>
      </c>
    </row>
    <row r="4469" spans="1:27" x14ac:dyDescent="0.2">
      <c r="A4469" s="3569"/>
      <c r="B4469" s="3561"/>
      <c r="C4469" s="3562"/>
      <c r="D4469" s="3390"/>
      <c r="E4469" s="3390"/>
      <c r="F4469" s="3575"/>
      <c r="G4469" s="3571"/>
      <c r="H4469" s="3390"/>
      <c r="I4469" s="3390"/>
      <c r="J4469" s="3556"/>
      <c r="K4469" s="3557"/>
      <c r="L4469" s="3390"/>
      <c r="M4469" s="3574" t="s">
        <v>1813</v>
      </c>
      <c r="N4469" s="3574"/>
      <c r="O4469" s="312">
        <f>SUM(O4470:O4473)</f>
        <v>5710.66</v>
      </c>
      <c r="P4469" s="312">
        <f t="shared" ref="P4469:Z4469" si="721">SUM(P4470:P4473)</f>
        <v>5710.66</v>
      </c>
      <c r="Q4469" s="312">
        <f t="shared" si="721"/>
        <v>5710.66</v>
      </c>
      <c r="R4469" s="312">
        <f t="shared" si="721"/>
        <v>5710.66</v>
      </c>
      <c r="S4469" s="312">
        <f t="shared" si="721"/>
        <v>5710.66</v>
      </c>
      <c r="T4469" s="312">
        <f t="shared" si="721"/>
        <v>5710.66</v>
      </c>
      <c r="U4469" s="312">
        <f t="shared" si="721"/>
        <v>5710.66</v>
      </c>
      <c r="V4469" s="312">
        <f t="shared" si="721"/>
        <v>5710.66</v>
      </c>
      <c r="W4469" s="312">
        <f t="shared" si="721"/>
        <v>5710.66</v>
      </c>
      <c r="X4469" s="312">
        <f t="shared" si="721"/>
        <v>5710.66</v>
      </c>
      <c r="Y4469" s="312">
        <f t="shared" si="721"/>
        <v>5710.6</v>
      </c>
      <c r="Z4469" s="312">
        <f t="shared" si="721"/>
        <v>5710.8</v>
      </c>
      <c r="AA4469" s="975">
        <f>SUM(O4469:Z4469)</f>
        <v>68528</v>
      </c>
    </row>
    <row r="4470" spans="1:27" ht="33.75" x14ac:dyDescent="0.2">
      <c r="A4470" s="3569"/>
      <c r="B4470" s="3561"/>
      <c r="C4470" s="3562"/>
      <c r="D4470" s="3390"/>
      <c r="E4470" s="3390"/>
      <c r="F4470" s="3575"/>
      <c r="G4470" s="3571"/>
      <c r="H4470" s="3390"/>
      <c r="I4470" s="3390"/>
      <c r="J4470" s="3556"/>
      <c r="K4470" s="3557"/>
      <c r="L4470" s="3390"/>
      <c r="M4470" s="511" t="s">
        <v>208</v>
      </c>
      <c r="N4470" s="511" t="s">
        <v>1844</v>
      </c>
      <c r="O4470" s="549">
        <v>5500</v>
      </c>
      <c r="P4470" s="549">
        <v>5500</v>
      </c>
      <c r="Q4470" s="549">
        <v>5500</v>
      </c>
      <c r="R4470" s="549">
        <v>5500</v>
      </c>
      <c r="S4470" s="549">
        <v>5500</v>
      </c>
      <c r="T4470" s="549">
        <v>5500</v>
      </c>
      <c r="U4470" s="549">
        <v>5500</v>
      </c>
      <c r="V4470" s="549">
        <v>5500</v>
      </c>
      <c r="W4470" s="549">
        <v>5500</v>
      </c>
      <c r="X4470" s="549">
        <v>5500</v>
      </c>
      <c r="Y4470" s="549">
        <v>5500</v>
      </c>
      <c r="Z4470" s="549">
        <v>5500</v>
      </c>
      <c r="AA4470" s="981">
        <f>SUM(O4470:Z4470)</f>
        <v>66000</v>
      </c>
    </row>
    <row r="4471" spans="1:27" x14ac:dyDescent="0.2">
      <c r="A4471" s="3569"/>
      <c r="B4471" s="3561">
        <v>6.2</v>
      </c>
      <c r="C4471" s="3562" t="s">
        <v>1845</v>
      </c>
      <c r="D4471" s="3390" t="s">
        <v>1806</v>
      </c>
      <c r="E4471" s="3390">
        <v>23</v>
      </c>
      <c r="F4471" s="3575" t="s">
        <v>1807</v>
      </c>
      <c r="G4471" s="3571" t="s">
        <v>166</v>
      </c>
      <c r="H4471" s="3390" t="s">
        <v>1846</v>
      </c>
      <c r="I4471" s="3390" t="s">
        <v>156</v>
      </c>
      <c r="J4471" s="3556">
        <v>24</v>
      </c>
      <c r="K4471" s="3557"/>
      <c r="L4471" s="3572" t="str">
        <f>+L4468</f>
        <v>Sub Gerencia de Asuntos Poblacionales</v>
      </c>
      <c r="M4471" s="3431" t="s">
        <v>1847</v>
      </c>
      <c r="N4471" s="3431" t="s">
        <v>1848</v>
      </c>
      <c r="O4471" s="3587">
        <v>210.66</v>
      </c>
      <c r="P4471" s="3587">
        <v>210.66</v>
      </c>
      <c r="Q4471" s="3587">
        <v>210.66</v>
      </c>
      <c r="R4471" s="3587">
        <v>210.66</v>
      </c>
      <c r="S4471" s="3587">
        <v>210.66</v>
      </c>
      <c r="T4471" s="3587">
        <v>210.66</v>
      </c>
      <c r="U4471" s="3587">
        <v>210.66</v>
      </c>
      <c r="V4471" s="3587">
        <v>210.66</v>
      </c>
      <c r="W4471" s="3587">
        <v>210.66</v>
      </c>
      <c r="X4471" s="3587">
        <v>210.66</v>
      </c>
      <c r="Y4471" s="3587">
        <v>210.6</v>
      </c>
      <c r="Z4471" s="3587">
        <v>210.8</v>
      </c>
      <c r="AA4471" s="3578">
        <f>SUM(O4471:Z4473)</f>
        <v>2528.0000000000005</v>
      </c>
    </row>
    <row r="4472" spans="1:27" x14ac:dyDescent="0.2">
      <c r="A4472" s="3569"/>
      <c r="B4472" s="3561"/>
      <c r="C4472" s="3562"/>
      <c r="D4472" s="3390"/>
      <c r="E4472" s="3390"/>
      <c r="F4472" s="3575"/>
      <c r="G4472" s="3571"/>
      <c r="H4472" s="3390"/>
      <c r="I4472" s="3390"/>
      <c r="J4472" s="3556"/>
      <c r="K4472" s="3557"/>
      <c r="L4472" s="3390"/>
      <c r="M4472" s="3431"/>
      <c r="N4472" s="3431"/>
      <c r="O4472" s="3587"/>
      <c r="P4472" s="3587"/>
      <c r="Q4472" s="3587"/>
      <c r="R4472" s="3587"/>
      <c r="S4472" s="3587"/>
      <c r="T4472" s="3587"/>
      <c r="U4472" s="3587"/>
      <c r="V4472" s="3587"/>
      <c r="W4472" s="3587"/>
      <c r="X4472" s="3587"/>
      <c r="Y4472" s="3587"/>
      <c r="Z4472" s="3587"/>
      <c r="AA4472" s="3578"/>
    </row>
    <row r="4473" spans="1:27" x14ac:dyDescent="0.2">
      <c r="A4473" s="3569"/>
      <c r="B4473" s="3561"/>
      <c r="C4473" s="3562"/>
      <c r="D4473" s="3390"/>
      <c r="E4473" s="3390"/>
      <c r="F4473" s="3575"/>
      <c r="G4473" s="3571"/>
      <c r="H4473" s="3390"/>
      <c r="I4473" s="3390"/>
      <c r="J4473" s="3556"/>
      <c r="K4473" s="3557"/>
      <c r="L4473" s="3390"/>
      <c r="M4473" s="3431"/>
      <c r="N4473" s="3431"/>
      <c r="O4473" s="3587"/>
      <c r="P4473" s="3587"/>
      <c r="Q4473" s="3587"/>
      <c r="R4473" s="3587"/>
      <c r="S4473" s="3587"/>
      <c r="T4473" s="3587"/>
      <c r="U4473" s="3587"/>
      <c r="V4473" s="3587"/>
      <c r="W4473" s="3587"/>
      <c r="X4473" s="3587"/>
      <c r="Y4473" s="3587"/>
      <c r="Z4473" s="3587"/>
      <c r="AA4473" s="3578"/>
    </row>
    <row r="4474" spans="1:27" x14ac:dyDescent="0.2">
      <c r="A4474" s="758"/>
      <c r="B4474" s="744"/>
      <c r="C4474" s="759"/>
      <c r="D4474" s="752"/>
      <c r="E4474" s="752"/>
      <c r="F4474" s="755"/>
      <c r="G4474" s="753"/>
      <c r="H4474" s="752"/>
      <c r="I4474" s="752"/>
      <c r="J4474" s="757"/>
      <c r="K4474" s="756"/>
      <c r="L4474" s="752"/>
      <c r="M4474" s="752"/>
      <c r="N4474" s="752"/>
      <c r="O4474" s="760"/>
      <c r="P4474" s="760"/>
      <c r="Q4474" s="760"/>
      <c r="R4474" s="760"/>
      <c r="S4474" s="760"/>
      <c r="T4474" s="760"/>
      <c r="U4474" s="760"/>
      <c r="V4474" s="760"/>
      <c r="W4474" s="760"/>
      <c r="X4474" s="760"/>
      <c r="Y4474" s="760"/>
      <c r="Z4474" s="760"/>
      <c r="AA4474" s="977"/>
    </row>
    <row r="4475" spans="1:27" x14ac:dyDescent="0.2">
      <c r="A4475" s="3579" t="s">
        <v>1849</v>
      </c>
      <c r="B4475" s="3580"/>
      <c r="C4475" s="3580"/>
      <c r="D4475" s="3580"/>
      <c r="E4475" s="3580"/>
      <c r="F4475" s="3580"/>
      <c r="G4475" s="3580"/>
      <c r="H4475" s="3580"/>
      <c r="I4475" s="3580"/>
      <c r="J4475" s="3580"/>
      <c r="K4475" s="3580"/>
      <c r="L4475" s="3580"/>
      <c r="M4475" s="3580"/>
      <c r="N4475" s="3580"/>
      <c r="O4475" s="3580"/>
      <c r="P4475" s="3580"/>
      <c r="Q4475" s="3580"/>
      <c r="R4475" s="3580"/>
      <c r="S4475" s="3580"/>
      <c r="T4475" s="3580"/>
      <c r="U4475" s="3580"/>
      <c r="V4475" s="3580"/>
      <c r="W4475" s="3580"/>
      <c r="X4475" s="3580"/>
      <c r="Y4475" s="3580"/>
      <c r="Z4475" s="3580"/>
      <c r="AA4475" s="3581"/>
    </row>
    <row r="4476" spans="1:27" x14ac:dyDescent="0.2">
      <c r="A4476" s="3582" t="s">
        <v>0</v>
      </c>
      <c r="B4476" s="972" t="s">
        <v>1</v>
      </c>
      <c r="C4476" s="3583" t="s">
        <v>1850</v>
      </c>
      <c r="D4476" s="3583"/>
      <c r="E4476" s="3583"/>
      <c r="F4476" s="3583"/>
      <c r="G4476" s="3583"/>
      <c r="H4476" s="3583"/>
      <c r="I4476" s="3583"/>
      <c r="J4476" s="3583"/>
      <c r="K4476" s="3583"/>
      <c r="L4476" s="3583"/>
      <c r="M4476" s="3583"/>
      <c r="N4476" s="3583"/>
      <c r="O4476" s="3583"/>
      <c r="P4476" s="3583"/>
      <c r="Q4476" s="3583"/>
      <c r="R4476" s="3583"/>
      <c r="S4476" s="3583"/>
      <c r="T4476" s="3583"/>
      <c r="U4476" s="3583"/>
      <c r="V4476" s="3583"/>
      <c r="W4476" s="3583"/>
      <c r="X4476" s="3583"/>
      <c r="Y4476" s="3583"/>
      <c r="Z4476" s="3583"/>
      <c r="AA4476" s="3583"/>
    </row>
    <row r="4477" spans="1:27" ht="22.5" x14ac:dyDescent="0.2">
      <c r="A4477" s="3582"/>
      <c r="B4477" s="896" t="s">
        <v>2</v>
      </c>
      <c r="C4477" s="3584" t="s">
        <v>1851</v>
      </c>
      <c r="D4477" s="3584"/>
      <c r="E4477" s="3584"/>
      <c r="F4477" s="3584"/>
      <c r="G4477" s="3584"/>
      <c r="H4477" s="3584"/>
      <c r="I4477" s="3584"/>
      <c r="J4477" s="3584"/>
      <c r="K4477" s="3584"/>
      <c r="L4477" s="3584"/>
      <c r="M4477" s="3584"/>
      <c r="N4477" s="3584"/>
      <c r="O4477" s="3584"/>
      <c r="P4477" s="3584"/>
      <c r="Q4477" s="3584"/>
      <c r="R4477" s="3584"/>
      <c r="S4477" s="3584"/>
      <c r="T4477" s="3584"/>
      <c r="U4477" s="3584"/>
      <c r="V4477" s="3584"/>
      <c r="W4477" s="3584"/>
      <c r="X4477" s="3584"/>
      <c r="Y4477" s="3584"/>
      <c r="Z4477" s="3584"/>
      <c r="AA4477" s="3584"/>
    </row>
    <row r="4478" spans="1:27" x14ac:dyDescent="0.2">
      <c r="A4478" s="3582"/>
      <c r="B4478" s="896" t="s">
        <v>4</v>
      </c>
      <c r="C4478" s="3584" t="s">
        <v>1852</v>
      </c>
      <c r="D4478" s="3584"/>
      <c r="E4478" s="3584"/>
      <c r="F4478" s="3584"/>
      <c r="G4478" s="3584"/>
      <c r="H4478" s="3584"/>
      <c r="I4478" s="3584"/>
      <c r="J4478" s="3584"/>
      <c r="K4478" s="3584"/>
      <c r="L4478" s="3584"/>
      <c r="M4478" s="3584"/>
      <c r="N4478" s="3584"/>
      <c r="O4478" s="3584"/>
      <c r="P4478" s="3584"/>
      <c r="Q4478" s="3584"/>
      <c r="R4478" s="3584"/>
      <c r="S4478" s="3584"/>
      <c r="T4478" s="3584"/>
      <c r="U4478" s="3584"/>
      <c r="V4478" s="3584"/>
      <c r="W4478" s="3584"/>
      <c r="X4478" s="3584"/>
      <c r="Y4478" s="3584"/>
      <c r="Z4478" s="3584"/>
      <c r="AA4478" s="3584"/>
    </row>
    <row r="4479" spans="1:27" ht="55.5" customHeight="1" x14ac:dyDescent="0.2">
      <c r="A4479" s="3582"/>
      <c r="B4479" s="896" t="s">
        <v>6</v>
      </c>
      <c r="C4479" s="3584" t="s">
        <v>1853</v>
      </c>
      <c r="D4479" s="3584"/>
      <c r="E4479" s="3584"/>
      <c r="F4479" s="3584"/>
      <c r="G4479" s="3584"/>
      <c r="H4479" s="3584"/>
      <c r="I4479" s="3584"/>
      <c r="J4479" s="3584"/>
      <c r="K4479" s="3584"/>
      <c r="L4479" s="3584"/>
      <c r="M4479" s="3584"/>
      <c r="N4479" s="3584"/>
      <c r="O4479" s="3584"/>
      <c r="P4479" s="3584"/>
      <c r="Q4479" s="3584"/>
      <c r="R4479" s="3584"/>
      <c r="S4479" s="3584"/>
      <c r="T4479" s="3584"/>
      <c r="U4479" s="3584"/>
      <c r="V4479" s="3584"/>
      <c r="W4479" s="3584"/>
      <c r="X4479" s="3584"/>
      <c r="Y4479" s="3584"/>
      <c r="Z4479" s="3584"/>
      <c r="AA4479" s="3584"/>
    </row>
    <row r="4480" spans="1:27" ht="16.5" customHeight="1" x14ac:dyDescent="0.2">
      <c r="A4480" s="3582"/>
      <c r="B4480" s="1239" t="s">
        <v>8</v>
      </c>
      <c r="C4480" s="3585" t="s">
        <v>1854</v>
      </c>
      <c r="D4480" s="3585"/>
      <c r="E4480" s="3585"/>
      <c r="F4480" s="3585"/>
      <c r="G4480" s="3585"/>
      <c r="H4480" s="3585"/>
      <c r="I4480" s="3585"/>
      <c r="J4480" s="3585"/>
      <c r="K4480" s="3585"/>
      <c r="L4480" s="3585"/>
      <c r="M4480" s="3585"/>
      <c r="N4480" s="3585"/>
      <c r="O4480" s="3585"/>
      <c r="P4480" s="3585"/>
      <c r="Q4480" s="3585"/>
      <c r="R4480" s="3585"/>
      <c r="S4480" s="3585"/>
      <c r="T4480" s="3585"/>
      <c r="U4480" s="3585"/>
      <c r="V4480" s="3585"/>
      <c r="W4480" s="3585"/>
      <c r="X4480" s="3585"/>
      <c r="Y4480" s="3585"/>
      <c r="Z4480" s="3585"/>
      <c r="AA4480" s="3585"/>
    </row>
    <row r="4481" spans="1:27" x14ac:dyDescent="0.2">
      <c r="A4481" s="3582"/>
      <c r="B4481" s="896" t="s">
        <v>11</v>
      </c>
      <c r="C4481" s="3586" t="s">
        <v>1855</v>
      </c>
      <c r="D4481" s="3586"/>
      <c r="E4481" s="3586"/>
      <c r="F4481" s="3586"/>
      <c r="G4481" s="3586"/>
      <c r="H4481" s="3586"/>
      <c r="I4481" s="3586"/>
      <c r="J4481" s="3586"/>
      <c r="K4481" s="3586"/>
      <c r="L4481" s="3586"/>
      <c r="M4481" s="3586"/>
      <c r="N4481" s="3586"/>
      <c r="O4481" s="3586"/>
      <c r="P4481" s="3586"/>
      <c r="Q4481" s="3586"/>
      <c r="R4481" s="3586"/>
      <c r="S4481" s="3586"/>
      <c r="T4481" s="3586"/>
      <c r="U4481" s="3586"/>
      <c r="V4481" s="3586"/>
      <c r="W4481" s="3586"/>
      <c r="X4481" s="3586"/>
      <c r="Y4481" s="3586"/>
      <c r="Z4481" s="3586"/>
      <c r="AA4481" s="3586"/>
    </row>
    <row r="4482" spans="1:27" x14ac:dyDescent="0.2">
      <c r="A4482" s="3582"/>
      <c r="B4482" s="3525" t="s">
        <v>20</v>
      </c>
      <c r="C4482" s="3577" t="s">
        <v>21</v>
      </c>
      <c r="D4482" s="3577" t="s">
        <v>22</v>
      </c>
      <c r="E4482" s="3577" t="s">
        <v>23</v>
      </c>
      <c r="F4482" s="3577" t="s">
        <v>24</v>
      </c>
      <c r="G4482" s="3577" t="s">
        <v>25</v>
      </c>
      <c r="H4482" s="3577" t="s">
        <v>26</v>
      </c>
      <c r="I4482" s="3577" t="s">
        <v>27</v>
      </c>
      <c r="J4482" s="3577" t="s">
        <v>28</v>
      </c>
      <c r="K4482" s="3577"/>
      <c r="L4482" s="3577" t="s">
        <v>29</v>
      </c>
      <c r="M4482" s="3577" t="s">
        <v>30</v>
      </c>
      <c r="N4482" s="3577"/>
      <c r="O4482" s="2399" t="s">
        <v>31</v>
      </c>
      <c r="P4482" s="2399"/>
      <c r="Q4482" s="2399"/>
      <c r="R4482" s="2399"/>
      <c r="S4482" s="2399"/>
      <c r="T4482" s="2399"/>
      <c r="U4482" s="2399"/>
      <c r="V4482" s="2399"/>
      <c r="W4482" s="2399"/>
      <c r="X4482" s="2399"/>
      <c r="Y4482" s="2399"/>
      <c r="Z4482" s="2399"/>
      <c r="AA4482" s="3576" t="s">
        <v>32</v>
      </c>
    </row>
    <row r="4483" spans="1:27" x14ac:dyDescent="0.2">
      <c r="A4483" s="3582"/>
      <c r="B4483" s="3525"/>
      <c r="C4483" s="3577"/>
      <c r="D4483" s="3577"/>
      <c r="E4483" s="3577"/>
      <c r="F4483" s="3577"/>
      <c r="G4483" s="3577"/>
      <c r="H4483" s="3577"/>
      <c r="I4483" s="3577"/>
      <c r="J4483" s="890" t="s">
        <v>33</v>
      </c>
      <c r="K4483" s="973" t="s">
        <v>34</v>
      </c>
      <c r="L4483" s="3577"/>
      <c r="M4483" s="3577"/>
      <c r="N4483" s="3577"/>
      <c r="O4483" s="895" t="s">
        <v>35</v>
      </c>
      <c r="P4483" s="895" t="s">
        <v>36</v>
      </c>
      <c r="Q4483" s="895" t="s">
        <v>37</v>
      </c>
      <c r="R4483" s="895" t="s">
        <v>38</v>
      </c>
      <c r="S4483" s="895" t="s">
        <v>39</v>
      </c>
      <c r="T4483" s="895" t="s">
        <v>40</v>
      </c>
      <c r="U4483" s="895" t="s">
        <v>41</v>
      </c>
      <c r="V4483" s="895" t="s">
        <v>42</v>
      </c>
      <c r="W4483" s="895" t="s">
        <v>43</v>
      </c>
      <c r="X4483" s="895" t="s">
        <v>44</v>
      </c>
      <c r="Y4483" s="895" t="s">
        <v>45</v>
      </c>
      <c r="Z4483" s="895" t="s">
        <v>46</v>
      </c>
      <c r="AA4483" s="3576"/>
    </row>
    <row r="4484" spans="1:27" ht="45" x14ac:dyDescent="0.2">
      <c r="A4484" s="3582"/>
      <c r="B4484" s="889">
        <v>500000013</v>
      </c>
      <c r="C4484" s="462" t="s">
        <v>1805</v>
      </c>
      <c r="D4484" s="462" t="s">
        <v>1856</v>
      </c>
      <c r="E4484" s="462" t="s">
        <v>1857</v>
      </c>
      <c r="F4484" s="462" t="s">
        <v>1858</v>
      </c>
      <c r="G4484" s="462" t="s">
        <v>1859</v>
      </c>
      <c r="H4484" s="462" t="s">
        <v>1213</v>
      </c>
      <c r="I4484" s="462" t="s">
        <v>1860</v>
      </c>
      <c r="J4484" s="356">
        <f>SUM(J4485:J4577)</f>
        <v>284</v>
      </c>
      <c r="K4484" s="342">
        <f>SUM(K4485:K4577)</f>
        <v>138759.4</v>
      </c>
      <c r="L4484" s="462"/>
      <c r="M4484" s="462"/>
      <c r="N4484" s="462"/>
      <c r="O4484" s="547"/>
      <c r="P4484" s="547"/>
      <c r="Q4484" s="547"/>
      <c r="R4484" s="547"/>
      <c r="S4484" s="547"/>
      <c r="T4484" s="547"/>
      <c r="U4484" s="547"/>
      <c r="V4484" s="547"/>
      <c r="W4484" s="547"/>
      <c r="X4484" s="547"/>
      <c r="Y4484" s="547"/>
      <c r="Z4484" s="547"/>
      <c r="AA4484" s="324"/>
    </row>
    <row r="4485" spans="1:27" x14ac:dyDescent="0.2">
      <c r="A4485" s="3582" t="s">
        <v>1861</v>
      </c>
      <c r="B4485" s="3563">
        <v>1.1000000000000001</v>
      </c>
      <c r="C4485" s="3563" t="s">
        <v>1862</v>
      </c>
      <c r="D4485" s="3563" t="s">
        <v>1863</v>
      </c>
      <c r="E4485" s="3563" t="s">
        <v>1857</v>
      </c>
      <c r="F4485" s="3563" t="s">
        <v>1858</v>
      </c>
      <c r="G4485" s="3563" t="s">
        <v>1859</v>
      </c>
      <c r="H4485" s="3563" t="s">
        <v>1864</v>
      </c>
      <c r="I4485" s="3563" t="s">
        <v>1865</v>
      </c>
      <c r="J4485" s="3591">
        <v>8</v>
      </c>
      <c r="K4485" s="3588">
        <f>+AA4486</f>
        <v>4659.3500000000004</v>
      </c>
      <c r="L4485" s="3563" t="s">
        <v>1866</v>
      </c>
      <c r="M4485" s="3574" t="s">
        <v>51</v>
      </c>
      <c r="N4485" s="3574"/>
      <c r="O4485" s="554"/>
      <c r="P4485" s="554"/>
      <c r="Q4485" s="554"/>
      <c r="R4485" s="970">
        <v>4</v>
      </c>
      <c r="S4485" s="970"/>
      <c r="T4485" s="970">
        <v>2</v>
      </c>
      <c r="U4485" s="970"/>
      <c r="V4485" s="970">
        <v>1</v>
      </c>
      <c r="W4485" s="970">
        <v>1</v>
      </c>
      <c r="X4485" s="970"/>
      <c r="Y4485" s="970"/>
      <c r="Z4485" s="970"/>
      <c r="AA4485" s="975">
        <v>8</v>
      </c>
    </row>
    <row r="4486" spans="1:27" x14ac:dyDescent="0.2">
      <c r="A4486" s="3582"/>
      <c r="B4486" s="3563"/>
      <c r="C4486" s="3563"/>
      <c r="D4486" s="3563"/>
      <c r="E4486" s="3563"/>
      <c r="F4486" s="3563"/>
      <c r="G4486" s="3563"/>
      <c r="H4486" s="3563"/>
      <c r="I4486" s="3563"/>
      <c r="J4486" s="3591"/>
      <c r="K4486" s="3588"/>
      <c r="L4486" s="3563"/>
      <c r="M4486" s="3590" t="s">
        <v>111</v>
      </c>
      <c r="N4486" s="3590"/>
      <c r="O4486" s="554"/>
      <c r="P4486" s="554"/>
      <c r="Q4486" s="554"/>
      <c r="R4486" s="970">
        <f t="shared" ref="R4486:AA4486" si="722">SUM(R4487:R4492)</f>
        <v>2680</v>
      </c>
      <c r="S4486" s="970">
        <f t="shared" si="722"/>
        <v>0</v>
      </c>
      <c r="T4486" s="970">
        <f t="shared" si="722"/>
        <v>1120</v>
      </c>
      <c r="U4486" s="970">
        <f t="shared" si="722"/>
        <v>0</v>
      </c>
      <c r="V4486" s="970">
        <f t="shared" si="722"/>
        <v>457</v>
      </c>
      <c r="W4486" s="970">
        <f t="shared" si="722"/>
        <v>402.35</v>
      </c>
      <c r="X4486" s="970">
        <f t="shared" si="722"/>
        <v>0</v>
      </c>
      <c r="Y4486" s="970">
        <f t="shared" si="722"/>
        <v>0</v>
      </c>
      <c r="Z4486" s="970">
        <f t="shared" si="722"/>
        <v>0</v>
      </c>
      <c r="AA4486" s="975">
        <f t="shared" si="722"/>
        <v>4659.3500000000004</v>
      </c>
    </row>
    <row r="4487" spans="1:27" ht="22.5" x14ac:dyDescent="0.2">
      <c r="A4487" s="3582"/>
      <c r="B4487" s="3563"/>
      <c r="C4487" s="3563"/>
      <c r="D4487" s="3563"/>
      <c r="E4487" s="3563"/>
      <c r="F4487" s="3563"/>
      <c r="G4487" s="3563"/>
      <c r="H4487" s="3563"/>
      <c r="I4487" s="3563"/>
      <c r="J4487" s="3591"/>
      <c r="K4487" s="3588"/>
      <c r="L4487" s="3563"/>
      <c r="M4487" s="2114" t="s">
        <v>194</v>
      </c>
      <c r="N4487" s="2114" t="s">
        <v>1368</v>
      </c>
      <c r="O4487" s="554"/>
      <c r="P4487" s="554"/>
      <c r="Q4487" s="554"/>
      <c r="R4487" s="554">
        <v>700</v>
      </c>
      <c r="S4487" s="554"/>
      <c r="T4487" s="554">
        <v>280</v>
      </c>
      <c r="U4487" s="554"/>
      <c r="V4487" s="554">
        <v>70</v>
      </c>
      <c r="W4487" s="554">
        <v>140</v>
      </c>
      <c r="X4487" s="554"/>
      <c r="Y4487" s="554"/>
      <c r="Z4487" s="554"/>
      <c r="AA4487" s="974">
        <f>SUM(O4487:Z4487)</f>
        <v>1190</v>
      </c>
    </row>
    <row r="4488" spans="1:27" ht="22.5" x14ac:dyDescent="0.2">
      <c r="A4488" s="3582"/>
      <c r="B4488" s="3563"/>
      <c r="C4488" s="3563"/>
      <c r="D4488" s="3563"/>
      <c r="E4488" s="3563"/>
      <c r="F4488" s="3563"/>
      <c r="G4488" s="3563"/>
      <c r="H4488" s="3563"/>
      <c r="I4488" s="3563"/>
      <c r="J4488" s="3591"/>
      <c r="K4488" s="3588"/>
      <c r="L4488" s="3563"/>
      <c r="M4488" s="2114" t="s">
        <v>1452</v>
      </c>
      <c r="N4488" s="2114" t="s">
        <v>1867</v>
      </c>
      <c r="O4488" s="554"/>
      <c r="P4488" s="554"/>
      <c r="Q4488" s="554"/>
      <c r="R4488" s="554">
        <v>1000</v>
      </c>
      <c r="S4488" s="554"/>
      <c r="T4488" s="554">
        <v>500</v>
      </c>
      <c r="U4488" s="554"/>
      <c r="V4488" s="554">
        <v>250</v>
      </c>
      <c r="W4488" s="554">
        <v>175</v>
      </c>
      <c r="X4488" s="554"/>
      <c r="Y4488" s="554"/>
      <c r="Z4488" s="554"/>
      <c r="AA4488" s="974">
        <f t="shared" ref="AA4488:AA4492" si="723">SUM(O4488:Z4488)</f>
        <v>1925</v>
      </c>
    </row>
    <row r="4489" spans="1:27" x14ac:dyDescent="0.2">
      <c r="A4489" s="3582"/>
      <c r="B4489" s="3563"/>
      <c r="C4489" s="3563"/>
      <c r="D4489" s="3563"/>
      <c r="E4489" s="3563"/>
      <c r="F4489" s="3563"/>
      <c r="G4489" s="3563"/>
      <c r="H4489" s="3563"/>
      <c r="I4489" s="3563"/>
      <c r="J4489" s="3591"/>
      <c r="K4489" s="3588"/>
      <c r="L4489" s="3563"/>
      <c r="M4489" s="2114" t="s">
        <v>541</v>
      </c>
      <c r="N4489" s="2114" t="s">
        <v>1868</v>
      </c>
      <c r="O4489" s="554"/>
      <c r="P4489" s="554"/>
      <c r="Q4489" s="554"/>
      <c r="R4489" s="554"/>
      <c r="S4489" s="554"/>
      <c r="T4489" s="554">
        <v>90</v>
      </c>
      <c r="U4489" s="554"/>
      <c r="V4489" s="554">
        <v>12</v>
      </c>
      <c r="W4489" s="554"/>
      <c r="X4489" s="554"/>
      <c r="Y4489" s="554"/>
      <c r="Z4489" s="554"/>
      <c r="AA4489" s="974">
        <f t="shared" si="723"/>
        <v>102</v>
      </c>
    </row>
    <row r="4490" spans="1:27" ht="22.5" x14ac:dyDescent="0.2">
      <c r="A4490" s="3582"/>
      <c r="B4490" s="3563"/>
      <c r="C4490" s="3563"/>
      <c r="D4490" s="3563"/>
      <c r="E4490" s="3563"/>
      <c r="F4490" s="3563"/>
      <c r="G4490" s="3563"/>
      <c r="H4490" s="3563"/>
      <c r="I4490" s="3563"/>
      <c r="J4490" s="3591"/>
      <c r="K4490" s="3588"/>
      <c r="L4490" s="3563"/>
      <c r="M4490" s="2114" t="s">
        <v>180</v>
      </c>
      <c r="N4490" s="2114" t="s">
        <v>1869</v>
      </c>
      <c r="O4490" s="554"/>
      <c r="P4490" s="554"/>
      <c r="Q4490" s="554"/>
      <c r="R4490" s="554">
        <v>480</v>
      </c>
      <c r="S4490" s="554"/>
      <c r="T4490" s="554"/>
      <c r="U4490" s="554"/>
      <c r="V4490" s="554"/>
      <c r="W4490" s="554"/>
      <c r="X4490" s="554"/>
      <c r="Y4490" s="554"/>
      <c r="Z4490" s="554"/>
      <c r="AA4490" s="974">
        <f t="shared" si="723"/>
        <v>480</v>
      </c>
    </row>
    <row r="4491" spans="1:27" ht="22.5" x14ac:dyDescent="0.2">
      <c r="A4491" s="3582"/>
      <c r="B4491" s="3563"/>
      <c r="C4491" s="3563"/>
      <c r="D4491" s="3563"/>
      <c r="E4491" s="3563"/>
      <c r="F4491" s="3563"/>
      <c r="G4491" s="3563"/>
      <c r="H4491" s="3563"/>
      <c r="I4491" s="3563"/>
      <c r="J4491" s="3591"/>
      <c r="K4491" s="3588"/>
      <c r="L4491" s="3563"/>
      <c r="M4491" s="2114" t="s">
        <v>200</v>
      </c>
      <c r="N4491" s="2114" t="s">
        <v>1509</v>
      </c>
      <c r="O4491" s="554"/>
      <c r="P4491" s="554"/>
      <c r="Q4491" s="554"/>
      <c r="R4491" s="554">
        <v>500</v>
      </c>
      <c r="S4491" s="554"/>
      <c r="T4491" s="554">
        <v>250</v>
      </c>
      <c r="U4491" s="554"/>
      <c r="V4491" s="554">
        <v>125</v>
      </c>
      <c r="W4491" s="554">
        <v>87.35</v>
      </c>
      <c r="X4491" s="554"/>
      <c r="Y4491" s="554"/>
      <c r="Z4491" s="554"/>
      <c r="AA4491" s="974">
        <f t="shared" si="723"/>
        <v>962.35</v>
      </c>
    </row>
    <row r="4492" spans="1:27" x14ac:dyDescent="0.2">
      <c r="A4492" s="3582"/>
      <c r="B4492" s="3563"/>
      <c r="C4492" s="3563"/>
      <c r="D4492" s="3563"/>
      <c r="E4492" s="3563"/>
      <c r="F4492" s="3563"/>
      <c r="G4492" s="3563"/>
      <c r="H4492" s="3563"/>
      <c r="I4492" s="3563"/>
      <c r="J4492" s="3591"/>
      <c r="K4492" s="3588"/>
      <c r="L4492" s="3563"/>
      <c r="M4492" s="982" t="s">
        <v>215</v>
      </c>
      <c r="N4492" s="982" t="s">
        <v>1370</v>
      </c>
      <c r="O4492" s="554"/>
      <c r="P4492" s="554"/>
      <c r="Q4492" s="554"/>
      <c r="R4492" s="554"/>
      <c r="S4492" s="554"/>
      <c r="T4492" s="554"/>
      <c r="U4492" s="554"/>
      <c r="V4492" s="554"/>
      <c r="W4492" s="554"/>
      <c r="X4492" s="554"/>
      <c r="Y4492" s="554"/>
      <c r="Z4492" s="554"/>
      <c r="AA4492" s="974">
        <f t="shared" si="723"/>
        <v>0</v>
      </c>
    </row>
    <row r="4493" spans="1:27" x14ac:dyDescent="0.2">
      <c r="A4493" s="3582"/>
      <c r="B4493" s="3563">
        <v>1.2</v>
      </c>
      <c r="C4493" s="3589" t="s">
        <v>1870</v>
      </c>
      <c r="D4493" s="3563" t="s">
        <v>1863</v>
      </c>
      <c r="E4493" s="3563" t="s">
        <v>1857</v>
      </c>
      <c r="F4493" s="3563" t="s">
        <v>1858</v>
      </c>
      <c r="G4493" s="3563" t="s">
        <v>1859</v>
      </c>
      <c r="H4493" s="3563" t="s">
        <v>1871</v>
      </c>
      <c r="I4493" s="3563" t="s">
        <v>1872</v>
      </c>
      <c r="J4493" s="3563">
        <v>2</v>
      </c>
      <c r="K4493" s="3588">
        <f>+AA4494</f>
        <v>801</v>
      </c>
      <c r="L4493" s="3589" t="s">
        <v>1866</v>
      </c>
      <c r="M4493" s="3565" t="s">
        <v>51</v>
      </c>
      <c r="N4493" s="3565"/>
      <c r="O4493" s="970">
        <v>0</v>
      </c>
      <c r="P4493" s="970"/>
      <c r="Q4493" s="970">
        <v>1</v>
      </c>
      <c r="R4493" s="970"/>
      <c r="S4493" s="970"/>
      <c r="T4493" s="970">
        <v>1</v>
      </c>
      <c r="U4493" s="970"/>
      <c r="V4493" s="970"/>
      <c r="W4493" s="970"/>
      <c r="X4493" s="970"/>
      <c r="Y4493" s="970"/>
      <c r="Z4493" s="970"/>
      <c r="AA4493" s="975">
        <v>2</v>
      </c>
    </row>
    <row r="4494" spans="1:27" x14ac:dyDescent="0.2">
      <c r="A4494" s="3582"/>
      <c r="B4494" s="3563"/>
      <c r="C4494" s="3589"/>
      <c r="D4494" s="3563"/>
      <c r="E4494" s="3563"/>
      <c r="F4494" s="3563"/>
      <c r="G4494" s="3563"/>
      <c r="H4494" s="3563"/>
      <c r="I4494" s="3563"/>
      <c r="J4494" s="3563"/>
      <c r="K4494" s="3588"/>
      <c r="L4494" s="3589"/>
      <c r="M4494" s="3565" t="s">
        <v>168</v>
      </c>
      <c r="N4494" s="3565"/>
      <c r="O4494" s="970">
        <f>SUM(O4495:O4498)</f>
        <v>81</v>
      </c>
      <c r="P4494" s="970">
        <f t="shared" ref="P4494:AA4494" si="724">SUM(P4495:P4498)</f>
        <v>0</v>
      </c>
      <c r="Q4494" s="970">
        <f t="shared" si="724"/>
        <v>500</v>
      </c>
      <c r="R4494" s="970">
        <f t="shared" si="724"/>
        <v>0</v>
      </c>
      <c r="S4494" s="970">
        <f t="shared" si="724"/>
        <v>0</v>
      </c>
      <c r="T4494" s="970">
        <f t="shared" si="724"/>
        <v>220</v>
      </c>
      <c r="U4494" s="970">
        <f t="shared" si="724"/>
        <v>0</v>
      </c>
      <c r="V4494" s="970">
        <f t="shared" si="724"/>
        <v>0</v>
      </c>
      <c r="W4494" s="970">
        <f t="shared" si="724"/>
        <v>0</v>
      </c>
      <c r="X4494" s="970">
        <f t="shared" si="724"/>
        <v>0</v>
      </c>
      <c r="Y4494" s="970">
        <f t="shared" si="724"/>
        <v>0</v>
      </c>
      <c r="Z4494" s="970">
        <f t="shared" si="724"/>
        <v>0</v>
      </c>
      <c r="AA4494" s="975">
        <f t="shared" si="724"/>
        <v>801</v>
      </c>
    </row>
    <row r="4495" spans="1:27" ht="22.5" x14ac:dyDescent="0.2">
      <c r="A4495" s="3582"/>
      <c r="B4495" s="3563"/>
      <c r="C4495" s="3589"/>
      <c r="D4495" s="3563"/>
      <c r="E4495" s="3563"/>
      <c r="F4495" s="3563"/>
      <c r="G4495" s="3563"/>
      <c r="H4495" s="3563"/>
      <c r="I4495" s="3563"/>
      <c r="J4495" s="3563"/>
      <c r="K4495" s="3588"/>
      <c r="L4495" s="3589"/>
      <c r="M4495" s="1942">
        <v>232231</v>
      </c>
      <c r="N4495" s="1942" t="s">
        <v>3177</v>
      </c>
      <c r="O4495" s="554">
        <v>81</v>
      </c>
      <c r="P4495" s="554"/>
      <c r="Q4495" s="554"/>
      <c r="R4495" s="554"/>
      <c r="S4495" s="554"/>
      <c r="T4495" s="554"/>
      <c r="U4495" s="554"/>
      <c r="V4495" s="554"/>
      <c r="W4495" s="554"/>
      <c r="X4495" s="554"/>
      <c r="Y4495" s="554"/>
      <c r="Z4495" s="554"/>
      <c r="AA4495" s="974">
        <f>SUM(O4495:Z4495)</f>
        <v>81</v>
      </c>
    </row>
    <row r="4496" spans="1:27" ht="22.5" x14ac:dyDescent="0.2">
      <c r="A4496" s="3582"/>
      <c r="B4496" s="3563"/>
      <c r="C4496" s="3589"/>
      <c r="D4496" s="3563"/>
      <c r="E4496" s="3563"/>
      <c r="F4496" s="3563"/>
      <c r="G4496" s="3563"/>
      <c r="H4496" s="3563"/>
      <c r="I4496" s="3563"/>
      <c r="J4496" s="3563"/>
      <c r="K4496" s="3588"/>
      <c r="L4496" s="3589"/>
      <c r="M4496" s="1942" t="s">
        <v>194</v>
      </c>
      <c r="N4496" s="1942" t="s">
        <v>1368</v>
      </c>
      <c r="O4496" s="554"/>
      <c r="P4496" s="554"/>
      <c r="Q4496" s="554">
        <v>280</v>
      </c>
      <c r="R4496" s="554"/>
      <c r="S4496" s="554"/>
      <c r="T4496" s="554">
        <v>70</v>
      </c>
      <c r="U4496" s="554"/>
      <c r="V4496" s="554"/>
      <c r="W4496" s="554"/>
      <c r="X4496" s="554"/>
      <c r="Y4496" s="554"/>
      <c r="Z4496" s="554"/>
      <c r="AA4496" s="974">
        <f t="shared" ref="AA4496:AA4498" si="725">SUM(O4496:Z4496)</f>
        <v>350</v>
      </c>
    </row>
    <row r="4497" spans="1:27" ht="22.5" x14ac:dyDescent="0.2">
      <c r="A4497" s="3582"/>
      <c r="B4497" s="3563"/>
      <c r="C4497" s="3589"/>
      <c r="D4497" s="3563"/>
      <c r="E4497" s="3563"/>
      <c r="F4497" s="3563"/>
      <c r="G4497" s="3563"/>
      <c r="H4497" s="3563"/>
      <c r="I4497" s="3563"/>
      <c r="J4497" s="3563"/>
      <c r="K4497" s="3588"/>
      <c r="L4497" s="3589"/>
      <c r="M4497" s="1942" t="s">
        <v>1874</v>
      </c>
      <c r="N4497" s="1942" t="s">
        <v>1875</v>
      </c>
      <c r="O4497" s="554"/>
      <c r="P4497" s="554"/>
      <c r="Q4497" s="554">
        <v>100</v>
      </c>
      <c r="R4497" s="554"/>
      <c r="S4497" s="554"/>
      <c r="T4497" s="554">
        <v>30</v>
      </c>
      <c r="U4497" s="554"/>
      <c r="V4497" s="554"/>
      <c r="W4497" s="554"/>
      <c r="X4497" s="554"/>
      <c r="Y4497" s="554"/>
      <c r="Z4497" s="554"/>
      <c r="AA4497" s="974">
        <f t="shared" si="725"/>
        <v>130</v>
      </c>
    </row>
    <row r="4498" spans="1:27" x14ac:dyDescent="0.2">
      <c r="A4498" s="3582"/>
      <c r="B4498" s="3563"/>
      <c r="C4498" s="3589"/>
      <c r="D4498" s="3563"/>
      <c r="E4498" s="3563"/>
      <c r="F4498" s="3563"/>
      <c r="G4498" s="3563"/>
      <c r="H4498" s="3563"/>
      <c r="I4498" s="3563"/>
      <c r="J4498" s="3563"/>
      <c r="K4498" s="3588"/>
      <c r="L4498" s="3589"/>
      <c r="M4498" s="1942" t="s">
        <v>1452</v>
      </c>
      <c r="N4498" s="1942" t="s">
        <v>1876</v>
      </c>
      <c r="O4498" s="554"/>
      <c r="P4498" s="554"/>
      <c r="Q4498" s="554">
        <v>120</v>
      </c>
      <c r="R4498" s="554"/>
      <c r="S4498" s="554"/>
      <c r="T4498" s="554">
        <v>120</v>
      </c>
      <c r="U4498" s="554"/>
      <c r="V4498" s="554"/>
      <c r="W4498" s="554"/>
      <c r="X4498" s="554"/>
      <c r="Y4498" s="554"/>
      <c r="Z4498" s="554"/>
      <c r="AA4498" s="974">
        <f t="shared" si="725"/>
        <v>240</v>
      </c>
    </row>
    <row r="4499" spans="1:27" x14ac:dyDescent="0.2">
      <c r="A4499" s="3582"/>
      <c r="B4499" s="3589">
        <v>1.3</v>
      </c>
      <c r="C4499" s="3589" t="s">
        <v>1877</v>
      </c>
      <c r="D4499" s="3563" t="s">
        <v>1863</v>
      </c>
      <c r="E4499" s="3563" t="s">
        <v>1857</v>
      </c>
      <c r="F4499" s="3563" t="s">
        <v>1858</v>
      </c>
      <c r="G4499" s="3563" t="s">
        <v>1859</v>
      </c>
      <c r="H4499" s="3563" t="s">
        <v>1878</v>
      </c>
      <c r="I4499" s="3589" t="s">
        <v>1872</v>
      </c>
      <c r="J4499" s="3563">
        <v>4</v>
      </c>
      <c r="K4499" s="3588">
        <f>+AA4500</f>
        <v>2121</v>
      </c>
      <c r="L4499" s="3589" t="s">
        <v>1866</v>
      </c>
      <c r="M4499" s="3565" t="s">
        <v>51</v>
      </c>
      <c r="N4499" s="3565"/>
      <c r="O4499" s="970">
        <v>0</v>
      </c>
      <c r="P4499" s="970"/>
      <c r="Q4499" s="970"/>
      <c r="R4499" s="970"/>
      <c r="S4499" s="970">
        <v>2</v>
      </c>
      <c r="T4499" s="970"/>
      <c r="U4499" s="970"/>
      <c r="V4499" s="970">
        <v>1</v>
      </c>
      <c r="W4499" s="970"/>
      <c r="X4499" s="970"/>
      <c r="Y4499" s="970"/>
      <c r="Z4499" s="970"/>
      <c r="AA4499" s="975">
        <v>4</v>
      </c>
    </row>
    <row r="4500" spans="1:27" x14ac:dyDescent="0.2">
      <c r="A4500" s="3582"/>
      <c r="B4500" s="3589"/>
      <c r="C4500" s="3589"/>
      <c r="D4500" s="3563"/>
      <c r="E4500" s="3563"/>
      <c r="F4500" s="3563"/>
      <c r="G4500" s="3563"/>
      <c r="H4500" s="3563"/>
      <c r="I4500" s="3589"/>
      <c r="J4500" s="3563"/>
      <c r="K4500" s="3588"/>
      <c r="L4500" s="3589"/>
      <c r="M4500" s="3565" t="s">
        <v>168</v>
      </c>
      <c r="N4500" s="3565"/>
      <c r="O4500" s="970">
        <f>SUM(O4501:O4505)</f>
        <v>81</v>
      </c>
      <c r="P4500" s="970">
        <f t="shared" ref="P4500:Z4500" si="726">SUM(P4501:P4505)</f>
        <v>0</v>
      </c>
      <c r="Q4500" s="970">
        <f t="shared" si="726"/>
        <v>0</v>
      </c>
      <c r="R4500" s="970">
        <f t="shared" si="726"/>
        <v>0</v>
      </c>
      <c r="S4500" s="970">
        <f t="shared" si="726"/>
        <v>1260</v>
      </c>
      <c r="T4500" s="970">
        <f>SUM(T4501:T4505)</f>
        <v>490</v>
      </c>
      <c r="U4500" s="970">
        <f t="shared" si="726"/>
        <v>0</v>
      </c>
      <c r="V4500" s="970">
        <f>SUM(V4501:V4505)</f>
        <v>290</v>
      </c>
      <c r="W4500" s="970">
        <f t="shared" si="726"/>
        <v>0</v>
      </c>
      <c r="X4500" s="970">
        <f t="shared" si="726"/>
        <v>0</v>
      </c>
      <c r="Y4500" s="970">
        <f t="shared" si="726"/>
        <v>0</v>
      </c>
      <c r="Z4500" s="970">
        <f t="shared" si="726"/>
        <v>0</v>
      </c>
      <c r="AA4500" s="975">
        <f>SUM(O4500:Z4500)</f>
        <v>2121</v>
      </c>
    </row>
    <row r="4501" spans="1:27" ht="22.5" x14ac:dyDescent="0.2">
      <c r="A4501" s="3582"/>
      <c r="B4501" s="3589"/>
      <c r="C4501" s="3589"/>
      <c r="D4501" s="3563"/>
      <c r="E4501" s="3563"/>
      <c r="F4501" s="3563"/>
      <c r="G4501" s="3563"/>
      <c r="H4501" s="3563"/>
      <c r="I4501" s="3589"/>
      <c r="J4501" s="3563"/>
      <c r="K4501" s="3588"/>
      <c r="L4501" s="3589"/>
      <c r="M4501" s="1942">
        <v>232231</v>
      </c>
      <c r="N4501" s="1942" t="s">
        <v>3174</v>
      </c>
      <c r="O4501" s="554">
        <v>81</v>
      </c>
      <c r="P4501" s="554"/>
      <c r="Q4501" s="554"/>
      <c r="R4501" s="554"/>
      <c r="S4501" s="554"/>
      <c r="T4501" s="554"/>
      <c r="U4501" s="554"/>
      <c r="V4501" s="554">
        <v>0</v>
      </c>
      <c r="W4501" s="554"/>
      <c r="X4501" s="554"/>
      <c r="Y4501" s="554"/>
      <c r="Z4501" s="554"/>
      <c r="AA4501" s="974">
        <f>SUM(O4501:Z4501)</f>
        <v>81</v>
      </c>
    </row>
    <row r="4502" spans="1:27" ht="22.5" x14ac:dyDescent="0.2">
      <c r="A4502" s="3582"/>
      <c r="B4502" s="3589"/>
      <c r="C4502" s="3589"/>
      <c r="D4502" s="3563"/>
      <c r="E4502" s="3563"/>
      <c r="F4502" s="3563"/>
      <c r="G4502" s="3563"/>
      <c r="H4502" s="3563"/>
      <c r="I4502" s="3589"/>
      <c r="J4502" s="3563"/>
      <c r="K4502" s="3588"/>
      <c r="L4502" s="3589"/>
      <c r="M4502" s="1942" t="s">
        <v>194</v>
      </c>
      <c r="N4502" s="1942" t="s">
        <v>1368</v>
      </c>
      <c r="O4502" s="554"/>
      <c r="P4502" s="554"/>
      <c r="Q4502" s="554"/>
      <c r="R4502" s="554"/>
      <c r="S4502" s="554">
        <v>280</v>
      </c>
      <c r="T4502" s="554">
        <v>140</v>
      </c>
      <c r="U4502" s="554"/>
      <c r="V4502" s="554">
        <v>70</v>
      </c>
      <c r="W4502" s="554"/>
      <c r="X4502" s="554"/>
      <c r="Y4502" s="554"/>
      <c r="Z4502" s="554"/>
      <c r="AA4502" s="974">
        <f t="shared" ref="AA4502:AA4505" si="727">SUM(O4502:Z4502)</f>
        <v>490</v>
      </c>
    </row>
    <row r="4503" spans="1:27" x14ac:dyDescent="0.2">
      <c r="A4503" s="3582"/>
      <c r="B4503" s="3589"/>
      <c r="C4503" s="3589"/>
      <c r="D4503" s="3563"/>
      <c r="E4503" s="3563"/>
      <c r="F4503" s="3563"/>
      <c r="G4503" s="3563"/>
      <c r="H4503" s="3563"/>
      <c r="I4503" s="3589"/>
      <c r="J4503" s="3563"/>
      <c r="K4503" s="3588"/>
      <c r="L4503" s="3589"/>
      <c r="M4503" s="1942" t="s">
        <v>1874</v>
      </c>
      <c r="N4503" s="1942" t="s">
        <v>1881</v>
      </c>
      <c r="O4503" s="554"/>
      <c r="P4503" s="554"/>
      <c r="Q4503" s="554"/>
      <c r="R4503" s="554"/>
      <c r="S4503" s="554"/>
      <c r="T4503" s="554">
        <v>100</v>
      </c>
      <c r="U4503" s="554"/>
      <c r="V4503" s="554">
        <v>40</v>
      </c>
      <c r="W4503" s="554"/>
      <c r="X4503" s="554"/>
      <c r="Y4503" s="554"/>
      <c r="Z4503" s="554"/>
      <c r="AA4503" s="974">
        <f t="shared" si="727"/>
        <v>140</v>
      </c>
    </row>
    <row r="4504" spans="1:27" ht="22.5" x14ac:dyDescent="0.2">
      <c r="A4504" s="3582"/>
      <c r="B4504" s="3589"/>
      <c r="C4504" s="3589"/>
      <c r="D4504" s="3563"/>
      <c r="E4504" s="3563"/>
      <c r="F4504" s="3563"/>
      <c r="G4504" s="3563"/>
      <c r="H4504" s="3563"/>
      <c r="I4504" s="3589"/>
      <c r="J4504" s="3563"/>
      <c r="K4504" s="3588"/>
      <c r="L4504" s="3589"/>
      <c r="M4504" s="1942" t="s">
        <v>180</v>
      </c>
      <c r="N4504" s="1942" t="s">
        <v>3172</v>
      </c>
      <c r="O4504" s="554"/>
      <c r="P4504" s="554"/>
      <c r="Q4504" s="554"/>
      <c r="R4504" s="554"/>
      <c r="S4504" s="554">
        <v>480</v>
      </c>
      <c r="T4504" s="554"/>
      <c r="U4504" s="554"/>
      <c r="V4504" s="554">
        <v>0</v>
      </c>
      <c r="W4504" s="554"/>
      <c r="X4504" s="554"/>
      <c r="Y4504" s="554"/>
      <c r="Z4504" s="554"/>
      <c r="AA4504" s="974">
        <f t="shared" si="727"/>
        <v>480</v>
      </c>
    </row>
    <row r="4505" spans="1:27" x14ac:dyDescent="0.2">
      <c r="A4505" s="3582"/>
      <c r="B4505" s="3589"/>
      <c r="C4505" s="3589"/>
      <c r="D4505" s="3563"/>
      <c r="E4505" s="3563"/>
      <c r="F4505" s="3563"/>
      <c r="G4505" s="3563"/>
      <c r="H4505" s="3563"/>
      <c r="I4505" s="3589"/>
      <c r="J4505" s="3563"/>
      <c r="K4505" s="3588"/>
      <c r="L4505" s="3589"/>
      <c r="M4505" s="1942" t="s">
        <v>1883</v>
      </c>
      <c r="N4505" s="1942" t="s">
        <v>3176</v>
      </c>
      <c r="O4505" s="554"/>
      <c r="P4505" s="554"/>
      <c r="Q4505" s="554"/>
      <c r="R4505" s="554"/>
      <c r="S4505" s="554">
        <v>500</v>
      </c>
      <c r="T4505" s="554">
        <v>250</v>
      </c>
      <c r="U4505" s="554"/>
      <c r="V4505" s="554">
        <v>180</v>
      </c>
      <c r="W4505" s="554"/>
      <c r="X4505" s="554"/>
      <c r="Y4505" s="554"/>
      <c r="Z4505" s="554"/>
      <c r="AA4505" s="974">
        <f t="shared" si="727"/>
        <v>930</v>
      </c>
    </row>
    <row r="4506" spans="1:27" x14ac:dyDescent="0.2">
      <c r="A4506" s="3582"/>
      <c r="B4506" s="3589">
        <v>1.4</v>
      </c>
      <c r="C4506" s="3589" t="s">
        <v>1885</v>
      </c>
      <c r="D4506" s="3563" t="s">
        <v>1863</v>
      </c>
      <c r="E4506" s="3563" t="s">
        <v>1857</v>
      </c>
      <c r="F4506" s="3563" t="s">
        <v>1858</v>
      </c>
      <c r="G4506" s="3563" t="s">
        <v>1859</v>
      </c>
      <c r="H4506" s="3563" t="s">
        <v>1886</v>
      </c>
      <c r="I4506" s="3589" t="s">
        <v>1798</v>
      </c>
      <c r="J4506" s="3563">
        <v>2</v>
      </c>
      <c r="K4506" s="3588">
        <f>+AA4507</f>
        <v>240</v>
      </c>
      <c r="L4506" s="3589" t="s">
        <v>1866</v>
      </c>
      <c r="M4506" s="3565" t="s">
        <v>51</v>
      </c>
      <c r="N4506" s="3565"/>
      <c r="O4506" s="970"/>
      <c r="P4506" s="970"/>
      <c r="Q4506" s="970"/>
      <c r="R4506" s="970"/>
      <c r="S4506" s="970">
        <v>1</v>
      </c>
      <c r="T4506" s="970"/>
      <c r="U4506" s="970"/>
      <c r="V4506" s="970"/>
      <c r="W4506" s="970">
        <v>1</v>
      </c>
      <c r="X4506" s="970"/>
      <c r="Y4506" s="970"/>
      <c r="Z4506" s="970"/>
      <c r="AA4506" s="975">
        <v>2</v>
      </c>
    </row>
    <row r="4507" spans="1:27" x14ac:dyDescent="0.2">
      <c r="A4507" s="3582"/>
      <c r="B4507" s="3589"/>
      <c r="C4507" s="3589"/>
      <c r="D4507" s="3563"/>
      <c r="E4507" s="3563"/>
      <c r="F4507" s="3563"/>
      <c r="G4507" s="3563"/>
      <c r="H4507" s="3563"/>
      <c r="I4507" s="3589"/>
      <c r="J4507" s="3563"/>
      <c r="K4507" s="3588"/>
      <c r="L4507" s="3589"/>
      <c r="M4507" s="3565" t="s">
        <v>111</v>
      </c>
      <c r="N4507" s="3565"/>
      <c r="O4507" s="970">
        <f>SUM(O4508)</f>
        <v>0</v>
      </c>
      <c r="P4507" s="970">
        <f t="shared" ref="P4507:AA4507" si="728">SUM(P4508)</f>
        <v>0</v>
      </c>
      <c r="Q4507" s="970">
        <f t="shared" si="728"/>
        <v>0</v>
      </c>
      <c r="R4507" s="970">
        <f t="shared" si="728"/>
        <v>0</v>
      </c>
      <c r="S4507" s="970">
        <f t="shared" si="728"/>
        <v>120</v>
      </c>
      <c r="T4507" s="970">
        <f t="shared" si="728"/>
        <v>0</v>
      </c>
      <c r="U4507" s="970">
        <f t="shared" si="728"/>
        <v>0</v>
      </c>
      <c r="V4507" s="970">
        <f t="shared" si="728"/>
        <v>0</v>
      </c>
      <c r="W4507" s="970">
        <f t="shared" si="728"/>
        <v>120</v>
      </c>
      <c r="X4507" s="970">
        <f t="shared" si="728"/>
        <v>0</v>
      </c>
      <c r="Y4507" s="970">
        <f t="shared" si="728"/>
        <v>0</v>
      </c>
      <c r="Z4507" s="970">
        <f t="shared" si="728"/>
        <v>0</v>
      </c>
      <c r="AA4507" s="975">
        <f t="shared" si="728"/>
        <v>240</v>
      </c>
    </row>
    <row r="4508" spans="1:27" x14ac:dyDescent="0.2">
      <c r="A4508" s="3582"/>
      <c r="B4508" s="3589"/>
      <c r="C4508" s="3589"/>
      <c r="D4508" s="3563"/>
      <c r="E4508" s="3563"/>
      <c r="F4508" s="3563"/>
      <c r="G4508" s="3563"/>
      <c r="H4508" s="3563"/>
      <c r="I4508" s="3589"/>
      <c r="J4508" s="3563"/>
      <c r="K4508" s="3588"/>
      <c r="L4508" s="3589"/>
      <c r="M4508" s="1942" t="s">
        <v>1452</v>
      </c>
      <c r="N4508" s="1942" t="s">
        <v>1876</v>
      </c>
      <c r="O4508" s="554"/>
      <c r="P4508" s="554"/>
      <c r="Q4508" s="554"/>
      <c r="R4508" s="554"/>
      <c r="S4508" s="554">
        <v>120</v>
      </c>
      <c r="T4508" s="554"/>
      <c r="U4508" s="554"/>
      <c r="V4508" s="554"/>
      <c r="W4508" s="554">
        <v>120</v>
      </c>
      <c r="X4508" s="554"/>
      <c r="Y4508" s="554"/>
      <c r="Z4508" s="554"/>
      <c r="AA4508" s="974">
        <f>SUM(O4508:Z4508)</f>
        <v>240</v>
      </c>
    </row>
    <row r="4509" spans="1:27" x14ac:dyDescent="0.2">
      <c r="A4509" s="3582"/>
      <c r="B4509" s="3589">
        <v>1.5</v>
      </c>
      <c r="C4509" s="3589" t="s">
        <v>1887</v>
      </c>
      <c r="D4509" s="3563" t="s">
        <v>1863</v>
      </c>
      <c r="E4509" s="3563" t="s">
        <v>1857</v>
      </c>
      <c r="F4509" s="3563" t="s">
        <v>1858</v>
      </c>
      <c r="G4509" s="3563" t="s">
        <v>1859</v>
      </c>
      <c r="H4509" s="3563" t="s">
        <v>1888</v>
      </c>
      <c r="I4509" s="3563" t="s">
        <v>1889</v>
      </c>
      <c r="J4509" s="3563">
        <v>4</v>
      </c>
      <c r="K4509" s="3588">
        <f>+AA4510</f>
        <v>2000</v>
      </c>
      <c r="L4509" s="3589" t="s">
        <v>1866</v>
      </c>
      <c r="M4509" s="3565" t="s">
        <v>51</v>
      </c>
      <c r="N4509" s="3565"/>
      <c r="O4509" s="970"/>
      <c r="P4509" s="970">
        <v>1</v>
      </c>
      <c r="Q4509" s="970"/>
      <c r="R4509" s="970">
        <v>1</v>
      </c>
      <c r="S4509" s="970"/>
      <c r="T4509" s="970">
        <v>1</v>
      </c>
      <c r="U4509" s="970"/>
      <c r="V4509" s="970">
        <v>1</v>
      </c>
      <c r="W4509" s="970"/>
      <c r="X4509" s="970"/>
      <c r="Y4509" s="970"/>
      <c r="Z4509" s="970"/>
      <c r="AA4509" s="975">
        <v>4</v>
      </c>
    </row>
    <row r="4510" spans="1:27" x14ac:dyDescent="0.2">
      <c r="A4510" s="3582"/>
      <c r="B4510" s="3589"/>
      <c r="C4510" s="3589"/>
      <c r="D4510" s="3563"/>
      <c r="E4510" s="3563"/>
      <c r="F4510" s="3563"/>
      <c r="G4510" s="3563"/>
      <c r="H4510" s="3563"/>
      <c r="I4510" s="3563"/>
      <c r="J4510" s="3563"/>
      <c r="K4510" s="3588"/>
      <c r="L4510" s="3589"/>
      <c r="M4510" s="3565" t="s">
        <v>168</v>
      </c>
      <c r="N4510" s="3565"/>
      <c r="O4510" s="970">
        <f>SUM(O4511)</f>
        <v>0</v>
      </c>
      <c r="P4510" s="970">
        <f t="shared" ref="P4510:AA4510" si="729">SUM(P4511)</f>
        <v>500</v>
      </c>
      <c r="Q4510" s="970">
        <f t="shared" si="729"/>
        <v>0</v>
      </c>
      <c r="R4510" s="970">
        <f t="shared" si="729"/>
        <v>500</v>
      </c>
      <c r="S4510" s="970">
        <f t="shared" si="729"/>
        <v>0</v>
      </c>
      <c r="T4510" s="970">
        <f t="shared" si="729"/>
        <v>500</v>
      </c>
      <c r="U4510" s="970">
        <f t="shared" si="729"/>
        <v>0</v>
      </c>
      <c r="V4510" s="970">
        <f t="shared" si="729"/>
        <v>500</v>
      </c>
      <c r="W4510" s="970">
        <f t="shared" si="729"/>
        <v>0</v>
      </c>
      <c r="X4510" s="970">
        <f t="shared" si="729"/>
        <v>0</v>
      </c>
      <c r="Y4510" s="970">
        <f t="shared" si="729"/>
        <v>0</v>
      </c>
      <c r="Z4510" s="970">
        <f t="shared" si="729"/>
        <v>0</v>
      </c>
      <c r="AA4510" s="975">
        <f t="shared" si="729"/>
        <v>2000</v>
      </c>
    </row>
    <row r="4511" spans="1:27" x14ac:dyDescent="0.2">
      <c r="A4511" s="3582"/>
      <c r="B4511" s="3589"/>
      <c r="C4511" s="3589"/>
      <c r="D4511" s="3563"/>
      <c r="E4511" s="3563"/>
      <c r="F4511" s="3563"/>
      <c r="G4511" s="3563"/>
      <c r="H4511" s="3563"/>
      <c r="I4511" s="3563"/>
      <c r="J4511" s="3563"/>
      <c r="K4511" s="3588"/>
      <c r="L4511" s="3589"/>
      <c r="M4511" s="1942" t="s">
        <v>1452</v>
      </c>
      <c r="N4511" s="1942" t="s">
        <v>1876</v>
      </c>
      <c r="O4511" s="554"/>
      <c r="P4511" s="554">
        <v>500</v>
      </c>
      <c r="Q4511" s="554"/>
      <c r="R4511" s="554">
        <v>500</v>
      </c>
      <c r="S4511" s="554"/>
      <c r="T4511" s="554">
        <v>500</v>
      </c>
      <c r="U4511" s="554"/>
      <c r="V4511" s="554">
        <v>500</v>
      </c>
      <c r="W4511" s="554"/>
      <c r="X4511" s="554"/>
      <c r="Y4511" s="554"/>
      <c r="Z4511" s="554"/>
      <c r="AA4511" s="974">
        <f>SUM(O4511:Z4511)</f>
        <v>2000</v>
      </c>
    </row>
    <row r="4512" spans="1:27" x14ac:dyDescent="0.2">
      <c r="A4512" s="3582" t="s">
        <v>1890</v>
      </c>
      <c r="B4512" s="3589">
        <v>2.1</v>
      </c>
      <c r="C4512" s="3589" t="s">
        <v>1891</v>
      </c>
      <c r="D4512" s="3563" t="s">
        <v>1863</v>
      </c>
      <c r="E4512" s="3563" t="s">
        <v>1857</v>
      </c>
      <c r="F4512" s="3563" t="s">
        <v>1858</v>
      </c>
      <c r="G4512" s="3563" t="s">
        <v>1859</v>
      </c>
      <c r="H4512" s="3563" t="s">
        <v>1892</v>
      </c>
      <c r="I4512" s="3589" t="s">
        <v>1893</v>
      </c>
      <c r="J4512" s="3563">
        <v>2</v>
      </c>
      <c r="K4512" s="3592">
        <f>+AA4513</f>
        <v>4056</v>
      </c>
      <c r="L4512" s="3593" t="s">
        <v>1866</v>
      </c>
      <c r="M4512" s="3565" t="s">
        <v>51</v>
      </c>
      <c r="N4512" s="3565"/>
      <c r="O4512" s="341">
        <v>1</v>
      </c>
      <c r="P4512" s="341"/>
      <c r="Q4512" s="341"/>
      <c r="R4512" s="341"/>
      <c r="S4512" s="341"/>
      <c r="T4512" s="341"/>
      <c r="U4512" s="341"/>
      <c r="V4512" s="341"/>
      <c r="W4512" s="970">
        <v>1</v>
      </c>
      <c r="X4512" s="970"/>
      <c r="Y4512" s="970"/>
      <c r="Z4512" s="970"/>
      <c r="AA4512" s="975">
        <v>2</v>
      </c>
    </row>
    <row r="4513" spans="1:27" x14ac:dyDescent="0.2">
      <c r="A4513" s="3582"/>
      <c r="B4513" s="3589"/>
      <c r="C4513" s="3589"/>
      <c r="D4513" s="3563"/>
      <c r="E4513" s="3563"/>
      <c r="F4513" s="3563"/>
      <c r="G4513" s="3563"/>
      <c r="H4513" s="3563"/>
      <c r="I4513" s="3589"/>
      <c r="J4513" s="3563"/>
      <c r="K4513" s="3592"/>
      <c r="L4513" s="3593"/>
      <c r="M4513" s="3565" t="s">
        <v>111</v>
      </c>
      <c r="N4513" s="3565"/>
      <c r="O4513" s="341">
        <f>SUM(O4514:O4515)</f>
        <v>286</v>
      </c>
      <c r="P4513" s="341">
        <f t="shared" ref="P4513:Z4513" si="730">SUM(P4514:P4515)</f>
        <v>0</v>
      </c>
      <c r="Q4513" s="341">
        <f t="shared" si="730"/>
        <v>0</v>
      </c>
      <c r="R4513" s="341">
        <f t="shared" si="730"/>
        <v>0</v>
      </c>
      <c r="S4513" s="341">
        <f t="shared" si="730"/>
        <v>0</v>
      </c>
      <c r="T4513" s="341">
        <f t="shared" si="730"/>
        <v>0</v>
      </c>
      <c r="U4513" s="341">
        <f t="shared" si="730"/>
        <v>0</v>
      </c>
      <c r="V4513" s="341">
        <f t="shared" si="730"/>
        <v>0</v>
      </c>
      <c r="W4513" s="341">
        <f t="shared" si="730"/>
        <v>3770</v>
      </c>
      <c r="X4513" s="341">
        <f t="shared" si="730"/>
        <v>0</v>
      </c>
      <c r="Y4513" s="341">
        <f t="shared" si="730"/>
        <v>0</v>
      </c>
      <c r="Z4513" s="341">
        <f t="shared" si="730"/>
        <v>0</v>
      </c>
      <c r="AA4513" s="2241">
        <f>SUM(O4513:Z4513)</f>
        <v>4056</v>
      </c>
    </row>
    <row r="4514" spans="1:27" x14ac:dyDescent="0.2">
      <c r="A4514" s="3582"/>
      <c r="B4514" s="3589"/>
      <c r="C4514" s="3589"/>
      <c r="D4514" s="3563"/>
      <c r="E4514" s="3563"/>
      <c r="F4514" s="3563"/>
      <c r="G4514" s="3563"/>
      <c r="H4514" s="3563"/>
      <c r="I4514" s="3589"/>
      <c r="J4514" s="3563"/>
      <c r="K4514" s="3592"/>
      <c r="L4514" s="3593"/>
      <c r="M4514" s="1942" t="s">
        <v>1452</v>
      </c>
      <c r="N4514" s="1942" t="s">
        <v>1876</v>
      </c>
      <c r="O4514" s="356">
        <v>286</v>
      </c>
      <c r="P4514" s="356"/>
      <c r="Q4514" s="356"/>
      <c r="R4514" s="356"/>
      <c r="S4514" s="356"/>
      <c r="T4514" s="356"/>
      <c r="U4514" s="356"/>
      <c r="V4514" s="356"/>
      <c r="W4514" s="554">
        <v>3120</v>
      </c>
      <c r="X4514" s="554"/>
      <c r="Y4514" s="554"/>
      <c r="Z4514" s="554"/>
      <c r="AA4514" s="974">
        <f>SUM(O4514:Z4514)</f>
        <v>3406</v>
      </c>
    </row>
    <row r="4515" spans="1:27" ht="22.5" x14ac:dyDescent="0.2">
      <c r="A4515" s="3582"/>
      <c r="B4515" s="3589"/>
      <c r="C4515" s="3589"/>
      <c r="D4515" s="3563"/>
      <c r="E4515" s="3563"/>
      <c r="F4515" s="3563"/>
      <c r="G4515" s="3563"/>
      <c r="H4515" s="3563"/>
      <c r="I4515" s="3589"/>
      <c r="J4515" s="3563"/>
      <c r="K4515" s="3592"/>
      <c r="L4515" s="3593"/>
      <c r="M4515" s="1942" t="s">
        <v>200</v>
      </c>
      <c r="N4515" s="1942" t="s">
        <v>1509</v>
      </c>
      <c r="O4515" s="554"/>
      <c r="P4515" s="554"/>
      <c r="Q4515" s="554"/>
      <c r="R4515" s="554"/>
      <c r="S4515" s="554"/>
      <c r="T4515" s="554"/>
      <c r="U4515" s="554"/>
      <c r="V4515" s="554"/>
      <c r="W4515" s="554">
        <v>650</v>
      </c>
      <c r="X4515" s="554"/>
      <c r="Y4515" s="554"/>
      <c r="Z4515" s="554"/>
      <c r="AA4515" s="974">
        <f>SUM(O4515:Z4515)</f>
        <v>650</v>
      </c>
    </row>
    <row r="4516" spans="1:27" x14ac:dyDescent="0.2">
      <c r="A4516" s="3582"/>
      <c r="B4516" s="3589">
        <v>2.2000000000000002</v>
      </c>
      <c r="C4516" s="3594" t="s">
        <v>1895</v>
      </c>
      <c r="D4516" s="3563" t="s">
        <v>1863</v>
      </c>
      <c r="E4516" s="3563" t="s">
        <v>1857</v>
      </c>
      <c r="F4516" s="3563" t="s">
        <v>1858</v>
      </c>
      <c r="G4516" s="3563" t="s">
        <v>1859</v>
      </c>
      <c r="H4516" s="3563" t="s">
        <v>1896</v>
      </c>
      <c r="I4516" s="3589" t="s">
        <v>1860</v>
      </c>
      <c r="J4516" s="3563">
        <v>3</v>
      </c>
      <c r="K4516" s="3595">
        <f>+AA4517</f>
        <v>1093.8499999999999</v>
      </c>
      <c r="L4516" s="3593" t="s">
        <v>1866</v>
      </c>
      <c r="M4516" s="3565" t="s">
        <v>51</v>
      </c>
      <c r="N4516" s="3565"/>
      <c r="O4516" s="970"/>
      <c r="P4516" s="970">
        <v>1</v>
      </c>
      <c r="Q4516" s="970"/>
      <c r="R4516" s="970"/>
      <c r="S4516" s="970">
        <v>1</v>
      </c>
      <c r="T4516" s="970"/>
      <c r="U4516" s="970"/>
      <c r="V4516" s="970"/>
      <c r="W4516" s="970"/>
      <c r="X4516" s="970">
        <v>1</v>
      </c>
      <c r="Y4516" s="970"/>
      <c r="Z4516" s="970"/>
      <c r="AA4516" s="975">
        <v>3</v>
      </c>
    </row>
    <row r="4517" spans="1:27" x14ac:dyDescent="0.2">
      <c r="A4517" s="3582"/>
      <c r="B4517" s="3589"/>
      <c r="C4517" s="3594"/>
      <c r="D4517" s="3563"/>
      <c r="E4517" s="3563"/>
      <c r="F4517" s="3563"/>
      <c r="G4517" s="3563"/>
      <c r="H4517" s="3563"/>
      <c r="I4517" s="3589"/>
      <c r="J4517" s="3563"/>
      <c r="K4517" s="3595"/>
      <c r="L4517" s="3593"/>
      <c r="M4517" s="3565" t="s">
        <v>111</v>
      </c>
      <c r="N4517" s="3565"/>
      <c r="O4517" s="970">
        <f>SUM(O4518:O4521)</f>
        <v>0</v>
      </c>
      <c r="P4517" s="970">
        <f t="shared" ref="P4517:AA4517" si="731">SUM(P4518:P4521)</f>
        <v>255</v>
      </c>
      <c r="Q4517" s="970">
        <f t="shared" si="731"/>
        <v>0</v>
      </c>
      <c r="R4517" s="970">
        <f t="shared" si="731"/>
        <v>0</v>
      </c>
      <c r="S4517" s="970">
        <f t="shared" si="731"/>
        <v>451.35</v>
      </c>
      <c r="T4517" s="970">
        <f t="shared" si="731"/>
        <v>0</v>
      </c>
      <c r="U4517" s="970">
        <f t="shared" si="731"/>
        <v>0</v>
      </c>
      <c r="V4517" s="970">
        <f t="shared" si="731"/>
        <v>0</v>
      </c>
      <c r="W4517" s="970">
        <f t="shared" si="731"/>
        <v>0</v>
      </c>
      <c r="X4517" s="970">
        <f t="shared" si="731"/>
        <v>387.5</v>
      </c>
      <c r="Y4517" s="970">
        <f t="shared" si="731"/>
        <v>0</v>
      </c>
      <c r="Z4517" s="970">
        <f t="shared" si="731"/>
        <v>0</v>
      </c>
      <c r="AA4517" s="975">
        <f t="shared" si="731"/>
        <v>1093.8499999999999</v>
      </c>
    </row>
    <row r="4518" spans="1:27" ht="22.5" x14ac:dyDescent="0.2">
      <c r="A4518" s="3582"/>
      <c r="B4518" s="3589"/>
      <c r="C4518" s="3594"/>
      <c r="D4518" s="3563"/>
      <c r="E4518" s="3563"/>
      <c r="F4518" s="3563"/>
      <c r="G4518" s="3563"/>
      <c r="H4518" s="3563"/>
      <c r="I4518" s="3589"/>
      <c r="J4518" s="3563"/>
      <c r="K4518" s="3595"/>
      <c r="L4518" s="3593"/>
      <c r="M4518" s="1942" t="s">
        <v>194</v>
      </c>
      <c r="N4518" s="1942" t="s">
        <v>1368</v>
      </c>
      <c r="O4518" s="554"/>
      <c r="P4518" s="554"/>
      <c r="Q4518" s="554"/>
      <c r="R4518" s="554"/>
      <c r="S4518" s="554">
        <v>140</v>
      </c>
      <c r="T4518" s="554"/>
      <c r="U4518" s="554"/>
      <c r="V4518" s="554"/>
      <c r="W4518" s="554"/>
      <c r="X4518" s="554">
        <v>140</v>
      </c>
      <c r="Y4518" s="554"/>
      <c r="Z4518" s="554"/>
      <c r="AA4518" s="974">
        <f>SUM(O4518:Z4518)</f>
        <v>280</v>
      </c>
    </row>
    <row r="4519" spans="1:27" x14ac:dyDescent="0.2">
      <c r="A4519" s="3582"/>
      <c r="B4519" s="3589"/>
      <c r="C4519" s="3594"/>
      <c r="D4519" s="3563"/>
      <c r="E4519" s="3563"/>
      <c r="F4519" s="3563"/>
      <c r="G4519" s="3563"/>
      <c r="H4519" s="3563"/>
      <c r="I4519" s="3589"/>
      <c r="J4519" s="3563"/>
      <c r="K4519" s="3595"/>
      <c r="L4519" s="3593"/>
      <c r="M4519" s="1942" t="s">
        <v>1452</v>
      </c>
      <c r="N4519" s="1942" t="s">
        <v>3176</v>
      </c>
      <c r="O4519" s="554"/>
      <c r="P4519" s="554">
        <v>180</v>
      </c>
      <c r="Q4519" s="554"/>
      <c r="R4519" s="554"/>
      <c r="S4519" s="554">
        <v>161.35</v>
      </c>
      <c r="T4519" s="554"/>
      <c r="U4519" s="554"/>
      <c r="V4519" s="554"/>
      <c r="W4519" s="554"/>
      <c r="X4519" s="554">
        <v>90</v>
      </c>
      <c r="Y4519" s="554"/>
      <c r="Z4519" s="554"/>
      <c r="AA4519" s="974">
        <f t="shared" ref="AA4519:AA4521" si="732">SUM(O4519:Z4519)</f>
        <v>431.35</v>
      </c>
    </row>
    <row r="4520" spans="1:27" x14ac:dyDescent="0.2">
      <c r="A4520" s="3582"/>
      <c r="B4520" s="3589"/>
      <c r="C4520" s="3594"/>
      <c r="D4520" s="3563"/>
      <c r="E4520" s="3563"/>
      <c r="F4520" s="3563"/>
      <c r="G4520" s="3563"/>
      <c r="H4520" s="3563"/>
      <c r="I4520" s="3589"/>
      <c r="J4520" s="3563"/>
      <c r="K4520" s="3595"/>
      <c r="L4520" s="3593"/>
      <c r="M4520" s="1942" t="s">
        <v>541</v>
      </c>
      <c r="N4520" s="1942" t="s">
        <v>1881</v>
      </c>
      <c r="O4520" s="554"/>
      <c r="P4520" s="554"/>
      <c r="Q4520" s="554"/>
      <c r="R4520" s="554"/>
      <c r="S4520" s="554">
        <v>100</v>
      </c>
      <c r="T4520" s="554"/>
      <c r="U4520" s="554"/>
      <c r="V4520" s="554"/>
      <c r="W4520" s="554"/>
      <c r="X4520" s="554">
        <v>120</v>
      </c>
      <c r="Y4520" s="554"/>
      <c r="Z4520" s="554"/>
      <c r="AA4520" s="974">
        <f t="shared" si="732"/>
        <v>220</v>
      </c>
    </row>
    <row r="4521" spans="1:27" ht="22.5" x14ac:dyDescent="0.2">
      <c r="A4521" s="3582"/>
      <c r="B4521" s="3589"/>
      <c r="C4521" s="3594"/>
      <c r="D4521" s="3563"/>
      <c r="E4521" s="3563"/>
      <c r="F4521" s="3563"/>
      <c r="G4521" s="3563"/>
      <c r="H4521" s="3563"/>
      <c r="I4521" s="3589"/>
      <c r="J4521" s="3563"/>
      <c r="K4521" s="3595"/>
      <c r="L4521" s="3593"/>
      <c r="M4521" s="1942" t="s">
        <v>200</v>
      </c>
      <c r="N4521" s="1942" t="s">
        <v>1509</v>
      </c>
      <c r="O4521" s="554"/>
      <c r="P4521" s="554">
        <v>75</v>
      </c>
      <c r="Q4521" s="554"/>
      <c r="R4521" s="554"/>
      <c r="S4521" s="554">
        <v>50</v>
      </c>
      <c r="T4521" s="554"/>
      <c r="U4521" s="554"/>
      <c r="V4521" s="554"/>
      <c r="W4521" s="554"/>
      <c r="X4521" s="554">
        <v>37.5</v>
      </c>
      <c r="Y4521" s="554"/>
      <c r="Z4521" s="554"/>
      <c r="AA4521" s="974">
        <f t="shared" si="732"/>
        <v>162.5</v>
      </c>
    </row>
    <row r="4522" spans="1:27" x14ac:dyDescent="0.2">
      <c r="A4522" s="3582"/>
      <c r="B4522" s="3589">
        <v>2.2999999999999998</v>
      </c>
      <c r="C4522" s="3594" t="s">
        <v>1897</v>
      </c>
      <c r="D4522" s="3563" t="s">
        <v>1863</v>
      </c>
      <c r="E4522" s="3563" t="s">
        <v>1857</v>
      </c>
      <c r="F4522" s="3563" t="s">
        <v>1858</v>
      </c>
      <c r="G4522" s="3563" t="s">
        <v>1859</v>
      </c>
      <c r="H4522" s="3563" t="s">
        <v>1898</v>
      </c>
      <c r="I4522" s="3589" t="s">
        <v>1899</v>
      </c>
      <c r="J4522" s="3563">
        <v>1</v>
      </c>
      <c r="K4522" s="3592">
        <f>+AA4523</f>
        <v>1300</v>
      </c>
      <c r="L4522" s="3593" t="s">
        <v>1866</v>
      </c>
      <c r="M4522" s="3565" t="s">
        <v>51</v>
      </c>
      <c r="N4522" s="3565"/>
      <c r="O4522" s="970">
        <v>1</v>
      </c>
      <c r="P4522" s="970"/>
      <c r="Q4522" s="970"/>
      <c r="R4522" s="970"/>
      <c r="S4522" s="970"/>
      <c r="T4522" s="970"/>
      <c r="U4522" s="970"/>
      <c r="V4522" s="970"/>
      <c r="W4522" s="970"/>
      <c r="X4522" s="970"/>
      <c r="Y4522" s="970"/>
      <c r="Z4522" s="970"/>
      <c r="AA4522" s="975">
        <v>1</v>
      </c>
    </row>
    <row r="4523" spans="1:27" x14ac:dyDescent="0.2">
      <c r="A4523" s="3582"/>
      <c r="B4523" s="3589"/>
      <c r="C4523" s="3594"/>
      <c r="D4523" s="3563"/>
      <c r="E4523" s="3563"/>
      <c r="F4523" s="3563"/>
      <c r="G4523" s="3563"/>
      <c r="H4523" s="3563"/>
      <c r="I4523" s="3589"/>
      <c r="J4523" s="3563"/>
      <c r="K4523" s="3592"/>
      <c r="L4523" s="3593"/>
      <c r="M4523" s="3565" t="s">
        <v>111</v>
      </c>
      <c r="N4523" s="3565"/>
      <c r="O4523" s="970">
        <f>SUM(O4524:O4525)</f>
        <v>0</v>
      </c>
      <c r="P4523" s="970">
        <f t="shared" ref="P4523:AA4523" si="733">SUM(P4524:P4525)</f>
        <v>100</v>
      </c>
      <c r="Q4523" s="970">
        <f t="shared" si="733"/>
        <v>100</v>
      </c>
      <c r="R4523" s="970">
        <f t="shared" si="733"/>
        <v>0</v>
      </c>
      <c r="S4523" s="970">
        <f t="shared" si="733"/>
        <v>1100</v>
      </c>
      <c r="T4523" s="970">
        <f t="shared" si="733"/>
        <v>0</v>
      </c>
      <c r="U4523" s="970">
        <f t="shared" si="733"/>
        <v>0</v>
      </c>
      <c r="V4523" s="970">
        <f t="shared" si="733"/>
        <v>0</v>
      </c>
      <c r="W4523" s="970">
        <f t="shared" si="733"/>
        <v>0</v>
      </c>
      <c r="X4523" s="970">
        <f t="shared" si="733"/>
        <v>0</v>
      </c>
      <c r="Y4523" s="970">
        <f t="shared" si="733"/>
        <v>0</v>
      </c>
      <c r="Z4523" s="970">
        <f t="shared" si="733"/>
        <v>0</v>
      </c>
      <c r="AA4523" s="975">
        <f t="shared" si="733"/>
        <v>1300</v>
      </c>
    </row>
    <row r="4524" spans="1:27" x14ac:dyDescent="0.2">
      <c r="A4524" s="3582"/>
      <c r="B4524" s="3589"/>
      <c r="C4524" s="3594"/>
      <c r="D4524" s="3563"/>
      <c r="E4524" s="3563"/>
      <c r="F4524" s="3563"/>
      <c r="G4524" s="3563"/>
      <c r="H4524" s="3563"/>
      <c r="I4524" s="3589"/>
      <c r="J4524" s="3563"/>
      <c r="K4524" s="3592"/>
      <c r="L4524" s="3593"/>
      <c r="M4524" s="1942" t="s">
        <v>1452</v>
      </c>
      <c r="N4524" s="1942" t="s">
        <v>3176</v>
      </c>
      <c r="O4524" s="554"/>
      <c r="P4524" s="554">
        <v>100</v>
      </c>
      <c r="Q4524" s="554">
        <v>100</v>
      </c>
      <c r="R4524" s="554"/>
      <c r="S4524" s="554">
        <v>100</v>
      </c>
      <c r="T4524" s="554"/>
      <c r="U4524" s="554"/>
      <c r="V4524" s="554"/>
      <c r="W4524" s="554"/>
      <c r="X4524" s="554"/>
      <c r="Y4524" s="554"/>
      <c r="Z4524" s="554"/>
      <c r="AA4524" s="974">
        <f>SUM(O4524:Z4524)</f>
        <v>300</v>
      </c>
    </row>
    <row r="4525" spans="1:27" ht="22.5" x14ac:dyDescent="0.2">
      <c r="A4525" s="3582"/>
      <c r="B4525" s="3589"/>
      <c r="C4525" s="3594"/>
      <c r="D4525" s="3563"/>
      <c r="E4525" s="3563"/>
      <c r="F4525" s="3563"/>
      <c r="G4525" s="3563"/>
      <c r="H4525" s="3563"/>
      <c r="I4525" s="3589"/>
      <c r="J4525" s="3563"/>
      <c r="K4525" s="3592"/>
      <c r="L4525" s="3593"/>
      <c r="M4525" s="1942" t="s">
        <v>200</v>
      </c>
      <c r="N4525" s="1942" t="s">
        <v>1509</v>
      </c>
      <c r="O4525" s="554"/>
      <c r="P4525" s="554"/>
      <c r="Q4525" s="554"/>
      <c r="R4525" s="554"/>
      <c r="S4525" s="554">
        <v>1000</v>
      </c>
      <c r="T4525" s="554"/>
      <c r="U4525" s="554"/>
      <c r="V4525" s="554"/>
      <c r="W4525" s="554"/>
      <c r="X4525" s="554"/>
      <c r="Y4525" s="554"/>
      <c r="Z4525" s="554"/>
      <c r="AA4525" s="974">
        <f>SUM(O4525:Z4525)</f>
        <v>1000</v>
      </c>
    </row>
    <row r="4526" spans="1:27" x14ac:dyDescent="0.2">
      <c r="A4526" s="3582"/>
      <c r="B4526" s="3589">
        <v>2.4</v>
      </c>
      <c r="C4526" s="3594" t="s">
        <v>1901</v>
      </c>
      <c r="D4526" s="3563" t="s">
        <v>1863</v>
      </c>
      <c r="E4526" s="3563" t="s">
        <v>1857</v>
      </c>
      <c r="F4526" s="3563" t="s">
        <v>1858</v>
      </c>
      <c r="G4526" s="3563" t="s">
        <v>1859</v>
      </c>
      <c r="H4526" s="3563" t="s">
        <v>1902</v>
      </c>
      <c r="I4526" s="3589" t="s">
        <v>1903</v>
      </c>
      <c r="J4526" s="3563">
        <v>130</v>
      </c>
      <c r="K4526" s="3592">
        <f>+AA4527</f>
        <v>2398</v>
      </c>
      <c r="L4526" s="3593" t="s">
        <v>1866</v>
      </c>
      <c r="M4526" s="3565" t="s">
        <v>51</v>
      </c>
      <c r="N4526" s="3565"/>
      <c r="O4526" s="970">
        <v>11</v>
      </c>
      <c r="P4526" s="970">
        <v>11</v>
      </c>
      <c r="Q4526" s="970">
        <v>11</v>
      </c>
      <c r="R4526" s="970">
        <v>11</v>
      </c>
      <c r="S4526" s="970">
        <v>11</v>
      </c>
      <c r="T4526" s="970">
        <v>10</v>
      </c>
      <c r="U4526" s="970">
        <v>11</v>
      </c>
      <c r="V4526" s="970">
        <v>10</v>
      </c>
      <c r="W4526" s="970">
        <v>11</v>
      </c>
      <c r="X4526" s="970">
        <v>11</v>
      </c>
      <c r="Y4526" s="970">
        <v>10</v>
      </c>
      <c r="Z4526" s="970">
        <v>10</v>
      </c>
      <c r="AA4526" s="975">
        <v>130</v>
      </c>
    </row>
    <row r="4527" spans="1:27" x14ac:dyDescent="0.2">
      <c r="A4527" s="3582"/>
      <c r="B4527" s="3589"/>
      <c r="C4527" s="3594"/>
      <c r="D4527" s="3563"/>
      <c r="E4527" s="3563"/>
      <c r="F4527" s="3563"/>
      <c r="G4527" s="3563"/>
      <c r="H4527" s="3563"/>
      <c r="I4527" s="3589"/>
      <c r="J4527" s="3563"/>
      <c r="K4527" s="3592"/>
      <c r="L4527" s="3593"/>
      <c r="M4527" s="3565" t="s">
        <v>111</v>
      </c>
      <c r="N4527" s="3565"/>
      <c r="O4527" s="970">
        <f>SUM(O4528)</f>
        <v>200</v>
      </c>
      <c r="P4527" s="970">
        <f t="shared" ref="P4527:Z4527" si="734">SUM(P4528)</f>
        <v>200</v>
      </c>
      <c r="Q4527" s="970">
        <f t="shared" si="734"/>
        <v>200</v>
      </c>
      <c r="R4527" s="970">
        <f t="shared" si="734"/>
        <v>200</v>
      </c>
      <c r="S4527" s="970">
        <f t="shared" si="734"/>
        <v>200</v>
      </c>
      <c r="T4527" s="970">
        <f t="shared" si="734"/>
        <v>199</v>
      </c>
      <c r="U4527" s="970">
        <f t="shared" si="734"/>
        <v>200</v>
      </c>
      <c r="V4527" s="970">
        <f t="shared" si="734"/>
        <v>199</v>
      </c>
      <c r="W4527" s="970">
        <f t="shared" si="734"/>
        <v>200</v>
      </c>
      <c r="X4527" s="970">
        <f t="shared" si="734"/>
        <v>200</v>
      </c>
      <c r="Y4527" s="970">
        <f t="shared" si="734"/>
        <v>200</v>
      </c>
      <c r="Z4527" s="970">
        <f t="shared" si="734"/>
        <v>200</v>
      </c>
      <c r="AA4527" s="975">
        <f>SUM(AA4528)</f>
        <v>2398</v>
      </c>
    </row>
    <row r="4528" spans="1:27" x14ac:dyDescent="0.2">
      <c r="A4528" s="3582"/>
      <c r="B4528" s="3589"/>
      <c r="C4528" s="3594"/>
      <c r="D4528" s="3563"/>
      <c r="E4528" s="3563"/>
      <c r="F4528" s="3563"/>
      <c r="G4528" s="3563"/>
      <c r="H4528" s="3563"/>
      <c r="I4528" s="3589"/>
      <c r="J4528" s="3563"/>
      <c r="K4528" s="3592"/>
      <c r="L4528" s="3593"/>
      <c r="M4528" s="1942" t="s">
        <v>1452</v>
      </c>
      <c r="N4528" s="1942" t="s">
        <v>1876</v>
      </c>
      <c r="O4528" s="554">
        <v>200</v>
      </c>
      <c r="P4528" s="554">
        <v>200</v>
      </c>
      <c r="Q4528" s="554">
        <v>200</v>
      </c>
      <c r="R4528" s="554">
        <v>200</v>
      </c>
      <c r="S4528" s="554">
        <v>200</v>
      </c>
      <c r="T4528" s="554">
        <v>199</v>
      </c>
      <c r="U4528" s="554">
        <v>200</v>
      </c>
      <c r="V4528" s="554">
        <v>199</v>
      </c>
      <c r="W4528" s="554">
        <v>200</v>
      </c>
      <c r="X4528" s="554">
        <v>200</v>
      </c>
      <c r="Y4528" s="554">
        <v>200</v>
      </c>
      <c r="Z4528" s="554">
        <v>200</v>
      </c>
      <c r="AA4528" s="974">
        <f>SUM(O4528:Z4528)</f>
        <v>2398</v>
      </c>
    </row>
    <row r="4529" spans="1:27" x14ac:dyDescent="0.2">
      <c r="A4529" s="3582" t="s">
        <v>1904</v>
      </c>
      <c r="B4529" s="3589">
        <v>3.1</v>
      </c>
      <c r="C4529" s="3594" t="s">
        <v>1905</v>
      </c>
      <c r="D4529" s="3563" t="s">
        <v>1863</v>
      </c>
      <c r="E4529" s="3563" t="s">
        <v>1857</v>
      </c>
      <c r="F4529" s="3563" t="s">
        <v>1858</v>
      </c>
      <c r="G4529" s="3563" t="s">
        <v>1859</v>
      </c>
      <c r="H4529" s="3563" t="s">
        <v>1906</v>
      </c>
      <c r="I4529" s="3589" t="s">
        <v>1907</v>
      </c>
      <c r="J4529" s="3563">
        <v>2</v>
      </c>
      <c r="K4529" s="3592">
        <f>+AA4530</f>
        <v>850</v>
      </c>
      <c r="L4529" s="3593" t="s">
        <v>1866</v>
      </c>
      <c r="M4529" s="3565" t="s">
        <v>51</v>
      </c>
      <c r="N4529" s="3565"/>
      <c r="O4529" s="341"/>
      <c r="P4529" s="341"/>
      <c r="Q4529" s="970">
        <v>1</v>
      </c>
      <c r="R4529" s="970"/>
      <c r="S4529" s="970"/>
      <c r="T4529" s="970"/>
      <c r="U4529" s="970"/>
      <c r="V4529" s="970"/>
      <c r="W4529" s="970">
        <v>1</v>
      </c>
      <c r="X4529" s="970"/>
      <c r="Y4529" s="970"/>
      <c r="Z4529" s="970"/>
      <c r="AA4529" s="975">
        <v>2</v>
      </c>
    </row>
    <row r="4530" spans="1:27" x14ac:dyDescent="0.2">
      <c r="A4530" s="3582"/>
      <c r="B4530" s="3589"/>
      <c r="C4530" s="3594"/>
      <c r="D4530" s="3563"/>
      <c r="E4530" s="3563"/>
      <c r="F4530" s="3563"/>
      <c r="G4530" s="3563"/>
      <c r="H4530" s="3563"/>
      <c r="I4530" s="3589"/>
      <c r="J4530" s="3563"/>
      <c r="K4530" s="3592"/>
      <c r="L4530" s="3593"/>
      <c r="M4530" s="3565" t="s">
        <v>111</v>
      </c>
      <c r="N4530" s="3565"/>
      <c r="O4530" s="341">
        <f>SUM(O4531:O4532)</f>
        <v>0</v>
      </c>
      <c r="P4530" s="341">
        <f t="shared" ref="P4530:AA4530" si="735">SUM(P4531:P4532)</f>
        <v>0</v>
      </c>
      <c r="Q4530" s="341">
        <f t="shared" si="735"/>
        <v>425</v>
      </c>
      <c r="R4530" s="341">
        <f t="shared" si="735"/>
        <v>0</v>
      </c>
      <c r="S4530" s="341">
        <f t="shared" si="735"/>
        <v>0</v>
      </c>
      <c r="T4530" s="341">
        <f t="shared" si="735"/>
        <v>0</v>
      </c>
      <c r="U4530" s="341">
        <f t="shared" si="735"/>
        <v>0</v>
      </c>
      <c r="V4530" s="341">
        <f t="shared" si="735"/>
        <v>0</v>
      </c>
      <c r="W4530" s="341">
        <f t="shared" si="735"/>
        <v>425</v>
      </c>
      <c r="X4530" s="341">
        <f t="shared" si="735"/>
        <v>0</v>
      </c>
      <c r="Y4530" s="341">
        <f t="shared" si="735"/>
        <v>0</v>
      </c>
      <c r="Z4530" s="341">
        <f t="shared" si="735"/>
        <v>0</v>
      </c>
      <c r="AA4530" s="2241">
        <f t="shared" si="735"/>
        <v>850</v>
      </c>
    </row>
    <row r="4531" spans="1:27" x14ac:dyDescent="0.2">
      <c r="A4531" s="3582"/>
      <c r="B4531" s="3589"/>
      <c r="C4531" s="3594"/>
      <c r="D4531" s="3563"/>
      <c r="E4531" s="3563"/>
      <c r="F4531" s="3563"/>
      <c r="G4531" s="3563"/>
      <c r="H4531" s="3563"/>
      <c r="I4531" s="3589"/>
      <c r="J4531" s="3563"/>
      <c r="K4531" s="3592"/>
      <c r="L4531" s="3593"/>
      <c r="M4531" s="1942" t="s">
        <v>1452</v>
      </c>
      <c r="N4531" s="1942" t="s">
        <v>1876</v>
      </c>
      <c r="O4531" s="356"/>
      <c r="P4531" s="356"/>
      <c r="Q4531" s="554">
        <v>300</v>
      </c>
      <c r="R4531" s="554"/>
      <c r="S4531" s="554"/>
      <c r="T4531" s="554"/>
      <c r="U4531" s="554"/>
      <c r="V4531" s="554"/>
      <c r="W4531" s="554">
        <v>300</v>
      </c>
      <c r="X4531" s="554"/>
      <c r="Y4531" s="554"/>
      <c r="Z4531" s="554"/>
      <c r="AA4531" s="974">
        <f>SUM(O4531:Z4531)</f>
        <v>600</v>
      </c>
    </row>
    <row r="4532" spans="1:27" ht="22.5" x14ac:dyDescent="0.2">
      <c r="A4532" s="3582"/>
      <c r="B4532" s="3589"/>
      <c r="C4532" s="3594"/>
      <c r="D4532" s="3563"/>
      <c r="E4532" s="3563"/>
      <c r="F4532" s="3563"/>
      <c r="G4532" s="3563"/>
      <c r="H4532" s="3563"/>
      <c r="I4532" s="3589"/>
      <c r="J4532" s="3563"/>
      <c r="K4532" s="3592"/>
      <c r="L4532" s="3593"/>
      <c r="M4532" s="1942" t="s">
        <v>200</v>
      </c>
      <c r="N4532" s="1942" t="s">
        <v>1509</v>
      </c>
      <c r="O4532" s="554"/>
      <c r="P4532" s="554"/>
      <c r="Q4532" s="554">
        <v>125</v>
      </c>
      <c r="R4532" s="554"/>
      <c r="S4532" s="554"/>
      <c r="T4532" s="554"/>
      <c r="U4532" s="554"/>
      <c r="V4532" s="554"/>
      <c r="W4532" s="554">
        <v>125</v>
      </c>
      <c r="X4532" s="554"/>
      <c r="Y4532" s="554"/>
      <c r="Z4532" s="554"/>
      <c r="AA4532" s="974">
        <f>SUM(O4532:Z4532)</f>
        <v>250</v>
      </c>
    </row>
    <row r="4533" spans="1:27" x14ac:dyDescent="0.2">
      <c r="A4533" s="3582"/>
      <c r="B4533" s="3589">
        <v>3.2</v>
      </c>
      <c r="C4533" s="3594" t="s">
        <v>1908</v>
      </c>
      <c r="D4533" s="3563" t="s">
        <v>1863</v>
      </c>
      <c r="E4533" s="3563" t="s">
        <v>1857</v>
      </c>
      <c r="F4533" s="3563" t="s">
        <v>1858</v>
      </c>
      <c r="G4533" s="3563" t="s">
        <v>1859</v>
      </c>
      <c r="H4533" s="3563" t="s">
        <v>1909</v>
      </c>
      <c r="I4533" s="3589" t="s">
        <v>1910</v>
      </c>
      <c r="J4533" s="3563">
        <v>2</v>
      </c>
      <c r="K4533" s="3588">
        <f>+AA4534</f>
        <v>20750</v>
      </c>
      <c r="L4533" s="3593" t="s">
        <v>1866</v>
      </c>
      <c r="M4533" s="3565" t="s">
        <v>51</v>
      </c>
      <c r="N4533" s="3565"/>
      <c r="O4533" s="970"/>
      <c r="P4533" s="970"/>
      <c r="Q4533" s="970">
        <v>1</v>
      </c>
      <c r="R4533" s="970"/>
      <c r="S4533" s="970"/>
      <c r="T4533" s="970"/>
      <c r="U4533" s="970"/>
      <c r="V4533" s="970"/>
      <c r="W4533" s="970"/>
      <c r="X4533" s="970"/>
      <c r="Y4533" s="970">
        <v>1</v>
      </c>
      <c r="Z4533" s="970"/>
      <c r="AA4533" s="975">
        <f>SUM(O4533:Z4533)</f>
        <v>2</v>
      </c>
    </row>
    <row r="4534" spans="1:27" x14ac:dyDescent="0.2">
      <c r="A4534" s="3582"/>
      <c r="B4534" s="3589"/>
      <c r="C4534" s="3594"/>
      <c r="D4534" s="3563"/>
      <c r="E4534" s="3563"/>
      <c r="F4534" s="3563"/>
      <c r="G4534" s="3563"/>
      <c r="H4534" s="3563"/>
      <c r="I4534" s="3589"/>
      <c r="J4534" s="3563"/>
      <c r="K4534" s="3588"/>
      <c r="L4534" s="3593"/>
      <c r="M4534" s="3565" t="s">
        <v>111</v>
      </c>
      <c r="N4534" s="3565"/>
      <c r="O4534" s="970">
        <f>SUM(O4535:O4537)</f>
        <v>0</v>
      </c>
      <c r="P4534" s="970">
        <f t="shared" ref="P4534:AA4534" si="736">SUM(P4535:P4537)</f>
        <v>0</v>
      </c>
      <c r="Q4534" s="970">
        <f t="shared" si="736"/>
        <v>20500</v>
      </c>
      <c r="R4534" s="970">
        <f t="shared" si="736"/>
        <v>0</v>
      </c>
      <c r="S4534" s="970">
        <f t="shared" si="736"/>
        <v>0</v>
      </c>
      <c r="T4534" s="970">
        <f t="shared" si="736"/>
        <v>0</v>
      </c>
      <c r="U4534" s="970">
        <f t="shared" si="736"/>
        <v>0</v>
      </c>
      <c r="V4534" s="970">
        <f t="shared" si="736"/>
        <v>0</v>
      </c>
      <c r="W4534" s="970">
        <f t="shared" si="736"/>
        <v>0</v>
      </c>
      <c r="X4534" s="970">
        <f t="shared" si="736"/>
        <v>0</v>
      </c>
      <c r="Y4534" s="970">
        <f t="shared" si="736"/>
        <v>250</v>
      </c>
      <c r="Z4534" s="970">
        <f t="shared" si="736"/>
        <v>0</v>
      </c>
      <c r="AA4534" s="975">
        <f t="shared" si="736"/>
        <v>20750</v>
      </c>
    </row>
    <row r="4535" spans="1:27" x14ac:dyDescent="0.2">
      <c r="A4535" s="3582"/>
      <c r="B4535" s="3589"/>
      <c r="C4535" s="3594"/>
      <c r="D4535" s="3563"/>
      <c r="E4535" s="3563"/>
      <c r="F4535" s="3563"/>
      <c r="G4535" s="3563"/>
      <c r="H4535" s="3563"/>
      <c r="I4535" s="3589"/>
      <c r="J4535" s="3563"/>
      <c r="K4535" s="3588"/>
      <c r="L4535" s="3593"/>
      <c r="M4535" s="1942" t="s">
        <v>1452</v>
      </c>
      <c r="N4535" s="1942" t="s">
        <v>1876</v>
      </c>
      <c r="O4535" s="554"/>
      <c r="P4535" s="554"/>
      <c r="Q4535" s="554">
        <v>12000</v>
      </c>
      <c r="R4535" s="554"/>
      <c r="S4535" s="554"/>
      <c r="T4535" s="554"/>
      <c r="U4535" s="554"/>
      <c r="V4535" s="554"/>
      <c r="W4535" s="554"/>
      <c r="X4535" s="554"/>
      <c r="Y4535" s="554">
        <v>250</v>
      </c>
      <c r="Z4535" s="554"/>
      <c r="AA4535" s="974">
        <f>SUM(O4535:Z4535)</f>
        <v>12250</v>
      </c>
    </row>
    <row r="4536" spans="1:27" ht="33.75" x14ac:dyDescent="0.2">
      <c r="A4536" s="3582"/>
      <c r="B4536" s="3589"/>
      <c r="C4536" s="3594"/>
      <c r="D4536" s="3563"/>
      <c r="E4536" s="3563"/>
      <c r="F4536" s="3563"/>
      <c r="G4536" s="3563"/>
      <c r="H4536" s="3563"/>
      <c r="I4536" s="3589"/>
      <c r="J4536" s="3563"/>
      <c r="K4536" s="3588"/>
      <c r="L4536" s="3593"/>
      <c r="M4536" s="1942">
        <v>231211</v>
      </c>
      <c r="N4536" s="1942" t="s">
        <v>3173</v>
      </c>
      <c r="O4536" s="554"/>
      <c r="P4536" s="554"/>
      <c r="Q4536" s="554">
        <v>6000</v>
      </c>
      <c r="R4536" s="554"/>
      <c r="S4536" s="554"/>
      <c r="T4536" s="554"/>
      <c r="U4536" s="554"/>
      <c r="V4536" s="554"/>
      <c r="W4536" s="554"/>
      <c r="X4536" s="554"/>
      <c r="Y4536" s="554"/>
      <c r="Z4536" s="554"/>
      <c r="AA4536" s="974">
        <f t="shared" ref="AA4536:AA4537" si="737">SUM(O4536:Z4536)</f>
        <v>6000</v>
      </c>
    </row>
    <row r="4537" spans="1:27" ht="22.5" x14ac:dyDescent="0.2">
      <c r="A4537" s="3582"/>
      <c r="B4537" s="3589"/>
      <c r="C4537" s="3594"/>
      <c r="D4537" s="3563"/>
      <c r="E4537" s="3563"/>
      <c r="F4537" s="3563"/>
      <c r="G4537" s="3563"/>
      <c r="H4537" s="3563"/>
      <c r="I4537" s="3589"/>
      <c r="J4537" s="3563"/>
      <c r="K4537" s="3588"/>
      <c r="L4537" s="3593"/>
      <c r="M4537" s="1942" t="s">
        <v>200</v>
      </c>
      <c r="N4537" s="1942" t="s">
        <v>1509</v>
      </c>
      <c r="O4537" s="554"/>
      <c r="P4537" s="554"/>
      <c r="Q4537" s="554">
        <v>2500</v>
      </c>
      <c r="R4537" s="554"/>
      <c r="S4537" s="554"/>
      <c r="T4537" s="554"/>
      <c r="U4537" s="554"/>
      <c r="V4537" s="554"/>
      <c r="W4537" s="554"/>
      <c r="X4537" s="554"/>
      <c r="Y4537" s="554"/>
      <c r="Z4537" s="554"/>
      <c r="AA4537" s="974">
        <f t="shared" si="737"/>
        <v>2500</v>
      </c>
    </row>
    <row r="4538" spans="1:27" x14ac:dyDescent="0.2">
      <c r="A4538" s="3582" t="s">
        <v>1912</v>
      </c>
      <c r="B4538" s="3589">
        <v>4.0999999999999996</v>
      </c>
      <c r="C4538" s="3594" t="s">
        <v>1913</v>
      </c>
      <c r="D4538" s="3563" t="s">
        <v>1863</v>
      </c>
      <c r="E4538" s="3563" t="s">
        <v>1857</v>
      </c>
      <c r="F4538" s="3563" t="s">
        <v>1858</v>
      </c>
      <c r="G4538" s="3563" t="s">
        <v>1859</v>
      </c>
      <c r="H4538" s="3563" t="s">
        <v>1914</v>
      </c>
      <c r="I4538" s="3563" t="s">
        <v>1915</v>
      </c>
      <c r="J4538" s="3563">
        <v>1</v>
      </c>
      <c r="K4538" s="3592">
        <f>+AA4539</f>
        <v>81</v>
      </c>
      <c r="L4538" s="3563" t="s">
        <v>1866</v>
      </c>
      <c r="M4538" s="3565" t="s">
        <v>51</v>
      </c>
      <c r="N4538" s="3565"/>
      <c r="O4538" s="341"/>
      <c r="P4538" s="341"/>
      <c r="Q4538" s="970"/>
      <c r="R4538" s="970"/>
      <c r="S4538" s="970"/>
      <c r="T4538" s="970"/>
      <c r="U4538" s="970"/>
      <c r="V4538" s="341"/>
      <c r="W4538" s="341"/>
      <c r="X4538" s="341"/>
      <c r="Y4538" s="341"/>
      <c r="Z4538" s="970">
        <v>1</v>
      </c>
      <c r="AA4538" s="975">
        <v>1</v>
      </c>
    </row>
    <row r="4539" spans="1:27" x14ac:dyDescent="0.2">
      <c r="A4539" s="3582"/>
      <c r="B4539" s="3589"/>
      <c r="C4539" s="3594"/>
      <c r="D4539" s="3563"/>
      <c r="E4539" s="3563"/>
      <c r="F4539" s="3563"/>
      <c r="G4539" s="3563"/>
      <c r="H4539" s="3563"/>
      <c r="I4539" s="3563"/>
      <c r="J4539" s="3563"/>
      <c r="K4539" s="3592"/>
      <c r="L4539" s="3563"/>
      <c r="M4539" s="3565" t="s">
        <v>111</v>
      </c>
      <c r="N4539" s="3565"/>
      <c r="O4539" s="970">
        <f>SUM('Eje economico'!O771)</f>
        <v>0</v>
      </c>
      <c r="P4539" s="970">
        <f>SUM('Eje economico'!P771)</f>
        <v>0</v>
      </c>
      <c r="Q4539" s="970">
        <f>SUM('Eje economico'!Q771)</f>
        <v>0</v>
      </c>
      <c r="R4539" s="970">
        <f>SUM('Eje economico'!R771)</f>
        <v>0</v>
      </c>
      <c r="S4539" s="970">
        <f>SUM('Eje economico'!S771)</f>
        <v>0</v>
      </c>
      <c r="T4539" s="970">
        <f>SUM('Eje economico'!T771)</f>
        <v>0</v>
      </c>
      <c r="U4539" s="970">
        <f>SUM('Eje economico'!U771)</f>
        <v>0</v>
      </c>
      <c r="V4539" s="970">
        <f>SUM('Eje economico'!V771)</f>
        <v>0</v>
      </c>
      <c r="W4539" s="970">
        <f>SUM('Eje economico'!W771)</f>
        <v>0</v>
      </c>
      <c r="X4539" s="970">
        <f>SUM('Eje economico'!X771)</f>
        <v>0</v>
      </c>
      <c r="Y4539" s="970">
        <f>SUM('Eje economico'!Y771)</f>
        <v>0</v>
      </c>
      <c r="Z4539" s="970">
        <f>SUM('Eje economico'!Z771)</f>
        <v>0</v>
      </c>
      <c r="AA4539" s="975">
        <f>+AA4540</f>
        <v>81</v>
      </c>
    </row>
    <row r="4540" spans="1:27" ht="22.5" x14ac:dyDescent="0.2">
      <c r="A4540" s="3582"/>
      <c r="B4540" s="3589"/>
      <c r="C4540" s="3594"/>
      <c r="D4540" s="3563"/>
      <c r="E4540" s="3563"/>
      <c r="F4540" s="3563"/>
      <c r="G4540" s="3563"/>
      <c r="H4540" s="3563"/>
      <c r="I4540" s="3563"/>
      <c r="J4540" s="3563"/>
      <c r="K4540" s="3592"/>
      <c r="L4540" s="3563"/>
      <c r="M4540" s="1942">
        <v>232231</v>
      </c>
      <c r="N4540" s="1942" t="s">
        <v>3174</v>
      </c>
      <c r="O4540" s="554">
        <v>81</v>
      </c>
      <c r="P4540" s="554"/>
      <c r="Q4540" s="554"/>
      <c r="R4540" s="554"/>
      <c r="S4540" s="554"/>
      <c r="T4540" s="554"/>
      <c r="U4540" s="554"/>
      <c r="V4540" s="554"/>
      <c r="W4540" s="554"/>
      <c r="X4540" s="554"/>
      <c r="Y4540" s="554"/>
      <c r="Z4540" s="554"/>
      <c r="AA4540" s="974">
        <f>SUM(O4540:Z4540)</f>
        <v>81</v>
      </c>
    </row>
    <row r="4541" spans="1:27" x14ac:dyDescent="0.2">
      <c r="A4541" s="3582"/>
      <c r="B4541" s="3589">
        <v>4.2</v>
      </c>
      <c r="C4541" s="3594" t="s">
        <v>1916</v>
      </c>
      <c r="D4541" s="3596" t="s">
        <v>1863</v>
      </c>
      <c r="E4541" s="3563" t="s">
        <v>1857</v>
      </c>
      <c r="F4541" s="3563" t="s">
        <v>1858</v>
      </c>
      <c r="G4541" s="3563" t="s">
        <v>1859</v>
      </c>
      <c r="H4541" s="3563" t="s">
        <v>1917</v>
      </c>
      <c r="I4541" s="3563" t="s">
        <v>1860</v>
      </c>
      <c r="J4541" s="3563">
        <v>13</v>
      </c>
      <c r="K4541" s="3588">
        <f>+AA4542</f>
        <v>81</v>
      </c>
      <c r="L4541" s="3563" t="s">
        <v>1866</v>
      </c>
      <c r="M4541" s="3565" t="s">
        <v>51</v>
      </c>
      <c r="N4541" s="3565"/>
      <c r="O4541" s="970">
        <v>13</v>
      </c>
      <c r="P4541" s="970"/>
      <c r="Q4541" s="970"/>
      <c r="R4541" s="970"/>
      <c r="S4541" s="970"/>
      <c r="T4541" s="970"/>
      <c r="U4541" s="970"/>
      <c r="V4541" s="970"/>
      <c r="W4541" s="970"/>
      <c r="X4541" s="970"/>
      <c r="Y4541" s="970"/>
      <c r="Z4541" s="970"/>
      <c r="AA4541" s="975">
        <v>13</v>
      </c>
    </row>
    <row r="4542" spans="1:27" x14ac:dyDescent="0.2">
      <c r="A4542" s="3582"/>
      <c r="B4542" s="3589"/>
      <c r="C4542" s="3594"/>
      <c r="D4542" s="3596"/>
      <c r="E4542" s="3563"/>
      <c r="F4542" s="3563"/>
      <c r="G4542" s="3563"/>
      <c r="H4542" s="3563"/>
      <c r="I4542" s="3563"/>
      <c r="J4542" s="3563"/>
      <c r="K4542" s="3588"/>
      <c r="L4542" s="3563"/>
      <c r="M4542" s="3565" t="s">
        <v>111</v>
      </c>
      <c r="N4542" s="3565"/>
      <c r="O4542" s="341">
        <f>SUM(O4543)</f>
        <v>81</v>
      </c>
      <c r="P4542" s="341">
        <f t="shared" ref="P4542:AA4542" si="738">SUM(P4543)</f>
        <v>0</v>
      </c>
      <c r="Q4542" s="341">
        <f t="shared" si="738"/>
        <v>0</v>
      </c>
      <c r="R4542" s="341">
        <f t="shared" si="738"/>
        <v>0</v>
      </c>
      <c r="S4542" s="341">
        <f t="shared" si="738"/>
        <v>0</v>
      </c>
      <c r="T4542" s="341">
        <f t="shared" si="738"/>
        <v>0</v>
      </c>
      <c r="U4542" s="341">
        <f t="shared" si="738"/>
        <v>0</v>
      </c>
      <c r="V4542" s="341">
        <f t="shared" si="738"/>
        <v>0</v>
      </c>
      <c r="W4542" s="341">
        <f t="shared" si="738"/>
        <v>0</v>
      </c>
      <c r="X4542" s="341">
        <f t="shared" si="738"/>
        <v>0</v>
      </c>
      <c r="Y4542" s="341">
        <f t="shared" si="738"/>
        <v>0</v>
      </c>
      <c r="Z4542" s="341">
        <f t="shared" si="738"/>
        <v>0</v>
      </c>
      <c r="AA4542" s="2241">
        <f t="shared" si="738"/>
        <v>81</v>
      </c>
    </row>
    <row r="4543" spans="1:27" ht="22.5" x14ac:dyDescent="0.2">
      <c r="A4543" s="3582"/>
      <c r="B4543" s="3589"/>
      <c r="C4543" s="3594"/>
      <c r="D4543" s="3596"/>
      <c r="E4543" s="3563"/>
      <c r="F4543" s="3563"/>
      <c r="G4543" s="3563"/>
      <c r="H4543" s="3563"/>
      <c r="I4543" s="3563"/>
      <c r="J4543" s="3563"/>
      <c r="K4543" s="3588"/>
      <c r="L4543" s="3563"/>
      <c r="M4543" s="1942">
        <v>232231</v>
      </c>
      <c r="N4543" s="1942" t="s">
        <v>3175</v>
      </c>
      <c r="O4543" s="554">
        <v>81</v>
      </c>
      <c r="P4543" s="554"/>
      <c r="Q4543" s="554"/>
      <c r="R4543" s="554"/>
      <c r="S4543" s="554"/>
      <c r="T4543" s="554"/>
      <c r="U4543" s="554"/>
      <c r="V4543" s="554"/>
      <c r="W4543" s="554"/>
      <c r="X4543" s="554"/>
      <c r="Y4543" s="554"/>
      <c r="Z4543" s="554"/>
      <c r="AA4543" s="974">
        <f>SUM(O4543:Z4543)</f>
        <v>81</v>
      </c>
    </row>
    <row r="4544" spans="1:27" x14ac:dyDescent="0.2">
      <c r="A4544" s="3582" t="s">
        <v>1919</v>
      </c>
      <c r="B4544" s="3589">
        <v>5.0999999999999996</v>
      </c>
      <c r="C4544" s="3594" t="s">
        <v>1920</v>
      </c>
      <c r="D4544" s="3563" t="s">
        <v>1863</v>
      </c>
      <c r="E4544" s="3563" t="s">
        <v>1857</v>
      </c>
      <c r="F4544" s="3563" t="s">
        <v>1858</v>
      </c>
      <c r="G4544" s="3563" t="s">
        <v>1859</v>
      </c>
      <c r="H4544" s="3563" t="s">
        <v>1921</v>
      </c>
      <c r="I4544" s="3563" t="s">
        <v>1860</v>
      </c>
      <c r="J4544" s="3563">
        <v>3</v>
      </c>
      <c r="K4544" s="3592">
        <f>+AA4545</f>
        <v>2540</v>
      </c>
      <c r="L4544" s="3563" t="s">
        <v>1866</v>
      </c>
      <c r="M4544" s="3565" t="s">
        <v>51</v>
      </c>
      <c r="N4544" s="3565"/>
      <c r="O4544" s="341"/>
      <c r="P4544" s="341"/>
      <c r="Q4544" s="970">
        <v>1</v>
      </c>
      <c r="R4544" s="970"/>
      <c r="S4544" s="970"/>
      <c r="T4544" s="970"/>
      <c r="U4544" s="970"/>
      <c r="V4544" s="341">
        <v>1</v>
      </c>
      <c r="W4544" s="341"/>
      <c r="X4544" s="341"/>
      <c r="Y4544" s="341">
        <v>1</v>
      </c>
      <c r="Z4544" s="341"/>
      <c r="AA4544" s="2241">
        <v>3</v>
      </c>
    </row>
    <row r="4545" spans="1:27" x14ac:dyDescent="0.2">
      <c r="A4545" s="3582"/>
      <c r="B4545" s="3589"/>
      <c r="C4545" s="3594"/>
      <c r="D4545" s="3563"/>
      <c r="E4545" s="3563"/>
      <c r="F4545" s="3563"/>
      <c r="G4545" s="3563"/>
      <c r="H4545" s="3563"/>
      <c r="I4545" s="3563"/>
      <c r="J4545" s="3563"/>
      <c r="K4545" s="3592"/>
      <c r="L4545" s="3563"/>
      <c r="M4545" s="3565" t="s">
        <v>111</v>
      </c>
      <c r="N4545" s="3565"/>
      <c r="O4545" s="341">
        <f>SUM(O4546:O4548)</f>
        <v>0</v>
      </c>
      <c r="P4545" s="341">
        <f t="shared" ref="P4545:AA4545" si="739">SUM(P4546:P4548)</f>
        <v>0</v>
      </c>
      <c r="Q4545" s="341">
        <f t="shared" si="739"/>
        <v>880</v>
      </c>
      <c r="R4545" s="341">
        <f t="shared" si="739"/>
        <v>0</v>
      </c>
      <c r="S4545" s="341">
        <f t="shared" si="739"/>
        <v>0</v>
      </c>
      <c r="T4545" s="341">
        <f t="shared" si="739"/>
        <v>0</v>
      </c>
      <c r="U4545" s="341">
        <f t="shared" si="739"/>
        <v>0</v>
      </c>
      <c r="V4545" s="341">
        <f t="shared" si="739"/>
        <v>780</v>
      </c>
      <c r="W4545" s="341">
        <f t="shared" si="739"/>
        <v>0</v>
      </c>
      <c r="X4545" s="341">
        <f t="shared" si="739"/>
        <v>0</v>
      </c>
      <c r="Y4545" s="341">
        <f t="shared" si="739"/>
        <v>880</v>
      </c>
      <c r="Z4545" s="341">
        <f t="shared" si="739"/>
        <v>0</v>
      </c>
      <c r="AA4545" s="2241">
        <f t="shared" si="739"/>
        <v>2540</v>
      </c>
    </row>
    <row r="4546" spans="1:27" ht="22.5" x14ac:dyDescent="0.2">
      <c r="A4546" s="3582"/>
      <c r="B4546" s="3589"/>
      <c r="C4546" s="3594"/>
      <c r="D4546" s="3563"/>
      <c r="E4546" s="3563"/>
      <c r="F4546" s="3563"/>
      <c r="G4546" s="3563"/>
      <c r="H4546" s="3563"/>
      <c r="I4546" s="3563"/>
      <c r="J4546" s="3563"/>
      <c r="K4546" s="3592"/>
      <c r="L4546" s="3563"/>
      <c r="M4546" s="1942" t="s">
        <v>194</v>
      </c>
      <c r="N4546" s="1942" t="s">
        <v>1368</v>
      </c>
      <c r="O4546" s="356"/>
      <c r="P4546" s="356"/>
      <c r="Q4546" s="554">
        <v>420</v>
      </c>
      <c r="R4546" s="554"/>
      <c r="S4546" s="554"/>
      <c r="T4546" s="554"/>
      <c r="U4546" s="554"/>
      <c r="V4546" s="356">
        <v>420</v>
      </c>
      <c r="W4546" s="356"/>
      <c r="X4546" s="356"/>
      <c r="Y4546" s="356">
        <v>420</v>
      </c>
      <c r="Z4546" s="356"/>
      <c r="AA4546" s="2242">
        <f>SUM(O4546:Z4546)</f>
        <v>1260</v>
      </c>
    </row>
    <row r="4547" spans="1:27" x14ac:dyDescent="0.2">
      <c r="A4547" s="3582"/>
      <c r="B4547" s="3589"/>
      <c r="C4547" s="3594"/>
      <c r="D4547" s="3563"/>
      <c r="E4547" s="3563"/>
      <c r="F4547" s="3563"/>
      <c r="G4547" s="3563"/>
      <c r="H4547" s="3563"/>
      <c r="I4547" s="3563"/>
      <c r="J4547" s="3563"/>
      <c r="K4547" s="3592"/>
      <c r="L4547" s="3563"/>
      <c r="M4547" s="1942" t="s">
        <v>541</v>
      </c>
      <c r="N4547" s="1942" t="s">
        <v>1881</v>
      </c>
      <c r="O4547" s="356"/>
      <c r="P4547" s="356"/>
      <c r="Q4547" s="554">
        <v>140</v>
      </c>
      <c r="R4547" s="554"/>
      <c r="S4547" s="554"/>
      <c r="T4547" s="554"/>
      <c r="U4547" s="554"/>
      <c r="V4547" s="356">
        <v>40</v>
      </c>
      <c r="W4547" s="356"/>
      <c r="X4547" s="356"/>
      <c r="Y4547" s="356">
        <v>140</v>
      </c>
      <c r="Z4547" s="356"/>
      <c r="AA4547" s="2242">
        <f t="shared" ref="AA4547:AA4548" si="740">SUM(O4547:Z4547)</f>
        <v>320</v>
      </c>
    </row>
    <row r="4548" spans="1:27" ht="22.5" x14ac:dyDescent="0.2">
      <c r="A4548" s="3582"/>
      <c r="B4548" s="3589"/>
      <c r="C4548" s="3594"/>
      <c r="D4548" s="3563"/>
      <c r="E4548" s="3563"/>
      <c r="F4548" s="3563"/>
      <c r="G4548" s="3563"/>
      <c r="H4548" s="3563" t="s">
        <v>1922</v>
      </c>
      <c r="I4548" s="3563" t="s">
        <v>1860</v>
      </c>
      <c r="J4548" s="3563">
        <v>3</v>
      </c>
      <c r="K4548" s="3592"/>
      <c r="L4548" s="3563"/>
      <c r="M4548" s="1942" t="s">
        <v>180</v>
      </c>
      <c r="N4548" s="1942" t="s">
        <v>3172</v>
      </c>
      <c r="O4548" s="554"/>
      <c r="P4548" s="554"/>
      <c r="Q4548" s="554">
        <v>320</v>
      </c>
      <c r="R4548" s="554"/>
      <c r="S4548" s="554"/>
      <c r="T4548" s="554"/>
      <c r="U4548" s="554"/>
      <c r="V4548" s="554">
        <v>320</v>
      </c>
      <c r="W4548" s="554"/>
      <c r="X4548" s="554"/>
      <c r="Y4548" s="554">
        <v>320</v>
      </c>
      <c r="Z4548" s="554"/>
      <c r="AA4548" s="2242">
        <f t="shared" si="740"/>
        <v>960</v>
      </c>
    </row>
    <row r="4549" spans="1:27" x14ac:dyDescent="0.2">
      <c r="A4549" s="3582"/>
      <c r="B4549" s="3589">
        <v>5.2</v>
      </c>
      <c r="C4549" s="3594" t="s">
        <v>1923</v>
      </c>
      <c r="D4549" s="3563" t="s">
        <v>1863</v>
      </c>
      <c r="E4549" s="3563" t="s">
        <v>1857</v>
      </c>
      <c r="F4549" s="3563" t="s">
        <v>1858</v>
      </c>
      <c r="G4549" s="3563" t="s">
        <v>1859</v>
      </c>
      <c r="H4549" s="3563" t="s">
        <v>1922</v>
      </c>
      <c r="I4549" s="3563" t="s">
        <v>1860</v>
      </c>
      <c r="J4549" s="3563">
        <v>3</v>
      </c>
      <c r="K4549" s="3592">
        <f>+AA4550</f>
        <v>5640</v>
      </c>
      <c r="L4549" s="3563" t="s">
        <v>1866</v>
      </c>
      <c r="M4549" s="3565" t="s">
        <v>51</v>
      </c>
      <c r="N4549" s="3565"/>
      <c r="O4549" s="970">
        <v>1</v>
      </c>
      <c r="P4549" s="970"/>
      <c r="Q4549" s="970"/>
      <c r="R4549" s="970"/>
      <c r="S4549" s="970"/>
      <c r="T4549" s="970"/>
      <c r="U4549" s="970">
        <v>1</v>
      </c>
      <c r="V4549" s="341"/>
      <c r="W4549" s="341"/>
      <c r="X4549" s="341"/>
      <c r="Y4549" s="341"/>
      <c r="Z4549" s="341">
        <v>1</v>
      </c>
      <c r="AA4549" s="2241">
        <f>SUM(O4549:Z4549)</f>
        <v>3</v>
      </c>
    </row>
    <row r="4550" spans="1:27" x14ac:dyDescent="0.2">
      <c r="A4550" s="3582"/>
      <c r="B4550" s="3589"/>
      <c r="C4550" s="3594"/>
      <c r="D4550" s="3563"/>
      <c r="E4550" s="3563"/>
      <c r="F4550" s="3563"/>
      <c r="G4550" s="3563"/>
      <c r="H4550" s="3563"/>
      <c r="I4550" s="3563"/>
      <c r="J4550" s="3563"/>
      <c r="K4550" s="3592"/>
      <c r="L4550" s="3563"/>
      <c r="M4550" s="3565" t="s">
        <v>111</v>
      </c>
      <c r="N4550" s="3565"/>
      <c r="O4550" s="970">
        <f>SUM(O4551:O4555)</f>
        <v>1880</v>
      </c>
      <c r="P4550" s="970">
        <f t="shared" ref="P4550:Z4550" si="741">SUM(P4551:P4555)</f>
        <v>0</v>
      </c>
      <c r="Q4550" s="970">
        <f t="shared" si="741"/>
        <v>0</v>
      </c>
      <c r="R4550" s="970">
        <f t="shared" si="741"/>
        <v>0</v>
      </c>
      <c r="S4550" s="970">
        <f t="shared" si="741"/>
        <v>0</v>
      </c>
      <c r="T4550" s="970">
        <f t="shared" si="741"/>
        <v>0</v>
      </c>
      <c r="U4550" s="970">
        <f t="shared" si="741"/>
        <v>1880</v>
      </c>
      <c r="V4550" s="970">
        <f t="shared" si="741"/>
        <v>0</v>
      </c>
      <c r="W4550" s="970">
        <f t="shared" si="741"/>
        <v>0</v>
      </c>
      <c r="X4550" s="970">
        <f t="shared" si="741"/>
        <v>0</v>
      </c>
      <c r="Y4550" s="970">
        <f t="shared" si="741"/>
        <v>0</v>
      </c>
      <c r="Z4550" s="970">
        <f t="shared" si="741"/>
        <v>1880</v>
      </c>
      <c r="AA4550" s="975">
        <f>SUM(O4550:Z4550)</f>
        <v>5640</v>
      </c>
    </row>
    <row r="4551" spans="1:27" x14ac:dyDescent="0.2">
      <c r="A4551" s="3582"/>
      <c r="B4551" s="3589"/>
      <c r="C4551" s="3594"/>
      <c r="D4551" s="3563"/>
      <c r="E4551" s="3563"/>
      <c r="F4551" s="3563"/>
      <c r="G4551" s="3563"/>
      <c r="H4551" s="3563"/>
      <c r="I4551" s="3563"/>
      <c r="J4551" s="3563"/>
      <c r="K4551" s="3592"/>
      <c r="L4551" s="3563"/>
      <c r="M4551" s="1942" t="s">
        <v>1883</v>
      </c>
      <c r="N4551" s="1942" t="s">
        <v>1876</v>
      </c>
      <c r="O4551" s="356">
        <v>1000</v>
      </c>
      <c r="P4551" s="554"/>
      <c r="Q4551" s="554"/>
      <c r="R4551" s="554"/>
      <c r="S4551" s="554"/>
      <c r="T4551" s="554"/>
      <c r="U4551" s="554">
        <v>1000</v>
      </c>
      <c r="V4551" s="356"/>
      <c r="W4551" s="356"/>
      <c r="X4551" s="356"/>
      <c r="Y4551" s="356"/>
      <c r="Z4551" s="356">
        <v>1000</v>
      </c>
      <c r="AA4551" s="2242">
        <f>SUM(O4551:Z4551)</f>
        <v>3000</v>
      </c>
    </row>
    <row r="4552" spans="1:27" ht="22.5" x14ac:dyDescent="0.2">
      <c r="A4552" s="3582"/>
      <c r="B4552" s="3589"/>
      <c r="C4552" s="3594"/>
      <c r="D4552" s="3563"/>
      <c r="E4552" s="3563"/>
      <c r="F4552" s="3563"/>
      <c r="G4552" s="3563"/>
      <c r="H4552" s="3563"/>
      <c r="I4552" s="3563"/>
      <c r="J4552" s="3563"/>
      <c r="K4552" s="3592"/>
      <c r="L4552" s="3563"/>
      <c r="M4552" s="1942" t="s">
        <v>194</v>
      </c>
      <c r="N4552" s="1942" t="s">
        <v>1368</v>
      </c>
      <c r="O4552" s="356">
        <v>140</v>
      </c>
      <c r="P4552" s="554"/>
      <c r="Q4552" s="554"/>
      <c r="R4552" s="554"/>
      <c r="S4552" s="554"/>
      <c r="T4552" s="554"/>
      <c r="U4552" s="554">
        <v>140</v>
      </c>
      <c r="V4552" s="356"/>
      <c r="W4552" s="356"/>
      <c r="X4552" s="356"/>
      <c r="Y4552" s="356"/>
      <c r="Z4552" s="356">
        <v>140</v>
      </c>
      <c r="AA4552" s="2242">
        <f t="shared" ref="AA4552:AA4555" si="742">SUM(O4552:Z4552)</f>
        <v>420</v>
      </c>
    </row>
    <row r="4553" spans="1:27" ht="22.5" x14ac:dyDescent="0.2">
      <c r="A4553" s="3582"/>
      <c r="B4553" s="3589"/>
      <c r="C4553" s="3594"/>
      <c r="D4553" s="3563"/>
      <c r="E4553" s="3563"/>
      <c r="F4553" s="3563"/>
      <c r="G4553" s="3563"/>
      <c r="H4553" s="3563"/>
      <c r="I4553" s="3563"/>
      <c r="J4553" s="3563"/>
      <c r="K4553" s="3592"/>
      <c r="L4553" s="3563"/>
      <c r="M4553" s="1942" t="s">
        <v>180</v>
      </c>
      <c r="N4553" s="1942" t="s">
        <v>3172</v>
      </c>
      <c r="O4553" s="356">
        <v>240</v>
      </c>
      <c r="P4553" s="554"/>
      <c r="Q4553" s="554"/>
      <c r="R4553" s="554"/>
      <c r="S4553" s="554"/>
      <c r="T4553" s="554"/>
      <c r="U4553" s="554">
        <v>240</v>
      </c>
      <c r="V4553" s="356"/>
      <c r="W4553" s="356"/>
      <c r="X4553" s="356"/>
      <c r="Y4553" s="356"/>
      <c r="Z4553" s="356">
        <v>240</v>
      </c>
      <c r="AA4553" s="2242">
        <f t="shared" si="742"/>
        <v>720</v>
      </c>
    </row>
    <row r="4554" spans="1:27" x14ac:dyDescent="0.2">
      <c r="A4554" s="3582"/>
      <c r="B4554" s="3589"/>
      <c r="C4554" s="3594"/>
      <c r="D4554" s="3563"/>
      <c r="E4554" s="3563"/>
      <c r="F4554" s="3563"/>
      <c r="G4554" s="3563"/>
      <c r="H4554" s="3563"/>
      <c r="I4554" s="3563"/>
      <c r="J4554" s="3563"/>
      <c r="K4554" s="3592"/>
      <c r="L4554" s="3563"/>
      <c r="M4554" s="1942" t="s">
        <v>541</v>
      </c>
      <c r="N4554" s="1942" t="s">
        <v>1881</v>
      </c>
      <c r="O4554" s="356"/>
      <c r="P4554" s="554"/>
      <c r="Q4554" s="554"/>
      <c r="R4554" s="554"/>
      <c r="S4554" s="554"/>
      <c r="T4554" s="554"/>
      <c r="U4554" s="554"/>
      <c r="V4554" s="356"/>
      <c r="W4554" s="356"/>
      <c r="X4554" s="356"/>
      <c r="Y4554" s="356"/>
      <c r="Z4554" s="356"/>
      <c r="AA4554" s="2242">
        <f t="shared" si="742"/>
        <v>0</v>
      </c>
    </row>
    <row r="4555" spans="1:27" ht="22.5" x14ac:dyDescent="0.2">
      <c r="A4555" s="3582"/>
      <c r="B4555" s="3589"/>
      <c r="C4555" s="3594"/>
      <c r="D4555" s="3563"/>
      <c r="E4555" s="3563"/>
      <c r="F4555" s="3563"/>
      <c r="G4555" s="3563"/>
      <c r="H4555" s="3563" t="s">
        <v>1924</v>
      </c>
      <c r="I4555" s="3563" t="s">
        <v>1925</v>
      </c>
      <c r="J4555" s="3563">
        <v>13</v>
      </c>
      <c r="K4555" s="3592"/>
      <c r="L4555" s="3563"/>
      <c r="M4555" s="1942" t="s">
        <v>200</v>
      </c>
      <c r="N4555" s="1942" t="s">
        <v>1509</v>
      </c>
      <c r="O4555" s="554">
        <v>500</v>
      </c>
      <c r="P4555" s="554"/>
      <c r="Q4555" s="554"/>
      <c r="R4555" s="554"/>
      <c r="S4555" s="554"/>
      <c r="T4555" s="554"/>
      <c r="U4555" s="554">
        <v>500</v>
      </c>
      <c r="V4555" s="554"/>
      <c r="W4555" s="554"/>
      <c r="X4555" s="554"/>
      <c r="Y4555" s="554"/>
      <c r="Z4555" s="554">
        <v>500</v>
      </c>
      <c r="AA4555" s="2242">
        <f t="shared" si="742"/>
        <v>1500</v>
      </c>
    </row>
    <row r="4556" spans="1:27" x14ac:dyDescent="0.2">
      <c r="A4556" s="3582"/>
      <c r="B4556" s="3589">
        <v>5.3</v>
      </c>
      <c r="C4556" s="3594" t="s">
        <v>1926</v>
      </c>
      <c r="D4556" s="3563" t="s">
        <v>1863</v>
      </c>
      <c r="E4556" s="3563" t="s">
        <v>1857</v>
      </c>
      <c r="F4556" s="3563" t="s">
        <v>1858</v>
      </c>
      <c r="G4556" s="3563" t="s">
        <v>1859</v>
      </c>
      <c r="H4556" s="3563" t="s">
        <v>1927</v>
      </c>
      <c r="I4556" s="3563" t="s">
        <v>1928</v>
      </c>
      <c r="J4556" s="3563">
        <v>2</v>
      </c>
      <c r="K4556" s="3592">
        <f>+AA4557</f>
        <v>1500</v>
      </c>
      <c r="L4556" s="3563" t="s">
        <v>1866</v>
      </c>
      <c r="M4556" s="3565" t="s">
        <v>51</v>
      </c>
      <c r="N4556" s="3565"/>
      <c r="O4556" s="970"/>
      <c r="P4556" s="970"/>
      <c r="Q4556" s="970"/>
      <c r="R4556" s="970">
        <v>1</v>
      </c>
      <c r="S4556" s="970"/>
      <c r="T4556" s="970"/>
      <c r="U4556" s="970"/>
      <c r="V4556" s="341"/>
      <c r="W4556" s="341"/>
      <c r="X4556" s="341">
        <v>1</v>
      </c>
      <c r="Y4556" s="341"/>
      <c r="Z4556" s="341"/>
      <c r="AA4556" s="2241">
        <v>2</v>
      </c>
    </row>
    <row r="4557" spans="1:27" x14ac:dyDescent="0.2">
      <c r="A4557" s="3582"/>
      <c r="B4557" s="3589"/>
      <c r="C4557" s="3594"/>
      <c r="D4557" s="3563"/>
      <c r="E4557" s="3563"/>
      <c r="F4557" s="3563"/>
      <c r="G4557" s="3563"/>
      <c r="H4557" s="3563"/>
      <c r="I4557" s="3563"/>
      <c r="J4557" s="3563"/>
      <c r="K4557" s="3592"/>
      <c r="L4557" s="3563"/>
      <c r="M4557" s="3565" t="s">
        <v>111</v>
      </c>
      <c r="N4557" s="3565"/>
      <c r="O4557" s="970">
        <f>SUM(O4558:O4559)</f>
        <v>0</v>
      </c>
      <c r="P4557" s="970">
        <f t="shared" ref="P4557:AA4557" si="743">SUM(P4558:P4559)</f>
        <v>0</v>
      </c>
      <c r="Q4557" s="970">
        <f t="shared" si="743"/>
        <v>0</v>
      </c>
      <c r="R4557" s="970">
        <f t="shared" si="743"/>
        <v>750</v>
      </c>
      <c r="S4557" s="970">
        <f t="shared" si="743"/>
        <v>0</v>
      </c>
      <c r="T4557" s="970">
        <f t="shared" si="743"/>
        <v>0</v>
      </c>
      <c r="U4557" s="970">
        <f t="shared" si="743"/>
        <v>0</v>
      </c>
      <c r="V4557" s="970">
        <f t="shared" si="743"/>
        <v>0</v>
      </c>
      <c r="W4557" s="970">
        <f t="shared" si="743"/>
        <v>0</v>
      </c>
      <c r="X4557" s="970">
        <f t="shared" si="743"/>
        <v>750</v>
      </c>
      <c r="Y4557" s="970">
        <f t="shared" si="743"/>
        <v>0</v>
      </c>
      <c r="Z4557" s="970">
        <f t="shared" si="743"/>
        <v>0</v>
      </c>
      <c r="AA4557" s="975">
        <f t="shared" si="743"/>
        <v>1500</v>
      </c>
    </row>
    <row r="4558" spans="1:27" x14ac:dyDescent="0.2">
      <c r="A4558" s="3582"/>
      <c r="B4558" s="3589"/>
      <c r="C4558" s="3594"/>
      <c r="D4558" s="3563"/>
      <c r="E4558" s="3563"/>
      <c r="F4558" s="3563"/>
      <c r="G4558" s="3563"/>
      <c r="H4558" s="3563"/>
      <c r="I4558" s="3563"/>
      <c r="J4558" s="3563"/>
      <c r="K4558" s="3592"/>
      <c r="L4558" s="3563"/>
      <c r="M4558" s="1942" t="s">
        <v>1883</v>
      </c>
      <c r="N4558" s="1942" t="s">
        <v>1876</v>
      </c>
      <c r="O4558" s="554"/>
      <c r="P4558" s="554"/>
      <c r="Q4558" s="554"/>
      <c r="R4558" s="554">
        <v>500</v>
      </c>
      <c r="S4558" s="554"/>
      <c r="T4558" s="554"/>
      <c r="U4558" s="554"/>
      <c r="V4558" s="356"/>
      <c r="W4558" s="356"/>
      <c r="X4558" s="554">
        <v>500</v>
      </c>
      <c r="Y4558" s="356"/>
      <c r="Z4558" s="356"/>
      <c r="AA4558" s="2242">
        <f>SUM(O4558:Z4558)</f>
        <v>1000</v>
      </c>
    </row>
    <row r="4559" spans="1:27" ht="22.5" x14ac:dyDescent="0.2">
      <c r="A4559" s="3582"/>
      <c r="B4559" s="3589"/>
      <c r="C4559" s="3594"/>
      <c r="D4559" s="3563"/>
      <c r="E4559" s="3563"/>
      <c r="F4559" s="3563"/>
      <c r="G4559" s="3563"/>
      <c r="H4559" s="3563" t="s">
        <v>1921</v>
      </c>
      <c r="I4559" s="3563" t="s">
        <v>1860</v>
      </c>
      <c r="J4559" s="3563">
        <v>3</v>
      </c>
      <c r="K4559" s="3592"/>
      <c r="L4559" s="3563"/>
      <c r="M4559" s="1942" t="s">
        <v>200</v>
      </c>
      <c r="N4559" s="1942" t="s">
        <v>1509</v>
      </c>
      <c r="O4559" s="554"/>
      <c r="P4559" s="554"/>
      <c r="Q4559" s="554"/>
      <c r="R4559" s="554">
        <v>250</v>
      </c>
      <c r="S4559" s="554"/>
      <c r="T4559" s="554"/>
      <c r="U4559" s="554"/>
      <c r="V4559" s="554"/>
      <c r="W4559" s="554"/>
      <c r="X4559" s="554">
        <v>250</v>
      </c>
      <c r="Y4559" s="554"/>
      <c r="Z4559" s="554"/>
      <c r="AA4559" s="2242">
        <f>SUM(O4559:Z4559)</f>
        <v>500</v>
      </c>
    </row>
    <row r="4560" spans="1:27" x14ac:dyDescent="0.2">
      <c r="A4560" s="3582"/>
      <c r="B4560" s="3589">
        <v>5.4</v>
      </c>
      <c r="C4560" s="3594" t="s">
        <v>1929</v>
      </c>
      <c r="D4560" s="3563" t="s">
        <v>1863</v>
      </c>
      <c r="E4560" s="3563" t="s">
        <v>1857</v>
      </c>
      <c r="F4560" s="3563" t="s">
        <v>1858</v>
      </c>
      <c r="G4560" s="3563" t="s">
        <v>1859</v>
      </c>
      <c r="H4560" s="3563" t="s">
        <v>1930</v>
      </c>
      <c r="I4560" s="3563" t="s">
        <v>1860</v>
      </c>
      <c r="J4560" s="3595">
        <f>+AA4560</f>
        <v>6</v>
      </c>
      <c r="K4560" s="3588">
        <f>+AA4561</f>
        <v>840</v>
      </c>
      <c r="L4560" s="3563" t="s">
        <v>1866</v>
      </c>
      <c r="M4560" s="3565" t="s">
        <v>51</v>
      </c>
      <c r="N4560" s="3565"/>
      <c r="O4560" s="970"/>
      <c r="P4560" s="970">
        <v>1</v>
      </c>
      <c r="Q4560" s="970"/>
      <c r="R4560" s="970">
        <v>1</v>
      </c>
      <c r="S4560" s="970"/>
      <c r="T4560" s="970">
        <v>1</v>
      </c>
      <c r="U4560" s="970"/>
      <c r="V4560" s="341">
        <v>1</v>
      </c>
      <c r="W4560" s="341"/>
      <c r="X4560" s="341">
        <v>1</v>
      </c>
      <c r="Y4560" s="341"/>
      <c r="Z4560" s="341">
        <v>1</v>
      </c>
      <c r="AA4560" s="2241">
        <v>6</v>
      </c>
    </row>
    <row r="4561" spans="1:27" x14ac:dyDescent="0.2">
      <c r="A4561" s="3582"/>
      <c r="B4561" s="3589"/>
      <c r="C4561" s="3594"/>
      <c r="D4561" s="3563"/>
      <c r="E4561" s="3563"/>
      <c r="F4561" s="3563"/>
      <c r="G4561" s="3563"/>
      <c r="H4561" s="3563"/>
      <c r="I4561" s="3563"/>
      <c r="J4561" s="3563"/>
      <c r="K4561" s="3588"/>
      <c r="L4561" s="3563"/>
      <c r="M4561" s="3565" t="s">
        <v>111</v>
      </c>
      <c r="N4561" s="3565"/>
      <c r="O4561" s="970">
        <f>SUM(O4562:O4563)</f>
        <v>0</v>
      </c>
      <c r="P4561" s="970">
        <f t="shared" ref="P4561:AA4561" si="744">SUM(P4562:P4563)</f>
        <v>140</v>
      </c>
      <c r="Q4561" s="970">
        <f t="shared" si="744"/>
        <v>0</v>
      </c>
      <c r="R4561" s="970">
        <f t="shared" si="744"/>
        <v>140</v>
      </c>
      <c r="S4561" s="970">
        <f t="shared" si="744"/>
        <v>0</v>
      </c>
      <c r="T4561" s="970">
        <f t="shared" si="744"/>
        <v>140</v>
      </c>
      <c r="U4561" s="970">
        <f t="shared" si="744"/>
        <v>0</v>
      </c>
      <c r="V4561" s="970">
        <f t="shared" si="744"/>
        <v>140</v>
      </c>
      <c r="W4561" s="970">
        <f t="shared" si="744"/>
        <v>0</v>
      </c>
      <c r="X4561" s="970">
        <f t="shared" si="744"/>
        <v>140</v>
      </c>
      <c r="Y4561" s="970">
        <f t="shared" si="744"/>
        <v>0</v>
      </c>
      <c r="Z4561" s="970">
        <f t="shared" si="744"/>
        <v>140</v>
      </c>
      <c r="AA4561" s="975">
        <f t="shared" si="744"/>
        <v>840</v>
      </c>
    </row>
    <row r="4562" spans="1:27" ht="22.5" x14ac:dyDescent="0.2">
      <c r="A4562" s="3582"/>
      <c r="B4562" s="3589"/>
      <c r="C4562" s="3594"/>
      <c r="D4562" s="3563"/>
      <c r="E4562" s="3563"/>
      <c r="F4562" s="3563"/>
      <c r="G4562" s="3563"/>
      <c r="H4562" s="3563"/>
      <c r="I4562" s="3563"/>
      <c r="J4562" s="3563"/>
      <c r="K4562" s="3588"/>
      <c r="L4562" s="3563"/>
      <c r="M4562" s="1942" t="s">
        <v>194</v>
      </c>
      <c r="N4562" s="1942" t="s">
        <v>1368</v>
      </c>
      <c r="O4562" s="554"/>
      <c r="P4562" s="554">
        <v>140</v>
      </c>
      <c r="Q4562" s="554"/>
      <c r="R4562" s="554">
        <v>140</v>
      </c>
      <c r="S4562" s="554"/>
      <c r="T4562" s="554">
        <v>140</v>
      </c>
      <c r="U4562" s="554"/>
      <c r="V4562" s="356">
        <v>140</v>
      </c>
      <c r="W4562" s="356"/>
      <c r="X4562" s="356">
        <v>140</v>
      </c>
      <c r="Y4562" s="356"/>
      <c r="Z4562" s="356">
        <v>140</v>
      </c>
      <c r="AA4562" s="2242">
        <f>SUM(O4562:Z4562)</f>
        <v>840</v>
      </c>
    </row>
    <row r="4563" spans="1:27" x14ac:dyDescent="0.2">
      <c r="A4563" s="3582"/>
      <c r="B4563" s="3589"/>
      <c r="C4563" s="3594"/>
      <c r="D4563" s="3563"/>
      <c r="E4563" s="3563"/>
      <c r="F4563" s="3563"/>
      <c r="G4563" s="3563"/>
      <c r="H4563" s="3563"/>
      <c r="I4563" s="3563"/>
      <c r="J4563" s="3563"/>
      <c r="K4563" s="3588"/>
      <c r="L4563" s="3563"/>
      <c r="M4563" s="1942" t="s">
        <v>541</v>
      </c>
      <c r="N4563" s="1942" t="s">
        <v>1881</v>
      </c>
      <c r="O4563" s="554"/>
      <c r="P4563" s="554"/>
      <c r="Q4563" s="554"/>
      <c r="R4563" s="554"/>
      <c r="S4563" s="554"/>
      <c r="T4563" s="554"/>
      <c r="U4563" s="554"/>
      <c r="V4563" s="356"/>
      <c r="W4563" s="356"/>
      <c r="X4563" s="356"/>
      <c r="Y4563" s="356"/>
      <c r="Z4563" s="356"/>
      <c r="AA4563" s="2242">
        <f>SUM(O4563:Z4563)</f>
        <v>0</v>
      </c>
    </row>
    <row r="4564" spans="1:27" x14ac:dyDescent="0.2">
      <c r="A4564" s="3582"/>
      <c r="B4564" s="3589">
        <v>5.5</v>
      </c>
      <c r="C4564" s="3594" t="s">
        <v>1931</v>
      </c>
      <c r="D4564" s="3563" t="s">
        <v>1863</v>
      </c>
      <c r="E4564" s="3563" t="s">
        <v>1857</v>
      </c>
      <c r="F4564" s="3563" t="s">
        <v>1932</v>
      </c>
      <c r="G4564" s="3563" t="s">
        <v>1859</v>
      </c>
      <c r="H4564" s="3563" t="s">
        <v>1933</v>
      </c>
      <c r="I4564" s="3563" t="s">
        <v>1934</v>
      </c>
      <c r="J4564" s="3563">
        <v>1</v>
      </c>
      <c r="K4564" s="3588">
        <v>0</v>
      </c>
      <c r="L4564" s="3563" t="s">
        <v>1866</v>
      </c>
      <c r="M4564" s="3565" t="s">
        <v>51</v>
      </c>
      <c r="N4564" s="3565"/>
      <c r="O4564" s="970"/>
      <c r="P4564" s="970">
        <v>1</v>
      </c>
      <c r="Q4564" s="970"/>
      <c r="R4564" s="970"/>
      <c r="S4564" s="970"/>
      <c r="T4564" s="970"/>
      <c r="U4564" s="970"/>
      <c r="V4564" s="341"/>
      <c r="W4564" s="341"/>
      <c r="X4564" s="341"/>
      <c r="Y4564" s="341"/>
      <c r="Z4564" s="341"/>
      <c r="AA4564" s="2241">
        <v>1</v>
      </c>
    </row>
    <row r="4565" spans="1:27" x14ac:dyDescent="0.2">
      <c r="A4565" s="3582"/>
      <c r="B4565" s="3589"/>
      <c r="C4565" s="3594"/>
      <c r="D4565" s="3563"/>
      <c r="E4565" s="3563"/>
      <c r="F4565" s="3563"/>
      <c r="G4565" s="3563"/>
      <c r="H4565" s="3563"/>
      <c r="I4565" s="3563"/>
      <c r="J4565" s="3563"/>
      <c r="K4565" s="3588"/>
      <c r="L4565" s="3563"/>
      <c r="M4565" s="3565" t="s">
        <v>111</v>
      </c>
      <c r="N4565" s="3565"/>
      <c r="O4565" s="970">
        <f>SUM(O4566:O4567)</f>
        <v>0</v>
      </c>
      <c r="P4565" s="970">
        <f t="shared" ref="P4565:AA4565" si="745">SUM(P4566:P4567)</f>
        <v>0</v>
      </c>
      <c r="Q4565" s="970">
        <f t="shared" si="745"/>
        <v>0</v>
      </c>
      <c r="R4565" s="970">
        <f t="shared" si="745"/>
        <v>0</v>
      </c>
      <c r="S4565" s="970">
        <f t="shared" si="745"/>
        <v>0</v>
      </c>
      <c r="T4565" s="970">
        <f t="shared" si="745"/>
        <v>0</v>
      </c>
      <c r="U4565" s="970">
        <f t="shared" si="745"/>
        <v>0</v>
      </c>
      <c r="V4565" s="970">
        <f t="shared" si="745"/>
        <v>0</v>
      </c>
      <c r="W4565" s="970">
        <f t="shared" si="745"/>
        <v>0</v>
      </c>
      <c r="X4565" s="970">
        <f t="shared" si="745"/>
        <v>0</v>
      </c>
      <c r="Y4565" s="970">
        <f t="shared" si="745"/>
        <v>0</v>
      </c>
      <c r="Z4565" s="970">
        <f t="shared" si="745"/>
        <v>0</v>
      </c>
      <c r="AA4565" s="975">
        <f t="shared" si="745"/>
        <v>0</v>
      </c>
    </row>
    <row r="4566" spans="1:27" ht="22.5" x14ac:dyDescent="0.2">
      <c r="A4566" s="3582"/>
      <c r="B4566" s="3589"/>
      <c r="C4566" s="3594"/>
      <c r="D4566" s="3563"/>
      <c r="E4566" s="3563"/>
      <c r="F4566" s="3563"/>
      <c r="G4566" s="3563"/>
      <c r="H4566" s="3563"/>
      <c r="I4566" s="3563"/>
      <c r="J4566" s="3563"/>
      <c r="K4566" s="3588"/>
      <c r="L4566" s="3563"/>
      <c r="M4566" s="971" t="s">
        <v>1452</v>
      </c>
      <c r="N4566" s="971" t="s">
        <v>1867</v>
      </c>
      <c r="O4566" s="554"/>
      <c r="P4566" s="554"/>
      <c r="Q4566" s="554"/>
      <c r="R4566" s="554"/>
      <c r="S4566" s="554"/>
      <c r="T4566" s="554"/>
      <c r="U4566" s="554"/>
      <c r="V4566" s="356"/>
      <c r="W4566" s="356"/>
      <c r="X4566" s="356"/>
      <c r="Y4566" s="356"/>
      <c r="Z4566" s="356"/>
      <c r="AA4566" s="2242">
        <f>SUM(O4566:Z4566)</f>
        <v>0</v>
      </c>
    </row>
    <row r="4567" spans="1:27" ht="22.5" x14ac:dyDescent="0.2">
      <c r="A4567" s="3582"/>
      <c r="B4567" s="3589"/>
      <c r="C4567" s="3594"/>
      <c r="D4567" s="3563"/>
      <c r="E4567" s="3563"/>
      <c r="F4567" s="3563"/>
      <c r="G4567" s="3563"/>
      <c r="H4567" s="3563"/>
      <c r="I4567" s="3563"/>
      <c r="J4567" s="3563"/>
      <c r="K4567" s="3588"/>
      <c r="L4567" s="3563"/>
      <c r="M4567" s="971" t="s">
        <v>200</v>
      </c>
      <c r="N4567" s="971" t="s">
        <v>1509</v>
      </c>
      <c r="O4567" s="554"/>
      <c r="P4567" s="554"/>
      <c r="Q4567" s="554"/>
      <c r="R4567" s="554"/>
      <c r="S4567" s="554"/>
      <c r="T4567" s="554"/>
      <c r="U4567" s="554"/>
      <c r="V4567" s="356"/>
      <c r="W4567" s="356"/>
      <c r="X4567" s="356"/>
      <c r="Y4567" s="356"/>
      <c r="Z4567" s="356"/>
      <c r="AA4567" s="2242">
        <f>SUM(O4567:Z4567)</f>
        <v>0</v>
      </c>
    </row>
    <row r="4568" spans="1:27" x14ac:dyDescent="0.2">
      <c r="A4568" s="3582"/>
      <c r="B4568" s="3589">
        <v>5.6</v>
      </c>
      <c r="C4568" s="3594" t="s">
        <v>1935</v>
      </c>
      <c r="D4568" s="3563" t="s">
        <v>1863</v>
      </c>
      <c r="E4568" s="3563" t="s">
        <v>1857</v>
      </c>
      <c r="F4568" s="3563" t="s">
        <v>1858</v>
      </c>
      <c r="G4568" s="3563" t="s">
        <v>1859</v>
      </c>
      <c r="H4568" s="3563" t="s">
        <v>1936</v>
      </c>
      <c r="I4568" s="3563" t="s">
        <v>1937</v>
      </c>
      <c r="J4568" s="3563">
        <v>2</v>
      </c>
      <c r="K4568" s="3588">
        <f>+AA4569</f>
        <v>3000</v>
      </c>
      <c r="L4568" s="3563" t="s">
        <v>1866</v>
      </c>
      <c r="M4568" s="3565" t="s">
        <v>51</v>
      </c>
      <c r="N4568" s="3565"/>
      <c r="O4568" s="554"/>
      <c r="P4568" s="554"/>
      <c r="Q4568" s="554"/>
      <c r="R4568" s="554"/>
      <c r="S4568" s="554"/>
      <c r="T4568" s="554"/>
      <c r="U4568" s="554"/>
      <c r="V4568" s="356"/>
      <c r="W4568" s="356"/>
      <c r="X4568" s="356"/>
      <c r="Y4568" s="356"/>
      <c r="Z4568" s="356"/>
      <c r="AA4568" s="2242">
        <v>0</v>
      </c>
    </row>
    <row r="4569" spans="1:27" x14ac:dyDescent="0.2">
      <c r="A4569" s="3582"/>
      <c r="B4569" s="3589"/>
      <c r="C4569" s="3594"/>
      <c r="D4569" s="3563"/>
      <c r="E4569" s="3563"/>
      <c r="F4569" s="3563"/>
      <c r="G4569" s="3563"/>
      <c r="H4569" s="3563"/>
      <c r="I4569" s="3563"/>
      <c r="J4569" s="3563"/>
      <c r="K4569" s="3588"/>
      <c r="L4569" s="3563"/>
      <c r="M4569" s="3565" t="s">
        <v>111</v>
      </c>
      <c r="N4569" s="3565"/>
      <c r="O4569" s="554">
        <f>SUM(O4570:O4571)</f>
        <v>0</v>
      </c>
      <c r="P4569" s="554">
        <f t="shared" ref="P4569:AA4569" si="746">SUM(P4570:P4571)</f>
        <v>1500</v>
      </c>
      <c r="Q4569" s="554">
        <f t="shared" si="746"/>
        <v>0</v>
      </c>
      <c r="R4569" s="554">
        <f t="shared" si="746"/>
        <v>0</v>
      </c>
      <c r="S4569" s="554">
        <f t="shared" si="746"/>
        <v>1500</v>
      </c>
      <c r="T4569" s="554">
        <f t="shared" si="746"/>
        <v>0</v>
      </c>
      <c r="U4569" s="554">
        <f t="shared" si="746"/>
        <v>0</v>
      </c>
      <c r="V4569" s="554">
        <f t="shared" si="746"/>
        <v>0</v>
      </c>
      <c r="W4569" s="554">
        <f t="shared" si="746"/>
        <v>0</v>
      </c>
      <c r="X4569" s="554">
        <f t="shared" si="746"/>
        <v>0</v>
      </c>
      <c r="Y4569" s="554">
        <f t="shared" si="746"/>
        <v>0</v>
      </c>
      <c r="Z4569" s="554">
        <f t="shared" si="746"/>
        <v>0</v>
      </c>
      <c r="AA4569" s="974">
        <f t="shared" si="746"/>
        <v>3000</v>
      </c>
    </row>
    <row r="4570" spans="1:27" ht="22.5" x14ac:dyDescent="0.2">
      <c r="A4570" s="3582"/>
      <c r="B4570" s="3589"/>
      <c r="C4570" s="3594"/>
      <c r="D4570" s="3563"/>
      <c r="E4570" s="3563"/>
      <c r="F4570" s="3563"/>
      <c r="G4570" s="3563"/>
      <c r="H4570" s="3563"/>
      <c r="I4570" s="3563"/>
      <c r="J4570" s="3563"/>
      <c r="K4570" s="3588"/>
      <c r="L4570" s="3563"/>
      <c r="M4570" s="971" t="s">
        <v>1452</v>
      </c>
      <c r="N4570" s="971" t="s">
        <v>1867</v>
      </c>
      <c r="O4570" s="554"/>
      <c r="P4570" s="554">
        <v>500</v>
      </c>
      <c r="Q4570" s="554"/>
      <c r="R4570" s="554"/>
      <c r="S4570" s="554">
        <v>500</v>
      </c>
      <c r="T4570" s="554"/>
      <c r="U4570" s="554"/>
      <c r="V4570" s="356"/>
      <c r="W4570" s="356"/>
      <c r="X4570" s="356"/>
      <c r="Y4570" s="356"/>
      <c r="Z4570" s="356"/>
      <c r="AA4570" s="2242">
        <f>SUM(O4570:Z4570)</f>
        <v>1000</v>
      </c>
    </row>
    <row r="4571" spans="1:27" ht="22.5" x14ac:dyDescent="0.2">
      <c r="A4571" s="3582"/>
      <c r="B4571" s="3589"/>
      <c r="C4571" s="3594"/>
      <c r="D4571" s="3563"/>
      <c r="E4571" s="3563"/>
      <c r="F4571" s="3563"/>
      <c r="G4571" s="3563"/>
      <c r="H4571" s="3563" t="s">
        <v>1938</v>
      </c>
      <c r="I4571" s="3563" t="s">
        <v>1937</v>
      </c>
      <c r="J4571" s="3563">
        <v>2</v>
      </c>
      <c r="K4571" s="3588"/>
      <c r="L4571" s="3563"/>
      <c r="M4571" s="971" t="s">
        <v>200</v>
      </c>
      <c r="N4571" s="971" t="s">
        <v>1509</v>
      </c>
      <c r="O4571" s="554"/>
      <c r="P4571" s="554">
        <v>1000</v>
      </c>
      <c r="Q4571" s="554"/>
      <c r="R4571" s="554"/>
      <c r="S4571" s="554">
        <v>1000</v>
      </c>
      <c r="T4571" s="554"/>
      <c r="U4571" s="554"/>
      <c r="V4571" s="554"/>
      <c r="W4571" s="554"/>
      <c r="X4571" s="554"/>
      <c r="Y4571" s="554"/>
      <c r="Z4571" s="554"/>
      <c r="AA4571" s="2242">
        <f>SUM(O4571:Z4571)</f>
        <v>2000</v>
      </c>
    </row>
    <row r="4572" spans="1:27" x14ac:dyDescent="0.2">
      <c r="A4572" s="3597" t="s">
        <v>1939</v>
      </c>
      <c r="B4572" s="3589">
        <v>6.1</v>
      </c>
      <c r="C4572" s="3594" t="s">
        <v>1940</v>
      </c>
      <c r="D4572" s="3563" t="s">
        <v>1863</v>
      </c>
      <c r="E4572" s="3563" t="s">
        <v>1857</v>
      </c>
      <c r="F4572" s="3563" t="s">
        <v>1858</v>
      </c>
      <c r="G4572" s="3563" t="s">
        <v>1859</v>
      </c>
      <c r="H4572" s="3563" t="s">
        <v>1941</v>
      </c>
      <c r="I4572" s="3563" t="s">
        <v>156</v>
      </c>
      <c r="J4572" s="3563">
        <v>36</v>
      </c>
      <c r="K4572" s="3588">
        <f>AA4574+AA4575</f>
        <v>84808.2</v>
      </c>
      <c r="L4572" s="3600" t="s">
        <v>1866</v>
      </c>
      <c r="M4572" s="2627" t="s">
        <v>51</v>
      </c>
      <c r="N4572" s="2627"/>
      <c r="O4572" s="490">
        <v>3</v>
      </c>
      <c r="P4572" s="490">
        <v>3</v>
      </c>
      <c r="Q4572" s="490">
        <v>3</v>
      </c>
      <c r="R4572" s="490">
        <v>3</v>
      </c>
      <c r="S4572" s="490">
        <v>3</v>
      </c>
      <c r="T4572" s="490">
        <v>3</v>
      </c>
      <c r="U4572" s="490">
        <v>3</v>
      </c>
      <c r="V4572" s="464">
        <v>3</v>
      </c>
      <c r="W4572" s="464">
        <v>3</v>
      </c>
      <c r="X4572" s="464">
        <v>3</v>
      </c>
      <c r="Y4572" s="464">
        <v>3</v>
      </c>
      <c r="Z4572" s="464">
        <v>3</v>
      </c>
      <c r="AA4572" s="2243">
        <v>33</v>
      </c>
    </row>
    <row r="4573" spans="1:27" x14ac:dyDescent="0.2">
      <c r="A4573" s="3597"/>
      <c r="B4573" s="3589"/>
      <c r="C4573" s="3594"/>
      <c r="D4573" s="3563"/>
      <c r="E4573" s="3563"/>
      <c r="F4573" s="3563"/>
      <c r="G4573" s="3563"/>
      <c r="H4573" s="3563"/>
      <c r="I4573" s="3563"/>
      <c r="J4573" s="3563"/>
      <c r="K4573" s="3588"/>
      <c r="L4573" s="3600"/>
      <c r="M4573" s="2627" t="s">
        <v>111</v>
      </c>
      <c r="N4573" s="2627"/>
      <c r="O4573" s="490">
        <f>SUM(O4574:O4577)</f>
        <v>6911.85</v>
      </c>
      <c r="P4573" s="490">
        <f t="shared" ref="P4573:AA4573" si="747">SUM(P4574:P4577)</f>
        <v>6912.85</v>
      </c>
      <c r="Q4573" s="490">
        <f t="shared" si="747"/>
        <v>6913.85</v>
      </c>
      <c r="R4573" s="490">
        <f t="shared" si="747"/>
        <v>6914.85</v>
      </c>
      <c r="S4573" s="490">
        <f t="shared" si="747"/>
        <v>6915.85</v>
      </c>
      <c r="T4573" s="490">
        <f t="shared" si="747"/>
        <v>6916.85</v>
      </c>
      <c r="U4573" s="490">
        <f t="shared" si="747"/>
        <v>7817.85</v>
      </c>
      <c r="V4573" s="490">
        <f t="shared" si="747"/>
        <v>6918.85</v>
      </c>
      <c r="W4573" s="490">
        <f t="shared" si="747"/>
        <v>6919.85</v>
      </c>
      <c r="X4573" s="490">
        <f t="shared" si="747"/>
        <v>6920.85</v>
      </c>
      <c r="Y4573" s="490">
        <f t="shared" si="747"/>
        <v>6921.85</v>
      </c>
      <c r="Z4573" s="490">
        <f t="shared" si="747"/>
        <v>7822.85</v>
      </c>
      <c r="AA4573" s="371">
        <f t="shared" si="747"/>
        <v>84808.2</v>
      </c>
    </row>
    <row r="4574" spans="1:27" ht="33.75" x14ac:dyDescent="0.2">
      <c r="A4574" s="3597"/>
      <c r="B4574" s="3589"/>
      <c r="C4574" s="3594"/>
      <c r="D4574" s="3563"/>
      <c r="E4574" s="3563"/>
      <c r="F4574" s="3563"/>
      <c r="G4574" s="3563"/>
      <c r="H4574" s="3563"/>
      <c r="I4574" s="3563"/>
      <c r="J4574" s="3563"/>
      <c r="K4574" s="3588"/>
      <c r="L4574" s="3600"/>
      <c r="M4574" s="1951" t="s">
        <v>208</v>
      </c>
      <c r="N4574" s="345" t="s">
        <v>1942</v>
      </c>
      <c r="O4574" s="490">
        <v>6600</v>
      </c>
      <c r="P4574" s="490">
        <v>6600</v>
      </c>
      <c r="Q4574" s="490">
        <v>6600</v>
      </c>
      <c r="R4574" s="490">
        <v>6600</v>
      </c>
      <c r="S4574" s="490">
        <v>6600</v>
      </c>
      <c r="T4574" s="490">
        <v>6600</v>
      </c>
      <c r="U4574" s="490">
        <v>7500</v>
      </c>
      <c r="V4574" s="490">
        <v>6600</v>
      </c>
      <c r="W4574" s="490">
        <v>6600</v>
      </c>
      <c r="X4574" s="490">
        <v>6600</v>
      </c>
      <c r="Y4574" s="490">
        <v>6600</v>
      </c>
      <c r="Z4574" s="490">
        <v>7500</v>
      </c>
      <c r="AA4574" s="2243">
        <f>SUM(O4574:Z4574)</f>
        <v>81000</v>
      </c>
    </row>
    <row r="4575" spans="1:27" x14ac:dyDescent="0.2">
      <c r="A4575" s="3597"/>
      <c r="B4575" s="3589" t="s">
        <v>1943</v>
      </c>
      <c r="C4575" s="3603" t="s">
        <v>1944</v>
      </c>
      <c r="D4575" s="3563" t="s">
        <v>1863</v>
      </c>
      <c r="E4575" s="3563" t="s">
        <v>1857</v>
      </c>
      <c r="F4575" s="3563" t="s">
        <v>1858</v>
      </c>
      <c r="G4575" s="3563" t="s">
        <v>1859</v>
      </c>
      <c r="H4575" s="3563" t="s">
        <v>1945</v>
      </c>
      <c r="I4575" s="3563" t="str">
        <f>+I4572</f>
        <v>Unidad</v>
      </c>
      <c r="J4575" s="3563">
        <v>36</v>
      </c>
      <c r="K4575" s="3588"/>
      <c r="L4575" s="3600" t="s">
        <v>1866</v>
      </c>
      <c r="M4575" s="3601" t="s">
        <v>1847</v>
      </c>
      <c r="N4575" s="3602" t="s">
        <v>1848</v>
      </c>
      <c r="O4575" s="3053">
        <v>311.85000000000002</v>
      </c>
      <c r="P4575" s="3053">
        <v>312.85000000000002</v>
      </c>
      <c r="Q4575" s="3053">
        <v>313.85000000000002</v>
      </c>
      <c r="R4575" s="3053">
        <v>314.85000000000002</v>
      </c>
      <c r="S4575" s="3053">
        <v>315.85000000000002</v>
      </c>
      <c r="T4575" s="3053">
        <v>316.85000000000002</v>
      </c>
      <c r="U4575" s="3053">
        <v>317.85000000000002</v>
      </c>
      <c r="V4575" s="3053">
        <v>318.85000000000002</v>
      </c>
      <c r="W4575" s="3053">
        <v>319.85000000000002</v>
      </c>
      <c r="X4575" s="3053">
        <v>320.85000000000002</v>
      </c>
      <c r="Y4575" s="3053">
        <v>321.85000000000002</v>
      </c>
      <c r="Z4575" s="3053">
        <v>322.85000000000002</v>
      </c>
      <c r="AA4575" s="3598">
        <f>SUM(O4575:Z4577)</f>
        <v>3808.1999999999994</v>
      </c>
    </row>
    <row r="4576" spans="1:27" x14ac:dyDescent="0.2">
      <c r="A4576" s="3597"/>
      <c r="B4576" s="3589"/>
      <c r="C4576" s="3604"/>
      <c r="D4576" s="3563"/>
      <c r="E4576" s="3563"/>
      <c r="F4576" s="3563"/>
      <c r="G4576" s="3563"/>
      <c r="H4576" s="3563"/>
      <c r="I4576" s="3563"/>
      <c r="J4576" s="3563"/>
      <c r="K4576" s="3588"/>
      <c r="L4576" s="3600"/>
      <c r="M4576" s="3601"/>
      <c r="N4576" s="3602"/>
      <c r="O4576" s="3053"/>
      <c r="P4576" s="3053"/>
      <c r="Q4576" s="3053"/>
      <c r="R4576" s="3053"/>
      <c r="S4576" s="3053"/>
      <c r="T4576" s="3053"/>
      <c r="U4576" s="3053"/>
      <c r="V4576" s="3053"/>
      <c r="W4576" s="3053"/>
      <c r="X4576" s="3053"/>
      <c r="Y4576" s="3053"/>
      <c r="Z4576" s="3053"/>
      <c r="AA4576" s="3598"/>
    </row>
    <row r="4577" spans="1:27" x14ac:dyDescent="0.2">
      <c r="A4577" s="3597"/>
      <c r="B4577" s="3589"/>
      <c r="C4577" s="3605"/>
      <c r="D4577" s="3563"/>
      <c r="E4577" s="3563"/>
      <c r="F4577" s="3563"/>
      <c r="G4577" s="3563"/>
      <c r="H4577" s="3563"/>
      <c r="I4577" s="3563"/>
      <c r="J4577" s="3563"/>
      <c r="K4577" s="3588"/>
      <c r="L4577" s="3600"/>
      <c r="M4577" s="3601"/>
      <c r="N4577" s="3602"/>
      <c r="O4577" s="3053"/>
      <c r="P4577" s="3053"/>
      <c r="Q4577" s="3053"/>
      <c r="R4577" s="3053"/>
      <c r="S4577" s="3053"/>
      <c r="T4577" s="3053"/>
      <c r="U4577" s="3053"/>
      <c r="V4577" s="3053"/>
      <c r="W4577" s="3053"/>
      <c r="X4577" s="3053"/>
      <c r="Y4577" s="3053"/>
      <c r="Z4577" s="3053"/>
      <c r="AA4577" s="3598"/>
    </row>
    <row r="4578" spans="1:27" x14ac:dyDescent="0.2">
      <c r="A4578" s="38"/>
      <c r="B4578" s="38"/>
      <c r="C4578" s="38"/>
      <c r="D4578" s="38"/>
      <c r="E4578" s="38"/>
      <c r="F4578" s="38"/>
      <c r="G4578" s="38"/>
      <c r="H4578" s="38"/>
      <c r="I4578" s="38"/>
      <c r="J4578" s="38"/>
      <c r="K4578" s="47"/>
      <c r="L4578" s="38"/>
      <c r="M4578" s="38"/>
      <c r="N4578" s="38"/>
      <c r="O4578" s="38"/>
      <c r="P4578" s="38"/>
      <c r="Q4578" s="38"/>
      <c r="R4578" s="38"/>
      <c r="S4578" s="38"/>
      <c r="T4578" s="38"/>
      <c r="U4578" s="38"/>
      <c r="V4578" s="38"/>
      <c r="W4578" s="38"/>
      <c r="X4578" s="38"/>
      <c r="Y4578" s="38"/>
      <c r="Z4578" s="38"/>
      <c r="AA4578" s="2180"/>
    </row>
    <row r="4579" spans="1:27" ht="22.5" x14ac:dyDescent="0.2">
      <c r="A4579" s="38"/>
      <c r="B4579" s="452" t="s">
        <v>6</v>
      </c>
      <c r="C4579" s="2522" t="s">
        <v>1946</v>
      </c>
      <c r="D4579" s="2522"/>
      <c r="E4579" s="2522"/>
      <c r="F4579" s="2522"/>
      <c r="G4579" s="2522"/>
      <c r="H4579" s="2522"/>
      <c r="I4579" s="2522"/>
      <c r="J4579" s="2522"/>
      <c r="K4579" s="2522"/>
      <c r="L4579" s="2522"/>
      <c r="M4579" s="2522"/>
      <c r="N4579" s="2522"/>
      <c r="O4579" s="2522"/>
      <c r="P4579" s="2522"/>
      <c r="Q4579" s="2522"/>
      <c r="R4579" s="2522"/>
      <c r="S4579" s="2522"/>
      <c r="T4579" s="2522"/>
      <c r="U4579" s="2522"/>
      <c r="V4579" s="2522"/>
      <c r="W4579" s="2522"/>
      <c r="X4579" s="2522"/>
      <c r="Y4579" s="2522"/>
      <c r="Z4579" s="2522"/>
      <c r="AA4579" s="2522"/>
    </row>
    <row r="4580" spans="1:27" ht="21" customHeight="1" x14ac:dyDescent="0.2">
      <c r="A4580" s="38"/>
      <c r="B4580" s="1238" t="s">
        <v>8</v>
      </c>
      <c r="C4580" s="3599" t="s">
        <v>1803</v>
      </c>
      <c r="D4580" s="3599"/>
      <c r="E4580" s="3599"/>
      <c r="F4580" s="3599"/>
      <c r="G4580" s="3599"/>
      <c r="H4580" s="3599"/>
      <c r="I4580" s="3599"/>
      <c r="J4580" s="3599"/>
      <c r="K4580" s="3599"/>
      <c r="L4580" s="3599"/>
      <c r="M4580" s="3599"/>
      <c r="N4580" s="3599"/>
      <c r="O4580" s="3599"/>
      <c r="P4580" s="3599"/>
      <c r="Q4580" s="3599"/>
      <c r="R4580" s="3599"/>
      <c r="S4580" s="3599"/>
      <c r="T4580" s="3599"/>
      <c r="U4580" s="3599"/>
      <c r="V4580" s="3599"/>
      <c r="W4580" s="3599"/>
      <c r="X4580" s="3599"/>
      <c r="Y4580" s="3599"/>
      <c r="Z4580" s="3599"/>
      <c r="AA4580" s="3599"/>
    </row>
    <row r="4581" spans="1:27" ht="22.5" x14ac:dyDescent="0.2">
      <c r="A4581" s="38"/>
      <c r="B4581" s="452" t="s">
        <v>11</v>
      </c>
      <c r="C4581" s="3373" t="s">
        <v>1804</v>
      </c>
      <c r="D4581" s="3373"/>
      <c r="E4581" s="3373"/>
      <c r="F4581" s="3373"/>
      <c r="G4581" s="3373"/>
      <c r="H4581" s="3373"/>
      <c r="I4581" s="3373"/>
      <c r="J4581" s="3373"/>
      <c r="K4581" s="3373"/>
      <c r="L4581" s="3373"/>
      <c r="M4581" s="3373"/>
      <c r="N4581" s="3373"/>
      <c r="O4581" s="3373"/>
      <c r="P4581" s="3373"/>
      <c r="Q4581" s="3373"/>
      <c r="R4581" s="3373"/>
      <c r="S4581" s="3373"/>
      <c r="T4581" s="3373"/>
      <c r="U4581" s="3373"/>
      <c r="V4581" s="3373"/>
      <c r="W4581" s="487"/>
      <c r="X4581" s="487"/>
      <c r="Y4581" s="487"/>
      <c r="Z4581" s="487"/>
      <c r="AA4581" s="488"/>
    </row>
    <row r="4582" spans="1:27" x14ac:dyDescent="0.2">
      <c r="A4582" s="38"/>
      <c r="B4582" s="2847" t="s">
        <v>20</v>
      </c>
      <c r="C4582" s="2847" t="s">
        <v>21</v>
      </c>
      <c r="D4582" s="2847" t="s">
        <v>22</v>
      </c>
      <c r="E4582" s="2847" t="s">
        <v>23</v>
      </c>
      <c r="F4582" s="2847" t="s">
        <v>24</v>
      </c>
      <c r="G4582" s="2847" t="s">
        <v>25</v>
      </c>
      <c r="H4582" s="2847" t="s">
        <v>26</v>
      </c>
      <c r="I4582" s="2847" t="s">
        <v>27</v>
      </c>
      <c r="J4582" s="2847" t="s">
        <v>28</v>
      </c>
      <c r="K4582" s="2847"/>
      <c r="L4582" s="2847" t="s">
        <v>29</v>
      </c>
      <c r="M4582" s="2847" t="s">
        <v>30</v>
      </c>
      <c r="N4582" s="2847"/>
      <c r="O4582" s="2916" t="s">
        <v>31</v>
      </c>
      <c r="P4582" s="2916"/>
      <c r="Q4582" s="2916"/>
      <c r="R4582" s="2916"/>
      <c r="S4582" s="2916"/>
      <c r="T4582" s="2916"/>
      <c r="U4582" s="2916"/>
      <c r="V4582" s="2916"/>
      <c r="W4582" s="2916"/>
      <c r="X4582" s="2916"/>
      <c r="Y4582" s="2916"/>
      <c r="Z4582" s="2916"/>
      <c r="AA4582" s="3522" t="s">
        <v>32</v>
      </c>
    </row>
    <row r="4583" spans="1:27" x14ac:dyDescent="0.2">
      <c r="A4583" s="38"/>
      <c r="B4583" s="2847"/>
      <c r="C4583" s="2847"/>
      <c r="D4583" s="2847"/>
      <c r="E4583" s="2847"/>
      <c r="F4583" s="2847"/>
      <c r="G4583" s="2847"/>
      <c r="H4583" s="2847"/>
      <c r="I4583" s="2847"/>
      <c r="J4583" s="455" t="s">
        <v>33</v>
      </c>
      <c r="K4583" s="306" t="s">
        <v>34</v>
      </c>
      <c r="L4583" s="2847"/>
      <c r="M4583" s="2847"/>
      <c r="N4583" s="2847"/>
      <c r="O4583" s="471" t="s">
        <v>35</v>
      </c>
      <c r="P4583" s="471" t="s">
        <v>36</v>
      </c>
      <c r="Q4583" s="471" t="s">
        <v>37</v>
      </c>
      <c r="R4583" s="471" t="s">
        <v>38</v>
      </c>
      <c r="S4583" s="471" t="s">
        <v>39</v>
      </c>
      <c r="T4583" s="471" t="s">
        <v>40</v>
      </c>
      <c r="U4583" s="471" t="s">
        <v>41</v>
      </c>
      <c r="V4583" s="471" t="s">
        <v>42</v>
      </c>
      <c r="W4583" s="471" t="s">
        <v>43</v>
      </c>
      <c r="X4583" s="471" t="s">
        <v>44</v>
      </c>
      <c r="Y4583" s="471" t="s">
        <v>45</v>
      </c>
      <c r="Z4583" s="471" t="s">
        <v>46</v>
      </c>
      <c r="AA4583" s="3522"/>
    </row>
    <row r="4584" spans="1:27" s="289" customFormat="1" ht="50.25" customHeight="1" x14ac:dyDescent="0.2">
      <c r="A4584" s="132"/>
      <c r="B4584" s="453">
        <v>500000013</v>
      </c>
      <c r="C4584" s="453" t="s">
        <v>1805</v>
      </c>
      <c r="D4584" s="453" t="s">
        <v>1806</v>
      </c>
      <c r="E4584" s="453">
        <v>23</v>
      </c>
      <c r="F4584" s="489" t="s">
        <v>1807</v>
      </c>
      <c r="G4584" s="489" t="s">
        <v>166</v>
      </c>
      <c r="H4584" s="489" t="s">
        <v>1213</v>
      </c>
      <c r="I4584" s="453" t="s">
        <v>156</v>
      </c>
      <c r="J4584" s="453">
        <f>SUM(J4585:J4652)</f>
        <v>79</v>
      </c>
      <c r="K4584" s="493">
        <f>SUM(K4585:K4652)</f>
        <v>82728</v>
      </c>
      <c r="L4584" s="453"/>
      <c r="M4584" s="453"/>
      <c r="N4584" s="453"/>
      <c r="O4584" s="308"/>
      <c r="P4584" s="308"/>
      <c r="Q4584" s="308"/>
      <c r="R4584" s="308"/>
      <c r="S4584" s="308"/>
      <c r="T4584" s="308"/>
      <c r="U4584" s="308"/>
      <c r="V4584" s="308"/>
      <c r="W4584" s="308"/>
      <c r="X4584" s="308"/>
      <c r="Y4584" s="308"/>
      <c r="Z4584" s="308"/>
      <c r="AA4584" s="494"/>
    </row>
    <row r="4585" spans="1:27" x14ac:dyDescent="0.2">
      <c r="A4585" s="3608" t="s">
        <v>1808</v>
      </c>
      <c r="B4585" s="3563">
        <v>1.1000000000000001</v>
      </c>
      <c r="C4585" s="3606" t="s">
        <v>1810</v>
      </c>
      <c r="D4585" s="3563" t="s">
        <v>1806</v>
      </c>
      <c r="E4585" s="3563">
        <v>23</v>
      </c>
      <c r="F4585" s="3566" t="s">
        <v>1807</v>
      </c>
      <c r="G4585" s="3566" t="s">
        <v>166</v>
      </c>
      <c r="H4585" s="3390" t="s">
        <v>1811</v>
      </c>
      <c r="I4585" s="3567" t="s">
        <v>156</v>
      </c>
      <c r="J4585" s="3573">
        <v>0</v>
      </c>
      <c r="K4585" s="3557">
        <f>AA4586</f>
        <v>1400</v>
      </c>
      <c r="L4585" s="3347" t="s">
        <v>1812</v>
      </c>
      <c r="M4585" s="3607" t="s">
        <v>51</v>
      </c>
      <c r="N4585" s="3607"/>
      <c r="O4585" s="308">
        <v>0</v>
      </c>
      <c r="P4585" s="308">
        <v>1</v>
      </c>
      <c r="Q4585" s="308">
        <v>0</v>
      </c>
      <c r="R4585" s="308">
        <v>0</v>
      </c>
      <c r="S4585" s="308">
        <v>0</v>
      </c>
      <c r="T4585" s="308">
        <v>0</v>
      </c>
      <c r="U4585" s="308">
        <v>0</v>
      </c>
      <c r="V4585" s="308">
        <v>0</v>
      </c>
      <c r="W4585" s="308">
        <v>0</v>
      </c>
      <c r="X4585" s="308">
        <v>0</v>
      </c>
      <c r="Y4585" s="308">
        <v>0</v>
      </c>
      <c r="Z4585" s="308">
        <v>0</v>
      </c>
      <c r="AA4585" s="1441">
        <v>0</v>
      </c>
    </row>
    <row r="4586" spans="1:27" x14ac:dyDescent="0.2">
      <c r="A4586" s="3608"/>
      <c r="B4586" s="3563"/>
      <c r="C4586" s="3606"/>
      <c r="D4586" s="3563"/>
      <c r="E4586" s="3563"/>
      <c r="F4586" s="3566"/>
      <c r="G4586" s="3566"/>
      <c r="H4586" s="3390"/>
      <c r="I4586" s="3567"/>
      <c r="J4586" s="3573"/>
      <c r="K4586" s="3557"/>
      <c r="L4586" s="3347"/>
      <c r="M4586" s="3607" t="s">
        <v>1813</v>
      </c>
      <c r="N4586" s="3607"/>
      <c r="O4586" s="308">
        <f t="shared" ref="O4586:Z4586" si="748">SUM(O4587:O4590)</f>
        <v>1400</v>
      </c>
      <c r="P4586" s="308">
        <f t="shared" si="748"/>
        <v>0</v>
      </c>
      <c r="Q4586" s="308">
        <f t="shared" si="748"/>
        <v>0</v>
      </c>
      <c r="R4586" s="308">
        <f t="shared" si="748"/>
        <v>0</v>
      </c>
      <c r="S4586" s="308">
        <f t="shared" si="748"/>
        <v>0</v>
      </c>
      <c r="T4586" s="308">
        <f t="shared" si="748"/>
        <v>0</v>
      </c>
      <c r="U4586" s="308">
        <f t="shared" si="748"/>
        <v>0</v>
      </c>
      <c r="V4586" s="308">
        <f t="shared" si="748"/>
        <v>0</v>
      </c>
      <c r="W4586" s="308">
        <f t="shared" si="748"/>
        <v>0</v>
      </c>
      <c r="X4586" s="308">
        <f t="shared" si="748"/>
        <v>0</v>
      </c>
      <c r="Y4586" s="308">
        <f t="shared" si="748"/>
        <v>0</v>
      </c>
      <c r="Z4586" s="308">
        <f t="shared" si="748"/>
        <v>0</v>
      </c>
      <c r="AA4586" s="1441">
        <f t="shared" ref="AA4586:AA4604" si="749">SUM(O4586:Z4586)</f>
        <v>1400</v>
      </c>
    </row>
    <row r="4587" spans="1:27" ht="22.5" x14ac:dyDescent="0.2">
      <c r="A4587" s="3608"/>
      <c r="B4587" s="3563"/>
      <c r="C4587" s="3606"/>
      <c r="D4587" s="3563"/>
      <c r="E4587" s="3563"/>
      <c r="F4587" s="3566"/>
      <c r="G4587" s="3566"/>
      <c r="H4587" s="3390"/>
      <c r="I4587" s="3567"/>
      <c r="J4587" s="3573"/>
      <c r="K4587" s="3557"/>
      <c r="L4587" s="3347"/>
      <c r="M4587" s="1925" t="s">
        <v>184</v>
      </c>
      <c r="N4587" s="1925" t="s">
        <v>1367</v>
      </c>
      <c r="O4587" s="173">
        <v>300</v>
      </c>
      <c r="P4587" s="173">
        <v>0</v>
      </c>
      <c r="Q4587" s="173">
        <v>0</v>
      </c>
      <c r="R4587" s="173">
        <v>0</v>
      </c>
      <c r="S4587" s="173">
        <v>0</v>
      </c>
      <c r="T4587" s="173">
        <v>0</v>
      </c>
      <c r="U4587" s="173">
        <v>0</v>
      </c>
      <c r="V4587" s="173">
        <v>0</v>
      </c>
      <c r="W4587" s="173">
        <v>0</v>
      </c>
      <c r="X4587" s="173">
        <v>0</v>
      </c>
      <c r="Y4587" s="173">
        <v>0</v>
      </c>
      <c r="Z4587" s="173">
        <v>0</v>
      </c>
      <c r="AA4587" s="1440">
        <f t="shared" si="749"/>
        <v>300</v>
      </c>
    </row>
    <row r="4588" spans="1:27" ht="22.5" x14ac:dyDescent="0.2">
      <c r="A4588" s="3608"/>
      <c r="B4588" s="3563"/>
      <c r="C4588" s="3606"/>
      <c r="D4588" s="3563"/>
      <c r="E4588" s="3563"/>
      <c r="F4588" s="3566"/>
      <c r="G4588" s="3566"/>
      <c r="H4588" s="3390"/>
      <c r="I4588" s="3567"/>
      <c r="J4588" s="3573"/>
      <c r="K4588" s="3557"/>
      <c r="L4588" s="3347"/>
      <c r="M4588" s="1925" t="s">
        <v>194</v>
      </c>
      <c r="N4588" s="1925" t="s">
        <v>1368</v>
      </c>
      <c r="O4588" s="500">
        <v>300</v>
      </c>
      <c r="P4588" s="500">
        <v>0</v>
      </c>
      <c r="Q4588" s="500">
        <v>0</v>
      </c>
      <c r="R4588" s="500">
        <v>0</v>
      </c>
      <c r="S4588" s="500">
        <v>0</v>
      </c>
      <c r="T4588" s="500">
        <v>0</v>
      </c>
      <c r="U4588" s="500">
        <v>0</v>
      </c>
      <c r="V4588" s="500">
        <v>0</v>
      </c>
      <c r="W4588" s="500">
        <v>0</v>
      </c>
      <c r="X4588" s="500">
        <v>0</v>
      </c>
      <c r="Y4588" s="500">
        <v>0</v>
      </c>
      <c r="Z4588" s="500">
        <v>0</v>
      </c>
      <c r="AA4588" s="1440">
        <f t="shared" si="749"/>
        <v>300</v>
      </c>
    </row>
    <row r="4589" spans="1:27" x14ac:dyDescent="0.2">
      <c r="A4589" s="3608"/>
      <c r="B4589" s="3563"/>
      <c r="C4589" s="3606"/>
      <c r="D4589" s="3563"/>
      <c r="E4589" s="3563"/>
      <c r="F4589" s="3566"/>
      <c r="G4589" s="3566"/>
      <c r="H4589" s="3390"/>
      <c r="I4589" s="3567"/>
      <c r="J4589" s="3573"/>
      <c r="K4589" s="3557"/>
      <c r="L4589" s="3347"/>
      <c r="M4589" s="1925" t="s">
        <v>1359</v>
      </c>
      <c r="N4589" s="1925" t="s">
        <v>1336</v>
      </c>
      <c r="O4589" s="500">
        <v>0</v>
      </c>
      <c r="P4589" s="500">
        <v>0</v>
      </c>
      <c r="Q4589" s="500">
        <v>0</v>
      </c>
      <c r="R4589" s="500">
        <v>0</v>
      </c>
      <c r="S4589" s="500">
        <v>0</v>
      </c>
      <c r="T4589" s="500">
        <v>0</v>
      </c>
      <c r="U4589" s="500">
        <v>0</v>
      </c>
      <c r="V4589" s="500">
        <v>0</v>
      </c>
      <c r="W4589" s="500">
        <v>0</v>
      </c>
      <c r="X4589" s="500">
        <v>0</v>
      </c>
      <c r="Y4589" s="500">
        <v>0</v>
      </c>
      <c r="Z4589" s="500">
        <v>0</v>
      </c>
      <c r="AA4589" s="1440">
        <f t="shared" si="749"/>
        <v>0</v>
      </c>
    </row>
    <row r="4590" spans="1:27" ht="22.5" x14ac:dyDescent="0.2">
      <c r="A4590" s="3608"/>
      <c r="B4590" s="3563"/>
      <c r="C4590" s="3606"/>
      <c r="D4590" s="3563"/>
      <c r="E4590" s="3563"/>
      <c r="F4590" s="3566"/>
      <c r="G4590" s="3566"/>
      <c r="H4590" s="3390"/>
      <c r="I4590" s="3567"/>
      <c r="J4590" s="3573"/>
      <c r="K4590" s="3557"/>
      <c r="L4590" s="3347"/>
      <c r="M4590" s="1925" t="s">
        <v>180</v>
      </c>
      <c r="N4590" s="1925" t="s">
        <v>181</v>
      </c>
      <c r="O4590" s="500">
        <v>800</v>
      </c>
      <c r="P4590" s="500">
        <v>0</v>
      </c>
      <c r="Q4590" s="500">
        <v>0</v>
      </c>
      <c r="R4590" s="500">
        <v>0</v>
      </c>
      <c r="S4590" s="500">
        <v>0</v>
      </c>
      <c r="T4590" s="500">
        <v>0</v>
      </c>
      <c r="U4590" s="500">
        <v>0</v>
      </c>
      <c r="V4590" s="500">
        <v>0</v>
      </c>
      <c r="W4590" s="500">
        <v>0</v>
      </c>
      <c r="X4590" s="500">
        <v>0</v>
      </c>
      <c r="Y4590" s="500">
        <v>0</v>
      </c>
      <c r="Z4590" s="500">
        <v>0</v>
      </c>
      <c r="AA4590" s="1440">
        <f t="shared" si="749"/>
        <v>800</v>
      </c>
    </row>
    <row r="4591" spans="1:27" x14ac:dyDescent="0.2">
      <c r="A4591" s="3608"/>
      <c r="B4591" s="3563">
        <v>1.2</v>
      </c>
      <c r="C4591" s="3606" t="s">
        <v>1816</v>
      </c>
      <c r="D4591" s="3563" t="s">
        <v>1806</v>
      </c>
      <c r="E4591" s="3563">
        <v>23</v>
      </c>
      <c r="F4591" s="3566" t="s">
        <v>1807</v>
      </c>
      <c r="G4591" s="3566" t="s">
        <v>166</v>
      </c>
      <c r="H4591" s="3390" t="s">
        <v>1817</v>
      </c>
      <c r="I4591" s="3567" t="s">
        <v>156</v>
      </c>
      <c r="J4591" s="3567">
        <v>2</v>
      </c>
      <c r="K4591" s="3557">
        <f>AA4592</f>
        <v>2880</v>
      </c>
      <c r="L4591" s="3347" t="s">
        <v>1812</v>
      </c>
      <c r="M4591" s="3219" t="s">
        <v>51</v>
      </c>
      <c r="N4591" s="3219"/>
      <c r="O4591" s="502">
        <v>0</v>
      </c>
      <c r="P4591" s="502">
        <v>0</v>
      </c>
      <c r="Q4591" s="502">
        <v>1</v>
      </c>
      <c r="R4591" s="502">
        <v>1</v>
      </c>
      <c r="S4591" s="502">
        <v>1</v>
      </c>
      <c r="T4591" s="502"/>
      <c r="U4591" s="502"/>
      <c r="V4591" s="502"/>
      <c r="W4591" s="502"/>
      <c r="X4591" s="502">
        <v>1</v>
      </c>
      <c r="Y4591" s="502">
        <v>1</v>
      </c>
      <c r="Z4591" s="502">
        <v>1</v>
      </c>
      <c r="AA4591" s="1441">
        <f t="shared" si="749"/>
        <v>6</v>
      </c>
    </row>
    <row r="4592" spans="1:27" x14ac:dyDescent="0.2">
      <c r="A4592" s="3608"/>
      <c r="B4592" s="3563"/>
      <c r="C4592" s="3606"/>
      <c r="D4592" s="3563"/>
      <c r="E4592" s="3563"/>
      <c r="F4592" s="3566"/>
      <c r="G4592" s="3566"/>
      <c r="H4592" s="3390"/>
      <c r="I4592" s="3567"/>
      <c r="J4592" s="3567"/>
      <c r="K4592" s="3557"/>
      <c r="L4592" s="3347"/>
      <c r="M4592" s="3219" t="s">
        <v>1813</v>
      </c>
      <c r="N4592" s="3219"/>
      <c r="O4592" s="175">
        <f t="shared" ref="O4592:Z4592" si="750">SUM(O4593:O4597)</f>
        <v>0</v>
      </c>
      <c r="P4592" s="175">
        <f t="shared" si="750"/>
        <v>400</v>
      </c>
      <c r="Q4592" s="175">
        <f t="shared" si="750"/>
        <v>0</v>
      </c>
      <c r="R4592" s="175">
        <f t="shared" si="750"/>
        <v>300</v>
      </c>
      <c r="S4592" s="175">
        <f t="shared" si="750"/>
        <v>540</v>
      </c>
      <c r="T4592" s="175">
        <f t="shared" si="750"/>
        <v>400</v>
      </c>
      <c r="U4592" s="175">
        <f t="shared" si="750"/>
        <v>0</v>
      </c>
      <c r="V4592" s="175">
        <f t="shared" si="750"/>
        <v>0</v>
      </c>
      <c r="W4592" s="175">
        <f t="shared" si="750"/>
        <v>0</v>
      </c>
      <c r="X4592" s="175">
        <f t="shared" si="750"/>
        <v>940</v>
      </c>
      <c r="Y4592" s="175">
        <f t="shared" si="750"/>
        <v>0</v>
      </c>
      <c r="Z4592" s="175">
        <f t="shared" si="750"/>
        <v>300</v>
      </c>
      <c r="AA4592" s="1441">
        <f>SUM(O4592:Z4592)</f>
        <v>2880</v>
      </c>
    </row>
    <row r="4593" spans="1:27" x14ac:dyDescent="0.2">
      <c r="A4593" s="3608"/>
      <c r="B4593" s="3563"/>
      <c r="C4593" s="3606"/>
      <c r="D4593" s="3563"/>
      <c r="E4593" s="3563"/>
      <c r="F4593" s="3566"/>
      <c r="G4593" s="3566"/>
      <c r="H4593" s="3390"/>
      <c r="I4593" s="3567"/>
      <c r="J4593" s="3567"/>
      <c r="K4593" s="3557"/>
      <c r="L4593" s="3347"/>
      <c r="M4593" s="1925" t="s">
        <v>1452</v>
      </c>
      <c r="N4593" s="1925" t="s">
        <v>1818</v>
      </c>
      <c r="O4593" s="4">
        <v>0</v>
      </c>
      <c r="P4593" s="4">
        <v>0</v>
      </c>
      <c r="Q4593" s="4">
        <v>0</v>
      </c>
      <c r="R4593" s="4">
        <v>300</v>
      </c>
      <c r="S4593" s="4">
        <v>0</v>
      </c>
      <c r="T4593" s="4">
        <v>0</v>
      </c>
      <c r="U4593" s="4">
        <v>0</v>
      </c>
      <c r="V4593" s="4">
        <v>0</v>
      </c>
      <c r="W4593" s="4">
        <v>0</v>
      </c>
      <c r="X4593" s="4">
        <v>0</v>
      </c>
      <c r="Y4593" s="4">
        <v>0</v>
      </c>
      <c r="Z4593" s="4">
        <v>300</v>
      </c>
      <c r="AA4593" s="1440">
        <f t="shared" si="749"/>
        <v>600</v>
      </c>
    </row>
    <row r="4594" spans="1:27" ht="22.5" x14ac:dyDescent="0.2">
      <c r="A4594" s="3608"/>
      <c r="B4594" s="3563"/>
      <c r="C4594" s="3606"/>
      <c r="D4594" s="3563"/>
      <c r="E4594" s="3563"/>
      <c r="F4594" s="3566"/>
      <c r="G4594" s="3566"/>
      <c r="H4594" s="3390"/>
      <c r="I4594" s="3567"/>
      <c r="J4594" s="3567"/>
      <c r="K4594" s="3557"/>
      <c r="L4594" s="3347"/>
      <c r="M4594" s="1923" t="s">
        <v>194</v>
      </c>
      <c r="N4594" s="1923" t="s">
        <v>1368</v>
      </c>
      <c r="O4594" s="4">
        <v>0</v>
      </c>
      <c r="P4594" s="4">
        <v>0</v>
      </c>
      <c r="Q4594" s="4">
        <v>0</v>
      </c>
      <c r="R4594" s="4">
        <v>0</v>
      </c>
      <c r="S4594" s="4">
        <v>300</v>
      </c>
      <c r="T4594" s="4">
        <v>0</v>
      </c>
      <c r="U4594" s="4">
        <v>0</v>
      </c>
      <c r="V4594" s="4">
        <v>0</v>
      </c>
      <c r="W4594" s="4">
        <v>0</v>
      </c>
      <c r="X4594" s="4">
        <v>300</v>
      </c>
      <c r="Y4594" s="4">
        <v>0</v>
      </c>
      <c r="Z4594" s="4">
        <v>0</v>
      </c>
      <c r="AA4594" s="1440">
        <f t="shared" si="749"/>
        <v>600</v>
      </c>
    </row>
    <row r="4595" spans="1:27" x14ac:dyDescent="0.2">
      <c r="A4595" s="3608"/>
      <c r="B4595" s="3563"/>
      <c r="C4595" s="3606"/>
      <c r="D4595" s="3563"/>
      <c r="E4595" s="3563"/>
      <c r="F4595" s="3566"/>
      <c r="G4595" s="3566"/>
      <c r="H4595" s="3390"/>
      <c r="I4595" s="3567"/>
      <c r="J4595" s="3567"/>
      <c r="K4595" s="3557"/>
      <c r="L4595" s="3347"/>
      <c r="M4595" s="1923" t="s">
        <v>1359</v>
      </c>
      <c r="N4595" s="1923" t="s">
        <v>1336</v>
      </c>
      <c r="O4595" s="4">
        <v>0</v>
      </c>
      <c r="P4595" s="4">
        <v>0</v>
      </c>
      <c r="Q4595" s="4">
        <v>0</v>
      </c>
      <c r="R4595" s="4">
        <v>0</v>
      </c>
      <c r="S4595" s="4">
        <v>0</v>
      </c>
      <c r="T4595" s="4">
        <v>0</v>
      </c>
      <c r="U4595" s="4">
        <v>0</v>
      </c>
      <c r="V4595" s="4">
        <v>0</v>
      </c>
      <c r="W4595" s="4">
        <v>0</v>
      </c>
      <c r="X4595" s="4">
        <v>0</v>
      </c>
      <c r="Y4595" s="4">
        <v>0</v>
      </c>
      <c r="Z4595" s="4">
        <v>0</v>
      </c>
      <c r="AA4595" s="1440">
        <f t="shared" si="749"/>
        <v>0</v>
      </c>
    </row>
    <row r="4596" spans="1:27" ht="22.5" x14ac:dyDescent="0.2">
      <c r="A4596" s="3608"/>
      <c r="B4596" s="3563"/>
      <c r="C4596" s="3606"/>
      <c r="D4596" s="3563"/>
      <c r="E4596" s="3563"/>
      <c r="F4596" s="3566"/>
      <c r="G4596" s="3566"/>
      <c r="H4596" s="3390"/>
      <c r="I4596" s="3567"/>
      <c r="J4596" s="3567"/>
      <c r="K4596" s="3557"/>
      <c r="L4596" s="3347"/>
      <c r="M4596" s="1923" t="s">
        <v>200</v>
      </c>
      <c r="N4596" s="1923" t="s">
        <v>1473</v>
      </c>
      <c r="O4596" s="4">
        <v>0</v>
      </c>
      <c r="P4596" s="4">
        <v>400</v>
      </c>
      <c r="Q4596" s="4">
        <v>0</v>
      </c>
      <c r="R4596" s="4">
        <v>0</v>
      </c>
      <c r="S4596" s="4">
        <v>0</v>
      </c>
      <c r="T4596" s="4">
        <v>400</v>
      </c>
      <c r="U4596" s="4">
        <v>0</v>
      </c>
      <c r="V4596" s="4">
        <v>0</v>
      </c>
      <c r="W4596" s="4">
        <v>0</v>
      </c>
      <c r="X4596" s="4">
        <v>400</v>
      </c>
      <c r="Y4596" s="4">
        <v>0</v>
      </c>
      <c r="Z4596" s="4">
        <v>0</v>
      </c>
      <c r="AA4596" s="1440">
        <f t="shared" si="749"/>
        <v>1200</v>
      </c>
    </row>
    <row r="4597" spans="1:27" x14ac:dyDescent="0.2">
      <c r="A4597" s="3608"/>
      <c r="B4597" s="3563"/>
      <c r="C4597" s="3606"/>
      <c r="D4597" s="3563"/>
      <c r="E4597" s="3563"/>
      <c r="F4597" s="3566"/>
      <c r="G4597" s="3566"/>
      <c r="H4597" s="3390"/>
      <c r="I4597" s="3567"/>
      <c r="J4597" s="3567"/>
      <c r="K4597" s="3557"/>
      <c r="L4597" s="3347"/>
      <c r="M4597" s="1927" t="s">
        <v>541</v>
      </c>
      <c r="N4597" s="1927" t="s">
        <v>542</v>
      </c>
      <c r="O4597" s="4">
        <v>0</v>
      </c>
      <c r="P4597" s="4">
        <v>0</v>
      </c>
      <c r="Q4597" s="4">
        <v>0</v>
      </c>
      <c r="R4597" s="4">
        <v>0</v>
      </c>
      <c r="S4597" s="4">
        <v>240</v>
      </c>
      <c r="T4597" s="4">
        <v>0</v>
      </c>
      <c r="U4597" s="4">
        <v>0</v>
      </c>
      <c r="V4597" s="4">
        <v>0</v>
      </c>
      <c r="W4597" s="4">
        <v>0</v>
      </c>
      <c r="X4597" s="4">
        <v>240</v>
      </c>
      <c r="Y4597" s="4">
        <v>0</v>
      </c>
      <c r="Z4597" s="4">
        <v>0</v>
      </c>
      <c r="AA4597" s="1440">
        <f t="shared" si="749"/>
        <v>480</v>
      </c>
    </row>
    <row r="4598" spans="1:27" x14ac:dyDescent="0.2">
      <c r="A4598" s="3608"/>
      <c r="B4598" s="3563">
        <v>1.3</v>
      </c>
      <c r="C4598" s="3606" t="s">
        <v>1819</v>
      </c>
      <c r="D4598" s="3563" t="s">
        <v>1806</v>
      </c>
      <c r="E4598" s="3563">
        <v>23</v>
      </c>
      <c r="F4598" s="3564" t="s">
        <v>1807</v>
      </c>
      <c r="G4598" s="3564" t="s">
        <v>166</v>
      </c>
      <c r="H4598" s="3390" t="s">
        <v>1817</v>
      </c>
      <c r="I4598" s="3567" t="s">
        <v>156</v>
      </c>
      <c r="J4598" s="3567">
        <v>2</v>
      </c>
      <c r="K4598" s="3557">
        <f>AA4599</f>
        <v>500</v>
      </c>
      <c r="L4598" s="2421" t="s">
        <v>1812</v>
      </c>
      <c r="M4598" s="3609" t="s">
        <v>51</v>
      </c>
      <c r="N4598" s="3609"/>
      <c r="O4598" s="502">
        <v>0</v>
      </c>
      <c r="P4598" s="502">
        <v>1</v>
      </c>
      <c r="Q4598" s="502">
        <v>0</v>
      </c>
      <c r="R4598" s="502">
        <v>0</v>
      </c>
      <c r="S4598" s="502">
        <v>0</v>
      </c>
      <c r="T4598" s="502">
        <v>0</v>
      </c>
      <c r="U4598" s="502">
        <v>0</v>
      </c>
      <c r="V4598" s="502">
        <v>1</v>
      </c>
      <c r="W4598" s="502">
        <v>0</v>
      </c>
      <c r="X4598" s="502">
        <v>0</v>
      </c>
      <c r="Y4598" s="502">
        <v>0</v>
      </c>
      <c r="Z4598" s="502">
        <v>0</v>
      </c>
      <c r="AA4598" s="1441">
        <f t="shared" si="749"/>
        <v>2</v>
      </c>
    </row>
    <row r="4599" spans="1:27" x14ac:dyDescent="0.2">
      <c r="A4599" s="3608"/>
      <c r="B4599" s="3563"/>
      <c r="C4599" s="3606"/>
      <c r="D4599" s="3563"/>
      <c r="E4599" s="3563"/>
      <c r="F4599" s="3564"/>
      <c r="G4599" s="3564"/>
      <c r="H4599" s="3390"/>
      <c r="I4599" s="3567"/>
      <c r="J4599" s="3567"/>
      <c r="K4599" s="3557"/>
      <c r="L4599" s="2421"/>
      <c r="M4599" s="3609" t="s">
        <v>1813</v>
      </c>
      <c r="N4599" s="3609"/>
      <c r="O4599" s="175">
        <f>SUM(O4600)</f>
        <v>0</v>
      </c>
      <c r="P4599" s="175">
        <f>SUM(P4600)</f>
        <v>250</v>
      </c>
      <c r="Q4599" s="175">
        <f t="shared" ref="Q4599:Y4599" si="751">SUM(Q4600)</f>
        <v>0</v>
      </c>
      <c r="R4599" s="175">
        <f t="shared" si="751"/>
        <v>0</v>
      </c>
      <c r="S4599" s="175">
        <f t="shared" si="751"/>
        <v>0</v>
      </c>
      <c r="T4599" s="175">
        <f t="shared" si="751"/>
        <v>0</v>
      </c>
      <c r="U4599" s="175">
        <f t="shared" si="751"/>
        <v>0</v>
      </c>
      <c r="V4599" s="175">
        <f t="shared" si="751"/>
        <v>250</v>
      </c>
      <c r="W4599" s="175">
        <f t="shared" si="751"/>
        <v>0</v>
      </c>
      <c r="X4599" s="175">
        <f t="shared" si="751"/>
        <v>0</v>
      </c>
      <c r="Y4599" s="175">
        <f t="shared" si="751"/>
        <v>0</v>
      </c>
      <c r="Z4599" s="175">
        <f>SUM(Z4600)</f>
        <v>0</v>
      </c>
      <c r="AA4599" s="1441">
        <f t="shared" si="749"/>
        <v>500</v>
      </c>
    </row>
    <row r="4600" spans="1:27" x14ac:dyDescent="0.2">
      <c r="A4600" s="3608"/>
      <c r="B4600" s="3563"/>
      <c r="C4600" s="3606"/>
      <c r="D4600" s="3563"/>
      <c r="E4600" s="3563"/>
      <c r="F4600" s="3564"/>
      <c r="G4600" s="3564"/>
      <c r="H4600" s="3390"/>
      <c r="I4600" s="3567"/>
      <c r="J4600" s="3567"/>
      <c r="K4600" s="3557"/>
      <c r="L4600" s="2421"/>
      <c r="M4600" s="1923" t="s">
        <v>1452</v>
      </c>
      <c r="N4600" s="1923" t="s">
        <v>1818</v>
      </c>
      <c r="O4600" s="4">
        <v>0</v>
      </c>
      <c r="P4600" s="4">
        <v>250</v>
      </c>
      <c r="Q4600" s="4">
        <v>0</v>
      </c>
      <c r="R4600" s="4">
        <v>0</v>
      </c>
      <c r="S4600" s="4">
        <v>0</v>
      </c>
      <c r="T4600" s="4">
        <v>0</v>
      </c>
      <c r="U4600" s="4">
        <v>0</v>
      </c>
      <c r="V4600" s="4">
        <v>250</v>
      </c>
      <c r="W4600" s="4">
        <v>0</v>
      </c>
      <c r="X4600" s="4">
        <v>0</v>
      </c>
      <c r="Y4600" s="4">
        <v>0</v>
      </c>
      <c r="Z4600" s="4">
        <v>0</v>
      </c>
      <c r="AA4600" s="1440">
        <f t="shared" si="749"/>
        <v>500</v>
      </c>
    </row>
    <row r="4601" spans="1:27" x14ac:dyDescent="0.2">
      <c r="A4601" s="3608"/>
      <c r="B4601" s="3563">
        <v>1.4</v>
      </c>
      <c r="C4601" s="3606" t="s">
        <v>1820</v>
      </c>
      <c r="D4601" s="3563" t="s">
        <v>1806</v>
      </c>
      <c r="E4601" s="3563">
        <v>23</v>
      </c>
      <c r="F4601" s="3564" t="s">
        <v>1807</v>
      </c>
      <c r="G4601" s="3564" t="s">
        <v>166</v>
      </c>
      <c r="H4601" s="3390" t="s">
        <v>1817</v>
      </c>
      <c r="I4601" s="3567" t="s">
        <v>156</v>
      </c>
      <c r="J4601" s="3573">
        <v>4</v>
      </c>
      <c r="K4601" s="3557">
        <f>AA4602</f>
        <v>500</v>
      </c>
      <c r="L4601" s="2421" t="s">
        <v>1812</v>
      </c>
      <c r="M4601" s="2840" t="s">
        <v>51</v>
      </c>
      <c r="N4601" s="2840"/>
      <c r="O4601" s="309">
        <v>2</v>
      </c>
      <c r="P4601" s="309">
        <v>2</v>
      </c>
      <c r="Q4601" s="309">
        <v>0</v>
      </c>
      <c r="R4601" s="309">
        <v>0</v>
      </c>
      <c r="S4601" s="309">
        <v>0</v>
      </c>
      <c r="T4601" s="309">
        <v>0</v>
      </c>
      <c r="U4601" s="309">
        <v>0</v>
      </c>
      <c r="V4601" s="309">
        <v>0</v>
      </c>
      <c r="W4601" s="309">
        <v>0</v>
      </c>
      <c r="X4601" s="309">
        <v>0</v>
      </c>
      <c r="Y4601" s="309">
        <v>0</v>
      </c>
      <c r="Z4601" s="309">
        <v>0</v>
      </c>
      <c r="AA4601" s="2244">
        <f t="shared" si="749"/>
        <v>4</v>
      </c>
    </row>
    <row r="4602" spans="1:27" x14ac:dyDescent="0.2">
      <c r="A4602" s="3608"/>
      <c r="B4602" s="3563"/>
      <c r="C4602" s="3606"/>
      <c r="D4602" s="3563"/>
      <c r="E4602" s="3563"/>
      <c r="F4602" s="3564"/>
      <c r="G4602" s="3564"/>
      <c r="H4602" s="3390"/>
      <c r="I4602" s="3567"/>
      <c r="J4602" s="3573"/>
      <c r="K4602" s="3557"/>
      <c r="L4602" s="2421"/>
      <c r="M4602" s="2840" t="s">
        <v>1813</v>
      </c>
      <c r="N4602" s="2840"/>
      <c r="O4602" s="175">
        <v>300</v>
      </c>
      <c r="P4602" s="175">
        <v>200</v>
      </c>
      <c r="Q4602" s="175">
        <f>+Q4603</f>
        <v>0</v>
      </c>
      <c r="R4602" s="175">
        <f>+R4604</f>
        <v>0</v>
      </c>
      <c r="S4602" s="175">
        <f t="shared" ref="S4602:Z4602" si="752">SUM(S4603:S4604)</f>
        <v>0</v>
      </c>
      <c r="T4602" s="175">
        <f t="shared" si="752"/>
        <v>0</v>
      </c>
      <c r="U4602" s="175">
        <f t="shared" si="752"/>
        <v>0</v>
      </c>
      <c r="V4602" s="175">
        <f t="shared" si="752"/>
        <v>0</v>
      </c>
      <c r="W4602" s="175">
        <f t="shared" si="752"/>
        <v>0</v>
      </c>
      <c r="X4602" s="175">
        <f t="shared" si="752"/>
        <v>0</v>
      </c>
      <c r="Y4602" s="175">
        <f t="shared" si="752"/>
        <v>0</v>
      </c>
      <c r="Z4602" s="175">
        <f t="shared" si="752"/>
        <v>0</v>
      </c>
      <c r="AA4602" s="1441">
        <f t="shared" si="749"/>
        <v>500</v>
      </c>
    </row>
    <row r="4603" spans="1:27" x14ac:dyDescent="0.2">
      <c r="A4603" s="3608"/>
      <c r="B4603" s="3563"/>
      <c r="C4603" s="3606"/>
      <c r="D4603" s="3563"/>
      <c r="E4603" s="3563"/>
      <c r="F4603" s="3564"/>
      <c r="G4603" s="3564"/>
      <c r="H4603" s="3390"/>
      <c r="I4603" s="3567"/>
      <c r="J4603" s="3573"/>
      <c r="K4603" s="3557"/>
      <c r="L4603" s="2421"/>
      <c r="M4603" s="1923" t="s">
        <v>1452</v>
      </c>
      <c r="N4603" s="969" t="s">
        <v>1818</v>
      </c>
      <c r="O4603" s="310">
        <v>300</v>
      </c>
      <c r="P4603" s="310">
        <v>200</v>
      </c>
      <c r="Q4603" s="310">
        <v>0</v>
      </c>
      <c r="R4603" s="310">
        <v>0</v>
      </c>
      <c r="S4603" s="310">
        <v>0</v>
      </c>
      <c r="T4603" s="310">
        <v>0</v>
      </c>
      <c r="U4603" s="310">
        <v>0</v>
      </c>
      <c r="V4603" s="310">
        <v>0</v>
      </c>
      <c r="W4603" s="310">
        <v>0</v>
      </c>
      <c r="X4603" s="310">
        <v>0</v>
      </c>
      <c r="Y4603" s="310">
        <v>0</v>
      </c>
      <c r="Z4603" s="310">
        <v>0</v>
      </c>
      <c r="AA4603" s="1440">
        <f t="shared" si="749"/>
        <v>500</v>
      </c>
    </row>
    <row r="4604" spans="1:27" x14ac:dyDescent="0.2">
      <c r="A4604" s="3608"/>
      <c r="B4604" s="3563"/>
      <c r="C4604" s="3606"/>
      <c r="D4604" s="3563"/>
      <c r="E4604" s="3563"/>
      <c r="F4604" s="3564"/>
      <c r="G4604" s="3564"/>
      <c r="H4604" s="3390"/>
      <c r="I4604" s="3567"/>
      <c r="J4604" s="3573"/>
      <c r="K4604" s="3557"/>
      <c r="L4604" s="2421"/>
      <c r="M4604" s="1923" t="s">
        <v>182</v>
      </c>
      <c r="N4604" s="1933" t="s">
        <v>183</v>
      </c>
      <c r="O4604" s="4">
        <v>0</v>
      </c>
      <c r="P4604" s="4">
        <v>0</v>
      </c>
      <c r="Q4604" s="4"/>
      <c r="R4604" s="4">
        <v>0</v>
      </c>
      <c r="S4604" s="4">
        <v>0</v>
      </c>
      <c r="T4604" s="4">
        <v>0</v>
      </c>
      <c r="U4604" s="4">
        <v>0</v>
      </c>
      <c r="V4604" s="4">
        <v>0</v>
      </c>
      <c r="W4604" s="4">
        <v>0</v>
      </c>
      <c r="X4604" s="4">
        <v>0</v>
      </c>
      <c r="Y4604" s="4">
        <v>0</v>
      </c>
      <c r="Z4604" s="4">
        <v>0</v>
      </c>
      <c r="AA4604" s="1440">
        <f t="shared" si="749"/>
        <v>0</v>
      </c>
    </row>
    <row r="4605" spans="1:27" x14ac:dyDescent="0.2">
      <c r="A4605" s="3608"/>
      <c r="B4605" s="3563">
        <v>1.5</v>
      </c>
      <c r="C4605" s="3606" t="s">
        <v>1821</v>
      </c>
      <c r="D4605" s="3563" t="s">
        <v>1806</v>
      </c>
      <c r="E4605" s="3563">
        <v>23</v>
      </c>
      <c r="F4605" s="3564" t="s">
        <v>1807</v>
      </c>
      <c r="G4605" s="3564" t="s">
        <v>166</v>
      </c>
      <c r="H4605" s="3390" t="s">
        <v>1822</v>
      </c>
      <c r="I4605" s="3567" t="s">
        <v>156</v>
      </c>
      <c r="J4605" s="3573">
        <v>2</v>
      </c>
      <c r="K4605" s="3557">
        <f>AA4606</f>
        <v>2350</v>
      </c>
      <c r="L4605" s="2421" t="s">
        <v>1812</v>
      </c>
      <c r="M4605" s="2627" t="s">
        <v>51</v>
      </c>
      <c r="N4605" s="2627"/>
      <c r="O4605" s="502">
        <v>0</v>
      </c>
      <c r="P4605" s="502">
        <v>0</v>
      </c>
      <c r="Q4605" s="502">
        <v>1</v>
      </c>
      <c r="R4605" s="502">
        <v>0</v>
      </c>
      <c r="S4605" s="502">
        <v>0</v>
      </c>
      <c r="T4605" s="502">
        <v>0</v>
      </c>
      <c r="U4605" s="502">
        <v>0</v>
      </c>
      <c r="V4605" s="502">
        <v>0</v>
      </c>
      <c r="W4605" s="502">
        <v>0</v>
      </c>
      <c r="X4605" s="502">
        <v>1</v>
      </c>
      <c r="Y4605" s="502">
        <v>0</v>
      </c>
      <c r="Z4605" s="502">
        <v>0</v>
      </c>
      <c r="AA4605" s="1441">
        <v>2</v>
      </c>
    </row>
    <row r="4606" spans="1:27" x14ac:dyDescent="0.2">
      <c r="A4606" s="3608"/>
      <c r="B4606" s="3563"/>
      <c r="C4606" s="3606"/>
      <c r="D4606" s="3563"/>
      <c r="E4606" s="3563"/>
      <c r="F4606" s="3564"/>
      <c r="G4606" s="3564"/>
      <c r="H4606" s="3390"/>
      <c r="I4606" s="3567"/>
      <c r="J4606" s="3573"/>
      <c r="K4606" s="3557"/>
      <c r="L4606" s="2421"/>
      <c r="M4606" s="2627" t="s">
        <v>1813</v>
      </c>
      <c r="N4606" s="2627"/>
      <c r="O4606" s="33">
        <f>SUM(O4607:O4609)</f>
        <v>650</v>
      </c>
      <c r="P4606" s="33">
        <f>SUM(P4607:P4609)</f>
        <v>0</v>
      </c>
      <c r="Q4606" s="33">
        <f t="shared" ref="Q4606:Y4606" si="753">SUM(Q4607:Q4609)</f>
        <v>150</v>
      </c>
      <c r="R4606" s="33">
        <f t="shared" si="753"/>
        <v>0</v>
      </c>
      <c r="S4606" s="33">
        <f t="shared" si="753"/>
        <v>0</v>
      </c>
      <c r="T4606" s="33">
        <f t="shared" si="753"/>
        <v>0</v>
      </c>
      <c r="U4606" s="33">
        <f t="shared" si="753"/>
        <v>0</v>
      </c>
      <c r="V4606" s="33">
        <f t="shared" si="753"/>
        <v>0</v>
      </c>
      <c r="W4606" s="33">
        <f t="shared" si="753"/>
        <v>0</v>
      </c>
      <c r="X4606" s="33">
        <f t="shared" si="753"/>
        <v>150</v>
      </c>
      <c r="Y4606" s="33">
        <f t="shared" si="753"/>
        <v>0</v>
      </c>
      <c r="Z4606" s="33">
        <f>SUM(Z4607:Z4609)</f>
        <v>1400</v>
      </c>
      <c r="AA4606" s="1441">
        <f>SUM(O4606:Z4606)</f>
        <v>2350</v>
      </c>
    </row>
    <row r="4607" spans="1:27" x14ac:dyDescent="0.2">
      <c r="A4607" s="3608"/>
      <c r="B4607" s="3563"/>
      <c r="C4607" s="3606"/>
      <c r="D4607" s="3563"/>
      <c r="E4607" s="3563"/>
      <c r="F4607" s="3564"/>
      <c r="G4607" s="3564"/>
      <c r="H4607" s="3390"/>
      <c r="I4607" s="3567"/>
      <c r="J4607" s="3573"/>
      <c r="K4607" s="3557"/>
      <c r="L4607" s="2421"/>
      <c r="M4607" s="1923" t="s">
        <v>1452</v>
      </c>
      <c r="N4607" s="969" t="s">
        <v>1818</v>
      </c>
      <c r="O4607" s="488">
        <v>0</v>
      </c>
      <c r="P4607" s="488">
        <v>0</v>
      </c>
      <c r="Q4607" s="488">
        <v>150</v>
      </c>
      <c r="R4607" s="488">
        <v>0</v>
      </c>
      <c r="S4607" s="488">
        <v>0</v>
      </c>
      <c r="T4607" s="488">
        <v>0</v>
      </c>
      <c r="U4607" s="488">
        <v>0</v>
      </c>
      <c r="V4607" s="488">
        <v>0</v>
      </c>
      <c r="W4607" s="488">
        <v>0</v>
      </c>
      <c r="X4607" s="488">
        <v>150</v>
      </c>
      <c r="Y4607" s="488">
        <v>0</v>
      </c>
      <c r="Z4607" s="488">
        <v>0</v>
      </c>
      <c r="AA4607" s="1440">
        <f>SUM(O4607:Z4607)</f>
        <v>300</v>
      </c>
    </row>
    <row r="4608" spans="1:27" x14ac:dyDescent="0.2">
      <c r="A4608" s="3608"/>
      <c r="B4608" s="3563"/>
      <c r="C4608" s="3606"/>
      <c r="D4608" s="3563"/>
      <c r="E4608" s="3563"/>
      <c r="F4608" s="3564"/>
      <c r="G4608" s="3564"/>
      <c r="H4608" s="3390"/>
      <c r="I4608" s="3567"/>
      <c r="J4608" s="3573"/>
      <c r="K4608" s="3557"/>
      <c r="L4608" s="2421"/>
      <c r="M4608" s="1923" t="s">
        <v>541</v>
      </c>
      <c r="N4608" s="969" t="s">
        <v>542</v>
      </c>
      <c r="O4608" s="488">
        <v>150</v>
      </c>
      <c r="P4608" s="488">
        <v>0</v>
      </c>
      <c r="Q4608" s="488">
        <v>0</v>
      </c>
      <c r="R4608" s="488">
        <v>0</v>
      </c>
      <c r="S4608" s="488">
        <v>0</v>
      </c>
      <c r="T4608" s="488">
        <v>0</v>
      </c>
      <c r="U4608" s="488">
        <v>0</v>
      </c>
      <c r="V4608" s="488">
        <v>0</v>
      </c>
      <c r="W4608" s="488">
        <v>0</v>
      </c>
      <c r="X4608" s="488">
        <v>0</v>
      </c>
      <c r="Y4608" s="488">
        <v>0</v>
      </c>
      <c r="Z4608" s="488">
        <v>0</v>
      </c>
      <c r="AA4608" s="1440"/>
    </row>
    <row r="4609" spans="1:27" ht="30.75" customHeight="1" x14ac:dyDescent="0.2">
      <c r="A4609" s="3608"/>
      <c r="B4609" s="3563"/>
      <c r="C4609" s="3606"/>
      <c r="D4609" s="3563"/>
      <c r="E4609" s="3563"/>
      <c r="F4609" s="3564"/>
      <c r="G4609" s="3564"/>
      <c r="H4609" s="3390"/>
      <c r="I4609" s="3567"/>
      <c r="J4609" s="3573"/>
      <c r="K4609" s="3557"/>
      <c r="L4609" s="2421"/>
      <c r="M4609" s="1923" t="s">
        <v>194</v>
      </c>
      <c r="N4609" s="1923" t="s">
        <v>1368</v>
      </c>
      <c r="O4609" s="500">
        <v>500</v>
      </c>
      <c r="P4609" s="500">
        <v>0</v>
      </c>
      <c r="Q4609" s="500">
        <v>0</v>
      </c>
      <c r="R4609" s="500">
        <v>0</v>
      </c>
      <c r="S4609" s="500">
        <v>0</v>
      </c>
      <c r="T4609" s="500">
        <v>0</v>
      </c>
      <c r="U4609" s="500">
        <v>0</v>
      </c>
      <c r="V4609" s="500">
        <v>0</v>
      </c>
      <c r="W4609" s="500">
        <v>0</v>
      </c>
      <c r="X4609" s="500">
        <v>0</v>
      </c>
      <c r="Y4609" s="500">
        <v>0</v>
      </c>
      <c r="Z4609" s="500">
        <v>1400</v>
      </c>
      <c r="AA4609" s="1440">
        <f>SUM(O4609:Z4609)</f>
        <v>1900</v>
      </c>
    </row>
    <row r="4610" spans="1:27" x14ac:dyDescent="0.2">
      <c r="A4610" s="3608" t="s">
        <v>1823</v>
      </c>
      <c r="B4610" s="3390">
        <v>2.1</v>
      </c>
      <c r="C4610" s="3606" t="s">
        <v>1824</v>
      </c>
      <c r="D4610" s="3390" t="s">
        <v>1806</v>
      </c>
      <c r="E4610" s="3390">
        <v>23</v>
      </c>
      <c r="F4610" s="3571" t="s">
        <v>1807</v>
      </c>
      <c r="G4610" s="3571" t="s">
        <v>166</v>
      </c>
      <c r="H4610" s="3390" t="s">
        <v>1811</v>
      </c>
      <c r="I4610" s="3390" t="s">
        <v>156</v>
      </c>
      <c r="J4610" s="3390">
        <v>1</v>
      </c>
      <c r="K4610" s="3570">
        <f>AA4611</f>
        <v>400</v>
      </c>
      <c r="L4610" s="2420" t="s">
        <v>1812</v>
      </c>
      <c r="M4610" s="2627" t="s">
        <v>51</v>
      </c>
      <c r="N4610" s="2627"/>
      <c r="O4610" s="459">
        <v>0</v>
      </c>
      <c r="P4610" s="459">
        <v>0</v>
      </c>
      <c r="Q4610" s="459">
        <v>1</v>
      </c>
      <c r="R4610" s="459">
        <v>0</v>
      </c>
      <c r="S4610" s="459">
        <v>0</v>
      </c>
      <c r="T4610" s="459">
        <v>0</v>
      </c>
      <c r="U4610" s="459">
        <v>0</v>
      </c>
      <c r="V4610" s="459">
        <v>0</v>
      </c>
      <c r="W4610" s="459">
        <v>0</v>
      </c>
      <c r="X4610" s="459">
        <v>0</v>
      </c>
      <c r="Y4610" s="459">
        <v>0</v>
      </c>
      <c r="Z4610" s="321">
        <v>0</v>
      </c>
      <c r="AA4610" s="979">
        <f t="shared" ref="AA4610:AA4618" si="754">SUM(O4610:Z4610)</f>
        <v>1</v>
      </c>
    </row>
    <row r="4611" spans="1:27" x14ac:dyDescent="0.2">
      <c r="A4611" s="3608"/>
      <c r="B4611" s="3390"/>
      <c r="C4611" s="3606"/>
      <c r="D4611" s="3390"/>
      <c r="E4611" s="3390"/>
      <c r="F4611" s="3571"/>
      <c r="G4611" s="3571"/>
      <c r="H4611" s="3390"/>
      <c r="I4611" s="3390"/>
      <c r="J4611" s="3390"/>
      <c r="K4611" s="3570"/>
      <c r="L4611" s="2420"/>
      <c r="M4611" s="2627" t="s">
        <v>1813</v>
      </c>
      <c r="N4611" s="2627"/>
      <c r="O4611" s="312">
        <f>SUM(O4612:O4614)</f>
        <v>400</v>
      </c>
      <c r="P4611" s="312">
        <f>SUM(P4612:P4614)</f>
        <v>0</v>
      </c>
      <c r="Q4611" s="312">
        <f t="shared" ref="Q4611:X4611" si="755">SUM(Q4612:Q4614)</f>
        <v>0</v>
      </c>
      <c r="R4611" s="312">
        <f t="shared" si="755"/>
        <v>0</v>
      </c>
      <c r="S4611" s="312">
        <f t="shared" si="755"/>
        <v>0</v>
      </c>
      <c r="T4611" s="312">
        <f t="shared" si="755"/>
        <v>0</v>
      </c>
      <c r="U4611" s="312">
        <f t="shared" si="755"/>
        <v>0</v>
      </c>
      <c r="V4611" s="312">
        <f t="shared" si="755"/>
        <v>0</v>
      </c>
      <c r="W4611" s="312">
        <f t="shared" si="755"/>
        <v>0</v>
      </c>
      <c r="X4611" s="312">
        <f t="shared" si="755"/>
        <v>0</v>
      </c>
      <c r="Y4611" s="312">
        <f>SUM(Y4612:Y4614)</f>
        <v>0</v>
      </c>
      <c r="Z4611" s="312">
        <f>SUM(Z4612:Z4614)</f>
        <v>0</v>
      </c>
      <c r="AA4611" s="979">
        <f t="shared" si="754"/>
        <v>400</v>
      </c>
    </row>
    <row r="4612" spans="1:27" ht="22.5" x14ac:dyDescent="0.2">
      <c r="A4612" s="3608"/>
      <c r="B4612" s="3390"/>
      <c r="C4612" s="3606"/>
      <c r="D4612" s="3390"/>
      <c r="E4612" s="3390"/>
      <c r="F4612" s="3571"/>
      <c r="G4612" s="3571"/>
      <c r="H4612" s="3390"/>
      <c r="I4612" s="3390"/>
      <c r="J4612" s="3390"/>
      <c r="K4612" s="3570"/>
      <c r="L4612" s="2420"/>
      <c r="M4612" s="1923" t="s">
        <v>194</v>
      </c>
      <c r="N4612" s="1923" t="s">
        <v>1368</v>
      </c>
      <c r="O4612" s="486">
        <v>250</v>
      </c>
      <c r="P4612" s="486">
        <v>0</v>
      </c>
      <c r="Q4612" s="486">
        <v>0</v>
      </c>
      <c r="R4612" s="486">
        <v>0</v>
      </c>
      <c r="S4612" s="486">
        <v>0</v>
      </c>
      <c r="T4612" s="486">
        <v>0</v>
      </c>
      <c r="U4612" s="486">
        <v>0</v>
      </c>
      <c r="V4612" s="486">
        <v>0</v>
      </c>
      <c r="W4612" s="486">
        <v>0</v>
      </c>
      <c r="X4612" s="486">
        <v>0</v>
      </c>
      <c r="Y4612" s="486">
        <v>0</v>
      </c>
      <c r="Z4612" s="4">
        <v>0</v>
      </c>
      <c r="AA4612" s="976">
        <f t="shared" si="754"/>
        <v>250</v>
      </c>
    </row>
    <row r="4613" spans="1:27" x14ac:dyDescent="0.2">
      <c r="A4613" s="3608"/>
      <c r="B4613" s="3390"/>
      <c r="C4613" s="3606"/>
      <c r="D4613" s="3390"/>
      <c r="E4613" s="3390"/>
      <c r="F4613" s="3571"/>
      <c r="G4613" s="3571"/>
      <c r="H4613" s="3390"/>
      <c r="I4613" s="3390"/>
      <c r="J4613" s="3390"/>
      <c r="K4613" s="3570"/>
      <c r="L4613" s="2420"/>
      <c r="M4613" s="1923" t="s">
        <v>1452</v>
      </c>
      <c r="N4613" s="1923" t="s">
        <v>1818</v>
      </c>
      <c r="O4613" s="486">
        <v>0</v>
      </c>
      <c r="P4613" s="486">
        <v>0</v>
      </c>
      <c r="Q4613" s="486">
        <v>0</v>
      </c>
      <c r="R4613" s="486">
        <v>0</v>
      </c>
      <c r="S4613" s="486">
        <v>0</v>
      </c>
      <c r="T4613" s="486">
        <v>0</v>
      </c>
      <c r="U4613" s="486">
        <v>0</v>
      </c>
      <c r="V4613" s="486">
        <v>0</v>
      </c>
      <c r="W4613" s="486">
        <v>0</v>
      </c>
      <c r="X4613" s="486">
        <v>0</v>
      </c>
      <c r="Y4613" s="486">
        <v>0</v>
      </c>
      <c r="Z4613" s="4">
        <v>0</v>
      </c>
      <c r="AA4613" s="976">
        <f t="shared" si="754"/>
        <v>0</v>
      </c>
    </row>
    <row r="4614" spans="1:27" x14ac:dyDescent="0.2">
      <c r="A4614" s="3608"/>
      <c r="B4614" s="3390"/>
      <c r="C4614" s="3606"/>
      <c r="D4614" s="3390"/>
      <c r="E4614" s="3390"/>
      <c r="F4614" s="3571"/>
      <c r="G4614" s="3571"/>
      <c r="H4614" s="3390"/>
      <c r="I4614" s="3390"/>
      <c r="J4614" s="3390"/>
      <c r="K4614" s="3570"/>
      <c r="L4614" s="2420"/>
      <c r="M4614" s="1923" t="s">
        <v>541</v>
      </c>
      <c r="N4614" s="1923" t="s">
        <v>542</v>
      </c>
      <c r="O4614" s="4">
        <v>150</v>
      </c>
      <c r="P4614" s="4">
        <v>0</v>
      </c>
      <c r="Q4614" s="4">
        <v>0</v>
      </c>
      <c r="R4614" s="4">
        <v>0</v>
      </c>
      <c r="S4614" s="4">
        <v>0</v>
      </c>
      <c r="T4614" s="4">
        <v>0</v>
      </c>
      <c r="U4614" s="4">
        <v>0</v>
      </c>
      <c r="V4614" s="4">
        <v>0</v>
      </c>
      <c r="W4614" s="313">
        <v>0</v>
      </c>
      <c r="X4614" s="313">
        <v>0</v>
      </c>
      <c r="Y4614" s="313">
        <v>0</v>
      </c>
      <c r="Z4614" s="313">
        <v>0</v>
      </c>
      <c r="AA4614" s="976">
        <f t="shared" si="754"/>
        <v>150</v>
      </c>
    </row>
    <row r="4615" spans="1:27" x14ac:dyDescent="0.2">
      <c r="A4615" s="3608"/>
      <c r="B4615" s="3390">
        <v>2.2000000000000002</v>
      </c>
      <c r="C4615" s="3606" t="s">
        <v>1947</v>
      </c>
      <c r="D4615" s="3390" t="s">
        <v>1806</v>
      </c>
      <c r="E4615" s="3567">
        <v>23</v>
      </c>
      <c r="F4615" s="3571" t="s">
        <v>1807</v>
      </c>
      <c r="G4615" s="3571" t="s">
        <v>166</v>
      </c>
      <c r="H4615" s="3390" t="s">
        <v>1826</v>
      </c>
      <c r="I4615" s="3567" t="s">
        <v>156</v>
      </c>
      <c r="J4615" s="3567">
        <v>2</v>
      </c>
      <c r="K4615" s="3570">
        <f>AA4616</f>
        <v>300</v>
      </c>
      <c r="L4615" s="2413" t="s">
        <v>1812</v>
      </c>
      <c r="M4615" s="2627" t="s">
        <v>51</v>
      </c>
      <c r="N4615" s="2627"/>
      <c r="O4615" s="314">
        <v>0</v>
      </c>
      <c r="P4615" s="314">
        <v>0</v>
      </c>
      <c r="Q4615" s="314">
        <v>0</v>
      </c>
      <c r="R4615" s="314">
        <v>0</v>
      </c>
      <c r="S4615" s="314">
        <v>1</v>
      </c>
      <c r="T4615" s="314">
        <v>0</v>
      </c>
      <c r="U4615" s="314">
        <v>0</v>
      </c>
      <c r="V4615" s="314">
        <v>0</v>
      </c>
      <c r="W4615" s="314">
        <v>0</v>
      </c>
      <c r="X4615" s="314">
        <v>1</v>
      </c>
      <c r="Y4615" s="314">
        <v>0</v>
      </c>
      <c r="Z4615" s="314">
        <v>0</v>
      </c>
      <c r="AA4615" s="979">
        <v>2</v>
      </c>
    </row>
    <row r="4616" spans="1:27" x14ac:dyDescent="0.2">
      <c r="A4616" s="3608"/>
      <c r="B4616" s="3390"/>
      <c r="C4616" s="3606"/>
      <c r="D4616" s="3390"/>
      <c r="E4616" s="3567"/>
      <c r="F4616" s="3571"/>
      <c r="G4616" s="3571"/>
      <c r="H4616" s="3390"/>
      <c r="I4616" s="3567"/>
      <c r="J4616" s="3567"/>
      <c r="K4616" s="3570"/>
      <c r="L4616" s="2413"/>
      <c r="M4616" s="2627" t="s">
        <v>1813</v>
      </c>
      <c r="N4616" s="2627"/>
      <c r="O4616" s="315">
        <f>SUM(O4617:O4618)</f>
        <v>0</v>
      </c>
      <c r="P4616" s="315">
        <f t="shared" ref="P4616:Z4616" si="756">SUM(P4617:P4618)</f>
        <v>0</v>
      </c>
      <c r="Q4616" s="315">
        <f t="shared" si="756"/>
        <v>0</v>
      </c>
      <c r="R4616" s="315">
        <v>0</v>
      </c>
      <c r="S4616" s="315">
        <f t="shared" si="756"/>
        <v>150</v>
      </c>
      <c r="T4616" s="315">
        <f t="shared" si="756"/>
        <v>0</v>
      </c>
      <c r="U4616" s="315">
        <f t="shared" si="756"/>
        <v>0</v>
      </c>
      <c r="V4616" s="315">
        <f t="shared" si="756"/>
        <v>0</v>
      </c>
      <c r="W4616" s="315">
        <v>0</v>
      </c>
      <c r="X4616" s="315">
        <v>150</v>
      </c>
      <c r="Y4616" s="315">
        <f t="shared" si="756"/>
        <v>0</v>
      </c>
      <c r="Z4616" s="315">
        <f t="shared" si="756"/>
        <v>0</v>
      </c>
      <c r="AA4616" s="979">
        <f t="shared" si="754"/>
        <v>300</v>
      </c>
    </row>
    <row r="4617" spans="1:27" x14ac:dyDescent="0.2">
      <c r="A4617" s="3608"/>
      <c r="B4617" s="3390"/>
      <c r="C4617" s="3606"/>
      <c r="D4617" s="3390"/>
      <c r="E4617" s="3567"/>
      <c r="F4617" s="3571"/>
      <c r="G4617" s="3571"/>
      <c r="H4617" s="3390"/>
      <c r="I4617" s="3567"/>
      <c r="J4617" s="3567"/>
      <c r="K4617" s="3570"/>
      <c r="L4617" s="2413"/>
      <c r="M4617" s="1923" t="s">
        <v>1452</v>
      </c>
      <c r="N4617" s="1923" t="s">
        <v>1818</v>
      </c>
      <c r="O4617" s="488">
        <v>0</v>
      </c>
      <c r="P4617" s="488">
        <v>0</v>
      </c>
      <c r="Q4617" s="488">
        <v>0</v>
      </c>
      <c r="R4617" s="488">
        <v>0</v>
      </c>
      <c r="S4617" s="488">
        <v>150</v>
      </c>
      <c r="T4617" s="488">
        <v>0</v>
      </c>
      <c r="U4617" s="488">
        <v>0</v>
      </c>
      <c r="V4617" s="488">
        <v>0</v>
      </c>
      <c r="W4617" s="488">
        <v>0</v>
      </c>
      <c r="X4617" s="488">
        <v>150</v>
      </c>
      <c r="Y4617" s="488">
        <v>0</v>
      </c>
      <c r="Z4617" s="488">
        <v>0</v>
      </c>
      <c r="AA4617" s="979">
        <f t="shared" si="754"/>
        <v>300</v>
      </c>
    </row>
    <row r="4618" spans="1:27" ht="22.5" x14ac:dyDescent="0.2">
      <c r="A4618" s="3608"/>
      <c r="B4618" s="3390"/>
      <c r="C4618" s="3606"/>
      <c r="D4618" s="3390"/>
      <c r="E4618" s="3567"/>
      <c r="F4618" s="3571"/>
      <c r="G4618" s="3571"/>
      <c r="H4618" s="3390"/>
      <c r="I4618" s="3567"/>
      <c r="J4618" s="3567"/>
      <c r="K4618" s="3570"/>
      <c r="L4618" s="2413"/>
      <c r="M4618" s="1923" t="s">
        <v>194</v>
      </c>
      <c r="N4618" s="1923" t="s">
        <v>1368</v>
      </c>
      <c r="O4618" s="488">
        <v>0</v>
      </c>
      <c r="P4618" s="488">
        <v>0</v>
      </c>
      <c r="Q4618" s="488">
        <v>0</v>
      </c>
      <c r="R4618" s="488">
        <v>0</v>
      </c>
      <c r="S4618" s="488">
        <v>0</v>
      </c>
      <c r="T4618" s="488">
        <v>0</v>
      </c>
      <c r="U4618" s="488">
        <v>0</v>
      </c>
      <c r="V4618" s="488">
        <v>0</v>
      </c>
      <c r="W4618" s="488">
        <v>150</v>
      </c>
      <c r="X4618" s="488">
        <v>0</v>
      </c>
      <c r="Y4618" s="488">
        <v>0</v>
      </c>
      <c r="Z4618" s="488">
        <v>0</v>
      </c>
      <c r="AA4618" s="979">
        <f t="shared" si="754"/>
        <v>150</v>
      </c>
    </row>
    <row r="4619" spans="1:27" x14ac:dyDescent="0.2">
      <c r="A4619" s="3608" t="s">
        <v>1827</v>
      </c>
      <c r="B4619" s="3390">
        <v>3.1</v>
      </c>
      <c r="C4619" s="3606" t="s">
        <v>1828</v>
      </c>
      <c r="D4619" s="3390" t="s">
        <v>1806</v>
      </c>
      <c r="E4619" s="3390">
        <v>23</v>
      </c>
      <c r="F4619" s="3571" t="s">
        <v>1807</v>
      </c>
      <c r="G4619" s="3571" t="s">
        <v>166</v>
      </c>
      <c r="H4619" s="3390" t="s">
        <v>1829</v>
      </c>
      <c r="I4619" s="3390" t="s">
        <v>156</v>
      </c>
      <c r="J4619" s="3390">
        <v>6</v>
      </c>
      <c r="K4619" s="3570">
        <f>AA4620</f>
        <v>1800</v>
      </c>
      <c r="L4619" s="2420" t="s">
        <v>1812</v>
      </c>
      <c r="M4619" s="2627" t="s">
        <v>51</v>
      </c>
      <c r="N4619" s="2627"/>
      <c r="O4619" s="316">
        <v>1</v>
      </c>
      <c r="P4619" s="316">
        <v>1</v>
      </c>
      <c r="Q4619" s="316">
        <v>1</v>
      </c>
      <c r="R4619" s="316">
        <v>1</v>
      </c>
      <c r="S4619" s="316">
        <v>2</v>
      </c>
      <c r="T4619" s="46">
        <v>0</v>
      </c>
      <c r="U4619" s="46">
        <v>0</v>
      </c>
      <c r="V4619" s="46">
        <v>0</v>
      </c>
      <c r="W4619" s="46">
        <v>0</v>
      </c>
      <c r="X4619" s="46">
        <v>0</v>
      </c>
      <c r="Y4619" s="46">
        <v>0</v>
      </c>
      <c r="Z4619" s="46">
        <v>0</v>
      </c>
      <c r="AA4619" s="2244">
        <f>SUM(O4619:Z4619)</f>
        <v>6</v>
      </c>
    </row>
    <row r="4620" spans="1:27" x14ac:dyDescent="0.2">
      <c r="A4620" s="3608"/>
      <c r="B4620" s="3390"/>
      <c r="C4620" s="3606"/>
      <c r="D4620" s="3390"/>
      <c r="E4620" s="3390"/>
      <c r="F4620" s="3571"/>
      <c r="G4620" s="3571"/>
      <c r="H4620" s="3390"/>
      <c r="I4620" s="3390"/>
      <c r="J4620" s="3390"/>
      <c r="K4620" s="3570"/>
      <c r="L4620" s="2420"/>
      <c r="M4620" s="2627" t="s">
        <v>1813</v>
      </c>
      <c r="N4620" s="2627"/>
      <c r="O4620" s="451">
        <f>SUM(O4621:O4624)</f>
        <v>300</v>
      </c>
      <c r="P4620" s="451">
        <f>SUM(P4621:P4624)</f>
        <v>300</v>
      </c>
      <c r="Q4620" s="451">
        <f>SUM(Q4621:Q4624)</f>
        <v>300</v>
      </c>
      <c r="R4620" s="451">
        <f>SUM(R4621:R4624)</f>
        <v>300</v>
      </c>
      <c r="S4620" s="451">
        <f>SUM(S4621:S4624)</f>
        <v>600</v>
      </c>
      <c r="T4620" s="46">
        <v>0</v>
      </c>
      <c r="U4620" s="46">
        <v>0</v>
      </c>
      <c r="V4620" s="46">
        <v>0</v>
      </c>
      <c r="W4620" s="46">
        <v>0</v>
      </c>
      <c r="X4620" s="46">
        <v>0</v>
      </c>
      <c r="Y4620" s="46">
        <v>0</v>
      </c>
      <c r="Z4620" s="46">
        <v>0</v>
      </c>
      <c r="AA4620" s="1441">
        <f>SUM(O4620:Z4620)</f>
        <v>1800</v>
      </c>
    </row>
    <row r="4621" spans="1:27" ht="22.5" x14ac:dyDescent="0.2">
      <c r="A4621" s="3608"/>
      <c r="B4621" s="3390"/>
      <c r="C4621" s="3606"/>
      <c r="D4621" s="3390"/>
      <c r="E4621" s="3390"/>
      <c r="F4621" s="3571"/>
      <c r="G4621" s="3571"/>
      <c r="H4621" s="3390"/>
      <c r="I4621" s="3390"/>
      <c r="J4621" s="3390"/>
      <c r="K4621" s="3570"/>
      <c r="L4621" s="2420"/>
      <c r="M4621" s="1923" t="s">
        <v>194</v>
      </c>
      <c r="N4621" s="1923" t="s">
        <v>1368</v>
      </c>
      <c r="O4621" s="451">
        <v>200</v>
      </c>
      <c r="P4621" s="451">
        <v>200</v>
      </c>
      <c r="Q4621" s="451">
        <v>200</v>
      </c>
      <c r="R4621" s="451">
        <v>200</v>
      </c>
      <c r="S4621" s="451">
        <v>400</v>
      </c>
      <c r="T4621" s="46">
        <v>0</v>
      </c>
      <c r="U4621" s="46">
        <v>0</v>
      </c>
      <c r="V4621" s="46">
        <v>0</v>
      </c>
      <c r="W4621" s="46">
        <v>0</v>
      </c>
      <c r="X4621" s="46">
        <v>0</v>
      </c>
      <c r="Y4621" s="46">
        <v>0</v>
      </c>
      <c r="Z4621" s="46">
        <v>0</v>
      </c>
      <c r="AA4621" s="1440">
        <f t="shared" ref="AA4621:AA4646" si="757">SUM(O4621:Z4621)</f>
        <v>1200</v>
      </c>
    </row>
    <row r="4622" spans="1:27" x14ac:dyDescent="0.2">
      <c r="A4622" s="3608"/>
      <c r="B4622" s="3390"/>
      <c r="C4622" s="3606"/>
      <c r="D4622" s="3390"/>
      <c r="E4622" s="3390"/>
      <c r="F4622" s="3571"/>
      <c r="G4622" s="3571"/>
      <c r="H4622" s="3390"/>
      <c r="I4622" s="3390"/>
      <c r="J4622" s="3390"/>
      <c r="K4622" s="3570"/>
      <c r="L4622" s="2420"/>
      <c r="M4622" s="1923" t="s">
        <v>541</v>
      </c>
      <c r="N4622" s="1923" t="s">
        <v>542</v>
      </c>
      <c r="O4622" s="451">
        <v>0</v>
      </c>
      <c r="P4622" s="451">
        <v>0</v>
      </c>
      <c r="Q4622" s="451">
        <v>0</v>
      </c>
      <c r="R4622" s="451">
        <v>0</v>
      </c>
      <c r="S4622" s="451">
        <v>0</v>
      </c>
      <c r="T4622" s="46">
        <v>0</v>
      </c>
      <c r="U4622" s="46">
        <v>0</v>
      </c>
      <c r="V4622" s="46">
        <v>0</v>
      </c>
      <c r="W4622" s="46">
        <v>0</v>
      </c>
      <c r="X4622" s="46">
        <v>0</v>
      </c>
      <c r="Y4622" s="46">
        <v>0</v>
      </c>
      <c r="Z4622" s="46">
        <v>0</v>
      </c>
      <c r="AA4622" s="1440">
        <f t="shared" si="757"/>
        <v>0</v>
      </c>
    </row>
    <row r="4623" spans="1:27" ht="22.5" x14ac:dyDescent="0.2">
      <c r="A4623" s="3608"/>
      <c r="B4623" s="3390"/>
      <c r="C4623" s="3606"/>
      <c r="D4623" s="3390"/>
      <c r="E4623" s="3390"/>
      <c r="F4623" s="3571"/>
      <c r="G4623" s="3571"/>
      <c r="H4623" s="3390"/>
      <c r="I4623" s="3390"/>
      <c r="J4623" s="3390"/>
      <c r="K4623" s="3570"/>
      <c r="L4623" s="2420"/>
      <c r="M4623" s="1923" t="s">
        <v>200</v>
      </c>
      <c r="N4623" s="1923" t="s">
        <v>1473</v>
      </c>
      <c r="O4623" s="451">
        <v>0</v>
      </c>
      <c r="P4623" s="451">
        <v>0</v>
      </c>
      <c r="Q4623" s="451">
        <v>0</v>
      </c>
      <c r="R4623" s="451">
        <v>0</v>
      </c>
      <c r="S4623" s="451">
        <v>0</v>
      </c>
      <c r="T4623" s="46">
        <v>0</v>
      </c>
      <c r="U4623" s="46">
        <v>0</v>
      </c>
      <c r="V4623" s="46">
        <v>0</v>
      </c>
      <c r="W4623" s="46">
        <v>0</v>
      </c>
      <c r="X4623" s="46">
        <v>0</v>
      </c>
      <c r="Y4623" s="46">
        <v>0</v>
      </c>
      <c r="Z4623" s="46">
        <v>0</v>
      </c>
      <c r="AA4623" s="1440">
        <f t="shared" si="757"/>
        <v>0</v>
      </c>
    </row>
    <row r="4624" spans="1:27" x14ac:dyDescent="0.2">
      <c r="A4624" s="3608"/>
      <c r="B4624" s="3390"/>
      <c r="C4624" s="3606"/>
      <c r="D4624" s="3390"/>
      <c r="E4624" s="3390"/>
      <c r="F4624" s="3571"/>
      <c r="G4624" s="3571"/>
      <c r="H4624" s="3390"/>
      <c r="I4624" s="3390"/>
      <c r="J4624" s="3390"/>
      <c r="K4624" s="3570"/>
      <c r="L4624" s="2420"/>
      <c r="M4624" s="1923" t="s">
        <v>1452</v>
      </c>
      <c r="N4624" s="1923" t="s">
        <v>1818</v>
      </c>
      <c r="O4624" s="317">
        <v>100</v>
      </c>
      <c r="P4624" s="317">
        <v>100</v>
      </c>
      <c r="Q4624" s="317">
        <v>100</v>
      </c>
      <c r="R4624" s="317">
        <v>100</v>
      </c>
      <c r="S4624" s="317">
        <v>200</v>
      </c>
      <c r="T4624" s="46">
        <v>0</v>
      </c>
      <c r="U4624" s="46">
        <v>0</v>
      </c>
      <c r="V4624" s="46">
        <v>0</v>
      </c>
      <c r="W4624" s="46">
        <v>0</v>
      </c>
      <c r="X4624" s="46">
        <v>0</v>
      </c>
      <c r="Y4624" s="46">
        <v>0</v>
      </c>
      <c r="Z4624" s="46">
        <v>0</v>
      </c>
      <c r="AA4624" s="1440">
        <f t="shared" si="757"/>
        <v>600</v>
      </c>
    </row>
    <row r="4625" spans="1:27" x14ac:dyDescent="0.2">
      <c r="A4625" s="3608"/>
      <c r="B4625" s="3390">
        <v>3.2</v>
      </c>
      <c r="C4625" s="3606" t="s">
        <v>1830</v>
      </c>
      <c r="D4625" s="3390" t="s">
        <v>1806</v>
      </c>
      <c r="E4625" s="3567">
        <v>23</v>
      </c>
      <c r="F4625" s="3571" t="s">
        <v>1807</v>
      </c>
      <c r="G4625" s="3571" t="s">
        <v>166</v>
      </c>
      <c r="H4625" s="3390" t="s">
        <v>1831</v>
      </c>
      <c r="I4625" s="3567" t="s">
        <v>156</v>
      </c>
      <c r="J4625" s="3567">
        <v>1</v>
      </c>
      <c r="K4625" s="3570">
        <f>AA4626</f>
        <v>1150</v>
      </c>
      <c r="L4625" s="2413" t="s">
        <v>1812</v>
      </c>
      <c r="M4625" s="2627" t="s">
        <v>51</v>
      </c>
      <c r="N4625" s="2627"/>
      <c r="O4625" s="314">
        <v>0</v>
      </c>
      <c r="P4625" s="314">
        <v>1</v>
      </c>
      <c r="Q4625" s="314">
        <v>0</v>
      </c>
      <c r="R4625" s="314">
        <v>0</v>
      </c>
      <c r="S4625" s="314">
        <v>0</v>
      </c>
      <c r="T4625" s="323">
        <v>0</v>
      </c>
      <c r="U4625" s="323">
        <v>0</v>
      </c>
      <c r="V4625" s="323">
        <v>0</v>
      </c>
      <c r="W4625" s="323">
        <v>0</v>
      </c>
      <c r="X4625" s="323">
        <v>0</v>
      </c>
      <c r="Y4625" s="323">
        <v>0</v>
      </c>
      <c r="Z4625" s="323">
        <v>0</v>
      </c>
      <c r="AA4625" s="979">
        <f t="shared" si="757"/>
        <v>1</v>
      </c>
    </row>
    <row r="4626" spans="1:27" x14ac:dyDescent="0.2">
      <c r="A4626" s="3608"/>
      <c r="B4626" s="3390"/>
      <c r="C4626" s="3606"/>
      <c r="D4626" s="3390"/>
      <c r="E4626" s="3567"/>
      <c r="F4626" s="3571"/>
      <c r="G4626" s="3571"/>
      <c r="H4626" s="3390"/>
      <c r="I4626" s="3567"/>
      <c r="J4626" s="3567"/>
      <c r="K4626" s="3570"/>
      <c r="L4626" s="2413"/>
      <c r="M4626" s="2627" t="s">
        <v>1813</v>
      </c>
      <c r="N4626" s="2627"/>
      <c r="O4626" s="315">
        <f>SUM(O4627:O4628)</f>
        <v>0</v>
      </c>
      <c r="P4626" s="315">
        <f t="shared" ref="P4626:Y4626" si="758">SUM(P4627:P4628)</f>
        <v>1150</v>
      </c>
      <c r="Q4626" s="315">
        <f t="shared" si="758"/>
        <v>0</v>
      </c>
      <c r="R4626" s="315">
        <f t="shared" si="758"/>
        <v>0</v>
      </c>
      <c r="S4626" s="315">
        <f t="shared" si="758"/>
        <v>0</v>
      </c>
      <c r="T4626" s="315">
        <f t="shared" si="758"/>
        <v>0</v>
      </c>
      <c r="U4626" s="315">
        <v>0</v>
      </c>
      <c r="V4626" s="315">
        <f t="shared" si="758"/>
        <v>0</v>
      </c>
      <c r="W4626" s="315">
        <f t="shared" si="758"/>
        <v>0</v>
      </c>
      <c r="X4626" s="315">
        <f t="shared" si="758"/>
        <v>0</v>
      </c>
      <c r="Y4626" s="315">
        <f t="shared" si="758"/>
        <v>0</v>
      </c>
      <c r="Z4626" s="315">
        <v>0</v>
      </c>
      <c r="AA4626" s="979">
        <f t="shared" si="757"/>
        <v>1150</v>
      </c>
    </row>
    <row r="4627" spans="1:27" ht="22.5" x14ac:dyDescent="0.2">
      <c r="A4627" s="3608"/>
      <c r="B4627" s="3390"/>
      <c r="C4627" s="3606"/>
      <c r="D4627" s="3390"/>
      <c r="E4627" s="3567"/>
      <c r="F4627" s="3571"/>
      <c r="G4627" s="3571"/>
      <c r="H4627" s="3390"/>
      <c r="I4627" s="3567"/>
      <c r="J4627" s="3567"/>
      <c r="K4627" s="3570"/>
      <c r="L4627" s="2413"/>
      <c r="M4627" s="1923" t="s">
        <v>200</v>
      </c>
      <c r="N4627" s="1923" t="s">
        <v>1473</v>
      </c>
      <c r="O4627" s="318">
        <v>0</v>
      </c>
      <c r="P4627" s="318">
        <v>450</v>
      </c>
      <c r="Q4627" s="318">
        <v>0</v>
      </c>
      <c r="R4627" s="318">
        <v>0</v>
      </c>
      <c r="S4627" s="318">
        <v>0</v>
      </c>
      <c r="T4627" s="318">
        <v>0</v>
      </c>
      <c r="U4627" s="318">
        <v>0</v>
      </c>
      <c r="V4627" s="318">
        <v>0</v>
      </c>
      <c r="W4627" s="318">
        <v>0</v>
      </c>
      <c r="X4627" s="318">
        <v>0</v>
      </c>
      <c r="Y4627" s="318">
        <v>0</v>
      </c>
      <c r="Z4627" s="318">
        <v>0</v>
      </c>
      <c r="AA4627" s="976">
        <f t="shared" si="757"/>
        <v>450</v>
      </c>
    </row>
    <row r="4628" spans="1:27" x14ac:dyDescent="0.2">
      <c r="A4628" s="3608"/>
      <c r="B4628" s="3390"/>
      <c r="C4628" s="3606"/>
      <c r="D4628" s="3390"/>
      <c r="E4628" s="3567"/>
      <c r="F4628" s="3571"/>
      <c r="G4628" s="3571"/>
      <c r="H4628" s="3390"/>
      <c r="I4628" s="3567"/>
      <c r="J4628" s="3567"/>
      <c r="K4628" s="3570"/>
      <c r="L4628" s="2413"/>
      <c r="M4628" s="1923" t="s">
        <v>1452</v>
      </c>
      <c r="N4628" s="1923" t="s">
        <v>1818</v>
      </c>
      <c r="O4628" s="318">
        <v>0</v>
      </c>
      <c r="P4628" s="318">
        <v>700</v>
      </c>
      <c r="Q4628" s="318">
        <v>0</v>
      </c>
      <c r="R4628" s="318">
        <v>0</v>
      </c>
      <c r="S4628" s="318">
        <v>0</v>
      </c>
      <c r="T4628" s="318">
        <v>0</v>
      </c>
      <c r="U4628" s="318">
        <v>300</v>
      </c>
      <c r="V4628" s="318">
        <v>0</v>
      </c>
      <c r="W4628" s="318">
        <v>0</v>
      </c>
      <c r="X4628" s="318">
        <v>0</v>
      </c>
      <c r="Y4628" s="318">
        <v>0</v>
      </c>
      <c r="Z4628" s="318">
        <v>300</v>
      </c>
      <c r="AA4628" s="976">
        <f t="shared" si="757"/>
        <v>1300</v>
      </c>
    </row>
    <row r="4629" spans="1:27" x14ac:dyDescent="0.2">
      <c r="A4629" s="3608" t="s">
        <v>1832</v>
      </c>
      <c r="B4629" s="3390">
        <v>4.0999999999999996</v>
      </c>
      <c r="C4629" s="3606" t="s">
        <v>1833</v>
      </c>
      <c r="D4629" s="3390" t="s">
        <v>1806</v>
      </c>
      <c r="E4629" s="3390">
        <v>23</v>
      </c>
      <c r="F4629" s="3571" t="s">
        <v>1807</v>
      </c>
      <c r="G4629" s="3571" t="s">
        <v>166</v>
      </c>
      <c r="H4629" s="3390" t="s">
        <v>1817</v>
      </c>
      <c r="I4629" s="3567" t="s">
        <v>156</v>
      </c>
      <c r="J4629" s="3390">
        <v>3</v>
      </c>
      <c r="K4629" s="3570">
        <f>AA4630</f>
        <v>1050</v>
      </c>
      <c r="L4629" s="2413" t="s">
        <v>1812</v>
      </c>
      <c r="M4629" s="2627" t="s">
        <v>51</v>
      </c>
      <c r="N4629" s="2627"/>
      <c r="O4629" s="316">
        <v>1</v>
      </c>
      <c r="P4629" s="316">
        <v>0</v>
      </c>
      <c r="Q4629" s="316">
        <v>0</v>
      </c>
      <c r="R4629" s="316">
        <v>0</v>
      </c>
      <c r="S4629" s="316">
        <v>0</v>
      </c>
      <c r="T4629" s="316">
        <v>0</v>
      </c>
      <c r="U4629" s="316">
        <v>1</v>
      </c>
      <c r="V4629" s="316">
        <v>0</v>
      </c>
      <c r="W4629" s="316">
        <v>0</v>
      </c>
      <c r="X4629" s="316">
        <v>0</v>
      </c>
      <c r="Y4629" s="316">
        <v>0</v>
      </c>
      <c r="Z4629" s="319">
        <v>1</v>
      </c>
      <c r="AA4629" s="1441">
        <f t="shared" si="757"/>
        <v>3</v>
      </c>
    </row>
    <row r="4630" spans="1:27" x14ac:dyDescent="0.2">
      <c r="A4630" s="3608"/>
      <c r="B4630" s="3390"/>
      <c r="C4630" s="3606"/>
      <c r="D4630" s="3390"/>
      <c r="E4630" s="3390"/>
      <c r="F4630" s="3571"/>
      <c r="G4630" s="3571"/>
      <c r="H4630" s="3390"/>
      <c r="I4630" s="3567"/>
      <c r="J4630" s="3390"/>
      <c r="K4630" s="3570"/>
      <c r="L4630" s="2413"/>
      <c r="M4630" s="2627" t="s">
        <v>1813</v>
      </c>
      <c r="N4630" s="2627"/>
      <c r="O4630" s="316">
        <f>SUM(O4631)</f>
        <v>350</v>
      </c>
      <c r="P4630" s="316">
        <f t="shared" ref="P4630:X4630" si="759">SUM(P4631)</f>
        <v>0</v>
      </c>
      <c r="Q4630" s="316">
        <f t="shared" si="759"/>
        <v>0</v>
      </c>
      <c r="R4630" s="316">
        <f t="shared" si="759"/>
        <v>0</v>
      </c>
      <c r="S4630" s="316">
        <f t="shared" si="759"/>
        <v>0</v>
      </c>
      <c r="T4630" s="316">
        <f t="shared" si="759"/>
        <v>0</v>
      </c>
      <c r="U4630" s="316">
        <f t="shared" si="759"/>
        <v>350</v>
      </c>
      <c r="V4630" s="316">
        <f t="shared" si="759"/>
        <v>0</v>
      </c>
      <c r="W4630" s="316">
        <f t="shared" si="759"/>
        <v>0</v>
      </c>
      <c r="X4630" s="316">
        <f t="shared" si="759"/>
        <v>0</v>
      </c>
      <c r="Y4630" s="316">
        <f>SUM(Y4631)</f>
        <v>0</v>
      </c>
      <c r="Z4630" s="316">
        <f>SUM(Z4631)</f>
        <v>350</v>
      </c>
      <c r="AA4630" s="1441">
        <f t="shared" si="757"/>
        <v>1050</v>
      </c>
    </row>
    <row r="4631" spans="1:27" x14ac:dyDescent="0.2">
      <c r="A4631" s="3608"/>
      <c r="B4631" s="3390"/>
      <c r="C4631" s="3606"/>
      <c r="D4631" s="3390"/>
      <c r="E4631" s="3390"/>
      <c r="F4631" s="3571"/>
      <c r="G4631" s="3571"/>
      <c r="H4631" s="3390"/>
      <c r="I4631" s="3567"/>
      <c r="J4631" s="3390"/>
      <c r="K4631" s="3570"/>
      <c r="L4631" s="2413"/>
      <c r="M4631" s="1923" t="s">
        <v>1452</v>
      </c>
      <c r="N4631" s="1923" t="s">
        <v>1818</v>
      </c>
      <c r="O4631" s="497">
        <v>350</v>
      </c>
      <c r="P4631" s="497">
        <v>0</v>
      </c>
      <c r="Q4631" s="497">
        <v>0</v>
      </c>
      <c r="R4631" s="497">
        <v>0</v>
      </c>
      <c r="S4631" s="497">
        <v>0</v>
      </c>
      <c r="T4631" s="497">
        <v>0</v>
      </c>
      <c r="U4631" s="497">
        <v>350</v>
      </c>
      <c r="V4631" s="497">
        <v>0</v>
      </c>
      <c r="W4631" s="497">
        <v>0</v>
      </c>
      <c r="X4631" s="497">
        <v>0</v>
      </c>
      <c r="Y4631" s="497">
        <v>0</v>
      </c>
      <c r="Z4631" s="320">
        <v>350</v>
      </c>
      <c r="AA4631" s="1440">
        <f t="shared" si="757"/>
        <v>1050</v>
      </c>
    </row>
    <row r="4632" spans="1:27" x14ac:dyDescent="0.2">
      <c r="A4632" s="3608"/>
      <c r="B4632" s="3390">
        <v>4.2</v>
      </c>
      <c r="C4632" s="3606" t="s">
        <v>1834</v>
      </c>
      <c r="D4632" s="3390" t="s">
        <v>1806</v>
      </c>
      <c r="E4632" s="3390">
        <v>23</v>
      </c>
      <c r="F4632" s="3571" t="s">
        <v>1807</v>
      </c>
      <c r="G4632" s="3571" t="s">
        <v>166</v>
      </c>
      <c r="H4632" s="3390" t="str">
        <f>+H4629</f>
        <v>Número de acciones realizadas.</v>
      </c>
      <c r="I4632" s="3567" t="str">
        <f>+I4629</f>
        <v>Unidad</v>
      </c>
      <c r="J4632" s="3390">
        <v>1</v>
      </c>
      <c r="K4632" s="3570">
        <f>AA4634</f>
        <v>310</v>
      </c>
      <c r="L4632" s="2413" t="s">
        <v>1812</v>
      </c>
      <c r="M4632" s="2627" t="s">
        <v>51</v>
      </c>
      <c r="N4632" s="2627"/>
      <c r="O4632" s="316">
        <v>1</v>
      </c>
      <c r="P4632" s="316">
        <v>0</v>
      </c>
      <c r="Q4632" s="316">
        <v>0</v>
      </c>
      <c r="R4632" s="316">
        <v>0</v>
      </c>
      <c r="S4632" s="316">
        <v>0</v>
      </c>
      <c r="T4632" s="316">
        <v>0</v>
      </c>
      <c r="U4632" s="316">
        <v>0</v>
      </c>
      <c r="V4632" s="316">
        <v>0</v>
      </c>
      <c r="W4632" s="316">
        <v>0</v>
      </c>
      <c r="X4632" s="316">
        <v>0</v>
      </c>
      <c r="Y4632" s="316">
        <v>0</v>
      </c>
      <c r="Z4632" s="319">
        <v>0</v>
      </c>
      <c r="AA4632" s="1441">
        <f t="shared" si="757"/>
        <v>1</v>
      </c>
    </row>
    <row r="4633" spans="1:27" x14ac:dyDescent="0.2">
      <c r="A4633" s="3608"/>
      <c r="B4633" s="3390"/>
      <c r="C4633" s="3606"/>
      <c r="D4633" s="3390"/>
      <c r="E4633" s="3390"/>
      <c r="F4633" s="3571"/>
      <c r="G4633" s="3571"/>
      <c r="H4633" s="3390"/>
      <c r="I4633" s="3567"/>
      <c r="J4633" s="3390"/>
      <c r="K4633" s="3570"/>
      <c r="L4633" s="2413"/>
      <c r="M4633" s="2627" t="s">
        <v>1813</v>
      </c>
      <c r="N4633" s="2627"/>
      <c r="O4633" s="316">
        <v>310</v>
      </c>
      <c r="P4633" s="316">
        <f t="shared" ref="P4633:X4633" si="760">SUM(P4634)</f>
        <v>0</v>
      </c>
      <c r="Q4633" s="316">
        <f t="shared" si="760"/>
        <v>0</v>
      </c>
      <c r="R4633" s="316">
        <f t="shared" si="760"/>
        <v>0</v>
      </c>
      <c r="S4633" s="316">
        <f t="shared" si="760"/>
        <v>0</v>
      </c>
      <c r="T4633" s="316">
        <f t="shared" si="760"/>
        <v>0</v>
      </c>
      <c r="U4633" s="316">
        <v>0</v>
      </c>
      <c r="V4633" s="316">
        <f t="shared" si="760"/>
        <v>0</v>
      </c>
      <c r="W4633" s="316">
        <f t="shared" si="760"/>
        <v>0</v>
      </c>
      <c r="X4633" s="316">
        <f t="shared" si="760"/>
        <v>0</v>
      </c>
      <c r="Y4633" s="316">
        <f>SUM(Y4634)</f>
        <v>0</v>
      </c>
      <c r="Z4633" s="316">
        <v>0</v>
      </c>
      <c r="AA4633" s="1441">
        <f t="shared" si="757"/>
        <v>310</v>
      </c>
    </row>
    <row r="4634" spans="1:27" x14ac:dyDescent="0.2">
      <c r="A4634" s="3608"/>
      <c r="B4634" s="3390"/>
      <c r="C4634" s="3606"/>
      <c r="D4634" s="3390"/>
      <c r="E4634" s="3390"/>
      <c r="F4634" s="3571"/>
      <c r="G4634" s="3571"/>
      <c r="H4634" s="3390"/>
      <c r="I4634" s="3567"/>
      <c r="J4634" s="3390"/>
      <c r="K4634" s="3570"/>
      <c r="L4634" s="2413"/>
      <c r="M4634" s="1923" t="s">
        <v>1452</v>
      </c>
      <c r="N4634" s="1923" t="s">
        <v>1818</v>
      </c>
      <c r="O4634" s="497">
        <v>310</v>
      </c>
      <c r="P4634" s="497">
        <v>0</v>
      </c>
      <c r="Q4634" s="497">
        <v>0</v>
      </c>
      <c r="R4634" s="497">
        <v>0</v>
      </c>
      <c r="S4634" s="497">
        <v>0</v>
      </c>
      <c r="T4634" s="497">
        <v>0</v>
      </c>
      <c r="U4634" s="497">
        <v>0</v>
      </c>
      <c r="V4634" s="497">
        <v>0</v>
      </c>
      <c r="W4634" s="497">
        <v>0</v>
      </c>
      <c r="X4634" s="497">
        <v>0</v>
      </c>
      <c r="Y4634" s="497">
        <v>0</v>
      </c>
      <c r="Z4634" s="320">
        <v>0</v>
      </c>
      <c r="AA4634" s="1440">
        <f t="shared" si="757"/>
        <v>310</v>
      </c>
    </row>
    <row r="4635" spans="1:27" x14ac:dyDescent="0.2">
      <c r="A4635" s="3608"/>
      <c r="B4635" s="3390">
        <v>4.3</v>
      </c>
      <c r="C4635" s="3606" t="s">
        <v>1835</v>
      </c>
      <c r="D4635" s="3390" t="s">
        <v>1806</v>
      </c>
      <c r="E4635" s="3390">
        <v>23</v>
      </c>
      <c r="F4635" s="3571" t="s">
        <v>1807</v>
      </c>
      <c r="G4635" s="3571" t="s">
        <v>166</v>
      </c>
      <c r="H4635" s="3390" t="s">
        <v>1826</v>
      </c>
      <c r="I4635" s="3567" t="s">
        <v>156</v>
      </c>
      <c r="J4635" s="3390">
        <v>1</v>
      </c>
      <c r="K4635" s="3570">
        <f>AA4636</f>
        <v>750</v>
      </c>
      <c r="L4635" s="2413" t="s">
        <v>1812</v>
      </c>
      <c r="M4635" s="2627" t="s">
        <v>51</v>
      </c>
      <c r="N4635" s="2627"/>
      <c r="O4635" s="314">
        <v>0</v>
      </c>
      <c r="P4635" s="314">
        <v>0</v>
      </c>
      <c r="Q4635" s="314">
        <v>1</v>
      </c>
      <c r="R4635" s="314">
        <v>0</v>
      </c>
      <c r="S4635" s="314">
        <v>0</v>
      </c>
      <c r="T4635" s="314">
        <v>0</v>
      </c>
      <c r="U4635" s="314">
        <v>0</v>
      </c>
      <c r="V4635" s="314">
        <v>0</v>
      </c>
      <c r="W4635" s="319">
        <v>0</v>
      </c>
      <c r="X4635" s="319">
        <v>0</v>
      </c>
      <c r="Y4635" s="319">
        <v>0</v>
      </c>
      <c r="Z4635" s="319">
        <v>0</v>
      </c>
      <c r="AA4635" s="979">
        <f t="shared" si="757"/>
        <v>1</v>
      </c>
    </row>
    <row r="4636" spans="1:27" x14ac:dyDescent="0.2">
      <c r="A4636" s="3608"/>
      <c r="B4636" s="3390"/>
      <c r="C4636" s="3606"/>
      <c r="D4636" s="3390"/>
      <c r="E4636" s="3390"/>
      <c r="F4636" s="3571"/>
      <c r="G4636" s="3571"/>
      <c r="H4636" s="3390"/>
      <c r="I4636" s="3567"/>
      <c r="J4636" s="3390"/>
      <c r="K4636" s="3570"/>
      <c r="L4636" s="2413"/>
      <c r="M4636" s="2627" t="s">
        <v>1813</v>
      </c>
      <c r="N4636" s="2627"/>
      <c r="O4636" s="314">
        <f>SUM(O4637)</f>
        <v>0</v>
      </c>
      <c r="P4636" s="314">
        <f t="shared" ref="P4636:V4636" si="761">SUM(P4637)</f>
        <v>0</v>
      </c>
      <c r="Q4636" s="314">
        <v>750</v>
      </c>
      <c r="R4636" s="314">
        <f t="shared" si="761"/>
        <v>0</v>
      </c>
      <c r="S4636" s="314">
        <f t="shared" si="761"/>
        <v>0</v>
      </c>
      <c r="T4636" s="314">
        <f t="shared" si="761"/>
        <v>0</v>
      </c>
      <c r="U4636" s="314">
        <f t="shared" si="761"/>
        <v>0</v>
      </c>
      <c r="V4636" s="314">
        <f t="shared" si="761"/>
        <v>0</v>
      </c>
      <c r="W4636" s="314">
        <v>0</v>
      </c>
      <c r="X4636" s="314">
        <f>SUM(X4637)</f>
        <v>0</v>
      </c>
      <c r="Y4636" s="314">
        <f>SUM(Y4637)</f>
        <v>0</v>
      </c>
      <c r="Z4636" s="314">
        <v>0</v>
      </c>
      <c r="AA4636" s="979">
        <f t="shared" si="757"/>
        <v>750</v>
      </c>
    </row>
    <row r="4637" spans="1:27" ht="22.5" x14ac:dyDescent="0.2">
      <c r="A4637" s="3608"/>
      <c r="B4637" s="3390"/>
      <c r="C4637" s="3606"/>
      <c r="D4637" s="3390"/>
      <c r="E4637" s="3390"/>
      <c r="F4637" s="3571"/>
      <c r="G4637" s="3571"/>
      <c r="H4637" s="3390"/>
      <c r="I4637" s="3567"/>
      <c r="J4637" s="3390"/>
      <c r="K4637" s="3570"/>
      <c r="L4637" s="2420"/>
      <c r="M4637" s="1923" t="s">
        <v>194</v>
      </c>
      <c r="N4637" s="1923" t="s">
        <v>1368</v>
      </c>
      <c r="O4637" s="4">
        <v>0</v>
      </c>
      <c r="P4637" s="4">
        <v>0</v>
      </c>
      <c r="Q4637" s="4">
        <v>750</v>
      </c>
      <c r="R4637" s="4">
        <v>0</v>
      </c>
      <c r="S4637" s="4">
        <v>0</v>
      </c>
      <c r="T4637" s="4">
        <v>0</v>
      </c>
      <c r="U4637" s="4">
        <v>0</v>
      </c>
      <c r="V4637" s="4">
        <v>0</v>
      </c>
      <c r="W4637" s="170">
        <v>0</v>
      </c>
      <c r="X4637" s="170">
        <v>0</v>
      </c>
      <c r="Y4637" s="170">
        <v>0</v>
      </c>
      <c r="Z4637" s="170">
        <v>0</v>
      </c>
      <c r="AA4637" s="976">
        <f t="shared" si="757"/>
        <v>750</v>
      </c>
    </row>
    <row r="4638" spans="1:27" x14ac:dyDescent="0.2">
      <c r="A4638" s="3608" t="s">
        <v>1836</v>
      </c>
      <c r="B4638" s="3390">
        <v>5.0999999999999996</v>
      </c>
      <c r="C4638" s="3606" t="s">
        <v>1837</v>
      </c>
      <c r="D4638" s="3390" t="s">
        <v>1806</v>
      </c>
      <c r="E4638" s="3390">
        <v>23</v>
      </c>
      <c r="F4638" s="3571" t="s">
        <v>1807</v>
      </c>
      <c r="G4638" s="3571" t="s">
        <v>166</v>
      </c>
      <c r="H4638" s="3390" t="s">
        <v>1838</v>
      </c>
      <c r="I4638" s="3390" t="s">
        <v>156</v>
      </c>
      <c r="J4638" s="3390">
        <v>1</v>
      </c>
      <c r="K4638" s="3570">
        <f>AA4640</f>
        <v>150</v>
      </c>
      <c r="L4638" s="2420" t="s">
        <v>1812</v>
      </c>
      <c r="M4638" s="2999" t="s">
        <v>51</v>
      </c>
      <c r="N4638" s="2999"/>
      <c r="O4638" s="311">
        <v>0</v>
      </c>
      <c r="P4638" s="311">
        <v>0</v>
      </c>
      <c r="Q4638" s="311">
        <v>1</v>
      </c>
      <c r="R4638" s="311">
        <v>0</v>
      </c>
      <c r="S4638" s="311">
        <v>0</v>
      </c>
      <c r="T4638" s="311">
        <v>0</v>
      </c>
      <c r="U4638" s="311">
        <v>0</v>
      </c>
      <c r="V4638" s="311">
        <v>0</v>
      </c>
      <c r="W4638" s="311">
        <v>0</v>
      </c>
      <c r="X4638" s="311">
        <v>0</v>
      </c>
      <c r="Y4638" s="311">
        <v>0</v>
      </c>
      <c r="Z4638" s="314">
        <v>0</v>
      </c>
      <c r="AA4638" s="979">
        <f t="shared" si="757"/>
        <v>1</v>
      </c>
    </row>
    <row r="4639" spans="1:27" x14ac:dyDescent="0.2">
      <c r="A4639" s="3608"/>
      <c r="B4639" s="3390"/>
      <c r="C4639" s="3606"/>
      <c r="D4639" s="3390"/>
      <c r="E4639" s="3390"/>
      <c r="F4639" s="3571"/>
      <c r="G4639" s="3571"/>
      <c r="H4639" s="3390"/>
      <c r="I4639" s="3390"/>
      <c r="J4639" s="3390"/>
      <c r="K4639" s="3570"/>
      <c r="L4639" s="2420"/>
      <c r="M4639" s="2999" t="s">
        <v>1813</v>
      </c>
      <c r="N4639" s="2999"/>
      <c r="O4639" s="312">
        <f>SUM(O4640)</f>
        <v>0</v>
      </c>
      <c r="P4639" s="312">
        <f t="shared" ref="P4639:Y4639" si="762">SUM(P4640)</f>
        <v>0</v>
      </c>
      <c r="Q4639" s="312">
        <f t="shared" si="762"/>
        <v>150</v>
      </c>
      <c r="R4639" s="312">
        <f t="shared" si="762"/>
        <v>0</v>
      </c>
      <c r="S4639" s="312">
        <f t="shared" si="762"/>
        <v>0</v>
      </c>
      <c r="T4639" s="312">
        <f t="shared" si="762"/>
        <v>0</v>
      </c>
      <c r="U4639" s="312">
        <v>0</v>
      </c>
      <c r="V4639" s="312">
        <f t="shared" si="762"/>
        <v>0</v>
      </c>
      <c r="W4639" s="312">
        <f t="shared" si="762"/>
        <v>0</v>
      </c>
      <c r="X4639" s="312">
        <f t="shared" si="762"/>
        <v>0</v>
      </c>
      <c r="Y4639" s="312">
        <f t="shared" si="762"/>
        <v>0</v>
      </c>
      <c r="Z4639" s="312">
        <f>SUM(Z4640)</f>
        <v>0</v>
      </c>
      <c r="AA4639" s="979">
        <f t="shared" si="757"/>
        <v>150</v>
      </c>
    </row>
    <row r="4640" spans="1:27" x14ac:dyDescent="0.2">
      <c r="A4640" s="3608"/>
      <c r="B4640" s="3390"/>
      <c r="C4640" s="3606"/>
      <c r="D4640" s="3390"/>
      <c r="E4640" s="3390"/>
      <c r="F4640" s="3571"/>
      <c r="G4640" s="3571"/>
      <c r="H4640" s="3390"/>
      <c r="I4640" s="3390"/>
      <c r="J4640" s="3390"/>
      <c r="K4640" s="3570"/>
      <c r="L4640" s="2420"/>
      <c r="M4640" s="1923" t="s">
        <v>1452</v>
      </c>
      <c r="N4640" s="1923" t="s">
        <v>1818</v>
      </c>
      <c r="O4640" s="4">
        <v>0</v>
      </c>
      <c r="P4640" s="4">
        <v>0</v>
      </c>
      <c r="Q4640" s="4">
        <v>150</v>
      </c>
      <c r="R4640" s="4">
        <v>0</v>
      </c>
      <c r="S4640" s="4">
        <v>0</v>
      </c>
      <c r="T4640" s="4">
        <v>0</v>
      </c>
      <c r="U4640" s="4">
        <v>0</v>
      </c>
      <c r="V4640" s="4">
        <v>0</v>
      </c>
      <c r="W4640" s="487">
        <v>0</v>
      </c>
      <c r="X4640" s="487">
        <v>0</v>
      </c>
      <c r="Y4640" s="487">
        <v>0</v>
      </c>
      <c r="Z4640" s="487">
        <v>0</v>
      </c>
      <c r="AA4640" s="976">
        <f t="shared" si="757"/>
        <v>150</v>
      </c>
    </row>
    <row r="4641" spans="1:27" x14ac:dyDescent="0.2">
      <c r="A4641" s="3608"/>
      <c r="B4641" s="3390">
        <v>5.2</v>
      </c>
      <c r="C4641" s="3606" t="s">
        <v>1839</v>
      </c>
      <c r="D4641" s="3573" t="s">
        <v>1806</v>
      </c>
      <c r="E4641" s="3567">
        <v>23</v>
      </c>
      <c r="F4641" s="3571" t="s">
        <v>1807</v>
      </c>
      <c r="G4641" s="3571" t="s">
        <v>166</v>
      </c>
      <c r="H4641" s="3390" t="s">
        <v>1817</v>
      </c>
      <c r="I4641" s="3567" t="s">
        <v>156</v>
      </c>
      <c r="J4641" s="3567">
        <v>3</v>
      </c>
      <c r="K4641" s="3570">
        <v>160</v>
      </c>
      <c r="L4641" s="2413" t="s">
        <v>1812</v>
      </c>
      <c r="M4641" s="2999" t="s">
        <v>51</v>
      </c>
      <c r="N4641" s="2999"/>
      <c r="O4641" s="309">
        <v>0</v>
      </c>
      <c r="P4641" s="309">
        <v>0</v>
      </c>
      <c r="Q4641" s="309">
        <v>1</v>
      </c>
      <c r="R4641" s="309">
        <v>0</v>
      </c>
      <c r="S4641" s="309">
        <v>0</v>
      </c>
      <c r="T4641" s="309">
        <v>0</v>
      </c>
      <c r="U4641" s="309">
        <v>1</v>
      </c>
      <c r="V4641" s="309">
        <v>0</v>
      </c>
      <c r="W4641" s="309">
        <v>0</v>
      </c>
      <c r="X4641" s="309">
        <v>0</v>
      </c>
      <c r="Y4641" s="309">
        <v>1</v>
      </c>
      <c r="Z4641" s="309">
        <v>0</v>
      </c>
      <c r="AA4641" s="2244">
        <f t="shared" si="757"/>
        <v>3</v>
      </c>
    </row>
    <row r="4642" spans="1:27" x14ac:dyDescent="0.2">
      <c r="A4642" s="3608"/>
      <c r="B4642" s="3390"/>
      <c r="C4642" s="3606"/>
      <c r="D4642" s="3573"/>
      <c r="E4642" s="3567"/>
      <c r="F4642" s="3571"/>
      <c r="G4642" s="3571"/>
      <c r="H4642" s="3390"/>
      <c r="I4642" s="3567"/>
      <c r="J4642" s="3567"/>
      <c r="K4642" s="3570"/>
      <c r="L4642" s="2413"/>
      <c r="M4642" s="2999" t="s">
        <v>1813</v>
      </c>
      <c r="N4642" s="2999"/>
      <c r="O4642" s="309">
        <f>SUM(O4643)</f>
        <v>0</v>
      </c>
      <c r="P4642" s="309">
        <f t="shared" ref="P4642:W4642" si="763">SUM(P4643)</f>
        <v>0</v>
      </c>
      <c r="Q4642" s="309">
        <v>50</v>
      </c>
      <c r="R4642" s="309">
        <f t="shared" si="763"/>
        <v>0</v>
      </c>
      <c r="S4642" s="309">
        <f t="shared" si="763"/>
        <v>0</v>
      </c>
      <c r="T4642" s="309">
        <f t="shared" si="763"/>
        <v>0</v>
      </c>
      <c r="U4642" s="309">
        <v>50</v>
      </c>
      <c r="V4642" s="309">
        <f t="shared" si="763"/>
        <v>0</v>
      </c>
      <c r="W4642" s="309">
        <f t="shared" si="763"/>
        <v>0</v>
      </c>
      <c r="X4642" s="309">
        <f>SUM(X4643)</f>
        <v>0</v>
      </c>
      <c r="Y4642" s="309">
        <v>60</v>
      </c>
      <c r="Z4642" s="309">
        <f>SUM(Z4643)</f>
        <v>0</v>
      </c>
      <c r="AA4642" s="1441">
        <f>SUM(O4642:Z4642)</f>
        <v>160</v>
      </c>
    </row>
    <row r="4643" spans="1:27" x14ac:dyDescent="0.2">
      <c r="A4643" s="3608"/>
      <c r="B4643" s="3390"/>
      <c r="C4643" s="3606"/>
      <c r="D4643" s="3573"/>
      <c r="E4643" s="3567"/>
      <c r="F4643" s="3571"/>
      <c r="G4643" s="3571"/>
      <c r="H4643" s="3390"/>
      <c r="I4643" s="3567"/>
      <c r="J4643" s="3567"/>
      <c r="K4643" s="3570"/>
      <c r="L4643" s="2413"/>
      <c r="M4643" s="1923" t="s">
        <v>1452</v>
      </c>
      <c r="N4643" s="1923" t="s">
        <v>1818</v>
      </c>
      <c r="O4643" s="4">
        <v>0</v>
      </c>
      <c r="P4643" s="4">
        <v>0</v>
      </c>
      <c r="Q4643" s="4">
        <v>50</v>
      </c>
      <c r="R4643" s="4">
        <v>0</v>
      </c>
      <c r="S4643" s="4">
        <v>0</v>
      </c>
      <c r="T4643" s="4">
        <v>0</v>
      </c>
      <c r="U4643" s="4">
        <v>50</v>
      </c>
      <c r="V4643" s="4">
        <v>0</v>
      </c>
      <c r="W4643" s="487">
        <v>0</v>
      </c>
      <c r="X4643" s="487">
        <v>0</v>
      </c>
      <c r="Y4643" s="317">
        <v>60</v>
      </c>
      <c r="Z4643" s="487">
        <v>0</v>
      </c>
      <c r="AA4643" s="1440">
        <f t="shared" si="757"/>
        <v>160</v>
      </c>
    </row>
    <row r="4644" spans="1:27" x14ac:dyDescent="0.2">
      <c r="A4644" s="3608"/>
      <c r="B4644" s="3390">
        <v>5.3</v>
      </c>
      <c r="C4644" s="3606" t="s">
        <v>1840</v>
      </c>
      <c r="D4644" s="3573" t="s">
        <v>1806</v>
      </c>
      <c r="E4644" s="3567">
        <v>23</v>
      </c>
      <c r="F4644" s="3571" t="s">
        <v>1807</v>
      </c>
      <c r="G4644" s="3571" t="s">
        <v>166</v>
      </c>
      <c r="H4644" s="3390" t="s">
        <v>1838</v>
      </c>
      <c r="I4644" s="3567" t="s">
        <v>156</v>
      </c>
      <c r="J4644" s="3556">
        <v>2</v>
      </c>
      <c r="K4644" s="3570">
        <v>500</v>
      </c>
      <c r="L4644" s="2413" t="s">
        <v>1812</v>
      </c>
      <c r="M4644" s="2999" t="s">
        <v>51</v>
      </c>
      <c r="N4644" s="2999"/>
      <c r="O4644" s="309">
        <v>0</v>
      </c>
      <c r="P4644" s="309">
        <v>1</v>
      </c>
      <c r="Q4644" s="309">
        <v>0</v>
      </c>
      <c r="R4644" s="309">
        <v>0</v>
      </c>
      <c r="S4644" s="309">
        <v>1</v>
      </c>
      <c r="T4644" s="309">
        <v>0</v>
      </c>
      <c r="U4644" s="309">
        <v>0</v>
      </c>
      <c r="V4644" s="309">
        <v>0</v>
      </c>
      <c r="W4644" s="309">
        <v>0</v>
      </c>
      <c r="X4644" s="309">
        <v>0</v>
      </c>
      <c r="Y4644" s="309">
        <v>0</v>
      </c>
      <c r="Z4644" s="309">
        <v>0</v>
      </c>
      <c r="AA4644" s="1441">
        <f t="shared" si="757"/>
        <v>2</v>
      </c>
    </row>
    <row r="4645" spans="1:27" x14ac:dyDescent="0.2">
      <c r="A4645" s="3608"/>
      <c r="B4645" s="3390"/>
      <c r="C4645" s="3606"/>
      <c r="D4645" s="3573"/>
      <c r="E4645" s="3567"/>
      <c r="F4645" s="3571"/>
      <c r="G4645" s="3571"/>
      <c r="H4645" s="3390"/>
      <c r="I4645" s="3567"/>
      <c r="J4645" s="3556"/>
      <c r="K4645" s="3570"/>
      <c r="L4645" s="2413"/>
      <c r="M4645" s="2999" t="s">
        <v>1813</v>
      </c>
      <c r="N4645" s="2999"/>
      <c r="O4645" s="309">
        <f>SUM(O4646)</f>
        <v>0</v>
      </c>
      <c r="P4645" s="309">
        <f t="shared" ref="P4645:X4645" si="764">SUM(P4646)</f>
        <v>250</v>
      </c>
      <c r="Q4645" s="309">
        <f t="shared" si="764"/>
        <v>0</v>
      </c>
      <c r="R4645" s="309">
        <f t="shared" si="764"/>
        <v>0</v>
      </c>
      <c r="S4645" s="309">
        <f t="shared" si="764"/>
        <v>250</v>
      </c>
      <c r="T4645" s="309">
        <f t="shared" si="764"/>
        <v>0</v>
      </c>
      <c r="U4645" s="309">
        <f t="shared" si="764"/>
        <v>0</v>
      </c>
      <c r="V4645" s="309">
        <f t="shared" si="764"/>
        <v>0</v>
      </c>
      <c r="W4645" s="309">
        <v>0</v>
      </c>
      <c r="X4645" s="309">
        <f t="shared" si="764"/>
        <v>0</v>
      </c>
      <c r="Y4645" s="309">
        <f>SUM(Y4646)</f>
        <v>0</v>
      </c>
      <c r="Z4645" s="309">
        <f>SUM(Z4646)</f>
        <v>0</v>
      </c>
      <c r="AA4645" s="1441">
        <f t="shared" si="757"/>
        <v>500</v>
      </c>
    </row>
    <row r="4646" spans="1:27" x14ac:dyDescent="0.2">
      <c r="A4646" s="3608"/>
      <c r="B4646" s="3390"/>
      <c r="C4646" s="3606"/>
      <c r="D4646" s="3573"/>
      <c r="E4646" s="3567"/>
      <c r="F4646" s="3571"/>
      <c r="G4646" s="3571"/>
      <c r="H4646" s="3390"/>
      <c r="I4646" s="3567"/>
      <c r="J4646" s="3556"/>
      <c r="K4646" s="3570"/>
      <c r="L4646" s="2413"/>
      <c r="M4646" s="1923" t="s">
        <v>1452</v>
      </c>
      <c r="N4646" s="1923" t="s">
        <v>1818</v>
      </c>
      <c r="O4646" s="4">
        <v>0</v>
      </c>
      <c r="P4646" s="4">
        <v>250</v>
      </c>
      <c r="Q4646" s="4">
        <v>0</v>
      </c>
      <c r="R4646" s="4">
        <v>0</v>
      </c>
      <c r="S4646" s="4">
        <v>250</v>
      </c>
      <c r="T4646" s="4">
        <v>0</v>
      </c>
      <c r="U4646" s="4">
        <v>0</v>
      </c>
      <c r="V4646" s="4">
        <v>0</v>
      </c>
      <c r="W4646" s="4">
        <v>0</v>
      </c>
      <c r="X4646" s="4">
        <v>0</v>
      </c>
      <c r="Y4646" s="4">
        <v>0</v>
      </c>
      <c r="Z4646" s="4">
        <v>0</v>
      </c>
      <c r="AA4646" s="1440">
        <f t="shared" si="757"/>
        <v>500</v>
      </c>
    </row>
    <row r="4647" spans="1:27" x14ac:dyDescent="0.2">
      <c r="A4647" s="3608" t="s">
        <v>1841</v>
      </c>
      <c r="B4647" s="3390">
        <v>6.1</v>
      </c>
      <c r="C4647" s="3606" t="s">
        <v>1842</v>
      </c>
      <c r="D4647" s="3573" t="s">
        <v>1806</v>
      </c>
      <c r="E4647" s="3390">
        <v>23</v>
      </c>
      <c r="F4647" s="3575" t="s">
        <v>1807</v>
      </c>
      <c r="G4647" s="3571" t="s">
        <v>166</v>
      </c>
      <c r="H4647" s="3390" t="s">
        <v>1948</v>
      </c>
      <c r="I4647" s="3390" t="s">
        <v>1949</v>
      </c>
      <c r="J4647" s="3390">
        <v>24</v>
      </c>
      <c r="K4647" s="3557">
        <f>AA4648</f>
        <v>68528</v>
      </c>
      <c r="L4647" s="3610" t="str">
        <f>+L4644</f>
        <v>Sub Gerencia de Asuntos Poblacionales</v>
      </c>
      <c r="M4647" s="2999" t="s">
        <v>51</v>
      </c>
      <c r="N4647" s="2999"/>
      <c r="O4647" s="452">
        <v>1</v>
      </c>
      <c r="P4647" s="452">
        <v>1</v>
      </c>
      <c r="Q4647" s="452">
        <v>1</v>
      </c>
      <c r="R4647" s="452">
        <v>1</v>
      </c>
      <c r="S4647" s="452">
        <v>1</v>
      </c>
      <c r="T4647" s="452">
        <v>1</v>
      </c>
      <c r="U4647" s="452">
        <v>1</v>
      </c>
      <c r="V4647" s="452">
        <v>1</v>
      </c>
      <c r="W4647" s="452">
        <v>1</v>
      </c>
      <c r="X4647" s="452">
        <v>1</v>
      </c>
      <c r="Y4647" s="452">
        <v>1</v>
      </c>
      <c r="Z4647" s="452">
        <v>1</v>
      </c>
      <c r="AA4647" s="1441">
        <f>SUM(O4647:Z4647)</f>
        <v>12</v>
      </c>
    </row>
    <row r="4648" spans="1:27" x14ac:dyDescent="0.2">
      <c r="A4648" s="3608"/>
      <c r="B4648" s="3390"/>
      <c r="C4648" s="3606"/>
      <c r="D4648" s="3573"/>
      <c r="E4648" s="3390"/>
      <c r="F4648" s="3575"/>
      <c r="G4648" s="3571"/>
      <c r="H4648" s="3390"/>
      <c r="I4648" s="3390"/>
      <c r="J4648" s="3390"/>
      <c r="K4648" s="3557"/>
      <c r="L4648" s="2922"/>
      <c r="M4648" s="2999" t="s">
        <v>1813</v>
      </c>
      <c r="N4648" s="2999"/>
      <c r="O4648" s="496">
        <f>SUM(O4649:O4652)</f>
        <v>5710.66</v>
      </c>
      <c r="P4648" s="496">
        <f t="shared" ref="P4648:W4648" si="765">SUM(P4649:P4652)</f>
        <v>5710.66</v>
      </c>
      <c r="Q4648" s="496">
        <f t="shared" si="765"/>
        <v>5710.66</v>
      </c>
      <c r="R4648" s="496">
        <f t="shared" si="765"/>
        <v>5710.66</v>
      </c>
      <c r="S4648" s="496">
        <f t="shared" si="765"/>
        <v>5710.66</v>
      </c>
      <c r="T4648" s="496">
        <f t="shared" si="765"/>
        <v>5710.66</v>
      </c>
      <c r="U4648" s="496">
        <f t="shared" si="765"/>
        <v>5710.66</v>
      </c>
      <c r="V4648" s="496">
        <f t="shared" si="765"/>
        <v>5710.66</v>
      </c>
      <c r="W4648" s="496">
        <f t="shared" si="765"/>
        <v>5710.66</v>
      </c>
      <c r="X4648" s="496">
        <f>SUM(X4649:X4652)</f>
        <v>5710.66</v>
      </c>
      <c r="Y4648" s="496">
        <f t="shared" ref="Y4648:Z4648" si="766">SUM(Y4649:Y4652)</f>
        <v>5710.6</v>
      </c>
      <c r="Z4648" s="496">
        <f t="shared" si="766"/>
        <v>5710.8</v>
      </c>
      <c r="AA4648" s="1441">
        <f>SUM(O4648:Z4648)</f>
        <v>68528</v>
      </c>
    </row>
    <row r="4649" spans="1:27" ht="33.75" x14ac:dyDescent="0.2">
      <c r="A4649" s="3608"/>
      <c r="B4649" s="3390"/>
      <c r="C4649" s="3606"/>
      <c r="D4649" s="3573"/>
      <c r="E4649" s="3390"/>
      <c r="F4649" s="3575"/>
      <c r="G4649" s="3571"/>
      <c r="H4649" s="3390"/>
      <c r="I4649" s="3390"/>
      <c r="J4649" s="3390"/>
      <c r="K4649" s="3557"/>
      <c r="L4649" s="2922"/>
      <c r="M4649" s="1923" t="s">
        <v>208</v>
      </c>
      <c r="N4649" s="1923" t="s">
        <v>1844</v>
      </c>
      <c r="O4649" s="4">
        <v>5500</v>
      </c>
      <c r="P4649" s="4">
        <v>5500</v>
      </c>
      <c r="Q4649" s="4">
        <v>5500</v>
      </c>
      <c r="R4649" s="4">
        <v>5500</v>
      </c>
      <c r="S4649" s="4">
        <v>5500</v>
      </c>
      <c r="T4649" s="4">
        <v>5500</v>
      </c>
      <c r="U4649" s="4">
        <v>5500</v>
      </c>
      <c r="V4649" s="4">
        <v>5500</v>
      </c>
      <c r="W4649" s="4">
        <v>5500</v>
      </c>
      <c r="X4649" s="4">
        <v>5500</v>
      </c>
      <c r="Y4649" s="4">
        <v>5500</v>
      </c>
      <c r="Z4649" s="4">
        <v>5500</v>
      </c>
      <c r="AA4649" s="2245">
        <f>SUM(O4649:Z4649)</f>
        <v>66000</v>
      </c>
    </row>
    <row r="4650" spans="1:27" x14ac:dyDescent="0.2">
      <c r="A4650" s="3608"/>
      <c r="B4650" s="3390">
        <v>6.2</v>
      </c>
      <c r="C4650" s="3606" t="s">
        <v>1845</v>
      </c>
      <c r="D4650" s="3573" t="s">
        <v>1806</v>
      </c>
      <c r="E4650" s="3390">
        <v>23</v>
      </c>
      <c r="F4650" s="3575" t="s">
        <v>1807</v>
      </c>
      <c r="G4650" s="3571" t="s">
        <v>166</v>
      </c>
      <c r="H4650" s="3390" t="s">
        <v>1950</v>
      </c>
      <c r="I4650" s="3390" t="s">
        <v>156</v>
      </c>
      <c r="J4650" s="3390">
        <v>24</v>
      </c>
      <c r="K4650" s="3557"/>
      <c r="L4650" s="3610" t="str">
        <f>+L4647</f>
        <v>Sub Gerencia de Asuntos Poblacionales</v>
      </c>
      <c r="M4650" s="2522" t="s">
        <v>1847</v>
      </c>
      <c r="N4650" s="2522" t="s">
        <v>1951</v>
      </c>
      <c r="O4650" s="3616">
        <v>210.66</v>
      </c>
      <c r="P4650" s="3616">
        <v>210.66</v>
      </c>
      <c r="Q4650" s="3616">
        <v>210.66</v>
      </c>
      <c r="R4650" s="3616">
        <v>210.66</v>
      </c>
      <c r="S4650" s="3616">
        <v>210.66</v>
      </c>
      <c r="T4650" s="3616">
        <v>210.66</v>
      </c>
      <c r="U4650" s="3616">
        <v>210.66</v>
      </c>
      <c r="V4650" s="3616">
        <v>210.66</v>
      </c>
      <c r="W4650" s="3616">
        <v>210.66</v>
      </c>
      <c r="X4650" s="3616">
        <v>210.66</v>
      </c>
      <c r="Y4650" s="3616">
        <v>210.6</v>
      </c>
      <c r="Z4650" s="3616">
        <v>210.8</v>
      </c>
      <c r="AA4650" s="3611">
        <f>SUM(O4650:Z4652)</f>
        <v>2528.0000000000005</v>
      </c>
    </row>
    <row r="4651" spans="1:27" x14ac:dyDescent="0.2">
      <c r="A4651" s="3608"/>
      <c r="B4651" s="3390"/>
      <c r="C4651" s="3606"/>
      <c r="D4651" s="3573"/>
      <c r="E4651" s="3390"/>
      <c r="F4651" s="3575"/>
      <c r="G4651" s="3571"/>
      <c r="H4651" s="3390"/>
      <c r="I4651" s="3390"/>
      <c r="J4651" s="3390"/>
      <c r="K4651" s="3557"/>
      <c r="L4651" s="2922"/>
      <c r="M4651" s="2522"/>
      <c r="N4651" s="2522"/>
      <c r="O4651" s="3616"/>
      <c r="P4651" s="3616"/>
      <c r="Q4651" s="3616"/>
      <c r="R4651" s="3616"/>
      <c r="S4651" s="3616"/>
      <c r="T4651" s="3616"/>
      <c r="U4651" s="3616"/>
      <c r="V4651" s="3616"/>
      <c r="W4651" s="3616"/>
      <c r="X4651" s="3616"/>
      <c r="Y4651" s="3616"/>
      <c r="Z4651" s="3616"/>
      <c r="AA4651" s="3611"/>
    </row>
    <row r="4652" spans="1:27" x14ac:dyDescent="0.2">
      <c r="A4652" s="3608"/>
      <c r="B4652" s="3390"/>
      <c r="C4652" s="3606"/>
      <c r="D4652" s="3573"/>
      <c r="E4652" s="3390"/>
      <c r="F4652" s="3575"/>
      <c r="G4652" s="3571"/>
      <c r="H4652" s="3390"/>
      <c r="I4652" s="3390"/>
      <c r="J4652" s="3390"/>
      <c r="K4652" s="3557"/>
      <c r="L4652" s="2922"/>
      <c r="M4652" s="2522"/>
      <c r="N4652" s="2522"/>
      <c r="O4652" s="3616"/>
      <c r="P4652" s="3616"/>
      <c r="Q4652" s="3616"/>
      <c r="R4652" s="3616"/>
      <c r="S4652" s="3616"/>
      <c r="T4652" s="3616"/>
      <c r="U4652" s="3616"/>
      <c r="V4652" s="3616"/>
      <c r="W4652" s="3616"/>
      <c r="X4652" s="3616"/>
      <c r="Y4652" s="3616"/>
      <c r="Z4652" s="3616"/>
      <c r="AA4652" s="3611"/>
    </row>
    <row r="4653" spans="1:27" x14ac:dyDescent="0.2">
      <c r="A4653" s="728"/>
      <c r="B4653" s="752"/>
      <c r="C4653" s="737"/>
      <c r="D4653" s="754"/>
      <c r="E4653" s="752"/>
      <c r="F4653" s="755"/>
      <c r="G4653" s="753"/>
      <c r="H4653" s="752"/>
      <c r="I4653" s="752"/>
      <c r="J4653" s="752"/>
      <c r="K4653" s="756"/>
      <c r="L4653" s="724"/>
      <c r="M4653" s="723"/>
      <c r="N4653" s="723"/>
      <c r="O4653" s="736"/>
      <c r="P4653" s="736"/>
      <c r="Q4653" s="736"/>
      <c r="R4653" s="736"/>
      <c r="S4653" s="736"/>
      <c r="T4653" s="736"/>
      <c r="U4653" s="736"/>
      <c r="V4653" s="736"/>
      <c r="W4653" s="736"/>
      <c r="X4653" s="736"/>
      <c r="Y4653" s="736"/>
      <c r="Z4653" s="736"/>
      <c r="AA4653" s="734"/>
    </row>
    <row r="4654" spans="1:27" x14ac:dyDescent="0.2">
      <c r="A4654" s="3612" t="s">
        <v>1849</v>
      </c>
      <c r="B4654" s="3613"/>
      <c r="C4654" s="3613"/>
      <c r="D4654" s="3613"/>
      <c r="E4654" s="3613"/>
      <c r="F4654" s="3613"/>
      <c r="G4654" s="3613"/>
      <c r="H4654" s="3613"/>
      <c r="I4654" s="3613"/>
      <c r="J4654" s="3613"/>
      <c r="K4654" s="3613"/>
      <c r="L4654" s="3613"/>
      <c r="M4654" s="3613"/>
      <c r="N4654" s="3613"/>
      <c r="O4654" s="3613"/>
      <c r="P4654" s="3613"/>
      <c r="Q4654" s="3613"/>
      <c r="R4654" s="3613"/>
      <c r="S4654" s="3613"/>
      <c r="T4654" s="3613"/>
      <c r="U4654" s="3613"/>
      <c r="V4654" s="3613"/>
      <c r="W4654" s="3613"/>
      <c r="X4654" s="3613"/>
      <c r="Y4654" s="3613"/>
      <c r="Z4654" s="3613"/>
      <c r="AA4654" s="3614"/>
    </row>
    <row r="4655" spans="1:27" x14ac:dyDescent="0.2">
      <c r="A4655" s="3615" t="s">
        <v>0</v>
      </c>
      <c r="B4655" s="492" t="s">
        <v>1</v>
      </c>
      <c r="C4655" s="3601" t="s">
        <v>1850</v>
      </c>
      <c r="D4655" s="3601"/>
      <c r="E4655" s="3601"/>
      <c r="F4655" s="3601"/>
      <c r="G4655" s="3601"/>
      <c r="H4655" s="3601"/>
      <c r="I4655" s="3601"/>
      <c r="J4655" s="3601"/>
      <c r="K4655" s="3601"/>
      <c r="L4655" s="3601"/>
      <c r="M4655" s="3601"/>
      <c r="N4655" s="3601"/>
      <c r="O4655" s="3601"/>
      <c r="P4655" s="3601"/>
      <c r="Q4655" s="3601"/>
      <c r="R4655" s="3601"/>
      <c r="S4655" s="3601"/>
      <c r="T4655" s="3601"/>
      <c r="U4655" s="3601"/>
      <c r="V4655" s="3601"/>
      <c r="W4655" s="3601"/>
      <c r="X4655" s="3601"/>
      <c r="Y4655" s="3601"/>
      <c r="Z4655" s="3601"/>
      <c r="AA4655" s="3601"/>
    </row>
    <row r="4656" spans="1:27" ht="22.5" x14ac:dyDescent="0.2">
      <c r="A4656" s="3615"/>
      <c r="B4656" s="453" t="s">
        <v>2</v>
      </c>
      <c r="C4656" s="3057" t="s">
        <v>1851</v>
      </c>
      <c r="D4656" s="3057"/>
      <c r="E4656" s="3057"/>
      <c r="F4656" s="3057"/>
      <c r="G4656" s="3057"/>
      <c r="H4656" s="3057"/>
      <c r="I4656" s="3057"/>
      <c r="J4656" s="3057"/>
      <c r="K4656" s="3057"/>
      <c r="L4656" s="3057"/>
      <c r="M4656" s="3057"/>
      <c r="N4656" s="3057"/>
      <c r="O4656" s="3057"/>
      <c r="P4656" s="3057"/>
      <c r="Q4656" s="3057"/>
      <c r="R4656" s="3057"/>
      <c r="S4656" s="3057"/>
      <c r="T4656" s="3057"/>
      <c r="U4656" s="3057"/>
      <c r="V4656" s="3057"/>
      <c r="W4656" s="3057"/>
      <c r="X4656" s="3057"/>
      <c r="Y4656" s="3057"/>
      <c r="Z4656" s="3057"/>
      <c r="AA4656" s="3057"/>
    </row>
    <row r="4657" spans="1:27" x14ac:dyDescent="0.2">
      <c r="A4657" s="3615"/>
      <c r="B4657" s="453" t="s">
        <v>4</v>
      </c>
      <c r="C4657" s="3057" t="s">
        <v>1852</v>
      </c>
      <c r="D4657" s="3057"/>
      <c r="E4657" s="3057"/>
      <c r="F4657" s="3057"/>
      <c r="G4657" s="3057"/>
      <c r="H4657" s="3057"/>
      <c r="I4657" s="3057"/>
      <c r="J4657" s="3057"/>
      <c r="K4657" s="3057"/>
      <c r="L4657" s="3057"/>
      <c r="M4657" s="3057"/>
      <c r="N4657" s="3057"/>
      <c r="O4657" s="3057"/>
      <c r="P4657" s="3057"/>
      <c r="Q4657" s="3057"/>
      <c r="R4657" s="3057"/>
      <c r="S4657" s="3057"/>
      <c r="T4657" s="3057"/>
      <c r="U4657" s="3057"/>
      <c r="V4657" s="3057"/>
      <c r="W4657" s="3057"/>
      <c r="X4657" s="3057"/>
      <c r="Y4657" s="3057"/>
      <c r="Z4657" s="3057"/>
      <c r="AA4657" s="3057"/>
    </row>
    <row r="4658" spans="1:27" ht="22.5" x14ac:dyDescent="0.2">
      <c r="A4658" s="3615"/>
      <c r="B4658" s="453" t="s">
        <v>6</v>
      </c>
      <c r="C4658" s="3057" t="s">
        <v>1853</v>
      </c>
      <c r="D4658" s="3057"/>
      <c r="E4658" s="3057"/>
      <c r="F4658" s="3057"/>
      <c r="G4658" s="3057"/>
      <c r="H4658" s="3057"/>
      <c r="I4658" s="3057"/>
      <c r="J4658" s="3057"/>
      <c r="K4658" s="3057"/>
      <c r="L4658" s="3057"/>
      <c r="M4658" s="3057"/>
      <c r="N4658" s="3057"/>
      <c r="O4658" s="3057"/>
      <c r="P4658" s="3057"/>
      <c r="Q4658" s="3057"/>
      <c r="R4658" s="3057"/>
      <c r="S4658" s="3057"/>
      <c r="T4658" s="3057"/>
      <c r="U4658" s="3057"/>
      <c r="V4658" s="3057"/>
      <c r="W4658" s="3057"/>
      <c r="X4658" s="3057"/>
      <c r="Y4658" s="3057"/>
      <c r="Z4658" s="3057"/>
      <c r="AA4658" s="3057"/>
    </row>
    <row r="4659" spans="1:27" ht="15.75" customHeight="1" x14ac:dyDescent="0.2">
      <c r="A4659" s="3615"/>
      <c r="B4659" s="1238" t="s">
        <v>8</v>
      </c>
      <c r="C4659" s="3599" t="s">
        <v>1952</v>
      </c>
      <c r="D4659" s="3599"/>
      <c r="E4659" s="3599"/>
      <c r="F4659" s="3599"/>
      <c r="G4659" s="3599"/>
      <c r="H4659" s="3599"/>
      <c r="I4659" s="3599"/>
      <c r="J4659" s="3599"/>
      <c r="K4659" s="3599"/>
      <c r="L4659" s="3599"/>
      <c r="M4659" s="3599"/>
      <c r="N4659" s="3599"/>
      <c r="O4659" s="3599"/>
      <c r="P4659" s="3599"/>
      <c r="Q4659" s="3599"/>
      <c r="R4659" s="3599"/>
      <c r="S4659" s="3599"/>
      <c r="T4659" s="3599"/>
      <c r="U4659" s="3599"/>
      <c r="V4659" s="3599"/>
      <c r="W4659" s="3599"/>
      <c r="X4659" s="3599"/>
      <c r="Y4659" s="3599"/>
      <c r="Z4659" s="3599"/>
      <c r="AA4659" s="3599"/>
    </row>
    <row r="4660" spans="1:27" x14ac:dyDescent="0.2">
      <c r="A4660" s="3615"/>
      <c r="B4660" s="453" t="s">
        <v>11</v>
      </c>
      <c r="C4660" s="3586" t="s">
        <v>1855</v>
      </c>
      <c r="D4660" s="3586"/>
      <c r="E4660" s="3586"/>
      <c r="F4660" s="3586"/>
      <c r="G4660" s="3586"/>
      <c r="H4660" s="3586"/>
      <c r="I4660" s="3586"/>
      <c r="J4660" s="3586"/>
      <c r="K4660" s="3586"/>
      <c r="L4660" s="3586"/>
      <c r="M4660" s="3586"/>
      <c r="N4660" s="3586"/>
      <c r="O4660" s="3586"/>
      <c r="P4660" s="3586"/>
      <c r="Q4660" s="3586"/>
      <c r="R4660" s="3586"/>
      <c r="S4660" s="3586"/>
      <c r="T4660" s="3586"/>
      <c r="U4660" s="3586"/>
      <c r="V4660" s="3586"/>
      <c r="W4660" s="3586"/>
      <c r="X4660" s="3586"/>
      <c r="Y4660" s="3586"/>
      <c r="Z4660" s="3586"/>
      <c r="AA4660" s="3586"/>
    </row>
    <row r="4661" spans="1:27" x14ac:dyDescent="0.2">
      <c r="A4661" s="3615"/>
      <c r="B4661" s="2847" t="s">
        <v>20</v>
      </c>
      <c r="C4661" s="2847" t="s">
        <v>21</v>
      </c>
      <c r="D4661" s="2847" t="s">
        <v>22</v>
      </c>
      <c r="E4661" s="2847" t="s">
        <v>23</v>
      </c>
      <c r="F4661" s="2847" t="s">
        <v>24</v>
      </c>
      <c r="G4661" s="2847" t="s">
        <v>25</v>
      </c>
      <c r="H4661" s="2847" t="s">
        <v>26</v>
      </c>
      <c r="I4661" s="2847" t="s">
        <v>27</v>
      </c>
      <c r="J4661" s="2847" t="s">
        <v>28</v>
      </c>
      <c r="K4661" s="2847"/>
      <c r="L4661" s="2847" t="s">
        <v>29</v>
      </c>
      <c r="M4661" s="2847" t="s">
        <v>30</v>
      </c>
      <c r="N4661" s="2847"/>
      <c r="O4661" s="2916" t="s">
        <v>31</v>
      </c>
      <c r="P4661" s="2916"/>
      <c r="Q4661" s="2916"/>
      <c r="R4661" s="2916"/>
      <c r="S4661" s="2916"/>
      <c r="T4661" s="2916"/>
      <c r="U4661" s="2916"/>
      <c r="V4661" s="2916"/>
      <c r="W4661" s="2916"/>
      <c r="X4661" s="2916"/>
      <c r="Y4661" s="2916"/>
      <c r="Z4661" s="2916"/>
      <c r="AA4661" s="3522" t="s">
        <v>32</v>
      </c>
    </row>
    <row r="4662" spans="1:27" x14ac:dyDescent="0.2">
      <c r="A4662" s="3615"/>
      <c r="B4662" s="2847"/>
      <c r="C4662" s="2847"/>
      <c r="D4662" s="2847"/>
      <c r="E4662" s="2847"/>
      <c r="F4662" s="2847"/>
      <c r="G4662" s="2847"/>
      <c r="H4662" s="2847"/>
      <c r="I4662" s="2847"/>
      <c r="J4662" s="455" t="s">
        <v>33</v>
      </c>
      <c r="K4662" s="306" t="s">
        <v>34</v>
      </c>
      <c r="L4662" s="2847"/>
      <c r="M4662" s="2847"/>
      <c r="N4662" s="2847"/>
      <c r="O4662" s="471" t="s">
        <v>35</v>
      </c>
      <c r="P4662" s="471" t="s">
        <v>36</v>
      </c>
      <c r="Q4662" s="471" t="s">
        <v>37</v>
      </c>
      <c r="R4662" s="471" t="s">
        <v>38</v>
      </c>
      <c r="S4662" s="471" t="s">
        <v>39</v>
      </c>
      <c r="T4662" s="471" t="s">
        <v>40</v>
      </c>
      <c r="U4662" s="471" t="s">
        <v>41</v>
      </c>
      <c r="V4662" s="471" t="s">
        <v>42</v>
      </c>
      <c r="W4662" s="471" t="s">
        <v>43</v>
      </c>
      <c r="X4662" s="471" t="s">
        <v>44</v>
      </c>
      <c r="Y4662" s="471" t="s">
        <v>45</v>
      </c>
      <c r="Z4662" s="471" t="s">
        <v>46</v>
      </c>
      <c r="AA4662" s="3522"/>
    </row>
    <row r="4663" spans="1:27" ht="45" x14ac:dyDescent="0.2">
      <c r="A4663" s="3615"/>
      <c r="B4663" s="462">
        <v>500000013</v>
      </c>
      <c r="C4663" s="955" t="s">
        <v>1805</v>
      </c>
      <c r="D4663" s="462" t="s">
        <v>1856</v>
      </c>
      <c r="E4663" s="462" t="s">
        <v>1857</v>
      </c>
      <c r="F4663" s="462" t="s">
        <v>1858</v>
      </c>
      <c r="G4663" s="462" t="s">
        <v>1859</v>
      </c>
      <c r="H4663" s="453" t="s">
        <v>1213</v>
      </c>
      <c r="I4663" s="453" t="s">
        <v>1860</v>
      </c>
      <c r="J4663" s="464">
        <f>SUM(J4664:J4755)</f>
        <v>158</v>
      </c>
      <c r="K4663" s="493">
        <f>SUM(K4664:K4755)</f>
        <v>87337</v>
      </c>
      <c r="L4663" s="453"/>
      <c r="M4663" s="453"/>
      <c r="N4663" s="453"/>
      <c r="O4663" s="308"/>
      <c r="P4663" s="308"/>
      <c r="Q4663" s="308"/>
      <c r="R4663" s="308"/>
      <c r="S4663" s="308"/>
      <c r="T4663" s="308"/>
      <c r="U4663" s="308"/>
      <c r="V4663" s="308"/>
      <c r="W4663" s="308"/>
      <c r="X4663" s="308"/>
      <c r="Y4663" s="308"/>
      <c r="Z4663" s="308"/>
      <c r="AA4663" s="1441">
        <f>AA4665+AA4672+AA4678+AA4685+AA4688+AA4691+AA4695+AA4701+AA4705+AA4708+AA4712+AA4717+AA4720+AA4728+AA4735+AA4739+AA4743+AA4747+AA4751+AA4723</f>
        <v>87337</v>
      </c>
    </row>
    <row r="4664" spans="1:27" x14ac:dyDescent="0.2">
      <c r="A4664" s="3615" t="s">
        <v>1861</v>
      </c>
      <c r="B4664" s="3563">
        <v>1.1000000000000001</v>
      </c>
      <c r="C4664" s="3584" t="s">
        <v>1862</v>
      </c>
      <c r="D4664" s="3563" t="s">
        <v>1863</v>
      </c>
      <c r="E4664" s="3563" t="s">
        <v>1857</v>
      </c>
      <c r="F4664" s="3563" t="s">
        <v>1858</v>
      </c>
      <c r="G4664" s="3563" t="s">
        <v>1859</v>
      </c>
      <c r="H4664" s="3600" t="s">
        <v>1864</v>
      </c>
      <c r="I4664" s="3600" t="s">
        <v>1865</v>
      </c>
      <c r="J4664" s="3620">
        <v>5</v>
      </c>
      <c r="K4664" s="3617">
        <f>AA4665</f>
        <v>3082.35</v>
      </c>
      <c r="L4664" s="3106" t="s">
        <v>1866</v>
      </c>
      <c r="M4664" s="2999" t="s">
        <v>51</v>
      </c>
      <c r="N4664" s="2999"/>
      <c r="O4664" s="490"/>
      <c r="P4664" s="490"/>
      <c r="Q4664" s="490"/>
      <c r="R4664" s="490">
        <v>4</v>
      </c>
      <c r="S4664" s="490"/>
      <c r="T4664" s="490"/>
      <c r="U4664" s="490"/>
      <c r="V4664" s="490"/>
      <c r="W4664" s="490">
        <v>1</v>
      </c>
      <c r="X4664" s="490"/>
      <c r="Y4664" s="490"/>
      <c r="Z4664" s="490"/>
      <c r="AA4664" s="1441">
        <v>8</v>
      </c>
    </row>
    <row r="4665" spans="1:27" x14ac:dyDescent="0.2">
      <c r="A4665" s="3615"/>
      <c r="B4665" s="3563"/>
      <c r="C4665" s="3584"/>
      <c r="D4665" s="3563"/>
      <c r="E4665" s="3563"/>
      <c r="F4665" s="3563"/>
      <c r="G4665" s="3563"/>
      <c r="H4665" s="3600"/>
      <c r="I4665" s="3600"/>
      <c r="J4665" s="3620"/>
      <c r="K4665" s="3617"/>
      <c r="L4665" s="3106"/>
      <c r="M4665" s="3619" t="s">
        <v>111</v>
      </c>
      <c r="N4665" s="3619"/>
      <c r="O4665" s="483"/>
      <c r="P4665" s="483">
        <f>SUM(P4666:P4670)</f>
        <v>0</v>
      </c>
      <c r="Q4665" s="483">
        <f>SUM(Q4666:Q4670)</f>
        <v>0</v>
      </c>
      <c r="R4665" s="483">
        <f>SUM(R4666:R4670)</f>
        <v>2680</v>
      </c>
      <c r="S4665" s="483">
        <f>SUM(S4666:S4670)</f>
        <v>0</v>
      </c>
      <c r="T4665" s="483"/>
      <c r="U4665" s="483">
        <f t="shared" ref="U4665:AA4665" si="767">SUM(U4666:U4670)</f>
        <v>0</v>
      </c>
      <c r="V4665" s="483">
        <f t="shared" si="767"/>
        <v>0</v>
      </c>
      <c r="W4665" s="483">
        <f t="shared" si="767"/>
        <v>402.35</v>
      </c>
      <c r="X4665" s="483">
        <f t="shared" si="767"/>
        <v>0</v>
      </c>
      <c r="Y4665" s="483">
        <f t="shared" si="767"/>
        <v>0</v>
      </c>
      <c r="Z4665" s="483">
        <f t="shared" si="767"/>
        <v>0</v>
      </c>
      <c r="AA4665" s="1440">
        <f t="shared" si="767"/>
        <v>3082.35</v>
      </c>
    </row>
    <row r="4666" spans="1:27" ht="22.5" x14ac:dyDescent="0.2">
      <c r="A4666" s="3615"/>
      <c r="B4666" s="3563"/>
      <c r="C4666" s="3584"/>
      <c r="D4666" s="3563"/>
      <c r="E4666" s="3563"/>
      <c r="F4666" s="3563"/>
      <c r="G4666" s="3563"/>
      <c r="H4666" s="3600"/>
      <c r="I4666" s="3600"/>
      <c r="J4666" s="3620"/>
      <c r="K4666" s="3617"/>
      <c r="L4666" s="3106"/>
      <c r="M4666" s="338" t="s">
        <v>194</v>
      </c>
      <c r="N4666" s="338" t="s">
        <v>1368</v>
      </c>
      <c r="O4666" s="483"/>
      <c r="P4666" s="483"/>
      <c r="Q4666" s="483"/>
      <c r="R4666" s="483">
        <v>700</v>
      </c>
      <c r="S4666" s="483"/>
      <c r="T4666" s="483"/>
      <c r="U4666" s="483"/>
      <c r="V4666" s="483"/>
      <c r="W4666" s="483">
        <v>140</v>
      </c>
      <c r="X4666" s="483"/>
      <c r="Y4666" s="483"/>
      <c r="Z4666" s="483"/>
      <c r="AA4666" s="1441">
        <f>SUM(O4666:Z4666)</f>
        <v>840</v>
      </c>
    </row>
    <row r="4667" spans="1:27" ht="22.5" x14ac:dyDescent="0.2">
      <c r="A4667" s="3615"/>
      <c r="B4667" s="3563"/>
      <c r="C4667" s="3584"/>
      <c r="D4667" s="3563"/>
      <c r="E4667" s="3563"/>
      <c r="F4667" s="3563"/>
      <c r="G4667" s="3563"/>
      <c r="H4667" s="3600"/>
      <c r="I4667" s="3600"/>
      <c r="J4667" s="3620"/>
      <c r="K4667" s="3617"/>
      <c r="L4667" s="3106"/>
      <c r="M4667" s="338" t="s">
        <v>1452</v>
      </c>
      <c r="N4667" s="338" t="s">
        <v>1867</v>
      </c>
      <c r="O4667" s="483"/>
      <c r="P4667" s="483"/>
      <c r="Q4667" s="483"/>
      <c r="R4667" s="483">
        <v>1000</v>
      </c>
      <c r="S4667" s="483"/>
      <c r="T4667" s="483"/>
      <c r="U4667" s="483"/>
      <c r="V4667" s="483"/>
      <c r="W4667" s="483">
        <v>175</v>
      </c>
      <c r="X4667" s="483"/>
      <c r="Y4667" s="483"/>
      <c r="Z4667" s="483"/>
      <c r="AA4667" s="1441">
        <f t="shared" ref="AA4667:AA4671" si="768">SUM(O4667:Z4667)</f>
        <v>1175</v>
      </c>
    </row>
    <row r="4668" spans="1:27" x14ac:dyDescent="0.2">
      <c r="A4668" s="3615"/>
      <c r="B4668" s="3563"/>
      <c r="C4668" s="3584"/>
      <c r="D4668" s="3563"/>
      <c r="E4668" s="3563"/>
      <c r="F4668" s="3563"/>
      <c r="G4668" s="3563"/>
      <c r="H4668" s="3600"/>
      <c r="I4668" s="3600"/>
      <c r="J4668" s="3620"/>
      <c r="K4668" s="3617"/>
      <c r="L4668" s="3106"/>
      <c r="M4668" s="338" t="s">
        <v>541</v>
      </c>
      <c r="N4668" s="338" t="s">
        <v>1868</v>
      </c>
      <c r="O4668" s="483"/>
      <c r="P4668" s="483"/>
      <c r="Q4668" s="483"/>
      <c r="R4668" s="483"/>
      <c r="S4668" s="483"/>
      <c r="T4668" s="483"/>
      <c r="U4668" s="483"/>
      <c r="V4668" s="483"/>
      <c r="W4668" s="483"/>
      <c r="X4668" s="483"/>
      <c r="Y4668" s="483"/>
      <c r="Z4668" s="483"/>
      <c r="AA4668" s="1441">
        <f t="shared" si="768"/>
        <v>0</v>
      </c>
    </row>
    <row r="4669" spans="1:27" ht="22.5" x14ac:dyDescent="0.2">
      <c r="A4669" s="3615"/>
      <c r="B4669" s="3563"/>
      <c r="C4669" s="3584"/>
      <c r="D4669" s="3563"/>
      <c r="E4669" s="3563"/>
      <c r="F4669" s="3563"/>
      <c r="G4669" s="3563"/>
      <c r="H4669" s="3600"/>
      <c r="I4669" s="3600"/>
      <c r="J4669" s="3620"/>
      <c r="K4669" s="3617"/>
      <c r="L4669" s="3106"/>
      <c r="M4669" s="338" t="s">
        <v>180</v>
      </c>
      <c r="N4669" s="338" t="s">
        <v>1869</v>
      </c>
      <c r="O4669" s="483"/>
      <c r="P4669" s="483"/>
      <c r="Q4669" s="483"/>
      <c r="R4669" s="483">
        <v>480</v>
      </c>
      <c r="S4669" s="483"/>
      <c r="T4669" s="483"/>
      <c r="U4669" s="483"/>
      <c r="V4669" s="483"/>
      <c r="W4669" s="483"/>
      <c r="X4669" s="483"/>
      <c r="Y4669" s="483"/>
      <c r="Z4669" s="483"/>
      <c r="AA4669" s="1441">
        <f t="shared" si="768"/>
        <v>480</v>
      </c>
    </row>
    <row r="4670" spans="1:27" ht="22.5" x14ac:dyDescent="0.2">
      <c r="A4670" s="3615"/>
      <c r="B4670" s="3563"/>
      <c r="C4670" s="3584"/>
      <c r="D4670" s="3563"/>
      <c r="E4670" s="3563"/>
      <c r="F4670" s="3563"/>
      <c r="G4670" s="3563"/>
      <c r="H4670" s="3600"/>
      <c r="I4670" s="3600"/>
      <c r="J4670" s="3620"/>
      <c r="K4670" s="3617"/>
      <c r="L4670" s="3106"/>
      <c r="M4670" s="338" t="s">
        <v>200</v>
      </c>
      <c r="N4670" s="338" t="s">
        <v>1509</v>
      </c>
      <c r="O4670" s="483"/>
      <c r="P4670" s="483"/>
      <c r="Q4670" s="483"/>
      <c r="R4670" s="483">
        <v>500</v>
      </c>
      <c r="S4670" s="483"/>
      <c r="T4670" s="483"/>
      <c r="U4670" s="483"/>
      <c r="V4670" s="483"/>
      <c r="W4670" s="483">
        <v>87.35</v>
      </c>
      <c r="X4670" s="483"/>
      <c r="Y4670" s="483"/>
      <c r="Z4670" s="483"/>
      <c r="AA4670" s="1441">
        <f t="shared" si="768"/>
        <v>587.35</v>
      </c>
    </row>
    <row r="4671" spans="1:27" x14ac:dyDescent="0.2">
      <c r="A4671" s="3615"/>
      <c r="B4671" s="3563">
        <v>1.2</v>
      </c>
      <c r="C4671" s="3594" t="s">
        <v>1870</v>
      </c>
      <c r="D4671" s="3563" t="s">
        <v>1857</v>
      </c>
      <c r="E4671" s="3563" t="s">
        <v>1857</v>
      </c>
      <c r="F4671" s="3563" t="s">
        <v>1858</v>
      </c>
      <c r="G4671" s="3563" t="s">
        <v>1859</v>
      </c>
      <c r="H4671" s="3600" t="s">
        <v>1871</v>
      </c>
      <c r="I4671" s="3600" t="s">
        <v>1872</v>
      </c>
      <c r="J4671" s="3106">
        <v>2</v>
      </c>
      <c r="K4671" s="3617">
        <f>AA4672</f>
        <v>801</v>
      </c>
      <c r="L4671" s="3618" t="s">
        <v>1866</v>
      </c>
      <c r="M4671" s="2999" t="s">
        <v>51</v>
      </c>
      <c r="N4671" s="2999"/>
      <c r="O4671" s="490">
        <v>0</v>
      </c>
      <c r="P4671" s="490"/>
      <c r="Q4671" s="490">
        <v>1</v>
      </c>
      <c r="R4671" s="490"/>
      <c r="S4671" s="490"/>
      <c r="T4671" s="490">
        <v>1</v>
      </c>
      <c r="U4671" s="490"/>
      <c r="V4671" s="490"/>
      <c r="W4671" s="490"/>
      <c r="X4671" s="490"/>
      <c r="Y4671" s="490"/>
      <c r="Z4671" s="490"/>
      <c r="AA4671" s="373">
        <f t="shared" si="768"/>
        <v>2</v>
      </c>
    </row>
    <row r="4672" spans="1:27" x14ac:dyDescent="0.2">
      <c r="A4672" s="3615"/>
      <c r="B4672" s="3563"/>
      <c r="C4672" s="3594"/>
      <c r="D4672" s="3563"/>
      <c r="E4672" s="3563"/>
      <c r="F4672" s="3563"/>
      <c r="G4672" s="3563"/>
      <c r="H4672" s="3600"/>
      <c r="I4672" s="3600"/>
      <c r="J4672" s="3106"/>
      <c r="K4672" s="3617"/>
      <c r="L4672" s="3618"/>
      <c r="M4672" s="2999" t="s">
        <v>168</v>
      </c>
      <c r="N4672" s="2999"/>
      <c r="O4672" s="490">
        <f>SUM(O4673:O4676)</f>
        <v>81</v>
      </c>
      <c r="P4672" s="490">
        <f t="shared" ref="P4672:AA4672" si="769">SUM(P4673:P4676)</f>
        <v>0</v>
      </c>
      <c r="Q4672" s="490">
        <f t="shared" si="769"/>
        <v>500</v>
      </c>
      <c r="R4672" s="490">
        <f t="shared" si="769"/>
        <v>0</v>
      </c>
      <c r="S4672" s="490">
        <f t="shared" si="769"/>
        <v>0</v>
      </c>
      <c r="T4672" s="490">
        <f t="shared" si="769"/>
        <v>220</v>
      </c>
      <c r="U4672" s="490">
        <f t="shared" si="769"/>
        <v>0</v>
      </c>
      <c r="V4672" s="490">
        <f t="shared" si="769"/>
        <v>0</v>
      </c>
      <c r="W4672" s="490">
        <f t="shared" si="769"/>
        <v>0</v>
      </c>
      <c r="X4672" s="490">
        <f t="shared" si="769"/>
        <v>0</v>
      </c>
      <c r="Y4672" s="490">
        <f t="shared" si="769"/>
        <v>0</v>
      </c>
      <c r="Z4672" s="490">
        <f t="shared" si="769"/>
        <v>0</v>
      </c>
      <c r="AA4672" s="373">
        <f t="shared" si="769"/>
        <v>801</v>
      </c>
    </row>
    <row r="4673" spans="1:27" ht="22.5" x14ac:dyDescent="0.2">
      <c r="A4673" s="3615"/>
      <c r="B4673" s="3563"/>
      <c r="C4673" s="3594"/>
      <c r="D4673" s="3563"/>
      <c r="E4673" s="3563"/>
      <c r="F4673" s="3563"/>
      <c r="G4673" s="3563"/>
      <c r="H4673" s="3600"/>
      <c r="I4673" s="3600"/>
      <c r="J4673" s="3106"/>
      <c r="K4673" s="3617"/>
      <c r="L4673" s="3618"/>
      <c r="M4673" s="1952">
        <v>232231</v>
      </c>
      <c r="N4673" s="1952" t="s">
        <v>1873</v>
      </c>
      <c r="O4673" s="490">
        <v>81</v>
      </c>
      <c r="P4673" s="490"/>
      <c r="Q4673" s="490"/>
      <c r="R4673" s="490"/>
      <c r="S4673" s="490"/>
      <c r="T4673" s="490"/>
      <c r="U4673" s="490"/>
      <c r="V4673" s="490"/>
      <c r="W4673" s="490"/>
      <c r="X4673" s="490"/>
      <c r="Y4673" s="490"/>
      <c r="Z4673" s="490"/>
      <c r="AA4673" s="1441">
        <f>SUM(O4673:Z4673)</f>
        <v>81</v>
      </c>
    </row>
    <row r="4674" spans="1:27" ht="22.5" x14ac:dyDescent="0.2">
      <c r="A4674" s="3615"/>
      <c r="B4674" s="3563"/>
      <c r="C4674" s="3594"/>
      <c r="D4674" s="3563"/>
      <c r="E4674" s="3563"/>
      <c r="F4674" s="3563"/>
      <c r="G4674" s="3563"/>
      <c r="H4674" s="3600"/>
      <c r="I4674" s="3600"/>
      <c r="J4674" s="3106"/>
      <c r="K4674" s="3617"/>
      <c r="L4674" s="3618"/>
      <c r="M4674" s="1952" t="s">
        <v>194</v>
      </c>
      <c r="N4674" s="1952" t="s">
        <v>1368</v>
      </c>
      <c r="O4674" s="490"/>
      <c r="P4674" s="490"/>
      <c r="Q4674" s="490">
        <v>280</v>
      </c>
      <c r="R4674" s="490"/>
      <c r="S4674" s="490"/>
      <c r="T4674" s="490">
        <v>70</v>
      </c>
      <c r="U4674" s="490"/>
      <c r="V4674" s="490"/>
      <c r="W4674" s="490"/>
      <c r="X4674" s="490"/>
      <c r="Y4674" s="490"/>
      <c r="Z4674" s="490"/>
      <c r="AA4674" s="1441">
        <f t="shared" ref="AA4674:AA4676" si="770">SUM(O4674:Z4674)</f>
        <v>350</v>
      </c>
    </row>
    <row r="4675" spans="1:27" ht="22.5" x14ac:dyDescent="0.2">
      <c r="A4675" s="3615"/>
      <c r="B4675" s="3563"/>
      <c r="C4675" s="3594"/>
      <c r="D4675" s="3563"/>
      <c r="E4675" s="3563"/>
      <c r="F4675" s="3563"/>
      <c r="G4675" s="3563"/>
      <c r="H4675" s="3600"/>
      <c r="I4675" s="3600"/>
      <c r="J4675" s="3106"/>
      <c r="K4675" s="3617"/>
      <c r="L4675" s="3618"/>
      <c r="M4675" s="1952" t="s">
        <v>1874</v>
      </c>
      <c r="N4675" s="1952" t="s">
        <v>1875</v>
      </c>
      <c r="O4675" s="490"/>
      <c r="P4675" s="490"/>
      <c r="Q4675" s="490">
        <v>100</v>
      </c>
      <c r="R4675" s="490"/>
      <c r="S4675" s="490"/>
      <c r="T4675" s="490">
        <v>30</v>
      </c>
      <c r="U4675" s="490"/>
      <c r="V4675" s="490"/>
      <c r="W4675" s="490"/>
      <c r="X4675" s="490"/>
      <c r="Y4675" s="490"/>
      <c r="Z4675" s="490"/>
      <c r="AA4675" s="1441">
        <f t="shared" si="770"/>
        <v>130</v>
      </c>
    </row>
    <row r="4676" spans="1:27" x14ac:dyDescent="0.2">
      <c r="A4676" s="3615"/>
      <c r="B4676" s="3563"/>
      <c r="C4676" s="3594"/>
      <c r="D4676" s="3563"/>
      <c r="E4676" s="3563"/>
      <c r="F4676" s="3563"/>
      <c r="G4676" s="3563"/>
      <c r="H4676" s="3600"/>
      <c r="I4676" s="3600"/>
      <c r="J4676" s="3106"/>
      <c r="K4676" s="3617"/>
      <c r="L4676" s="3618"/>
      <c r="M4676" s="1952" t="s">
        <v>1452</v>
      </c>
      <c r="N4676" s="1952" t="s">
        <v>1876</v>
      </c>
      <c r="O4676" s="490"/>
      <c r="P4676" s="490"/>
      <c r="Q4676" s="490">
        <v>120</v>
      </c>
      <c r="R4676" s="490"/>
      <c r="S4676" s="490"/>
      <c r="T4676" s="490">
        <v>120</v>
      </c>
      <c r="U4676" s="490"/>
      <c r="V4676" s="490"/>
      <c r="W4676" s="490"/>
      <c r="X4676" s="490"/>
      <c r="Y4676" s="490"/>
      <c r="Z4676" s="490"/>
      <c r="AA4676" s="1441">
        <f t="shared" si="770"/>
        <v>240</v>
      </c>
    </row>
    <row r="4677" spans="1:27" x14ac:dyDescent="0.2">
      <c r="A4677" s="3615"/>
      <c r="B4677" s="3589">
        <v>1.4</v>
      </c>
      <c r="C4677" s="3594" t="s">
        <v>1877</v>
      </c>
      <c r="D4677" s="3563" t="s">
        <v>1857</v>
      </c>
      <c r="E4677" s="3563" t="s">
        <v>1857</v>
      </c>
      <c r="F4677" s="3563" t="s">
        <v>1858</v>
      </c>
      <c r="G4677" s="3563" t="s">
        <v>1859</v>
      </c>
      <c r="H4677" s="3600" t="s">
        <v>1878</v>
      </c>
      <c r="I4677" s="3056" t="s">
        <v>1872</v>
      </c>
      <c r="J4677" s="3106">
        <v>2</v>
      </c>
      <c r="K4677" s="3617">
        <f>AA4678</f>
        <v>1341</v>
      </c>
      <c r="L4677" s="3618" t="s">
        <v>1866</v>
      </c>
      <c r="M4677" s="2999" t="s">
        <v>51</v>
      </c>
      <c r="N4677" s="2999"/>
      <c r="O4677" s="490">
        <v>0</v>
      </c>
      <c r="P4677" s="490"/>
      <c r="Q4677" s="490"/>
      <c r="R4677" s="490"/>
      <c r="S4677" s="490">
        <v>2</v>
      </c>
      <c r="T4677" s="490"/>
      <c r="U4677" s="490"/>
      <c r="V4677" s="490"/>
      <c r="W4677" s="490"/>
      <c r="X4677" s="490"/>
      <c r="Y4677" s="490"/>
      <c r="Z4677" s="490"/>
      <c r="AA4677" s="1441">
        <v>2</v>
      </c>
    </row>
    <row r="4678" spans="1:27" x14ac:dyDescent="0.2">
      <c r="A4678" s="3615"/>
      <c r="B4678" s="3589"/>
      <c r="C4678" s="3594"/>
      <c r="D4678" s="3563"/>
      <c r="E4678" s="3563"/>
      <c r="F4678" s="3563"/>
      <c r="G4678" s="3563"/>
      <c r="H4678" s="3600"/>
      <c r="I4678" s="3056"/>
      <c r="J4678" s="3106"/>
      <c r="K4678" s="3617"/>
      <c r="L4678" s="3618"/>
      <c r="M4678" s="2999" t="s">
        <v>168</v>
      </c>
      <c r="N4678" s="2999"/>
      <c r="O4678" s="490">
        <f>SUM(O4679:O4683)</f>
        <v>81</v>
      </c>
      <c r="P4678" s="490">
        <f t="shared" ref="P4678:Z4678" si="771">SUM(P4679:P4683)</f>
        <v>0</v>
      </c>
      <c r="Q4678" s="490">
        <f t="shared" si="771"/>
        <v>0</v>
      </c>
      <c r="R4678" s="490">
        <f t="shared" si="771"/>
        <v>0</v>
      </c>
      <c r="S4678" s="490">
        <f t="shared" si="771"/>
        <v>1260</v>
      </c>
      <c r="T4678" s="490">
        <f t="shared" si="771"/>
        <v>0</v>
      </c>
      <c r="U4678" s="490">
        <f t="shared" si="771"/>
        <v>0</v>
      </c>
      <c r="V4678" s="490"/>
      <c r="W4678" s="490">
        <f t="shared" si="771"/>
        <v>0</v>
      </c>
      <c r="X4678" s="490">
        <f t="shared" si="771"/>
        <v>0</v>
      </c>
      <c r="Y4678" s="490">
        <f t="shared" si="771"/>
        <v>0</v>
      </c>
      <c r="Z4678" s="490">
        <f t="shared" si="771"/>
        <v>0</v>
      </c>
      <c r="AA4678" s="373">
        <f>SUM(O4678:Z4678)</f>
        <v>1341</v>
      </c>
    </row>
    <row r="4679" spans="1:27" ht="22.5" x14ac:dyDescent="0.2">
      <c r="A4679" s="3615"/>
      <c r="B4679" s="3589"/>
      <c r="C4679" s="3594"/>
      <c r="D4679" s="3563"/>
      <c r="E4679" s="3563"/>
      <c r="F4679" s="3563"/>
      <c r="G4679" s="3563"/>
      <c r="H4679" s="3600"/>
      <c r="I4679" s="3056"/>
      <c r="J4679" s="3106"/>
      <c r="K4679" s="3617"/>
      <c r="L4679" s="3618"/>
      <c r="M4679" s="1952">
        <v>232231</v>
      </c>
      <c r="N4679" s="1952" t="s">
        <v>1879</v>
      </c>
      <c r="O4679" s="490">
        <v>81</v>
      </c>
      <c r="P4679" s="490"/>
      <c r="Q4679" s="490"/>
      <c r="R4679" s="490"/>
      <c r="S4679" s="491"/>
      <c r="T4679" s="490"/>
      <c r="U4679" s="490"/>
      <c r="V4679" s="490"/>
      <c r="W4679" s="490"/>
      <c r="X4679" s="490"/>
      <c r="Y4679" s="490"/>
      <c r="Z4679" s="490"/>
      <c r="AA4679" s="1441">
        <f>SUM(O4679:Z4679)</f>
        <v>81</v>
      </c>
    </row>
    <row r="4680" spans="1:27" ht="22.5" x14ac:dyDescent="0.2">
      <c r="A4680" s="3615"/>
      <c r="B4680" s="3589"/>
      <c r="C4680" s="3594"/>
      <c r="D4680" s="3563"/>
      <c r="E4680" s="3563"/>
      <c r="F4680" s="3563"/>
      <c r="G4680" s="3563"/>
      <c r="H4680" s="3600"/>
      <c r="I4680" s="3056"/>
      <c r="J4680" s="3106"/>
      <c r="K4680" s="3617"/>
      <c r="L4680" s="3618"/>
      <c r="M4680" s="1952" t="s">
        <v>194</v>
      </c>
      <c r="N4680" s="1952" t="s">
        <v>1880</v>
      </c>
      <c r="O4680" s="490"/>
      <c r="P4680" s="490"/>
      <c r="Q4680" s="490"/>
      <c r="R4680" s="490"/>
      <c r="S4680" s="490">
        <v>280</v>
      </c>
      <c r="T4680" s="490"/>
      <c r="U4680" s="490"/>
      <c r="V4680" s="490"/>
      <c r="W4680" s="490"/>
      <c r="X4680" s="490"/>
      <c r="Y4680" s="490"/>
      <c r="Z4680" s="490"/>
      <c r="AA4680" s="1441">
        <f t="shared" ref="AA4680:AA4683" si="772">SUM(O4680:Z4680)</f>
        <v>280</v>
      </c>
    </row>
    <row r="4681" spans="1:27" x14ac:dyDescent="0.2">
      <c r="A4681" s="3615"/>
      <c r="B4681" s="3589"/>
      <c r="C4681" s="3594"/>
      <c r="D4681" s="3563"/>
      <c r="E4681" s="3563"/>
      <c r="F4681" s="3563"/>
      <c r="G4681" s="3563"/>
      <c r="H4681" s="3600"/>
      <c r="I4681" s="3056"/>
      <c r="J4681" s="3106"/>
      <c r="K4681" s="3617"/>
      <c r="L4681" s="3618"/>
      <c r="M4681" s="1952" t="s">
        <v>1874</v>
      </c>
      <c r="N4681" s="1952" t="s">
        <v>1881</v>
      </c>
      <c r="O4681" s="490"/>
      <c r="P4681" s="490"/>
      <c r="Q4681" s="490"/>
      <c r="R4681" s="490"/>
      <c r="S4681" s="490"/>
      <c r="T4681" s="490"/>
      <c r="U4681" s="490"/>
      <c r="V4681" s="490"/>
      <c r="W4681" s="490"/>
      <c r="X4681" s="490"/>
      <c r="Y4681" s="490"/>
      <c r="Z4681" s="490"/>
      <c r="AA4681" s="1441">
        <f t="shared" si="772"/>
        <v>0</v>
      </c>
    </row>
    <row r="4682" spans="1:27" ht="22.5" x14ac:dyDescent="0.2">
      <c r="A4682" s="3615"/>
      <c r="B4682" s="3589"/>
      <c r="C4682" s="3594"/>
      <c r="D4682" s="3563"/>
      <c r="E4682" s="3563"/>
      <c r="F4682" s="3563"/>
      <c r="G4682" s="3563"/>
      <c r="H4682" s="3600"/>
      <c r="I4682" s="3056"/>
      <c r="J4682" s="3106"/>
      <c r="K4682" s="3617"/>
      <c r="L4682" s="3618"/>
      <c r="M4682" s="1952" t="s">
        <v>180</v>
      </c>
      <c r="N4682" s="1952" t="s">
        <v>1882</v>
      </c>
      <c r="O4682" s="490"/>
      <c r="P4682" s="490"/>
      <c r="Q4682" s="490"/>
      <c r="R4682" s="490"/>
      <c r="S4682" s="490">
        <v>480</v>
      </c>
      <c r="T4682" s="490"/>
      <c r="U4682" s="490"/>
      <c r="V4682" s="490"/>
      <c r="W4682" s="490"/>
      <c r="X4682" s="490"/>
      <c r="Y4682" s="490"/>
      <c r="Z4682" s="490"/>
      <c r="AA4682" s="1441">
        <f t="shared" si="772"/>
        <v>480</v>
      </c>
    </row>
    <row r="4683" spans="1:27" x14ac:dyDescent="0.2">
      <c r="A4683" s="3615"/>
      <c r="B4683" s="3589"/>
      <c r="C4683" s="3594"/>
      <c r="D4683" s="3563"/>
      <c r="E4683" s="3563"/>
      <c r="F4683" s="3563"/>
      <c r="G4683" s="3563"/>
      <c r="H4683" s="3600"/>
      <c r="I4683" s="3056"/>
      <c r="J4683" s="3106"/>
      <c r="K4683" s="3617"/>
      <c r="L4683" s="3618"/>
      <c r="M4683" s="1952" t="s">
        <v>1883</v>
      </c>
      <c r="N4683" s="1952" t="s">
        <v>1884</v>
      </c>
      <c r="O4683" s="490"/>
      <c r="P4683" s="490"/>
      <c r="Q4683" s="490"/>
      <c r="R4683" s="490"/>
      <c r="S4683" s="490">
        <v>500</v>
      </c>
      <c r="T4683" s="490"/>
      <c r="U4683" s="490"/>
      <c r="V4683" s="490"/>
      <c r="W4683" s="490"/>
      <c r="X4683" s="490"/>
      <c r="Y4683" s="490"/>
      <c r="Z4683" s="490"/>
      <c r="AA4683" s="1441">
        <f t="shared" si="772"/>
        <v>500</v>
      </c>
    </row>
    <row r="4684" spans="1:27" x14ac:dyDescent="0.2">
      <c r="A4684" s="3615"/>
      <c r="B4684" s="3589">
        <v>1.5</v>
      </c>
      <c r="C4684" s="3594" t="s">
        <v>1885</v>
      </c>
      <c r="D4684" s="3563" t="s">
        <v>1857</v>
      </c>
      <c r="E4684" s="3563" t="s">
        <v>1857</v>
      </c>
      <c r="F4684" s="3563" t="s">
        <v>1858</v>
      </c>
      <c r="G4684" s="3563" t="s">
        <v>1859</v>
      </c>
      <c r="H4684" s="3600" t="s">
        <v>1886</v>
      </c>
      <c r="I4684" s="3056" t="s">
        <v>1953</v>
      </c>
      <c r="J4684" s="3106">
        <v>2</v>
      </c>
      <c r="K4684" s="3623">
        <f>AA4685</f>
        <v>240</v>
      </c>
      <c r="L4684" s="3618" t="s">
        <v>1866</v>
      </c>
      <c r="M4684" s="2999" t="s">
        <v>51</v>
      </c>
      <c r="N4684" s="2999"/>
      <c r="O4684" s="490"/>
      <c r="P4684" s="490"/>
      <c r="Q4684" s="490"/>
      <c r="R4684" s="490"/>
      <c r="S4684" s="490">
        <v>1</v>
      </c>
      <c r="T4684" s="490"/>
      <c r="U4684" s="490"/>
      <c r="V4684" s="490"/>
      <c r="W4684" s="490">
        <v>1</v>
      </c>
      <c r="X4684" s="490"/>
      <c r="Y4684" s="490"/>
      <c r="Z4684" s="490"/>
      <c r="AA4684" s="1441">
        <v>2</v>
      </c>
    </row>
    <row r="4685" spans="1:27" x14ac:dyDescent="0.2">
      <c r="A4685" s="3615"/>
      <c r="B4685" s="3589"/>
      <c r="C4685" s="3594"/>
      <c r="D4685" s="3563"/>
      <c r="E4685" s="3563"/>
      <c r="F4685" s="3563"/>
      <c r="G4685" s="3563"/>
      <c r="H4685" s="3600"/>
      <c r="I4685" s="3056"/>
      <c r="J4685" s="3106"/>
      <c r="K4685" s="3623"/>
      <c r="L4685" s="3618"/>
      <c r="M4685" s="2999" t="s">
        <v>111</v>
      </c>
      <c r="N4685" s="2999"/>
      <c r="O4685" s="490">
        <f>SUM(O4686)</f>
        <v>0</v>
      </c>
      <c r="P4685" s="490">
        <f t="shared" ref="P4685:AA4685" si="773">SUM(P4686)</f>
        <v>0</v>
      </c>
      <c r="Q4685" s="490">
        <f t="shared" si="773"/>
        <v>0</v>
      </c>
      <c r="R4685" s="490">
        <f t="shared" si="773"/>
        <v>0</v>
      </c>
      <c r="S4685" s="490">
        <f t="shared" si="773"/>
        <v>120</v>
      </c>
      <c r="T4685" s="490">
        <f t="shared" si="773"/>
        <v>0</v>
      </c>
      <c r="U4685" s="490">
        <f t="shared" si="773"/>
        <v>0</v>
      </c>
      <c r="V4685" s="490">
        <f t="shared" si="773"/>
        <v>0</v>
      </c>
      <c r="W4685" s="490">
        <f t="shared" si="773"/>
        <v>120</v>
      </c>
      <c r="X4685" s="490">
        <f t="shared" si="773"/>
        <v>0</v>
      </c>
      <c r="Y4685" s="490">
        <f t="shared" si="773"/>
        <v>0</v>
      </c>
      <c r="Z4685" s="490">
        <f t="shared" si="773"/>
        <v>0</v>
      </c>
      <c r="AA4685" s="373">
        <f t="shared" si="773"/>
        <v>240</v>
      </c>
    </row>
    <row r="4686" spans="1:27" x14ac:dyDescent="0.2">
      <c r="A4686" s="3615"/>
      <c r="B4686" s="3589"/>
      <c r="C4686" s="3594"/>
      <c r="D4686" s="3563"/>
      <c r="E4686" s="3563"/>
      <c r="F4686" s="3563"/>
      <c r="G4686" s="3563"/>
      <c r="H4686" s="3600"/>
      <c r="I4686" s="3056"/>
      <c r="J4686" s="3106"/>
      <c r="K4686" s="3623"/>
      <c r="L4686" s="3618"/>
      <c r="M4686" s="1952" t="s">
        <v>1452</v>
      </c>
      <c r="N4686" s="1952" t="s">
        <v>1884</v>
      </c>
      <c r="O4686" s="490"/>
      <c r="P4686" s="490"/>
      <c r="Q4686" s="490"/>
      <c r="R4686" s="490"/>
      <c r="S4686" s="490">
        <v>120</v>
      </c>
      <c r="T4686" s="490"/>
      <c r="U4686" s="490"/>
      <c r="V4686" s="490"/>
      <c r="W4686" s="490">
        <v>120</v>
      </c>
      <c r="X4686" s="490"/>
      <c r="Y4686" s="490"/>
      <c r="Z4686" s="490"/>
      <c r="AA4686" s="1441">
        <f>SUM(O4686:Z4686)</f>
        <v>240</v>
      </c>
    </row>
    <row r="4687" spans="1:27" x14ac:dyDescent="0.2">
      <c r="A4687" s="3615"/>
      <c r="B4687" s="3589">
        <v>1.6</v>
      </c>
      <c r="C4687" s="3594" t="s">
        <v>1887</v>
      </c>
      <c r="D4687" s="3563" t="s">
        <v>1857</v>
      </c>
      <c r="E4687" s="3563" t="s">
        <v>1857</v>
      </c>
      <c r="F4687" s="3563" t="s">
        <v>1858</v>
      </c>
      <c r="G4687" s="3563" t="s">
        <v>1859</v>
      </c>
      <c r="H4687" s="3600" t="s">
        <v>1888</v>
      </c>
      <c r="I4687" s="3600" t="s">
        <v>1954</v>
      </c>
      <c r="J4687" s="3106">
        <v>2</v>
      </c>
      <c r="K4687" s="3623">
        <f>AA4688</f>
        <v>1000</v>
      </c>
      <c r="L4687" s="3618" t="s">
        <v>1866</v>
      </c>
      <c r="M4687" s="2999" t="s">
        <v>51</v>
      </c>
      <c r="N4687" s="2999"/>
      <c r="O4687" s="490"/>
      <c r="P4687" s="490">
        <v>1</v>
      </c>
      <c r="Q4687" s="490"/>
      <c r="R4687" s="490">
        <v>1</v>
      </c>
      <c r="S4687" s="490"/>
      <c r="T4687" s="490"/>
      <c r="U4687" s="490"/>
      <c r="V4687" s="490"/>
      <c r="W4687" s="490"/>
      <c r="X4687" s="490"/>
      <c r="Y4687" s="490"/>
      <c r="Z4687" s="490"/>
      <c r="AA4687" s="373">
        <v>2</v>
      </c>
    </row>
    <row r="4688" spans="1:27" x14ac:dyDescent="0.2">
      <c r="A4688" s="3615"/>
      <c r="B4688" s="3589"/>
      <c r="C4688" s="3594"/>
      <c r="D4688" s="3563"/>
      <c r="E4688" s="3563"/>
      <c r="F4688" s="3563"/>
      <c r="G4688" s="3563"/>
      <c r="H4688" s="3600"/>
      <c r="I4688" s="3600"/>
      <c r="J4688" s="3106"/>
      <c r="K4688" s="3623"/>
      <c r="L4688" s="3618"/>
      <c r="M4688" s="2999" t="s">
        <v>168</v>
      </c>
      <c r="N4688" s="2999"/>
      <c r="O4688" s="490">
        <f>SUM(O4689)</f>
        <v>0</v>
      </c>
      <c r="P4688" s="490">
        <f t="shared" ref="P4688:AA4688" si="774">SUM(P4689)</f>
        <v>500</v>
      </c>
      <c r="Q4688" s="490">
        <f t="shared" si="774"/>
        <v>0</v>
      </c>
      <c r="R4688" s="490">
        <f t="shared" si="774"/>
        <v>500</v>
      </c>
      <c r="S4688" s="490"/>
      <c r="T4688" s="490"/>
      <c r="U4688" s="490">
        <f t="shared" si="774"/>
        <v>0</v>
      </c>
      <c r="V4688" s="490"/>
      <c r="W4688" s="490"/>
      <c r="X4688" s="490">
        <f t="shared" si="774"/>
        <v>0</v>
      </c>
      <c r="Y4688" s="490">
        <f t="shared" si="774"/>
        <v>0</v>
      </c>
      <c r="Z4688" s="490">
        <f t="shared" si="774"/>
        <v>0</v>
      </c>
      <c r="AA4688" s="371">
        <f t="shared" si="774"/>
        <v>1000</v>
      </c>
    </row>
    <row r="4689" spans="1:27" x14ac:dyDescent="0.2">
      <c r="A4689" s="3615"/>
      <c r="B4689" s="3589"/>
      <c r="C4689" s="3594"/>
      <c r="D4689" s="3563"/>
      <c r="E4689" s="3563"/>
      <c r="F4689" s="3563"/>
      <c r="G4689" s="3563"/>
      <c r="H4689" s="3600"/>
      <c r="I4689" s="3600"/>
      <c r="J4689" s="3106"/>
      <c r="K4689" s="3623"/>
      <c r="L4689" s="3618"/>
      <c r="M4689" s="1952" t="s">
        <v>1452</v>
      </c>
      <c r="N4689" s="1952" t="s">
        <v>1884</v>
      </c>
      <c r="O4689" s="490"/>
      <c r="P4689" s="490">
        <v>500</v>
      </c>
      <c r="Q4689" s="490"/>
      <c r="R4689" s="490">
        <v>500</v>
      </c>
      <c r="S4689" s="490"/>
      <c r="T4689" s="490"/>
      <c r="U4689" s="490"/>
      <c r="V4689" s="490"/>
      <c r="W4689" s="490"/>
      <c r="X4689" s="490"/>
      <c r="Y4689" s="490"/>
      <c r="Z4689" s="490"/>
      <c r="AA4689" s="1441">
        <f>SUM(O4689:Z4689)</f>
        <v>1000</v>
      </c>
    </row>
    <row r="4690" spans="1:27" x14ac:dyDescent="0.2">
      <c r="A4690" s="3615" t="s">
        <v>1890</v>
      </c>
      <c r="B4690" s="3589">
        <v>2.1</v>
      </c>
      <c r="C4690" s="3594" t="s">
        <v>1891</v>
      </c>
      <c r="D4690" s="3563" t="s">
        <v>1857</v>
      </c>
      <c r="E4690" s="3563" t="s">
        <v>1857</v>
      </c>
      <c r="F4690" s="3563" t="s">
        <v>1858</v>
      </c>
      <c r="G4690" s="3563" t="s">
        <v>1859</v>
      </c>
      <c r="H4690" s="3600" t="s">
        <v>1892</v>
      </c>
      <c r="I4690" s="3056" t="s">
        <v>1910</v>
      </c>
      <c r="J4690" s="3106">
        <v>2</v>
      </c>
      <c r="K4690" s="3621">
        <f>AA4691</f>
        <v>2171</v>
      </c>
      <c r="L4690" s="3622" t="s">
        <v>1866</v>
      </c>
      <c r="M4690" s="2999" t="s">
        <v>51</v>
      </c>
      <c r="N4690" s="2999"/>
      <c r="O4690" s="453">
        <v>1</v>
      </c>
      <c r="P4690" s="453"/>
      <c r="Q4690" s="453"/>
      <c r="R4690" s="453"/>
      <c r="S4690" s="453"/>
      <c r="T4690" s="453"/>
      <c r="U4690" s="453"/>
      <c r="V4690" s="453"/>
      <c r="W4690" s="501">
        <v>1</v>
      </c>
      <c r="X4690" s="501"/>
      <c r="Y4690" s="491"/>
      <c r="Z4690" s="491"/>
      <c r="AA4690" s="1441">
        <v>2</v>
      </c>
    </row>
    <row r="4691" spans="1:27" x14ac:dyDescent="0.2">
      <c r="A4691" s="3615"/>
      <c r="B4691" s="3589"/>
      <c r="C4691" s="3594"/>
      <c r="D4691" s="3563"/>
      <c r="E4691" s="3563"/>
      <c r="F4691" s="3563"/>
      <c r="G4691" s="3563"/>
      <c r="H4691" s="3600"/>
      <c r="I4691" s="3056"/>
      <c r="J4691" s="3106"/>
      <c r="K4691" s="3621"/>
      <c r="L4691" s="3622"/>
      <c r="M4691" s="2999" t="s">
        <v>111</v>
      </c>
      <c r="N4691" s="2999"/>
      <c r="O4691" s="453">
        <f>SUM(O4692:O4693)</f>
        <v>286</v>
      </c>
      <c r="P4691" s="453">
        <f t="shared" ref="P4691:AA4691" si="775">SUM(P4692:P4693)</f>
        <v>0</v>
      </c>
      <c r="Q4691" s="453">
        <f t="shared" si="775"/>
        <v>0</v>
      </c>
      <c r="R4691" s="453">
        <f t="shared" si="775"/>
        <v>0</v>
      </c>
      <c r="S4691" s="453">
        <f t="shared" si="775"/>
        <v>0</v>
      </c>
      <c r="T4691" s="453">
        <f t="shared" si="775"/>
        <v>0</v>
      </c>
      <c r="U4691" s="453">
        <f t="shared" si="775"/>
        <v>0</v>
      </c>
      <c r="V4691" s="453">
        <f t="shared" si="775"/>
        <v>0</v>
      </c>
      <c r="W4691" s="453">
        <f t="shared" si="775"/>
        <v>1885</v>
      </c>
      <c r="X4691" s="453">
        <f t="shared" si="775"/>
        <v>0</v>
      </c>
      <c r="Y4691" s="453">
        <f t="shared" si="775"/>
        <v>0</v>
      </c>
      <c r="Z4691" s="453">
        <f t="shared" si="775"/>
        <v>0</v>
      </c>
      <c r="AA4691" s="2246">
        <f t="shared" si="775"/>
        <v>2171</v>
      </c>
    </row>
    <row r="4692" spans="1:27" x14ac:dyDescent="0.2">
      <c r="A4692" s="3615"/>
      <c r="B4692" s="3589"/>
      <c r="C4692" s="3594"/>
      <c r="D4692" s="3563"/>
      <c r="E4692" s="3563"/>
      <c r="F4692" s="3563"/>
      <c r="G4692" s="3563"/>
      <c r="H4692" s="3600"/>
      <c r="I4692" s="3056"/>
      <c r="J4692" s="3106"/>
      <c r="K4692" s="3621"/>
      <c r="L4692" s="3622"/>
      <c r="M4692" s="1952" t="s">
        <v>1452</v>
      </c>
      <c r="N4692" s="1952" t="s">
        <v>1884</v>
      </c>
      <c r="O4692" s="453">
        <v>286</v>
      </c>
      <c r="P4692" s="453"/>
      <c r="Q4692" s="453"/>
      <c r="R4692" s="453"/>
      <c r="S4692" s="453"/>
      <c r="T4692" s="453"/>
      <c r="U4692" s="453"/>
      <c r="V4692" s="453"/>
      <c r="W4692" s="501">
        <v>1560</v>
      </c>
      <c r="X4692" s="501"/>
      <c r="Y4692" s="491"/>
      <c r="Z4692" s="491"/>
      <c r="AA4692" s="1441">
        <f>SUM(O4692:Z4692)</f>
        <v>1846</v>
      </c>
    </row>
    <row r="4693" spans="1:27" ht="22.5" x14ac:dyDescent="0.2">
      <c r="A4693" s="3615"/>
      <c r="B4693" s="3589"/>
      <c r="C4693" s="3594"/>
      <c r="D4693" s="3563"/>
      <c r="E4693" s="3563"/>
      <c r="F4693" s="3563"/>
      <c r="G4693" s="3563"/>
      <c r="H4693" s="3600"/>
      <c r="I4693" s="3056"/>
      <c r="J4693" s="3106"/>
      <c r="K4693" s="3621"/>
      <c r="L4693" s="3622"/>
      <c r="M4693" s="1952" t="s">
        <v>200</v>
      </c>
      <c r="N4693" s="1952" t="s">
        <v>1894</v>
      </c>
      <c r="O4693" s="170"/>
      <c r="P4693" s="170"/>
      <c r="Q4693" s="170"/>
      <c r="R4693" s="170"/>
      <c r="S4693" s="170"/>
      <c r="T4693" s="170"/>
      <c r="U4693" s="170"/>
      <c r="V4693" s="170"/>
      <c r="W4693" s="491">
        <v>325</v>
      </c>
      <c r="X4693" s="491"/>
      <c r="Y4693" s="491"/>
      <c r="Z4693" s="491"/>
      <c r="AA4693" s="1441">
        <f>SUM(O4693:Z4693)</f>
        <v>325</v>
      </c>
    </row>
    <row r="4694" spans="1:27" x14ac:dyDescent="0.2">
      <c r="A4694" s="3615"/>
      <c r="B4694" s="3589">
        <v>2.2000000000000002</v>
      </c>
      <c r="C4694" s="3594" t="s">
        <v>1895</v>
      </c>
      <c r="D4694" s="3563" t="s">
        <v>1857</v>
      </c>
      <c r="E4694" s="3563" t="s">
        <v>1857</v>
      </c>
      <c r="F4694" s="3563" t="s">
        <v>1858</v>
      </c>
      <c r="G4694" s="3563" t="s">
        <v>1859</v>
      </c>
      <c r="H4694" s="3600" t="s">
        <v>1896</v>
      </c>
      <c r="I4694" s="3056" t="s">
        <v>1860</v>
      </c>
      <c r="J4694" s="3106">
        <v>2</v>
      </c>
      <c r="K4694" s="3624">
        <f>+AA4695</f>
        <v>838.85</v>
      </c>
      <c r="L4694" s="3622" t="s">
        <v>1866</v>
      </c>
      <c r="M4694" s="2999" t="s">
        <v>51</v>
      </c>
      <c r="N4694" s="2999"/>
      <c r="O4694" s="490"/>
      <c r="P4694" s="490"/>
      <c r="Q4694" s="490"/>
      <c r="R4694" s="490"/>
      <c r="S4694" s="490">
        <v>1</v>
      </c>
      <c r="T4694" s="490"/>
      <c r="U4694" s="490"/>
      <c r="V4694" s="490"/>
      <c r="W4694" s="490"/>
      <c r="X4694" s="490">
        <v>1</v>
      </c>
      <c r="Y4694" s="490"/>
      <c r="Z4694" s="490"/>
      <c r="AA4694" s="373">
        <v>2</v>
      </c>
    </row>
    <row r="4695" spans="1:27" x14ac:dyDescent="0.2">
      <c r="A4695" s="3615"/>
      <c r="B4695" s="3589"/>
      <c r="C4695" s="3594"/>
      <c r="D4695" s="3563"/>
      <c r="E4695" s="3563"/>
      <c r="F4695" s="3563"/>
      <c r="G4695" s="3563"/>
      <c r="H4695" s="3600"/>
      <c r="I4695" s="3056"/>
      <c r="J4695" s="3106"/>
      <c r="K4695" s="3624"/>
      <c r="L4695" s="3622"/>
      <c r="M4695" s="2999" t="s">
        <v>111</v>
      </c>
      <c r="N4695" s="2999"/>
      <c r="O4695" s="490">
        <f>SUM(O4696:O4699)</f>
        <v>0</v>
      </c>
      <c r="P4695" s="490"/>
      <c r="Q4695" s="490">
        <f t="shared" ref="Q4695:AA4695" si="776">SUM(Q4696:Q4699)</f>
        <v>0</v>
      </c>
      <c r="R4695" s="490">
        <f t="shared" si="776"/>
        <v>0</v>
      </c>
      <c r="S4695" s="490">
        <f t="shared" si="776"/>
        <v>451.35</v>
      </c>
      <c r="T4695" s="490">
        <f t="shared" si="776"/>
        <v>0</v>
      </c>
      <c r="U4695" s="490">
        <f t="shared" si="776"/>
        <v>0</v>
      </c>
      <c r="V4695" s="490">
        <f t="shared" si="776"/>
        <v>0</v>
      </c>
      <c r="W4695" s="490">
        <f t="shared" si="776"/>
        <v>0</v>
      </c>
      <c r="X4695" s="490">
        <f t="shared" si="776"/>
        <v>387.5</v>
      </c>
      <c r="Y4695" s="490">
        <f t="shared" si="776"/>
        <v>0</v>
      </c>
      <c r="Z4695" s="490">
        <f t="shared" si="776"/>
        <v>0</v>
      </c>
      <c r="AA4695" s="373">
        <f t="shared" si="776"/>
        <v>838.85</v>
      </c>
    </row>
    <row r="4696" spans="1:27" ht="22.5" x14ac:dyDescent="0.2">
      <c r="A4696" s="3615"/>
      <c r="B4696" s="3589"/>
      <c r="C4696" s="3594"/>
      <c r="D4696" s="3563"/>
      <c r="E4696" s="3563"/>
      <c r="F4696" s="3563"/>
      <c r="G4696" s="3563"/>
      <c r="H4696" s="3600"/>
      <c r="I4696" s="3056"/>
      <c r="J4696" s="3106"/>
      <c r="K4696" s="3624"/>
      <c r="L4696" s="3622"/>
      <c r="M4696" s="1952" t="s">
        <v>194</v>
      </c>
      <c r="N4696" s="1952" t="s">
        <v>1880</v>
      </c>
      <c r="O4696" s="490"/>
      <c r="P4696" s="490"/>
      <c r="Q4696" s="490"/>
      <c r="R4696" s="490"/>
      <c r="S4696" s="490">
        <v>140</v>
      </c>
      <c r="T4696" s="490"/>
      <c r="U4696" s="490"/>
      <c r="V4696" s="490"/>
      <c r="W4696" s="490"/>
      <c r="X4696" s="490">
        <v>140</v>
      </c>
      <c r="Y4696" s="490"/>
      <c r="Z4696" s="490"/>
      <c r="AA4696" s="1441">
        <f>SUM(O4696:Z4696)</f>
        <v>280</v>
      </c>
    </row>
    <row r="4697" spans="1:27" x14ac:dyDescent="0.2">
      <c r="A4697" s="3615"/>
      <c r="B4697" s="3589"/>
      <c r="C4697" s="3594"/>
      <c r="D4697" s="3563"/>
      <c r="E4697" s="3563"/>
      <c r="F4697" s="3563"/>
      <c r="G4697" s="3563"/>
      <c r="H4697" s="3600"/>
      <c r="I4697" s="3056"/>
      <c r="J4697" s="3106"/>
      <c r="K4697" s="3624"/>
      <c r="L4697" s="3622"/>
      <c r="M4697" s="1952" t="s">
        <v>1452</v>
      </c>
      <c r="N4697" s="1952" t="s">
        <v>1884</v>
      </c>
      <c r="O4697" s="490"/>
      <c r="P4697" s="490"/>
      <c r="Q4697" s="490"/>
      <c r="R4697" s="490"/>
      <c r="S4697" s="490">
        <v>161.35</v>
      </c>
      <c r="T4697" s="490"/>
      <c r="U4697" s="490"/>
      <c r="V4697" s="490"/>
      <c r="W4697" s="490"/>
      <c r="X4697" s="490">
        <v>90</v>
      </c>
      <c r="Y4697" s="490"/>
      <c r="Z4697" s="490"/>
      <c r="AA4697" s="1441">
        <f t="shared" ref="AA4697:AA4700" si="777">SUM(O4697:Z4697)</f>
        <v>251.35</v>
      </c>
    </row>
    <row r="4698" spans="1:27" x14ac:dyDescent="0.2">
      <c r="A4698" s="3615"/>
      <c r="B4698" s="3589"/>
      <c r="C4698" s="3594"/>
      <c r="D4698" s="3563"/>
      <c r="E4698" s="3563"/>
      <c r="F4698" s="3563"/>
      <c r="G4698" s="3563"/>
      <c r="H4698" s="3600"/>
      <c r="I4698" s="3056"/>
      <c r="J4698" s="3106"/>
      <c r="K4698" s="3624"/>
      <c r="L4698" s="3622"/>
      <c r="M4698" s="1952" t="s">
        <v>541</v>
      </c>
      <c r="N4698" s="1952" t="s">
        <v>1881</v>
      </c>
      <c r="O4698" s="490"/>
      <c r="P4698" s="490"/>
      <c r="Q4698" s="490"/>
      <c r="R4698" s="490"/>
      <c r="S4698" s="490">
        <v>100</v>
      </c>
      <c r="T4698" s="490"/>
      <c r="U4698" s="490"/>
      <c r="V4698" s="490"/>
      <c r="W4698" s="490"/>
      <c r="X4698" s="490">
        <v>120</v>
      </c>
      <c r="Y4698" s="490"/>
      <c r="Z4698" s="490"/>
      <c r="AA4698" s="1441">
        <f t="shared" si="777"/>
        <v>220</v>
      </c>
    </row>
    <row r="4699" spans="1:27" ht="22.5" x14ac:dyDescent="0.2">
      <c r="A4699" s="3615"/>
      <c r="B4699" s="3589"/>
      <c r="C4699" s="3594"/>
      <c r="D4699" s="3563"/>
      <c r="E4699" s="3563"/>
      <c r="F4699" s="3563"/>
      <c r="G4699" s="3563"/>
      <c r="H4699" s="3600"/>
      <c r="I4699" s="3056"/>
      <c r="J4699" s="3106"/>
      <c r="K4699" s="3624"/>
      <c r="L4699" s="3622"/>
      <c r="M4699" s="1952" t="s">
        <v>200</v>
      </c>
      <c r="N4699" s="1952" t="s">
        <v>1894</v>
      </c>
      <c r="O4699" s="490"/>
      <c r="P4699" s="490"/>
      <c r="Q4699" s="490"/>
      <c r="R4699" s="490"/>
      <c r="S4699" s="490">
        <v>50</v>
      </c>
      <c r="T4699" s="490"/>
      <c r="U4699" s="490"/>
      <c r="V4699" s="490"/>
      <c r="W4699" s="490"/>
      <c r="X4699" s="490">
        <v>37.5</v>
      </c>
      <c r="Y4699" s="490"/>
      <c r="Z4699" s="490"/>
      <c r="AA4699" s="1441">
        <f t="shared" si="777"/>
        <v>87.5</v>
      </c>
    </row>
    <row r="4700" spans="1:27" x14ac:dyDescent="0.2">
      <c r="A4700" s="3615"/>
      <c r="B4700" s="3589">
        <v>2.2999999999999998</v>
      </c>
      <c r="C4700" s="3594" t="s">
        <v>1897</v>
      </c>
      <c r="D4700" s="3563" t="s">
        <v>1857</v>
      </c>
      <c r="E4700" s="3563" t="s">
        <v>1857</v>
      </c>
      <c r="F4700" s="3563" t="s">
        <v>1858</v>
      </c>
      <c r="G4700" s="3563" t="s">
        <v>1859</v>
      </c>
      <c r="H4700" s="3600" t="s">
        <v>1898</v>
      </c>
      <c r="I4700" s="3056" t="s">
        <v>1899</v>
      </c>
      <c r="J4700" s="3106">
        <v>1</v>
      </c>
      <c r="K4700" s="3621">
        <f>AA4701</f>
        <v>1300</v>
      </c>
      <c r="L4700" s="3622" t="s">
        <v>1866</v>
      </c>
      <c r="M4700" s="2999" t="s">
        <v>51</v>
      </c>
      <c r="N4700" s="2999"/>
      <c r="O4700" s="490">
        <v>1</v>
      </c>
      <c r="P4700" s="490"/>
      <c r="Q4700" s="490"/>
      <c r="R4700" s="490"/>
      <c r="S4700" s="490"/>
      <c r="T4700" s="490"/>
      <c r="U4700" s="490"/>
      <c r="V4700" s="490"/>
      <c r="W4700" s="490"/>
      <c r="X4700" s="490"/>
      <c r="Y4700" s="490"/>
      <c r="Z4700" s="490"/>
      <c r="AA4700" s="373">
        <f t="shared" si="777"/>
        <v>1</v>
      </c>
    </row>
    <row r="4701" spans="1:27" x14ac:dyDescent="0.2">
      <c r="A4701" s="3615"/>
      <c r="B4701" s="3589"/>
      <c r="C4701" s="3594"/>
      <c r="D4701" s="3563"/>
      <c r="E4701" s="3563"/>
      <c r="F4701" s="3563"/>
      <c r="G4701" s="3563"/>
      <c r="H4701" s="3600"/>
      <c r="I4701" s="3056"/>
      <c r="J4701" s="3106"/>
      <c r="K4701" s="3621"/>
      <c r="L4701" s="3622"/>
      <c r="M4701" s="2999" t="s">
        <v>111</v>
      </c>
      <c r="N4701" s="2999"/>
      <c r="O4701" s="170">
        <f>SUM(O4702:O4703)</f>
        <v>0</v>
      </c>
      <c r="P4701" s="170">
        <f t="shared" ref="P4701:AA4701" si="778">SUM(P4702:P4703)</f>
        <v>100</v>
      </c>
      <c r="Q4701" s="170">
        <f t="shared" si="778"/>
        <v>100</v>
      </c>
      <c r="R4701" s="170">
        <f t="shared" si="778"/>
        <v>0</v>
      </c>
      <c r="S4701" s="170">
        <f t="shared" si="778"/>
        <v>1100</v>
      </c>
      <c r="T4701" s="170">
        <f t="shared" si="778"/>
        <v>0</v>
      </c>
      <c r="U4701" s="170">
        <f t="shared" si="778"/>
        <v>0</v>
      </c>
      <c r="V4701" s="170">
        <f t="shared" si="778"/>
        <v>0</v>
      </c>
      <c r="W4701" s="170">
        <f t="shared" si="778"/>
        <v>0</v>
      </c>
      <c r="X4701" s="170">
        <f t="shared" si="778"/>
        <v>0</v>
      </c>
      <c r="Y4701" s="170">
        <f t="shared" si="778"/>
        <v>0</v>
      </c>
      <c r="Z4701" s="170">
        <f t="shared" si="778"/>
        <v>0</v>
      </c>
      <c r="AA4701" s="2247">
        <f t="shared" si="778"/>
        <v>1300</v>
      </c>
    </row>
    <row r="4702" spans="1:27" x14ac:dyDescent="0.2">
      <c r="A4702" s="3615"/>
      <c r="B4702" s="3589"/>
      <c r="C4702" s="3594"/>
      <c r="D4702" s="3563"/>
      <c r="E4702" s="3563"/>
      <c r="F4702" s="3563"/>
      <c r="G4702" s="3563"/>
      <c r="H4702" s="3600"/>
      <c r="I4702" s="3056"/>
      <c r="J4702" s="3106"/>
      <c r="K4702" s="3621"/>
      <c r="L4702" s="3622"/>
      <c r="M4702" s="1952" t="s">
        <v>1452</v>
      </c>
      <c r="N4702" s="1952" t="s">
        <v>1900</v>
      </c>
      <c r="O4702" s="170"/>
      <c r="P4702" s="170">
        <v>100</v>
      </c>
      <c r="Q4702" s="170">
        <v>100</v>
      </c>
      <c r="R4702" s="170"/>
      <c r="S4702" s="170">
        <v>100</v>
      </c>
      <c r="T4702" s="170"/>
      <c r="U4702" s="170"/>
      <c r="V4702" s="170"/>
      <c r="W4702" s="491"/>
      <c r="X4702" s="491"/>
      <c r="Y4702" s="491"/>
      <c r="Z4702" s="491"/>
      <c r="AA4702" s="1440">
        <f>SUM(O4702:Z4702)</f>
        <v>300</v>
      </c>
    </row>
    <row r="4703" spans="1:27" ht="22.5" x14ac:dyDescent="0.2">
      <c r="A4703" s="3615"/>
      <c r="B4703" s="3589"/>
      <c r="C4703" s="3594"/>
      <c r="D4703" s="3563"/>
      <c r="E4703" s="3563"/>
      <c r="F4703" s="3563"/>
      <c r="G4703" s="3563"/>
      <c r="H4703" s="3600"/>
      <c r="I4703" s="3056"/>
      <c r="J4703" s="3106"/>
      <c r="K4703" s="3621"/>
      <c r="L4703" s="3622"/>
      <c r="M4703" s="1952" t="s">
        <v>200</v>
      </c>
      <c r="N4703" s="1952" t="s">
        <v>1894</v>
      </c>
      <c r="O4703" s="170"/>
      <c r="P4703" s="170"/>
      <c r="Q4703" s="170"/>
      <c r="R4703" s="170"/>
      <c r="S4703" s="170">
        <v>1000</v>
      </c>
      <c r="T4703" s="170"/>
      <c r="U4703" s="170"/>
      <c r="V4703" s="170"/>
      <c r="W4703" s="491"/>
      <c r="X4703" s="491"/>
      <c r="Y4703" s="491"/>
      <c r="Z4703" s="491"/>
      <c r="AA4703" s="1440">
        <f t="shared" ref="AA4703:AA4706" si="779">SUM(O4703:Z4703)</f>
        <v>1000</v>
      </c>
    </row>
    <row r="4704" spans="1:27" x14ac:dyDescent="0.2">
      <c r="A4704" s="3615"/>
      <c r="B4704" s="3589">
        <v>2.4</v>
      </c>
      <c r="C4704" s="3594" t="s">
        <v>1901</v>
      </c>
      <c r="D4704" s="3563" t="s">
        <v>1857</v>
      </c>
      <c r="E4704" s="3563" t="s">
        <v>1857</v>
      </c>
      <c r="F4704" s="3563" t="s">
        <v>1858</v>
      </c>
      <c r="G4704" s="3563" t="s">
        <v>1859</v>
      </c>
      <c r="H4704" s="3600" t="s">
        <v>1902</v>
      </c>
      <c r="I4704" s="3056" t="s">
        <v>1903</v>
      </c>
      <c r="J4704" s="3106">
        <v>43</v>
      </c>
      <c r="K4704" s="3621">
        <f>AA4705</f>
        <v>800</v>
      </c>
      <c r="L4704" s="3622" t="s">
        <v>1866</v>
      </c>
      <c r="M4704" s="2999" t="s">
        <v>51</v>
      </c>
      <c r="N4704" s="2999"/>
      <c r="O4704" s="491"/>
      <c r="P4704" s="491">
        <v>11</v>
      </c>
      <c r="Q4704" s="491"/>
      <c r="R4704" s="491"/>
      <c r="S4704" s="491"/>
      <c r="T4704" s="491">
        <v>11</v>
      </c>
      <c r="U4704" s="491"/>
      <c r="V4704" s="491">
        <v>11</v>
      </c>
      <c r="W4704" s="491"/>
      <c r="X4704" s="491"/>
      <c r="Y4704" s="491">
        <v>10</v>
      </c>
      <c r="Z4704" s="491"/>
      <c r="AA4704" s="1441">
        <f t="shared" si="779"/>
        <v>43</v>
      </c>
    </row>
    <row r="4705" spans="1:27" x14ac:dyDescent="0.2">
      <c r="A4705" s="3615"/>
      <c r="B4705" s="3589"/>
      <c r="C4705" s="3594"/>
      <c r="D4705" s="3563"/>
      <c r="E4705" s="3563"/>
      <c r="F4705" s="3563"/>
      <c r="G4705" s="3563"/>
      <c r="H4705" s="3600"/>
      <c r="I4705" s="3056"/>
      <c r="J4705" s="3106"/>
      <c r="K4705" s="3621"/>
      <c r="L4705" s="3622"/>
      <c r="M4705" s="2999" t="s">
        <v>111</v>
      </c>
      <c r="N4705" s="2999"/>
      <c r="O4705" s="491"/>
      <c r="P4705" s="491">
        <v>200</v>
      </c>
      <c r="Q4705" s="491"/>
      <c r="R4705" s="491"/>
      <c r="S4705" s="491"/>
      <c r="T4705" s="491">
        <v>200</v>
      </c>
      <c r="U4705" s="491"/>
      <c r="V4705" s="491">
        <v>200</v>
      </c>
      <c r="W4705" s="491"/>
      <c r="X4705" s="491"/>
      <c r="Y4705" s="491">
        <v>200</v>
      </c>
      <c r="Z4705" s="491"/>
      <c r="AA4705" s="1441">
        <f t="shared" si="779"/>
        <v>800</v>
      </c>
    </row>
    <row r="4706" spans="1:27" x14ac:dyDescent="0.2">
      <c r="A4706" s="3615"/>
      <c r="B4706" s="3589"/>
      <c r="C4706" s="3594"/>
      <c r="D4706" s="3563"/>
      <c r="E4706" s="3563"/>
      <c r="F4706" s="3563"/>
      <c r="G4706" s="3563"/>
      <c r="H4706" s="3600"/>
      <c r="I4706" s="3056"/>
      <c r="J4706" s="3106"/>
      <c r="K4706" s="3621"/>
      <c r="L4706" s="3622"/>
      <c r="M4706" s="1952" t="s">
        <v>1452</v>
      </c>
      <c r="N4706" s="1952" t="s">
        <v>1884</v>
      </c>
      <c r="O4706" s="491"/>
      <c r="P4706" s="491">
        <v>200</v>
      </c>
      <c r="Q4706" s="491"/>
      <c r="R4706" s="491"/>
      <c r="S4706" s="491"/>
      <c r="T4706" s="491">
        <v>200</v>
      </c>
      <c r="U4706" s="491"/>
      <c r="V4706" s="491">
        <v>200</v>
      </c>
      <c r="W4706" s="491"/>
      <c r="X4706" s="491"/>
      <c r="Y4706" s="491">
        <v>200</v>
      </c>
      <c r="Z4706" s="491"/>
      <c r="AA4706" s="1440">
        <f t="shared" si="779"/>
        <v>800</v>
      </c>
    </row>
    <row r="4707" spans="1:27" x14ac:dyDescent="0.2">
      <c r="A4707" s="3615" t="s">
        <v>1904</v>
      </c>
      <c r="B4707" s="3589">
        <v>3.1</v>
      </c>
      <c r="C4707" s="3594" t="s">
        <v>1905</v>
      </c>
      <c r="D4707" s="3563" t="s">
        <v>1857</v>
      </c>
      <c r="E4707" s="3563" t="s">
        <v>1857</v>
      </c>
      <c r="F4707" s="3563" t="s">
        <v>1858</v>
      </c>
      <c r="G4707" s="3563" t="s">
        <v>1859</v>
      </c>
      <c r="H4707" s="3600" t="s">
        <v>1906</v>
      </c>
      <c r="I4707" s="3056" t="s">
        <v>1955</v>
      </c>
      <c r="J4707" s="3106">
        <v>2</v>
      </c>
      <c r="K4707" s="3621">
        <f>AA4708</f>
        <v>850</v>
      </c>
      <c r="L4707" s="3622" t="s">
        <v>1866</v>
      </c>
      <c r="M4707" s="2999" t="s">
        <v>51</v>
      </c>
      <c r="N4707" s="2999"/>
      <c r="O4707" s="453"/>
      <c r="P4707" s="453"/>
      <c r="Q4707" s="491">
        <v>1</v>
      </c>
      <c r="R4707" s="491"/>
      <c r="S4707" s="491"/>
      <c r="T4707" s="491"/>
      <c r="U4707" s="491"/>
      <c r="V4707" s="491"/>
      <c r="W4707" s="491">
        <v>1</v>
      </c>
      <c r="X4707" s="491"/>
      <c r="Y4707" s="491"/>
      <c r="Z4707" s="491"/>
      <c r="AA4707" s="1441">
        <v>2</v>
      </c>
    </row>
    <row r="4708" spans="1:27" x14ac:dyDescent="0.2">
      <c r="A4708" s="3615"/>
      <c r="B4708" s="3589"/>
      <c r="C4708" s="3594"/>
      <c r="D4708" s="3563"/>
      <c r="E4708" s="3563"/>
      <c r="F4708" s="3563"/>
      <c r="G4708" s="3563"/>
      <c r="H4708" s="3600"/>
      <c r="I4708" s="3056"/>
      <c r="J4708" s="3106"/>
      <c r="K4708" s="3621"/>
      <c r="L4708" s="3622"/>
      <c r="M4708" s="2999" t="s">
        <v>111</v>
      </c>
      <c r="N4708" s="2999"/>
      <c r="O4708" s="453">
        <f>SUM(O4709:O4710)</f>
        <v>0</v>
      </c>
      <c r="P4708" s="453">
        <f t="shared" ref="P4708:AA4708" si="780">SUM(P4709:P4710)</f>
        <v>0</v>
      </c>
      <c r="Q4708" s="453">
        <f t="shared" si="780"/>
        <v>425</v>
      </c>
      <c r="R4708" s="453">
        <f t="shared" si="780"/>
        <v>0</v>
      </c>
      <c r="S4708" s="453">
        <f t="shared" si="780"/>
        <v>0</v>
      </c>
      <c r="T4708" s="453">
        <f t="shared" si="780"/>
        <v>0</v>
      </c>
      <c r="U4708" s="453">
        <f t="shared" si="780"/>
        <v>0</v>
      </c>
      <c r="V4708" s="453">
        <f t="shared" si="780"/>
        <v>0</v>
      </c>
      <c r="W4708" s="453">
        <f t="shared" si="780"/>
        <v>425</v>
      </c>
      <c r="X4708" s="453">
        <f t="shared" si="780"/>
        <v>0</v>
      </c>
      <c r="Y4708" s="453">
        <f t="shared" si="780"/>
        <v>0</v>
      </c>
      <c r="Z4708" s="453">
        <f t="shared" si="780"/>
        <v>0</v>
      </c>
      <c r="AA4708" s="2248">
        <f t="shared" si="780"/>
        <v>850</v>
      </c>
    </row>
    <row r="4709" spans="1:27" x14ac:dyDescent="0.2">
      <c r="A4709" s="3615"/>
      <c r="B4709" s="3589"/>
      <c r="C4709" s="3594"/>
      <c r="D4709" s="3563"/>
      <c r="E4709" s="3563"/>
      <c r="F4709" s="3563"/>
      <c r="G4709" s="3563"/>
      <c r="H4709" s="3600"/>
      <c r="I4709" s="3056"/>
      <c r="J4709" s="3106"/>
      <c r="K4709" s="3621"/>
      <c r="L4709" s="3622"/>
      <c r="M4709" s="1952" t="s">
        <v>1452</v>
      </c>
      <c r="N4709" s="1952" t="s">
        <v>1884</v>
      </c>
      <c r="O4709" s="453"/>
      <c r="P4709" s="453"/>
      <c r="Q4709" s="491">
        <v>300</v>
      </c>
      <c r="R4709" s="491"/>
      <c r="S4709" s="491"/>
      <c r="T4709" s="491"/>
      <c r="U4709" s="491"/>
      <c r="V4709" s="491"/>
      <c r="W4709" s="491">
        <v>300</v>
      </c>
      <c r="X4709" s="491"/>
      <c r="Y4709" s="491"/>
      <c r="Z4709" s="491"/>
      <c r="AA4709" s="1440">
        <f>SUM(O4709:Z4709)</f>
        <v>600</v>
      </c>
    </row>
    <row r="4710" spans="1:27" ht="22.5" x14ac:dyDescent="0.2">
      <c r="A4710" s="3615"/>
      <c r="B4710" s="3589"/>
      <c r="C4710" s="3594"/>
      <c r="D4710" s="3563"/>
      <c r="E4710" s="3563"/>
      <c r="F4710" s="3563"/>
      <c r="G4710" s="3563"/>
      <c r="H4710" s="3600"/>
      <c r="I4710" s="3056"/>
      <c r="J4710" s="3106"/>
      <c r="K4710" s="3621"/>
      <c r="L4710" s="3622"/>
      <c r="M4710" s="1952" t="s">
        <v>200</v>
      </c>
      <c r="N4710" s="1952" t="s">
        <v>1894</v>
      </c>
      <c r="O4710" s="491"/>
      <c r="P4710" s="491"/>
      <c r="Q4710" s="491">
        <v>125</v>
      </c>
      <c r="R4710" s="491"/>
      <c r="S4710" s="491"/>
      <c r="T4710" s="491"/>
      <c r="U4710" s="491"/>
      <c r="V4710" s="491"/>
      <c r="W4710" s="491">
        <v>125</v>
      </c>
      <c r="X4710" s="491"/>
      <c r="Y4710" s="491"/>
      <c r="Z4710" s="491"/>
      <c r="AA4710" s="1440">
        <f>SUM(O4710:Z4710)</f>
        <v>250</v>
      </c>
    </row>
    <row r="4711" spans="1:27" x14ac:dyDescent="0.2">
      <c r="A4711" s="3615"/>
      <c r="B4711" s="3589">
        <v>3.2</v>
      </c>
      <c r="C4711" s="3594" t="s">
        <v>1908</v>
      </c>
      <c r="D4711" s="3563" t="s">
        <v>1857</v>
      </c>
      <c r="E4711" s="3563" t="s">
        <v>1857</v>
      </c>
      <c r="F4711" s="3563" t="s">
        <v>1858</v>
      </c>
      <c r="G4711" s="3563" t="s">
        <v>1859</v>
      </c>
      <c r="H4711" s="3600" t="s">
        <v>1909</v>
      </c>
      <c r="I4711" s="3056" t="s">
        <v>1910</v>
      </c>
      <c r="J4711" s="3106">
        <v>2</v>
      </c>
      <c r="K4711" s="3617">
        <f>AA4712</f>
        <v>4350</v>
      </c>
      <c r="L4711" s="3622" t="s">
        <v>1866</v>
      </c>
      <c r="M4711" s="2999" t="s">
        <v>51</v>
      </c>
      <c r="N4711" s="2999"/>
      <c r="O4711" s="491"/>
      <c r="P4711" s="491"/>
      <c r="Q4711" s="491">
        <v>1</v>
      </c>
      <c r="R4711" s="491"/>
      <c r="S4711" s="491"/>
      <c r="T4711" s="491"/>
      <c r="U4711" s="491"/>
      <c r="V4711" s="491"/>
      <c r="W4711" s="491"/>
      <c r="X4711" s="491"/>
      <c r="Y4711" s="491">
        <v>1</v>
      </c>
      <c r="Z4711" s="491"/>
      <c r="AA4711" s="373">
        <f>SUM(O4711:Z4711)</f>
        <v>2</v>
      </c>
    </row>
    <row r="4712" spans="1:27" x14ac:dyDescent="0.2">
      <c r="A4712" s="3615"/>
      <c r="B4712" s="3589"/>
      <c r="C4712" s="3594"/>
      <c r="D4712" s="3563"/>
      <c r="E4712" s="3563"/>
      <c r="F4712" s="3563"/>
      <c r="G4712" s="3563"/>
      <c r="H4712" s="3600"/>
      <c r="I4712" s="3056"/>
      <c r="J4712" s="3106"/>
      <c r="K4712" s="3617"/>
      <c r="L4712" s="3622"/>
      <c r="M4712" s="2999" t="s">
        <v>111</v>
      </c>
      <c r="N4712" s="2999"/>
      <c r="O4712" s="491">
        <f>SUM(O4713:O4715)</f>
        <v>0</v>
      </c>
      <c r="P4712" s="491">
        <f t="shared" ref="P4712:AA4712" si="781">SUM(P4713:P4715)</f>
        <v>0</v>
      </c>
      <c r="Q4712" s="491">
        <f t="shared" si="781"/>
        <v>4100</v>
      </c>
      <c r="R4712" s="491">
        <f t="shared" si="781"/>
        <v>0</v>
      </c>
      <c r="S4712" s="491">
        <f t="shared" si="781"/>
        <v>0</v>
      </c>
      <c r="T4712" s="491">
        <f t="shared" si="781"/>
        <v>0</v>
      </c>
      <c r="U4712" s="491">
        <f t="shared" si="781"/>
        <v>0</v>
      </c>
      <c r="V4712" s="491">
        <f t="shared" si="781"/>
        <v>0</v>
      </c>
      <c r="W4712" s="491">
        <f t="shared" si="781"/>
        <v>0</v>
      </c>
      <c r="X4712" s="491">
        <f t="shared" si="781"/>
        <v>0</v>
      </c>
      <c r="Y4712" s="491">
        <f t="shared" si="781"/>
        <v>250</v>
      </c>
      <c r="Z4712" s="491">
        <f t="shared" si="781"/>
        <v>0</v>
      </c>
      <c r="AA4712" s="2249">
        <f t="shared" si="781"/>
        <v>4350</v>
      </c>
    </row>
    <row r="4713" spans="1:27" x14ac:dyDescent="0.2">
      <c r="A4713" s="3615"/>
      <c r="B4713" s="3589"/>
      <c r="C4713" s="3594"/>
      <c r="D4713" s="3563"/>
      <c r="E4713" s="3563"/>
      <c r="F4713" s="3563"/>
      <c r="G4713" s="3563"/>
      <c r="H4713" s="3600"/>
      <c r="I4713" s="3056"/>
      <c r="J4713" s="3106"/>
      <c r="K4713" s="3617"/>
      <c r="L4713" s="3622"/>
      <c r="M4713" s="1952" t="s">
        <v>1452</v>
      </c>
      <c r="N4713" s="1952" t="s">
        <v>1884</v>
      </c>
      <c r="O4713" s="491"/>
      <c r="P4713" s="491"/>
      <c r="Q4713" s="491">
        <v>1550</v>
      </c>
      <c r="R4713" s="491"/>
      <c r="S4713" s="491"/>
      <c r="T4713" s="491"/>
      <c r="U4713" s="491"/>
      <c r="V4713" s="491"/>
      <c r="W4713" s="491"/>
      <c r="X4713" s="491"/>
      <c r="Y4713" s="491">
        <v>250</v>
      </c>
      <c r="Z4713" s="491"/>
      <c r="AA4713" s="1440">
        <f>SUM(O4713:Z4713)</f>
        <v>1800</v>
      </c>
    </row>
    <row r="4714" spans="1:27" ht="33.75" x14ac:dyDescent="0.2">
      <c r="A4714" s="3615"/>
      <c r="B4714" s="3589"/>
      <c r="C4714" s="3594"/>
      <c r="D4714" s="3563"/>
      <c r="E4714" s="3563"/>
      <c r="F4714" s="3563"/>
      <c r="G4714" s="3563"/>
      <c r="H4714" s="3600"/>
      <c r="I4714" s="3056"/>
      <c r="J4714" s="3106"/>
      <c r="K4714" s="3617"/>
      <c r="L4714" s="3622"/>
      <c r="M4714" s="1952">
        <v>231211</v>
      </c>
      <c r="N4714" s="1952" t="s">
        <v>1911</v>
      </c>
      <c r="O4714" s="491"/>
      <c r="P4714" s="491"/>
      <c r="Q4714" s="491">
        <v>1800</v>
      </c>
      <c r="R4714" s="491"/>
      <c r="S4714" s="491"/>
      <c r="T4714" s="491"/>
      <c r="U4714" s="491"/>
      <c r="V4714" s="491"/>
      <c r="W4714" s="491"/>
      <c r="X4714" s="491"/>
      <c r="Y4714" s="491"/>
      <c r="Z4714" s="491"/>
      <c r="AA4714" s="1440">
        <f>SUM(O4714:Z4714)</f>
        <v>1800</v>
      </c>
    </row>
    <row r="4715" spans="1:27" ht="22.5" x14ac:dyDescent="0.2">
      <c r="A4715" s="3615"/>
      <c r="B4715" s="3589"/>
      <c r="C4715" s="3594"/>
      <c r="D4715" s="3563"/>
      <c r="E4715" s="3563"/>
      <c r="F4715" s="3563"/>
      <c r="G4715" s="3563"/>
      <c r="H4715" s="3600"/>
      <c r="I4715" s="3056"/>
      <c r="J4715" s="3106"/>
      <c r="K4715" s="3617"/>
      <c r="L4715" s="3622"/>
      <c r="M4715" s="1952" t="s">
        <v>200</v>
      </c>
      <c r="N4715" s="1952" t="s">
        <v>1894</v>
      </c>
      <c r="O4715" s="491"/>
      <c r="P4715" s="491"/>
      <c r="Q4715" s="491">
        <v>750</v>
      </c>
      <c r="R4715" s="491"/>
      <c r="S4715" s="491"/>
      <c r="T4715" s="491"/>
      <c r="U4715" s="491"/>
      <c r="V4715" s="491"/>
      <c r="W4715" s="491"/>
      <c r="X4715" s="491"/>
      <c r="Y4715" s="491"/>
      <c r="Z4715" s="491"/>
      <c r="AA4715" s="1440">
        <f>SUM(O4715:Z4715)</f>
        <v>750</v>
      </c>
    </row>
    <row r="4716" spans="1:27" x14ac:dyDescent="0.2">
      <c r="A4716" s="3615" t="s">
        <v>1912</v>
      </c>
      <c r="B4716" s="3589">
        <v>4.0999999999999996</v>
      </c>
      <c r="C4716" s="3594" t="s">
        <v>1913</v>
      </c>
      <c r="D4716" s="3563" t="s">
        <v>1857</v>
      </c>
      <c r="E4716" s="3563" t="s">
        <v>1857</v>
      </c>
      <c r="F4716" s="3563" t="s">
        <v>1858</v>
      </c>
      <c r="G4716" s="3563" t="s">
        <v>1859</v>
      </c>
      <c r="H4716" s="3600" t="s">
        <v>1914</v>
      </c>
      <c r="I4716" s="3600" t="s">
        <v>1956</v>
      </c>
      <c r="J4716" s="3106">
        <v>1</v>
      </c>
      <c r="K4716" s="3621">
        <f>+AA4717</f>
        <v>81</v>
      </c>
      <c r="L4716" s="3106" t="s">
        <v>1866</v>
      </c>
      <c r="M4716" s="2999" t="s">
        <v>51</v>
      </c>
      <c r="N4716" s="2999"/>
      <c r="O4716" s="453"/>
      <c r="P4716" s="453"/>
      <c r="Q4716" s="491"/>
      <c r="R4716" s="491"/>
      <c r="S4716" s="491"/>
      <c r="T4716" s="491"/>
      <c r="U4716" s="491"/>
      <c r="V4716" s="453"/>
      <c r="W4716" s="453"/>
      <c r="X4716" s="453"/>
      <c r="Y4716" s="453"/>
      <c r="Z4716" s="491">
        <v>1</v>
      </c>
      <c r="AA4716" s="1441">
        <v>1</v>
      </c>
    </row>
    <row r="4717" spans="1:27" x14ac:dyDescent="0.2">
      <c r="A4717" s="3615"/>
      <c r="B4717" s="3589"/>
      <c r="C4717" s="3594"/>
      <c r="D4717" s="3563"/>
      <c r="E4717" s="3563"/>
      <c r="F4717" s="3563"/>
      <c r="G4717" s="3563"/>
      <c r="H4717" s="3600"/>
      <c r="I4717" s="3600"/>
      <c r="J4717" s="3106"/>
      <c r="K4717" s="3621"/>
      <c r="L4717" s="3106"/>
      <c r="M4717" s="2999" t="s">
        <v>111</v>
      </c>
      <c r="N4717" s="2999"/>
      <c r="O4717" s="490">
        <f>SUM(O4718)</f>
        <v>81</v>
      </c>
      <c r="P4717" s="490">
        <f t="shared" ref="P4717:AA4717" si="782">SUM(P4718)</f>
        <v>0</v>
      </c>
      <c r="Q4717" s="490">
        <f t="shared" si="782"/>
        <v>0</v>
      </c>
      <c r="R4717" s="490">
        <f t="shared" si="782"/>
        <v>0</v>
      </c>
      <c r="S4717" s="490">
        <f t="shared" si="782"/>
        <v>0</v>
      </c>
      <c r="T4717" s="490">
        <f t="shared" si="782"/>
        <v>0</v>
      </c>
      <c r="U4717" s="490">
        <f t="shared" si="782"/>
        <v>0</v>
      </c>
      <c r="V4717" s="490">
        <f t="shared" si="782"/>
        <v>0</v>
      </c>
      <c r="W4717" s="490">
        <f t="shared" si="782"/>
        <v>0</v>
      </c>
      <c r="X4717" s="490">
        <f t="shared" si="782"/>
        <v>0</v>
      </c>
      <c r="Y4717" s="490">
        <f t="shared" si="782"/>
        <v>0</v>
      </c>
      <c r="Z4717" s="490">
        <f t="shared" si="782"/>
        <v>0</v>
      </c>
      <c r="AA4717" s="373">
        <f t="shared" si="782"/>
        <v>81</v>
      </c>
    </row>
    <row r="4718" spans="1:27" ht="22.5" x14ac:dyDescent="0.2">
      <c r="A4718" s="3615"/>
      <c r="B4718" s="3589"/>
      <c r="C4718" s="3594"/>
      <c r="D4718" s="3563"/>
      <c r="E4718" s="3563"/>
      <c r="F4718" s="3563"/>
      <c r="G4718" s="3563"/>
      <c r="H4718" s="3600"/>
      <c r="I4718" s="3600"/>
      <c r="J4718" s="3106"/>
      <c r="K4718" s="3621"/>
      <c r="L4718" s="3106"/>
      <c r="M4718" s="1952">
        <v>232231</v>
      </c>
      <c r="N4718" s="1952" t="s">
        <v>1879</v>
      </c>
      <c r="O4718" s="490">
        <v>81</v>
      </c>
      <c r="P4718" s="490"/>
      <c r="Q4718" s="490"/>
      <c r="R4718" s="490"/>
      <c r="S4718" s="491"/>
      <c r="T4718" s="490"/>
      <c r="U4718" s="490"/>
      <c r="V4718" s="490"/>
      <c r="W4718" s="490"/>
      <c r="X4718" s="490"/>
      <c r="Y4718" s="490"/>
      <c r="Z4718" s="490"/>
      <c r="AA4718" s="1441">
        <f>SUM(O4718:Z4718)</f>
        <v>81</v>
      </c>
    </row>
    <row r="4719" spans="1:27" x14ac:dyDescent="0.2">
      <c r="A4719" s="3615"/>
      <c r="B4719" s="3589">
        <v>4.2</v>
      </c>
      <c r="C4719" s="3594" t="s">
        <v>1916</v>
      </c>
      <c r="D4719" s="3563" t="s">
        <v>1857</v>
      </c>
      <c r="E4719" s="3563" t="s">
        <v>1857</v>
      </c>
      <c r="F4719" s="3563" t="s">
        <v>1858</v>
      </c>
      <c r="G4719" s="3563" t="s">
        <v>1859</v>
      </c>
      <c r="H4719" s="3600" t="s">
        <v>1917</v>
      </c>
      <c r="I4719" s="3600" t="s">
        <v>1860</v>
      </c>
      <c r="J4719" s="3106">
        <v>13</v>
      </c>
      <c r="K4719" s="3623">
        <v>81</v>
      </c>
      <c r="L4719" s="3106" t="s">
        <v>1866</v>
      </c>
      <c r="M4719" s="2999" t="s">
        <v>51</v>
      </c>
      <c r="N4719" s="2999"/>
      <c r="O4719" s="491">
        <v>13</v>
      </c>
      <c r="P4719" s="491"/>
      <c r="Q4719" s="491"/>
      <c r="R4719" s="491"/>
      <c r="S4719" s="491"/>
      <c r="T4719" s="491"/>
      <c r="U4719" s="491"/>
      <c r="V4719" s="491"/>
      <c r="W4719" s="491"/>
      <c r="X4719" s="491"/>
      <c r="Y4719" s="491"/>
      <c r="Z4719" s="491"/>
      <c r="AA4719" s="1441">
        <v>13</v>
      </c>
    </row>
    <row r="4720" spans="1:27" x14ac:dyDescent="0.2">
      <c r="A4720" s="3615"/>
      <c r="B4720" s="3589"/>
      <c r="C4720" s="3594"/>
      <c r="D4720" s="3563"/>
      <c r="E4720" s="3563"/>
      <c r="F4720" s="3563"/>
      <c r="G4720" s="3563"/>
      <c r="H4720" s="3600"/>
      <c r="I4720" s="3600"/>
      <c r="J4720" s="3106"/>
      <c r="K4720" s="3623"/>
      <c r="L4720" s="3106"/>
      <c r="M4720" s="2999" t="s">
        <v>111</v>
      </c>
      <c r="N4720" s="2999"/>
      <c r="O4720" s="464">
        <f>SUM(O4721)</f>
        <v>81</v>
      </c>
      <c r="P4720" s="464">
        <f t="shared" ref="P4720:AA4720" si="783">SUM(P4721)</f>
        <v>0</v>
      </c>
      <c r="Q4720" s="464">
        <f t="shared" si="783"/>
        <v>0</v>
      </c>
      <c r="R4720" s="464">
        <f t="shared" si="783"/>
        <v>0</v>
      </c>
      <c r="S4720" s="464">
        <f t="shared" si="783"/>
        <v>0</v>
      </c>
      <c r="T4720" s="464">
        <f t="shared" si="783"/>
        <v>0</v>
      </c>
      <c r="U4720" s="464">
        <f t="shared" si="783"/>
        <v>0</v>
      </c>
      <c r="V4720" s="464">
        <f t="shared" si="783"/>
        <v>0</v>
      </c>
      <c r="W4720" s="464">
        <f t="shared" si="783"/>
        <v>0</v>
      </c>
      <c r="X4720" s="464">
        <f t="shared" si="783"/>
        <v>0</v>
      </c>
      <c r="Y4720" s="464">
        <f t="shared" si="783"/>
        <v>0</v>
      </c>
      <c r="Z4720" s="464">
        <f t="shared" si="783"/>
        <v>0</v>
      </c>
      <c r="AA4720" s="2243">
        <f t="shared" si="783"/>
        <v>81</v>
      </c>
    </row>
    <row r="4721" spans="1:27" ht="22.5" x14ac:dyDescent="0.2">
      <c r="A4721" s="3615"/>
      <c r="B4721" s="3589"/>
      <c r="C4721" s="3594"/>
      <c r="D4721" s="3563"/>
      <c r="E4721" s="3563"/>
      <c r="F4721" s="3563"/>
      <c r="G4721" s="3563"/>
      <c r="H4721" s="3600"/>
      <c r="I4721" s="3600"/>
      <c r="J4721" s="3106"/>
      <c r="K4721" s="3623"/>
      <c r="L4721" s="3106"/>
      <c r="M4721" s="1952">
        <v>232231</v>
      </c>
      <c r="N4721" s="1952" t="s">
        <v>1918</v>
      </c>
      <c r="O4721" s="491">
        <v>81</v>
      </c>
      <c r="P4721" s="491"/>
      <c r="Q4721" s="491"/>
      <c r="R4721" s="491"/>
      <c r="S4721" s="491"/>
      <c r="T4721" s="491"/>
      <c r="U4721" s="491"/>
      <c r="V4721" s="491"/>
      <c r="W4721" s="491"/>
      <c r="X4721" s="491"/>
      <c r="Y4721" s="491"/>
      <c r="Z4721" s="491"/>
      <c r="AA4721" s="1440">
        <f>SUM(O4721:Z4721)</f>
        <v>81</v>
      </c>
    </row>
    <row r="4722" spans="1:27" x14ac:dyDescent="0.2">
      <c r="A4722" s="3615" t="s">
        <v>1919</v>
      </c>
      <c r="B4722" s="3589">
        <v>5.0999999999999996</v>
      </c>
      <c r="C4722" s="3594" t="s">
        <v>1920</v>
      </c>
      <c r="D4722" s="3563" t="s">
        <v>1857</v>
      </c>
      <c r="E4722" s="3563" t="s">
        <v>1857</v>
      </c>
      <c r="F4722" s="3563" t="s">
        <v>1858</v>
      </c>
      <c r="G4722" s="3563" t="s">
        <v>1859</v>
      </c>
      <c r="H4722" s="3600" t="s">
        <v>1921</v>
      </c>
      <c r="I4722" s="3600" t="s">
        <v>1860</v>
      </c>
      <c r="J4722" s="3106">
        <v>2</v>
      </c>
      <c r="K4722" s="3621">
        <f>AA4723</f>
        <v>2540</v>
      </c>
      <c r="L4722" s="3106" t="s">
        <v>1866</v>
      </c>
      <c r="M4722" s="2999" t="s">
        <v>51</v>
      </c>
      <c r="N4722" s="2999"/>
      <c r="O4722" s="453"/>
      <c r="P4722" s="453"/>
      <c r="Q4722" s="491">
        <v>1</v>
      </c>
      <c r="R4722" s="491"/>
      <c r="S4722" s="491"/>
      <c r="T4722" s="491"/>
      <c r="U4722" s="491"/>
      <c r="V4722" s="453">
        <v>1</v>
      </c>
      <c r="W4722" s="453"/>
      <c r="X4722" s="453"/>
      <c r="Y4722" s="453">
        <v>1</v>
      </c>
      <c r="Z4722" s="453"/>
      <c r="AA4722" s="2246">
        <v>3</v>
      </c>
    </row>
    <row r="4723" spans="1:27" x14ac:dyDescent="0.2">
      <c r="A4723" s="3615"/>
      <c r="B4723" s="3589"/>
      <c r="C4723" s="3594"/>
      <c r="D4723" s="3563"/>
      <c r="E4723" s="3563"/>
      <c r="F4723" s="3563"/>
      <c r="G4723" s="3563"/>
      <c r="H4723" s="3600"/>
      <c r="I4723" s="3600"/>
      <c r="J4723" s="3106"/>
      <c r="K4723" s="3621"/>
      <c r="L4723" s="3106"/>
      <c r="M4723" s="2999" t="s">
        <v>111</v>
      </c>
      <c r="N4723" s="2999"/>
      <c r="O4723" s="453">
        <f>SUM(O4724:O4726)</f>
        <v>0</v>
      </c>
      <c r="P4723" s="453">
        <f t="shared" ref="P4723:AA4723" si="784">SUM(P4724:P4726)</f>
        <v>0</v>
      </c>
      <c r="Q4723" s="453">
        <f t="shared" si="784"/>
        <v>880</v>
      </c>
      <c r="R4723" s="453">
        <f t="shared" si="784"/>
        <v>0</v>
      </c>
      <c r="S4723" s="453">
        <f t="shared" si="784"/>
        <v>0</v>
      </c>
      <c r="T4723" s="453">
        <f t="shared" si="784"/>
        <v>0</v>
      </c>
      <c r="U4723" s="453">
        <f t="shared" si="784"/>
        <v>0</v>
      </c>
      <c r="V4723" s="453">
        <f t="shared" si="784"/>
        <v>780</v>
      </c>
      <c r="W4723" s="453">
        <f t="shared" si="784"/>
        <v>0</v>
      </c>
      <c r="X4723" s="453">
        <f t="shared" si="784"/>
        <v>0</v>
      </c>
      <c r="Y4723" s="453">
        <f t="shared" si="784"/>
        <v>880</v>
      </c>
      <c r="Z4723" s="453">
        <f t="shared" si="784"/>
        <v>0</v>
      </c>
      <c r="AA4723" s="2248">
        <f t="shared" si="784"/>
        <v>2540</v>
      </c>
    </row>
    <row r="4724" spans="1:27" ht="22.5" x14ac:dyDescent="0.2">
      <c r="A4724" s="3615"/>
      <c r="B4724" s="3589"/>
      <c r="C4724" s="3594"/>
      <c r="D4724" s="3563"/>
      <c r="E4724" s="3563"/>
      <c r="F4724" s="3563"/>
      <c r="G4724" s="3563"/>
      <c r="H4724" s="3600"/>
      <c r="I4724" s="3600"/>
      <c r="J4724" s="3106"/>
      <c r="K4724" s="3621"/>
      <c r="L4724" s="3106"/>
      <c r="M4724" s="1952" t="s">
        <v>194</v>
      </c>
      <c r="N4724" s="1952" t="s">
        <v>1880</v>
      </c>
      <c r="O4724" s="453"/>
      <c r="P4724" s="453"/>
      <c r="Q4724" s="491">
        <v>420</v>
      </c>
      <c r="R4724" s="491"/>
      <c r="S4724" s="491"/>
      <c r="T4724" s="491"/>
      <c r="U4724" s="491"/>
      <c r="V4724" s="453">
        <v>420</v>
      </c>
      <c r="W4724" s="453"/>
      <c r="X4724" s="453"/>
      <c r="Y4724" s="453">
        <v>420</v>
      </c>
      <c r="Z4724" s="453"/>
      <c r="AA4724" s="2246">
        <f>SUM(O4724:Z4724)</f>
        <v>1260</v>
      </c>
    </row>
    <row r="4725" spans="1:27" x14ac:dyDescent="0.2">
      <c r="A4725" s="3615"/>
      <c r="B4725" s="3589"/>
      <c r="C4725" s="3594"/>
      <c r="D4725" s="3563"/>
      <c r="E4725" s="3563"/>
      <c r="F4725" s="3563"/>
      <c r="G4725" s="3563"/>
      <c r="H4725" s="3600"/>
      <c r="I4725" s="3600"/>
      <c r="J4725" s="3106"/>
      <c r="K4725" s="3621"/>
      <c r="L4725" s="3106"/>
      <c r="M4725" s="1952" t="s">
        <v>541</v>
      </c>
      <c r="N4725" s="1952" t="s">
        <v>1881</v>
      </c>
      <c r="O4725" s="453"/>
      <c r="P4725" s="453"/>
      <c r="Q4725" s="491">
        <v>140</v>
      </c>
      <c r="R4725" s="491"/>
      <c r="S4725" s="491"/>
      <c r="T4725" s="491"/>
      <c r="U4725" s="491"/>
      <c r="V4725" s="453">
        <v>40</v>
      </c>
      <c r="W4725" s="453"/>
      <c r="X4725" s="453"/>
      <c r="Y4725" s="453">
        <v>140</v>
      </c>
      <c r="Z4725" s="453"/>
      <c r="AA4725" s="2246">
        <f t="shared" ref="AA4725:AA4726" si="785">SUM(O4725:Z4725)</f>
        <v>320</v>
      </c>
    </row>
    <row r="4726" spans="1:27" ht="22.5" x14ac:dyDescent="0.2">
      <c r="A4726" s="3615"/>
      <c r="B4726" s="3589"/>
      <c r="C4726" s="3594"/>
      <c r="D4726" s="3563"/>
      <c r="E4726" s="3563"/>
      <c r="F4726" s="3563"/>
      <c r="G4726" s="3563"/>
      <c r="H4726" s="3600" t="s">
        <v>1922</v>
      </c>
      <c r="I4726" s="3600" t="s">
        <v>1860</v>
      </c>
      <c r="J4726" s="3106">
        <v>3</v>
      </c>
      <c r="K4726" s="3621"/>
      <c r="L4726" s="3106"/>
      <c r="M4726" s="1952" t="s">
        <v>180</v>
      </c>
      <c r="N4726" s="1952" t="s">
        <v>1882</v>
      </c>
      <c r="O4726" s="491"/>
      <c r="P4726" s="491"/>
      <c r="Q4726" s="491">
        <v>320</v>
      </c>
      <c r="R4726" s="491"/>
      <c r="S4726" s="491"/>
      <c r="T4726" s="491"/>
      <c r="U4726" s="491"/>
      <c r="V4726" s="491">
        <v>320</v>
      </c>
      <c r="W4726" s="491"/>
      <c r="X4726" s="491"/>
      <c r="Y4726" s="491">
        <v>320</v>
      </c>
      <c r="Z4726" s="491"/>
      <c r="AA4726" s="2246">
        <f t="shared" si="785"/>
        <v>960</v>
      </c>
    </row>
    <row r="4727" spans="1:27" x14ac:dyDescent="0.2">
      <c r="A4727" s="3615"/>
      <c r="B4727" s="3589">
        <v>5.2</v>
      </c>
      <c r="C4727" s="3594" t="s">
        <v>1923</v>
      </c>
      <c r="D4727" s="3563" t="s">
        <v>1857</v>
      </c>
      <c r="E4727" s="3563" t="s">
        <v>1857</v>
      </c>
      <c r="F4727" s="3563" t="s">
        <v>1858</v>
      </c>
      <c r="G4727" s="3563" t="s">
        <v>1859</v>
      </c>
      <c r="H4727" s="3600" t="s">
        <v>1922</v>
      </c>
      <c r="I4727" s="3600" t="s">
        <v>1860</v>
      </c>
      <c r="J4727" s="3106">
        <v>1</v>
      </c>
      <c r="K4727" s="3621">
        <f>AA4728</f>
        <v>1880</v>
      </c>
      <c r="L4727" s="3106" t="s">
        <v>1866</v>
      </c>
      <c r="M4727" s="2999" t="s">
        <v>51</v>
      </c>
      <c r="N4727" s="2999"/>
      <c r="O4727" s="491"/>
      <c r="P4727" s="491"/>
      <c r="Q4727" s="491"/>
      <c r="R4727" s="491"/>
      <c r="S4727" s="491"/>
      <c r="T4727" s="491"/>
      <c r="U4727" s="491"/>
      <c r="V4727" s="453"/>
      <c r="W4727" s="453"/>
      <c r="X4727" s="453"/>
      <c r="Y4727" s="453"/>
      <c r="Z4727" s="453">
        <v>1</v>
      </c>
      <c r="AA4727" s="2250">
        <v>1</v>
      </c>
    </row>
    <row r="4728" spans="1:27" x14ac:dyDescent="0.2">
      <c r="A4728" s="3615"/>
      <c r="B4728" s="3589"/>
      <c r="C4728" s="3594"/>
      <c r="D4728" s="3563"/>
      <c r="E4728" s="3563"/>
      <c r="F4728" s="3563"/>
      <c r="G4728" s="3563"/>
      <c r="H4728" s="3600"/>
      <c r="I4728" s="3600"/>
      <c r="J4728" s="3106"/>
      <c r="K4728" s="3621"/>
      <c r="L4728" s="3106"/>
      <c r="M4728" s="2999" t="s">
        <v>111</v>
      </c>
      <c r="N4728" s="2999"/>
      <c r="O4728" s="491"/>
      <c r="P4728" s="491">
        <f t="shared" ref="P4728:AA4728" si="786">SUM(P4729:P4733)</f>
        <v>0</v>
      </c>
      <c r="Q4728" s="491">
        <f t="shared" si="786"/>
        <v>0</v>
      </c>
      <c r="R4728" s="491">
        <f t="shared" si="786"/>
        <v>0</v>
      </c>
      <c r="S4728" s="491">
        <f t="shared" si="786"/>
        <v>0</v>
      </c>
      <c r="T4728" s="491">
        <f t="shared" si="786"/>
        <v>0</v>
      </c>
      <c r="U4728" s="491"/>
      <c r="V4728" s="491">
        <f t="shared" si="786"/>
        <v>0</v>
      </c>
      <c r="W4728" s="491">
        <f t="shared" si="786"/>
        <v>0</v>
      </c>
      <c r="X4728" s="491">
        <f t="shared" si="786"/>
        <v>0</v>
      </c>
      <c r="Y4728" s="491">
        <f t="shared" si="786"/>
        <v>0</v>
      </c>
      <c r="Z4728" s="491">
        <f t="shared" si="786"/>
        <v>1880</v>
      </c>
      <c r="AA4728" s="2249">
        <f t="shared" si="786"/>
        <v>1880</v>
      </c>
    </row>
    <row r="4729" spans="1:27" x14ac:dyDescent="0.2">
      <c r="A4729" s="3615"/>
      <c r="B4729" s="3589"/>
      <c r="C4729" s="3594"/>
      <c r="D4729" s="3563"/>
      <c r="E4729" s="3563"/>
      <c r="F4729" s="3563"/>
      <c r="G4729" s="3563"/>
      <c r="H4729" s="3600"/>
      <c r="I4729" s="3600"/>
      <c r="J4729" s="3106"/>
      <c r="K4729" s="3621"/>
      <c r="L4729" s="3106"/>
      <c r="M4729" s="1952" t="s">
        <v>1883</v>
      </c>
      <c r="N4729" s="1952" t="s">
        <v>1884</v>
      </c>
      <c r="O4729" s="491"/>
      <c r="P4729" s="491"/>
      <c r="Q4729" s="491"/>
      <c r="R4729" s="491"/>
      <c r="S4729" s="491"/>
      <c r="T4729" s="491"/>
      <c r="U4729" s="491"/>
      <c r="V4729" s="453"/>
      <c r="W4729" s="453"/>
      <c r="X4729" s="453"/>
      <c r="Y4729" s="453"/>
      <c r="Z4729" s="453">
        <v>1000</v>
      </c>
      <c r="AA4729" s="2246">
        <f>SUM(O4729:Z4729)</f>
        <v>1000</v>
      </c>
    </row>
    <row r="4730" spans="1:27" ht="22.5" x14ac:dyDescent="0.2">
      <c r="A4730" s="3615"/>
      <c r="B4730" s="3589"/>
      <c r="C4730" s="3594"/>
      <c r="D4730" s="3563"/>
      <c r="E4730" s="3563"/>
      <c r="F4730" s="3563"/>
      <c r="G4730" s="3563"/>
      <c r="H4730" s="3600"/>
      <c r="I4730" s="3600"/>
      <c r="J4730" s="3106"/>
      <c r="K4730" s="3621"/>
      <c r="L4730" s="3106"/>
      <c r="M4730" s="1952" t="s">
        <v>194</v>
      </c>
      <c r="N4730" s="1952" t="s">
        <v>1880</v>
      </c>
      <c r="O4730" s="491"/>
      <c r="P4730" s="491"/>
      <c r="Q4730" s="491"/>
      <c r="R4730" s="491"/>
      <c r="S4730" s="491"/>
      <c r="T4730" s="491"/>
      <c r="U4730" s="491"/>
      <c r="V4730" s="453"/>
      <c r="W4730" s="453"/>
      <c r="X4730" s="453"/>
      <c r="Y4730" s="453"/>
      <c r="Z4730" s="453">
        <v>140</v>
      </c>
      <c r="AA4730" s="2246">
        <f t="shared" ref="AA4730:AA4733" si="787">SUM(O4730:Z4730)</f>
        <v>140</v>
      </c>
    </row>
    <row r="4731" spans="1:27" ht="22.5" x14ac:dyDescent="0.2">
      <c r="A4731" s="3615"/>
      <c r="B4731" s="3589"/>
      <c r="C4731" s="3594"/>
      <c r="D4731" s="3563"/>
      <c r="E4731" s="3563"/>
      <c r="F4731" s="3563"/>
      <c r="G4731" s="3563"/>
      <c r="H4731" s="3600"/>
      <c r="I4731" s="3600"/>
      <c r="J4731" s="3106"/>
      <c r="K4731" s="3621"/>
      <c r="L4731" s="3106"/>
      <c r="M4731" s="1952" t="s">
        <v>180</v>
      </c>
      <c r="N4731" s="1952" t="s">
        <v>1882</v>
      </c>
      <c r="O4731" s="491"/>
      <c r="P4731" s="491"/>
      <c r="Q4731" s="491"/>
      <c r="R4731" s="491"/>
      <c r="S4731" s="491"/>
      <c r="T4731" s="491"/>
      <c r="U4731" s="491"/>
      <c r="V4731" s="453"/>
      <c r="W4731" s="453"/>
      <c r="X4731" s="453"/>
      <c r="Y4731" s="453"/>
      <c r="Z4731" s="453">
        <v>240</v>
      </c>
      <c r="AA4731" s="2246">
        <f t="shared" si="787"/>
        <v>240</v>
      </c>
    </row>
    <row r="4732" spans="1:27" x14ac:dyDescent="0.2">
      <c r="A4732" s="3615"/>
      <c r="B4732" s="3589"/>
      <c r="C4732" s="3594"/>
      <c r="D4732" s="3563"/>
      <c r="E4732" s="3563"/>
      <c r="F4732" s="3563"/>
      <c r="G4732" s="3563"/>
      <c r="H4732" s="3600"/>
      <c r="I4732" s="3600"/>
      <c r="J4732" s="3106"/>
      <c r="K4732" s="3621"/>
      <c r="L4732" s="3106"/>
      <c r="M4732" s="1952" t="s">
        <v>541</v>
      </c>
      <c r="N4732" s="1952" t="s">
        <v>1881</v>
      </c>
      <c r="O4732" s="491"/>
      <c r="P4732" s="491"/>
      <c r="Q4732" s="491"/>
      <c r="R4732" s="491"/>
      <c r="S4732" s="491"/>
      <c r="T4732" s="491"/>
      <c r="U4732" s="491"/>
      <c r="V4732" s="453"/>
      <c r="W4732" s="453"/>
      <c r="X4732" s="453"/>
      <c r="Y4732" s="453"/>
      <c r="Z4732" s="453"/>
      <c r="AA4732" s="2246">
        <f t="shared" si="787"/>
        <v>0</v>
      </c>
    </row>
    <row r="4733" spans="1:27" ht="22.5" x14ac:dyDescent="0.2">
      <c r="A4733" s="3615"/>
      <c r="B4733" s="3589"/>
      <c r="C4733" s="3594"/>
      <c r="D4733" s="3563"/>
      <c r="E4733" s="3563"/>
      <c r="F4733" s="3563"/>
      <c r="G4733" s="3563"/>
      <c r="H4733" s="3600" t="s">
        <v>1924</v>
      </c>
      <c r="I4733" s="3600" t="s">
        <v>1925</v>
      </c>
      <c r="J4733" s="3106">
        <v>13</v>
      </c>
      <c r="K4733" s="3621"/>
      <c r="L4733" s="3106"/>
      <c r="M4733" s="1952" t="s">
        <v>200</v>
      </c>
      <c r="N4733" s="1952" t="s">
        <v>1894</v>
      </c>
      <c r="O4733" s="491"/>
      <c r="P4733" s="491"/>
      <c r="Q4733" s="491"/>
      <c r="R4733" s="491"/>
      <c r="S4733" s="491"/>
      <c r="T4733" s="491"/>
      <c r="U4733" s="491"/>
      <c r="V4733" s="491"/>
      <c r="W4733" s="491"/>
      <c r="X4733" s="491"/>
      <c r="Y4733" s="491"/>
      <c r="Z4733" s="491">
        <v>500</v>
      </c>
      <c r="AA4733" s="2246">
        <f t="shared" si="787"/>
        <v>500</v>
      </c>
    </row>
    <row r="4734" spans="1:27" x14ac:dyDescent="0.2">
      <c r="A4734" s="3615"/>
      <c r="B4734" s="3589">
        <v>5.3</v>
      </c>
      <c r="C4734" s="3594" t="s">
        <v>1926</v>
      </c>
      <c r="D4734" s="3563" t="s">
        <v>1857</v>
      </c>
      <c r="E4734" s="3563" t="s">
        <v>1857</v>
      </c>
      <c r="F4734" s="3563" t="s">
        <v>1858</v>
      </c>
      <c r="G4734" s="3563" t="s">
        <v>1859</v>
      </c>
      <c r="H4734" s="3600" t="s">
        <v>1927</v>
      </c>
      <c r="I4734" s="3600" t="s">
        <v>1957</v>
      </c>
      <c r="J4734" s="3106">
        <v>2</v>
      </c>
      <c r="K4734" s="3621">
        <f>AA4735</f>
        <v>1500</v>
      </c>
      <c r="L4734" s="3106" t="s">
        <v>1866</v>
      </c>
      <c r="M4734" s="2999" t="s">
        <v>51</v>
      </c>
      <c r="N4734" s="2999"/>
      <c r="O4734" s="491"/>
      <c r="P4734" s="491"/>
      <c r="Q4734" s="491"/>
      <c r="R4734" s="491">
        <v>1</v>
      </c>
      <c r="S4734" s="491"/>
      <c r="T4734" s="491"/>
      <c r="U4734" s="491"/>
      <c r="V4734" s="453"/>
      <c r="W4734" s="453"/>
      <c r="X4734" s="453">
        <v>1</v>
      </c>
      <c r="Y4734" s="453"/>
      <c r="Z4734" s="453"/>
      <c r="AA4734" s="2243">
        <v>2</v>
      </c>
    </row>
    <row r="4735" spans="1:27" x14ac:dyDescent="0.2">
      <c r="A4735" s="3615"/>
      <c r="B4735" s="3589"/>
      <c r="C4735" s="3594"/>
      <c r="D4735" s="3563"/>
      <c r="E4735" s="3563"/>
      <c r="F4735" s="3563"/>
      <c r="G4735" s="3563"/>
      <c r="H4735" s="3600"/>
      <c r="I4735" s="3600"/>
      <c r="J4735" s="3106"/>
      <c r="K4735" s="3621"/>
      <c r="L4735" s="3106"/>
      <c r="M4735" s="2999" t="s">
        <v>111</v>
      </c>
      <c r="N4735" s="2999"/>
      <c r="O4735" s="491">
        <f>SUM(O4736:O4737)</f>
        <v>0</v>
      </c>
      <c r="P4735" s="491">
        <f t="shared" ref="P4735:AA4735" si="788">SUM(P4736:P4737)</f>
        <v>0</v>
      </c>
      <c r="Q4735" s="491">
        <f t="shared" si="788"/>
        <v>0</v>
      </c>
      <c r="R4735" s="491">
        <f t="shared" si="788"/>
        <v>750</v>
      </c>
      <c r="S4735" s="491">
        <f t="shared" si="788"/>
        <v>0</v>
      </c>
      <c r="T4735" s="491">
        <f t="shared" si="788"/>
        <v>0</v>
      </c>
      <c r="U4735" s="491">
        <f t="shared" si="788"/>
        <v>0</v>
      </c>
      <c r="V4735" s="491">
        <f t="shared" si="788"/>
        <v>0</v>
      </c>
      <c r="W4735" s="491">
        <f t="shared" si="788"/>
        <v>0</v>
      </c>
      <c r="X4735" s="491">
        <f t="shared" si="788"/>
        <v>750</v>
      </c>
      <c r="Y4735" s="491">
        <f t="shared" si="788"/>
        <v>0</v>
      </c>
      <c r="Z4735" s="491">
        <f t="shared" si="788"/>
        <v>0</v>
      </c>
      <c r="AA4735" s="2251">
        <f t="shared" si="788"/>
        <v>1500</v>
      </c>
    </row>
    <row r="4736" spans="1:27" x14ac:dyDescent="0.2">
      <c r="A4736" s="3615"/>
      <c r="B4736" s="3589"/>
      <c r="C4736" s="3594"/>
      <c r="D4736" s="3563"/>
      <c r="E4736" s="3563"/>
      <c r="F4736" s="3563"/>
      <c r="G4736" s="3563"/>
      <c r="H4736" s="3600"/>
      <c r="I4736" s="3600"/>
      <c r="J4736" s="3106"/>
      <c r="K4736" s="3621"/>
      <c r="L4736" s="3106"/>
      <c r="M4736" s="1952" t="s">
        <v>1883</v>
      </c>
      <c r="N4736" s="1952" t="s">
        <v>1884</v>
      </c>
      <c r="O4736" s="491"/>
      <c r="P4736" s="491"/>
      <c r="Q4736" s="491"/>
      <c r="R4736" s="491">
        <v>500</v>
      </c>
      <c r="S4736" s="491"/>
      <c r="T4736" s="491"/>
      <c r="U4736" s="491"/>
      <c r="V4736" s="453"/>
      <c r="W4736" s="453"/>
      <c r="X4736" s="491">
        <v>500</v>
      </c>
      <c r="Y4736" s="453"/>
      <c r="Z4736" s="453"/>
      <c r="AA4736" s="2246">
        <f>SUM(O4736:Z4736)</f>
        <v>1000</v>
      </c>
    </row>
    <row r="4737" spans="1:27" ht="22.5" x14ac:dyDescent="0.2">
      <c r="A4737" s="3615"/>
      <c r="B4737" s="3589"/>
      <c r="C4737" s="3594"/>
      <c r="D4737" s="3563"/>
      <c r="E4737" s="3563"/>
      <c r="F4737" s="3563"/>
      <c r="G4737" s="3563"/>
      <c r="H4737" s="3600" t="s">
        <v>1921</v>
      </c>
      <c r="I4737" s="3600" t="s">
        <v>1860</v>
      </c>
      <c r="J4737" s="3106">
        <v>3</v>
      </c>
      <c r="K4737" s="3621"/>
      <c r="L4737" s="3106"/>
      <c r="M4737" s="1952" t="s">
        <v>200</v>
      </c>
      <c r="N4737" s="1952" t="s">
        <v>1894</v>
      </c>
      <c r="O4737" s="491"/>
      <c r="P4737" s="491"/>
      <c r="Q4737" s="491"/>
      <c r="R4737" s="491">
        <v>250</v>
      </c>
      <c r="S4737" s="491"/>
      <c r="T4737" s="491"/>
      <c r="U4737" s="491"/>
      <c r="V4737" s="491"/>
      <c r="W4737" s="491"/>
      <c r="X4737" s="491">
        <v>250</v>
      </c>
      <c r="Y4737" s="491"/>
      <c r="Z4737" s="491"/>
      <c r="AA4737" s="2246">
        <f>SUM(O4737:Z4737)</f>
        <v>500</v>
      </c>
    </row>
    <row r="4738" spans="1:27" x14ac:dyDescent="0.2">
      <c r="A4738" s="3615"/>
      <c r="B4738" s="3589">
        <v>5.4</v>
      </c>
      <c r="C4738" s="3594" t="s">
        <v>1929</v>
      </c>
      <c r="D4738" s="3563" t="s">
        <v>1857</v>
      </c>
      <c r="E4738" s="3563" t="s">
        <v>1857</v>
      </c>
      <c r="F4738" s="3563" t="s">
        <v>1858</v>
      </c>
      <c r="G4738" s="3563" t="s">
        <v>1859</v>
      </c>
      <c r="H4738" s="3600" t="s">
        <v>1930</v>
      </c>
      <c r="I4738" s="3600" t="s">
        <v>1860</v>
      </c>
      <c r="J4738" s="3106">
        <v>3</v>
      </c>
      <c r="K4738" s="3623">
        <f>AA4739</f>
        <v>420</v>
      </c>
      <c r="L4738" s="3106" t="s">
        <v>1866</v>
      </c>
      <c r="M4738" s="2999" t="s">
        <v>51</v>
      </c>
      <c r="N4738" s="2999"/>
      <c r="O4738" s="491"/>
      <c r="P4738" s="491">
        <v>1</v>
      </c>
      <c r="Q4738" s="491"/>
      <c r="R4738" s="491"/>
      <c r="S4738" s="491"/>
      <c r="T4738" s="491">
        <v>1</v>
      </c>
      <c r="U4738" s="491"/>
      <c r="V4738" s="453"/>
      <c r="W4738" s="453"/>
      <c r="X4738" s="453">
        <v>1</v>
      </c>
      <c r="Y4738" s="453"/>
      <c r="Z4738" s="453"/>
      <c r="AA4738" s="2243">
        <v>3</v>
      </c>
    </row>
    <row r="4739" spans="1:27" x14ac:dyDescent="0.2">
      <c r="A4739" s="3615"/>
      <c r="B4739" s="3589"/>
      <c r="C4739" s="3594"/>
      <c r="D4739" s="3563"/>
      <c r="E4739" s="3563"/>
      <c r="F4739" s="3563"/>
      <c r="G4739" s="3563"/>
      <c r="H4739" s="3600"/>
      <c r="I4739" s="3600"/>
      <c r="J4739" s="3106"/>
      <c r="K4739" s="3623"/>
      <c r="L4739" s="3106"/>
      <c r="M4739" s="2999" t="s">
        <v>111</v>
      </c>
      <c r="N4739" s="2999"/>
      <c r="O4739" s="491">
        <f>SUM(O4740:O4741)</f>
        <v>0</v>
      </c>
      <c r="P4739" s="491">
        <f t="shared" ref="P4739:AA4739" si="789">SUM(P4740:P4741)</f>
        <v>140</v>
      </c>
      <c r="Q4739" s="491">
        <f t="shared" si="789"/>
        <v>0</v>
      </c>
      <c r="R4739" s="491"/>
      <c r="S4739" s="491">
        <f t="shared" si="789"/>
        <v>0</v>
      </c>
      <c r="T4739" s="491">
        <f t="shared" si="789"/>
        <v>140</v>
      </c>
      <c r="U4739" s="491">
        <f t="shared" si="789"/>
        <v>0</v>
      </c>
      <c r="V4739" s="491"/>
      <c r="W4739" s="491">
        <f t="shared" si="789"/>
        <v>0</v>
      </c>
      <c r="X4739" s="491">
        <f t="shared" si="789"/>
        <v>140</v>
      </c>
      <c r="Y4739" s="491">
        <f t="shared" si="789"/>
        <v>0</v>
      </c>
      <c r="Z4739" s="491"/>
      <c r="AA4739" s="2251">
        <f t="shared" si="789"/>
        <v>420</v>
      </c>
    </row>
    <row r="4740" spans="1:27" ht="22.5" x14ac:dyDescent="0.2">
      <c r="A4740" s="3615"/>
      <c r="B4740" s="3589"/>
      <c r="C4740" s="3594"/>
      <c r="D4740" s="3563"/>
      <c r="E4740" s="3563"/>
      <c r="F4740" s="3563"/>
      <c r="G4740" s="3563"/>
      <c r="H4740" s="3600"/>
      <c r="I4740" s="3600"/>
      <c r="J4740" s="3106"/>
      <c r="K4740" s="3623"/>
      <c r="L4740" s="3106"/>
      <c r="M4740" s="1952" t="s">
        <v>194</v>
      </c>
      <c r="N4740" s="1952" t="s">
        <v>1880</v>
      </c>
      <c r="O4740" s="491"/>
      <c r="P4740" s="491">
        <v>140</v>
      </c>
      <c r="Q4740" s="491"/>
      <c r="R4740" s="491"/>
      <c r="S4740" s="491"/>
      <c r="T4740" s="491">
        <v>140</v>
      </c>
      <c r="U4740" s="491"/>
      <c r="V4740" s="453"/>
      <c r="W4740" s="453"/>
      <c r="X4740" s="453">
        <v>140</v>
      </c>
      <c r="Y4740" s="453"/>
      <c r="Z4740" s="453"/>
      <c r="AA4740" s="2246">
        <f>SUM(O4740:Z4740)</f>
        <v>420</v>
      </c>
    </row>
    <row r="4741" spans="1:27" x14ac:dyDescent="0.2">
      <c r="A4741" s="3615"/>
      <c r="B4741" s="3589"/>
      <c r="C4741" s="3594"/>
      <c r="D4741" s="3563"/>
      <c r="E4741" s="3563"/>
      <c r="F4741" s="3563"/>
      <c r="G4741" s="3563"/>
      <c r="H4741" s="3600"/>
      <c r="I4741" s="3600"/>
      <c r="J4741" s="3106"/>
      <c r="K4741" s="3623"/>
      <c r="L4741" s="3106"/>
      <c r="M4741" s="1952" t="s">
        <v>541</v>
      </c>
      <c r="N4741" s="1952" t="s">
        <v>1881</v>
      </c>
      <c r="O4741" s="491"/>
      <c r="P4741" s="491"/>
      <c r="Q4741" s="491"/>
      <c r="R4741" s="491"/>
      <c r="S4741" s="491"/>
      <c r="T4741" s="491"/>
      <c r="U4741" s="491"/>
      <c r="V4741" s="453"/>
      <c r="W4741" s="453"/>
      <c r="X4741" s="453"/>
      <c r="Y4741" s="453"/>
      <c r="Z4741" s="453"/>
      <c r="AA4741" s="2246">
        <f>SUM(O4741:Z4741)</f>
        <v>0</v>
      </c>
    </row>
    <row r="4742" spans="1:27" x14ac:dyDescent="0.2">
      <c r="A4742" s="3615"/>
      <c r="B4742" s="3589">
        <v>5.5</v>
      </c>
      <c r="C4742" s="3594" t="s">
        <v>1931</v>
      </c>
      <c r="D4742" s="3563" t="s">
        <v>1857</v>
      </c>
      <c r="E4742" s="3563" t="s">
        <v>1857</v>
      </c>
      <c r="F4742" s="3563" t="s">
        <v>1932</v>
      </c>
      <c r="G4742" s="3563" t="s">
        <v>1859</v>
      </c>
      <c r="H4742" s="3600" t="s">
        <v>1933</v>
      </c>
      <c r="I4742" s="3600" t="s">
        <v>1958</v>
      </c>
      <c r="J4742" s="3106">
        <v>1</v>
      </c>
      <c r="K4742" s="3623">
        <v>0</v>
      </c>
      <c r="L4742" s="3106" t="s">
        <v>1866</v>
      </c>
      <c r="M4742" s="2999" t="s">
        <v>51</v>
      </c>
      <c r="N4742" s="2999"/>
      <c r="O4742" s="491"/>
      <c r="P4742" s="491">
        <v>1</v>
      </c>
      <c r="Q4742" s="491"/>
      <c r="R4742" s="491"/>
      <c r="S4742" s="491"/>
      <c r="T4742" s="491"/>
      <c r="U4742" s="491"/>
      <c r="V4742" s="453"/>
      <c r="W4742" s="453"/>
      <c r="X4742" s="453"/>
      <c r="Y4742" s="453"/>
      <c r="Z4742" s="453"/>
      <c r="AA4742" s="2243">
        <v>1</v>
      </c>
    </row>
    <row r="4743" spans="1:27" x14ac:dyDescent="0.2">
      <c r="A4743" s="3615"/>
      <c r="B4743" s="3589"/>
      <c r="C4743" s="3594"/>
      <c r="D4743" s="3563"/>
      <c r="E4743" s="3563"/>
      <c r="F4743" s="3563"/>
      <c r="G4743" s="3563"/>
      <c r="H4743" s="3600"/>
      <c r="I4743" s="3600"/>
      <c r="J4743" s="3106"/>
      <c r="K4743" s="3623"/>
      <c r="L4743" s="3106"/>
      <c r="M4743" s="2999" t="s">
        <v>111</v>
      </c>
      <c r="N4743" s="2999"/>
      <c r="O4743" s="491">
        <f>SUM(O4744:O4745)</f>
        <v>0</v>
      </c>
      <c r="P4743" s="491">
        <f t="shared" ref="P4743:AA4743" si="790">SUM(P4744:P4745)</f>
        <v>0</v>
      </c>
      <c r="Q4743" s="491"/>
      <c r="R4743" s="491"/>
      <c r="S4743" s="491">
        <f t="shared" si="790"/>
        <v>0</v>
      </c>
      <c r="T4743" s="491">
        <f t="shared" si="790"/>
        <v>0</v>
      </c>
      <c r="U4743" s="491">
        <f t="shared" si="790"/>
        <v>0</v>
      </c>
      <c r="V4743" s="491">
        <f t="shared" si="790"/>
        <v>0</v>
      </c>
      <c r="W4743" s="491">
        <f t="shared" si="790"/>
        <v>0</v>
      </c>
      <c r="X4743" s="491">
        <f t="shared" si="790"/>
        <v>0</v>
      </c>
      <c r="Y4743" s="491">
        <f t="shared" si="790"/>
        <v>0</v>
      </c>
      <c r="Z4743" s="491">
        <f t="shared" si="790"/>
        <v>0</v>
      </c>
      <c r="AA4743" s="2251">
        <f t="shared" si="790"/>
        <v>0</v>
      </c>
    </row>
    <row r="4744" spans="1:27" ht="22.5" x14ac:dyDescent="0.2">
      <c r="A4744" s="3615"/>
      <c r="B4744" s="3589"/>
      <c r="C4744" s="3594"/>
      <c r="D4744" s="3563"/>
      <c r="E4744" s="3563"/>
      <c r="F4744" s="3563"/>
      <c r="G4744" s="3563"/>
      <c r="H4744" s="3600"/>
      <c r="I4744" s="3600"/>
      <c r="J4744" s="3106"/>
      <c r="K4744" s="3623"/>
      <c r="L4744" s="3106"/>
      <c r="M4744" s="338" t="s">
        <v>1452</v>
      </c>
      <c r="N4744" s="338" t="s">
        <v>1867</v>
      </c>
      <c r="O4744" s="491"/>
      <c r="P4744" s="491"/>
      <c r="Q4744" s="491"/>
      <c r="R4744" s="491"/>
      <c r="S4744" s="491"/>
      <c r="T4744" s="491"/>
      <c r="U4744" s="491"/>
      <c r="V4744" s="453"/>
      <c r="W4744" s="453"/>
      <c r="X4744" s="453"/>
      <c r="Y4744" s="453"/>
      <c r="Z4744" s="453"/>
      <c r="AA4744" s="2246">
        <f>SUM(O4744:Z4744)</f>
        <v>0</v>
      </c>
    </row>
    <row r="4745" spans="1:27" ht="22.5" x14ac:dyDescent="0.2">
      <c r="A4745" s="3615"/>
      <c r="B4745" s="3589"/>
      <c r="C4745" s="3594"/>
      <c r="D4745" s="3563"/>
      <c r="E4745" s="3563"/>
      <c r="F4745" s="3563"/>
      <c r="G4745" s="3563"/>
      <c r="H4745" s="3600"/>
      <c r="I4745" s="3600"/>
      <c r="J4745" s="3106"/>
      <c r="K4745" s="3623"/>
      <c r="L4745" s="3106"/>
      <c r="M4745" s="338" t="s">
        <v>200</v>
      </c>
      <c r="N4745" s="338" t="s">
        <v>1509</v>
      </c>
      <c r="O4745" s="491"/>
      <c r="P4745" s="491"/>
      <c r="Q4745" s="491"/>
      <c r="R4745" s="491"/>
      <c r="S4745" s="491"/>
      <c r="T4745" s="491"/>
      <c r="U4745" s="491"/>
      <c r="V4745" s="453"/>
      <c r="W4745" s="453"/>
      <c r="X4745" s="453"/>
      <c r="Y4745" s="453"/>
      <c r="Z4745" s="453"/>
      <c r="AA4745" s="2246">
        <f>SUM(O4745:Z4745)</f>
        <v>0</v>
      </c>
    </row>
    <row r="4746" spans="1:27" x14ac:dyDescent="0.2">
      <c r="A4746" s="3615"/>
      <c r="B4746" s="3589">
        <v>5.6</v>
      </c>
      <c r="C4746" s="3594" t="s">
        <v>1935</v>
      </c>
      <c r="D4746" s="3563" t="s">
        <v>1857</v>
      </c>
      <c r="E4746" s="3563" t="s">
        <v>1857</v>
      </c>
      <c r="F4746" s="3563" t="s">
        <v>1858</v>
      </c>
      <c r="G4746" s="3563" t="s">
        <v>1859</v>
      </c>
      <c r="H4746" s="3600" t="s">
        <v>1936</v>
      </c>
      <c r="I4746" s="3600" t="s">
        <v>1957</v>
      </c>
      <c r="J4746" s="3106">
        <v>1</v>
      </c>
      <c r="K4746" s="3623">
        <f>AA4747</f>
        <v>1500</v>
      </c>
      <c r="L4746" s="3106" t="s">
        <v>1866</v>
      </c>
      <c r="M4746" s="2999" t="s">
        <v>51</v>
      </c>
      <c r="N4746" s="2999"/>
      <c r="O4746" s="491"/>
      <c r="P4746" s="491">
        <v>1</v>
      </c>
      <c r="Q4746" s="491"/>
      <c r="R4746" s="491"/>
      <c r="S4746" s="491"/>
      <c r="T4746" s="491"/>
      <c r="U4746" s="491"/>
      <c r="V4746" s="453"/>
      <c r="W4746" s="453"/>
      <c r="X4746" s="453"/>
      <c r="Y4746" s="453"/>
      <c r="Z4746" s="453"/>
      <c r="AA4746" s="2243">
        <f>SUM(O4746:Z4746)</f>
        <v>1</v>
      </c>
    </row>
    <row r="4747" spans="1:27" x14ac:dyDescent="0.2">
      <c r="A4747" s="3615"/>
      <c r="B4747" s="3589"/>
      <c r="C4747" s="3594"/>
      <c r="D4747" s="3563"/>
      <c r="E4747" s="3563"/>
      <c r="F4747" s="3563"/>
      <c r="G4747" s="3563"/>
      <c r="H4747" s="3600"/>
      <c r="I4747" s="3600"/>
      <c r="J4747" s="3106"/>
      <c r="K4747" s="3623"/>
      <c r="L4747" s="3106"/>
      <c r="M4747" s="2999" t="s">
        <v>111</v>
      </c>
      <c r="N4747" s="2999"/>
      <c r="O4747" s="491"/>
      <c r="P4747" s="491">
        <f>SUM(P4748:P4749)</f>
        <v>1500</v>
      </c>
      <c r="Q4747" s="491">
        <f t="shared" ref="Q4747:AA4747" si="791">SUM(Q4748:Q4749)</f>
        <v>0</v>
      </c>
      <c r="R4747" s="491">
        <f t="shared" si="791"/>
        <v>0</v>
      </c>
      <c r="S4747" s="491"/>
      <c r="T4747" s="491">
        <f t="shared" si="791"/>
        <v>0</v>
      </c>
      <c r="U4747" s="491">
        <f t="shared" si="791"/>
        <v>0</v>
      </c>
      <c r="V4747" s="491">
        <f t="shared" si="791"/>
        <v>0</v>
      </c>
      <c r="W4747" s="491">
        <f t="shared" si="791"/>
        <v>0</v>
      </c>
      <c r="X4747" s="491">
        <f t="shared" si="791"/>
        <v>0</v>
      </c>
      <c r="Y4747" s="491">
        <f t="shared" si="791"/>
        <v>0</v>
      </c>
      <c r="Z4747" s="491">
        <f t="shared" si="791"/>
        <v>0</v>
      </c>
      <c r="AA4747" s="2251">
        <f t="shared" si="791"/>
        <v>1500</v>
      </c>
    </row>
    <row r="4748" spans="1:27" ht="22.5" x14ac:dyDescent="0.2">
      <c r="A4748" s="3615"/>
      <c r="B4748" s="3589"/>
      <c r="C4748" s="3594"/>
      <c r="D4748" s="3563"/>
      <c r="E4748" s="3563"/>
      <c r="F4748" s="3563"/>
      <c r="G4748" s="3563"/>
      <c r="H4748" s="3600"/>
      <c r="I4748" s="3600"/>
      <c r="J4748" s="3106"/>
      <c r="K4748" s="3623"/>
      <c r="L4748" s="3106"/>
      <c r="M4748" s="338" t="s">
        <v>1452</v>
      </c>
      <c r="N4748" s="338" t="s">
        <v>1867</v>
      </c>
      <c r="O4748" s="491"/>
      <c r="P4748" s="491">
        <v>500</v>
      </c>
      <c r="Q4748" s="491"/>
      <c r="R4748" s="491"/>
      <c r="S4748" s="491"/>
      <c r="T4748" s="491"/>
      <c r="U4748" s="491"/>
      <c r="V4748" s="453"/>
      <c r="W4748" s="453"/>
      <c r="X4748" s="453"/>
      <c r="Y4748" s="453"/>
      <c r="Z4748" s="453"/>
      <c r="AA4748" s="2246">
        <f>SUM(O4748:Z4748)</f>
        <v>500</v>
      </c>
    </row>
    <row r="4749" spans="1:27" ht="22.5" x14ac:dyDescent="0.2">
      <c r="A4749" s="3615"/>
      <c r="B4749" s="3589"/>
      <c r="C4749" s="3594"/>
      <c r="D4749" s="3563"/>
      <c r="E4749" s="3563"/>
      <c r="F4749" s="3563"/>
      <c r="G4749" s="3563"/>
      <c r="H4749" s="3600" t="s">
        <v>1938</v>
      </c>
      <c r="I4749" s="3600" t="s">
        <v>1937</v>
      </c>
      <c r="J4749" s="3106">
        <v>2</v>
      </c>
      <c r="K4749" s="3623"/>
      <c r="L4749" s="3106"/>
      <c r="M4749" s="338" t="s">
        <v>200</v>
      </c>
      <c r="N4749" s="338" t="s">
        <v>1509</v>
      </c>
      <c r="O4749" s="491"/>
      <c r="P4749" s="491">
        <v>1000</v>
      </c>
      <c r="Q4749" s="491"/>
      <c r="R4749" s="491"/>
      <c r="S4749" s="491"/>
      <c r="T4749" s="491"/>
      <c r="U4749" s="491"/>
      <c r="V4749" s="491"/>
      <c r="W4749" s="491"/>
      <c r="X4749" s="491"/>
      <c r="Y4749" s="491"/>
      <c r="Z4749" s="491"/>
      <c r="AA4749" s="2246">
        <f>SUM(O4749:Z4749)</f>
        <v>1000</v>
      </c>
    </row>
    <row r="4750" spans="1:27" x14ac:dyDescent="0.2">
      <c r="A4750" s="3615" t="s">
        <v>1939</v>
      </c>
      <c r="B4750" s="3589">
        <v>6.1</v>
      </c>
      <c r="C4750" s="3594" t="s">
        <v>1940</v>
      </c>
      <c r="D4750" s="3563" t="s">
        <v>1857</v>
      </c>
      <c r="E4750" s="3563" t="s">
        <v>1857</v>
      </c>
      <c r="F4750" s="3563" t="s">
        <v>1858</v>
      </c>
      <c r="G4750" s="3563" t="s">
        <v>1859</v>
      </c>
      <c r="H4750" s="3600" t="s">
        <v>1959</v>
      </c>
      <c r="I4750" s="3600" t="s">
        <v>156</v>
      </c>
      <c r="J4750" s="3106">
        <v>24</v>
      </c>
      <c r="K4750" s="3623">
        <f>+AA4752+AA4753</f>
        <v>62560.800000000003</v>
      </c>
      <c r="L4750" s="3106" t="s">
        <v>1866</v>
      </c>
      <c r="M4750" s="2999" t="s">
        <v>51</v>
      </c>
      <c r="N4750" s="2999"/>
      <c r="O4750" s="490">
        <v>2</v>
      </c>
      <c r="P4750" s="490">
        <v>2</v>
      </c>
      <c r="Q4750" s="490">
        <v>2</v>
      </c>
      <c r="R4750" s="490">
        <v>2</v>
      </c>
      <c r="S4750" s="490">
        <v>2</v>
      </c>
      <c r="T4750" s="490">
        <v>2</v>
      </c>
      <c r="U4750" s="490">
        <v>2</v>
      </c>
      <c r="V4750" s="490">
        <v>2</v>
      </c>
      <c r="W4750" s="490">
        <v>2</v>
      </c>
      <c r="X4750" s="490">
        <v>2</v>
      </c>
      <c r="Y4750" s="490">
        <v>2</v>
      </c>
      <c r="Z4750" s="490">
        <v>2</v>
      </c>
      <c r="AA4750" s="2246">
        <f>SUM(O4750:Z4750)</f>
        <v>24</v>
      </c>
    </row>
    <row r="4751" spans="1:27" x14ac:dyDescent="0.2">
      <c r="A4751" s="3615"/>
      <c r="B4751" s="3589"/>
      <c r="C4751" s="3594"/>
      <c r="D4751" s="3563"/>
      <c r="E4751" s="3563"/>
      <c r="F4751" s="3563"/>
      <c r="G4751" s="3563"/>
      <c r="H4751" s="3600"/>
      <c r="I4751" s="3600"/>
      <c r="J4751" s="3106"/>
      <c r="K4751" s="3623"/>
      <c r="L4751" s="3106"/>
      <c r="M4751" s="2999" t="s">
        <v>111</v>
      </c>
      <c r="N4751" s="2999"/>
      <c r="O4751" s="490">
        <f>SUM(O4752:O4755)</f>
        <v>5007.8999999999996</v>
      </c>
      <c r="P4751" s="490">
        <f t="shared" ref="P4751:Z4751" si="792">SUM(P4752:P4755)</f>
        <v>5008.8999999999996</v>
      </c>
      <c r="Q4751" s="490">
        <f t="shared" si="792"/>
        <v>5009.8999999999996</v>
      </c>
      <c r="R4751" s="490">
        <f t="shared" si="792"/>
        <v>5010.8999999999996</v>
      </c>
      <c r="S4751" s="490">
        <f t="shared" si="792"/>
        <v>5011.8999999999996</v>
      </c>
      <c r="T4751" s="490">
        <f t="shared" si="792"/>
        <v>5012.8999999999996</v>
      </c>
      <c r="U4751" s="490">
        <f t="shared" si="792"/>
        <v>6213.9</v>
      </c>
      <c r="V4751" s="490">
        <f t="shared" si="792"/>
        <v>5014.8999999999996</v>
      </c>
      <c r="W4751" s="490">
        <f t="shared" si="792"/>
        <v>5015.8999999999996</v>
      </c>
      <c r="X4751" s="490">
        <f t="shared" si="792"/>
        <v>5016.8999999999996</v>
      </c>
      <c r="Y4751" s="490">
        <f t="shared" si="792"/>
        <v>5017.8999999999996</v>
      </c>
      <c r="Z4751" s="490">
        <f t="shared" si="792"/>
        <v>6218.9</v>
      </c>
      <c r="AA4751" s="2246">
        <f>SUM(AA4752:AA4755)</f>
        <v>62560.800000000003</v>
      </c>
    </row>
    <row r="4752" spans="1:27" ht="33.75" x14ac:dyDescent="0.2">
      <c r="A4752" s="3615"/>
      <c r="B4752" s="3589"/>
      <c r="C4752" s="3594"/>
      <c r="D4752" s="3563"/>
      <c r="E4752" s="3563"/>
      <c r="F4752" s="3563"/>
      <c r="G4752" s="3563"/>
      <c r="H4752" s="3600"/>
      <c r="I4752" s="3600"/>
      <c r="J4752" s="3106"/>
      <c r="K4752" s="3623"/>
      <c r="L4752" s="3106"/>
      <c r="M4752" s="1951" t="s">
        <v>208</v>
      </c>
      <c r="N4752" s="1955" t="s">
        <v>1942</v>
      </c>
      <c r="O4752" s="490">
        <v>4800</v>
      </c>
      <c r="P4752" s="490">
        <v>4800</v>
      </c>
      <c r="Q4752" s="490">
        <v>4800</v>
      </c>
      <c r="R4752" s="490">
        <v>4800</v>
      </c>
      <c r="S4752" s="490">
        <v>4800</v>
      </c>
      <c r="T4752" s="490">
        <v>4800</v>
      </c>
      <c r="U4752" s="490">
        <v>6000</v>
      </c>
      <c r="V4752" s="490">
        <v>4800</v>
      </c>
      <c r="W4752" s="490">
        <v>4800</v>
      </c>
      <c r="X4752" s="490">
        <v>4800</v>
      </c>
      <c r="Y4752" s="490">
        <v>4800</v>
      </c>
      <c r="Z4752" s="490">
        <v>6000</v>
      </c>
      <c r="AA4752" s="2246">
        <f>SUM(O4752:Z4752)</f>
        <v>60000</v>
      </c>
    </row>
    <row r="4753" spans="1:27" x14ac:dyDescent="0.2">
      <c r="A4753" s="3615"/>
      <c r="B4753" s="3589">
        <v>6.2</v>
      </c>
      <c r="C4753" s="3594" t="s">
        <v>1944</v>
      </c>
      <c r="D4753" s="3563" t="s">
        <v>1857</v>
      </c>
      <c r="E4753" s="3563" t="s">
        <v>1857</v>
      </c>
      <c r="F4753" s="3563" t="s">
        <v>1858</v>
      </c>
      <c r="G4753" s="3563" t="s">
        <v>1859</v>
      </c>
      <c r="H4753" s="3600" t="s">
        <v>1945</v>
      </c>
      <c r="I4753" s="3600" t="s">
        <v>156</v>
      </c>
      <c r="J4753" s="3106">
        <v>24</v>
      </c>
      <c r="K4753" s="3623"/>
      <c r="L4753" s="3106" t="s">
        <v>1866</v>
      </c>
      <c r="M4753" s="3601" t="s">
        <v>1847</v>
      </c>
      <c r="N4753" s="3609" t="s">
        <v>1848</v>
      </c>
      <c r="O4753" s="3053">
        <v>207.9</v>
      </c>
      <c r="P4753" s="3053">
        <v>208.9</v>
      </c>
      <c r="Q4753" s="3053">
        <v>209.9</v>
      </c>
      <c r="R4753" s="3053">
        <v>210.9</v>
      </c>
      <c r="S4753" s="3053">
        <v>211.9</v>
      </c>
      <c r="T4753" s="3053">
        <v>212.9</v>
      </c>
      <c r="U4753" s="3053">
        <v>213.9</v>
      </c>
      <c r="V4753" s="3053">
        <v>214.9</v>
      </c>
      <c r="W4753" s="3053">
        <v>215.9</v>
      </c>
      <c r="X4753" s="3053">
        <v>216.9</v>
      </c>
      <c r="Y4753" s="3053">
        <v>217.9</v>
      </c>
      <c r="Z4753" s="3053">
        <v>218.9</v>
      </c>
      <c r="AA4753" s="3626">
        <f>SUM(O4753:Z4755)</f>
        <v>2560.8000000000006</v>
      </c>
    </row>
    <row r="4754" spans="1:27" x14ac:dyDescent="0.2">
      <c r="A4754" s="3615"/>
      <c r="B4754" s="3589"/>
      <c r="C4754" s="3594"/>
      <c r="D4754" s="3563"/>
      <c r="E4754" s="3563"/>
      <c r="F4754" s="3563"/>
      <c r="G4754" s="3563"/>
      <c r="H4754" s="3600"/>
      <c r="I4754" s="3600"/>
      <c r="J4754" s="3106"/>
      <c r="K4754" s="3623"/>
      <c r="L4754" s="3106"/>
      <c r="M4754" s="3601"/>
      <c r="N4754" s="3609"/>
      <c r="O4754" s="3053"/>
      <c r="P4754" s="3053"/>
      <c r="Q4754" s="3053"/>
      <c r="R4754" s="3053"/>
      <c r="S4754" s="3053"/>
      <c r="T4754" s="3053"/>
      <c r="U4754" s="3053"/>
      <c r="V4754" s="3053"/>
      <c r="W4754" s="3053"/>
      <c r="X4754" s="3053"/>
      <c r="Y4754" s="3053"/>
      <c r="Z4754" s="3053"/>
      <c r="AA4754" s="3626"/>
    </row>
    <row r="4755" spans="1:27" x14ac:dyDescent="0.2">
      <c r="A4755" s="3615"/>
      <c r="B4755" s="3589"/>
      <c r="C4755" s="3594"/>
      <c r="D4755" s="3563"/>
      <c r="E4755" s="3563"/>
      <c r="F4755" s="3563"/>
      <c r="G4755" s="3563"/>
      <c r="H4755" s="3600"/>
      <c r="I4755" s="3600"/>
      <c r="J4755" s="3106"/>
      <c r="K4755" s="3623"/>
      <c r="L4755" s="3106"/>
      <c r="M4755" s="3601"/>
      <c r="N4755" s="3609"/>
      <c r="O4755" s="3053"/>
      <c r="P4755" s="3053"/>
      <c r="Q4755" s="3053"/>
      <c r="R4755" s="3053"/>
      <c r="S4755" s="3053"/>
      <c r="T4755" s="3053"/>
      <c r="U4755" s="3053"/>
      <c r="V4755" s="3053"/>
      <c r="W4755" s="3053"/>
      <c r="X4755" s="3053"/>
      <c r="Y4755" s="3053"/>
      <c r="Z4755" s="3053"/>
      <c r="AA4755" s="3626"/>
    </row>
    <row r="4756" spans="1:27" x14ac:dyDescent="0.2">
      <c r="A4756" s="38"/>
      <c r="B4756" s="38"/>
      <c r="C4756" s="38"/>
      <c r="D4756" s="38"/>
      <c r="E4756" s="38"/>
      <c r="F4756" s="38"/>
      <c r="G4756" s="38"/>
      <c r="H4756" s="38"/>
      <c r="I4756" s="38"/>
      <c r="J4756" s="38"/>
      <c r="K4756" s="47"/>
      <c r="L4756" s="38"/>
      <c r="M4756" s="38"/>
      <c r="N4756" s="38"/>
      <c r="O4756" s="38"/>
      <c r="P4756" s="38"/>
      <c r="Q4756" s="38"/>
      <c r="R4756" s="38"/>
      <c r="S4756" s="38"/>
      <c r="T4756" s="38"/>
      <c r="U4756" s="38"/>
      <c r="V4756" s="38"/>
      <c r="W4756" s="38"/>
      <c r="X4756" s="38"/>
      <c r="Y4756" s="38"/>
      <c r="Z4756" s="38"/>
      <c r="AA4756" s="499"/>
    </row>
    <row r="4757" spans="1:27" ht="22.5" x14ac:dyDescent="0.2">
      <c r="A4757" s="38"/>
      <c r="B4757" s="470" t="s">
        <v>6</v>
      </c>
      <c r="C4757" s="2522" t="s">
        <v>1946</v>
      </c>
      <c r="D4757" s="2522"/>
      <c r="E4757" s="2522"/>
      <c r="F4757" s="2522"/>
      <c r="G4757" s="2522"/>
      <c r="H4757" s="2522"/>
      <c r="I4757" s="2522"/>
      <c r="J4757" s="2522"/>
      <c r="K4757" s="2522"/>
      <c r="L4757" s="2522"/>
      <c r="M4757" s="2522"/>
      <c r="N4757" s="2522"/>
      <c r="O4757" s="2522"/>
      <c r="P4757" s="2522"/>
      <c r="Q4757" s="2522"/>
      <c r="R4757" s="2522"/>
      <c r="S4757" s="2522"/>
      <c r="T4757" s="2522"/>
      <c r="U4757" s="2522"/>
      <c r="V4757" s="2522"/>
      <c r="W4757" s="2522"/>
      <c r="X4757" s="2522"/>
      <c r="Y4757" s="2522"/>
      <c r="Z4757" s="2522"/>
      <c r="AA4757" s="2522"/>
    </row>
    <row r="4758" spans="1:27" x14ac:dyDescent="0.2">
      <c r="A4758" s="38"/>
      <c r="B4758" s="77" t="s">
        <v>8</v>
      </c>
      <c r="C4758" s="3599" t="s">
        <v>1803</v>
      </c>
      <c r="D4758" s="3599"/>
      <c r="E4758" s="3599"/>
      <c r="F4758" s="3599"/>
      <c r="G4758" s="3599"/>
      <c r="H4758" s="3599"/>
      <c r="I4758" s="3599"/>
      <c r="J4758" s="3599"/>
      <c r="K4758" s="3599"/>
      <c r="L4758" s="3599"/>
      <c r="M4758" s="3599"/>
      <c r="N4758" s="3599"/>
      <c r="O4758" s="3599"/>
      <c r="P4758" s="3599"/>
      <c r="Q4758" s="3599"/>
      <c r="R4758" s="3599"/>
      <c r="S4758" s="3599"/>
      <c r="T4758" s="3599"/>
      <c r="U4758" s="3599"/>
      <c r="V4758" s="3599"/>
      <c r="W4758" s="3599"/>
      <c r="X4758" s="3599"/>
      <c r="Y4758" s="3599"/>
      <c r="Z4758" s="3599"/>
      <c r="AA4758" s="3599"/>
    </row>
    <row r="4759" spans="1:27" ht="22.5" x14ac:dyDescent="0.2">
      <c r="A4759" s="38"/>
      <c r="B4759" s="470" t="s">
        <v>11</v>
      </c>
      <c r="C4759" s="3373" t="s">
        <v>1804</v>
      </c>
      <c r="D4759" s="3373"/>
      <c r="E4759" s="3373"/>
      <c r="F4759" s="3373"/>
      <c r="G4759" s="3373"/>
      <c r="H4759" s="3373"/>
      <c r="I4759" s="3373"/>
      <c r="J4759" s="3373"/>
      <c r="K4759" s="3373"/>
      <c r="L4759" s="3373"/>
      <c r="M4759" s="3373"/>
      <c r="N4759" s="3373"/>
      <c r="O4759" s="3373"/>
      <c r="P4759" s="3373"/>
      <c r="Q4759" s="3373"/>
      <c r="R4759" s="3373"/>
      <c r="S4759" s="3373"/>
      <c r="T4759" s="3373"/>
      <c r="U4759" s="3373"/>
      <c r="V4759" s="3373"/>
      <c r="W4759" s="3373"/>
      <c r="X4759" s="3373"/>
      <c r="Y4759" s="3373"/>
      <c r="Z4759" s="3373"/>
      <c r="AA4759" s="3373"/>
    </row>
    <row r="4760" spans="1:27" x14ac:dyDescent="0.2">
      <c r="A4760" s="38"/>
      <c r="B4760" s="3435" t="s">
        <v>20</v>
      </c>
      <c r="C4760" s="2847" t="s">
        <v>21</v>
      </c>
      <c r="D4760" s="2847" t="s">
        <v>22</v>
      </c>
      <c r="E4760" s="2847" t="s">
        <v>23</v>
      </c>
      <c r="F4760" s="3625" t="s">
        <v>24</v>
      </c>
      <c r="G4760" s="3625" t="s">
        <v>25</v>
      </c>
      <c r="H4760" s="2847" t="s">
        <v>26</v>
      </c>
      <c r="I4760" s="2847" t="s">
        <v>27</v>
      </c>
      <c r="J4760" s="2847" t="s">
        <v>28</v>
      </c>
      <c r="K4760" s="2847"/>
      <c r="L4760" s="2847" t="s">
        <v>29</v>
      </c>
      <c r="M4760" s="2847" t="s">
        <v>30</v>
      </c>
      <c r="N4760" s="2847"/>
      <c r="O4760" s="2916" t="s">
        <v>31</v>
      </c>
      <c r="P4760" s="2916"/>
      <c r="Q4760" s="2916"/>
      <c r="R4760" s="2916"/>
      <c r="S4760" s="2916"/>
      <c r="T4760" s="2916"/>
      <c r="U4760" s="2916"/>
      <c r="V4760" s="2916"/>
      <c r="W4760" s="2916"/>
      <c r="X4760" s="2916"/>
      <c r="Y4760" s="2916"/>
      <c r="Z4760" s="2916"/>
      <c r="AA4760" s="3522" t="s">
        <v>32</v>
      </c>
    </row>
    <row r="4761" spans="1:27" x14ac:dyDescent="0.2">
      <c r="A4761" s="38"/>
      <c r="B4761" s="3435"/>
      <c r="C4761" s="2847"/>
      <c r="D4761" s="2847"/>
      <c r="E4761" s="2847"/>
      <c r="F4761" s="3625"/>
      <c r="G4761" s="3625"/>
      <c r="H4761" s="2847"/>
      <c r="I4761" s="2847"/>
      <c r="J4761" s="455" t="s">
        <v>33</v>
      </c>
      <c r="K4761" s="306" t="s">
        <v>34</v>
      </c>
      <c r="L4761" s="2847"/>
      <c r="M4761" s="2847"/>
      <c r="N4761" s="2847"/>
      <c r="O4761" s="471" t="s">
        <v>35</v>
      </c>
      <c r="P4761" s="471" t="s">
        <v>36</v>
      </c>
      <c r="Q4761" s="471" t="s">
        <v>37</v>
      </c>
      <c r="R4761" s="471" t="s">
        <v>38</v>
      </c>
      <c r="S4761" s="471" t="s">
        <v>39</v>
      </c>
      <c r="T4761" s="471" t="s">
        <v>40</v>
      </c>
      <c r="U4761" s="471" t="s">
        <v>41</v>
      </c>
      <c r="V4761" s="471" t="s">
        <v>42</v>
      </c>
      <c r="W4761" s="471" t="s">
        <v>43</v>
      </c>
      <c r="X4761" s="471" t="s">
        <v>44</v>
      </c>
      <c r="Y4761" s="471" t="s">
        <v>45</v>
      </c>
      <c r="Z4761" s="471" t="s">
        <v>46</v>
      </c>
      <c r="AA4761" s="3522"/>
    </row>
    <row r="4762" spans="1:27" ht="22.5" x14ac:dyDescent="0.2">
      <c r="A4762" s="38"/>
      <c r="B4762" s="385">
        <v>500000013</v>
      </c>
      <c r="C4762" s="453" t="s">
        <v>1805</v>
      </c>
      <c r="D4762" s="453" t="s">
        <v>1806</v>
      </c>
      <c r="E4762" s="453">
        <v>23</v>
      </c>
      <c r="F4762" s="489" t="s">
        <v>1807</v>
      </c>
      <c r="G4762" s="489" t="s">
        <v>166</v>
      </c>
      <c r="H4762" s="489" t="s">
        <v>1213</v>
      </c>
      <c r="I4762" s="453" t="s">
        <v>156</v>
      </c>
      <c r="J4762" s="453">
        <f>SUM(J4763:J4813)</f>
        <v>32</v>
      </c>
      <c r="K4762" s="493">
        <f>SUM(K4763:K4813)</f>
        <v>103590</v>
      </c>
      <c r="L4762" s="453"/>
      <c r="M4762" s="453"/>
      <c r="N4762" s="453"/>
      <c r="O4762" s="308"/>
      <c r="P4762" s="308"/>
      <c r="Q4762" s="308"/>
      <c r="R4762" s="308"/>
      <c r="S4762" s="308"/>
      <c r="T4762" s="308"/>
      <c r="U4762" s="308"/>
      <c r="V4762" s="308"/>
      <c r="W4762" s="308"/>
      <c r="X4762" s="308"/>
      <c r="Y4762" s="308"/>
      <c r="Z4762" s="308"/>
      <c r="AA4762" s="1441">
        <f>+K4762</f>
        <v>103590</v>
      </c>
    </row>
    <row r="4763" spans="1:27" x14ac:dyDescent="0.2">
      <c r="A4763" s="3631" t="s">
        <v>1808</v>
      </c>
      <c r="B4763" s="3563">
        <v>1.1000000000000001</v>
      </c>
      <c r="C4763" s="3606" t="s">
        <v>1810</v>
      </c>
      <c r="D4763" s="2426" t="s">
        <v>1806</v>
      </c>
      <c r="E4763" s="2426">
        <v>23</v>
      </c>
      <c r="F4763" s="3630" t="s">
        <v>1807</v>
      </c>
      <c r="G4763" s="3630" t="s">
        <v>166</v>
      </c>
      <c r="H4763" s="2420" t="s">
        <v>1811</v>
      </c>
      <c r="I4763" s="2421" t="s">
        <v>156</v>
      </c>
      <c r="J4763" s="3483">
        <v>1</v>
      </c>
      <c r="K4763" s="3627">
        <f>AA4764</f>
        <v>17100</v>
      </c>
      <c r="L4763" s="3347" t="s">
        <v>1812</v>
      </c>
      <c r="M4763" s="2999" t="s">
        <v>51</v>
      </c>
      <c r="N4763" s="2999"/>
      <c r="O4763" s="308">
        <v>0</v>
      </c>
      <c r="P4763" s="308">
        <v>1</v>
      </c>
      <c r="Q4763" s="308">
        <v>0</v>
      </c>
      <c r="R4763" s="308">
        <v>0</v>
      </c>
      <c r="S4763" s="308">
        <v>0</v>
      </c>
      <c r="T4763" s="308">
        <v>0</v>
      </c>
      <c r="U4763" s="308">
        <v>0</v>
      </c>
      <c r="V4763" s="308">
        <v>0</v>
      </c>
      <c r="W4763" s="308">
        <v>0</v>
      </c>
      <c r="X4763" s="308">
        <v>0</v>
      </c>
      <c r="Y4763" s="308">
        <v>0</v>
      </c>
      <c r="Z4763" s="308">
        <v>0</v>
      </c>
      <c r="AA4763" s="1441">
        <f>SUM(O4763:Z4763)</f>
        <v>1</v>
      </c>
    </row>
    <row r="4764" spans="1:27" x14ac:dyDescent="0.2">
      <c r="A4764" s="3631"/>
      <c r="B4764" s="3563"/>
      <c r="C4764" s="3606"/>
      <c r="D4764" s="2426"/>
      <c r="E4764" s="2426"/>
      <c r="F4764" s="3630"/>
      <c r="G4764" s="3630"/>
      <c r="H4764" s="2420"/>
      <c r="I4764" s="2421"/>
      <c r="J4764" s="3483"/>
      <c r="K4764" s="3627"/>
      <c r="L4764" s="3347"/>
      <c r="M4764" s="2999" t="s">
        <v>1813</v>
      </c>
      <c r="N4764" s="2999"/>
      <c r="O4764" s="308">
        <f t="shared" ref="O4764:Z4764" si="793">SUM(O4765:O4768)</f>
        <v>9100</v>
      </c>
      <c r="P4764" s="308">
        <f t="shared" si="793"/>
        <v>8000</v>
      </c>
      <c r="Q4764" s="308">
        <f t="shared" si="793"/>
        <v>0</v>
      </c>
      <c r="R4764" s="308">
        <f t="shared" si="793"/>
        <v>0</v>
      </c>
      <c r="S4764" s="308">
        <f t="shared" si="793"/>
        <v>0</v>
      </c>
      <c r="T4764" s="308">
        <f t="shared" si="793"/>
        <v>0</v>
      </c>
      <c r="U4764" s="308">
        <f t="shared" si="793"/>
        <v>0</v>
      </c>
      <c r="V4764" s="308">
        <f t="shared" si="793"/>
        <v>0</v>
      </c>
      <c r="W4764" s="308">
        <f t="shared" si="793"/>
        <v>0</v>
      </c>
      <c r="X4764" s="308">
        <f t="shared" si="793"/>
        <v>0</v>
      </c>
      <c r="Y4764" s="308">
        <f t="shared" si="793"/>
        <v>0</v>
      </c>
      <c r="Z4764" s="308">
        <f t="shared" si="793"/>
        <v>0</v>
      </c>
      <c r="AA4764" s="1441">
        <f>SUM(O4764:Z4764)</f>
        <v>17100</v>
      </c>
    </row>
    <row r="4765" spans="1:27" ht="22.5" x14ac:dyDescent="0.2">
      <c r="A4765" s="3631"/>
      <c r="B4765" s="3563"/>
      <c r="C4765" s="3606"/>
      <c r="D4765" s="2426"/>
      <c r="E4765" s="2426"/>
      <c r="F4765" s="3630"/>
      <c r="G4765" s="3630"/>
      <c r="H4765" s="2420"/>
      <c r="I4765" s="2421"/>
      <c r="J4765" s="3483"/>
      <c r="K4765" s="3627"/>
      <c r="L4765" s="3347"/>
      <c r="M4765" s="1925" t="s">
        <v>184</v>
      </c>
      <c r="N4765" s="1925" t="s">
        <v>1367</v>
      </c>
      <c r="O4765" s="173">
        <v>0</v>
      </c>
      <c r="P4765" s="173">
        <v>0</v>
      </c>
      <c r="Q4765" s="173">
        <v>0</v>
      </c>
      <c r="R4765" s="173">
        <v>0</v>
      </c>
      <c r="S4765" s="173">
        <v>0</v>
      </c>
      <c r="T4765" s="173">
        <v>0</v>
      </c>
      <c r="U4765" s="173">
        <v>0</v>
      </c>
      <c r="V4765" s="173">
        <v>0</v>
      </c>
      <c r="W4765" s="173">
        <v>0</v>
      </c>
      <c r="X4765" s="173">
        <v>0</v>
      </c>
      <c r="Y4765" s="173">
        <v>0</v>
      </c>
      <c r="Z4765" s="173">
        <v>0</v>
      </c>
      <c r="AA4765" s="1440">
        <f>SUM(O4765:Z4765)</f>
        <v>0</v>
      </c>
    </row>
    <row r="4766" spans="1:27" ht="22.5" x14ac:dyDescent="0.2">
      <c r="A4766" s="3631"/>
      <c r="B4766" s="3563"/>
      <c r="C4766" s="3606"/>
      <c r="D4766" s="2426"/>
      <c r="E4766" s="2426"/>
      <c r="F4766" s="3630"/>
      <c r="G4766" s="3630"/>
      <c r="H4766" s="2420"/>
      <c r="I4766" s="2421"/>
      <c r="J4766" s="3483"/>
      <c r="K4766" s="3627"/>
      <c r="L4766" s="3347"/>
      <c r="M4766" s="1925" t="s">
        <v>194</v>
      </c>
      <c r="N4766" s="1925" t="s">
        <v>1368</v>
      </c>
      <c r="O4766" s="500">
        <f>1400-300</f>
        <v>1100</v>
      </c>
      <c r="P4766" s="500">
        <v>0</v>
      </c>
      <c r="Q4766" s="500">
        <v>0</v>
      </c>
      <c r="R4766" s="500">
        <v>0</v>
      </c>
      <c r="S4766" s="500">
        <v>0</v>
      </c>
      <c r="T4766" s="500">
        <v>0</v>
      </c>
      <c r="U4766" s="500">
        <v>0</v>
      </c>
      <c r="V4766" s="500">
        <v>0</v>
      </c>
      <c r="W4766" s="500">
        <v>0</v>
      </c>
      <c r="X4766" s="500">
        <v>0</v>
      </c>
      <c r="Y4766" s="500">
        <v>0</v>
      </c>
      <c r="Z4766" s="500">
        <v>0</v>
      </c>
      <c r="AA4766" s="1440">
        <f>SUM(O4766:Z4766)</f>
        <v>1100</v>
      </c>
    </row>
    <row r="4767" spans="1:27" ht="22.5" x14ac:dyDescent="0.2">
      <c r="A4767" s="3631"/>
      <c r="B4767" s="3563"/>
      <c r="C4767" s="3606"/>
      <c r="D4767" s="2426"/>
      <c r="E4767" s="2426"/>
      <c r="F4767" s="3630"/>
      <c r="G4767" s="3630"/>
      <c r="H4767" s="2420"/>
      <c r="I4767" s="2421"/>
      <c r="J4767" s="3483"/>
      <c r="K4767" s="3627"/>
      <c r="L4767" s="3347"/>
      <c r="M4767" s="1925" t="s">
        <v>180</v>
      </c>
      <c r="N4767" s="1925" t="s">
        <v>181</v>
      </c>
      <c r="O4767" s="500">
        <v>0</v>
      </c>
      <c r="P4767" s="500">
        <v>0</v>
      </c>
      <c r="Q4767" s="500">
        <v>0</v>
      </c>
      <c r="R4767" s="500">
        <v>0</v>
      </c>
      <c r="S4767" s="500">
        <v>0</v>
      </c>
      <c r="T4767" s="500">
        <v>0</v>
      </c>
      <c r="U4767" s="500">
        <v>0</v>
      </c>
      <c r="V4767" s="500">
        <v>0</v>
      </c>
      <c r="W4767" s="500">
        <v>0</v>
      </c>
      <c r="X4767" s="500">
        <v>0</v>
      </c>
      <c r="Y4767" s="500">
        <v>0</v>
      </c>
      <c r="Z4767" s="500">
        <v>0</v>
      </c>
      <c r="AA4767" s="1440">
        <f>SUM(O4766:Z4766)</f>
        <v>1100</v>
      </c>
    </row>
    <row r="4768" spans="1:27" x14ac:dyDescent="0.2">
      <c r="A4768" s="3631"/>
      <c r="B4768" s="3563"/>
      <c r="C4768" s="3606"/>
      <c r="D4768" s="2426"/>
      <c r="E4768" s="2426"/>
      <c r="F4768" s="3630"/>
      <c r="G4768" s="3630"/>
      <c r="H4768" s="2420"/>
      <c r="I4768" s="2421"/>
      <c r="J4768" s="3483"/>
      <c r="K4768" s="3627"/>
      <c r="L4768" s="3347"/>
      <c r="M4768" s="1925" t="s">
        <v>1359</v>
      </c>
      <c r="N4768" s="1925" t="s">
        <v>1336</v>
      </c>
      <c r="O4768" s="500">
        <v>8000</v>
      </c>
      <c r="P4768" s="500">
        <v>8000</v>
      </c>
      <c r="Q4768" s="500">
        <v>0</v>
      </c>
      <c r="R4768" s="500">
        <v>0</v>
      </c>
      <c r="S4768" s="500">
        <v>0</v>
      </c>
      <c r="T4768" s="500">
        <v>0</v>
      </c>
      <c r="U4768" s="500">
        <v>0</v>
      </c>
      <c r="V4768" s="500">
        <v>0</v>
      </c>
      <c r="W4768" s="500">
        <v>0</v>
      </c>
      <c r="X4768" s="500">
        <v>0</v>
      </c>
      <c r="Y4768" s="500">
        <v>0</v>
      </c>
      <c r="Z4768" s="500">
        <v>0</v>
      </c>
      <c r="AA4768" s="1440">
        <f t="shared" ref="AA4768:AA4782" si="794">SUM(O4768:Z4768)</f>
        <v>16000</v>
      </c>
    </row>
    <row r="4769" spans="1:27" x14ac:dyDescent="0.2">
      <c r="A4769" s="3631"/>
      <c r="B4769" s="3563">
        <v>1.2</v>
      </c>
      <c r="C4769" s="3606" t="s">
        <v>1816</v>
      </c>
      <c r="D4769" s="3600" t="s">
        <v>1806</v>
      </c>
      <c r="E4769" s="3600">
        <v>23</v>
      </c>
      <c r="F4769" s="3629" t="s">
        <v>1807</v>
      </c>
      <c r="G4769" s="3629" t="s">
        <v>166</v>
      </c>
      <c r="H4769" s="2420" t="s">
        <v>1817</v>
      </c>
      <c r="I4769" s="2421" t="s">
        <v>156</v>
      </c>
      <c r="J4769" s="2421">
        <v>8</v>
      </c>
      <c r="K4769" s="3627">
        <f>AA4770</f>
        <v>74500</v>
      </c>
      <c r="L4769" s="3347" t="s">
        <v>1812</v>
      </c>
      <c r="M4769" s="3628" t="s">
        <v>51</v>
      </c>
      <c r="N4769" s="3628"/>
      <c r="O4769" s="502">
        <v>0</v>
      </c>
      <c r="P4769" s="502">
        <v>0</v>
      </c>
      <c r="Q4769" s="502">
        <v>1</v>
      </c>
      <c r="R4769" s="502">
        <v>1</v>
      </c>
      <c r="S4769" s="502">
        <v>1</v>
      </c>
      <c r="T4769" s="502">
        <v>1</v>
      </c>
      <c r="U4769" s="502">
        <v>1</v>
      </c>
      <c r="V4769" s="502">
        <v>1</v>
      </c>
      <c r="W4769" s="502">
        <v>1</v>
      </c>
      <c r="X4769" s="502">
        <v>1</v>
      </c>
      <c r="Y4769" s="502">
        <v>1</v>
      </c>
      <c r="Z4769" s="502">
        <v>1</v>
      </c>
      <c r="AA4769" s="1441">
        <f t="shared" si="794"/>
        <v>10</v>
      </c>
    </row>
    <row r="4770" spans="1:27" x14ac:dyDescent="0.2">
      <c r="A4770" s="3631"/>
      <c r="B4770" s="3563"/>
      <c r="C4770" s="3606"/>
      <c r="D4770" s="3600"/>
      <c r="E4770" s="3600"/>
      <c r="F4770" s="3629"/>
      <c r="G4770" s="3629"/>
      <c r="H4770" s="2420"/>
      <c r="I4770" s="2421"/>
      <c r="J4770" s="2421"/>
      <c r="K4770" s="3627"/>
      <c r="L4770" s="3347"/>
      <c r="M4770" s="3628" t="s">
        <v>1813</v>
      </c>
      <c r="N4770" s="3628"/>
      <c r="O4770" s="175">
        <f t="shared" ref="O4770:X4770" si="795">SUM(O4771:O4775)</f>
        <v>0</v>
      </c>
      <c r="P4770" s="175">
        <f t="shared" si="795"/>
        <v>0</v>
      </c>
      <c r="Q4770" s="175">
        <f t="shared" si="795"/>
        <v>8000</v>
      </c>
      <c r="R4770" s="175">
        <f t="shared" si="795"/>
        <v>8000</v>
      </c>
      <c r="S4770" s="175">
        <f t="shared" si="795"/>
        <v>9100</v>
      </c>
      <c r="T4770" s="175">
        <f t="shared" si="795"/>
        <v>8000</v>
      </c>
      <c r="U4770" s="175">
        <f t="shared" si="795"/>
        <v>8000</v>
      </c>
      <c r="V4770" s="175">
        <f t="shared" si="795"/>
        <v>8300</v>
      </c>
      <c r="W4770" s="175">
        <f t="shared" si="795"/>
        <v>8000</v>
      </c>
      <c r="X4770" s="175">
        <f t="shared" si="795"/>
        <v>9100</v>
      </c>
      <c r="Y4770" s="175">
        <v>8000</v>
      </c>
      <c r="Z4770" s="175">
        <f>'[2]POI PLANIFICADO'!Z4772-'[2]POI AJUSTADO AL MARCO PRESUPUES'!Z4772</f>
        <v>0</v>
      </c>
      <c r="AA4770" s="1441">
        <f t="shared" si="794"/>
        <v>74500</v>
      </c>
    </row>
    <row r="4771" spans="1:27" x14ac:dyDescent="0.2">
      <c r="A4771" s="3631"/>
      <c r="B4771" s="3563"/>
      <c r="C4771" s="3606"/>
      <c r="D4771" s="3600"/>
      <c r="E4771" s="3600"/>
      <c r="F4771" s="3629"/>
      <c r="G4771" s="3629"/>
      <c r="H4771" s="2420"/>
      <c r="I4771" s="2421"/>
      <c r="J4771" s="2421"/>
      <c r="K4771" s="3627"/>
      <c r="L4771" s="3347"/>
      <c r="M4771" s="1925" t="s">
        <v>1452</v>
      </c>
      <c r="N4771" s="1925" t="s">
        <v>1818</v>
      </c>
      <c r="O4771" s="4">
        <v>0</v>
      </c>
      <c r="P4771" s="4">
        <v>0</v>
      </c>
      <c r="Q4771" s="4">
        <v>0</v>
      </c>
      <c r="R4771" s="4">
        <v>0</v>
      </c>
      <c r="S4771" s="4">
        <v>0</v>
      </c>
      <c r="T4771" s="4">
        <v>0</v>
      </c>
      <c r="U4771" s="4">
        <v>0</v>
      </c>
      <c r="V4771" s="4">
        <v>300</v>
      </c>
      <c r="W4771" s="4">
        <v>0</v>
      </c>
      <c r="X4771" s="4">
        <v>0</v>
      </c>
      <c r="Y4771" s="4">
        <v>0</v>
      </c>
      <c r="Z4771" s="4">
        <v>500</v>
      </c>
      <c r="AA4771" s="1440">
        <f t="shared" si="794"/>
        <v>800</v>
      </c>
    </row>
    <row r="4772" spans="1:27" ht="22.5" x14ac:dyDescent="0.2">
      <c r="A4772" s="3631"/>
      <c r="B4772" s="3563"/>
      <c r="C4772" s="3606"/>
      <c r="D4772" s="3600"/>
      <c r="E4772" s="3600"/>
      <c r="F4772" s="3629"/>
      <c r="G4772" s="3629"/>
      <c r="H4772" s="2420"/>
      <c r="I4772" s="2421"/>
      <c r="J4772" s="2421"/>
      <c r="K4772" s="3627"/>
      <c r="L4772" s="3347"/>
      <c r="M4772" s="1925" t="s">
        <v>194</v>
      </c>
      <c r="N4772" s="1925" t="s">
        <v>1368</v>
      </c>
      <c r="O4772" s="4">
        <v>0</v>
      </c>
      <c r="P4772" s="4">
        <v>0</v>
      </c>
      <c r="Q4772" s="4">
        <v>0</v>
      </c>
      <c r="R4772" s="4">
        <v>0</v>
      </c>
      <c r="S4772" s="4">
        <f>1400-300</f>
        <v>1100</v>
      </c>
      <c r="T4772" s="4">
        <v>0</v>
      </c>
      <c r="U4772" s="4">
        <v>0</v>
      </c>
      <c r="V4772" s="4">
        <v>0</v>
      </c>
      <c r="W4772" s="4">
        <v>0</v>
      </c>
      <c r="X4772" s="4">
        <v>1100</v>
      </c>
      <c r="Y4772" s="4">
        <v>0</v>
      </c>
      <c r="Z4772" s="4">
        <v>0</v>
      </c>
      <c r="AA4772" s="1440">
        <f t="shared" si="794"/>
        <v>2200</v>
      </c>
    </row>
    <row r="4773" spans="1:27" x14ac:dyDescent="0.2">
      <c r="A4773" s="3631"/>
      <c r="B4773" s="3563"/>
      <c r="C4773" s="3606"/>
      <c r="D4773" s="3600"/>
      <c r="E4773" s="3600"/>
      <c r="F4773" s="3629"/>
      <c r="G4773" s="3629"/>
      <c r="H4773" s="2420"/>
      <c r="I4773" s="2421"/>
      <c r="J4773" s="2421"/>
      <c r="K4773" s="3627"/>
      <c r="L4773" s="3347"/>
      <c r="M4773" s="1925" t="s">
        <v>1359</v>
      </c>
      <c r="N4773" s="1925" t="s">
        <v>1336</v>
      </c>
      <c r="O4773" s="4">
        <v>0</v>
      </c>
      <c r="P4773" s="4">
        <v>0</v>
      </c>
      <c r="Q4773" s="4">
        <v>8000</v>
      </c>
      <c r="R4773" s="4">
        <v>8000</v>
      </c>
      <c r="S4773" s="4">
        <v>8000</v>
      </c>
      <c r="T4773" s="4">
        <v>8000</v>
      </c>
      <c r="U4773" s="4">
        <v>8000</v>
      </c>
      <c r="V4773" s="4">
        <v>8000</v>
      </c>
      <c r="W4773" s="4">
        <v>8000</v>
      </c>
      <c r="X4773" s="4">
        <v>8000</v>
      </c>
      <c r="Y4773" s="4">
        <v>8000</v>
      </c>
      <c r="Z4773" s="4">
        <v>8000</v>
      </c>
      <c r="AA4773" s="1440">
        <f t="shared" si="794"/>
        <v>80000</v>
      </c>
    </row>
    <row r="4774" spans="1:27" ht="22.5" x14ac:dyDescent="0.2">
      <c r="A4774" s="3631"/>
      <c r="B4774" s="3563"/>
      <c r="C4774" s="3606"/>
      <c r="D4774" s="3600"/>
      <c r="E4774" s="3600"/>
      <c r="F4774" s="3629"/>
      <c r="G4774" s="3629"/>
      <c r="H4774" s="2420"/>
      <c r="I4774" s="2421"/>
      <c r="J4774" s="2421"/>
      <c r="K4774" s="3627"/>
      <c r="L4774" s="3347"/>
      <c r="M4774" s="1925" t="s">
        <v>200</v>
      </c>
      <c r="N4774" s="1925" t="s">
        <v>1473</v>
      </c>
      <c r="O4774" s="4">
        <v>0</v>
      </c>
      <c r="P4774" s="4">
        <v>0</v>
      </c>
      <c r="Q4774" s="4">
        <v>0</v>
      </c>
      <c r="R4774" s="4">
        <v>0</v>
      </c>
      <c r="S4774" s="4">
        <v>0</v>
      </c>
      <c r="T4774" s="4">
        <v>0</v>
      </c>
      <c r="U4774" s="4">
        <v>0</v>
      </c>
      <c r="V4774" s="4">
        <v>0</v>
      </c>
      <c r="W4774" s="4">
        <v>0</v>
      </c>
      <c r="X4774" s="4">
        <v>0</v>
      </c>
      <c r="Y4774" s="4">
        <v>0</v>
      </c>
      <c r="Z4774" s="4">
        <v>0</v>
      </c>
      <c r="AA4774" s="1440">
        <f t="shared" si="794"/>
        <v>0</v>
      </c>
    </row>
    <row r="4775" spans="1:27" x14ac:dyDescent="0.2">
      <c r="A4775" s="3631"/>
      <c r="B4775" s="3563"/>
      <c r="C4775" s="3606"/>
      <c r="D4775" s="3600"/>
      <c r="E4775" s="3600"/>
      <c r="F4775" s="3629"/>
      <c r="G4775" s="3629"/>
      <c r="H4775" s="2420"/>
      <c r="I4775" s="2421"/>
      <c r="J4775" s="2421"/>
      <c r="K4775" s="3627"/>
      <c r="L4775" s="3347"/>
      <c r="M4775" s="307" t="s">
        <v>541</v>
      </c>
      <c r="N4775" s="307" t="s">
        <v>542</v>
      </c>
      <c r="O4775" s="4">
        <v>0</v>
      </c>
      <c r="P4775" s="4">
        <v>0</v>
      </c>
      <c r="Q4775" s="4">
        <v>0</v>
      </c>
      <c r="R4775" s="4">
        <v>0</v>
      </c>
      <c r="S4775" s="4">
        <v>0</v>
      </c>
      <c r="T4775" s="4">
        <v>0</v>
      </c>
      <c r="U4775" s="4">
        <v>0</v>
      </c>
      <c r="V4775" s="4">
        <v>0</v>
      </c>
      <c r="W4775" s="4">
        <v>0</v>
      </c>
      <c r="X4775" s="4">
        <v>0</v>
      </c>
      <c r="Y4775" s="4">
        <v>0</v>
      </c>
      <c r="Z4775" s="4">
        <v>0</v>
      </c>
      <c r="AA4775" s="1440">
        <f t="shared" si="794"/>
        <v>0</v>
      </c>
    </row>
    <row r="4776" spans="1:27" x14ac:dyDescent="0.2">
      <c r="A4776" s="3631"/>
      <c r="B4776" s="3563">
        <v>1.3</v>
      </c>
      <c r="C4776" s="3606" t="s">
        <v>1819</v>
      </c>
      <c r="D4776" s="3600" t="s">
        <v>1806</v>
      </c>
      <c r="E4776" s="3600">
        <v>23</v>
      </c>
      <c r="F4776" s="3629" t="s">
        <v>1807</v>
      </c>
      <c r="G4776" s="3634" t="s">
        <v>166</v>
      </c>
      <c r="H4776" s="2420" t="s">
        <v>1817</v>
      </c>
      <c r="I4776" s="2421" t="s">
        <v>156</v>
      </c>
      <c r="J4776" s="2421">
        <v>2</v>
      </c>
      <c r="K4776" s="3627">
        <f>AA4777</f>
        <v>500</v>
      </c>
      <c r="L4776" s="2421" t="s">
        <v>1812</v>
      </c>
      <c r="M4776" s="3633" t="s">
        <v>51</v>
      </c>
      <c r="N4776" s="3633"/>
      <c r="O4776" s="502">
        <v>0</v>
      </c>
      <c r="P4776" s="502">
        <v>0</v>
      </c>
      <c r="Q4776" s="502">
        <v>0</v>
      </c>
      <c r="R4776" s="502">
        <v>0</v>
      </c>
      <c r="S4776" s="502">
        <v>1</v>
      </c>
      <c r="T4776" s="502">
        <v>0</v>
      </c>
      <c r="U4776" s="502">
        <v>0</v>
      </c>
      <c r="V4776" s="502">
        <v>0</v>
      </c>
      <c r="W4776" s="502">
        <v>0</v>
      </c>
      <c r="X4776" s="502">
        <v>0</v>
      </c>
      <c r="Y4776" s="502">
        <v>1</v>
      </c>
      <c r="Z4776" s="502">
        <v>0</v>
      </c>
      <c r="AA4776" s="1441">
        <f t="shared" si="794"/>
        <v>2</v>
      </c>
    </row>
    <row r="4777" spans="1:27" x14ac:dyDescent="0.2">
      <c r="A4777" s="3631"/>
      <c r="B4777" s="3563"/>
      <c r="C4777" s="3606"/>
      <c r="D4777" s="3600"/>
      <c r="E4777" s="3600"/>
      <c r="F4777" s="3629"/>
      <c r="G4777" s="3634"/>
      <c r="H4777" s="2420"/>
      <c r="I4777" s="2421"/>
      <c r="J4777" s="2421"/>
      <c r="K4777" s="3627"/>
      <c r="L4777" s="2421"/>
      <c r="M4777" s="3628" t="s">
        <v>1813</v>
      </c>
      <c r="N4777" s="3628"/>
      <c r="O4777" s="175">
        <f>SUM(O4778)</f>
        <v>0</v>
      </c>
      <c r="P4777" s="175">
        <v>0</v>
      </c>
      <c r="Q4777" s="175">
        <f>SUM(Q4778)</f>
        <v>0</v>
      </c>
      <c r="R4777" s="175">
        <f>SUM(R4778)</f>
        <v>0</v>
      </c>
      <c r="S4777" s="175">
        <v>250</v>
      </c>
      <c r="T4777" s="175">
        <f>SUM(T4778)</f>
        <v>0</v>
      </c>
      <c r="U4777" s="175">
        <f>SUM(U4778)</f>
        <v>0</v>
      </c>
      <c r="V4777" s="175">
        <f>SUM(V4778)</f>
        <v>0</v>
      </c>
      <c r="W4777" s="175">
        <f>SUM(W4778)</f>
        <v>0</v>
      </c>
      <c r="X4777" s="175">
        <f>SUM(X4778)</f>
        <v>0</v>
      </c>
      <c r="Y4777" s="175">
        <v>250</v>
      </c>
      <c r="Z4777" s="175">
        <f>SUM(Z4778)</f>
        <v>0</v>
      </c>
      <c r="AA4777" s="1441">
        <f t="shared" si="794"/>
        <v>500</v>
      </c>
    </row>
    <row r="4778" spans="1:27" x14ac:dyDescent="0.2">
      <c r="A4778" s="3631"/>
      <c r="B4778" s="3563"/>
      <c r="C4778" s="3606"/>
      <c r="D4778" s="3600"/>
      <c r="E4778" s="3600"/>
      <c r="F4778" s="3629"/>
      <c r="G4778" s="3634"/>
      <c r="H4778" s="2420"/>
      <c r="I4778" s="2421"/>
      <c r="J4778" s="2421"/>
      <c r="K4778" s="3627"/>
      <c r="L4778" s="2421"/>
      <c r="M4778" s="1925" t="s">
        <v>1452</v>
      </c>
      <c r="N4778" s="1925" t="s">
        <v>1818</v>
      </c>
      <c r="O4778" s="4">
        <v>0</v>
      </c>
      <c r="P4778" s="4">
        <v>0</v>
      </c>
      <c r="Q4778" s="4">
        <v>0</v>
      </c>
      <c r="R4778" s="4">
        <v>0</v>
      </c>
      <c r="S4778" s="4">
        <v>250</v>
      </c>
      <c r="T4778" s="4">
        <v>0</v>
      </c>
      <c r="U4778" s="4">
        <v>0</v>
      </c>
      <c r="V4778" s="4">
        <v>0</v>
      </c>
      <c r="W4778" s="4">
        <v>0</v>
      </c>
      <c r="X4778" s="4">
        <v>0</v>
      </c>
      <c r="Y4778" s="4">
        <v>250</v>
      </c>
      <c r="Z4778" s="4">
        <v>0</v>
      </c>
      <c r="AA4778" s="1440">
        <f t="shared" si="794"/>
        <v>500</v>
      </c>
    </row>
    <row r="4779" spans="1:27" x14ac:dyDescent="0.2">
      <c r="A4779" s="3631"/>
      <c r="B4779" s="3563">
        <v>1.4</v>
      </c>
      <c r="C4779" s="3606" t="s">
        <v>1820</v>
      </c>
      <c r="D4779" s="3600" t="s">
        <v>1806</v>
      </c>
      <c r="E4779" s="3600">
        <v>23</v>
      </c>
      <c r="F4779" s="3629" t="s">
        <v>1807</v>
      </c>
      <c r="G4779" s="3634" t="s">
        <v>166</v>
      </c>
      <c r="H4779" s="2420" t="s">
        <v>1817</v>
      </c>
      <c r="I4779" s="2421" t="s">
        <v>156</v>
      </c>
      <c r="J4779" s="3483">
        <v>2</v>
      </c>
      <c r="K4779" s="3627">
        <v>800</v>
      </c>
      <c r="L4779" s="2421" t="s">
        <v>1812</v>
      </c>
      <c r="M4779" s="2913" t="s">
        <v>51</v>
      </c>
      <c r="N4779" s="2913"/>
      <c r="O4779" s="502">
        <v>0</v>
      </c>
      <c r="P4779" s="502">
        <v>0</v>
      </c>
      <c r="Q4779" s="502">
        <v>2</v>
      </c>
      <c r="R4779" s="502">
        <v>0</v>
      </c>
      <c r="S4779" s="502">
        <v>0</v>
      </c>
      <c r="T4779" s="502">
        <v>0</v>
      </c>
      <c r="U4779" s="502">
        <v>0</v>
      </c>
      <c r="V4779" s="502">
        <v>0</v>
      </c>
      <c r="W4779" s="502">
        <v>0</v>
      </c>
      <c r="X4779" s="502">
        <v>0</v>
      </c>
      <c r="Y4779" s="502">
        <v>0</v>
      </c>
      <c r="Z4779" s="502">
        <v>0</v>
      </c>
      <c r="AA4779" s="1441">
        <f t="shared" si="794"/>
        <v>2</v>
      </c>
    </row>
    <row r="4780" spans="1:27" x14ac:dyDescent="0.2">
      <c r="A4780" s="3631"/>
      <c r="B4780" s="3563"/>
      <c r="C4780" s="3606"/>
      <c r="D4780" s="3600"/>
      <c r="E4780" s="3600"/>
      <c r="F4780" s="3629"/>
      <c r="G4780" s="3634"/>
      <c r="H4780" s="2420"/>
      <c r="I4780" s="2421"/>
      <c r="J4780" s="3483"/>
      <c r="K4780" s="3627"/>
      <c r="L4780" s="2421"/>
      <c r="M4780" s="2913" t="s">
        <v>1813</v>
      </c>
      <c r="N4780" s="2913"/>
      <c r="O4780" s="175">
        <f>SUM(O4781:O4782)</f>
        <v>0</v>
      </c>
      <c r="P4780" s="175">
        <f>SUM(P4781:P4782)</f>
        <v>0</v>
      </c>
      <c r="Q4780" s="175">
        <v>300</v>
      </c>
      <c r="R4780" s="175">
        <v>500</v>
      </c>
      <c r="S4780" s="175">
        <f t="shared" ref="S4780:Z4780" si="796">SUM(S4781:S4782)</f>
        <v>0</v>
      </c>
      <c r="T4780" s="175">
        <f t="shared" si="796"/>
        <v>0</v>
      </c>
      <c r="U4780" s="175">
        <f t="shared" si="796"/>
        <v>0</v>
      </c>
      <c r="V4780" s="175">
        <f t="shared" si="796"/>
        <v>0</v>
      </c>
      <c r="W4780" s="175">
        <f t="shared" si="796"/>
        <v>0</v>
      </c>
      <c r="X4780" s="175">
        <f t="shared" si="796"/>
        <v>0</v>
      </c>
      <c r="Y4780" s="175">
        <f t="shared" si="796"/>
        <v>0</v>
      </c>
      <c r="Z4780" s="175">
        <f t="shared" si="796"/>
        <v>0</v>
      </c>
      <c r="AA4780" s="1441">
        <f t="shared" si="794"/>
        <v>800</v>
      </c>
    </row>
    <row r="4781" spans="1:27" x14ac:dyDescent="0.2">
      <c r="A4781" s="3631"/>
      <c r="B4781" s="3563"/>
      <c r="C4781" s="3606"/>
      <c r="D4781" s="3600"/>
      <c r="E4781" s="3600"/>
      <c r="F4781" s="3629"/>
      <c r="G4781" s="3634"/>
      <c r="H4781" s="2420"/>
      <c r="I4781" s="2421"/>
      <c r="J4781" s="3483"/>
      <c r="K4781" s="3627"/>
      <c r="L4781" s="2421"/>
      <c r="M4781" s="1925" t="s">
        <v>1452</v>
      </c>
      <c r="N4781" s="328" t="s">
        <v>1818</v>
      </c>
      <c r="O4781" s="310">
        <v>0</v>
      </c>
      <c r="P4781" s="310">
        <v>0</v>
      </c>
      <c r="Q4781" s="310">
        <v>300</v>
      </c>
      <c r="R4781" s="310">
        <v>0</v>
      </c>
      <c r="S4781" s="310">
        <v>0</v>
      </c>
      <c r="T4781" s="310">
        <v>0</v>
      </c>
      <c r="U4781" s="310">
        <v>0</v>
      </c>
      <c r="V4781" s="310">
        <v>0</v>
      </c>
      <c r="W4781" s="310">
        <v>0</v>
      </c>
      <c r="X4781" s="310">
        <v>0</v>
      </c>
      <c r="Y4781" s="310">
        <v>0</v>
      </c>
      <c r="Z4781" s="310">
        <v>0</v>
      </c>
      <c r="AA4781" s="1440">
        <f t="shared" si="794"/>
        <v>300</v>
      </c>
    </row>
    <row r="4782" spans="1:27" x14ac:dyDescent="0.2">
      <c r="A4782" s="3631"/>
      <c r="B4782" s="3563"/>
      <c r="C4782" s="3606"/>
      <c r="D4782" s="3600"/>
      <c r="E4782" s="3600"/>
      <c r="F4782" s="3629"/>
      <c r="G4782" s="3634"/>
      <c r="H4782" s="2420"/>
      <c r="I4782" s="2421"/>
      <c r="J4782" s="3483"/>
      <c r="K4782" s="3627"/>
      <c r="L4782" s="2421"/>
      <c r="M4782" s="1925" t="s">
        <v>182</v>
      </c>
      <c r="N4782" s="111" t="s">
        <v>534</v>
      </c>
      <c r="O4782" s="4">
        <v>0</v>
      </c>
      <c r="P4782" s="4">
        <v>0</v>
      </c>
      <c r="Q4782" s="4">
        <v>0</v>
      </c>
      <c r="R4782" s="4">
        <v>500</v>
      </c>
      <c r="S4782" s="4">
        <v>0</v>
      </c>
      <c r="T4782" s="4">
        <v>0</v>
      </c>
      <c r="U4782" s="4">
        <v>0</v>
      </c>
      <c r="V4782" s="4">
        <v>0</v>
      </c>
      <c r="W4782" s="4">
        <v>0</v>
      </c>
      <c r="X4782" s="4">
        <v>0</v>
      </c>
      <c r="Y4782" s="4">
        <v>0</v>
      </c>
      <c r="Z4782" s="4">
        <v>0</v>
      </c>
      <c r="AA4782" s="1440">
        <f t="shared" si="794"/>
        <v>500</v>
      </c>
    </row>
    <row r="4783" spans="1:27" x14ac:dyDescent="0.2">
      <c r="A4783" s="3631"/>
      <c r="B4783" s="3563">
        <v>1.5</v>
      </c>
      <c r="C4783" s="3606" t="s">
        <v>1821</v>
      </c>
      <c r="D4783" s="3600" t="s">
        <v>1806</v>
      </c>
      <c r="E4783" s="3600">
        <v>23</v>
      </c>
      <c r="F4783" s="3629" t="s">
        <v>1807</v>
      </c>
      <c r="G4783" s="3480" t="s">
        <v>166</v>
      </c>
      <c r="H4783" s="2420" t="s">
        <v>1822</v>
      </c>
      <c r="I4783" s="2421" t="s">
        <v>156</v>
      </c>
      <c r="J4783" s="3483">
        <v>1</v>
      </c>
      <c r="K4783" s="3627">
        <v>1400</v>
      </c>
      <c r="L4783" s="2421" t="s">
        <v>1812</v>
      </c>
      <c r="M4783" s="3516" t="s">
        <v>51</v>
      </c>
      <c r="N4783" s="3516"/>
      <c r="O4783" s="502">
        <v>0</v>
      </c>
      <c r="P4783" s="502">
        <v>0</v>
      </c>
      <c r="Q4783" s="502">
        <v>0</v>
      </c>
      <c r="R4783" s="502">
        <v>0</v>
      </c>
      <c r="S4783" s="502">
        <v>0</v>
      </c>
      <c r="T4783" s="502">
        <v>0</v>
      </c>
      <c r="U4783" s="502">
        <v>1</v>
      </c>
      <c r="V4783" s="502">
        <v>0</v>
      </c>
      <c r="W4783" s="502">
        <v>0</v>
      </c>
      <c r="X4783" s="502">
        <v>0</v>
      </c>
      <c r="Y4783" s="502">
        <v>0</v>
      </c>
      <c r="Z4783" s="502">
        <v>0</v>
      </c>
      <c r="AA4783" s="1441">
        <f>SUM(O4783:Z4783)</f>
        <v>1</v>
      </c>
    </row>
    <row r="4784" spans="1:27" x14ac:dyDescent="0.2">
      <c r="A4784" s="3631"/>
      <c r="B4784" s="3563"/>
      <c r="C4784" s="3606"/>
      <c r="D4784" s="3600"/>
      <c r="E4784" s="3600"/>
      <c r="F4784" s="3629"/>
      <c r="G4784" s="3480"/>
      <c r="H4784" s="2420"/>
      <c r="I4784" s="2421"/>
      <c r="J4784" s="3483"/>
      <c r="K4784" s="3627"/>
      <c r="L4784" s="2421"/>
      <c r="M4784" s="3516" t="s">
        <v>1813</v>
      </c>
      <c r="N4784" s="3516"/>
      <c r="O4784" s="33">
        <f>SUM(O4785:O4787)</f>
        <v>1250</v>
      </c>
      <c r="P4784" s="33">
        <f>SUM(P4785:P4787)</f>
        <v>0</v>
      </c>
      <c r="Q4784" s="33">
        <v>0</v>
      </c>
      <c r="R4784" s="33">
        <f t="shared" ref="R4784:Y4784" si="797">SUM(R4785:R4787)</f>
        <v>0</v>
      </c>
      <c r="S4784" s="33">
        <f t="shared" si="797"/>
        <v>0</v>
      </c>
      <c r="T4784" s="33">
        <f t="shared" si="797"/>
        <v>0</v>
      </c>
      <c r="U4784" s="33">
        <f t="shared" si="797"/>
        <v>150</v>
      </c>
      <c r="V4784" s="33">
        <f t="shared" si="797"/>
        <v>0</v>
      </c>
      <c r="W4784" s="33">
        <f t="shared" si="797"/>
        <v>0</v>
      </c>
      <c r="X4784" s="33">
        <v>0</v>
      </c>
      <c r="Y4784" s="33">
        <f t="shared" si="797"/>
        <v>0</v>
      </c>
      <c r="Z4784" s="33">
        <f>SUM(Z4785:Z4787)</f>
        <v>0</v>
      </c>
      <c r="AA4784" s="1441">
        <f>SUM(O4784:Z4784)</f>
        <v>1400</v>
      </c>
    </row>
    <row r="4785" spans="1:27" x14ac:dyDescent="0.2">
      <c r="A4785" s="3631"/>
      <c r="B4785" s="3563"/>
      <c r="C4785" s="3606"/>
      <c r="D4785" s="3600"/>
      <c r="E4785" s="3600"/>
      <c r="F4785" s="3629"/>
      <c r="G4785" s="3480"/>
      <c r="H4785" s="2420"/>
      <c r="I4785" s="2421"/>
      <c r="J4785" s="3483"/>
      <c r="K4785" s="3627"/>
      <c r="L4785" s="2421"/>
      <c r="M4785" s="1925" t="s">
        <v>1452</v>
      </c>
      <c r="N4785" s="328" t="s">
        <v>1818</v>
      </c>
      <c r="O4785" s="488">
        <v>0</v>
      </c>
      <c r="P4785" s="488">
        <v>0</v>
      </c>
      <c r="Q4785" s="488">
        <v>0</v>
      </c>
      <c r="R4785" s="488">
        <v>0</v>
      </c>
      <c r="S4785" s="488">
        <v>0</v>
      </c>
      <c r="T4785" s="488">
        <v>0</v>
      </c>
      <c r="U4785" s="488">
        <v>150</v>
      </c>
      <c r="V4785" s="488">
        <v>0</v>
      </c>
      <c r="W4785" s="488">
        <v>0</v>
      </c>
      <c r="X4785" s="488">
        <v>0</v>
      </c>
      <c r="Y4785" s="488">
        <v>0</v>
      </c>
      <c r="Z4785" s="488">
        <v>0</v>
      </c>
      <c r="AA4785" s="1440">
        <f>SUM(O4785:Z4785)</f>
        <v>150</v>
      </c>
    </row>
    <row r="4786" spans="1:27" x14ac:dyDescent="0.2">
      <c r="A4786" s="3631"/>
      <c r="B4786" s="3563"/>
      <c r="C4786" s="3606"/>
      <c r="D4786" s="3600"/>
      <c r="E4786" s="3600"/>
      <c r="F4786" s="3629"/>
      <c r="G4786" s="3480"/>
      <c r="H4786" s="2420"/>
      <c r="I4786" s="2421"/>
      <c r="J4786" s="3483"/>
      <c r="K4786" s="3627"/>
      <c r="L4786" s="2421"/>
      <c r="M4786" s="1925" t="s">
        <v>541</v>
      </c>
      <c r="N4786" s="328" t="s">
        <v>542</v>
      </c>
      <c r="O4786" s="488">
        <f>500-150</f>
        <v>350</v>
      </c>
      <c r="P4786" s="488">
        <v>0</v>
      </c>
      <c r="Q4786" s="488">
        <v>0</v>
      </c>
      <c r="R4786" s="488">
        <v>0</v>
      </c>
      <c r="S4786" s="488">
        <v>0</v>
      </c>
      <c r="T4786" s="488">
        <v>0</v>
      </c>
      <c r="U4786" s="488">
        <v>0</v>
      </c>
      <c r="V4786" s="488">
        <v>0</v>
      </c>
      <c r="W4786" s="488">
        <v>0</v>
      </c>
      <c r="X4786" s="488">
        <v>0</v>
      </c>
      <c r="Y4786" s="488">
        <v>0</v>
      </c>
      <c r="Z4786" s="488">
        <v>0</v>
      </c>
      <c r="AA4786" s="1440">
        <f>+O4786</f>
        <v>350</v>
      </c>
    </row>
    <row r="4787" spans="1:27" ht="22.5" x14ac:dyDescent="0.2">
      <c r="A4787" s="3631"/>
      <c r="B4787" s="3563"/>
      <c r="C4787" s="3606"/>
      <c r="D4787" s="3600"/>
      <c r="E4787" s="3600"/>
      <c r="F4787" s="3629"/>
      <c r="G4787" s="3480"/>
      <c r="H4787" s="2420"/>
      <c r="I4787" s="2421"/>
      <c r="J4787" s="3483"/>
      <c r="K4787" s="3627"/>
      <c r="L4787" s="2421"/>
      <c r="M4787" s="1925" t="s">
        <v>194</v>
      </c>
      <c r="N4787" s="1925" t="s">
        <v>1368</v>
      </c>
      <c r="O4787" s="500">
        <v>900</v>
      </c>
      <c r="P4787" s="500">
        <v>0</v>
      </c>
      <c r="Q4787" s="500">
        <v>0</v>
      </c>
      <c r="R4787" s="500">
        <v>0</v>
      </c>
      <c r="S4787" s="500">
        <v>0</v>
      </c>
      <c r="T4787" s="500">
        <v>0</v>
      </c>
      <c r="U4787" s="500">
        <v>0</v>
      </c>
      <c r="V4787" s="500">
        <v>0</v>
      </c>
      <c r="W4787" s="500">
        <v>0</v>
      </c>
      <c r="X4787" s="500">
        <v>0</v>
      </c>
      <c r="Y4787" s="500">
        <v>0</v>
      </c>
      <c r="Z4787" s="500">
        <v>0</v>
      </c>
      <c r="AA4787" s="1440">
        <f>SUM(O4787:Z4787)</f>
        <v>900</v>
      </c>
    </row>
    <row r="4788" spans="1:27" x14ac:dyDescent="0.2">
      <c r="A4788" s="3631" t="s">
        <v>1823</v>
      </c>
      <c r="B4788" s="3390">
        <v>2.2000000000000002</v>
      </c>
      <c r="C4788" s="3606" t="s">
        <v>1947</v>
      </c>
      <c r="D4788" s="3600" t="s">
        <v>1806</v>
      </c>
      <c r="E4788" s="2421">
        <v>23</v>
      </c>
      <c r="F4788" s="3629" t="s">
        <v>1807</v>
      </c>
      <c r="G4788" s="3480" t="s">
        <v>166</v>
      </c>
      <c r="H4788" s="2420" t="s">
        <v>1826</v>
      </c>
      <c r="I4788" s="2421" t="s">
        <v>156</v>
      </c>
      <c r="J4788" s="2421">
        <v>2</v>
      </c>
      <c r="K4788" s="3632">
        <f>AA4789</f>
        <v>1500</v>
      </c>
      <c r="L4788" s="2413" t="s">
        <v>1812</v>
      </c>
      <c r="M4788" s="3516" t="s">
        <v>51</v>
      </c>
      <c r="N4788" s="3516"/>
      <c r="O4788" s="314">
        <v>0</v>
      </c>
      <c r="P4788" s="314">
        <v>0</v>
      </c>
      <c r="Q4788" s="314">
        <v>0</v>
      </c>
      <c r="R4788" s="314">
        <v>1</v>
      </c>
      <c r="S4788" s="314">
        <v>0</v>
      </c>
      <c r="T4788" s="314">
        <v>0</v>
      </c>
      <c r="U4788" s="314">
        <v>0</v>
      </c>
      <c r="V4788" s="314">
        <v>0</v>
      </c>
      <c r="W4788" s="329">
        <v>1</v>
      </c>
      <c r="X4788" s="329">
        <v>0</v>
      </c>
      <c r="Y4788" s="329">
        <v>0</v>
      </c>
      <c r="Z4788" s="329">
        <v>0</v>
      </c>
      <c r="AA4788" s="979">
        <f>SUM(O4788:Z4788)</f>
        <v>2</v>
      </c>
    </row>
    <row r="4789" spans="1:27" x14ac:dyDescent="0.2">
      <c r="A4789" s="3631"/>
      <c r="B4789" s="3390"/>
      <c r="C4789" s="3606"/>
      <c r="D4789" s="3600"/>
      <c r="E4789" s="2421"/>
      <c r="F4789" s="3629"/>
      <c r="G4789" s="3480"/>
      <c r="H4789" s="2420"/>
      <c r="I4789" s="2421"/>
      <c r="J4789" s="2421"/>
      <c r="K4789" s="3632"/>
      <c r="L4789" s="2413"/>
      <c r="M4789" s="3516" t="s">
        <v>1813</v>
      </c>
      <c r="N4789" s="3516"/>
      <c r="O4789" s="315">
        <f>SUM(O4790:O4791)</f>
        <v>0</v>
      </c>
      <c r="P4789" s="315">
        <f t="shared" ref="P4789:Z4789" si="798">SUM(P4790:P4791)</f>
        <v>0</v>
      </c>
      <c r="Q4789" s="315">
        <f t="shared" si="798"/>
        <v>0</v>
      </c>
      <c r="R4789" s="315">
        <v>750</v>
      </c>
      <c r="S4789" s="315">
        <v>0</v>
      </c>
      <c r="T4789" s="315">
        <f t="shared" si="798"/>
        <v>0</v>
      </c>
      <c r="U4789" s="315">
        <f t="shared" si="798"/>
        <v>0</v>
      </c>
      <c r="V4789" s="315">
        <f t="shared" si="798"/>
        <v>0</v>
      </c>
      <c r="W4789" s="315">
        <v>750</v>
      </c>
      <c r="X4789" s="315">
        <v>0</v>
      </c>
      <c r="Y4789" s="315">
        <f t="shared" si="798"/>
        <v>0</v>
      </c>
      <c r="Z4789" s="315">
        <f t="shared" si="798"/>
        <v>0</v>
      </c>
      <c r="AA4789" s="979">
        <f t="shared" ref="AA4789:AA4813" si="799">SUM(O4789:Z4789)</f>
        <v>1500</v>
      </c>
    </row>
    <row r="4790" spans="1:27" x14ac:dyDescent="0.2">
      <c r="A4790" s="3631"/>
      <c r="B4790" s="3390"/>
      <c r="C4790" s="3606"/>
      <c r="D4790" s="3600"/>
      <c r="E4790" s="2421"/>
      <c r="F4790" s="3629"/>
      <c r="G4790" s="3480"/>
      <c r="H4790" s="2420"/>
      <c r="I4790" s="2421"/>
      <c r="J4790" s="2421"/>
      <c r="K4790" s="3632"/>
      <c r="L4790" s="2413"/>
      <c r="M4790" s="1925" t="s">
        <v>1452</v>
      </c>
      <c r="N4790" s="1925" t="s">
        <v>1818</v>
      </c>
      <c r="O4790" s="488">
        <v>0</v>
      </c>
      <c r="P4790" s="488">
        <v>0</v>
      </c>
      <c r="Q4790" s="488">
        <v>0</v>
      </c>
      <c r="R4790" s="488">
        <v>0</v>
      </c>
      <c r="S4790" s="488">
        <v>0</v>
      </c>
      <c r="T4790" s="488">
        <v>0</v>
      </c>
      <c r="U4790" s="488">
        <v>0</v>
      </c>
      <c r="V4790" s="488">
        <v>0</v>
      </c>
      <c r="W4790" s="330">
        <v>0</v>
      </c>
      <c r="X4790" s="330">
        <v>150</v>
      </c>
      <c r="Y4790" s="330">
        <v>0</v>
      </c>
      <c r="Z4790" s="330">
        <v>0</v>
      </c>
      <c r="AA4790" s="979">
        <f t="shared" si="799"/>
        <v>150</v>
      </c>
    </row>
    <row r="4791" spans="1:27" ht="22.5" x14ac:dyDescent="0.2">
      <c r="A4791" s="3631"/>
      <c r="B4791" s="3390"/>
      <c r="C4791" s="3606"/>
      <c r="D4791" s="3600"/>
      <c r="E4791" s="2421"/>
      <c r="F4791" s="3629"/>
      <c r="G4791" s="3480"/>
      <c r="H4791" s="2420"/>
      <c r="I4791" s="2421"/>
      <c r="J4791" s="2421"/>
      <c r="K4791" s="3632"/>
      <c r="L4791" s="2413"/>
      <c r="M4791" s="1925" t="s">
        <v>194</v>
      </c>
      <c r="N4791" s="1925" t="s">
        <v>1368</v>
      </c>
      <c r="O4791" s="488">
        <v>0</v>
      </c>
      <c r="P4791" s="488">
        <v>0</v>
      </c>
      <c r="Q4791" s="488">
        <v>0</v>
      </c>
      <c r="R4791" s="488">
        <v>750</v>
      </c>
      <c r="S4791" s="488">
        <v>0</v>
      </c>
      <c r="T4791" s="488">
        <v>0</v>
      </c>
      <c r="U4791" s="488">
        <v>0</v>
      </c>
      <c r="V4791" s="488">
        <v>0</v>
      </c>
      <c r="W4791" s="330">
        <v>750</v>
      </c>
      <c r="X4791" s="330">
        <v>0</v>
      </c>
      <c r="Y4791" s="330">
        <v>0</v>
      </c>
      <c r="Z4791" s="330">
        <v>0</v>
      </c>
      <c r="AA4791" s="979">
        <f t="shared" si="799"/>
        <v>1500</v>
      </c>
    </row>
    <row r="4792" spans="1:27" x14ac:dyDescent="0.2">
      <c r="A4792" s="3631" t="s">
        <v>1827</v>
      </c>
      <c r="B4792" s="3390">
        <v>3.1</v>
      </c>
      <c r="C4792" s="3606" t="s">
        <v>1828</v>
      </c>
      <c r="D4792" s="2420" t="s">
        <v>1806</v>
      </c>
      <c r="E4792" s="2420">
        <v>23</v>
      </c>
      <c r="F4792" s="3480" t="s">
        <v>1807</v>
      </c>
      <c r="G4792" s="3480" t="s">
        <v>166</v>
      </c>
      <c r="H4792" s="2420" t="s">
        <v>1829</v>
      </c>
      <c r="I4792" s="2420" t="s">
        <v>156</v>
      </c>
      <c r="J4792" s="2420">
        <v>7</v>
      </c>
      <c r="K4792" s="3632">
        <f>AA4793</f>
        <v>2100</v>
      </c>
      <c r="L4792" s="2420" t="s">
        <v>1812</v>
      </c>
      <c r="M4792" s="3516" t="s">
        <v>51</v>
      </c>
      <c r="N4792" s="3516"/>
      <c r="O4792" s="316">
        <v>0</v>
      </c>
      <c r="P4792" s="316">
        <v>0</v>
      </c>
      <c r="Q4792" s="316">
        <v>0</v>
      </c>
      <c r="R4792" s="316">
        <v>0</v>
      </c>
      <c r="S4792" s="316">
        <v>0</v>
      </c>
      <c r="T4792" s="46">
        <v>1</v>
      </c>
      <c r="U4792" s="46">
        <v>1</v>
      </c>
      <c r="V4792" s="46">
        <v>1</v>
      </c>
      <c r="W4792" s="46">
        <v>1</v>
      </c>
      <c r="X4792" s="46">
        <v>1</v>
      </c>
      <c r="Y4792" s="46">
        <v>1</v>
      </c>
      <c r="Z4792" s="46">
        <v>1</v>
      </c>
      <c r="AA4792" s="2252">
        <f>SUM(O4792:Z4792)</f>
        <v>7</v>
      </c>
    </row>
    <row r="4793" spans="1:27" x14ac:dyDescent="0.2">
      <c r="A4793" s="3631"/>
      <c r="B4793" s="3390"/>
      <c r="C4793" s="3606"/>
      <c r="D4793" s="2420"/>
      <c r="E4793" s="2420"/>
      <c r="F4793" s="3480"/>
      <c r="G4793" s="3480"/>
      <c r="H4793" s="2420"/>
      <c r="I4793" s="2420"/>
      <c r="J4793" s="2420"/>
      <c r="K4793" s="3632"/>
      <c r="L4793" s="2420"/>
      <c r="M4793" s="3516" t="s">
        <v>1813</v>
      </c>
      <c r="N4793" s="3516"/>
      <c r="O4793" s="451">
        <v>0</v>
      </c>
      <c r="P4793" s="451">
        <v>0</v>
      </c>
      <c r="Q4793" s="451">
        <v>0</v>
      </c>
      <c r="R4793" s="451">
        <v>0</v>
      </c>
      <c r="S4793" s="451">
        <v>0</v>
      </c>
      <c r="T4793" s="454">
        <f t="shared" ref="T4793:Z4793" si="800">SUM(T4794:T4797)</f>
        <v>300</v>
      </c>
      <c r="U4793" s="454">
        <f t="shared" si="800"/>
        <v>300</v>
      </c>
      <c r="V4793" s="454">
        <f t="shared" si="800"/>
        <v>300</v>
      </c>
      <c r="W4793" s="454">
        <f t="shared" si="800"/>
        <v>300</v>
      </c>
      <c r="X4793" s="454">
        <f t="shared" si="800"/>
        <v>300</v>
      </c>
      <c r="Y4793" s="454">
        <f t="shared" si="800"/>
        <v>300</v>
      </c>
      <c r="Z4793" s="454">
        <f t="shared" si="800"/>
        <v>300</v>
      </c>
      <c r="AA4793" s="2253">
        <f>SUM(O4793:Z4793)</f>
        <v>2100</v>
      </c>
    </row>
    <row r="4794" spans="1:27" ht="22.5" x14ac:dyDescent="0.2">
      <c r="A4794" s="3631"/>
      <c r="B4794" s="3390"/>
      <c r="C4794" s="3606"/>
      <c r="D4794" s="2420"/>
      <c r="E4794" s="2420"/>
      <c r="F4794" s="3480"/>
      <c r="G4794" s="3480"/>
      <c r="H4794" s="2420"/>
      <c r="I4794" s="2420"/>
      <c r="J4794" s="2420"/>
      <c r="K4794" s="3632"/>
      <c r="L4794" s="2420"/>
      <c r="M4794" s="1925" t="s">
        <v>194</v>
      </c>
      <c r="N4794" s="1925" t="s">
        <v>1368</v>
      </c>
      <c r="O4794" s="316">
        <v>0</v>
      </c>
      <c r="P4794" s="316">
        <v>0</v>
      </c>
      <c r="Q4794" s="316">
        <v>0</v>
      </c>
      <c r="R4794" s="316">
        <v>0</v>
      </c>
      <c r="S4794" s="316">
        <v>0</v>
      </c>
      <c r="T4794" s="454">
        <v>200</v>
      </c>
      <c r="U4794" s="454">
        <v>200</v>
      </c>
      <c r="V4794" s="454">
        <v>200</v>
      </c>
      <c r="W4794" s="454">
        <v>200</v>
      </c>
      <c r="X4794" s="454">
        <v>200</v>
      </c>
      <c r="Y4794" s="454">
        <v>200</v>
      </c>
      <c r="Z4794" s="454">
        <v>200</v>
      </c>
      <c r="AA4794" s="1439">
        <f t="shared" ref="AA4794:AA4801" si="801">SUM(O4794:Z4794)</f>
        <v>1400</v>
      </c>
    </row>
    <row r="4795" spans="1:27" x14ac:dyDescent="0.2">
      <c r="A4795" s="3631"/>
      <c r="B4795" s="3390"/>
      <c r="C4795" s="3606"/>
      <c r="D4795" s="2420"/>
      <c r="E4795" s="2420"/>
      <c r="F4795" s="3480"/>
      <c r="G4795" s="3480"/>
      <c r="H4795" s="2420"/>
      <c r="I4795" s="2420"/>
      <c r="J4795" s="2420"/>
      <c r="K4795" s="3632"/>
      <c r="L4795" s="2420"/>
      <c r="M4795" s="1925" t="s">
        <v>541</v>
      </c>
      <c r="N4795" s="1925" t="s">
        <v>542</v>
      </c>
      <c r="O4795" s="451">
        <v>0</v>
      </c>
      <c r="P4795" s="451">
        <v>0</v>
      </c>
      <c r="Q4795" s="451">
        <v>0</v>
      </c>
      <c r="R4795" s="451">
        <v>0</v>
      </c>
      <c r="S4795" s="451">
        <v>0</v>
      </c>
      <c r="T4795" s="454">
        <v>0</v>
      </c>
      <c r="U4795" s="454">
        <v>0</v>
      </c>
      <c r="V4795" s="454">
        <v>0</v>
      </c>
      <c r="W4795" s="454">
        <v>0</v>
      </c>
      <c r="X4795" s="454">
        <v>0</v>
      </c>
      <c r="Y4795" s="454">
        <v>0</v>
      </c>
      <c r="Z4795" s="454">
        <v>0</v>
      </c>
      <c r="AA4795" s="1439">
        <f t="shared" si="801"/>
        <v>0</v>
      </c>
    </row>
    <row r="4796" spans="1:27" ht="22.5" x14ac:dyDescent="0.2">
      <c r="A4796" s="3631"/>
      <c r="B4796" s="3390"/>
      <c r="C4796" s="3606"/>
      <c r="D4796" s="2420"/>
      <c r="E4796" s="2420"/>
      <c r="F4796" s="3480"/>
      <c r="G4796" s="3480"/>
      <c r="H4796" s="2420"/>
      <c r="I4796" s="2420"/>
      <c r="J4796" s="2420"/>
      <c r="K4796" s="3632"/>
      <c r="L4796" s="2420"/>
      <c r="M4796" s="1925" t="s">
        <v>200</v>
      </c>
      <c r="N4796" s="1925" t="s">
        <v>1473</v>
      </c>
      <c r="O4796" s="316">
        <v>0</v>
      </c>
      <c r="P4796" s="316">
        <v>0</v>
      </c>
      <c r="Q4796" s="316">
        <v>0</v>
      </c>
      <c r="R4796" s="316">
        <v>0</v>
      </c>
      <c r="S4796" s="316">
        <v>0</v>
      </c>
      <c r="T4796" s="454">
        <v>0</v>
      </c>
      <c r="U4796" s="454">
        <v>0</v>
      </c>
      <c r="V4796" s="454">
        <v>0</v>
      </c>
      <c r="W4796" s="454">
        <v>0</v>
      </c>
      <c r="X4796" s="454">
        <v>0</v>
      </c>
      <c r="Y4796" s="454">
        <v>0</v>
      </c>
      <c r="Z4796" s="454">
        <v>0</v>
      </c>
      <c r="AA4796" s="1439">
        <f t="shared" si="801"/>
        <v>0</v>
      </c>
    </row>
    <row r="4797" spans="1:27" x14ac:dyDescent="0.2">
      <c r="A4797" s="3631"/>
      <c r="B4797" s="3390"/>
      <c r="C4797" s="3606"/>
      <c r="D4797" s="2420"/>
      <c r="E4797" s="2420"/>
      <c r="F4797" s="3480"/>
      <c r="G4797" s="3480"/>
      <c r="H4797" s="2420"/>
      <c r="I4797" s="2420"/>
      <c r="J4797" s="2420"/>
      <c r="K4797" s="3632"/>
      <c r="L4797" s="2420"/>
      <c r="M4797" s="1925" t="s">
        <v>1452</v>
      </c>
      <c r="N4797" s="1925" t="s">
        <v>1818</v>
      </c>
      <c r="O4797" s="451">
        <v>0</v>
      </c>
      <c r="P4797" s="451">
        <v>0</v>
      </c>
      <c r="Q4797" s="451">
        <v>0</v>
      </c>
      <c r="R4797" s="451">
        <v>0</v>
      </c>
      <c r="S4797" s="451">
        <v>0</v>
      </c>
      <c r="T4797" s="331">
        <v>100</v>
      </c>
      <c r="U4797" s="331">
        <v>100</v>
      </c>
      <c r="V4797" s="331">
        <v>100</v>
      </c>
      <c r="W4797" s="331">
        <v>100</v>
      </c>
      <c r="X4797" s="331">
        <v>100</v>
      </c>
      <c r="Y4797" s="331">
        <v>100</v>
      </c>
      <c r="Z4797" s="331">
        <v>100</v>
      </c>
      <c r="AA4797" s="1439">
        <f t="shared" si="801"/>
        <v>700</v>
      </c>
    </row>
    <row r="4798" spans="1:27" x14ac:dyDescent="0.2">
      <c r="A4798" s="3631"/>
      <c r="B4798" s="3390">
        <v>3.2</v>
      </c>
      <c r="C4798" s="3606" t="s">
        <v>1830</v>
      </c>
      <c r="D4798" s="2420" t="s">
        <v>1806</v>
      </c>
      <c r="E4798" s="2421">
        <v>23</v>
      </c>
      <c r="F4798" s="3480" t="s">
        <v>1807</v>
      </c>
      <c r="G4798" s="3480" t="s">
        <v>166</v>
      </c>
      <c r="H4798" s="2420" t="s">
        <v>1831</v>
      </c>
      <c r="I4798" s="2421" t="s">
        <v>156</v>
      </c>
      <c r="J4798" s="2421">
        <v>2</v>
      </c>
      <c r="K4798" s="3632">
        <f>AA4799</f>
        <v>2300</v>
      </c>
      <c r="L4798" s="2413" t="s">
        <v>1812</v>
      </c>
      <c r="M4798" s="2999" t="s">
        <v>51</v>
      </c>
      <c r="N4798" s="2999"/>
      <c r="O4798" s="314">
        <v>0</v>
      </c>
      <c r="P4798" s="314">
        <v>1</v>
      </c>
      <c r="Q4798" s="314">
        <v>0</v>
      </c>
      <c r="R4798" s="314">
        <v>0</v>
      </c>
      <c r="S4798" s="314">
        <v>0</v>
      </c>
      <c r="T4798" s="314">
        <v>0</v>
      </c>
      <c r="U4798" s="314">
        <v>1</v>
      </c>
      <c r="V4798" s="314">
        <v>0</v>
      </c>
      <c r="W4798" s="314">
        <v>0</v>
      </c>
      <c r="X4798" s="314">
        <v>0</v>
      </c>
      <c r="Y4798" s="314">
        <v>0</v>
      </c>
      <c r="Z4798" s="314">
        <v>1</v>
      </c>
      <c r="AA4798" s="978">
        <v>2</v>
      </c>
    </row>
    <row r="4799" spans="1:27" x14ac:dyDescent="0.2">
      <c r="A4799" s="3631"/>
      <c r="B4799" s="3390"/>
      <c r="C4799" s="3606"/>
      <c r="D4799" s="2420"/>
      <c r="E4799" s="2421"/>
      <c r="F4799" s="3480"/>
      <c r="G4799" s="3480"/>
      <c r="H4799" s="2420"/>
      <c r="I4799" s="2421"/>
      <c r="J4799" s="2421"/>
      <c r="K4799" s="3632"/>
      <c r="L4799" s="2413"/>
      <c r="M4799" s="3516" t="s">
        <v>1813</v>
      </c>
      <c r="N4799" s="3516"/>
      <c r="O4799" s="315">
        <f>SUM(O4800:O4801)</f>
        <v>0</v>
      </c>
      <c r="P4799" s="315">
        <v>0</v>
      </c>
      <c r="Q4799" s="315">
        <f t="shared" ref="Q4799:Z4799" si="802">SUM(Q4800:Q4801)</f>
        <v>0</v>
      </c>
      <c r="R4799" s="315">
        <f t="shared" si="802"/>
        <v>0</v>
      </c>
      <c r="S4799" s="315">
        <f t="shared" si="802"/>
        <v>0</v>
      </c>
      <c r="T4799" s="315">
        <f t="shared" si="802"/>
        <v>0</v>
      </c>
      <c r="U4799" s="315">
        <f t="shared" si="802"/>
        <v>1150</v>
      </c>
      <c r="V4799" s="315">
        <f t="shared" si="802"/>
        <v>0</v>
      </c>
      <c r="W4799" s="315">
        <f t="shared" si="802"/>
        <v>0</v>
      </c>
      <c r="X4799" s="315">
        <f t="shared" si="802"/>
        <v>0</v>
      </c>
      <c r="Y4799" s="315">
        <f t="shared" si="802"/>
        <v>0</v>
      </c>
      <c r="Z4799" s="315">
        <f t="shared" si="802"/>
        <v>1150</v>
      </c>
      <c r="AA4799" s="979">
        <f>SUM(O4799:Z4799)</f>
        <v>2300</v>
      </c>
    </row>
    <row r="4800" spans="1:27" ht="22.5" x14ac:dyDescent="0.2">
      <c r="A4800" s="3631"/>
      <c r="B4800" s="3390"/>
      <c r="C4800" s="3606"/>
      <c r="D4800" s="2420"/>
      <c r="E4800" s="2421"/>
      <c r="F4800" s="3480"/>
      <c r="G4800" s="3480"/>
      <c r="H4800" s="2420"/>
      <c r="I4800" s="2421"/>
      <c r="J4800" s="2421"/>
      <c r="K4800" s="3632"/>
      <c r="L4800" s="2413"/>
      <c r="M4800" s="1925" t="s">
        <v>200</v>
      </c>
      <c r="N4800" s="1925" t="s">
        <v>1473</v>
      </c>
      <c r="O4800" s="318">
        <v>0</v>
      </c>
      <c r="P4800" s="318">
        <v>0</v>
      </c>
      <c r="Q4800" s="318">
        <v>0</v>
      </c>
      <c r="R4800" s="318">
        <v>0</v>
      </c>
      <c r="S4800" s="318">
        <v>0</v>
      </c>
      <c r="T4800" s="318">
        <v>0</v>
      </c>
      <c r="U4800" s="318">
        <v>450</v>
      </c>
      <c r="V4800" s="318">
        <v>0</v>
      </c>
      <c r="W4800" s="318">
        <v>0</v>
      </c>
      <c r="X4800" s="318">
        <v>0</v>
      </c>
      <c r="Y4800" s="318">
        <v>0</v>
      </c>
      <c r="Z4800" s="318">
        <v>450</v>
      </c>
      <c r="AA4800" s="2254">
        <f t="shared" si="801"/>
        <v>900</v>
      </c>
    </row>
    <row r="4801" spans="1:27" x14ac:dyDescent="0.2">
      <c r="A4801" s="3631"/>
      <c r="B4801" s="3390"/>
      <c r="C4801" s="3606"/>
      <c r="D4801" s="2420"/>
      <c r="E4801" s="2421"/>
      <c r="F4801" s="3480"/>
      <c r="G4801" s="3480"/>
      <c r="H4801" s="2420"/>
      <c r="I4801" s="2421"/>
      <c r="J4801" s="2421"/>
      <c r="K4801" s="3632"/>
      <c r="L4801" s="2413"/>
      <c r="M4801" s="1925" t="s">
        <v>1452</v>
      </c>
      <c r="N4801" s="1925" t="s">
        <v>1818</v>
      </c>
      <c r="O4801" s="318">
        <v>0</v>
      </c>
      <c r="P4801" s="318">
        <v>0</v>
      </c>
      <c r="Q4801" s="318">
        <v>0</v>
      </c>
      <c r="R4801" s="318">
        <v>0</v>
      </c>
      <c r="S4801" s="318">
        <v>0</v>
      </c>
      <c r="T4801" s="318">
        <v>0</v>
      </c>
      <c r="U4801" s="318">
        <v>700</v>
      </c>
      <c r="V4801" s="318">
        <v>0</v>
      </c>
      <c r="W4801" s="318">
        <v>0</v>
      </c>
      <c r="X4801" s="318">
        <v>0</v>
      </c>
      <c r="Y4801" s="318">
        <v>0</v>
      </c>
      <c r="Z4801" s="318">
        <v>700</v>
      </c>
      <c r="AA4801" s="976">
        <f t="shared" si="801"/>
        <v>1400</v>
      </c>
    </row>
    <row r="4802" spans="1:27" x14ac:dyDescent="0.2">
      <c r="A4802" s="3631" t="s">
        <v>1832</v>
      </c>
      <c r="B4802" s="3390">
        <v>4.0999999999999996</v>
      </c>
      <c r="C4802" s="3606" t="s">
        <v>1834</v>
      </c>
      <c r="D4802" s="2420" t="s">
        <v>1806</v>
      </c>
      <c r="E4802" s="2420">
        <v>23</v>
      </c>
      <c r="F4802" s="3480" t="s">
        <v>1807</v>
      </c>
      <c r="G4802" s="3480" t="s">
        <v>166</v>
      </c>
      <c r="H4802" s="2420" t="s">
        <v>1817</v>
      </c>
      <c r="I4802" s="2421" t="s">
        <v>156</v>
      </c>
      <c r="J4802" s="2420">
        <v>2</v>
      </c>
      <c r="K4802" s="3632">
        <f>AA4804</f>
        <v>740</v>
      </c>
      <c r="L4802" s="2413" t="s">
        <v>1812</v>
      </c>
      <c r="M4802" s="3516" t="s">
        <v>51</v>
      </c>
      <c r="N4802" s="3516"/>
      <c r="O4802" s="316">
        <v>0</v>
      </c>
      <c r="P4802" s="316">
        <v>0</v>
      </c>
      <c r="Q4802" s="316">
        <v>0</v>
      </c>
      <c r="R4802" s="316">
        <v>0</v>
      </c>
      <c r="S4802" s="316">
        <v>0</v>
      </c>
      <c r="T4802" s="316">
        <v>0</v>
      </c>
      <c r="U4802" s="316">
        <v>1</v>
      </c>
      <c r="V4802" s="316">
        <v>0</v>
      </c>
      <c r="W4802" s="316">
        <v>0</v>
      </c>
      <c r="X4802" s="316">
        <v>0</v>
      </c>
      <c r="Y4802" s="316">
        <v>0</v>
      </c>
      <c r="Z4802" s="319">
        <v>1</v>
      </c>
      <c r="AA4802" s="2253">
        <f t="shared" si="799"/>
        <v>2</v>
      </c>
    </row>
    <row r="4803" spans="1:27" x14ac:dyDescent="0.2">
      <c r="A4803" s="3631"/>
      <c r="B4803" s="3390"/>
      <c r="C4803" s="3606"/>
      <c r="D4803" s="2420"/>
      <c r="E4803" s="2420"/>
      <c r="F4803" s="3480"/>
      <c r="G4803" s="3480"/>
      <c r="H4803" s="2420"/>
      <c r="I4803" s="2421"/>
      <c r="J4803" s="2420"/>
      <c r="K4803" s="3632"/>
      <c r="L4803" s="2413"/>
      <c r="M4803" s="3516" t="s">
        <v>1813</v>
      </c>
      <c r="N4803" s="3516"/>
      <c r="O4803" s="316">
        <v>40</v>
      </c>
      <c r="P4803" s="316">
        <f t="shared" ref="P4803:X4803" si="803">SUM(P4804)</f>
        <v>0</v>
      </c>
      <c r="Q4803" s="316">
        <f t="shared" si="803"/>
        <v>0</v>
      </c>
      <c r="R4803" s="316">
        <f t="shared" si="803"/>
        <v>0</v>
      </c>
      <c r="S4803" s="316">
        <f t="shared" si="803"/>
        <v>0</v>
      </c>
      <c r="T4803" s="316">
        <f t="shared" si="803"/>
        <v>0</v>
      </c>
      <c r="U4803" s="316">
        <f t="shared" si="803"/>
        <v>350</v>
      </c>
      <c r="V4803" s="316">
        <f t="shared" si="803"/>
        <v>0</v>
      </c>
      <c r="W4803" s="316">
        <f t="shared" si="803"/>
        <v>0</v>
      </c>
      <c r="X4803" s="316">
        <f t="shared" si="803"/>
        <v>0</v>
      </c>
      <c r="Y4803" s="316">
        <f>SUM(Y4804)</f>
        <v>0</v>
      </c>
      <c r="Z4803" s="316">
        <f>SUM(Z4804)</f>
        <v>350</v>
      </c>
      <c r="AA4803" s="2253">
        <f t="shared" si="799"/>
        <v>740</v>
      </c>
    </row>
    <row r="4804" spans="1:27" x14ac:dyDescent="0.2">
      <c r="A4804" s="3631"/>
      <c r="B4804" s="3390"/>
      <c r="C4804" s="3606"/>
      <c r="D4804" s="2420"/>
      <c r="E4804" s="2420"/>
      <c r="F4804" s="3480"/>
      <c r="G4804" s="3480"/>
      <c r="H4804" s="2420"/>
      <c r="I4804" s="2421"/>
      <c r="J4804" s="2420"/>
      <c r="K4804" s="3632"/>
      <c r="L4804" s="2413"/>
      <c r="M4804" s="1925" t="s">
        <v>1452</v>
      </c>
      <c r="N4804" s="1925" t="s">
        <v>1818</v>
      </c>
      <c r="O4804" s="497">
        <v>40</v>
      </c>
      <c r="P4804" s="497">
        <v>0</v>
      </c>
      <c r="Q4804" s="497">
        <v>0</v>
      </c>
      <c r="R4804" s="497">
        <v>0</v>
      </c>
      <c r="S4804" s="497">
        <v>0</v>
      </c>
      <c r="T4804" s="497">
        <v>0</v>
      </c>
      <c r="U4804" s="497">
        <v>350</v>
      </c>
      <c r="V4804" s="497">
        <v>0</v>
      </c>
      <c r="W4804" s="497">
        <v>0</v>
      </c>
      <c r="X4804" s="497">
        <v>0</v>
      </c>
      <c r="Y4804" s="497">
        <v>0</v>
      </c>
      <c r="Z4804" s="332">
        <v>350</v>
      </c>
      <c r="AA4804" s="1439">
        <f t="shared" si="799"/>
        <v>740</v>
      </c>
    </row>
    <row r="4805" spans="1:27" x14ac:dyDescent="0.2">
      <c r="A4805" s="3631"/>
      <c r="B4805" s="3390">
        <v>4.3</v>
      </c>
      <c r="C4805" s="3606" t="s">
        <v>1835</v>
      </c>
      <c r="D4805" s="2420" t="s">
        <v>1806</v>
      </c>
      <c r="E4805" s="2420">
        <v>23</v>
      </c>
      <c r="F4805" s="3480" t="s">
        <v>1807</v>
      </c>
      <c r="G4805" s="3480" t="s">
        <v>166</v>
      </c>
      <c r="H4805" s="2420" t="s">
        <v>1826</v>
      </c>
      <c r="I4805" s="2421" t="s">
        <v>156</v>
      </c>
      <c r="J4805" s="2420">
        <v>3</v>
      </c>
      <c r="K4805" s="3632">
        <f>AA4806</f>
        <v>2250</v>
      </c>
      <c r="L4805" s="2413" t="s">
        <v>1812</v>
      </c>
      <c r="M4805" s="3516" t="s">
        <v>51</v>
      </c>
      <c r="N4805" s="3516"/>
      <c r="O4805" s="314">
        <v>0</v>
      </c>
      <c r="P4805" s="314">
        <v>0</v>
      </c>
      <c r="Q4805" s="314">
        <v>0</v>
      </c>
      <c r="R4805" s="314">
        <v>0</v>
      </c>
      <c r="S4805" s="314">
        <v>1</v>
      </c>
      <c r="T4805" s="314">
        <v>0</v>
      </c>
      <c r="U4805" s="314">
        <v>0</v>
      </c>
      <c r="V4805" s="314">
        <v>0</v>
      </c>
      <c r="W4805" s="319">
        <v>1</v>
      </c>
      <c r="X4805" s="319">
        <v>0</v>
      </c>
      <c r="Y4805" s="319">
        <v>0</v>
      </c>
      <c r="Z4805" s="319">
        <v>1</v>
      </c>
      <c r="AA4805" s="979">
        <f t="shared" si="799"/>
        <v>3</v>
      </c>
    </row>
    <row r="4806" spans="1:27" x14ac:dyDescent="0.2">
      <c r="A4806" s="3631"/>
      <c r="B4806" s="3390"/>
      <c r="C4806" s="3606"/>
      <c r="D4806" s="2420"/>
      <c r="E4806" s="2420"/>
      <c r="F4806" s="3480"/>
      <c r="G4806" s="3480"/>
      <c r="H4806" s="2420"/>
      <c r="I4806" s="2421"/>
      <c r="J4806" s="2420"/>
      <c r="K4806" s="3632"/>
      <c r="L4806" s="2413"/>
      <c r="M4806" s="3516" t="s">
        <v>1813</v>
      </c>
      <c r="N4806" s="3516"/>
      <c r="O4806" s="314">
        <f>SUM(O4807)</f>
        <v>0</v>
      </c>
      <c r="P4806" s="314">
        <f t="shared" ref="P4806:W4806" si="804">SUM(P4807)</f>
        <v>0</v>
      </c>
      <c r="Q4806" s="314">
        <v>0</v>
      </c>
      <c r="R4806" s="314">
        <f t="shared" si="804"/>
        <v>0</v>
      </c>
      <c r="S4806" s="314">
        <v>750</v>
      </c>
      <c r="T4806" s="314">
        <f t="shared" si="804"/>
        <v>0</v>
      </c>
      <c r="U4806" s="314">
        <f t="shared" si="804"/>
        <v>0</v>
      </c>
      <c r="V4806" s="314">
        <f t="shared" si="804"/>
        <v>0</v>
      </c>
      <c r="W4806" s="314">
        <f t="shared" si="804"/>
        <v>750</v>
      </c>
      <c r="X4806" s="314">
        <f>SUM(X4807)</f>
        <v>0</v>
      </c>
      <c r="Y4806" s="314">
        <f>SUM(Y4807)</f>
        <v>0</v>
      </c>
      <c r="Z4806" s="314">
        <v>750</v>
      </c>
      <c r="AA4806" s="979">
        <f t="shared" si="799"/>
        <v>2250</v>
      </c>
    </row>
    <row r="4807" spans="1:27" ht="22.5" x14ac:dyDescent="0.2">
      <c r="A4807" s="3631"/>
      <c r="B4807" s="3390"/>
      <c r="C4807" s="3606"/>
      <c r="D4807" s="2420"/>
      <c r="E4807" s="2420"/>
      <c r="F4807" s="3480"/>
      <c r="G4807" s="3480"/>
      <c r="H4807" s="2420"/>
      <c r="I4807" s="2421"/>
      <c r="J4807" s="2420"/>
      <c r="K4807" s="3632"/>
      <c r="L4807" s="2420"/>
      <c r="M4807" s="1925" t="s">
        <v>194</v>
      </c>
      <c r="N4807" s="1925" t="s">
        <v>1368</v>
      </c>
      <c r="O4807" s="4">
        <v>0</v>
      </c>
      <c r="P4807" s="4">
        <v>0</v>
      </c>
      <c r="Q4807" s="4">
        <v>0</v>
      </c>
      <c r="R4807" s="4">
        <v>0</v>
      </c>
      <c r="S4807" s="4">
        <v>750</v>
      </c>
      <c r="T4807" s="4">
        <v>0</v>
      </c>
      <c r="U4807" s="4">
        <v>0</v>
      </c>
      <c r="V4807" s="4">
        <v>0</v>
      </c>
      <c r="W4807" s="170">
        <v>750</v>
      </c>
      <c r="X4807" s="170">
        <v>0</v>
      </c>
      <c r="Y4807" s="170">
        <v>0</v>
      </c>
      <c r="Z4807" s="170">
        <v>750</v>
      </c>
      <c r="AA4807" s="976">
        <f t="shared" si="799"/>
        <v>2250</v>
      </c>
    </row>
    <row r="4808" spans="1:27" x14ac:dyDescent="0.2">
      <c r="A4808" s="3631" t="s">
        <v>1836</v>
      </c>
      <c r="B4808" s="3390">
        <v>5.0999999999999996</v>
      </c>
      <c r="C4808" s="3606" t="s">
        <v>1837</v>
      </c>
      <c r="D4808" s="2420" t="s">
        <v>1806</v>
      </c>
      <c r="E4808" s="2420">
        <v>23</v>
      </c>
      <c r="F4808" s="3480" t="s">
        <v>1807</v>
      </c>
      <c r="G4808" s="3480" t="s">
        <v>166</v>
      </c>
      <c r="H4808" s="2420" t="s">
        <v>1838</v>
      </c>
      <c r="I4808" s="2420" t="s">
        <v>156</v>
      </c>
      <c r="J4808" s="2420">
        <v>1</v>
      </c>
      <c r="K4808" s="3632">
        <f>AA4810</f>
        <v>150</v>
      </c>
      <c r="L4808" s="2420" t="s">
        <v>1812</v>
      </c>
      <c r="M4808" s="3516" t="s">
        <v>51</v>
      </c>
      <c r="N4808" s="3516"/>
      <c r="O4808" s="311">
        <v>0</v>
      </c>
      <c r="P4808" s="311">
        <v>0</v>
      </c>
      <c r="Q4808" s="311">
        <v>0</v>
      </c>
      <c r="R4808" s="311">
        <v>0</v>
      </c>
      <c r="S4808" s="311">
        <v>0</v>
      </c>
      <c r="T4808" s="311">
        <v>0</v>
      </c>
      <c r="U4808" s="311">
        <v>1</v>
      </c>
      <c r="V4808" s="311">
        <v>0</v>
      </c>
      <c r="W4808" s="311">
        <v>0</v>
      </c>
      <c r="X4808" s="311">
        <v>0</v>
      </c>
      <c r="Y4808" s="311">
        <v>0</v>
      </c>
      <c r="Z4808" s="314">
        <v>0</v>
      </c>
      <c r="AA4808" s="979">
        <f t="shared" si="799"/>
        <v>1</v>
      </c>
    </row>
    <row r="4809" spans="1:27" x14ac:dyDescent="0.2">
      <c r="A4809" s="3631"/>
      <c r="B4809" s="3390"/>
      <c r="C4809" s="3606"/>
      <c r="D4809" s="2420"/>
      <c r="E4809" s="2420"/>
      <c r="F4809" s="3480"/>
      <c r="G4809" s="3480"/>
      <c r="H4809" s="2420"/>
      <c r="I4809" s="2420"/>
      <c r="J4809" s="2420"/>
      <c r="K4809" s="3632"/>
      <c r="L4809" s="2420"/>
      <c r="M4809" s="3516" t="s">
        <v>1813</v>
      </c>
      <c r="N4809" s="3516"/>
      <c r="O4809" s="312">
        <f>SUM(O4810)</f>
        <v>0</v>
      </c>
      <c r="P4809" s="312">
        <f t="shared" ref="P4809:Y4809" si="805">SUM(P4810)</f>
        <v>0</v>
      </c>
      <c r="Q4809" s="312">
        <v>0</v>
      </c>
      <c r="R4809" s="312">
        <f t="shared" si="805"/>
        <v>0</v>
      </c>
      <c r="S4809" s="312">
        <f t="shared" si="805"/>
        <v>0</v>
      </c>
      <c r="T4809" s="312">
        <f t="shared" si="805"/>
        <v>0</v>
      </c>
      <c r="U4809" s="312">
        <f t="shared" si="805"/>
        <v>150</v>
      </c>
      <c r="V4809" s="312">
        <f t="shared" si="805"/>
        <v>0</v>
      </c>
      <c r="W4809" s="312">
        <f t="shared" si="805"/>
        <v>0</v>
      </c>
      <c r="X4809" s="312">
        <f t="shared" si="805"/>
        <v>0</v>
      </c>
      <c r="Y4809" s="312">
        <f t="shared" si="805"/>
        <v>0</v>
      </c>
      <c r="Z4809" s="312">
        <f>SUM(Z4810)</f>
        <v>0</v>
      </c>
      <c r="AA4809" s="979">
        <f t="shared" si="799"/>
        <v>150</v>
      </c>
    </row>
    <row r="4810" spans="1:27" x14ac:dyDescent="0.2">
      <c r="A4810" s="3631"/>
      <c r="B4810" s="3390"/>
      <c r="C4810" s="3606"/>
      <c r="D4810" s="2420"/>
      <c r="E4810" s="2420"/>
      <c r="F4810" s="3480"/>
      <c r="G4810" s="3480"/>
      <c r="H4810" s="2420"/>
      <c r="I4810" s="2420"/>
      <c r="J4810" s="2420"/>
      <c r="K4810" s="3632"/>
      <c r="L4810" s="2420"/>
      <c r="M4810" s="1925" t="s">
        <v>1452</v>
      </c>
      <c r="N4810" s="1925" t="s">
        <v>1818</v>
      </c>
      <c r="O4810" s="4">
        <v>0</v>
      </c>
      <c r="P4810" s="4">
        <v>0</v>
      </c>
      <c r="Q4810" s="4">
        <v>0</v>
      </c>
      <c r="R4810" s="4">
        <v>0</v>
      </c>
      <c r="S4810" s="4">
        <v>0</v>
      </c>
      <c r="T4810" s="4">
        <v>0</v>
      </c>
      <c r="U4810" s="4">
        <v>150</v>
      </c>
      <c r="V4810" s="4">
        <v>0</v>
      </c>
      <c r="W4810" s="487">
        <v>0</v>
      </c>
      <c r="X4810" s="487">
        <v>0</v>
      </c>
      <c r="Y4810" s="487">
        <v>0</v>
      </c>
      <c r="Z4810" s="487">
        <v>0</v>
      </c>
      <c r="AA4810" s="976">
        <f t="shared" si="799"/>
        <v>150</v>
      </c>
    </row>
    <row r="4811" spans="1:27" x14ac:dyDescent="0.2">
      <c r="A4811" s="3631"/>
      <c r="B4811" s="3390">
        <v>5.3</v>
      </c>
      <c r="C4811" s="3606" t="s">
        <v>1840</v>
      </c>
      <c r="D4811" s="2420" t="s">
        <v>1806</v>
      </c>
      <c r="E4811" s="2421">
        <v>23</v>
      </c>
      <c r="F4811" s="3480" t="s">
        <v>1807</v>
      </c>
      <c r="G4811" s="3480" t="s">
        <v>166</v>
      </c>
      <c r="H4811" s="2420" t="s">
        <v>1838</v>
      </c>
      <c r="I4811" s="2421" t="s">
        <v>156</v>
      </c>
      <c r="J4811" s="3632">
        <f>+AA4811</f>
        <v>1</v>
      </c>
      <c r="K4811" s="3632">
        <f>AA4813</f>
        <v>250</v>
      </c>
      <c r="L4811" s="2413" t="s">
        <v>1812</v>
      </c>
      <c r="M4811" s="3516" t="s">
        <v>51</v>
      </c>
      <c r="N4811" s="3516"/>
      <c r="O4811" s="309">
        <v>0</v>
      </c>
      <c r="P4811" s="309">
        <v>0</v>
      </c>
      <c r="Q4811" s="309">
        <v>0</v>
      </c>
      <c r="R4811" s="309">
        <v>0</v>
      </c>
      <c r="S4811" s="309">
        <v>0</v>
      </c>
      <c r="T4811" s="309">
        <v>0</v>
      </c>
      <c r="U4811" s="309">
        <v>0</v>
      </c>
      <c r="V4811" s="309">
        <v>0</v>
      </c>
      <c r="W4811" s="333">
        <v>1</v>
      </c>
      <c r="X4811" s="333">
        <v>0</v>
      </c>
      <c r="Y4811" s="333">
        <v>0</v>
      </c>
      <c r="Z4811" s="333">
        <v>0</v>
      </c>
      <c r="AA4811" s="2253">
        <f t="shared" si="799"/>
        <v>1</v>
      </c>
    </row>
    <row r="4812" spans="1:27" x14ac:dyDescent="0.2">
      <c r="A4812" s="3631"/>
      <c r="B4812" s="3390"/>
      <c r="C4812" s="3606"/>
      <c r="D4812" s="2420"/>
      <c r="E4812" s="2421"/>
      <c r="F4812" s="3480"/>
      <c r="G4812" s="3480"/>
      <c r="H4812" s="2420"/>
      <c r="I4812" s="2421"/>
      <c r="J4812" s="2421"/>
      <c r="K4812" s="3632"/>
      <c r="L4812" s="2413"/>
      <c r="M4812" s="3516" t="s">
        <v>1813</v>
      </c>
      <c r="N4812" s="3516"/>
      <c r="O4812" s="309">
        <f>SUM(O4813)</f>
        <v>0</v>
      </c>
      <c r="P4812" s="309">
        <v>0</v>
      </c>
      <c r="Q4812" s="309">
        <f t="shared" ref="Q4812:X4812" si="806">SUM(Q4813)</f>
        <v>0</v>
      </c>
      <c r="R4812" s="309">
        <f t="shared" si="806"/>
        <v>0</v>
      </c>
      <c r="S4812" s="309">
        <v>0</v>
      </c>
      <c r="T4812" s="309">
        <f t="shared" si="806"/>
        <v>0</v>
      </c>
      <c r="U4812" s="309">
        <f t="shared" si="806"/>
        <v>0</v>
      </c>
      <c r="V4812" s="309">
        <f t="shared" si="806"/>
        <v>0</v>
      </c>
      <c r="W4812" s="309">
        <f t="shared" si="806"/>
        <v>250</v>
      </c>
      <c r="X4812" s="309">
        <f t="shared" si="806"/>
        <v>0</v>
      </c>
      <c r="Y4812" s="309">
        <f>SUM(Y4813)</f>
        <v>0</v>
      </c>
      <c r="Z4812" s="309">
        <f>SUM(Z4813)</f>
        <v>0</v>
      </c>
      <c r="AA4812" s="2253">
        <f t="shared" si="799"/>
        <v>250</v>
      </c>
    </row>
    <row r="4813" spans="1:27" x14ac:dyDescent="0.2">
      <c r="A4813" s="3631"/>
      <c r="B4813" s="3390"/>
      <c r="C4813" s="3606"/>
      <c r="D4813" s="2420"/>
      <c r="E4813" s="2421"/>
      <c r="F4813" s="3480"/>
      <c r="G4813" s="3480"/>
      <c r="H4813" s="2420"/>
      <c r="I4813" s="2421"/>
      <c r="J4813" s="2421"/>
      <c r="K4813" s="3632"/>
      <c r="L4813" s="2413"/>
      <c r="M4813" s="1925" t="s">
        <v>1452</v>
      </c>
      <c r="N4813" s="1925" t="s">
        <v>1818</v>
      </c>
      <c r="O4813" s="4">
        <v>0</v>
      </c>
      <c r="P4813" s="4">
        <v>0</v>
      </c>
      <c r="Q4813" s="4">
        <v>0</v>
      </c>
      <c r="R4813" s="4">
        <v>0</v>
      </c>
      <c r="S4813" s="4">
        <v>0</v>
      </c>
      <c r="T4813" s="4">
        <v>0</v>
      </c>
      <c r="U4813" s="4">
        <v>0</v>
      </c>
      <c r="V4813" s="4">
        <v>0</v>
      </c>
      <c r="W4813" s="4">
        <v>250</v>
      </c>
      <c r="X4813" s="4">
        <v>0</v>
      </c>
      <c r="Y4813" s="4">
        <v>0</v>
      </c>
      <c r="Z4813" s="4">
        <v>0</v>
      </c>
      <c r="AA4813" s="2255">
        <f t="shared" si="799"/>
        <v>250</v>
      </c>
    </row>
    <row r="4814" spans="1:27" x14ac:dyDescent="0.2">
      <c r="A4814" s="726"/>
      <c r="B4814" s="750"/>
      <c r="C4814" s="751"/>
      <c r="D4814" s="723"/>
      <c r="E4814" s="735"/>
      <c r="F4814" s="745"/>
      <c r="G4814" s="745"/>
      <c r="H4814" s="723"/>
      <c r="I4814" s="735"/>
      <c r="J4814" s="735"/>
      <c r="K4814" s="748"/>
      <c r="L4814" s="749"/>
      <c r="M4814" s="761"/>
      <c r="N4814" s="727"/>
      <c r="O4814" s="736"/>
      <c r="P4814" s="736"/>
      <c r="Q4814" s="736"/>
      <c r="R4814" s="736"/>
      <c r="S4814" s="736"/>
      <c r="T4814" s="736"/>
      <c r="U4814" s="736"/>
      <c r="V4814" s="736"/>
      <c r="W4814" s="736"/>
      <c r="X4814" s="736"/>
      <c r="Y4814" s="736"/>
      <c r="Z4814" s="736"/>
      <c r="AA4814" s="2255"/>
    </row>
    <row r="4815" spans="1:27" x14ac:dyDescent="0.2">
      <c r="A4815" s="3641" t="s">
        <v>1849</v>
      </c>
      <c r="B4815" s="3641"/>
      <c r="C4815" s="3641"/>
      <c r="D4815" s="3641"/>
      <c r="E4815" s="3641"/>
      <c r="F4815" s="3641"/>
      <c r="G4815" s="3641"/>
      <c r="H4815" s="3641"/>
      <c r="I4815" s="3641"/>
      <c r="J4815" s="3641"/>
      <c r="K4815" s="3641"/>
      <c r="L4815" s="3641"/>
      <c r="M4815" s="3641"/>
      <c r="N4815" s="3641"/>
      <c r="O4815" s="3641"/>
      <c r="P4815" s="3641"/>
      <c r="Q4815" s="3641"/>
      <c r="R4815" s="3641"/>
      <c r="S4815" s="3641"/>
      <c r="T4815" s="3641"/>
      <c r="U4815" s="3641"/>
      <c r="V4815" s="3641"/>
      <c r="W4815" s="3641"/>
      <c r="X4815" s="3641"/>
      <c r="Y4815" s="3641"/>
      <c r="Z4815" s="3641"/>
      <c r="AA4815" s="3641"/>
    </row>
    <row r="4816" spans="1:27" ht="29.25" customHeight="1" x14ac:dyDescent="0.2">
      <c r="A4816" s="3597"/>
      <c r="B4816" s="345" t="s">
        <v>1</v>
      </c>
      <c r="C4816" s="3601" t="s">
        <v>1850</v>
      </c>
      <c r="D4816" s="3601"/>
      <c r="E4816" s="3601"/>
      <c r="F4816" s="3601"/>
      <c r="G4816" s="3601"/>
      <c r="H4816" s="3601"/>
      <c r="I4816" s="3601"/>
      <c r="J4816" s="3601"/>
      <c r="K4816" s="3601"/>
      <c r="L4816" s="3601"/>
      <c r="M4816" s="3601"/>
      <c r="N4816" s="3601"/>
      <c r="O4816" s="3601"/>
      <c r="P4816" s="3601"/>
      <c r="Q4816" s="3601"/>
      <c r="R4816" s="3601"/>
      <c r="S4816" s="3601"/>
      <c r="T4816" s="3601"/>
      <c r="U4816" s="3601"/>
      <c r="V4816" s="3601"/>
      <c r="W4816" s="3601"/>
      <c r="X4816" s="3601"/>
      <c r="Y4816" s="3601"/>
      <c r="Z4816" s="3601"/>
      <c r="AA4816" s="3601"/>
    </row>
    <row r="4817" spans="1:27" ht="22.5" x14ac:dyDescent="0.2">
      <c r="A4817" s="3597"/>
      <c r="B4817" s="956" t="s">
        <v>2</v>
      </c>
      <c r="C4817" s="3057" t="s">
        <v>1851</v>
      </c>
      <c r="D4817" s="3057"/>
      <c r="E4817" s="3057"/>
      <c r="F4817" s="3057"/>
      <c r="G4817" s="3057"/>
      <c r="H4817" s="3057"/>
      <c r="I4817" s="3057"/>
      <c r="J4817" s="3057"/>
      <c r="K4817" s="3057"/>
      <c r="L4817" s="3057"/>
      <c r="M4817" s="3057"/>
      <c r="N4817" s="3057"/>
      <c r="O4817" s="3057"/>
      <c r="P4817" s="3057"/>
      <c r="Q4817" s="3057"/>
      <c r="R4817" s="3057"/>
      <c r="S4817" s="3057"/>
      <c r="T4817" s="3057"/>
      <c r="U4817" s="3057"/>
      <c r="V4817" s="3057"/>
      <c r="W4817" s="3057"/>
      <c r="X4817" s="3057"/>
      <c r="Y4817" s="3057"/>
      <c r="Z4817" s="3057"/>
      <c r="AA4817" s="3057"/>
    </row>
    <row r="4818" spans="1:27" x14ac:dyDescent="0.2">
      <c r="A4818" s="3597"/>
      <c r="B4818" s="956" t="s">
        <v>4</v>
      </c>
      <c r="C4818" s="3057" t="s">
        <v>1852</v>
      </c>
      <c r="D4818" s="3057"/>
      <c r="E4818" s="3057"/>
      <c r="F4818" s="3057"/>
      <c r="G4818" s="3057"/>
      <c r="H4818" s="3057"/>
      <c r="I4818" s="3057"/>
      <c r="J4818" s="3057"/>
      <c r="K4818" s="3057"/>
      <c r="L4818" s="3057"/>
      <c r="M4818" s="3057"/>
      <c r="N4818" s="3057"/>
      <c r="O4818" s="3057"/>
      <c r="P4818" s="3057"/>
      <c r="Q4818" s="3057"/>
      <c r="R4818" s="3057"/>
      <c r="S4818" s="3057"/>
      <c r="T4818" s="3057"/>
      <c r="U4818" s="3057"/>
      <c r="V4818" s="3057"/>
      <c r="W4818" s="3057"/>
      <c r="X4818" s="3057"/>
      <c r="Y4818" s="3057"/>
      <c r="Z4818" s="3057"/>
      <c r="AA4818" s="3057"/>
    </row>
    <row r="4819" spans="1:27" ht="60" customHeight="1" x14ac:dyDescent="0.2">
      <c r="A4819" s="3597"/>
      <c r="B4819" s="956" t="s">
        <v>6</v>
      </c>
      <c r="C4819" s="3057" t="s">
        <v>1853</v>
      </c>
      <c r="D4819" s="3057"/>
      <c r="E4819" s="3057"/>
      <c r="F4819" s="3057"/>
      <c r="G4819" s="3057"/>
      <c r="H4819" s="3057"/>
      <c r="I4819" s="3057"/>
      <c r="J4819" s="3057"/>
      <c r="K4819" s="3057"/>
      <c r="L4819" s="3057"/>
      <c r="M4819" s="3057"/>
      <c r="N4819" s="3057"/>
      <c r="O4819" s="3057"/>
      <c r="P4819" s="3057"/>
      <c r="Q4819" s="3057"/>
      <c r="R4819" s="3057"/>
      <c r="S4819" s="3057"/>
      <c r="T4819" s="3057"/>
      <c r="U4819" s="3057"/>
      <c r="V4819" s="3057"/>
      <c r="W4819" s="3057"/>
      <c r="X4819" s="3057"/>
      <c r="Y4819" s="3057"/>
      <c r="Z4819" s="3057"/>
      <c r="AA4819" s="3057"/>
    </row>
    <row r="4820" spans="1:27" ht="27" customHeight="1" x14ac:dyDescent="0.2">
      <c r="A4820" s="3597"/>
      <c r="B4820" s="1544" t="s">
        <v>8</v>
      </c>
      <c r="C4820" s="3638" t="s">
        <v>2615</v>
      </c>
      <c r="D4820" s="3638"/>
      <c r="E4820" s="3638"/>
      <c r="F4820" s="3638"/>
      <c r="G4820" s="3638"/>
      <c r="H4820" s="3638"/>
      <c r="I4820" s="3638"/>
      <c r="J4820" s="3638"/>
      <c r="K4820" s="3638"/>
      <c r="L4820" s="3638"/>
      <c r="M4820" s="3638"/>
      <c r="N4820" s="3638"/>
      <c r="O4820" s="3638"/>
      <c r="P4820" s="3638"/>
      <c r="Q4820" s="3638"/>
      <c r="R4820" s="3638"/>
      <c r="S4820" s="3638"/>
      <c r="T4820" s="3638"/>
      <c r="U4820" s="3638"/>
      <c r="V4820" s="3638"/>
      <c r="W4820" s="3638"/>
      <c r="X4820" s="3638"/>
      <c r="Y4820" s="3638"/>
      <c r="Z4820" s="3638"/>
      <c r="AA4820" s="3638"/>
    </row>
    <row r="4821" spans="1:27" ht="21.75" customHeight="1" x14ac:dyDescent="0.2">
      <c r="A4821" s="3597"/>
      <c r="B4821" s="956" t="s">
        <v>11</v>
      </c>
      <c r="C4821" s="3586" t="s">
        <v>1855</v>
      </c>
      <c r="D4821" s="3586"/>
      <c r="E4821" s="3586"/>
      <c r="F4821" s="3586"/>
      <c r="G4821" s="3586"/>
      <c r="H4821" s="3586"/>
      <c r="I4821" s="3586"/>
      <c r="J4821" s="3586"/>
      <c r="K4821" s="3586"/>
      <c r="L4821" s="3586"/>
      <c r="M4821" s="3586"/>
      <c r="N4821" s="3586"/>
      <c r="O4821" s="3586"/>
      <c r="P4821" s="3586"/>
      <c r="Q4821" s="3586"/>
      <c r="R4821" s="3586"/>
      <c r="S4821" s="3586"/>
      <c r="T4821" s="3586"/>
      <c r="U4821" s="3586"/>
      <c r="V4821" s="3586"/>
      <c r="W4821" s="3586"/>
      <c r="X4821" s="3586"/>
      <c r="Y4821" s="3586"/>
      <c r="Z4821" s="3586"/>
      <c r="AA4821" s="3586"/>
    </row>
    <row r="4822" spans="1:27" ht="4.5" customHeight="1" x14ac:dyDescent="0.2">
      <c r="A4822" s="3597"/>
      <c r="B4822" s="3057" t="s">
        <v>13</v>
      </c>
      <c r="C4822" s="3639" t="s">
        <v>1960</v>
      </c>
      <c r="D4822" s="3639"/>
      <c r="E4822" s="3639"/>
      <c r="F4822" s="3639"/>
      <c r="G4822" s="3639"/>
      <c r="H4822" s="3639"/>
      <c r="I4822" s="3639"/>
      <c r="J4822" s="3639"/>
      <c r="K4822" s="3639"/>
      <c r="L4822" s="3639"/>
      <c r="M4822" s="3639"/>
      <c r="N4822" s="3639"/>
      <c r="O4822" s="3639"/>
      <c r="P4822" s="3639"/>
      <c r="Q4822" s="3639"/>
      <c r="R4822" s="3639"/>
      <c r="S4822" s="3639"/>
      <c r="T4822" s="3639"/>
      <c r="U4822" s="3639"/>
      <c r="V4822" s="3639"/>
      <c r="W4822" s="3639"/>
      <c r="X4822" s="3639"/>
      <c r="Y4822" s="3639"/>
      <c r="Z4822" s="3639"/>
      <c r="AA4822" s="3639"/>
    </row>
    <row r="4823" spans="1:27" ht="0.75" hidden="1" customHeight="1" x14ac:dyDescent="0.2">
      <c r="A4823" s="3597"/>
      <c r="B4823" s="3057"/>
      <c r="C4823" s="3639"/>
      <c r="D4823" s="3639"/>
      <c r="E4823" s="3639"/>
      <c r="F4823" s="3639"/>
      <c r="G4823" s="3639"/>
      <c r="H4823" s="3639"/>
      <c r="I4823" s="3639"/>
      <c r="J4823" s="3639"/>
      <c r="K4823" s="3639"/>
      <c r="L4823" s="3639"/>
      <c r="M4823" s="3639"/>
      <c r="N4823" s="3639"/>
      <c r="O4823" s="3639"/>
      <c r="P4823" s="3639"/>
      <c r="Q4823" s="3639"/>
      <c r="R4823" s="3639"/>
      <c r="S4823" s="3639"/>
      <c r="T4823" s="3639"/>
      <c r="U4823" s="3639"/>
      <c r="V4823" s="3639"/>
      <c r="W4823" s="3639"/>
      <c r="X4823" s="3639"/>
      <c r="Y4823" s="3639"/>
      <c r="Z4823" s="3639"/>
      <c r="AA4823" s="3639"/>
    </row>
    <row r="4824" spans="1:27" ht="15" customHeight="1" x14ac:dyDescent="0.2">
      <c r="A4824" s="3597"/>
      <c r="B4824" s="3057"/>
      <c r="C4824" s="3639"/>
      <c r="D4824" s="3639"/>
      <c r="E4824" s="3639"/>
      <c r="F4824" s="3639"/>
      <c r="G4824" s="3639"/>
      <c r="H4824" s="3639"/>
      <c r="I4824" s="3639"/>
      <c r="J4824" s="3639"/>
      <c r="K4824" s="3639"/>
      <c r="L4824" s="3639"/>
      <c r="M4824" s="3639"/>
      <c r="N4824" s="3639"/>
      <c r="O4824" s="3639"/>
      <c r="P4824" s="3639"/>
      <c r="Q4824" s="3639"/>
      <c r="R4824" s="3639"/>
      <c r="S4824" s="3639"/>
      <c r="T4824" s="3639"/>
      <c r="U4824" s="3639"/>
      <c r="V4824" s="3639"/>
      <c r="W4824" s="3639"/>
      <c r="X4824" s="3639"/>
      <c r="Y4824" s="3639"/>
      <c r="Z4824" s="3639"/>
      <c r="AA4824" s="3639"/>
    </row>
    <row r="4825" spans="1:27" x14ac:dyDescent="0.2">
      <c r="A4825" s="3597"/>
      <c r="B4825" s="3640" t="s">
        <v>20</v>
      </c>
      <c r="C4825" s="3636" t="s">
        <v>21</v>
      </c>
      <c r="D4825" s="3636" t="s">
        <v>22</v>
      </c>
      <c r="E4825" s="3636" t="s">
        <v>23</v>
      </c>
      <c r="F4825" s="3637" t="s">
        <v>24</v>
      </c>
      <c r="G4825" s="3637" t="s">
        <v>25</v>
      </c>
      <c r="H4825" s="3636" t="s">
        <v>26</v>
      </c>
      <c r="I4825" s="3636" t="s">
        <v>27</v>
      </c>
      <c r="J4825" s="3636" t="s">
        <v>28</v>
      </c>
      <c r="K4825" s="3636"/>
      <c r="L4825" s="3636" t="s">
        <v>29</v>
      </c>
      <c r="M4825" s="3636" t="s">
        <v>30</v>
      </c>
      <c r="N4825" s="3636"/>
      <c r="O4825" s="3635" t="s">
        <v>31</v>
      </c>
      <c r="P4825" s="3635"/>
      <c r="Q4825" s="3635"/>
      <c r="R4825" s="3635"/>
      <c r="S4825" s="3635"/>
      <c r="T4825" s="3635"/>
      <c r="U4825" s="3635"/>
      <c r="V4825" s="3635"/>
      <c r="W4825" s="3635"/>
      <c r="X4825" s="3635"/>
      <c r="Y4825" s="3635"/>
      <c r="Z4825" s="3635"/>
      <c r="AA4825" s="3635" t="s">
        <v>32</v>
      </c>
    </row>
    <row r="4826" spans="1:27" x14ac:dyDescent="0.2">
      <c r="A4826" s="3597"/>
      <c r="B4826" s="3640"/>
      <c r="C4826" s="3636"/>
      <c r="D4826" s="3636"/>
      <c r="E4826" s="3636"/>
      <c r="F4826" s="3637"/>
      <c r="G4826" s="3637"/>
      <c r="H4826" s="3636"/>
      <c r="I4826" s="3636"/>
      <c r="J4826" s="334" t="s">
        <v>33</v>
      </c>
      <c r="K4826" s="335" t="s">
        <v>34</v>
      </c>
      <c r="L4826" s="3636"/>
      <c r="M4826" s="3636"/>
      <c r="N4826" s="3636"/>
      <c r="O4826" s="336" t="s">
        <v>35</v>
      </c>
      <c r="P4826" s="336" t="s">
        <v>36</v>
      </c>
      <c r="Q4826" s="336" t="s">
        <v>37</v>
      </c>
      <c r="R4826" s="336" t="s">
        <v>38</v>
      </c>
      <c r="S4826" s="336" t="s">
        <v>39</v>
      </c>
      <c r="T4826" s="336" t="s">
        <v>40</v>
      </c>
      <c r="U4826" s="336" t="s">
        <v>41</v>
      </c>
      <c r="V4826" s="336" t="s">
        <v>42</v>
      </c>
      <c r="W4826" s="336" t="s">
        <v>43</v>
      </c>
      <c r="X4826" s="336" t="s">
        <v>44</v>
      </c>
      <c r="Y4826" s="336" t="s">
        <v>45</v>
      </c>
      <c r="Z4826" s="336" t="s">
        <v>46</v>
      </c>
      <c r="AA4826" s="3635"/>
    </row>
    <row r="4827" spans="1:27" ht="28.5" customHeight="1" x14ac:dyDescent="0.2">
      <c r="A4827" s="3597"/>
      <c r="B4827" s="929">
        <v>500000013</v>
      </c>
      <c r="C4827" s="929" t="s">
        <v>1805</v>
      </c>
      <c r="D4827" s="453" t="s">
        <v>1856</v>
      </c>
      <c r="E4827" s="453" t="s">
        <v>1857</v>
      </c>
      <c r="F4827" s="489" t="s">
        <v>1858</v>
      </c>
      <c r="G4827" s="489" t="s">
        <v>1859</v>
      </c>
      <c r="H4827" s="453" t="s">
        <v>1213</v>
      </c>
      <c r="I4827" s="453" t="s">
        <v>1860</v>
      </c>
      <c r="J4827" s="341">
        <f>SUM(J4828:J4884)</f>
        <v>131</v>
      </c>
      <c r="K4827" s="342">
        <f>SUM(K4828:K4884)</f>
        <v>51422.400000000001</v>
      </c>
      <c r="L4827" s="453"/>
      <c r="M4827" s="453"/>
      <c r="N4827" s="453"/>
      <c r="O4827" s="494"/>
      <c r="P4827" s="494"/>
      <c r="Q4827" s="494"/>
      <c r="R4827" s="494"/>
      <c r="S4827" s="494"/>
      <c r="T4827" s="494"/>
      <c r="U4827" s="494"/>
      <c r="V4827" s="494"/>
      <c r="W4827" s="494"/>
      <c r="X4827" s="494"/>
      <c r="Y4827" s="494"/>
      <c r="Z4827" s="494"/>
      <c r="AA4827" s="1441"/>
    </row>
    <row r="4828" spans="1:27" x14ac:dyDescent="0.2">
      <c r="A4828" s="3597" t="s">
        <v>1861</v>
      </c>
      <c r="B4828" s="3584">
        <v>1.1000000000000001</v>
      </c>
      <c r="C4828" s="3584" t="s">
        <v>1862</v>
      </c>
      <c r="D4828" s="3600" t="s">
        <v>1863</v>
      </c>
      <c r="E4828" s="3600" t="s">
        <v>1857</v>
      </c>
      <c r="F4828" s="3629" t="s">
        <v>1858</v>
      </c>
      <c r="G4828" s="3629" t="s">
        <v>1859</v>
      </c>
      <c r="H4828" s="3600" t="s">
        <v>1864</v>
      </c>
      <c r="I4828" s="3600" t="s">
        <v>1865</v>
      </c>
      <c r="J4828" s="3053">
        <v>3</v>
      </c>
      <c r="K4828" s="3623">
        <f>AA4829</f>
        <v>1577</v>
      </c>
      <c r="L4828" s="3600" t="s">
        <v>1866</v>
      </c>
      <c r="M4828" s="3643" t="s">
        <v>51</v>
      </c>
      <c r="N4828" s="3643"/>
      <c r="O4828" s="483"/>
      <c r="P4828" s="483"/>
      <c r="Q4828" s="483"/>
      <c r="R4828" s="483"/>
      <c r="S4828" s="483"/>
      <c r="T4828" s="483">
        <v>2</v>
      </c>
      <c r="U4828" s="483"/>
      <c r="V4828" s="483">
        <v>1</v>
      </c>
      <c r="W4828" s="483"/>
      <c r="X4828" s="483"/>
      <c r="Y4828" s="483"/>
      <c r="Z4828" s="483"/>
      <c r="AA4828" s="1440">
        <v>3</v>
      </c>
    </row>
    <row r="4829" spans="1:27" x14ac:dyDescent="0.2">
      <c r="A4829" s="3597"/>
      <c r="B4829" s="3584"/>
      <c r="C4829" s="3584"/>
      <c r="D4829" s="3600"/>
      <c r="E4829" s="3600"/>
      <c r="F4829" s="3629"/>
      <c r="G4829" s="3629"/>
      <c r="H4829" s="3600"/>
      <c r="I4829" s="3600"/>
      <c r="J4829" s="3053"/>
      <c r="K4829" s="3623"/>
      <c r="L4829" s="3600"/>
      <c r="M4829" s="3644" t="s">
        <v>111</v>
      </c>
      <c r="N4829" s="3644"/>
      <c r="O4829" s="291"/>
      <c r="P4829" s="291"/>
      <c r="Q4829" s="291"/>
      <c r="R4829" s="291"/>
      <c r="S4829" s="291">
        <f t="shared" ref="S4829:Z4829" si="807">SUM(S4830:S4835)</f>
        <v>0</v>
      </c>
      <c r="T4829" s="291">
        <f t="shared" si="807"/>
        <v>1120</v>
      </c>
      <c r="U4829" s="291">
        <f t="shared" si="807"/>
        <v>0</v>
      </c>
      <c r="V4829" s="291">
        <f t="shared" si="807"/>
        <v>457</v>
      </c>
      <c r="W4829" s="291"/>
      <c r="X4829" s="291">
        <f t="shared" si="807"/>
        <v>0</v>
      </c>
      <c r="Y4829" s="291">
        <f t="shared" si="807"/>
        <v>0</v>
      </c>
      <c r="Z4829" s="291">
        <f t="shared" si="807"/>
        <v>0</v>
      </c>
      <c r="AA4829" s="1440">
        <f>SUM(AA4830:AA4835)</f>
        <v>1577</v>
      </c>
    </row>
    <row r="4830" spans="1:27" ht="22.5" x14ac:dyDescent="0.2">
      <c r="A4830" s="3597"/>
      <c r="B4830" s="3584"/>
      <c r="C4830" s="3584"/>
      <c r="D4830" s="3600"/>
      <c r="E4830" s="3600"/>
      <c r="F4830" s="3629"/>
      <c r="G4830" s="3629"/>
      <c r="H4830" s="3600"/>
      <c r="I4830" s="3600"/>
      <c r="J4830" s="3053"/>
      <c r="K4830" s="3623"/>
      <c r="L4830" s="3600"/>
      <c r="M4830" s="337" t="s">
        <v>194</v>
      </c>
      <c r="N4830" s="338" t="s">
        <v>1368</v>
      </c>
      <c r="O4830" s="291"/>
      <c r="P4830" s="291"/>
      <c r="Q4830" s="291"/>
      <c r="R4830" s="291"/>
      <c r="S4830" s="291"/>
      <c r="T4830" s="291">
        <v>280</v>
      </c>
      <c r="U4830" s="291"/>
      <c r="V4830" s="291">
        <v>70</v>
      </c>
      <c r="W4830" s="291"/>
      <c r="X4830" s="291"/>
      <c r="Y4830" s="291"/>
      <c r="Z4830" s="291"/>
      <c r="AA4830" s="1440">
        <f>SUM(O4830:Z4830)</f>
        <v>350</v>
      </c>
    </row>
    <row r="4831" spans="1:27" ht="22.5" x14ac:dyDescent="0.2">
      <c r="A4831" s="3597"/>
      <c r="B4831" s="3584"/>
      <c r="C4831" s="3584"/>
      <c r="D4831" s="3600"/>
      <c r="E4831" s="3600"/>
      <c r="F4831" s="3629"/>
      <c r="G4831" s="3629"/>
      <c r="H4831" s="3600"/>
      <c r="I4831" s="3600"/>
      <c r="J4831" s="3053"/>
      <c r="K4831" s="3623"/>
      <c r="L4831" s="3600"/>
      <c r="M4831" s="337" t="s">
        <v>1452</v>
      </c>
      <c r="N4831" s="338" t="s">
        <v>1867</v>
      </c>
      <c r="O4831" s="291"/>
      <c r="P4831" s="291"/>
      <c r="Q4831" s="291"/>
      <c r="R4831" s="291"/>
      <c r="S4831" s="291"/>
      <c r="T4831" s="291">
        <v>500</v>
      </c>
      <c r="U4831" s="291"/>
      <c r="V4831" s="291">
        <v>250</v>
      </c>
      <c r="W4831" s="291"/>
      <c r="X4831" s="291"/>
      <c r="Y4831" s="291"/>
      <c r="Z4831" s="291"/>
      <c r="AA4831" s="1440">
        <f t="shared" ref="AA4831:AA4835" si="808">SUM(O4831:Z4831)</f>
        <v>750</v>
      </c>
    </row>
    <row r="4832" spans="1:27" x14ac:dyDescent="0.2">
      <c r="A4832" s="3597"/>
      <c r="B4832" s="3584"/>
      <c r="C4832" s="3584"/>
      <c r="D4832" s="3600"/>
      <c r="E4832" s="3600"/>
      <c r="F4832" s="3629"/>
      <c r="G4832" s="3629"/>
      <c r="H4832" s="3600"/>
      <c r="I4832" s="3600"/>
      <c r="J4832" s="3053"/>
      <c r="K4832" s="3623"/>
      <c r="L4832" s="3600"/>
      <c r="M4832" s="337" t="s">
        <v>541</v>
      </c>
      <c r="N4832" s="338" t="s">
        <v>1868</v>
      </c>
      <c r="O4832" s="291"/>
      <c r="P4832" s="291"/>
      <c r="Q4832" s="291"/>
      <c r="R4832" s="291"/>
      <c r="S4832" s="291"/>
      <c r="T4832" s="291">
        <v>90</v>
      </c>
      <c r="U4832" s="291"/>
      <c r="V4832" s="291">
        <v>12</v>
      </c>
      <c r="W4832" s="291"/>
      <c r="X4832" s="291"/>
      <c r="Y4832" s="291"/>
      <c r="Z4832" s="291"/>
      <c r="AA4832" s="1440">
        <f t="shared" si="808"/>
        <v>102</v>
      </c>
    </row>
    <row r="4833" spans="1:27" ht="22.5" x14ac:dyDescent="0.2">
      <c r="A4833" s="3597"/>
      <c r="B4833" s="3584"/>
      <c r="C4833" s="3584"/>
      <c r="D4833" s="3600"/>
      <c r="E4833" s="3600"/>
      <c r="F4833" s="3629"/>
      <c r="G4833" s="3629"/>
      <c r="H4833" s="3600"/>
      <c r="I4833" s="3600"/>
      <c r="J4833" s="3053"/>
      <c r="K4833" s="3623"/>
      <c r="L4833" s="3600"/>
      <c r="M4833" s="337" t="s">
        <v>180</v>
      </c>
      <c r="N4833" s="338" t="s">
        <v>1869</v>
      </c>
      <c r="O4833" s="291"/>
      <c r="P4833" s="291"/>
      <c r="Q4833" s="291"/>
      <c r="R4833" s="291"/>
      <c r="S4833" s="291"/>
      <c r="T4833" s="291"/>
      <c r="U4833" s="291"/>
      <c r="V4833" s="291"/>
      <c r="W4833" s="293"/>
      <c r="X4833" s="291"/>
      <c r="Y4833" s="291"/>
      <c r="Z4833" s="291"/>
      <c r="AA4833" s="1440">
        <f t="shared" si="808"/>
        <v>0</v>
      </c>
    </row>
    <row r="4834" spans="1:27" ht="22.5" x14ac:dyDescent="0.2">
      <c r="A4834" s="3597"/>
      <c r="B4834" s="3584"/>
      <c r="C4834" s="3584"/>
      <c r="D4834" s="3600"/>
      <c r="E4834" s="3600"/>
      <c r="F4834" s="3629"/>
      <c r="G4834" s="3629"/>
      <c r="H4834" s="3600"/>
      <c r="I4834" s="3600"/>
      <c r="J4834" s="3053"/>
      <c r="K4834" s="3623"/>
      <c r="L4834" s="3600"/>
      <c r="M4834" s="337" t="s">
        <v>200</v>
      </c>
      <c r="N4834" s="338" t="s">
        <v>1509</v>
      </c>
      <c r="O4834" s="291"/>
      <c r="P4834" s="291"/>
      <c r="Q4834" s="291"/>
      <c r="R4834" s="291"/>
      <c r="S4834" s="291"/>
      <c r="T4834" s="291">
        <v>250</v>
      </c>
      <c r="U4834" s="291"/>
      <c r="V4834" s="291">
        <v>125</v>
      </c>
      <c r="W4834" s="291"/>
      <c r="X4834" s="291"/>
      <c r="Y4834" s="291"/>
      <c r="Z4834" s="291"/>
      <c r="AA4834" s="1440">
        <f t="shared" si="808"/>
        <v>375</v>
      </c>
    </row>
    <row r="4835" spans="1:27" x14ac:dyDescent="0.2">
      <c r="A4835" s="3597"/>
      <c r="B4835" s="3584"/>
      <c r="C4835" s="3584"/>
      <c r="D4835" s="3600"/>
      <c r="E4835" s="3600"/>
      <c r="F4835" s="3629"/>
      <c r="G4835" s="3629"/>
      <c r="H4835" s="3600"/>
      <c r="I4835" s="3600"/>
      <c r="J4835" s="3053"/>
      <c r="K4835" s="3623"/>
      <c r="L4835" s="3600"/>
      <c r="M4835" s="339" t="s">
        <v>215</v>
      </c>
      <c r="N4835" s="469" t="s">
        <v>1370</v>
      </c>
      <c r="O4835" s="291"/>
      <c r="P4835" s="291"/>
      <c r="Q4835" s="291"/>
      <c r="R4835" s="291"/>
      <c r="S4835" s="291"/>
      <c r="T4835" s="291"/>
      <c r="U4835" s="291"/>
      <c r="V4835" s="291"/>
      <c r="W4835" s="291"/>
      <c r="X4835" s="291"/>
      <c r="Y4835" s="291"/>
      <c r="Z4835" s="291"/>
      <c r="AA4835" s="1440">
        <f t="shared" si="808"/>
        <v>0</v>
      </c>
    </row>
    <row r="4836" spans="1:27" x14ac:dyDescent="0.2">
      <c r="A4836" s="3597"/>
      <c r="B4836" s="3589">
        <v>1.4</v>
      </c>
      <c r="C4836" s="3645" t="s">
        <v>1877</v>
      </c>
      <c r="D4836" s="3600" t="s">
        <v>1863</v>
      </c>
      <c r="E4836" s="3646" t="s">
        <v>1857</v>
      </c>
      <c r="F4836" s="3647" t="s">
        <v>1858</v>
      </c>
      <c r="G4836" s="3647" t="s">
        <v>1859</v>
      </c>
      <c r="H4836" s="3646" t="s">
        <v>1878</v>
      </c>
      <c r="I4836" s="3642" t="s">
        <v>1872</v>
      </c>
      <c r="J4836" s="3600">
        <v>2</v>
      </c>
      <c r="K4836" s="3623">
        <f>AA4837</f>
        <v>780</v>
      </c>
      <c r="L4836" s="3642" t="s">
        <v>1866</v>
      </c>
      <c r="M4836" s="3643" t="s">
        <v>51</v>
      </c>
      <c r="N4836" s="3643"/>
      <c r="O4836" s="483">
        <v>0</v>
      </c>
      <c r="P4836" s="483"/>
      <c r="Q4836" s="483"/>
      <c r="R4836" s="483"/>
      <c r="S4836" s="483">
        <v>1</v>
      </c>
      <c r="T4836" s="483"/>
      <c r="U4836" s="483"/>
      <c r="V4836" s="483">
        <v>1</v>
      </c>
      <c r="W4836" s="483"/>
      <c r="X4836" s="483"/>
      <c r="Y4836" s="483"/>
      <c r="Z4836" s="483"/>
      <c r="AA4836" s="1440">
        <v>2</v>
      </c>
    </row>
    <row r="4837" spans="1:27" x14ac:dyDescent="0.2">
      <c r="A4837" s="3597"/>
      <c r="B4837" s="3589"/>
      <c r="C4837" s="3645"/>
      <c r="D4837" s="3600"/>
      <c r="E4837" s="3646"/>
      <c r="F4837" s="3647"/>
      <c r="G4837" s="3647"/>
      <c r="H4837" s="3646"/>
      <c r="I4837" s="3642"/>
      <c r="J4837" s="3600"/>
      <c r="K4837" s="3623"/>
      <c r="L4837" s="3642"/>
      <c r="M4837" s="3643" t="s">
        <v>168</v>
      </c>
      <c r="N4837" s="3643"/>
      <c r="O4837" s="483">
        <v>0</v>
      </c>
      <c r="P4837" s="483">
        <f t="shared" ref="P4837:AA4837" si="809">SUM(P4838:P4842)</f>
        <v>0</v>
      </c>
      <c r="Q4837" s="483">
        <f t="shared" si="809"/>
        <v>0</v>
      </c>
      <c r="R4837" s="483">
        <f t="shared" si="809"/>
        <v>0</v>
      </c>
      <c r="S4837" s="483">
        <f t="shared" si="809"/>
        <v>490</v>
      </c>
      <c r="T4837" s="483">
        <f t="shared" si="809"/>
        <v>0</v>
      </c>
      <c r="U4837" s="483">
        <f t="shared" si="809"/>
        <v>0</v>
      </c>
      <c r="V4837" s="483">
        <f t="shared" si="809"/>
        <v>290</v>
      </c>
      <c r="W4837" s="483">
        <f t="shared" si="809"/>
        <v>0</v>
      </c>
      <c r="X4837" s="483">
        <f t="shared" si="809"/>
        <v>0</v>
      </c>
      <c r="Y4837" s="483">
        <f t="shared" si="809"/>
        <v>0</v>
      </c>
      <c r="Z4837" s="483">
        <f t="shared" si="809"/>
        <v>0</v>
      </c>
      <c r="AA4837" s="1440">
        <f t="shared" si="809"/>
        <v>780</v>
      </c>
    </row>
    <row r="4838" spans="1:27" ht="22.5" x14ac:dyDescent="0.2">
      <c r="A4838" s="3597"/>
      <c r="B4838" s="3589"/>
      <c r="C4838" s="3645"/>
      <c r="D4838" s="3600"/>
      <c r="E4838" s="3646"/>
      <c r="F4838" s="3647"/>
      <c r="G4838" s="3647"/>
      <c r="H4838" s="3646"/>
      <c r="I4838" s="3642"/>
      <c r="J4838" s="3600"/>
      <c r="K4838" s="3623"/>
      <c r="L4838" s="3642"/>
      <c r="M4838" s="339">
        <v>232231</v>
      </c>
      <c r="N4838" s="469" t="s">
        <v>1879</v>
      </c>
      <c r="O4838" s="483"/>
      <c r="P4838" s="483"/>
      <c r="Q4838" s="483"/>
      <c r="R4838" s="483"/>
      <c r="S4838" s="293"/>
      <c r="T4838" s="483"/>
      <c r="U4838" s="483"/>
      <c r="V4838" s="483"/>
      <c r="W4838" s="483"/>
      <c r="X4838" s="483"/>
      <c r="Y4838" s="483"/>
      <c r="Z4838" s="483"/>
      <c r="AA4838" s="1440">
        <f>SUM(O4838:Z4838)</f>
        <v>0</v>
      </c>
    </row>
    <row r="4839" spans="1:27" ht="22.5" x14ac:dyDescent="0.2">
      <c r="A4839" s="3597"/>
      <c r="B4839" s="3589"/>
      <c r="C4839" s="3645"/>
      <c r="D4839" s="3600"/>
      <c r="E4839" s="3646"/>
      <c r="F4839" s="3647"/>
      <c r="G4839" s="3647"/>
      <c r="H4839" s="3646"/>
      <c r="I4839" s="3642"/>
      <c r="J4839" s="3600"/>
      <c r="K4839" s="3623"/>
      <c r="L4839" s="3642"/>
      <c r="M4839" s="339" t="s">
        <v>194</v>
      </c>
      <c r="N4839" s="469" t="s">
        <v>1880</v>
      </c>
      <c r="O4839" s="483"/>
      <c r="P4839" s="483"/>
      <c r="Q4839" s="483"/>
      <c r="R4839" s="483"/>
      <c r="S4839" s="483">
        <v>140</v>
      </c>
      <c r="T4839" s="483"/>
      <c r="U4839" s="483"/>
      <c r="V4839" s="483">
        <v>70</v>
      </c>
      <c r="W4839" s="483"/>
      <c r="X4839" s="483"/>
      <c r="Y4839" s="483"/>
      <c r="Z4839" s="483"/>
      <c r="AA4839" s="1440">
        <f t="shared" ref="AA4839:AA4842" si="810">SUM(O4839:Z4839)</f>
        <v>210</v>
      </c>
    </row>
    <row r="4840" spans="1:27" x14ac:dyDescent="0.2">
      <c r="A4840" s="3597"/>
      <c r="B4840" s="3589"/>
      <c r="C4840" s="3645"/>
      <c r="D4840" s="3600"/>
      <c r="E4840" s="3646"/>
      <c r="F4840" s="3647"/>
      <c r="G4840" s="3647"/>
      <c r="H4840" s="3646"/>
      <c r="I4840" s="3642"/>
      <c r="J4840" s="3600"/>
      <c r="K4840" s="3623"/>
      <c r="L4840" s="3642"/>
      <c r="M4840" s="339" t="s">
        <v>1874</v>
      </c>
      <c r="N4840" s="469" t="s">
        <v>1881</v>
      </c>
      <c r="O4840" s="483"/>
      <c r="P4840" s="483"/>
      <c r="Q4840" s="483"/>
      <c r="R4840" s="483"/>
      <c r="S4840" s="483">
        <v>100</v>
      </c>
      <c r="T4840" s="483"/>
      <c r="U4840" s="483"/>
      <c r="V4840" s="483">
        <v>40</v>
      </c>
      <c r="W4840" s="483"/>
      <c r="X4840" s="483"/>
      <c r="Y4840" s="483"/>
      <c r="Z4840" s="483"/>
      <c r="AA4840" s="1440">
        <f t="shared" si="810"/>
        <v>140</v>
      </c>
    </row>
    <row r="4841" spans="1:27" ht="22.5" x14ac:dyDescent="0.2">
      <c r="A4841" s="3597"/>
      <c r="B4841" s="3589"/>
      <c r="C4841" s="3645"/>
      <c r="D4841" s="3600"/>
      <c r="E4841" s="3646"/>
      <c r="F4841" s="3647"/>
      <c r="G4841" s="3647"/>
      <c r="H4841" s="3646"/>
      <c r="I4841" s="3642"/>
      <c r="J4841" s="3600"/>
      <c r="K4841" s="3623"/>
      <c r="L4841" s="3642"/>
      <c r="M4841" s="339" t="s">
        <v>180</v>
      </c>
      <c r="N4841" s="469" t="s">
        <v>1882</v>
      </c>
      <c r="O4841" s="483"/>
      <c r="P4841" s="483"/>
      <c r="Q4841" s="483"/>
      <c r="R4841" s="483"/>
      <c r="S4841" s="483"/>
      <c r="T4841" s="483"/>
      <c r="U4841" s="483"/>
      <c r="V4841" s="483"/>
      <c r="W4841" s="483"/>
      <c r="X4841" s="483"/>
      <c r="Y4841" s="483"/>
      <c r="Z4841" s="483"/>
      <c r="AA4841" s="1440">
        <f t="shared" si="810"/>
        <v>0</v>
      </c>
    </row>
    <row r="4842" spans="1:27" x14ac:dyDescent="0.2">
      <c r="A4842" s="3597"/>
      <c r="B4842" s="3589"/>
      <c r="C4842" s="3645"/>
      <c r="D4842" s="3600"/>
      <c r="E4842" s="3646"/>
      <c r="F4842" s="3647"/>
      <c r="G4842" s="3647"/>
      <c r="H4842" s="3646"/>
      <c r="I4842" s="3642"/>
      <c r="J4842" s="3600"/>
      <c r="K4842" s="3623"/>
      <c r="L4842" s="3642"/>
      <c r="M4842" s="339" t="s">
        <v>1883</v>
      </c>
      <c r="N4842" s="469" t="s">
        <v>1884</v>
      </c>
      <c r="O4842" s="483"/>
      <c r="P4842" s="483"/>
      <c r="Q4842" s="483"/>
      <c r="R4842" s="483"/>
      <c r="S4842" s="483">
        <v>250</v>
      </c>
      <c r="T4842" s="483"/>
      <c r="U4842" s="483"/>
      <c r="V4842" s="483">
        <v>180</v>
      </c>
      <c r="W4842" s="483"/>
      <c r="X4842" s="483"/>
      <c r="Y4842" s="483"/>
      <c r="Z4842" s="483"/>
      <c r="AA4842" s="1440">
        <f t="shared" si="810"/>
        <v>430</v>
      </c>
    </row>
    <row r="4843" spans="1:27" x14ac:dyDescent="0.2">
      <c r="A4843" s="3597"/>
      <c r="B4843" s="3589">
        <v>1.6</v>
      </c>
      <c r="C4843" s="3594" t="s">
        <v>1887</v>
      </c>
      <c r="D4843" s="3600" t="s">
        <v>1863</v>
      </c>
      <c r="E4843" s="3600" t="s">
        <v>1857</v>
      </c>
      <c r="F4843" s="3629" t="s">
        <v>1858</v>
      </c>
      <c r="G4843" s="3629" t="s">
        <v>1859</v>
      </c>
      <c r="H4843" s="3600" t="s">
        <v>1888</v>
      </c>
      <c r="I4843" s="3600" t="s">
        <v>1954</v>
      </c>
      <c r="J4843" s="2426">
        <v>2</v>
      </c>
      <c r="K4843" s="3650">
        <v>1000</v>
      </c>
      <c r="L4843" s="3056" t="s">
        <v>1866</v>
      </c>
      <c r="M4843" s="3643" t="s">
        <v>51</v>
      </c>
      <c r="N4843" s="3643"/>
      <c r="O4843" s="483"/>
      <c r="P4843" s="483"/>
      <c r="Q4843" s="483"/>
      <c r="R4843" s="483"/>
      <c r="S4843" s="483"/>
      <c r="T4843" s="483">
        <v>1</v>
      </c>
      <c r="U4843" s="483"/>
      <c r="V4843" s="483">
        <v>1</v>
      </c>
      <c r="W4843" s="483"/>
      <c r="X4843" s="483"/>
      <c r="Y4843" s="483"/>
      <c r="Z4843" s="483"/>
      <c r="AA4843" s="1440">
        <f>SUM(O4843:Z4843)</f>
        <v>2</v>
      </c>
    </row>
    <row r="4844" spans="1:27" x14ac:dyDescent="0.2">
      <c r="A4844" s="3597"/>
      <c r="B4844" s="3589"/>
      <c r="C4844" s="3594"/>
      <c r="D4844" s="3600"/>
      <c r="E4844" s="3600"/>
      <c r="F4844" s="3629"/>
      <c r="G4844" s="3629"/>
      <c r="H4844" s="3600"/>
      <c r="I4844" s="3600"/>
      <c r="J4844" s="2426"/>
      <c r="K4844" s="3650"/>
      <c r="L4844" s="3056"/>
      <c r="M4844" s="3643" t="s">
        <v>168</v>
      </c>
      <c r="N4844" s="3643"/>
      <c r="O4844" s="483">
        <f>SUM(O4845)</f>
        <v>0</v>
      </c>
      <c r="P4844" s="483"/>
      <c r="Q4844" s="483">
        <f t="shared" ref="Q4844:AA4844" si="811">SUM(Q4845)</f>
        <v>0</v>
      </c>
      <c r="R4844" s="483"/>
      <c r="S4844" s="483">
        <f t="shared" si="811"/>
        <v>0</v>
      </c>
      <c r="T4844" s="483">
        <f t="shared" si="811"/>
        <v>500</v>
      </c>
      <c r="U4844" s="483">
        <f t="shared" si="811"/>
        <v>0</v>
      </c>
      <c r="V4844" s="483">
        <f t="shared" si="811"/>
        <v>500</v>
      </c>
      <c r="W4844" s="483">
        <f t="shared" si="811"/>
        <v>0</v>
      </c>
      <c r="X4844" s="483">
        <f t="shared" si="811"/>
        <v>0</v>
      </c>
      <c r="Y4844" s="483">
        <f t="shared" si="811"/>
        <v>0</v>
      </c>
      <c r="Z4844" s="483">
        <f t="shared" si="811"/>
        <v>0</v>
      </c>
      <c r="AA4844" s="1440">
        <f t="shared" si="811"/>
        <v>1000</v>
      </c>
    </row>
    <row r="4845" spans="1:27" x14ac:dyDescent="0.2">
      <c r="A4845" s="3597"/>
      <c r="B4845" s="3589"/>
      <c r="C4845" s="3594"/>
      <c r="D4845" s="3600"/>
      <c r="E4845" s="3600"/>
      <c r="F4845" s="3629"/>
      <c r="G4845" s="3629"/>
      <c r="H4845" s="3600"/>
      <c r="I4845" s="3600"/>
      <c r="J4845" s="2426"/>
      <c r="K4845" s="3650"/>
      <c r="L4845" s="3056"/>
      <c r="M4845" s="339" t="s">
        <v>1452</v>
      </c>
      <c r="N4845" s="469" t="s">
        <v>1884</v>
      </c>
      <c r="O4845" s="483"/>
      <c r="P4845" s="483"/>
      <c r="Q4845" s="483"/>
      <c r="R4845" s="483"/>
      <c r="S4845" s="483"/>
      <c r="T4845" s="483">
        <v>500</v>
      </c>
      <c r="U4845" s="483"/>
      <c r="V4845" s="483">
        <v>500</v>
      </c>
      <c r="W4845" s="483"/>
      <c r="X4845" s="483"/>
      <c r="Y4845" s="483"/>
      <c r="Z4845" s="483"/>
      <c r="AA4845" s="1440">
        <f>SUM(O4845:Z4845)</f>
        <v>1000</v>
      </c>
    </row>
    <row r="4846" spans="1:27" x14ac:dyDescent="0.2">
      <c r="A4846" s="3597" t="s">
        <v>1890</v>
      </c>
      <c r="B4846" s="3589">
        <v>2.1</v>
      </c>
      <c r="C4846" s="3594" t="s">
        <v>1891</v>
      </c>
      <c r="D4846" s="3600" t="s">
        <v>1863</v>
      </c>
      <c r="E4846" s="3600" t="s">
        <v>1857</v>
      </c>
      <c r="F4846" s="3647" t="s">
        <v>1858</v>
      </c>
      <c r="G4846" s="3629" t="s">
        <v>1859</v>
      </c>
      <c r="H4846" s="3646" t="s">
        <v>1892</v>
      </c>
      <c r="I4846" s="3056" t="s">
        <v>1910</v>
      </c>
      <c r="J4846" s="3600">
        <v>2</v>
      </c>
      <c r="K4846" s="3648">
        <f>AA4847</f>
        <v>1885</v>
      </c>
      <c r="L4846" s="3649" t="s">
        <v>1866</v>
      </c>
      <c r="M4846" s="3643" t="s">
        <v>51</v>
      </c>
      <c r="N4846" s="3643"/>
      <c r="O4846" s="337"/>
      <c r="P4846" s="337"/>
      <c r="Q4846" s="338"/>
      <c r="R4846" s="338"/>
      <c r="S4846" s="338"/>
      <c r="T4846" s="338"/>
      <c r="U4846" s="322"/>
      <c r="V4846" s="322"/>
      <c r="W4846" s="291">
        <v>1</v>
      </c>
      <c r="X4846" s="293"/>
      <c r="Y4846" s="293"/>
      <c r="Z4846" s="293"/>
      <c r="AA4846" s="1440">
        <v>2</v>
      </c>
    </row>
    <row r="4847" spans="1:27" x14ac:dyDescent="0.2">
      <c r="A4847" s="3597"/>
      <c r="B4847" s="3589"/>
      <c r="C4847" s="3594"/>
      <c r="D4847" s="3600"/>
      <c r="E4847" s="3600"/>
      <c r="F4847" s="3647"/>
      <c r="G4847" s="3629"/>
      <c r="H4847" s="3646"/>
      <c r="I4847" s="3056"/>
      <c r="J4847" s="3600"/>
      <c r="K4847" s="3648"/>
      <c r="L4847" s="3649"/>
      <c r="M4847" s="3643" t="s">
        <v>111</v>
      </c>
      <c r="N4847" s="3643"/>
      <c r="O4847" s="337"/>
      <c r="P4847" s="337">
        <f t="shared" ref="P4847:AA4847" si="812">SUM(P4848:P4849)</f>
        <v>0</v>
      </c>
      <c r="Q4847" s="337">
        <f t="shared" si="812"/>
        <v>0</v>
      </c>
      <c r="R4847" s="337">
        <f t="shared" si="812"/>
        <v>0</v>
      </c>
      <c r="S4847" s="337">
        <f t="shared" si="812"/>
        <v>0</v>
      </c>
      <c r="T4847" s="337">
        <f t="shared" si="812"/>
        <v>0</v>
      </c>
      <c r="U4847" s="337">
        <f t="shared" si="812"/>
        <v>0</v>
      </c>
      <c r="V4847" s="337">
        <f t="shared" si="812"/>
        <v>0</v>
      </c>
      <c r="W4847" s="337">
        <f t="shared" si="812"/>
        <v>1885</v>
      </c>
      <c r="X4847" s="337">
        <f t="shared" si="812"/>
        <v>0</v>
      </c>
      <c r="Y4847" s="337">
        <f t="shared" si="812"/>
        <v>0</v>
      </c>
      <c r="Z4847" s="337">
        <f t="shared" si="812"/>
        <v>0</v>
      </c>
      <c r="AA4847" s="1438">
        <f t="shared" si="812"/>
        <v>1885</v>
      </c>
    </row>
    <row r="4848" spans="1:27" x14ac:dyDescent="0.2">
      <c r="A4848" s="3597"/>
      <c r="B4848" s="3589"/>
      <c r="C4848" s="3594"/>
      <c r="D4848" s="3600"/>
      <c r="E4848" s="3600"/>
      <c r="F4848" s="3647"/>
      <c r="G4848" s="3629"/>
      <c r="H4848" s="3646"/>
      <c r="I4848" s="3056"/>
      <c r="J4848" s="3600"/>
      <c r="K4848" s="3648"/>
      <c r="L4848" s="3649"/>
      <c r="M4848" s="339" t="s">
        <v>1452</v>
      </c>
      <c r="N4848" s="469" t="s">
        <v>1884</v>
      </c>
      <c r="O4848" s="337"/>
      <c r="P4848" s="337"/>
      <c r="Q4848" s="338"/>
      <c r="R4848" s="338"/>
      <c r="S4848" s="338"/>
      <c r="T4848" s="338"/>
      <c r="U4848" s="322"/>
      <c r="V4848" s="322"/>
      <c r="W4848" s="291">
        <v>1530</v>
      </c>
      <c r="X4848" s="293"/>
      <c r="Y4848" s="293"/>
      <c r="Z4848" s="293"/>
      <c r="AA4848" s="1440">
        <f>SUM(O4848:Z4848)</f>
        <v>1530</v>
      </c>
    </row>
    <row r="4849" spans="1:27" ht="22.5" x14ac:dyDescent="0.2">
      <c r="A4849" s="3597"/>
      <c r="B4849" s="3589"/>
      <c r="C4849" s="3594"/>
      <c r="D4849" s="3600"/>
      <c r="E4849" s="3600"/>
      <c r="F4849" s="3647"/>
      <c r="G4849" s="3629"/>
      <c r="H4849" s="3646"/>
      <c r="I4849" s="3056"/>
      <c r="J4849" s="3600"/>
      <c r="K4849" s="3648"/>
      <c r="L4849" s="3649"/>
      <c r="M4849" s="339" t="s">
        <v>200</v>
      </c>
      <c r="N4849" s="469" t="s">
        <v>1894</v>
      </c>
      <c r="O4849" s="483"/>
      <c r="P4849" s="483"/>
      <c r="Q4849" s="483"/>
      <c r="R4849" s="483"/>
      <c r="S4849" s="483"/>
      <c r="T4849" s="483"/>
      <c r="U4849" s="483"/>
      <c r="V4849" s="483"/>
      <c r="W4849" s="293">
        <v>355</v>
      </c>
      <c r="X4849" s="293"/>
      <c r="Y4849" s="293"/>
      <c r="Z4849" s="293"/>
      <c r="AA4849" s="1440">
        <f>SUM(O4849:Z4849)</f>
        <v>355</v>
      </c>
    </row>
    <row r="4850" spans="1:27" x14ac:dyDescent="0.2">
      <c r="A4850" s="3597"/>
      <c r="B4850" s="3589">
        <v>2.2000000000000002</v>
      </c>
      <c r="C4850" s="3594" t="s">
        <v>1895</v>
      </c>
      <c r="D4850" s="3600" t="s">
        <v>1863</v>
      </c>
      <c r="E4850" s="3600" t="s">
        <v>1857</v>
      </c>
      <c r="F4850" s="3647" t="s">
        <v>1858</v>
      </c>
      <c r="G4850" s="3629" t="s">
        <v>1859</v>
      </c>
      <c r="H4850" s="3646" t="s">
        <v>1896</v>
      </c>
      <c r="I4850" s="3056" t="s">
        <v>1860</v>
      </c>
      <c r="J4850" s="3600">
        <v>1</v>
      </c>
      <c r="K4850" s="3648">
        <f>AA4851</f>
        <v>255</v>
      </c>
      <c r="L4850" s="3649" t="s">
        <v>1866</v>
      </c>
      <c r="M4850" s="3643" t="s">
        <v>51</v>
      </c>
      <c r="N4850" s="3643"/>
      <c r="O4850" s="483"/>
      <c r="P4850" s="483">
        <v>1</v>
      </c>
      <c r="Q4850" s="483"/>
      <c r="R4850" s="483"/>
      <c r="S4850" s="483"/>
      <c r="T4850" s="483"/>
      <c r="U4850" s="483"/>
      <c r="V4850" s="483"/>
      <c r="W4850" s="483"/>
      <c r="X4850" s="483"/>
      <c r="Y4850" s="483"/>
      <c r="Z4850" s="483"/>
      <c r="AA4850" s="1440">
        <v>1</v>
      </c>
    </row>
    <row r="4851" spans="1:27" x14ac:dyDescent="0.2">
      <c r="A4851" s="3597"/>
      <c r="B4851" s="3589"/>
      <c r="C4851" s="3594"/>
      <c r="D4851" s="3600"/>
      <c r="E4851" s="3600"/>
      <c r="F4851" s="3647"/>
      <c r="G4851" s="3629"/>
      <c r="H4851" s="3646"/>
      <c r="I4851" s="3056"/>
      <c r="J4851" s="3600"/>
      <c r="K4851" s="3648"/>
      <c r="L4851" s="3649"/>
      <c r="M4851" s="3643" t="s">
        <v>111</v>
      </c>
      <c r="N4851" s="3643"/>
      <c r="O4851" s="483">
        <f>SUM(O4852:O4855)</f>
        <v>0</v>
      </c>
      <c r="P4851" s="483">
        <f t="shared" ref="P4851:AA4851" si="813">SUM(P4852:P4855)</f>
        <v>255</v>
      </c>
      <c r="Q4851" s="483">
        <f t="shared" si="813"/>
        <v>0</v>
      </c>
      <c r="R4851" s="483">
        <f t="shared" si="813"/>
        <v>0</v>
      </c>
      <c r="S4851" s="483"/>
      <c r="T4851" s="483">
        <f t="shared" si="813"/>
        <v>0</v>
      </c>
      <c r="U4851" s="483">
        <f t="shared" si="813"/>
        <v>0</v>
      </c>
      <c r="V4851" s="483">
        <f t="shared" si="813"/>
        <v>0</v>
      </c>
      <c r="W4851" s="483">
        <f t="shared" si="813"/>
        <v>0</v>
      </c>
      <c r="X4851" s="483"/>
      <c r="Y4851" s="483">
        <f t="shared" si="813"/>
        <v>0</v>
      </c>
      <c r="Z4851" s="483">
        <f t="shared" si="813"/>
        <v>0</v>
      </c>
      <c r="AA4851" s="1440">
        <f t="shared" si="813"/>
        <v>255</v>
      </c>
    </row>
    <row r="4852" spans="1:27" ht="22.5" x14ac:dyDescent="0.2">
      <c r="A4852" s="3597"/>
      <c r="B4852" s="3589"/>
      <c r="C4852" s="3594"/>
      <c r="D4852" s="3600"/>
      <c r="E4852" s="3600"/>
      <c r="F4852" s="3647"/>
      <c r="G4852" s="3629"/>
      <c r="H4852" s="3646"/>
      <c r="I4852" s="3056"/>
      <c r="J4852" s="3600"/>
      <c r="K4852" s="3648"/>
      <c r="L4852" s="3649"/>
      <c r="M4852" s="339" t="s">
        <v>194</v>
      </c>
      <c r="N4852" s="469" t="s">
        <v>1880</v>
      </c>
      <c r="O4852" s="483"/>
      <c r="P4852" s="483"/>
      <c r="Q4852" s="483"/>
      <c r="R4852" s="483"/>
      <c r="S4852" s="483"/>
      <c r="T4852" s="483"/>
      <c r="U4852" s="483"/>
      <c r="V4852" s="483"/>
      <c r="W4852" s="483"/>
      <c r="X4852" s="483"/>
      <c r="Y4852" s="483"/>
      <c r="Z4852" s="483"/>
      <c r="AA4852" s="1440">
        <f>SUM(O4852:Z4852)</f>
        <v>0</v>
      </c>
    </row>
    <row r="4853" spans="1:27" x14ac:dyDescent="0.2">
      <c r="A4853" s="3597"/>
      <c r="B4853" s="3589"/>
      <c r="C4853" s="3594"/>
      <c r="D4853" s="3600"/>
      <c r="E4853" s="3600"/>
      <c r="F4853" s="3647"/>
      <c r="G4853" s="3629"/>
      <c r="H4853" s="3646"/>
      <c r="I4853" s="3056"/>
      <c r="J4853" s="3600"/>
      <c r="K4853" s="3648"/>
      <c r="L4853" s="3649"/>
      <c r="M4853" s="339" t="s">
        <v>1452</v>
      </c>
      <c r="N4853" s="469" t="s">
        <v>1884</v>
      </c>
      <c r="O4853" s="483"/>
      <c r="P4853" s="483">
        <v>180</v>
      </c>
      <c r="Q4853" s="483"/>
      <c r="R4853" s="483"/>
      <c r="S4853" s="483"/>
      <c r="T4853" s="483"/>
      <c r="U4853" s="483"/>
      <c r="V4853" s="483"/>
      <c r="W4853" s="483"/>
      <c r="X4853" s="483"/>
      <c r="Y4853" s="483"/>
      <c r="Z4853" s="483"/>
      <c r="AA4853" s="1440">
        <f t="shared" ref="AA4853:AA4855" si="814">SUM(O4853:Z4853)</f>
        <v>180</v>
      </c>
    </row>
    <row r="4854" spans="1:27" x14ac:dyDescent="0.2">
      <c r="A4854" s="3597"/>
      <c r="B4854" s="3589"/>
      <c r="C4854" s="3594"/>
      <c r="D4854" s="3600"/>
      <c r="E4854" s="3600"/>
      <c r="F4854" s="3647"/>
      <c r="G4854" s="3629"/>
      <c r="H4854" s="3646"/>
      <c r="I4854" s="3056"/>
      <c r="J4854" s="3600"/>
      <c r="K4854" s="3648"/>
      <c r="L4854" s="3649"/>
      <c r="M4854" s="339" t="s">
        <v>541</v>
      </c>
      <c r="N4854" s="469" t="s">
        <v>1881</v>
      </c>
      <c r="O4854" s="483"/>
      <c r="P4854" s="483"/>
      <c r="Q4854" s="483"/>
      <c r="R4854" s="483"/>
      <c r="S4854" s="483"/>
      <c r="T4854" s="483"/>
      <c r="U4854" s="483"/>
      <c r="V4854" s="483"/>
      <c r="W4854" s="483"/>
      <c r="X4854" s="483"/>
      <c r="Y4854" s="483"/>
      <c r="Z4854" s="483"/>
      <c r="AA4854" s="1440">
        <f t="shared" si="814"/>
        <v>0</v>
      </c>
    </row>
    <row r="4855" spans="1:27" ht="22.5" x14ac:dyDescent="0.2">
      <c r="A4855" s="3597"/>
      <c r="B4855" s="3589"/>
      <c r="C4855" s="3594"/>
      <c r="D4855" s="3600"/>
      <c r="E4855" s="3600"/>
      <c r="F4855" s="3647"/>
      <c r="G4855" s="3629"/>
      <c r="H4855" s="3646"/>
      <c r="I4855" s="3056"/>
      <c r="J4855" s="3600"/>
      <c r="K4855" s="3648"/>
      <c r="L4855" s="3649"/>
      <c r="M4855" s="339" t="s">
        <v>200</v>
      </c>
      <c r="N4855" s="469" t="s">
        <v>1894</v>
      </c>
      <c r="O4855" s="483"/>
      <c r="P4855" s="483">
        <v>75</v>
      </c>
      <c r="Q4855" s="483"/>
      <c r="R4855" s="483"/>
      <c r="S4855" s="483"/>
      <c r="T4855" s="483"/>
      <c r="U4855" s="483"/>
      <c r="V4855" s="483"/>
      <c r="W4855" s="483"/>
      <c r="X4855" s="483"/>
      <c r="Y4855" s="483"/>
      <c r="Z4855" s="483"/>
      <c r="AA4855" s="1440">
        <f t="shared" si="814"/>
        <v>75</v>
      </c>
    </row>
    <row r="4856" spans="1:27" x14ac:dyDescent="0.2">
      <c r="A4856" s="3597"/>
      <c r="B4856" s="3589">
        <v>2.4</v>
      </c>
      <c r="C4856" s="3594" t="s">
        <v>1901</v>
      </c>
      <c r="D4856" s="3600" t="s">
        <v>1863</v>
      </c>
      <c r="E4856" s="3600" t="s">
        <v>1857</v>
      </c>
      <c r="F4856" s="3647" t="s">
        <v>1858</v>
      </c>
      <c r="G4856" s="3629" t="s">
        <v>1859</v>
      </c>
      <c r="H4856" s="3646" t="s">
        <v>1902</v>
      </c>
      <c r="I4856" s="3056" t="s">
        <v>1903</v>
      </c>
      <c r="J4856" s="3600">
        <v>87</v>
      </c>
      <c r="K4856" s="3648">
        <f>AA4857</f>
        <v>1598</v>
      </c>
      <c r="L4856" s="3649" t="s">
        <v>1866</v>
      </c>
      <c r="M4856" s="3643" t="s">
        <v>51</v>
      </c>
      <c r="N4856" s="3643"/>
      <c r="O4856" s="293">
        <v>11</v>
      </c>
      <c r="P4856" s="293"/>
      <c r="Q4856" s="293">
        <v>11</v>
      </c>
      <c r="R4856" s="293">
        <v>11</v>
      </c>
      <c r="S4856" s="293">
        <v>11</v>
      </c>
      <c r="T4856" s="293"/>
      <c r="U4856" s="293">
        <v>11</v>
      </c>
      <c r="V4856" s="293"/>
      <c r="W4856" s="293">
        <v>10</v>
      </c>
      <c r="X4856" s="293">
        <v>11</v>
      </c>
      <c r="Y4856" s="293">
        <v>0</v>
      </c>
      <c r="Z4856" s="293">
        <v>11</v>
      </c>
      <c r="AA4856" s="1439">
        <f>SUM(O4856:Z4856)</f>
        <v>87</v>
      </c>
    </row>
    <row r="4857" spans="1:27" x14ac:dyDescent="0.2">
      <c r="A4857" s="3597"/>
      <c r="B4857" s="3589"/>
      <c r="C4857" s="3594"/>
      <c r="D4857" s="3600"/>
      <c r="E4857" s="3600"/>
      <c r="F4857" s="3647"/>
      <c r="G4857" s="3629"/>
      <c r="H4857" s="3646"/>
      <c r="I4857" s="3056"/>
      <c r="J4857" s="3600"/>
      <c r="K4857" s="3648"/>
      <c r="L4857" s="3649"/>
      <c r="M4857" s="3643" t="s">
        <v>111</v>
      </c>
      <c r="N4857" s="3643"/>
      <c r="O4857" s="293">
        <f>SUM(O4858)</f>
        <v>200</v>
      </c>
      <c r="P4857" s="293"/>
      <c r="Q4857" s="293">
        <f t="shared" ref="Q4857:Z4857" si="815">SUM(Q4858)</f>
        <v>200</v>
      </c>
      <c r="R4857" s="293">
        <f t="shared" si="815"/>
        <v>200</v>
      </c>
      <c r="S4857" s="293">
        <f t="shared" si="815"/>
        <v>200</v>
      </c>
      <c r="T4857" s="293"/>
      <c r="U4857" s="293">
        <f t="shared" si="815"/>
        <v>200</v>
      </c>
      <c r="V4857" s="293"/>
      <c r="W4857" s="293">
        <f t="shared" si="815"/>
        <v>199</v>
      </c>
      <c r="X4857" s="293">
        <v>199</v>
      </c>
      <c r="Y4857" s="293"/>
      <c r="Z4857" s="293">
        <f t="shared" si="815"/>
        <v>200</v>
      </c>
      <c r="AA4857" s="1439">
        <f>SUM(O4857:Z4857)</f>
        <v>1598</v>
      </c>
    </row>
    <row r="4858" spans="1:27" x14ac:dyDescent="0.2">
      <c r="A4858" s="3597"/>
      <c r="B4858" s="3589"/>
      <c r="C4858" s="3594"/>
      <c r="D4858" s="3600"/>
      <c r="E4858" s="3600"/>
      <c r="F4858" s="3647"/>
      <c r="G4858" s="3629"/>
      <c r="H4858" s="3646"/>
      <c r="I4858" s="3056"/>
      <c r="J4858" s="3600"/>
      <c r="K4858" s="3648"/>
      <c r="L4858" s="3649"/>
      <c r="M4858" s="339" t="s">
        <v>1452</v>
      </c>
      <c r="N4858" s="469" t="s">
        <v>1884</v>
      </c>
      <c r="O4858" s="293">
        <v>200</v>
      </c>
      <c r="P4858" s="293"/>
      <c r="Q4858" s="293">
        <v>200</v>
      </c>
      <c r="R4858" s="293">
        <v>200</v>
      </c>
      <c r="S4858" s="293">
        <v>200</v>
      </c>
      <c r="T4858" s="293"/>
      <c r="U4858" s="293">
        <v>200</v>
      </c>
      <c r="V4858" s="293"/>
      <c r="W4858" s="293">
        <v>199</v>
      </c>
      <c r="X4858" s="293">
        <v>199</v>
      </c>
      <c r="Y4858" s="293"/>
      <c r="Z4858" s="293">
        <v>200</v>
      </c>
      <c r="AA4858" s="1439">
        <f>SUM(O4858:Z4858)</f>
        <v>1598</v>
      </c>
    </row>
    <row r="4859" spans="1:27" x14ac:dyDescent="0.2">
      <c r="A4859" s="3597" t="s">
        <v>1904</v>
      </c>
      <c r="B4859" s="3589">
        <v>3.2</v>
      </c>
      <c r="C4859" s="3594" t="s">
        <v>1908</v>
      </c>
      <c r="D4859" s="3600" t="s">
        <v>1863</v>
      </c>
      <c r="E4859" s="3600" t="s">
        <v>1857</v>
      </c>
      <c r="F4859" s="3629" t="s">
        <v>1858</v>
      </c>
      <c r="G4859" s="3629" t="s">
        <v>1859</v>
      </c>
      <c r="H4859" s="3600" t="s">
        <v>1909</v>
      </c>
      <c r="I4859" s="3056" t="s">
        <v>1910</v>
      </c>
      <c r="J4859" s="3600">
        <v>2</v>
      </c>
      <c r="K4859" s="3623">
        <v>16400</v>
      </c>
      <c r="L4859" s="3649" t="s">
        <v>1866</v>
      </c>
      <c r="M4859" s="3643" t="s">
        <v>51</v>
      </c>
      <c r="N4859" s="3643"/>
      <c r="O4859" s="293"/>
      <c r="P4859" s="293"/>
      <c r="Q4859" s="293">
        <v>1</v>
      </c>
      <c r="R4859" s="293"/>
      <c r="S4859" s="293"/>
      <c r="T4859" s="293"/>
      <c r="U4859" s="293"/>
      <c r="V4859" s="293"/>
      <c r="W4859" s="293"/>
      <c r="X4859" s="293"/>
      <c r="Y4859" s="293">
        <v>0</v>
      </c>
      <c r="Z4859" s="293"/>
      <c r="AA4859" s="1439">
        <v>1</v>
      </c>
    </row>
    <row r="4860" spans="1:27" x14ac:dyDescent="0.2">
      <c r="A4860" s="3597"/>
      <c r="B4860" s="3589"/>
      <c r="C4860" s="3594"/>
      <c r="D4860" s="3600"/>
      <c r="E4860" s="3600"/>
      <c r="F4860" s="3629"/>
      <c r="G4860" s="3629"/>
      <c r="H4860" s="3600"/>
      <c r="I4860" s="3056"/>
      <c r="J4860" s="3600"/>
      <c r="K4860" s="3623"/>
      <c r="L4860" s="3649"/>
      <c r="M4860" s="3643" t="s">
        <v>111</v>
      </c>
      <c r="N4860" s="3643"/>
      <c r="O4860" s="293">
        <f>SUM(O4861:O4863)</f>
        <v>0</v>
      </c>
      <c r="P4860" s="293">
        <f t="shared" ref="P4860:AA4860" si="816">SUM(P4861:P4863)</f>
        <v>0</v>
      </c>
      <c r="Q4860" s="293">
        <f>SUM(Q4861:Q4863)</f>
        <v>16400</v>
      </c>
      <c r="R4860" s="293">
        <f t="shared" si="816"/>
        <v>0</v>
      </c>
      <c r="S4860" s="293">
        <f t="shared" si="816"/>
        <v>0</v>
      </c>
      <c r="T4860" s="293">
        <f t="shared" si="816"/>
        <v>0</v>
      </c>
      <c r="U4860" s="293">
        <f t="shared" si="816"/>
        <v>0</v>
      </c>
      <c r="V4860" s="293">
        <f t="shared" si="816"/>
        <v>0</v>
      </c>
      <c r="W4860" s="293">
        <f t="shared" si="816"/>
        <v>0</v>
      </c>
      <c r="X4860" s="293">
        <f t="shared" si="816"/>
        <v>0</v>
      </c>
      <c r="Y4860" s="293"/>
      <c r="Z4860" s="293">
        <f t="shared" si="816"/>
        <v>0</v>
      </c>
      <c r="AA4860" s="1439">
        <f t="shared" si="816"/>
        <v>16400</v>
      </c>
    </row>
    <row r="4861" spans="1:27" x14ac:dyDescent="0.2">
      <c r="A4861" s="3597"/>
      <c r="B4861" s="3589"/>
      <c r="C4861" s="3594"/>
      <c r="D4861" s="3600"/>
      <c r="E4861" s="3600"/>
      <c r="F4861" s="3629"/>
      <c r="G4861" s="3629"/>
      <c r="H4861" s="3600"/>
      <c r="I4861" s="3056"/>
      <c r="J4861" s="3600"/>
      <c r="K4861" s="3623"/>
      <c r="L4861" s="3649"/>
      <c r="M4861" s="339" t="s">
        <v>1452</v>
      </c>
      <c r="N4861" s="469" t="s">
        <v>1884</v>
      </c>
      <c r="O4861" s="293"/>
      <c r="P4861" s="293"/>
      <c r="Q4861" s="293">
        <v>10450</v>
      </c>
      <c r="R4861" s="293"/>
      <c r="S4861" s="293"/>
      <c r="T4861" s="293"/>
      <c r="U4861" s="293"/>
      <c r="V4861" s="293"/>
      <c r="W4861" s="293"/>
      <c r="X4861" s="293"/>
      <c r="Y4861" s="293"/>
      <c r="Z4861" s="293"/>
      <c r="AA4861" s="1439">
        <f>SUM(O4861:Z4861)</f>
        <v>10450</v>
      </c>
    </row>
    <row r="4862" spans="1:27" ht="33.75" x14ac:dyDescent="0.2">
      <c r="A4862" s="3597"/>
      <c r="B4862" s="3589"/>
      <c r="C4862" s="3594"/>
      <c r="D4862" s="3600"/>
      <c r="E4862" s="3600"/>
      <c r="F4862" s="3629"/>
      <c r="G4862" s="3629"/>
      <c r="H4862" s="3600"/>
      <c r="I4862" s="3056"/>
      <c r="J4862" s="3600"/>
      <c r="K4862" s="3623"/>
      <c r="L4862" s="3649"/>
      <c r="M4862" s="339">
        <v>231211</v>
      </c>
      <c r="N4862" s="469" t="s">
        <v>1911</v>
      </c>
      <c r="O4862" s="293"/>
      <c r="P4862" s="293"/>
      <c r="Q4862" s="293">
        <v>4200</v>
      </c>
      <c r="R4862" s="293"/>
      <c r="S4862" s="293"/>
      <c r="T4862" s="293"/>
      <c r="U4862" s="293"/>
      <c r="V4862" s="293"/>
      <c r="W4862" s="293"/>
      <c r="X4862" s="293"/>
      <c r="Y4862" s="293"/>
      <c r="Z4862" s="293"/>
      <c r="AA4862" s="1439">
        <f>SUM(O4862:Z4862)</f>
        <v>4200</v>
      </c>
    </row>
    <row r="4863" spans="1:27" ht="22.5" x14ac:dyDescent="0.2">
      <c r="A4863" s="3597"/>
      <c r="B4863" s="3589"/>
      <c r="C4863" s="3594"/>
      <c r="D4863" s="3600"/>
      <c r="E4863" s="3600"/>
      <c r="F4863" s="3629"/>
      <c r="G4863" s="3629"/>
      <c r="H4863" s="3600"/>
      <c r="I4863" s="3056"/>
      <c r="J4863" s="3600"/>
      <c r="K4863" s="3623"/>
      <c r="L4863" s="3649"/>
      <c r="M4863" s="339" t="s">
        <v>200</v>
      </c>
      <c r="N4863" s="469" t="s">
        <v>1894</v>
      </c>
      <c r="O4863" s="293"/>
      <c r="P4863" s="293"/>
      <c r="Q4863" s="293">
        <v>1750</v>
      </c>
      <c r="R4863" s="293"/>
      <c r="S4863" s="293"/>
      <c r="T4863" s="293"/>
      <c r="U4863" s="293"/>
      <c r="V4863" s="293"/>
      <c r="W4863" s="293"/>
      <c r="X4863" s="293"/>
      <c r="Y4863" s="293"/>
      <c r="Z4863" s="293"/>
      <c r="AA4863" s="1439">
        <f>SUM(O4863:Z4863)</f>
        <v>1750</v>
      </c>
    </row>
    <row r="4864" spans="1:27" x14ac:dyDescent="0.2">
      <c r="A4864" s="3597" t="s">
        <v>1919</v>
      </c>
      <c r="B4864" s="3589">
        <v>5.2</v>
      </c>
      <c r="C4864" s="3594" t="s">
        <v>1923</v>
      </c>
      <c r="D4864" s="3600" t="s">
        <v>1863</v>
      </c>
      <c r="E4864" s="3600" t="s">
        <v>1857</v>
      </c>
      <c r="F4864" s="3647" t="s">
        <v>1858</v>
      </c>
      <c r="G4864" s="3629" t="s">
        <v>1859</v>
      </c>
      <c r="H4864" s="3600" t="s">
        <v>1922</v>
      </c>
      <c r="I4864" s="3600" t="s">
        <v>1860</v>
      </c>
      <c r="J4864" s="3600">
        <v>2</v>
      </c>
      <c r="K4864" s="3648">
        <f>+AA4865</f>
        <v>3760</v>
      </c>
      <c r="L4864" s="3600" t="s">
        <v>1866</v>
      </c>
      <c r="M4864" s="3643" t="s">
        <v>51</v>
      </c>
      <c r="N4864" s="3643"/>
      <c r="O4864" s="293">
        <v>1</v>
      </c>
      <c r="P4864" s="293"/>
      <c r="Q4864" s="293"/>
      <c r="R4864" s="293"/>
      <c r="S4864" s="293"/>
      <c r="T4864" s="293"/>
      <c r="U4864" s="293">
        <v>1</v>
      </c>
      <c r="V4864" s="556"/>
      <c r="W4864" s="556"/>
      <c r="X4864" s="556"/>
      <c r="Y4864" s="556"/>
      <c r="Z4864" s="556"/>
      <c r="AA4864" s="1438">
        <f>SUM(O4864:Z4864)</f>
        <v>2</v>
      </c>
    </row>
    <row r="4865" spans="1:27" x14ac:dyDescent="0.2">
      <c r="A4865" s="3597"/>
      <c r="B4865" s="3589"/>
      <c r="C4865" s="3594"/>
      <c r="D4865" s="3600"/>
      <c r="E4865" s="3600"/>
      <c r="F4865" s="3647"/>
      <c r="G4865" s="3629"/>
      <c r="H4865" s="3600"/>
      <c r="I4865" s="3600"/>
      <c r="J4865" s="3600"/>
      <c r="K4865" s="3648"/>
      <c r="L4865" s="3600"/>
      <c r="M4865" s="3643" t="s">
        <v>111</v>
      </c>
      <c r="N4865" s="3643"/>
      <c r="O4865" s="293">
        <f>SUM(O4866:O4870)</f>
        <v>1880</v>
      </c>
      <c r="P4865" s="293">
        <f t="shared" ref="P4865:AA4865" si="817">SUM(P4866:P4870)</f>
        <v>0</v>
      </c>
      <c r="Q4865" s="293">
        <f t="shared" si="817"/>
        <v>0</v>
      </c>
      <c r="R4865" s="293">
        <f t="shared" si="817"/>
        <v>0</v>
      </c>
      <c r="S4865" s="293">
        <f t="shared" si="817"/>
        <v>0</v>
      </c>
      <c r="T4865" s="293">
        <f t="shared" si="817"/>
        <v>0</v>
      </c>
      <c r="U4865" s="293">
        <f t="shared" si="817"/>
        <v>1880</v>
      </c>
      <c r="V4865" s="293">
        <f t="shared" si="817"/>
        <v>0</v>
      </c>
      <c r="W4865" s="293">
        <f t="shared" si="817"/>
        <v>0</v>
      </c>
      <c r="X4865" s="293">
        <f t="shared" si="817"/>
        <v>0</v>
      </c>
      <c r="Y4865" s="293">
        <f t="shared" si="817"/>
        <v>0</v>
      </c>
      <c r="Z4865" s="293"/>
      <c r="AA4865" s="1439">
        <f t="shared" si="817"/>
        <v>3760</v>
      </c>
    </row>
    <row r="4866" spans="1:27" x14ac:dyDescent="0.2">
      <c r="A4866" s="3597"/>
      <c r="B4866" s="3589"/>
      <c r="C4866" s="3594"/>
      <c r="D4866" s="3600"/>
      <c r="E4866" s="3600"/>
      <c r="F4866" s="3647"/>
      <c r="G4866" s="3629"/>
      <c r="H4866" s="3600"/>
      <c r="I4866" s="3600"/>
      <c r="J4866" s="3600"/>
      <c r="K4866" s="3648"/>
      <c r="L4866" s="3600"/>
      <c r="M4866" s="339" t="s">
        <v>1883</v>
      </c>
      <c r="N4866" s="469" t="s">
        <v>1884</v>
      </c>
      <c r="O4866" s="556">
        <v>1000</v>
      </c>
      <c r="P4866" s="293"/>
      <c r="Q4866" s="293"/>
      <c r="R4866" s="293"/>
      <c r="S4866" s="293"/>
      <c r="T4866" s="293"/>
      <c r="U4866" s="293">
        <v>1000</v>
      </c>
      <c r="V4866" s="556"/>
      <c r="W4866" s="556"/>
      <c r="X4866" s="556"/>
      <c r="Y4866" s="556"/>
      <c r="Z4866" s="556"/>
      <c r="AA4866" s="1438">
        <f>SUM(O4866:Z4866)</f>
        <v>2000</v>
      </c>
    </row>
    <row r="4867" spans="1:27" ht="22.5" x14ac:dyDescent="0.2">
      <c r="A4867" s="3597"/>
      <c r="B4867" s="3589"/>
      <c r="C4867" s="3594"/>
      <c r="D4867" s="3600"/>
      <c r="E4867" s="3600"/>
      <c r="F4867" s="3647"/>
      <c r="G4867" s="3629"/>
      <c r="H4867" s="3600"/>
      <c r="I4867" s="3600"/>
      <c r="J4867" s="3600"/>
      <c r="K4867" s="3648"/>
      <c r="L4867" s="3600"/>
      <c r="M4867" s="339" t="s">
        <v>194</v>
      </c>
      <c r="N4867" s="469" t="s">
        <v>1880</v>
      </c>
      <c r="O4867" s="556">
        <v>140</v>
      </c>
      <c r="P4867" s="293"/>
      <c r="Q4867" s="293"/>
      <c r="R4867" s="293"/>
      <c r="S4867" s="293"/>
      <c r="T4867" s="293"/>
      <c r="U4867" s="293">
        <v>140</v>
      </c>
      <c r="V4867" s="556"/>
      <c r="W4867" s="556"/>
      <c r="X4867" s="556"/>
      <c r="Y4867" s="556"/>
      <c r="Z4867" s="556"/>
      <c r="AA4867" s="1442">
        <f t="shared" ref="AA4867:AA4870" si="818">SUM(O4867:Z4867)</f>
        <v>280</v>
      </c>
    </row>
    <row r="4868" spans="1:27" ht="22.5" x14ac:dyDescent="0.2">
      <c r="A4868" s="3597"/>
      <c r="B4868" s="3589"/>
      <c r="C4868" s="3594"/>
      <c r="D4868" s="3600"/>
      <c r="E4868" s="3600"/>
      <c r="F4868" s="3647"/>
      <c r="G4868" s="3629"/>
      <c r="H4868" s="3600"/>
      <c r="I4868" s="3600"/>
      <c r="J4868" s="3600"/>
      <c r="K4868" s="3648"/>
      <c r="L4868" s="3600"/>
      <c r="M4868" s="339" t="s">
        <v>180</v>
      </c>
      <c r="N4868" s="469" t="s">
        <v>1882</v>
      </c>
      <c r="O4868" s="556">
        <v>240</v>
      </c>
      <c r="P4868" s="293"/>
      <c r="Q4868" s="293"/>
      <c r="R4868" s="293"/>
      <c r="S4868" s="293"/>
      <c r="T4868" s="293"/>
      <c r="U4868" s="293">
        <v>240</v>
      </c>
      <c r="V4868" s="556"/>
      <c r="W4868" s="556"/>
      <c r="X4868" s="556"/>
      <c r="Y4868" s="556"/>
      <c r="Z4868" s="556"/>
      <c r="AA4868" s="1442">
        <f t="shared" si="818"/>
        <v>480</v>
      </c>
    </row>
    <row r="4869" spans="1:27" x14ac:dyDescent="0.2">
      <c r="A4869" s="3597"/>
      <c r="B4869" s="3589"/>
      <c r="C4869" s="3594"/>
      <c r="D4869" s="3600"/>
      <c r="E4869" s="3600"/>
      <c r="F4869" s="3647"/>
      <c r="G4869" s="3629"/>
      <c r="H4869" s="3600"/>
      <c r="I4869" s="3600"/>
      <c r="J4869" s="3600"/>
      <c r="K4869" s="3648"/>
      <c r="L4869" s="3600"/>
      <c r="M4869" s="339" t="s">
        <v>541</v>
      </c>
      <c r="N4869" s="469" t="s">
        <v>1881</v>
      </c>
      <c r="O4869" s="556"/>
      <c r="P4869" s="293"/>
      <c r="Q4869" s="293"/>
      <c r="R4869" s="293"/>
      <c r="S4869" s="293"/>
      <c r="T4869" s="293"/>
      <c r="U4869" s="293"/>
      <c r="V4869" s="556"/>
      <c r="W4869" s="556"/>
      <c r="X4869" s="556"/>
      <c r="Y4869" s="556"/>
      <c r="Z4869" s="556"/>
      <c r="AA4869" s="1442">
        <f t="shared" si="818"/>
        <v>0</v>
      </c>
    </row>
    <row r="4870" spans="1:27" ht="22.5" x14ac:dyDescent="0.2">
      <c r="A4870" s="3597"/>
      <c r="B4870" s="3589"/>
      <c r="C4870" s="3594"/>
      <c r="D4870" s="3600"/>
      <c r="E4870" s="3600"/>
      <c r="F4870" s="3647"/>
      <c r="G4870" s="3629"/>
      <c r="H4870" s="3600" t="s">
        <v>1924</v>
      </c>
      <c r="I4870" s="3600"/>
      <c r="J4870" s="3600"/>
      <c r="K4870" s="3648"/>
      <c r="L4870" s="3600"/>
      <c r="M4870" s="339" t="s">
        <v>200</v>
      </c>
      <c r="N4870" s="469" t="s">
        <v>1894</v>
      </c>
      <c r="O4870" s="340">
        <v>500</v>
      </c>
      <c r="P4870" s="293"/>
      <c r="Q4870" s="293"/>
      <c r="R4870" s="293"/>
      <c r="S4870" s="293"/>
      <c r="T4870" s="293"/>
      <c r="U4870" s="293">
        <v>500</v>
      </c>
      <c r="V4870" s="340"/>
      <c r="W4870" s="340"/>
      <c r="X4870" s="340"/>
      <c r="Y4870" s="340"/>
      <c r="Z4870" s="340"/>
      <c r="AA4870" s="1438">
        <f t="shared" si="818"/>
        <v>1000</v>
      </c>
    </row>
    <row r="4871" spans="1:27" x14ac:dyDescent="0.2">
      <c r="A4871" s="3597"/>
      <c r="B4871" s="3589">
        <v>5.4</v>
      </c>
      <c r="C4871" s="3594" t="s">
        <v>1929</v>
      </c>
      <c r="D4871" s="3600" t="s">
        <v>1863</v>
      </c>
      <c r="E4871" s="3600" t="s">
        <v>1857</v>
      </c>
      <c r="F4871" s="3647" t="s">
        <v>1858</v>
      </c>
      <c r="G4871" s="3629" t="s">
        <v>1859</v>
      </c>
      <c r="H4871" s="3600" t="s">
        <v>1930</v>
      </c>
      <c r="I4871" s="3600" t="s">
        <v>1860</v>
      </c>
      <c r="J4871" s="3600">
        <v>3</v>
      </c>
      <c r="K4871" s="3623">
        <f>AA4872</f>
        <v>420</v>
      </c>
      <c r="L4871" s="3600" t="s">
        <v>1866</v>
      </c>
      <c r="M4871" s="3643" t="s">
        <v>51</v>
      </c>
      <c r="N4871" s="3643"/>
      <c r="O4871" s="293"/>
      <c r="P4871" s="293"/>
      <c r="Q4871" s="293"/>
      <c r="R4871" s="293">
        <v>1</v>
      </c>
      <c r="S4871" s="293"/>
      <c r="T4871" s="293"/>
      <c r="U4871" s="293"/>
      <c r="V4871" s="556">
        <v>1</v>
      </c>
      <c r="W4871" s="556"/>
      <c r="X4871" s="556"/>
      <c r="Y4871" s="556"/>
      <c r="Z4871" s="556">
        <v>1</v>
      </c>
      <c r="AA4871" s="1438">
        <v>3</v>
      </c>
    </row>
    <row r="4872" spans="1:27" x14ac:dyDescent="0.2">
      <c r="A4872" s="3597"/>
      <c r="B4872" s="3589"/>
      <c r="C4872" s="3594"/>
      <c r="D4872" s="3600"/>
      <c r="E4872" s="3600"/>
      <c r="F4872" s="3647"/>
      <c r="G4872" s="3629"/>
      <c r="H4872" s="3600"/>
      <c r="I4872" s="3600"/>
      <c r="J4872" s="3600"/>
      <c r="K4872" s="3623"/>
      <c r="L4872" s="3600"/>
      <c r="M4872" s="3643" t="s">
        <v>111</v>
      </c>
      <c r="N4872" s="3643"/>
      <c r="O4872" s="293">
        <f>SUM(O4873:O4874)</f>
        <v>0</v>
      </c>
      <c r="P4872" s="293"/>
      <c r="Q4872" s="293">
        <f t="shared" ref="Q4872:AA4872" si="819">SUM(Q4873:Q4874)</f>
        <v>0</v>
      </c>
      <c r="R4872" s="293">
        <f t="shared" si="819"/>
        <v>140</v>
      </c>
      <c r="S4872" s="293">
        <f t="shared" si="819"/>
        <v>0</v>
      </c>
      <c r="T4872" s="293"/>
      <c r="U4872" s="293">
        <f t="shared" si="819"/>
        <v>0</v>
      </c>
      <c r="V4872" s="293">
        <f t="shared" si="819"/>
        <v>140</v>
      </c>
      <c r="W4872" s="293">
        <f t="shared" si="819"/>
        <v>0</v>
      </c>
      <c r="X4872" s="293"/>
      <c r="Y4872" s="293">
        <f t="shared" si="819"/>
        <v>0</v>
      </c>
      <c r="Z4872" s="293">
        <f t="shared" si="819"/>
        <v>140</v>
      </c>
      <c r="AA4872" s="1439">
        <f t="shared" si="819"/>
        <v>420</v>
      </c>
    </row>
    <row r="4873" spans="1:27" ht="22.5" x14ac:dyDescent="0.2">
      <c r="A4873" s="3597"/>
      <c r="B4873" s="3589"/>
      <c r="C4873" s="3594"/>
      <c r="D4873" s="3600"/>
      <c r="E4873" s="3600"/>
      <c r="F4873" s="3647"/>
      <c r="G4873" s="3629"/>
      <c r="H4873" s="3600"/>
      <c r="I4873" s="3600"/>
      <c r="J4873" s="3600"/>
      <c r="K4873" s="3623"/>
      <c r="L4873" s="3600"/>
      <c r="M4873" s="339" t="s">
        <v>194</v>
      </c>
      <c r="N4873" s="469" t="s">
        <v>1880</v>
      </c>
      <c r="O4873" s="293"/>
      <c r="P4873" s="293"/>
      <c r="Q4873" s="293"/>
      <c r="R4873" s="293">
        <v>140</v>
      </c>
      <c r="S4873" s="293"/>
      <c r="T4873" s="293"/>
      <c r="U4873" s="293"/>
      <c r="V4873" s="322">
        <v>140</v>
      </c>
      <c r="W4873" s="322"/>
      <c r="X4873" s="322"/>
      <c r="Y4873" s="322"/>
      <c r="Z4873" s="322">
        <v>140</v>
      </c>
      <c r="AA4873" s="1438">
        <f>SUM(O4873:Z4873)</f>
        <v>420</v>
      </c>
    </row>
    <row r="4874" spans="1:27" x14ac:dyDescent="0.2">
      <c r="A4874" s="3597"/>
      <c r="B4874" s="3589"/>
      <c r="C4874" s="3594"/>
      <c r="D4874" s="3600"/>
      <c r="E4874" s="3600"/>
      <c r="F4874" s="3647"/>
      <c r="G4874" s="3629"/>
      <c r="H4874" s="3600"/>
      <c r="I4874" s="3600"/>
      <c r="J4874" s="3600"/>
      <c r="K4874" s="3623"/>
      <c r="L4874" s="3600"/>
      <c r="M4874" s="339" t="s">
        <v>541</v>
      </c>
      <c r="N4874" s="469" t="s">
        <v>1881</v>
      </c>
      <c r="O4874" s="293"/>
      <c r="P4874" s="293"/>
      <c r="Q4874" s="293"/>
      <c r="R4874" s="293"/>
      <c r="S4874" s="293"/>
      <c r="T4874" s="293"/>
      <c r="U4874" s="293"/>
      <c r="V4874" s="322"/>
      <c r="W4874" s="322"/>
      <c r="X4874" s="322"/>
      <c r="Y4874" s="322"/>
      <c r="Z4874" s="322"/>
      <c r="AA4874" s="1438">
        <v>0</v>
      </c>
    </row>
    <row r="4875" spans="1:27" x14ac:dyDescent="0.2">
      <c r="A4875" s="3597"/>
      <c r="B4875" s="3589">
        <v>5.6</v>
      </c>
      <c r="C4875" s="3594" t="s">
        <v>1935</v>
      </c>
      <c r="D4875" s="3600" t="s">
        <v>1863</v>
      </c>
      <c r="E4875" s="3600" t="s">
        <v>1857</v>
      </c>
      <c r="F4875" s="3647" t="s">
        <v>1858</v>
      </c>
      <c r="G4875" s="3629" t="s">
        <v>1859</v>
      </c>
      <c r="H4875" s="3600" t="s">
        <v>1936</v>
      </c>
      <c r="I4875" s="3600" t="s">
        <v>1961</v>
      </c>
      <c r="J4875" s="3600">
        <v>1</v>
      </c>
      <c r="K4875" s="3623">
        <f>AA4876</f>
        <v>1500</v>
      </c>
      <c r="L4875" s="3600" t="s">
        <v>1866</v>
      </c>
      <c r="M4875" s="3643" t="s">
        <v>51</v>
      </c>
      <c r="N4875" s="3643"/>
      <c r="O4875" s="293"/>
      <c r="P4875" s="293"/>
      <c r="Q4875" s="293"/>
      <c r="R4875" s="293"/>
      <c r="S4875" s="293"/>
      <c r="T4875" s="293"/>
      <c r="U4875" s="293"/>
      <c r="V4875" s="556"/>
      <c r="W4875" s="556"/>
      <c r="X4875" s="556"/>
      <c r="Y4875" s="556"/>
      <c r="Z4875" s="556"/>
      <c r="AA4875" s="1438">
        <v>1</v>
      </c>
    </row>
    <row r="4876" spans="1:27" x14ac:dyDescent="0.2">
      <c r="A4876" s="3597"/>
      <c r="B4876" s="3589"/>
      <c r="C4876" s="3594"/>
      <c r="D4876" s="3600"/>
      <c r="E4876" s="3600"/>
      <c r="F4876" s="3647"/>
      <c r="G4876" s="3629"/>
      <c r="H4876" s="3600"/>
      <c r="I4876" s="3600"/>
      <c r="J4876" s="3600"/>
      <c r="K4876" s="3623"/>
      <c r="L4876" s="3600"/>
      <c r="M4876" s="3643" t="s">
        <v>111</v>
      </c>
      <c r="N4876" s="3643"/>
      <c r="O4876" s="293">
        <f>SUM(O4877:O4878)</f>
        <v>0</v>
      </c>
      <c r="P4876" s="293"/>
      <c r="Q4876" s="293">
        <f t="shared" ref="Q4876:AA4876" si="820">SUM(Q4877:Q4878)</f>
        <v>0</v>
      </c>
      <c r="R4876" s="293">
        <f t="shared" si="820"/>
        <v>0</v>
      </c>
      <c r="S4876" s="293">
        <f t="shared" si="820"/>
        <v>1500</v>
      </c>
      <c r="T4876" s="293">
        <f t="shared" si="820"/>
        <v>0</v>
      </c>
      <c r="U4876" s="293">
        <f t="shared" si="820"/>
        <v>0</v>
      </c>
      <c r="V4876" s="293">
        <f t="shared" si="820"/>
        <v>0</v>
      </c>
      <c r="W4876" s="293">
        <f t="shared" si="820"/>
        <v>0</v>
      </c>
      <c r="X4876" s="293">
        <f t="shared" si="820"/>
        <v>0</v>
      </c>
      <c r="Y4876" s="293">
        <f t="shared" si="820"/>
        <v>0</v>
      </c>
      <c r="Z4876" s="293">
        <f t="shared" si="820"/>
        <v>0</v>
      </c>
      <c r="AA4876" s="1439">
        <f t="shared" si="820"/>
        <v>1500</v>
      </c>
    </row>
    <row r="4877" spans="1:27" ht="22.5" x14ac:dyDescent="0.2">
      <c r="A4877" s="3597"/>
      <c r="B4877" s="3589"/>
      <c r="C4877" s="3594"/>
      <c r="D4877" s="3600"/>
      <c r="E4877" s="3600"/>
      <c r="F4877" s="3647"/>
      <c r="G4877" s="3629"/>
      <c r="H4877" s="3600"/>
      <c r="I4877" s="3600"/>
      <c r="J4877" s="3600"/>
      <c r="K4877" s="3623"/>
      <c r="L4877" s="3600"/>
      <c r="M4877" s="337" t="s">
        <v>1452</v>
      </c>
      <c r="N4877" s="338" t="s">
        <v>1867</v>
      </c>
      <c r="O4877" s="293"/>
      <c r="P4877" s="293"/>
      <c r="Q4877" s="293"/>
      <c r="R4877" s="293"/>
      <c r="S4877" s="293">
        <v>500</v>
      </c>
      <c r="T4877" s="293"/>
      <c r="U4877" s="293"/>
      <c r="V4877" s="322"/>
      <c r="W4877" s="322"/>
      <c r="X4877" s="322"/>
      <c r="Y4877" s="322"/>
      <c r="Z4877" s="322"/>
      <c r="AA4877" s="1438">
        <f>SUM(O4877:Z4877)</f>
        <v>500</v>
      </c>
    </row>
    <row r="4878" spans="1:27" ht="22.5" x14ac:dyDescent="0.2">
      <c r="A4878" s="3597"/>
      <c r="B4878" s="3589"/>
      <c r="C4878" s="3594"/>
      <c r="D4878" s="3600"/>
      <c r="E4878" s="3600"/>
      <c r="F4878" s="3647"/>
      <c r="G4878" s="3629"/>
      <c r="H4878" s="3600"/>
      <c r="I4878" s="3600" t="s">
        <v>1937</v>
      </c>
      <c r="J4878" s="3600">
        <v>2</v>
      </c>
      <c r="K4878" s="3623"/>
      <c r="L4878" s="3600"/>
      <c r="M4878" s="337" t="s">
        <v>200</v>
      </c>
      <c r="N4878" s="338" t="s">
        <v>1509</v>
      </c>
      <c r="O4878" s="293"/>
      <c r="P4878" s="293"/>
      <c r="Q4878" s="293"/>
      <c r="R4878" s="293"/>
      <c r="S4878" s="293">
        <v>1000</v>
      </c>
      <c r="T4878" s="293"/>
      <c r="U4878" s="293"/>
      <c r="V4878" s="340"/>
      <c r="W4878" s="340"/>
      <c r="X4878" s="340"/>
      <c r="Y4878" s="340"/>
      <c r="Z4878" s="340"/>
      <c r="AA4878" s="1438">
        <f>SUM(O4878:Z4878)</f>
        <v>1000</v>
      </c>
    </row>
    <row r="4879" spans="1:27" s="1437" customFormat="1" x14ac:dyDescent="0.25">
      <c r="A4879" s="3597" t="s">
        <v>1939</v>
      </c>
      <c r="B4879" s="3589">
        <v>6.1</v>
      </c>
      <c r="C4879" s="3594" t="s">
        <v>1940</v>
      </c>
      <c r="D4879" s="3600" t="s">
        <v>1863</v>
      </c>
      <c r="E4879" s="3600" t="s">
        <v>1857</v>
      </c>
      <c r="F4879" s="3651" t="s">
        <v>1858</v>
      </c>
      <c r="G4879" s="3629" t="s">
        <v>1859</v>
      </c>
      <c r="H4879" s="3600" t="s">
        <v>1941</v>
      </c>
      <c r="I4879" s="3600" t="s">
        <v>156</v>
      </c>
      <c r="J4879" s="3600">
        <v>12</v>
      </c>
      <c r="K4879" s="3623">
        <f>+AA4881</f>
        <v>21000</v>
      </c>
      <c r="L4879" s="3600" t="s">
        <v>1866</v>
      </c>
      <c r="M4879" s="3643" t="s">
        <v>51</v>
      </c>
      <c r="N4879" s="3643"/>
      <c r="O4879" s="291">
        <v>3</v>
      </c>
      <c r="P4879" s="291">
        <v>3</v>
      </c>
      <c r="Q4879" s="291">
        <v>3</v>
      </c>
      <c r="R4879" s="291">
        <v>3</v>
      </c>
      <c r="S4879" s="291">
        <v>3</v>
      </c>
      <c r="T4879" s="291">
        <v>3</v>
      </c>
      <c r="U4879" s="291">
        <v>3</v>
      </c>
      <c r="V4879" s="556">
        <v>3</v>
      </c>
      <c r="W4879" s="556">
        <v>3</v>
      </c>
      <c r="X4879" s="556">
        <v>3</v>
      </c>
      <c r="Y4879" s="556">
        <v>3</v>
      </c>
      <c r="Z4879" s="556">
        <v>3</v>
      </c>
      <c r="AA4879" s="1438">
        <v>33</v>
      </c>
    </row>
    <row r="4880" spans="1:27" s="1437" customFormat="1" x14ac:dyDescent="0.25">
      <c r="A4880" s="3597"/>
      <c r="B4880" s="3589"/>
      <c r="C4880" s="3594"/>
      <c r="D4880" s="3600"/>
      <c r="E4880" s="3600"/>
      <c r="F4880" s="3651"/>
      <c r="G4880" s="3629"/>
      <c r="H4880" s="3600"/>
      <c r="I4880" s="3600"/>
      <c r="J4880" s="3600"/>
      <c r="K4880" s="3623"/>
      <c r="L4880" s="3600"/>
      <c r="M4880" s="3643" t="s">
        <v>111</v>
      </c>
      <c r="N4880" s="3643"/>
      <c r="O4880" s="291">
        <f>SUM(O4881:O4884)</f>
        <v>1803.95</v>
      </c>
      <c r="P4880" s="291">
        <f t="shared" ref="P4880:Z4880" si="821">SUM(P4881:P4884)</f>
        <v>1803.95</v>
      </c>
      <c r="Q4880" s="291">
        <f t="shared" si="821"/>
        <v>1803.95</v>
      </c>
      <c r="R4880" s="291">
        <f t="shared" si="821"/>
        <v>1803.95</v>
      </c>
      <c r="S4880" s="291">
        <f t="shared" si="821"/>
        <v>1803.95</v>
      </c>
      <c r="T4880" s="291">
        <f t="shared" si="821"/>
        <v>1803.95</v>
      </c>
      <c r="U4880" s="291">
        <f t="shared" si="821"/>
        <v>2103.9499999999998</v>
      </c>
      <c r="V4880" s="291">
        <f t="shared" si="821"/>
        <v>1803.95</v>
      </c>
      <c r="W4880" s="291">
        <f t="shared" si="821"/>
        <v>1803.95</v>
      </c>
      <c r="X4880" s="291">
        <f t="shared" si="821"/>
        <v>1803.95</v>
      </c>
      <c r="Y4880" s="291">
        <f t="shared" si="821"/>
        <v>1803.95</v>
      </c>
      <c r="Z4880" s="291">
        <f t="shared" si="821"/>
        <v>2103.9499999999998</v>
      </c>
      <c r="AA4880" s="1440">
        <f>SUM(AA4881:AA4884)</f>
        <v>22247.4</v>
      </c>
    </row>
    <row r="4881" spans="1:29" s="1437" customFormat="1" ht="33.75" x14ac:dyDescent="0.25">
      <c r="A4881" s="3597"/>
      <c r="B4881" s="3589"/>
      <c r="C4881" s="3594"/>
      <c r="D4881" s="3600"/>
      <c r="E4881" s="3600"/>
      <c r="F4881" s="3651"/>
      <c r="G4881" s="3629"/>
      <c r="H4881" s="3600"/>
      <c r="I4881" s="3600"/>
      <c r="J4881" s="3600"/>
      <c r="K4881" s="3623"/>
      <c r="L4881" s="3600"/>
      <c r="M4881" s="286" t="s">
        <v>208</v>
      </c>
      <c r="N4881" s="1081" t="s">
        <v>1942</v>
      </c>
      <c r="O4881" s="291">
        <v>1700</v>
      </c>
      <c r="P4881" s="291">
        <v>1700</v>
      </c>
      <c r="Q4881" s="291">
        <v>1700</v>
      </c>
      <c r="R4881" s="291">
        <v>1700</v>
      </c>
      <c r="S4881" s="291">
        <v>1700</v>
      </c>
      <c r="T4881" s="291">
        <v>1700</v>
      </c>
      <c r="U4881" s="291">
        <v>2000</v>
      </c>
      <c r="V4881" s="291">
        <v>1700</v>
      </c>
      <c r="W4881" s="291">
        <v>1700</v>
      </c>
      <c r="X4881" s="291">
        <v>1700</v>
      </c>
      <c r="Y4881" s="291">
        <v>1700</v>
      </c>
      <c r="Z4881" s="291">
        <v>2000</v>
      </c>
      <c r="AA4881" s="1438">
        <f>SUM(O4881:Z4881)</f>
        <v>21000</v>
      </c>
    </row>
    <row r="4882" spans="1:29" x14ac:dyDescent="0.2">
      <c r="A4882" s="3597"/>
      <c r="B4882" s="3589">
        <v>6.2</v>
      </c>
      <c r="C4882" s="3594" t="s">
        <v>1944</v>
      </c>
      <c r="D4882" s="3600" t="s">
        <v>1863</v>
      </c>
      <c r="E4882" s="3600" t="s">
        <v>1857</v>
      </c>
      <c r="F4882" s="3647" t="s">
        <v>1858</v>
      </c>
      <c r="G4882" s="3629" t="s">
        <v>1859</v>
      </c>
      <c r="H4882" s="3600" t="s">
        <v>1950</v>
      </c>
      <c r="I4882" s="3600" t="s">
        <v>156</v>
      </c>
      <c r="J4882" s="3600">
        <v>12</v>
      </c>
      <c r="K4882" s="3623">
        <f>+AA4882</f>
        <v>1247.4000000000003</v>
      </c>
      <c r="L4882" s="3600" t="s">
        <v>1866</v>
      </c>
      <c r="M4882" s="3656" t="s">
        <v>1847</v>
      </c>
      <c r="N4882" s="3657" t="s">
        <v>1848</v>
      </c>
      <c r="O4882" s="3654">
        <v>103.95</v>
      </c>
      <c r="P4882" s="3654">
        <v>103.95</v>
      </c>
      <c r="Q4882" s="3654">
        <v>103.95</v>
      </c>
      <c r="R4882" s="3654">
        <v>103.95</v>
      </c>
      <c r="S4882" s="3654">
        <v>103.95</v>
      </c>
      <c r="T4882" s="3654">
        <v>103.95</v>
      </c>
      <c r="U4882" s="3654">
        <v>103.95</v>
      </c>
      <c r="V4882" s="3654">
        <v>103.95</v>
      </c>
      <c r="W4882" s="3654">
        <v>103.95</v>
      </c>
      <c r="X4882" s="3654">
        <v>103.95</v>
      </c>
      <c r="Y4882" s="3654">
        <v>103.95</v>
      </c>
      <c r="Z4882" s="3654">
        <v>103.95</v>
      </c>
      <c r="AA4882" s="3655">
        <f>SUM(O4882:Z4884)</f>
        <v>1247.4000000000003</v>
      </c>
    </row>
    <row r="4883" spans="1:29" x14ac:dyDescent="0.2">
      <c r="A4883" s="3597"/>
      <c r="B4883" s="3589"/>
      <c r="C4883" s="3594"/>
      <c r="D4883" s="3600"/>
      <c r="E4883" s="3600"/>
      <c r="F4883" s="3647"/>
      <c r="G4883" s="3629"/>
      <c r="H4883" s="3600"/>
      <c r="I4883" s="3600"/>
      <c r="J4883" s="3600"/>
      <c r="K4883" s="3623"/>
      <c r="L4883" s="3600"/>
      <c r="M4883" s="3656"/>
      <c r="N4883" s="3657"/>
      <c r="O4883" s="3654"/>
      <c r="P4883" s="3654"/>
      <c r="Q4883" s="3654"/>
      <c r="R4883" s="3654"/>
      <c r="S4883" s="3654"/>
      <c r="T4883" s="3654"/>
      <c r="U4883" s="3654"/>
      <c r="V4883" s="3654"/>
      <c r="W4883" s="3654"/>
      <c r="X4883" s="3654"/>
      <c r="Y4883" s="3654"/>
      <c r="Z4883" s="3654"/>
      <c r="AA4883" s="3655"/>
    </row>
    <row r="4884" spans="1:29" x14ac:dyDescent="0.2">
      <c r="A4884" s="3597"/>
      <c r="B4884" s="3589"/>
      <c r="C4884" s="3594"/>
      <c r="D4884" s="3600"/>
      <c r="E4884" s="3600"/>
      <c r="F4884" s="3647"/>
      <c r="G4884" s="3629"/>
      <c r="H4884" s="3600"/>
      <c r="I4884" s="3600"/>
      <c r="J4884" s="3600"/>
      <c r="K4884" s="3623"/>
      <c r="L4884" s="3600"/>
      <c r="M4884" s="3656"/>
      <c r="N4884" s="3657"/>
      <c r="O4884" s="3654"/>
      <c r="P4884" s="3654"/>
      <c r="Q4884" s="3654"/>
      <c r="R4884" s="3654"/>
      <c r="S4884" s="3654"/>
      <c r="T4884" s="3654"/>
      <c r="U4884" s="3654"/>
      <c r="V4884" s="3654"/>
      <c r="W4884" s="3654"/>
      <c r="X4884" s="3654"/>
      <c r="Y4884" s="3654"/>
      <c r="Z4884" s="3654"/>
      <c r="AA4884" s="3655"/>
    </row>
    <row r="4885" spans="1:29" x14ac:dyDescent="0.2">
      <c r="A4885" s="396"/>
      <c r="B4885" s="38"/>
      <c r="C4885" s="38"/>
      <c r="D4885" s="38"/>
      <c r="E4885" s="38"/>
      <c r="F4885" s="38"/>
      <c r="G4885" s="38"/>
      <c r="H4885" s="38"/>
      <c r="I4885" s="38"/>
      <c r="J4885" s="38"/>
      <c r="K4885" s="47"/>
      <c r="L4885" s="38"/>
      <c r="M4885" s="38"/>
      <c r="N4885" s="38"/>
      <c r="O4885" s="38"/>
      <c r="P4885" s="38"/>
      <c r="Q4885" s="38"/>
      <c r="R4885" s="38"/>
      <c r="S4885" s="38"/>
      <c r="T4885" s="38"/>
      <c r="U4885" s="38"/>
      <c r="V4885" s="38"/>
      <c r="W4885" s="38"/>
      <c r="X4885" s="38"/>
      <c r="Y4885" s="38"/>
      <c r="Z4885" s="38"/>
      <c r="AA4885" s="499"/>
    </row>
    <row r="4886" spans="1:29" ht="39" customHeight="1" x14ac:dyDescent="0.2">
      <c r="A4886" s="134"/>
      <c r="B4886" s="1010" t="s">
        <v>6</v>
      </c>
      <c r="C4886" s="2522" t="s">
        <v>1962</v>
      </c>
      <c r="D4886" s="2522"/>
      <c r="E4886" s="2522"/>
      <c r="F4886" s="2522"/>
      <c r="G4886" s="2522"/>
      <c r="H4886" s="2522"/>
      <c r="I4886" s="2522"/>
      <c r="J4886" s="2522"/>
      <c r="K4886" s="2522"/>
      <c r="L4886" s="2522"/>
      <c r="M4886" s="2522"/>
      <c r="N4886" s="2522"/>
      <c r="O4886" s="2522"/>
      <c r="P4886" s="2522"/>
      <c r="Q4886" s="2522"/>
      <c r="R4886" s="2522"/>
      <c r="S4886" s="2522"/>
      <c r="T4886" s="2522"/>
      <c r="U4886" s="2522"/>
      <c r="V4886" s="2522"/>
      <c r="W4886" s="2522"/>
      <c r="X4886" s="2522"/>
      <c r="Y4886" s="2522"/>
      <c r="Z4886" s="2522"/>
      <c r="AA4886" s="2522"/>
    </row>
    <row r="4887" spans="1:29" ht="28.5" customHeight="1" x14ac:dyDescent="0.2">
      <c r="A4887" s="134"/>
      <c r="B4887" s="2110" t="s">
        <v>8</v>
      </c>
      <c r="C4887" s="3523" t="s">
        <v>1963</v>
      </c>
      <c r="D4887" s="3523"/>
      <c r="E4887" s="3523"/>
      <c r="F4887" s="3523"/>
      <c r="G4887" s="3523"/>
      <c r="H4887" s="3523"/>
      <c r="I4887" s="1261"/>
      <c r="J4887" s="343"/>
      <c r="K4887" s="343"/>
      <c r="L4887" s="343"/>
      <c r="M4887" s="343"/>
      <c r="N4887" s="343"/>
      <c r="O4887" s="343"/>
      <c r="P4887" s="343"/>
      <c r="Q4887" s="343"/>
      <c r="R4887" s="343"/>
      <c r="S4887" s="343"/>
      <c r="T4887" s="343"/>
      <c r="U4887" s="343"/>
      <c r="V4887" s="343"/>
      <c r="W4887" s="343"/>
      <c r="X4887" s="343"/>
      <c r="Y4887" s="343"/>
      <c r="Z4887" s="343"/>
      <c r="AA4887" s="1262"/>
    </row>
    <row r="4888" spans="1:29" ht="22.5" x14ac:dyDescent="0.2">
      <c r="A4888" s="134"/>
      <c r="B4888" s="1010" t="s">
        <v>11</v>
      </c>
      <c r="C4888" s="476" t="s">
        <v>84</v>
      </c>
      <c r="D4888" s="19"/>
      <c r="E4888" s="1260"/>
      <c r="F4888" s="1260"/>
      <c r="G4888" s="1260"/>
      <c r="H4888" s="20"/>
      <c r="I4888" s="1260"/>
      <c r="J4888" s="1260"/>
      <c r="K4888" s="1260"/>
      <c r="L4888" s="1260"/>
      <c r="M4888" s="1260"/>
      <c r="N4888" s="1260"/>
      <c r="O4888" s="1260"/>
      <c r="P4888" s="1260"/>
      <c r="Q4888" s="1260"/>
      <c r="R4888" s="1260"/>
      <c r="S4888" s="1260"/>
      <c r="T4888" s="1260"/>
      <c r="U4888" s="20"/>
      <c r="V4888" s="20"/>
      <c r="W4888" s="20"/>
      <c r="X4888" s="20"/>
      <c r="Y4888" s="20"/>
      <c r="Z4888" s="20"/>
      <c r="AA4888" s="21"/>
    </row>
    <row r="4889" spans="1:29" x14ac:dyDescent="0.2">
      <c r="A4889" s="134"/>
      <c r="B4889" s="2913" t="s">
        <v>13</v>
      </c>
      <c r="C4889" s="3652" t="s">
        <v>1964</v>
      </c>
      <c r="D4889" s="2918" t="s">
        <v>1965</v>
      </c>
      <c r="E4889" s="2919"/>
      <c r="F4889" s="2919"/>
      <c r="G4889" s="2919"/>
      <c r="H4889" s="2919"/>
      <c r="I4889" s="2919"/>
      <c r="J4889" s="28"/>
      <c r="K4889" s="28"/>
      <c r="L4889" s="28"/>
      <c r="M4889" s="28"/>
      <c r="N4889" s="28"/>
      <c r="O4889" s="28"/>
      <c r="P4889" s="28"/>
      <c r="Q4889" s="28"/>
      <c r="R4889" s="28"/>
      <c r="S4889" s="28"/>
      <c r="T4889" s="28"/>
      <c r="U4889" s="29"/>
      <c r="V4889" s="2922" t="s">
        <v>15</v>
      </c>
      <c r="W4889" s="2922"/>
      <c r="X4889" s="2922"/>
      <c r="Y4889" s="2922"/>
      <c r="Z4889" s="2922" t="s">
        <v>16</v>
      </c>
      <c r="AA4889" s="2922"/>
    </row>
    <row r="4890" spans="1:29" x14ac:dyDescent="0.2">
      <c r="A4890" s="134"/>
      <c r="B4890" s="2913"/>
      <c r="C4890" s="3653"/>
      <c r="D4890" s="3459"/>
      <c r="E4890" s="3460"/>
      <c r="F4890" s="3460"/>
      <c r="G4890" s="3460"/>
      <c r="H4890" s="3460"/>
      <c r="I4890" s="3460"/>
      <c r="J4890" s="84"/>
      <c r="K4890" s="84"/>
      <c r="L4890" s="84"/>
      <c r="M4890" s="84"/>
      <c r="N4890" s="84"/>
      <c r="O4890" s="84"/>
      <c r="P4890" s="84"/>
      <c r="Q4890" s="84"/>
      <c r="R4890" s="84"/>
      <c r="S4890" s="84"/>
      <c r="T4890" s="84"/>
      <c r="U4890" s="30"/>
      <c r="V4890" s="2922" t="s">
        <v>19</v>
      </c>
      <c r="W4890" s="2922"/>
      <c r="X4890" s="2922"/>
      <c r="Y4890" s="2922"/>
      <c r="Z4890" s="2922" t="s">
        <v>1213</v>
      </c>
      <c r="AA4890" s="2922"/>
    </row>
    <row r="4891" spans="1:29" x14ac:dyDescent="0.2">
      <c r="A4891" s="134"/>
      <c r="B4891" s="2913" t="s">
        <v>18</v>
      </c>
      <c r="C4891" s="3653">
        <v>3999999</v>
      </c>
      <c r="D4891" s="3661" t="s">
        <v>163</v>
      </c>
      <c r="E4891" s="3662"/>
      <c r="F4891" s="3662"/>
      <c r="G4891" s="3662"/>
      <c r="H4891" s="3662"/>
      <c r="I4891" s="3662"/>
      <c r="J4891" s="3662"/>
      <c r="K4891" s="3662"/>
      <c r="L4891" s="3662"/>
      <c r="M4891" s="3662"/>
      <c r="N4891" s="3662"/>
      <c r="O4891" s="3662"/>
      <c r="P4891" s="3662"/>
      <c r="Q4891" s="84"/>
      <c r="R4891" s="84"/>
      <c r="S4891" s="84"/>
      <c r="T4891" s="84"/>
      <c r="U4891" s="30"/>
      <c r="V4891" s="2922" t="s">
        <v>15</v>
      </c>
      <c r="W4891" s="2922"/>
      <c r="X4891" s="2922"/>
      <c r="Y4891" s="2922"/>
      <c r="Z4891" s="2922" t="s">
        <v>16</v>
      </c>
      <c r="AA4891" s="2922"/>
    </row>
    <row r="4892" spans="1:29" x14ac:dyDescent="0.2">
      <c r="A4892" s="134"/>
      <c r="B4892" s="2913"/>
      <c r="C4892" s="3653"/>
      <c r="D4892" s="2997"/>
      <c r="E4892" s="2998"/>
      <c r="F4892" s="2998"/>
      <c r="G4892" s="2998"/>
      <c r="H4892" s="2998"/>
      <c r="I4892" s="2998"/>
      <c r="J4892" s="2998"/>
      <c r="K4892" s="2998"/>
      <c r="L4892" s="2998"/>
      <c r="M4892" s="2998"/>
      <c r="N4892" s="2998"/>
      <c r="O4892" s="2998"/>
      <c r="P4892" s="2998"/>
      <c r="Q4892" s="31"/>
      <c r="R4892" s="31"/>
      <c r="S4892" s="31"/>
      <c r="T4892" s="31"/>
      <c r="U4892" s="22"/>
      <c r="V4892" s="2922" t="s">
        <v>19</v>
      </c>
      <c r="W4892" s="2922"/>
      <c r="X4892" s="2922"/>
      <c r="Y4892" s="2922"/>
      <c r="Z4892" s="2922" t="s">
        <v>1213</v>
      </c>
      <c r="AA4892" s="2922"/>
    </row>
    <row r="4893" spans="1:29" x14ac:dyDescent="0.2">
      <c r="A4893" s="134"/>
      <c r="B4893" s="3516" t="s">
        <v>20</v>
      </c>
      <c r="C4893" s="2847" t="s">
        <v>21</v>
      </c>
      <c r="D4893" s="2847" t="s">
        <v>22</v>
      </c>
      <c r="E4893" s="2847" t="s">
        <v>23</v>
      </c>
      <c r="F4893" s="2847" t="s">
        <v>24</v>
      </c>
      <c r="G4893" s="2847" t="s">
        <v>25</v>
      </c>
      <c r="H4893" s="2847" t="s">
        <v>26</v>
      </c>
      <c r="I4893" s="2847" t="s">
        <v>27</v>
      </c>
      <c r="J4893" s="2847" t="s">
        <v>28</v>
      </c>
      <c r="K4893" s="2847"/>
      <c r="L4893" s="2847" t="s">
        <v>29</v>
      </c>
      <c r="M4893" s="2847" t="s">
        <v>30</v>
      </c>
      <c r="N4893" s="2847"/>
      <c r="O4893" s="2990" t="s">
        <v>31</v>
      </c>
      <c r="P4893" s="2991"/>
      <c r="Q4893" s="2991"/>
      <c r="R4893" s="2991"/>
      <c r="S4893" s="2991"/>
      <c r="T4893" s="2991"/>
      <c r="U4893" s="2991"/>
      <c r="V4893" s="2991"/>
      <c r="W4893" s="2991"/>
      <c r="X4893" s="2991"/>
      <c r="Y4893" s="2991"/>
      <c r="Z4893" s="2992"/>
      <c r="AA4893" s="2916" t="s">
        <v>32</v>
      </c>
    </row>
    <row r="4894" spans="1:29" x14ac:dyDescent="0.2">
      <c r="A4894" s="134"/>
      <c r="B4894" s="3516"/>
      <c r="C4894" s="2847"/>
      <c r="D4894" s="2847"/>
      <c r="E4894" s="2847"/>
      <c r="F4894" s="2847"/>
      <c r="G4894" s="2847"/>
      <c r="H4894" s="2847"/>
      <c r="I4894" s="2847"/>
      <c r="J4894" s="455" t="s">
        <v>33</v>
      </c>
      <c r="K4894" s="455" t="s">
        <v>34</v>
      </c>
      <c r="L4894" s="2847"/>
      <c r="M4894" s="2847"/>
      <c r="N4894" s="2847"/>
      <c r="O4894" s="471" t="s">
        <v>35</v>
      </c>
      <c r="P4894" s="471" t="s">
        <v>36</v>
      </c>
      <c r="Q4894" s="471" t="s">
        <v>37</v>
      </c>
      <c r="R4894" s="471" t="s">
        <v>38</v>
      </c>
      <c r="S4894" s="471" t="s">
        <v>39</v>
      </c>
      <c r="T4894" s="471" t="s">
        <v>40</v>
      </c>
      <c r="U4894" s="471" t="s">
        <v>41</v>
      </c>
      <c r="V4894" s="471" t="s">
        <v>42</v>
      </c>
      <c r="W4894" s="471" t="s">
        <v>43</v>
      </c>
      <c r="X4894" s="471" t="s">
        <v>44</v>
      </c>
      <c r="Y4894" s="471" t="s">
        <v>45</v>
      </c>
      <c r="Z4894" s="471" t="s">
        <v>46</v>
      </c>
      <c r="AA4894" s="2916"/>
    </row>
    <row r="4895" spans="1:29" x14ac:dyDescent="0.2">
      <c r="A4895" s="134"/>
      <c r="B4895" s="3658" t="s">
        <v>1350</v>
      </c>
      <c r="C4895" s="2420" t="s">
        <v>1966</v>
      </c>
      <c r="D4895" s="3561" t="s">
        <v>1965</v>
      </c>
      <c r="E4895" s="3659">
        <v>10</v>
      </c>
      <c r="F4895" s="3660" t="s">
        <v>1967</v>
      </c>
      <c r="G4895" s="3660" t="s">
        <v>1968</v>
      </c>
      <c r="H4895" s="2420" t="s">
        <v>1969</v>
      </c>
      <c r="I4895" s="2420" t="s">
        <v>167</v>
      </c>
      <c r="J4895" s="2973">
        <f>AA4895</f>
        <v>12</v>
      </c>
      <c r="K4895" s="2973">
        <v>552049</v>
      </c>
      <c r="L4895" s="2420" t="s">
        <v>1963</v>
      </c>
      <c r="M4895" s="2840" t="s">
        <v>51</v>
      </c>
      <c r="N4895" s="2840"/>
      <c r="O4895" s="502">
        <v>1</v>
      </c>
      <c r="P4895" s="502">
        <v>1</v>
      </c>
      <c r="Q4895" s="502">
        <v>1</v>
      </c>
      <c r="R4895" s="502">
        <v>1</v>
      </c>
      <c r="S4895" s="502">
        <v>1</v>
      </c>
      <c r="T4895" s="502">
        <v>1</v>
      </c>
      <c r="U4895" s="502">
        <v>1</v>
      </c>
      <c r="V4895" s="502">
        <v>1</v>
      </c>
      <c r="W4895" s="502">
        <v>1</v>
      </c>
      <c r="X4895" s="502">
        <v>1</v>
      </c>
      <c r="Y4895" s="502">
        <v>1</v>
      </c>
      <c r="Z4895" s="502">
        <v>1</v>
      </c>
      <c r="AA4895" s="92">
        <f>SUM(O4895:Z4895)</f>
        <v>12</v>
      </c>
    </row>
    <row r="4896" spans="1:29" x14ac:dyDescent="0.2">
      <c r="A4896" s="134"/>
      <c r="B4896" s="3658"/>
      <c r="C4896" s="2420"/>
      <c r="D4896" s="3561"/>
      <c r="E4896" s="3659"/>
      <c r="F4896" s="3660"/>
      <c r="G4896" s="3660"/>
      <c r="H4896" s="2420"/>
      <c r="I4896" s="2420"/>
      <c r="J4896" s="2973"/>
      <c r="K4896" s="2973"/>
      <c r="L4896" s="2420"/>
      <c r="M4896" s="2840" t="s">
        <v>111</v>
      </c>
      <c r="N4896" s="2840"/>
      <c r="O4896" s="502">
        <f t="shared" ref="O4896:Z4896" si="822">+SUM(O4897:O4907)</f>
        <v>29445.66</v>
      </c>
      <c r="P4896" s="502">
        <f t="shared" si="822"/>
        <v>47532</v>
      </c>
      <c r="Q4896" s="502">
        <f t="shared" si="822"/>
        <v>47632</v>
      </c>
      <c r="R4896" s="502">
        <f t="shared" si="822"/>
        <v>47632</v>
      </c>
      <c r="S4896" s="502">
        <f t="shared" si="822"/>
        <v>47632</v>
      </c>
      <c r="T4896" s="502">
        <f t="shared" si="822"/>
        <v>47632</v>
      </c>
      <c r="U4896" s="502">
        <f t="shared" si="822"/>
        <v>47632</v>
      </c>
      <c r="V4896" s="502">
        <f t="shared" si="822"/>
        <v>47632</v>
      </c>
      <c r="W4896" s="502">
        <f t="shared" si="822"/>
        <v>47632</v>
      </c>
      <c r="X4896" s="502">
        <f t="shared" si="822"/>
        <v>47632</v>
      </c>
      <c r="Y4896" s="502">
        <f t="shared" si="822"/>
        <v>47632</v>
      </c>
      <c r="Z4896" s="502">
        <f t="shared" si="822"/>
        <v>46383</v>
      </c>
      <c r="AA4896" s="92">
        <f>SUM(O4896:Z4896)</f>
        <v>552048.66</v>
      </c>
      <c r="AC4896" s="771">
        <f>+AA4896-K4895</f>
        <v>-0.33999999996740371</v>
      </c>
    </row>
    <row r="4897" spans="1:29" ht="33.75" x14ac:dyDescent="0.2">
      <c r="A4897" s="134"/>
      <c r="B4897" s="3658"/>
      <c r="C4897" s="2420"/>
      <c r="D4897" s="3561"/>
      <c r="E4897" s="3659"/>
      <c r="F4897" s="3660"/>
      <c r="G4897" s="3660"/>
      <c r="H4897" s="2420"/>
      <c r="I4897" s="2420"/>
      <c r="J4897" s="2973"/>
      <c r="K4897" s="2973"/>
      <c r="L4897" s="2420"/>
      <c r="M4897" s="458" t="s">
        <v>1970</v>
      </c>
      <c r="N4897" s="458" t="s">
        <v>1971</v>
      </c>
      <c r="O4897" s="500">
        <f>80+4200</f>
        <v>4280</v>
      </c>
      <c r="P4897" s="1845">
        <v>4280</v>
      </c>
      <c r="Q4897" s="1845">
        <v>4280</v>
      </c>
      <c r="R4897" s="1845">
        <v>4280</v>
      </c>
      <c r="S4897" s="1845">
        <v>4280</v>
      </c>
      <c r="T4897" s="1845">
        <v>4280</v>
      </c>
      <c r="U4897" s="1845">
        <v>4280</v>
      </c>
      <c r="V4897" s="1845">
        <v>4280</v>
      </c>
      <c r="W4897" s="1845">
        <v>4280</v>
      </c>
      <c r="X4897" s="1845">
        <v>4280</v>
      </c>
      <c r="Y4897" s="1845">
        <v>4280</v>
      </c>
      <c r="Z4897" s="1845">
        <v>4280</v>
      </c>
      <c r="AA4897" s="368">
        <f t="shared" ref="AA4897:AA4907" si="823">SUM(O4897:Z4897)</f>
        <v>51360</v>
      </c>
      <c r="AC4897" s="771"/>
    </row>
    <row r="4898" spans="1:29" ht="22.5" x14ac:dyDescent="0.2">
      <c r="A4898" s="134"/>
      <c r="B4898" s="3658"/>
      <c r="C4898" s="2420"/>
      <c r="D4898" s="3561"/>
      <c r="E4898" s="3659"/>
      <c r="F4898" s="3660"/>
      <c r="G4898" s="3660"/>
      <c r="H4898" s="2420"/>
      <c r="I4898" s="2420"/>
      <c r="J4898" s="2973"/>
      <c r="K4898" s="2973"/>
      <c r="L4898" s="2420"/>
      <c r="M4898" s="458" t="s">
        <v>1972</v>
      </c>
      <c r="N4898" s="477" t="s">
        <v>1463</v>
      </c>
      <c r="O4898" s="5">
        <f>120+4200</f>
        <v>4320</v>
      </c>
      <c r="P4898" s="5">
        <v>4320</v>
      </c>
      <c r="Q4898" s="5">
        <v>4320</v>
      </c>
      <c r="R4898" s="5">
        <v>4320</v>
      </c>
      <c r="S4898" s="5">
        <v>4320</v>
      </c>
      <c r="T4898" s="5">
        <v>4320</v>
      </c>
      <c r="U4898" s="5">
        <v>4320</v>
      </c>
      <c r="V4898" s="5">
        <v>4320</v>
      </c>
      <c r="W4898" s="5">
        <v>4320</v>
      </c>
      <c r="X4898" s="5">
        <v>4320</v>
      </c>
      <c r="Y4898" s="5">
        <v>4320</v>
      </c>
      <c r="Z4898" s="5">
        <v>4320</v>
      </c>
      <c r="AA4898" s="2256">
        <f t="shared" si="823"/>
        <v>51840</v>
      </c>
      <c r="AC4898" s="771"/>
    </row>
    <row r="4899" spans="1:29" ht="22.5" x14ac:dyDescent="0.2">
      <c r="A4899" s="134"/>
      <c r="B4899" s="3658"/>
      <c r="C4899" s="2420"/>
      <c r="D4899" s="3561"/>
      <c r="E4899" s="3659"/>
      <c r="F4899" s="3660"/>
      <c r="G4899" s="3660"/>
      <c r="H4899" s="2420"/>
      <c r="I4899" s="2420"/>
      <c r="J4899" s="2973"/>
      <c r="K4899" s="2973"/>
      <c r="L4899" s="2420"/>
      <c r="M4899" s="458" t="s">
        <v>1973</v>
      </c>
      <c r="N4899" s="477" t="s">
        <v>183</v>
      </c>
      <c r="O4899" s="5">
        <v>180</v>
      </c>
      <c r="P4899" s="5">
        <v>4220</v>
      </c>
      <c r="Q4899" s="5">
        <v>4220</v>
      </c>
      <c r="R4899" s="5">
        <v>4220</v>
      </c>
      <c r="S4899" s="5">
        <v>4220</v>
      </c>
      <c r="T4899" s="5">
        <v>4220</v>
      </c>
      <c r="U4899" s="5">
        <v>4220</v>
      </c>
      <c r="V4899" s="5">
        <v>4220</v>
      </c>
      <c r="W4899" s="5">
        <v>4220</v>
      </c>
      <c r="X4899" s="5">
        <v>4220</v>
      </c>
      <c r="Y4899" s="5">
        <v>4220</v>
      </c>
      <c r="Z4899" s="5">
        <v>4220</v>
      </c>
      <c r="AA4899" s="2256">
        <f t="shared" si="823"/>
        <v>46600</v>
      </c>
    </row>
    <row r="4900" spans="1:29" ht="33.75" x14ac:dyDescent="0.2">
      <c r="A4900" s="134"/>
      <c r="B4900" s="3658"/>
      <c r="C4900" s="2420"/>
      <c r="D4900" s="3561"/>
      <c r="E4900" s="3659"/>
      <c r="F4900" s="3660"/>
      <c r="G4900" s="3660"/>
      <c r="H4900" s="2420"/>
      <c r="I4900" s="2420"/>
      <c r="J4900" s="2973"/>
      <c r="K4900" s="2973"/>
      <c r="L4900" s="2420"/>
      <c r="M4900" s="458" t="s">
        <v>1974</v>
      </c>
      <c r="N4900" s="477" t="s">
        <v>1975</v>
      </c>
      <c r="O4900" s="5">
        <f>1500+4200</f>
        <v>5700</v>
      </c>
      <c r="P4900" s="5">
        <v>5700</v>
      </c>
      <c r="Q4900" s="5">
        <v>5700</v>
      </c>
      <c r="R4900" s="5">
        <v>5700</v>
      </c>
      <c r="S4900" s="5">
        <v>5700</v>
      </c>
      <c r="T4900" s="5">
        <v>5700</v>
      </c>
      <c r="U4900" s="5">
        <v>5700</v>
      </c>
      <c r="V4900" s="5">
        <v>5700</v>
      </c>
      <c r="W4900" s="5">
        <v>5700</v>
      </c>
      <c r="X4900" s="5">
        <v>5700</v>
      </c>
      <c r="Y4900" s="5">
        <v>5700</v>
      </c>
      <c r="Z4900" s="5">
        <v>5700</v>
      </c>
      <c r="AA4900" s="2256">
        <f t="shared" si="823"/>
        <v>68400</v>
      </c>
    </row>
    <row r="4901" spans="1:29" ht="22.5" x14ac:dyDescent="0.2">
      <c r="A4901" s="134"/>
      <c r="B4901" s="3658"/>
      <c r="C4901" s="2420"/>
      <c r="D4901" s="3561"/>
      <c r="E4901" s="3659"/>
      <c r="F4901" s="3660"/>
      <c r="G4901" s="3660"/>
      <c r="H4901" s="2420"/>
      <c r="I4901" s="2420"/>
      <c r="J4901" s="2973"/>
      <c r="K4901" s="2973"/>
      <c r="L4901" s="2420"/>
      <c r="M4901" s="458" t="s">
        <v>1976</v>
      </c>
      <c r="N4901" s="477" t="s">
        <v>187</v>
      </c>
      <c r="O4901" s="5">
        <v>250</v>
      </c>
      <c r="P4901" s="5">
        <v>4240</v>
      </c>
      <c r="Q4901" s="5">
        <v>4240</v>
      </c>
      <c r="R4901" s="5">
        <v>4240</v>
      </c>
      <c r="S4901" s="5">
        <v>4240</v>
      </c>
      <c r="T4901" s="5">
        <v>4240</v>
      </c>
      <c r="U4901" s="5">
        <v>4240</v>
      </c>
      <c r="V4901" s="5">
        <v>4240</v>
      </c>
      <c r="W4901" s="5">
        <v>4240</v>
      </c>
      <c r="X4901" s="5">
        <v>4240</v>
      </c>
      <c r="Y4901" s="5">
        <v>4240</v>
      </c>
      <c r="Z4901" s="5">
        <v>4240</v>
      </c>
      <c r="AA4901" s="2256">
        <f t="shared" si="823"/>
        <v>46890</v>
      </c>
    </row>
    <row r="4902" spans="1:29" ht="22.5" x14ac:dyDescent="0.2">
      <c r="A4902" s="134"/>
      <c r="B4902" s="3658"/>
      <c r="C4902" s="2420"/>
      <c r="D4902" s="3561"/>
      <c r="E4902" s="3659"/>
      <c r="F4902" s="3660"/>
      <c r="G4902" s="3660"/>
      <c r="H4902" s="2420"/>
      <c r="I4902" s="2420"/>
      <c r="J4902" s="2973"/>
      <c r="K4902" s="2973"/>
      <c r="L4902" s="2420"/>
      <c r="M4902" s="458" t="s">
        <v>1977</v>
      </c>
      <c r="N4902" s="477" t="s">
        <v>1978</v>
      </c>
      <c r="O4902" s="5">
        <v>300</v>
      </c>
      <c r="P4902" s="5">
        <v>4500</v>
      </c>
      <c r="Q4902" s="5">
        <v>4500</v>
      </c>
      <c r="R4902" s="5">
        <v>4500</v>
      </c>
      <c r="S4902" s="5">
        <v>4500</v>
      </c>
      <c r="T4902" s="5">
        <v>4500</v>
      </c>
      <c r="U4902" s="5">
        <v>4500</v>
      </c>
      <c r="V4902" s="5">
        <v>4500</v>
      </c>
      <c r="W4902" s="5">
        <v>4500</v>
      </c>
      <c r="X4902" s="5">
        <v>4500</v>
      </c>
      <c r="Y4902" s="5">
        <v>4500</v>
      </c>
      <c r="Z4902" s="5">
        <v>4500</v>
      </c>
      <c r="AA4902" s="2256">
        <f t="shared" si="823"/>
        <v>49800</v>
      </c>
    </row>
    <row r="4903" spans="1:29" ht="33.75" x14ac:dyDescent="0.2">
      <c r="A4903" s="134"/>
      <c r="B4903" s="3658"/>
      <c r="C4903" s="2420"/>
      <c r="D4903" s="3561"/>
      <c r="E4903" s="3659"/>
      <c r="F4903" s="3660"/>
      <c r="G4903" s="3660"/>
      <c r="H4903" s="2420"/>
      <c r="I4903" s="2420"/>
      <c r="J4903" s="2973"/>
      <c r="K4903" s="2973"/>
      <c r="L4903" s="2420"/>
      <c r="M4903" s="458" t="s">
        <v>1979</v>
      </c>
      <c r="N4903" s="477" t="s">
        <v>1980</v>
      </c>
      <c r="O4903" s="5">
        <v>800</v>
      </c>
      <c r="P4903" s="5">
        <v>4900</v>
      </c>
      <c r="Q4903" s="5">
        <v>5000</v>
      </c>
      <c r="R4903" s="5">
        <v>5000</v>
      </c>
      <c r="S4903" s="5">
        <v>5000</v>
      </c>
      <c r="T4903" s="5">
        <v>5000</v>
      </c>
      <c r="U4903" s="5">
        <v>5000</v>
      </c>
      <c r="V4903" s="5">
        <v>5000</v>
      </c>
      <c r="W4903" s="5">
        <v>5000</v>
      </c>
      <c r="X4903" s="5">
        <v>5000</v>
      </c>
      <c r="Y4903" s="5">
        <v>5000</v>
      </c>
      <c r="Z4903" s="5">
        <v>5000</v>
      </c>
      <c r="AA4903" s="2256">
        <f t="shared" si="823"/>
        <v>55700</v>
      </c>
    </row>
    <row r="4904" spans="1:29" ht="22.5" x14ac:dyDescent="0.2">
      <c r="A4904" s="134"/>
      <c r="B4904" s="3658"/>
      <c r="C4904" s="2420"/>
      <c r="D4904" s="3561"/>
      <c r="E4904" s="3659"/>
      <c r="F4904" s="3660"/>
      <c r="G4904" s="3660"/>
      <c r="H4904" s="2420"/>
      <c r="I4904" s="2420"/>
      <c r="J4904" s="2973"/>
      <c r="K4904" s="2973"/>
      <c r="L4904" s="2420"/>
      <c r="M4904" s="458" t="s">
        <v>1981</v>
      </c>
      <c r="N4904" s="477" t="s">
        <v>1982</v>
      </c>
      <c r="O4904" s="5">
        <v>5205</v>
      </c>
      <c r="P4904" s="5">
        <v>6961</v>
      </c>
      <c r="Q4904" s="5">
        <v>6961</v>
      </c>
      <c r="R4904" s="5">
        <v>6961</v>
      </c>
      <c r="S4904" s="5">
        <v>6961</v>
      </c>
      <c r="T4904" s="5">
        <v>6961</v>
      </c>
      <c r="U4904" s="5">
        <v>6961</v>
      </c>
      <c r="V4904" s="5">
        <v>6961</v>
      </c>
      <c r="W4904" s="5">
        <v>6961</v>
      </c>
      <c r="X4904" s="5">
        <v>6961</v>
      </c>
      <c r="Y4904" s="5">
        <v>6961</v>
      </c>
      <c r="Z4904" s="5">
        <f>6961-1249</f>
        <v>5712</v>
      </c>
      <c r="AA4904" s="2256">
        <f t="shared" si="823"/>
        <v>80527</v>
      </c>
    </row>
    <row r="4905" spans="1:29" ht="22.5" x14ac:dyDescent="0.2">
      <c r="A4905" s="134"/>
      <c r="B4905" s="3658"/>
      <c r="C4905" s="2420"/>
      <c r="D4905" s="3561"/>
      <c r="E4905" s="3659"/>
      <c r="F4905" s="3660"/>
      <c r="G4905" s="3660"/>
      <c r="H4905" s="2420"/>
      <c r="I4905" s="2420"/>
      <c r="J4905" s="2973"/>
      <c r="K4905" s="2973"/>
      <c r="L4905" s="2420"/>
      <c r="M4905" s="458" t="s">
        <v>1983</v>
      </c>
      <c r="N4905" s="477" t="s">
        <v>1984</v>
      </c>
      <c r="O4905" s="5">
        <f>100+4200</f>
        <v>4300</v>
      </c>
      <c r="P4905" s="5">
        <v>4300</v>
      </c>
      <c r="Q4905" s="5">
        <v>4300</v>
      </c>
      <c r="R4905" s="5">
        <v>4300</v>
      </c>
      <c r="S4905" s="5">
        <v>4300</v>
      </c>
      <c r="T4905" s="5">
        <v>4300</v>
      </c>
      <c r="U4905" s="5">
        <v>4300</v>
      </c>
      <c r="V4905" s="5">
        <v>4300</v>
      </c>
      <c r="W4905" s="5">
        <v>4300</v>
      </c>
      <c r="X4905" s="5">
        <v>4300</v>
      </c>
      <c r="Y4905" s="5">
        <v>4300</v>
      </c>
      <c r="Z4905" s="5">
        <v>4300</v>
      </c>
      <c r="AA4905" s="2256">
        <f t="shared" si="823"/>
        <v>51600</v>
      </c>
    </row>
    <row r="4906" spans="1:29" ht="33.75" x14ac:dyDescent="0.2">
      <c r="A4906" s="134"/>
      <c r="B4906" s="3658"/>
      <c r="C4906" s="2420"/>
      <c r="D4906" s="3561"/>
      <c r="E4906" s="3659"/>
      <c r="F4906" s="3660"/>
      <c r="G4906" s="3660"/>
      <c r="H4906" s="2420"/>
      <c r="I4906" s="2420"/>
      <c r="J4906" s="2973"/>
      <c r="K4906" s="2973"/>
      <c r="L4906" s="2420"/>
      <c r="M4906" s="458" t="s">
        <v>1985</v>
      </c>
      <c r="N4906" s="477" t="s">
        <v>1986</v>
      </c>
      <c r="O4906" s="5">
        <v>3900</v>
      </c>
      <c r="P4906" s="5">
        <v>3900</v>
      </c>
      <c r="Q4906" s="5">
        <v>3900</v>
      </c>
      <c r="R4906" s="5">
        <v>3900</v>
      </c>
      <c r="S4906" s="5">
        <v>3900</v>
      </c>
      <c r="T4906" s="5">
        <v>3900</v>
      </c>
      <c r="U4906" s="5">
        <v>3900</v>
      </c>
      <c r="V4906" s="5">
        <v>3900</v>
      </c>
      <c r="W4906" s="5">
        <v>3900</v>
      </c>
      <c r="X4906" s="5">
        <v>3900</v>
      </c>
      <c r="Y4906" s="5">
        <v>3900</v>
      </c>
      <c r="Z4906" s="5">
        <v>3900</v>
      </c>
      <c r="AA4906" s="2256">
        <f>SUM(O4906:Z4906)</f>
        <v>46800</v>
      </c>
    </row>
    <row r="4907" spans="1:29" ht="22.5" x14ac:dyDescent="0.2">
      <c r="A4907" s="134"/>
      <c r="B4907" s="3658"/>
      <c r="C4907" s="2420"/>
      <c r="D4907" s="3561"/>
      <c r="E4907" s="3659"/>
      <c r="F4907" s="3660"/>
      <c r="G4907" s="3660"/>
      <c r="H4907" s="2420"/>
      <c r="I4907" s="2420"/>
      <c r="J4907" s="2973"/>
      <c r="K4907" s="2973"/>
      <c r="L4907" s="2420"/>
      <c r="M4907" s="458" t="s">
        <v>1987</v>
      </c>
      <c r="N4907" s="477" t="s">
        <v>1988</v>
      </c>
      <c r="O4907" s="5">
        <v>210.66</v>
      </c>
      <c r="P4907" s="5">
        <v>211</v>
      </c>
      <c r="Q4907" s="5">
        <v>211</v>
      </c>
      <c r="R4907" s="5">
        <v>211</v>
      </c>
      <c r="S4907" s="5">
        <v>211</v>
      </c>
      <c r="T4907" s="5">
        <v>211</v>
      </c>
      <c r="U4907" s="5">
        <v>211</v>
      </c>
      <c r="V4907" s="5">
        <v>211</v>
      </c>
      <c r="W4907" s="5">
        <v>211</v>
      </c>
      <c r="X4907" s="5">
        <v>211</v>
      </c>
      <c r="Y4907" s="5">
        <v>211</v>
      </c>
      <c r="Z4907" s="5">
        <v>211</v>
      </c>
      <c r="AA4907" s="2256">
        <f t="shared" si="823"/>
        <v>2531.66</v>
      </c>
    </row>
    <row r="4908" spans="1:29" x14ac:dyDescent="0.2">
      <c r="A4908" s="134"/>
      <c r="B4908" s="38"/>
      <c r="C4908" s="38"/>
      <c r="D4908" s="38"/>
      <c r="E4908" s="38"/>
      <c r="F4908" s="38"/>
      <c r="G4908" s="38"/>
      <c r="H4908" s="38"/>
      <c r="I4908" s="38"/>
      <c r="J4908" s="38"/>
      <c r="K4908" s="38"/>
      <c r="L4908" s="38"/>
      <c r="M4908" s="38"/>
      <c r="N4908" s="38"/>
      <c r="O4908" s="38"/>
      <c r="P4908" s="38"/>
      <c r="Q4908" s="38"/>
      <c r="R4908" s="38"/>
      <c r="S4908" s="38"/>
      <c r="T4908" s="38"/>
      <c r="U4908" s="38"/>
      <c r="V4908" s="38"/>
      <c r="W4908" s="38"/>
      <c r="X4908" s="38"/>
      <c r="Y4908" s="38"/>
      <c r="Z4908" s="38"/>
      <c r="AA4908" s="499"/>
    </row>
    <row r="4909" spans="1:29" ht="45" customHeight="1" x14ac:dyDescent="0.2">
      <c r="A4909" s="134"/>
      <c r="B4909" s="1010" t="s">
        <v>6</v>
      </c>
      <c r="C4909" s="2840" t="s">
        <v>1989</v>
      </c>
      <c r="D4909" s="2840"/>
      <c r="E4909" s="2840"/>
      <c r="F4909" s="2840"/>
      <c r="G4909" s="2840"/>
      <c r="H4909" s="2840"/>
      <c r="I4909" s="2840"/>
      <c r="J4909" s="2840"/>
      <c r="K4909" s="2840"/>
      <c r="L4909" s="2840"/>
      <c r="M4909" s="2840"/>
      <c r="N4909" s="2840"/>
      <c r="O4909" s="2840"/>
      <c r="P4909" s="2840"/>
      <c r="Q4909" s="2840"/>
      <c r="R4909" s="2840"/>
      <c r="S4909" s="2840"/>
      <c r="T4909" s="2840"/>
      <c r="U4909" s="2840"/>
      <c r="V4909" s="2840"/>
      <c r="W4909" s="2840"/>
      <c r="X4909" s="2840"/>
      <c r="Y4909" s="2840"/>
      <c r="Z4909" s="2840"/>
      <c r="AA4909" s="2840"/>
    </row>
    <row r="4910" spans="1:29" ht="30" customHeight="1" x14ac:dyDescent="0.2">
      <c r="A4910" s="134"/>
      <c r="B4910" s="2110" t="s">
        <v>8</v>
      </c>
      <c r="C4910" s="3523" t="s">
        <v>1990</v>
      </c>
      <c r="D4910" s="3523"/>
      <c r="E4910" s="3523"/>
      <c r="F4910" s="3523"/>
      <c r="G4910" s="3523"/>
      <c r="H4910" s="3523"/>
      <c r="I4910" s="3523"/>
      <c r="J4910" s="3523"/>
      <c r="K4910" s="3523"/>
      <c r="L4910" s="3523"/>
      <c r="M4910" s="3523"/>
      <c r="N4910" s="3523"/>
      <c r="O4910" s="3523"/>
      <c r="P4910" s="3523"/>
      <c r="Q4910" s="3523"/>
      <c r="R4910" s="3523"/>
      <c r="S4910" s="3523"/>
      <c r="T4910" s="3523"/>
      <c r="U4910" s="3523"/>
      <c r="V4910" s="3523"/>
      <c r="W4910" s="3523"/>
      <c r="X4910" s="3523"/>
      <c r="Y4910" s="3523"/>
      <c r="Z4910" s="3523"/>
      <c r="AA4910" s="3523"/>
    </row>
    <row r="4911" spans="1:29" ht="22.5" x14ac:dyDescent="0.2">
      <c r="A4911" s="134"/>
      <c r="B4911" s="1010" t="s">
        <v>11</v>
      </c>
      <c r="C4911" s="3139" t="s">
        <v>1991</v>
      </c>
      <c r="D4911" s="3139"/>
      <c r="E4911" s="3139"/>
      <c r="F4911" s="3139"/>
      <c r="G4911" s="3139"/>
      <c r="H4911" s="3139"/>
      <c r="I4911" s="3139"/>
      <c r="J4911" s="3139"/>
      <c r="K4911" s="3139"/>
      <c r="L4911" s="3139"/>
      <c r="M4911" s="3139"/>
      <c r="N4911" s="3139"/>
      <c r="O4911" s="3139"/>
      <c r="P4911" s="3139"/>
      <c r="Q4911" s="3139"/>
      <c r="R4911" s="3139"/>
      <c r="S4911" s="3139"/>
      <c r="T4911" s="3139"/>
      <c r="U4911" s="3139"/>
      <c r="V4911" s="3139"/>
      <c r="W4911" s="3139"/>
      <c r="X4911" s="3139"/>
      <c r="Y4911" s="3139"/>
      <c r="Z4911" s="38"/>
      <c r="AA4911" s="38"/>
    </row>
    <row r="4912" spans="1:29" ht="22.5" x14ac:dyDescent="0.2">
      <c r="A4912" s="134"/>
      <c r="B4912" s="2913" t="s">
        <v>13</v>
      </c>
      <c r="C4912" s="3139">
        <v>1</v>
      </c>
      <c r="D4912" s="2922" t="s">
        <v>230</v>
      </c>
      <c r="E4912" s="2922"/>
      <c r="F4912" s="1443"/>
      <c r="G4912" s="28"/>
      <c r="H4912" s="28"/>
      <c r="I4912" s="28"/>
      <c r="J4912" s="28"/>
      <c r="K4912" s="28"/>
      <c r="L4912" s="28"/>
      <c r="M4912" s="28"/>
      <c r="N4912" s="28"/>
      <c r="O4912" s="28"/>
      <c r="P4912" s="28"/>
      <c r="Q4912" s="28"/>
      <c r="R4912" s="28"/>
      <c r="S4912" s="28"/>
      <c r="T4912" s="544"/>
      <c r="U4912" s="1444"/>
      <c r="V4912" s="2922" t="s">
        <v>15</v>
      </c>
      <c r="W4912" s="2922"/>
      <c r="X4912" s="2922"/>
      <c r="Y4912" s="2922"/>
      <c r="Z4912" s="452" t="s">
        <v>16</v>
      </c>
      <c r="AA4912" s="38"/>
    </row>
    <row r="4913" spans="1:27" x14ac:dyDescent="0.2">
      <c r="A4913" s="134"/>
      <c r="B4913" s="2913"/>
      <c r="C4913" s="3139"/>
      <c r="D4913" s="2922"/>
      <c r="E4913" s="2922"/>
      <c r="F4913" s="1445"/>
      <c r="G4913" s="84"/>
      <c r="H4913" s="84"/>
      <c r="I4913" s="84"/>
      <c r="J4913" s="84"/>
      <c r="K4913" s="84"/>
      <c r="L4913" s="84"/>
      <c r="M4913" s="84"/>
      <c r="N4913" s="84"/>
      <c r="O4913" s="84"/>
      <c r="P4913" s="84"/>
      <c r="Q4913" s="84"/>
      <c r="R4913" s="84"/>
      <c r="S4913" s="84"/>
      <c r="T4913" s="545"/>
      <c r="U4913" s="176"/>
      <c r="V4913" s="2420" t="s">
        <v>19</v>
      </c>
      <c r="W4913" s="2420"/>
      <c r="X4913" s="2420"/>
      <c r="Y4913" s="2420"/>
      <c r="Z4913" s="452"/>
      <c r="AA4913" s="38"/>
    </row>
    <row r="4914" spans="1:27" ht="22.5" x14ac:dyDescent="0.2">
      <c r="A4914" s="134"/>
      <c r="B4914" s="2913" t="s">
        <v>18</v>
      </c>
      <c r="C4914" s="3139">
        <v>3999999</v>
      </c>
      <c r="D4914" s="2922" t="s">
        <v>163</v>
      </c>
      <c r="E4914" s="2922"/>
      <c r="F4914" s="1445"/>
      <c r="G4914" s="84"/>
      <c r="H4914" s="84"/>
      <c r="I4914" s="84"/>
      <c r="J4914" s="84"/>
      <c r="K4914" s="84"/>
      <c r="L4914" s="84"/>
      <c r="M4914" s="84"/>
      <c r="N4914" s="84"/>
      <c r="O4914" s="84"/>
      <c r="P4914" s="84"/>
      <c r="Q4914" s="84"/>
      <c r="R4914" s="84"/>
      <c r="S4914" s="84"/>
      <c r="T4914" s="84"/>
      <c r="U4914" s="30"/>
      <c r="V4914" s="452" t="s">
        <v>15</v>
      </c>
      <c r="W4914" s="452"/>
      <c r="X4914" s="452"/>
      <c r="Y4914" s="452"/>
      <c r="Z4914" s="452" t="s">
        <v>16</v>
      </c>
      <c r="AA4914" s="38"/>
    </row>
    <row r="4915" spans="1:27" x14ac:dyDescent="0.2">
      <c r="A4915" s="134"/>
      <c r="B4915" s="2913"/>
      <c r="C4915" s="3139"/>
      <c r="D4915" s="2922"/>
      <c r="E4915" s="2922"/>
      <c r="F4915" s="1446"/>
      <c r="G4915" s="31"/>
      <c r="H4915" s="31"/>
      <c r="I4915" s="31"/>
      <c r="J4915" s="31"/>
      <c r="K4915" s="31"/>
      <c r="L4915" s="31"/>
      <c r="M4915" s="31"/>
      <c r="N4915" s="31"/>
      <c r="O4915" s="31"/>
      <c r="P4915" s="31"/>
      <c r="Q4915" s="31"/>
      <c r="R4915" s="31"/>
      <c r="S4915" s="31"/>
      <c r="T4915" s="31"/>
      <c r="U4915" s="22"/>
      <c r="V4915" s="2420" t="s">
        <v>19</v>
      </c>
      <c r="W4915" s="2420"/>
      <c r="X4915" s="2420"/>
      <c r="Y4915" s="2420"/>
      <c r="Z4915" s="452"/>
      <c r="AA4915" s="38"/>
    </row>
    <row r="4916" spans="1:27" x14ac:dyDescent="0.2">
      <c r="A4916" s="134"/>
      <c r="B4916" s="3015" t="s">
        <v>20</v>
      </c>
      <c r="C4916" s="2847" t="s">
        <v>21</v>
      </c>
      <c r="D4916" s="2847" t="s">
        <v>22</v>
      </c>
      <c r="E4916" s="2847" t="s">
        <v>23</v>
      </c>
      <c r="F4916" s="2847" t="s">
        <v>164</v>
      </c>
      <c r="G4916" s="2847" t="s">
        <v>25</v>
      </c>
      <c r="H4916" s="2847" t="s">
        <v>26</v>
      </c>
      <c r="I4916" s="2847" t="s">
        <v>27</v>
      </c>
      <c r="J4916" s="2847" t="s">
        <v>28</v>
      </c>
      <c r="K4916" s="2847"/>
      <c r="L4916" s="2847" t="s">
        <v>29</v>
      </c>
      <c r="M4916" s="2847" t="s">
        <v>30</v>
      </c>
      <c r="N4916" s="2847"/>
      <c r="O4916" s="2916" t="s">
        <v>31</v>
      </c>
      <c r="P4916" s="2916"/>
      <c r="Q4916" s="2916"/>
      <c r="R4916" s="2916"/>
      <c r="S4916" s="2916"/>
      <c r="T4916" s="2916"/>
      <c r="U4916" s="2916"/>
      <c r="V4916" s="2916"/>
      <c r="W4916" s="2916"/>
      <c r="X4916" s="2916"/>
      <c r="Y4916" s="2916"/>
      <c r="Z4916" s="2916"/>
      <c r="AA4916" s="2847" t="s">
        <v>32</v>
      </c>
    </row>
    <row r="4917" spans="1:27" ht="18.75" customHeight="1" x14ac:dyDescent="0.2">
      <c r="A4917" s="134"/>
      <c r="B4917" s="3016"/>
      <c r="C4917" s="2847"/>
      <c r="D4917" s="2847"/>
      <c r="E4917" s="2847"/>
      <c r="F4917" s="2847"/>
      <c r="G4917" s="2847"/>
      <c r="H4917" s="2847"/>
      <c r="I4917" s="2847"/>
      <c r="J4917" s="455" t="s">
        <v>33</v>
      </c>
      <c r="K4917" s="455" t="s">
        <v>34</v>
      </c>
      <c r="L4917" s="2847"/>
      <c r="M4917" s="2847"/>
      <c r="N4917" s="2847"/>
      <c r="O4917" s="471" t="s">
        <v>35</v>
      </c>
      <c r="P4917" s="471" t="s">
        <v>36</v>
      </c>
      <c r="Q4917" s="471" t="s">
        <v>37</v>
      </c>
      <c r="R4917" s="471" t="s">
        <v>38</v>
      </c>
      <c r="S4917" s="471" t="s">
        <v>39</v>
      </c>
      <c r="T4917" s="471" t="s">
        <v>40</v>
      </c>
      <c r="U4917" s="471" t="s">
        <v>41</v>
      </c>
      <c r="V4917" s="471" t="s">
        <v>42</v>
      </c>
      <c r="W4917" s="471" t="s">
        <v>43</v>
      </c>
      <c r="X4917" s="471" t="s">
        <v>44</v>
      </c>
      <c r="Y4917" s="471" t="s">
        <v>45</v>
      </c>
      <c r="Z4917" s="471" t="s">
        <v>46</v>
      </c>
      <c r="AA4917" s="2847"/>
    </row>
    <row r="4918" spans="1:27" x14ac:dyDescent="0.2">
      <c r="A4918" s="134"/>
      <c r="B4918" s="3658" t="s">
        <v>1992</v>
      </c>
      <c r="C4918" s="2420" t="s">
        <v>1993</v>
      </c>
      <c r="D4918" s="2420" t="s">
        <v>1994</v>
      </c>
      <c r="E4918" s="3659" t="s">
        <v>1995</v>
      </c>
      <c r="F4918" s="3660" t="s">
        <v>1996</v>
      </c>
      <c r="G4918" s="3660"/>
      <c r="H4918" s="2420" t="s">
        <v>1213</v>
      </c>
      <c r="I4918" s="2420" t="s">
        <v>235</v>
      </c>
      <c r="J4918" s="2973">
        <v>1</v>
      </c>
      <c r="K4918" s="2973">
        <f>+AA4919</f>
        <v>44700</v>
      </c>
      <c r="L4918" s="2922" t="s">
        <v>1997</v>
      </c>
      <c r="M4918" s="2840" t="s">
        <v>51</v>
      </c>
      <c r="N4918" s="2840"/>
      <c r="O4918" s="500">
        <v>1</v>
      </c>
      <c r="P4918" s="500">
        <v>1</v>
      </c>
      <c r="Q4918" s="500">
        <v>1</v>
      </c>
      <c r="R4918" s="500">
        <v>1</v>
      </c>
      <c r="S4918" s="500">
        <v>1</v>
      </c>
      <c r="T4918" s="500">
        <v>1</v>
      </c>
      <c r="U4918" s="500">
        <v>1</v>
      </c>
      <c r="V4918" s="500">
        <v>1</v>
      </c>
      <c r="W4918" s="500">
        <v>1</v>
      </c>
      <c r="X4918" s="500">
        <v>1</v>
      </c>
      <c r="Y4918" s="500">
        <v>1</v>
      </c>
      <c r="Z4918" s="500">
        <v>1</v>
      </c>
      <c r="AA4918" s="118"/>
    </row>
    <row r="4919" spans="1:27" x14ac:dyDescent="0.2">
      <c r="A4919" s="134"/>
      <c r="B4919" s="3658"/>
      <c r="C4919" s="2420"/>
      <c r="D4919" s="2420"/>
      <c r="E4919" s="3659"/>
      <c r="F4919" s="3660"/>
      <c r="G4919" s="3660"/>
      <c r="H4919" s="2420"/>
      <c r="I4919" s="2420"/>
      <c r="J4919" s="2973"/>
      <c r="K4919" s="2973"/>
      <c r="L4919" s="2922"/>
      <c r="M4919" s="2913" t="s">
        <v>111</v>
      </c>
      <c r="N4919" s="2913"/>
      <c r="O4919" s="500"/>
      <c r="P4919" s="500"/>
      <c r="Q4919" s="500"/>
      <c r="R4919" s="500"/>
      <c r="S4919" s="500"/>
      <c r="T4919" s="500"/>
      <c r="U4919" s="500"/>
      <c r="V4919" s="500"/>
      <c r="W4919" s="500"/>
      <c r="X4919" s="500"/>
      <c r="Y4919" s="500"/>
      <c r="Z4919" s="500"/>
      <c r="AA4919" s="368">
        <f>SUM(AA4920:AA4925)</f>
        <v>44700</v>
      </c>
    </row>
    <row r="4920" spans="1:27" ht="22.5" x14ac:dyDescent="0.2">
      <c r="A4920" s="134"/>
      <c r="B4920" s="3658"/>
      <c r="C4920" s="2420"/>
      <c r="D4920" s="2420"/>
      <c r="E4920" s="3659"/>
      <c r="F4920" s="3660"/>
      <c r="G4920" s="3660"/>
      <c r="H4920" s="2420"/>
      <c r="I4920" s="2420"/>
      <c r="J4920" s="2973"/>
      <c r="K4920" s="2973"/>
      <c r="L4920" s="2922"/>
      <c r="M4920" s="468" t="s">
        <v>184</v>
      </c>
      <c r="N4920" s="468" t="s">
        <v>1367</v>
      </c>
      <c r="O4920" s="32">
        <v>250</v>
      </c>
      <c r="P4920" s="32">
        <v>100</v>
      </c>
      <c r="Q4920" s="32">
        <v>100</v>
      </c>
      <c r="R4920" s="32">
        <v>100</v>
      </c>
      <c r="S4920" s="32">
        <v>100</v>
      </c>
      <c r="T4920" s="32">
        <v>100</v>
      </c>
      <c r="U4920" s="32">
        <v>100</v>
      </c>
      <c r="V4920" s="32">
        <v>250</v>
      </c>
      <c r="W4920" s="32">
        <v>100</v>
      </c>
      <c r="X4920" s="32">
        <v>100</v>
      </c>
      <c r="Y4920" s="32">
        <v>100</v>
      </c>
      <c r="Z4920" s="32">
        <v>100</v>
      </c>
      <c r="AA4920" s="368">
        <f t="shared" ref="AA4920:AA4925" si="824">SUM(O4920:Z4920)</f>
        <v>1500</v>
      </c>
    </row>
    <row r="4921" spans="1:27" ht="22.5" x14ac:dyDescent="0.2">
      <c r="A4921" s="134"/>
      <c r="B4921" s="3658"/>
      <c r="C4921" s="2420"/>
      <c r="D4921" s="2420"/>
      <c r="E4921" s="3659"/>
      <c r="F4921" s="3660"/>
      <c r="G4921" s="3660"/>
      <c r="H4921" s="2420"/>
      <c r="I4921" s="2420"/>
      <c r="J4921" s="2973"/>
      <c r="K4921" s="2973"/>
      <c r="L4921" s="2922"/>
      <c r="M4921" s="468" t="s">
        <v>194</v>
      </c>
      <c r="N4921" s="468" t="s">
        <v>1368</v>
      </c>
      <c r="O4921" s="32"/>
      <c r="P4921" s="32"/>
      <c r="Q4921" s="32"/>
      <c r="R4921" s="32"/>
      <c r="S4921" s="32"/>
      <c r="T4921" s="32"/>
      <c r="U4921" s="32"/>
      <c r="V4921" s="32"/>
      <c r="W4921" s="32"/>
      <c r="X4921" s="32"/>
      <c r="Y4921" s="32"/>
      <c r="Z4921" s="32"/>
      <c r="AA4921" s="368">
        <f t="shared" si="824"/>
        <v>0</v>
      </c>
    </row>
    <row r="4922" spans="1:27" x14ac:dyDescent="0.2">
      <c r="A4922" s="134"/>
      <c r="B4922" s="3658"/>
      <c r="C4922" s="2420"/>
      <c r="D4922" s="2420"/>
      <c r="E4922" s="3659"/>
      <c r="F4922" s="3660"/>
      <c r="G4922" s="3660"/>
      <c r="H4922" s="2420"/>
      <c r="I4922" s="2420"/>
      <c r="J4922" s="2973"/>
      <c r="K4922" s="2973"/>
      <c r="L4922" s="2922"/>
      <c r="M4922" s="468" t="s">
        <v>180</v>
      </c>
      <c r="N4922" s="468" t="s">
        <v>1370</v>
      </c>
      <c r="O4922" s="32"/>
      <c r="P4922" s="32"/>
      <c r="Q4922" s="32"/>
      <c r="R4922" s="32"/>
      <c r="S4922" s="32"/>
      <c r="T4922" s="32"/>
      <c r="U4922" s="32"/>
      <c r="V4922" s="32"/>
      <c r="W4922" s="32"/>
      <c r="X4922" s="32"/>
      <c r="Y4922" s="32"/>
      <c r="Z4922" s="32"/>
      <c r="AA4922" s="368">
        <f t="shared" si="824"/>
        <v>0</v>
      </c>
    </row>
    <row r="4923" spans="1:27" ht="22.5" x14ac:dyDescent="0.2">
      <c r="A4923" s="134"/>
      <c r="B4923" s="3658"/>
      <c r="C4923" s="2420"/>
      <c r="D4923" s="2420"/>
      <c r="E4923" s="3659"/>
      <c r="F4923" s="3660"/>
      <c r="G4923" s="3660"/>
      <c r="H4923" s="2420"/>
      <c r="I4923" s="2420"/>
      <c r="J4923" s="2973"/>
      <c r="K4923" s="2973"/>
      <c r="L4923" s="2922"/>
      <c r="M4923" s="307" t="s">
        <v>208</v>
      </c>
      <c r="N4923" s="307" t="s">
        <v>553</v>
      </c>
      <c r="O4923" s="32">
        <v>3000</v>
      </c>
      <c r="P4923" s="32">
        <v>3000</v>
      </c>
      <c r="Q4923" s="32">
        <v>3000</v>
      </c>
      <c r="R4923" s="32">
        <v>3000</v>
      </c>
      <c r="S4923" s="32">
        <v>3000</v>
      </c>
      <c r="T4923" s="32">
        <v>3000</v>
      </c>
      <c r="U4923" s="32">
        <v>3000</v>
      </c>
      <c r="V4923" s="32">
        <v>3000</v>
      </c>
      <c r="W4923" s="32">
        <v>3000</v>
      </c>
      <c r="X4923" s="32">
        <v>3000</v>
      </c>
      <c r="Y4923" s="32">
        <v>3000</v>
      </c>
      <c r="Z4923" s="32">
        <v>3000</v>
      </c>
      <c r="AA4923" s="368">
        <f t="shared" si="824"/>
        <v>36000</v>
      </c>
    </row>
    <row r="4924" spans="1:27" x14ac:dyDescent="0.2">
      <c r="A4924" s="134"/>
      <c r="B4924" s="3658"/>
      <c r="C4924" s="2420"/>
      <c r="D4924" s="2420"/>
      <c r="E4924" s="3659"/>
      <c r="F4924" s="3660"/>
      <c r="G4924" s="3660"/>
      <c r="H4924" s="2420"/>
      <c r="I4924" s="2420"/>
      <c r="J4924" s="2973"/>
      <c r="K4924" s="2973"/>
      <c r="L4924" s="2922"/>
      <c r="M4924" s="307" t="s">
        <v>1454</v>
      </c>
      <c r="N4924" s="307" t="s">
        <v>207</v>
      </c>
      <c r="O4924" s="32">
        <v>1500</v>
      </c>
      <c r="P4924" s="32"/>
      <c r="Q4924" s="32"/>
      <c r="R4924" s="32">
        <v>1500</v>
      </c>
      <c r="S4924" s="32"/>
      <c r="T4924" s="32"/>
      <c r="U4924" s="32">
        <v>1500</v>
      </c>
      <c r="V4924" s="32"/>
      <c r="W4924" s="32"/>
      <c r="X4924" s="32">
        <v>1500</v>
      </c>
      <c r="Y4924" s="32"/>
      <c r="Z4924" s="32"/>
      <c r="AA4924" s="368">
        <f t="shared" si="824"/>
        <v>6000</v>
      </c>
    </row>
    <row r="4925" spans="1:27" ht="22.5" x14ac:dyDescent="0.2">
      <c r="A4925" s="134"/>
      <c r="B4925" s="3658"/>
      <c r="C4925" s="2420"/>
      <c r="D4925" s="2420"/>
      <c r="E4925" s="3659"/>
      <c r="F4925" s="3660"/>
      <c r="G4925" s="3660"/>
      <c r="H4925" s="2420"/>
      <c r="I4925" s="2420"/>
      <c r="J4925" s="2973"/>
      <c r="K4925" s="2973"/>
      <c r="L4925" s="2922"/>
      <c r="M4925" s="307" t="s">
        <v>210</v>
      </c>
      <c r="N4925" s="307" t="s">
        <v>1371</v>
      </c>
      <c r="O4925" s="32">
        <v>100</v>
      </c>
      <c r="P4925" s="32">
        <v>100</v>
      </c>
      <c r="Q4925" s="32">
        <v>100</v>
      </c>
      <c r="R4925" s="32">
        <v>100</v>
      </c>
      <c r="S4925" s="32">
        <v>100</v>
      </c>
      <c r="T4925" s="32">
        <v>100</v>
      </c>
      <c r="U4925" s="32">
        <v>100</v>
      </c>
      <c r="V4925" s="32">
        <v>100</v>
      </c>
      <c r="W4925" s="32">
        <v>100</v>
      </c>
      <c r="X4925" s="32">
        <v>100</v>
      </c>
      <c r="Y4925" s="32">
        <v>100</v>
      </c>
      <c r="Z4925" s="32">
        <v>100</v>
      </c>
      <c r="AA4925" s="368">
        <f t="shared" si="824"/>
        <v>1200</v>
      </c>
    </row>
    <row r="4926" spans="1:27" x14ac:dyDescent="0.2">
      <c r="A4926" s="134"/>
      <c r="B4926" s="2720" t="s">
        <v>1998</v>
      </c>
      <c r="C4926" s="3663" t="s">
        <v>1993</v>
      </c>
      <c r="D4926" s="2420" t="s">
        <v>1999</v>
      </c>
      <c r="E4926" s="2420"/>
      <c r="F4926" s="3660" t="s">
        <v>1996</v>
      </c>
      <c r="G4926" s="2420"/>
      <c r="H4926" s="2420" t="s">
        <v>2000</v>
      </c>
      <c r="I4926" s="2420" t="s">
        <v>2001</v>
      </c>
      <c r="J4926" s="2420">
        <v>12</v>
      </c>
      <c r="K4926" s="2973">
        <f>+AA4927</f>
        <v>8280</v>
      </c>
      <c r="L4926" s="2420" t="s">
        <v>1997</v>
      </c>
      <c r="M4926" s="2913" t="s">
        <v>51</v>
      </c>
      <c r="N4926" s="2913"/>
      <c r="O4926" s="500">
        <v>1</v>
      </c>
      <c r="P4926" s="500">
        <v>2</v>
      </c>
      <c r="Q4926" s="500">
        <v>1</v>
      </c>
      <c r="R4926" s="500">
        <v>2</v>
      </c>
      <c r="S4926" s="500">
        <v>1</v>
      </c>
      <c r="T4926" s="500">
        <v>3</v>
      </c>
      <c r="U4926" s="500">
        <v>1</v>
      </c>
      <c r="V4926" s="500">
        <v>1</v>
      </c>
      <c r="W4926" s="500"/>
      <c r="X4926" s="500"/>
      <c r="Y4926" s="500"/>
      <c r="Z4926" s="500"/>
      <c r="AA4926" s="1217">
        <f>SUM(O4926:Z4926)</f>
        <v>12</v>
      </c>
    </row>
    <row r="4927" spans="1:27" x14ac:dyDescent="0.2">
      <c r="A4927" s="134"/>
      <c r="B4927" s="2720"/>
      <c r="C4927" s="3663"/>
      <c r="D4927" s="2420"/>
      <c r="E4927" s="2420"/>
      <c r="F4927" s="3660"/>
      <c r="G4927" s="2420"/>
      <c r="H4927" s="2420"/>
      <c r="I4927" s="2420"/>
      <c r="J4927" s="2420"/>
      <c r="K4927" s="2973"/>
      <c r="L4927" s="2420"/>
      <c r="M4927" s="2913" t="s">
        <v>111</v>
      </c>
      <c r="N4927" s="2913"/>
      <c r="O4927" s="500">
        <f>SUM(O4928:O4933)</f>
        <v>0</v>
      </c>
      <c r="P4927" s="500">
        <f>SUM(P4928:P4933)</f>
        <v>2880</v>
      </c>
      <c r="Q4927" s="500">
        <f t="shared" ref="Q4927:Z4927" si="825">SUM(Q4928:Q4933)</f>
        <v>0</v>
      </c>
      <c r="R4927" s="500">
        <f t="shared" si="825"/>
        <v>2220</v>
      </c>
      <c r="S4927" s="500">
        <f t="shared" si="825"/>
        <v>0</v>
      </c>
      <c r="T4927" s="500">
        <f t="shared" si="825"/>
        <v>1980</v>
      </c>
      <c r="U4927" s="500">
        <f t="shared" si="825"/>
        <v>0</v>
      </c>
      <c r="V4927" s="500">
        <f t="shared" si="825"/>
        <v>1200</v>
      </c>
      <c r="W4927" s="500">
        <f t="shared" si="825"/>
        <v>0</v>
      </c>
      <c r="X4927" s="500">
        <f t="shared" si="825"/>
        <v>0</v>
      </c>
      <c r="Y4927" s="500">
        <f t="shared" si="825"/>
        <v>0</v>
      </c>
      <c r="Z4927" s="500">
        <f t="shared" si="825"/>
        <v>0</v>
      </c>
      <c r="AA4927" s="368">
        <f>SUM(AA4928:AA4933)</f>
        <v>8280</v>
      </c>
    </row>
    <row r="4928" spans="1:27" x14ac:dyDescent="0.2">
      <c r="A4928" s="134"/>
      <c r="B4928" s="2720"/>
      <c r="C4928" s="3663"/>
      <c r="D4928" s="2420"/>
      <c r="E4928" s="2420"/>
      <c r="F4928" s="3660"/>
      <c r="G4928" s="2420"/>
      <c r="H4928" s="2420"/>
      <c r="I4928" s="2420"/>
      <c r="J4928" s="2420"/>
      <c r="K4928" s="2973"/>
      <c r="L4928" s="2420"/>
      <c r="M4928" s="468" t="s">
        <v>184</v>
      </c>
      <c r="N4928" s="468" t="s">
        <v>1365</v>
      </c>
      <c r="O4928" s="32"/>
      <c r="P4928" s="32"/>
      <c r="Q4928" s="32"/>
      <c r="R4928" s="32"/>
      <c r="S4928" s="32"/>
      <c r="T4928" s="32"/>
      <c r="U4928" s="32"/>
      <c r="V4928" s="32"/>
      <c r="W4928" s="32"/>
      <c r="X4928" s="32"/>
      <c r="Y4928" s="32"/>
      <c r="Z4928" s="32"/>
      <c r="AA4928" s="368">
        <f t="shared" ref="AA4928:AA4933" si="826">SUM(O4928:Z4928)</f>
        <v>0</v>
      </c>
    </row>
    <row r="4929" spans="1:27" x14ac:dyDescent="0.2">
      <c r="A4929" s="134"/>
      <c r="B4929" s="2720"/>
      <c r="C4929" s="3663"/>
      <c r="D4929" s="2420"/>
      <c r="E4929" s="2420"/>
      <c r="F4929" s="3660"/>
      <c r="G4929" s="2420"/>
      <c r="H4929" s="2420"/>
      <c r="I4929" s="2420"/>
      <c r="J4929" s="2420"/>
      <c r="K4929" s="2973"/>
      <c r="L4929" s="2420"/>
      <c r="M4929" s="468" t="s">
        <v>194</v>
      </c>
      <c r="N4929" s="468" t="s">
        <v>1372</v>
      </c>
      <c r="O4929" s="32"/>
      <c r="P4929" s="32">
        <v>1200</v>
      </c>
      <c r="Q4929" s="32"/>
      <c r="R4929" s="32">
        <v>720</v>
      </c>
      <c r="S4929" s="32"/>
      <c r="T4929" s="32">
        <v>480</v>
      </c>
      <c r="U4929" s="32"/>
      <c r="V4929" s="32"/>
      <c r="W4929" s="32"/>
      <c r="X4929" s="32"/>
      <c r="Y4929" s="32"/>
      <c r="Z4929" s="32"/>
      <c r="AA4929" s="368">
        <f t="shared" si="826"/>
        <v>2400</v>
      </c>
    </row>
    <row r="4930" spans="1:27" x14ac:dyDescent="0.2">
      <c r="A4930" s="134"/>
      <c r="B4930" s="2720"/>
      <c r="C4930" s="3663"/>
      <c r="D4930" s="2420"/>
      <c r="E4930" s="2420"/>
      <c r="F4930" s="3660"/>
      <c r="G4930" s="2420"/>
      <c r="H4930" s="2420"/>
      <c r="I4930" s="2420"/>
      <c r="J4930" s="2420"/>
      <c r="K4930" s="2973"/>
      <c r="L4930" s="2420"/>
      <c r="M4930" s="468" t="s">
        <v>215</v>
      </c>
      <c r="N4930" s="468" t="s">
        <v>1370</v>
      </c>
      <c r="O4930" s="32"/>
      <c r="P4930" s="32">
        <v>480</v>
      </c>
      <c r="Q4930" s="32"/>
      <c r="R4930" s="32">
        <v>300</v>
      </c>
      <c r="S4930" s="32"/>
      <c r="T4930" s="32">
        <v>300</v>
      </c>
      <c r="U4930" s="32"/>
      <c r="V4930" s="32"/>
      <c r="W4930" s="32"/>
      <c r="X4930" s="32"/>
      <c r="Y4930" s="32"/>
      <c r="Z4930" s="32"/>
      <c r="AA4930" s="368">
        <f t="shared" si="826"/>
        <v>1080</v>
      </c>
    </row>
    <row r="4931" spans="1:27" ht="22.5" x14ac:dyDescent="0.2">
      <c r="A4931" s="134"/>
      <c r="B4931" s="2720"/>
      <c r="C4931" s="3663"/>
      <c r="D4931" s="2420"/>
      <c r="E4931" s="2420"/>
      <c r="F4931" s="3660"/>
      <c r="G4931" s="2420"/>
      <c r="H4931" s="2420"/>
      <c r="I4931" s="2420"/>
      <c r="J4931" s="2420"/>
      <c r="K4931" s="2973"/>
      <c r="L4931" s="2420"/>
      <c r="M4931" s="307" t="s">
        <v>208</v>
      </c>
      <c r="N4931" s="307" t="s">
        <v>553</v>
      </c>
      <c r="O4931" s="32"/>
      <c r="P4931" s="32"/>
      <c r="Q4931" s="32"/>
      <c r="R4931" s="32"/>
      <c r="S4931" s="32"/>
      <c r="T4931" s="32"/>
      <c r="U4931" s="32"/>
      <c r="V4931" s="32"/>
      <c r="W4931" s="32"/>
      <c r="X4931" s="32"/>
      <c r="Y4931" s="32"/>
      <c r="Z4931" s="32"/>
      <c r="AA4931" s="368">
        <f t="shared" si="826"/>
        <v>0</v>
      </c>
    </row>
    <row r="4932" spans="1:27" x14ac:dyDescent="0.2">
      <c r="A4932" s="134"/>
      <c r="B4932" s="2720"/>
      <c r="C4932" s="3663"/>
      <c r="D4932" s="2420"/>
      <c r="E4932" s="2420"/>
      <c r="F4932" s="3660"/>
      <c r="G4932" s="2420"/>
      <c r="H4932" s="2420"/>
      <c r="I4932" s="2420"/>
      <c r="J4932" s="2420"/>
      <c r="K4932" s="2973"/>
      <c r="L4932" s="2420"/>
      <c r="M4932" s="307" t="s">
        <v>1454</v>
      </c>
      <c r="N4932" s="307" t="s">
        <v>207</v>
      </c>
      <c r="O4932" s="32"/>
      <c r="P4932" s="32">
        <v>1200</v>
      </c>
      <c r="Q4932" s="32"/>
      <c r="R4932" s="32">
        <v>1200</v>
      </c>
      <c r="S4932" s="32"/>
      <c r="T4932" s="32">
        <v>1200</v>
      </c>
      <c r="U4932" s="32"/>
      <c r="V4932" s="32">
        <v>1200</v>
      </c>
      <c r="W4932" s="32"/>
      <c r="X4932" s="32"/>
      <c r="Y4932" s="32"/>
      <c r="Z4932" s="32"/>
      <c r="AA4932" s="368">
        <f t="shared" si="826"/>
        <v>4800</v>
      </c>
    </row>
    <row r="4933" spans="1:27" ht="22.5" x14ac:dyDescent="0.2">
      <c r="A4933" s="134"/>
      <c r="B4933" s="2720"/>
      <c r="C4933" s="3663"/>
      <c r="D4933" s="2420"/>
      <c r="E4933" s="2420"/>
      <c r="F4933" s="3660"/>
      <c r="G4933" s="2420"/>
      <c r="H4933" s="2420"/>
      <c r="I4933" s="2420"/>
      <c r="J4933" s="2420"/>
      <c r="K4933" s="2973"/>
      <c r="L4933" s="2420"/>
      <c r="M4933" s="307" t="s">
        <v>210</v>
      </c>
      <c r="N4933" s="307" t="s">
        <v>554</v>
      </c>
      <c r="O4933" s="32"/>
      <c r="P4933" s="32"/>
      <c r="Q4933" s="32"/>
      <c r="R4933" s="32"/>
      <c r="S4933" s="32"/>
      <c r="T4933" s="32"/>
      <c r="U4933" s="32"/>
      <c r="V4933" s="32"/>
      <c r="W4933" s="32"/>
      <c r="X4933" s="32"/>
      <c r="Y4933" s="32"/>
      <c r="Z4933" s="32"/>
      <c r="AA4933" s="368">
        <f t="shared" si="826"/>
        <v>0</v>
      </c>
    </row>
    <row r="4934" spans="1:27" x14ac:dyDescent="0.2">
      <c r="A4934" s="134"/>
      <c r="B4934" s="2720" t="s">
        <v>2002</v>
      </c>
      <c r="C4934" s="3663" t="s">
        <v>1993</v>
      </c>
      <c r="D4934" s="2420" t="s">
        <v>2003</v>
      </c>
      <c r="E4934" s="2420"/>
      <c r="F4934" s="2420" t="s">
        <v>2004</v>
      </c>
      <c r="G4934" s="2420"/>
      <c r="H4934" s="2420" t="s">
        <v>235</v>
      </c>
      <c r="I4934" s="2420" t="s">
        <v>2001</v>
      </c>
      <c r="J4934" s="2420">
        <v>21</v>
      </c>
      <c r="K4934" s="3496">
        <f>+AA4935</f>
        <v>21400</v>
      </c>
      <c r="L4934" s="2420" t="s">
        <v>1997</v>
      </c>
      <c r="M4934" s="2913" t="s">
        <v>51</v>
      </c>
      <c r="N4934" s="2913"/>
      <c r="O4934" s="500">
        <v>2</v>
      </c>
      <c r="P4934" s="500">
        <v>2</v>
      </c>
      <c r="Q4934" s="500">
        <v>2</v>
      </c>
      <c r="R4934" s="500">
        <v>1</v>
      </c>
      <c r="S4934" s="500">
        <v>2</v>
      </c>
      <c r="T4934" s="500">
        <v>2</v>
      </c>
      <c r="U4934" s="500">
        <v>1</v>
      </c>
      <c r="V4934" s="500">
        <v>2</v>
      </c>
      <c r="W4934" s="500">
        <v>2</v>
      </c>
      <c r="X4934" s="500">
        <v>1</v>
      </c>
      <c r="Y4934" s="500">
        <v>2</v>
      </c>
      <c r="Z4934" s="500">
        <v>2</v>
      </c>
      <c r="AA4934" s="1217">
        <f>SUM(O4934:Z4934)</f>
        <v>21</v>
      </c>
    </row>
    <row r="4935" spans="1:27" x14ac:dyDescent="0.2">
      <c r="A4935" s="134"/>
      <c r="B4935" s="2720"/>
      <c r="C4935" s="3663"/>
      <c r="D4935" s="2420"/>
      <c r="E4935" s="2420"/>
      <c r="F4935" s="2420"/>
      <c r="G4935" s="2420"/>
      <c r="H4935" s="2420"/>
      <c r="I4935" s="2420"/>
      <c r="J4935" s="2420"/>
      <c r="K4935" s="3496"/>
      <c r="L4935" s="2420"/>
      <c r="M4935" s="2913" t="s">
        <v>111</v>
      </c>
      <c r="N4935" s="2913"/>
      <c r="O4935" s="500">
        <f t="shared" ref="O4935:Z4935" si="827">SUM(O4936:O4942)</f>
        <v>4500</v>
      </c>
      <c r="P4935" s="500">
        <f t="shared" si="827"/>
        <v>5700</v>
      </c>
      <c r="Q4935" s="500">
        <f t="shared" si="827"/>
        <v>1150</v>
      </c>
      <c r="R4935" s="500">
        <f t="shared" si="827"/>
        <v>500</v>
      </c>
      <c r="S4935" s="500">
        <f t="shared" si="827"/>
        <v>1700</v>
      </c>
      <c r="T4935" s="500">
        <f t="shared" si="827"/>
        <v>1150</v>
      </c>
      <c r="U4935" s="500">
        <f t="shared" si="827"/>
        <v>500</v>
      </c>
      <c r="V4935" s="500">
        <f t="shared" si="827"/>
        <v>1700</v>
      </c>
      <c r="W4935" s="500">
        <f t="shared" si="827"/>
        <v>1150</v>
      </c>
      <c r="X4935" s="500">
        <f t="shared" si="827"/>
        <v>500</v>
      </c>
      <c r="Y4935" s="500">
        <f t="shared" si="827"/>
        <v>1700</v>
      </c>
      <c r="Z4935" s="500">
        <f t="shared" si="827"/>
        <v>1150</v>
      </c>
      <c r="AA4935" s="368">
        <f>SUM(AA4936:AA4942)</f>
        <v>21400</v>
      </c>
    </row>
    <row r="4936" spans="1:27" x14ac:dyDescent="0.2">
      <c r="A4936" s="134"/>
      <c r="B4936" s="2720"/>
      <c r="C4936" s="3663"/>
      <c r="D4936" s="2420"/>
      <c r="E4936" s="2420"/>
      <c r="F4936" s="2420"/>
      <c r="G4936" s="2420"/>
      <c r="H4936" s="2420"/>
      <c r="I4936" s="2420"/>
      <c r="J4936" s="2420"/>
      <c r="K4936" s="3496"/>
      <c r="L4936" s="2420"/>
      <c r="M4936" s="468" t="s">
        <v>184</v>
      </c>
      <c r="N4936" s="468" t="s">
        <v>1365</v>
      </c>
      <c r="O4936" s="32"/>
      <c r="P4936" s="32"/>
      <c r="Q4936" s="32">
        <v>200</v>
      </c>
      <c r="R4936" s="32"/>
      <c r="S4936" s="32"/>
      <c r="T4936" s="32">
        <v>200</v>
      </c>
      <c r="U4936" s="32"/>
      <c r="V4936" s="32"/>
      <c r="W4936" s="32">
        <v>200</v>
      </c>
      <c r="X4936" s="32"/>
      <c r="Y4936" s="32"/>
      <c r="Z4936" s="32">
        <v>200</v>
      </c>
      <c r="AA4936" s="368">
        <f>SUM(O4936:Z4936)</f>
        <v>800</v>
      </c>
    </row>
    <row r="4937" spans="1:27" x14ac:dyDescent="0.2">
      <c r="A4937" s="134"/>
      <c r="B4937" s="2720"/>
      <c r="C4937" s="3663"/>
      <c r="D4937" s="2420"/>
      <c r="E4937" s="2420"/>
      <c r="F4937" s="2420"/>
      <c r="G4937" s="2420"/>
      <c r="H4937" s="2420"/>
      <c r="I4937" s="2420"/>
      <c r="J4937" s="2420"/>
      <c r="K4937" s="3496"/>
      <c r="L4937" s="2420"/>
      <c r="M4937" s="468" t="s">
        <v>194</v>
      </c>
      <c r="N4937" s="468" t="s">
        <v>1372</v>
      </c>
      <c r="O4937" s="32"/>
      <c r="P4937" s="32">
        <v>720</v>
      </c>
      <c r="Q4937" s="32">
        <v>480</v>
      </c>
      <c r="R4937" s="32"/>
      <c r="S4937" s="32">
        <v>720</v>
      </c>
      <c r="T4937" s="32">
        <v>480</v>
      </c>
      <c r="U4937" s="32"/>
      <c r="V4937" s="32"/>
      <c r="W4937" s="32">
        <v>480</v>
      </c>
      <c r="X4937" s="32"/>
      <c r="Y4937" s="32">
        <v>720</v>
      </c>
      <c r="Z4937" s="32">
        <v>480</v>
      </c>
      <c r="AA4937" s="368">
        <f t="shared" ref="AA4937:AA4942" si="828">SUM(O4937:Z4937)</f>
        <v>4080</v>
      </c>
    </row>
    <row r="4938" spans="1:27" x14ac:dyDescent="0.2">
      <c r="A4938" s="134"/>
      <c r="B4938" s="2720"/>
      <c r="C4938" s="3663"/>
      <c r="D4938" s="2420"/>
      <c r="E4938" s="2420"/>
      <c r="F4938" s="2420"/>
      <c r="G4938" s="2420"/>
      <c r="H4938" s="2420"/>
      <c r="I4938" s="2420"/>
      <c r="J4938" s="2420"/>
      <c r="K4938" s="3496"/>
      <c r="L4938" s="2420"/>
      <c r="M4938" s="468" t="s">
        <v>180</v>
      </c>
      <c r="N4938" s="468" t="s">
        <v>1370</v>
      </c>
      <c r="O4938" s="32"/>
      <c r="P4938" s="32"/>
      <c r="Q4938" s="32"/>
      <c r="R4938" s="32"/>
      <c r="S4938" s="32">
        <v>480</v>
      </c>
      <c r="T4938" s="32"/>
      <c r="U4938" s="32"/>
      <c r="V4938" s="32">
        <v>720</v>
      </c>
      <c r="W4938" s="32"/>
      <c r="X4938" s="32"/>
      <c r="Y4938" s="32"/>
      <c r="Z4938" s="32"/>
      <c r="AA4938" s="368">
        <f t="shared" si="828"/>
        <v>1200</v>
      </c>
    </row>
    <row r="4939" spans="1:27" x14ac:dyDescent="0.2">
      <c r="A4939" s="134"/>
      <c r="B4939" s="2720"/>
      <c r="C4939" s="3663"/>
      <c r="D4939" s="2420"/>
      <c r="E4939" s="2420"/>
      <c r="F4939" s="2420"/>
      <c r="G4939" s="2420"/>
      <c r="H4939" s="2420"/>
      <c r="I4939" s="2420"/>
      <c r="J4939" s="2420"/>
      <c r="K4939" s="3496"/>
      <c r="L4939" s="2420"/>
      <c r="M4939" s="307" t="s">
        <v>1454</v>
      </c>
      <c r="N4939" s="307" t="s">
        <v>207</v>
      </c>
      <c r="O4939" s="32">
        <v>4000</v>
      </c>
      <c r="P4939" s="32">
        <v>4000</v>
      </c>
      <c r="Q4939" s="32"/>
      <c r="R4939" s="32"/>
      <c r="S4939" s="32"/>
      <c r="T4939" s="32"/>
      <c r="U4939" s="32"/>
      <c r="V4939" s="32"/>
      <c r="W4939" s="32"/>
      <c r="X4939" s="32"/>
      <c r="Y4939" s="32"/>
      <c r="Z4939" s="32"/>
      <c r="AA4939" s="368">
        <f t="shared" si="828"/>
        <v>8000</v>
      </c>
    </row>
    <row r="4940" spans="1:27" x14ac:dyDescent="0.2">
      <c r="A4940" s="134"/>
      <c r="B4940" s="2720"/>
      <c r="C4940" s="3663"/>
      <c r="D4940" s="2420"/>
      <c r="E4940" s="2420"/>
      <c r="F4940" s="2420"/>
      <c r="G4940" s="2420"/>
      <c r="H4940" s="2420"/>
      <c r="I4940" s="2420"/>
      <c r="J4940" s="2420"/>
      <c r="K4940" s="3496"/>
      <c r="L4940" s="2420"/>
      <c r="M4940" s="468" t="s">
        <v>1452</v>
      </c>
      <c r="N4940" s="468" t="s">
        <v>1477</v>
      </c>
      <c r="O4940" s="32">
        <v>500</v>
      </c>
      <c r="P4940" s="32">
        <v>980</v>
      </c>
      <c r="Q4940" s="32">
        <v>470</v>
      </c>
      <c r="R4940" s="32">
        <v>500</v>
      </c>
      <c r="S4940" s="32">
        <v>500</v>
      </c>
      <c r="T4940" s="32">
        <v>470</v>
      </c>
      <c r="U4940" s="32">
        <v>500</v>
      </c>
      <c r="V4940" s="32">
        <v>980</v>
      </c>
      <c r="W4940" s="32">
        <v>470</v>
      </c>
      <c r="X4940" s="32">
        <v>500</v>
      </c>
      <c r="Y4940" s="32">
        <v>980</v>
      </c>
      <c r="Z4940" s="32">
        <v>470</v>
      </c>
      <c r="AA4940" s="368">
        <f t="shared" si="828"/>
        <v>7320</v>
      </c>
    </row>
    <row r="4941" spans="1:27" ht="22.5" x14ac:dyDescent="0.2">
      <c r="A4941" s="134"/>
      <c r="B4941" s="2720"/>
      <c r="C4941" s="3663"/>
      <c r="D4941" s="2420"/>
      <c r="E4941" s="2420"/>
      <c r="F4941" s="2420"/>
      <c r="G4941" s="2420"/>
      <c r="H4941" s="2420"/>
      <c r="I4941" s="2420"/>
      <c r="J4941" s="2420"/>
      <c r="K4941" s="3496"/>
      <c r="L4941" s="2420"/>
      <c r="M4941" s="307" t="s">
        <v>208</v>
      </c>
      <c r="N4941" s="307" t="s">
        <v>553</v>
      </c>
      <c r="O4941" s="32"/>
      <c r="P4941" s="32"/>
      <c r="Q4941" s="32"/>
      <c r="R4941" s="32"/>
      <c r="S4941" s="32"/>
      <c r="T4941" s="32"/>
      <c r="U4941" s="32"/>
      <c r="V4941" s="32"/>
      <c r="W4941" s="32"/>
      <c r="X4941" s="32"/>
      <c r="Y4941" s="32"/>
      <c r="Z4941" s="32"/>
      <c r="AA4941" s="368">
        <f t="shared" si="828"/>
        <v>0</v>
      </c>
    </row>
    <row r="4942" spans="1:27" ht="22.5" x14ac:dyDescent="0.2">
      <c r="A4942" s="134"/>
      <c r="B4942" s="2720"/>
      <c r="C4942" s="3663"/>
      <c r="D4942" s="2420"/>
      <c r="E4942" s="2420"/>
      <c r="F4942" s="2420"/>
      <c r="G4942" s="2420"/>
      <c r="H4942" s="2420"/>
      <c r="I4942" s="2420"/>
      <c r="J4942" s="2420"/>
      <c r="K4942" s="3496"/>
      <c r="L4942" s="2420"/>
      <c r="M4942" s="307" t="s">
        <v>210</v>
      </c>
      <c r="N4942" s="307" t="s">
        <v>1371</v>
      </c>
      <c r="O4942" s="32"/>
      <c r="P4942" s="32"/>
      <c r="Q4942" s="32"/>
      <c r="R4942" s="32"/>
      <c r="S4942" s="32"/>
      <c r="T4942" s="32"/>
      <c r="U4942" s="32"/>
      <c r="V4942" s="32"/>
      <c r="W4942" s="32"/>
      <c r="X4942" s="32"/>
      <c r="Y4942" s="32"/>
      <c r="Z4942" s="32"/>
      <c r="AA4942" s="368">
        <f t="shared" si="828"/>
        <v>0</v>
      </c>
    </row>
    <row r="4943" spans="1:27" x14ac:dyDescent="0.2">
      <c r="A4943" s="134"/>
      <c r="B4943" s="2720" t="s">
        <v>2005</v>
      </c>
      <c r="C4943" s="3663" t="s">
        <v>1993</v>
      </c>
      <c r="D4943" s="2420" t="s">
        <v>2006</v>
      </c>
      <c r="E4943" s="2420"/>
      <c r="F4943" s="2420" t="s">
        <v>1996</v>
      </c>
      <c r="G4943" s="2420"/>
      <c r="H4943" s="2420" t="s">
        <v>235</v>
      </c>
      <c r="I4943" s="2420" t="s">
        <v>2007</v>
      </c>
      <c r="J4943" s="2420">
        <v>31</v>
      </c>
      <c r="K4943" s="3496">
        <f>+AA4944</f>
        <v>47400</v>
      </c>
      <c r="L4943" s="2420" t="s">
        <v>1997</v>
      </c>
      <c r="M4943" s="2913" t="s">
        <v>51</v>
      </c>
      <c r="N4943" s="2913"/>
      <c r="O4943" s="500">
        <v>2</v>
      </c>
      <c r="P4943" s="500">
        <v>3</v>
      </c>
      <c r="Q4943" s="500">
        <v>4</v>
      </c>
      <c r="R4943" s="500">
        <v>3</v>
      </c>
      <c r="S4943" s="500">
        <v>1</v>
      </c>
      <c r="T4943" s="500">
        <v>2</v>
      </c>
      <c r="U4943" s="500">
        <v>4</v>
      </c>
      <c r="V4943" s="500">
        <v>3</v>
      </c>
      <c r="W4943" s="500">
        <v>2</v>
      </c>
      <c r="X4943" s="500">
        <v>2</v>
      </c>
      <c r="Y4943" s="500">
        <v>4</v>
      </c>
      <c r="Z4943" s="500">
        <v>1</v>
      </c>
      <c r="AA4943" s="1217">
        <f>SUM(O4943:Z4943)</f>
        <v>31</v>
      </c>
    </row>
    <row r="4944" spans="1:27" x14ac:dyDescent="0.2">
      <c r="A4944" s="134"/>
      <c r="B4944" s="2720"/>
      <c r="C4944" s="3663"/>
      <c r="D4944" s="2420"/>
      <c r="E4944" s="2420"/>
      <c r="F4944" s="2420"/>
      <c r="G4944" s="2420"/>
      <c r="H4944" s="2420"/>
      <c r="I4944" s="2420"/>
      <c r="J4944" s="2420"/>
      <c r="K4944" s="3496"/>
      <c r="L4944" s="2420"/>
      <c r="M4944" s="2913" t="s">
        <v>111</v>
      </c>
      <c r="N4944" s="2913"/>
      <c r="O4944" s="500">
        <f>SUM(O4945:O4950)</f>
        <v>3600</v>
      </c>
      <c r="P4944" s="500">
        <f t="shared" ref="P4944:Z4944" si="829">SUM(P4945:P4950)</f>
        <v>4100</v>
      </c>
      <c r="Q4944" s="500">
        <f t="shared" si="829"/>
        <v>4950</v>
      </c>
      <c r="R4944" s="500">
        <f t="shared" si="829"/>
        <v>4100</v>
      </c>
      <c r="S4944" s="500">
        <f t="shared" si="829"/>
        <v>3100</v>
      </c>
      <c r="T4944" s="500">
        <f t="shared" si="829"/>
        <v>3250</v>
      </c>
      <c r="U4944" s="500">
        <f t="shared" si="829"/>
        <v>4600</v>
      </c>
      <c r="V4944" s="500">
        <f t="shared" si="829"/>
        <v>4800</v>
      </c>
      <c r="W4944" s="500">
        <f t="shared" si="829"/>
        <v>3600</v>
      </c>
      <c r="X4944" s="500">
        <f t="shared" si="829"/>
        <v>3600</v>
      </c>
      <c r="Y4944" s="500">
        <f t="shared" si="829"/>
        <v>4600</v>
      </c>
      <c r="Z4944" s="500">
        <f t="shared" si="829"/>
        <v>3100</v>
      </c>
      <c r="AA4944" s="368">
        <f>SUM(AA4945:AA4950)</f>
        <v>47400</v>
      </c>
    </row>
    <row r="4945" spans="1:27" x14ac:dyDescent="0.2">
      <c r="A4945" s="134"/>
      <c r="B4945" s="2720"/>
      <c r="C4945" s="3663"/>
      <c r="D4945" s="2420"/>
      <c r="E4945" s="2420"/>
      <c r="F4945" s="2420"/>
      <c r="G4945" s="2420"/>
      <c r="H4945" s="2420"/>
      <c r="I4945" s="2420"/>
      <c r="J4945" s="2420"/>
      <c r="K4945" s="3496"/>
      <c r="L4945" s="2420"/>
      <c r="M4945" s="468" t="s">
        <v>184</v>
      </c>
      <c r="N4945" s="468" t="s">
        <v>1365</v>
      </c>
      <c r="O4945" s="32"/>
      <c r="P4945" s="32"/>
      <c r="Q4945" s="32"/>
      <c r="R4945" s="32"/>
      <c r="S4945" s="32"/>
      <c r="T4945" s="32"/>
      <c r="U4945" s="32"/>
      <c r="V4945" s="32"/>
      <c r="W4945" s="32"/>
      <c r="X4945" s="32"/>
      <c r="Y4945" s="32"/>
      <c r="Z4945" s="32"/>
      <c r="AA4945" s="368">
        <f t="shared" ref="AA4945:AA4950" si="830">SUM(O4945:Z4945)</f>
        <v>0</v>
      </c>
    </row>
    <row r="4946" spans="1:27" x14ac:dyDescent="0.2">
      <c r="A4946" s="134"/>
      <c r="B4946" s="2720"/>
      <c r="C4946" s="3663"/>
      <c r="D4946" s="2420"/>
      <c r="E4946" s="2420"/>
      <c r="F4946" s="2420"/>
      <c r="G4946" s="2420"/>
      <c r="H4946" s="2420"/>
      <c r="I4946" s="2420"/>
      <c r="J4946" s="2420"/>
      <c r="K4946" s="3496"/>
      <c r="L4946" s="2420"/>
      <c r="M4946" s="468" t="s">
        <v>194</v>
      </c>
      <c r="N4946" s="468" t="s">
        <v>1372</v>
      </c>
      <c r="O4946" s="32"/>
      <c r="P4946" s="32"/>
      <c r="Q4946" s="32">
        <v>720</v>
      </c>
      <c r="R4946" s="32"/>
      <c r="S4946" s="32">
        <v>240</v>
      </c>
      <c r="T4946" s="32"/>
      <c r="U4946" s="32">
        <v>500</v>
      </c>
      <c r="V4946" s="32">
        <v>700</v>
      </c>
      <c r="W4946" s="32">
        <v>240</v>
      </c>
      <c r="X4946" s="32">
        <v>240</v>
      </c>
      <c r="Y4946" s="32">
        <v>500</v>
      </c>
      <c r="Z4946" s="32">
        <v>240</v>
      </c>
      <c r="AA4946" s="368">
        <f t="shared" si="830"/>
        <v>3380</v>
      </c>
    </row>
    <row r="4947" spans="1:27" x14ac:dyDescent="0.2">
      <c r="A4947" s="134"/>
      <c r="B4947" s="2720"/>
      <c r="C4947" s="3663"/>
      <c r="D4947" s="2420"/>
      <c r="E4947" s="2420"/>
      <c r="F4947" s="2420"/>
      <c r="G4947" s="2420"/>
      <c r="H4947" s="2420"/>
      <c r="I4947" s="2420"/>
      <c r="J4947" s="2420"/>
      <c r="K4947" s="3496"/>
      <c r="L4947" s="2420"/>
      <c r="M4947" s="468" t="s">
        <v>1452</v>
      </c>
      <c r="N4947" s="468" t="s">
        <v>1477</v>
      </c>
      <c r="O4947" s="32">
        <v>200</v>
      </c>
      <c r="P4947" s="32">
        <v>980</v>
      </c>
      <c r="Q4947" s="32">
        <v>520</v>
      </c>
      <c r="R4947" s="32">
        <v>980</v>
      </c>
      <c r="S4947" s="32">
        <v>260</v>
      </c>
      <c r="T4947" s="32"/>
      <c r="U4947" s="32">
        <v>500</v>
      </c>
      <c r="V4947" s="32">
        <v>500</v>
      </c>
      <c r="W4947" s="32">
        <v>500</v>
      </c>
      <c r="X4947" s="32">
        <v>500</v>
      </c>
      <c r="Y4947" s="32">
        <v>500</v>
      </c>
      <c r="Z4947" s="32">
        <v>260</v>
      </c>
      <c r="AA4947" s="368">
        <f t="shared" si="830"/>
        <v>5700</v>
      </c>
    </row>
    <row r="4948" spans="1:27" x14ac:dyDescent="0.2">
      <c r="A4948" s="134"/>
      <c r="B4948" s="2720"/>
      <c r="C4948" s="3663"/>
      <c r="D4948" s="2420"/>
      <c r="E4948" s="2420"/>
      <c r="F4948" s="2420"/>
      <c r="G4948" s="2420"/>
      <c r="H4948" s="2420"/>
      <c r="I4948" s="2420"/>
      <c r="J4948" s="2420"/>
      <c r="K4948" s="3496"/>
      <c r="L4948" s="2420"/>
      <c r="M4948" s="468" t="s">
        <v>180</v>
      </c>
      <c r="N4948" s="468" t="s">
        <v>1370</v>
      </c>
      <c r="O4948" s="32">
        <v>800</v>
      </c>
      <c r="P4948" s="32">
        <v>520</v>
      </c>
      <c r="Q4948" s="32">
        <v>1110</v>
      </c>
      <c r="R4948" s="32">
        <v>520</v>
      </c>
      <c r="S4948" s="32"/>
      <c r="T4948" s="32">
        <v>650</v>
      </c>
      <c r="U4948" s="32">
        <v>1000</v>
      </c>
      <c r="V4948" s="32">
        <v>1000</v>
      </c>
      <c r="W4948" s="32">
        <v>260</v>
      </c>
      <c r="X4948" s="32">
        <v>260</v>
      </c>
      <c r="Y4948" s="32">
        <v>1000</v>
      </c>
      <c r="Z4948" s="32"/>
      <c r="AA4948" s="368">
        <f t="shared" si="830"/>
        <v>7120</v>
      </c>
    </row>
    <row r="4949" spans="1:27" ht="22.5" x14ac:dyDescent="0.2">
      <c r="A4949" s="134"/>
      <c r="B4949" s="2720"/>
      <c r="C4949" s="3663"/>
      <c r="D4949" s="2420"/>
      <c r="E4949" s="2420"/>
      <c r="F4949" s="2420"/>
      <c r="G4949" s="2420"/>
      <c r="H4949" s="2420"/>
      <c r="I4949" s="2420"/>
      <c r="J4949" s="2420"/>
      <c r="K4949" s="3496"/>
      <c r="L4949" s="2420"/>
      <c r="M4949" s="307" t="s">
        <v>208</v>
      </c>
      <c r="N4949" s="307" t="s">
        <v>553</v>
      </c>
      <c r="O4949" s="32">
        <v>2500</v>
      </c>
      <c r="P4949" s="32">
        <v>2500</v>
      </c>
      <c r="Q4949" s="32">
        <v>2500</v>
      </c>
      <c r="R4949" s="32">
        <v>2500</v>
      </c>
      <c r="S4949" s="32">
        <v>2500</v>
      </c>
      <c r="T4949" s="32">
        <v>2500</v>
      </c>
      <c r="U4949" s="32">
        <v>2500</v>
      </c>
      <c r="V4949" s="32">
        <v>2500</v>
      </c>
      <c r="W4949" s="32">
        <v>2500</v>
      </c>
      <c r="X4949" s="32">
        <v>2500</v>
      </c>
      <c r="Y4949" s="32">
        <v>2500</v>
      </c>
      <c r="Z4949" s="32">
        <v>2500</v>
      </c>
      <c r="AA4949" s="368">
        <f t="shared" si="830"/>
        <v>30000</v>
      </c>
    </row>
    <row r="4950" spans="1:27" ht="22.5" x14ac:dyDescent="0.2">
      <c r="A4950" s="134"/>
      <c r="B4950" s="2720"/>
      <c r="C4950" s="3663"/>
      <c r="D4950" s="2420"/>
      <c r="E4950" s="2420"/>
      <c r="F4950" s="2420"/>
      <c r="G4950" s="2420"/>
      <c r="H4950" s="2420"/>
      <c r="I4950" s="2420"/>
      <c r="J4950" s="2420"/>
      <c r="K4950" s="3496"/>
      <c r="L4950" s="2420"/>
      <c r="M4950" s="307" t="s">
        <v>210</v>
      </c>
      <c r="N4950" s="307" t="s">
        <v>1371</v>
      </c>
      <c r="O4950" s="32">
        <v>100</v>
      </c>
      <c r="P4950" s="32">
        <v>100</v>
      </c>
      <c r="Q4950" s="32">
        <v>100</v>
      </c>
      <c r="R4950" s="32">
        <v>100</v>
      </c>
      <c r="S4950" s="32">
        <v>100</v>
      </c>
      <c r="T4950" s="32">
        <v>100</v>
      </c>
      <c r="U4950" s="32">
        <v>100</v>
      </c>
      <c r="V4950" s="32">
        <v>100</v>
      </c>
      <c r="W4950" s="32">
        <v>100</v>
      </c>
      <c r="X4950" s="32">
        <v>100</v>
      </c>
      <c r="Y4950" s="32">
        <v>100</v>
      </c>
      <c r="Z4950" s="32">
        <v>100</v>
      </c>
      <c r="AA4950" s="368">
        <f t="shared" si="830"/>
        <v>1200</v>
      </c>
    </row>
    <row r="4951" spans="1:27" x14ac:dyDescent="0.2">
      <c r="A4951" s="134"/>
      <c r="B4951" s="2762" t="s">
        <v>312</v>
      </c>
      <c r="C4951" s="3665" t="s">
        <v>1993</v>
      </c>
      <c r="D4951" s="3600" t="s">
        <v>2008</v>
      </c>
      <c r="E4951" s="3600"/>
      <c r="F4951" s="3600" t="s">
        <v>1996</v>
      </c>
      <c r="G4951" s="3600"/>
      <c r="H4951" s="3600" t="s">
        <v>235</v>
      </c>
      <c r="I4951" s="3600" t="s">
        <v>2007</v>
      </c>
      <c r="J4951" s="3055">
        <f>SUM(J4918:J4950)</f>
        <v>65</v>
      </c>
      <c r="K4951" s="3055">
        <f>SUM(K4918:K4950)</f>
        <v>121780</v>
      </c>
      <c r="L4951" s="3600" t="s">
        <v>1997</v>
      </c>
      <c r="M4951" s="3607" t="s">
        <v>51</v>
      </c>
      <c r="N4951" s="3607"/>
      <c r="O4951" s="490"/>
      <c r="P4951" s="490"/>
      <c r="Q4951" s="490"/>
      <c r="R4951" s="490"/>
      <c r="S4951" s="490"/>
      <c r="T4951" s="490"/>
      <c r="U4951" s="490"/>
      <c r="V4951" s="490"/>
      <c r="W4951" s="490"/>
      <c r="X4951" s="490"/>
      <c r="Y4951" s="490"/>
      <c r="Z4951" s="490"/>
      <c r="AA4951" s="2258">
        <f>SUM(O4951:Z4951)</f>
        <v>0</v>
      </c>
    </row>
    <row r="4952" spans="1:27" x14ac:dyDescent="0.2">
      <c r="A4952" s="134"/>
      <c r="B4952" s="2762"/>
      <c r="C4952" s="3665"/>
      <c r="D4952" s="3600"/>
      <c r="E4952" s="3600"/>
      <c r="F4952" s="3600"/>
      <c r="G4952" s="3600"/>
      <c r="H4952" s="3600"/>
      <c r="I4952" s="3600"/>
      <c r="J4952" s="3600"/>
      <c r="K4952" s="3055"/>
      <c r="L4952" s="3600"/>
      <c r="M4952" s="3607" t="s">
        <v>111</v>
      </c>
      <c r="N4952" s="3607"/>
      <c r="O4952" s="490">
        <f>SUM(O4953:O4959)</f>
        <v>12950</v>
      </c>
      <c r="P4952" s="490">
        <f t="shared" ref="P4952:X4952" si="831">SUM(P4953:P4959)</f>
        <v>15880</v>
      </c>
      <c r="Q4952" s="490">
        <f t="shared" si="831"/>
        <v>9300</v>
      </c>
      <c r="R4952" s="490">
        <f t="shared" si="831"/>
        <v>11520</v>
      </c>
      <c r="S4952" s="490">
        <f t="shared" si="831"/>
        <v>8000</v>
      </c>
      <c r="T4952" s="490">
        <f t="shared" si="831"/>
        <v>9580</v>
      </c>
      <c r="U4952" s="490">
        <f t="shared" si="831"/>
        <v>9800</v>
      </c>
      <c r="V4952" s="490">
        <f t="shared" si="831"/>
        <v>11050</v>
      </c>
      <c r="W4952" s="490">
        <f t="shared" si="831"/>
        <v>7950</v>
      </c>
      <c r="X4952" s="490">
        <f t="shared" si="831"/>
        <v>8800</v>
      </c>
      <c r="Y4952" s="490">
        <f>SUM(Y4953:Y4959)</f>
        <v>9500</v>
      </c>
      <c r="Z4952" s="490">
        <f>SUM(Z4953:Z4959)</f>
        <v>7450</v>
      </c>
      <c r="AA4952" s="371">
        <f>SUM(AA4953:AA4959)</f>
        <v>121780</v>
      </c>
    </row>
    <row r="4953" spans="1:27" ht="22.5" x14ac:dyDescent="0.2">
      <c r="A4953" s="134"/>
      <c r="B4953" s="2762"/>
      <c r="C4953" s="3665"/>
      <c r="D4953" s="3600"/>
      <c r="E4953" s="3600"/>
      <c r="F4953" s="3600"/>
      <c r="G4953" s="3600"/>
      <c r="H4953" s="3600"/>
      <c r="I4953" s="3600"/>
      <c r="J4953" s="3600"/>
      <c r="K4953" s="3055"/>
      <c r="L4953" s="3600"/>
      <c r="M4953" s="467" t="s">
        <v>184</v>
      </c>
      <c r="N4953" s="467" t="s">
        <v>1367</v>
      </c>
      <c r="O4953" s="174">
        <v>250</v>
      </c>
      <c r="P4953" s="174">
        <v>100</v>
      </c>
      <c r="Q4953" s="174">
        <v>300</v>
      </c>
      <c r="R4953" s="174">
        <v>100</v>
      </c>
      <c r="S4953" s="174">
        <v>100</v>
      </c>
      <c r="T4953" s="174">
        <v>300</v>
      </c>
      <c r="U4953" s="174">
        <v>100</v>
      </c>
      <c r="V4953" s="174">
        <v>250</v>
      </c>
      <c r="W4953" s="174">
        <v>300</v>
      </c>
      <c r="X4953" s="174">
        <v>100</v>
      </c>
      <c r="Y4953" s="174">
        <v>100</v>
      </c>
      <c r="Z4953" s="174">
        <v>300</v>
      </c>
      <c r="AA4953" s="371">
        <f t="shared" ref="AA4953:AA4959" si="832">SUM(O4953:Z4953)</f>
        <v>2300</v>
      </c>
    </row>
    <row r="4954" spans="1:27" ht="22.5" x14ac:dyDescent="0.2">
      <c r="A4954" s="134"/>
      <c r="B4954" s="2762"/>
      <c r="C4954" s="3665"/>
      <c r="D4954" s="3600"/>
      <c r="E4954" s="3600"/>
      <c r="F4954" s="3600"/>
      <c r="G4954" s="3600"/>
      <c r="H4954" s="3600"/>
      <c r="I4954" s="3600"/>
      <c r="J4954" s="3600"/>
      <c r="K4954" s="3055"/>
      <c r="L4954" s="3600"/>
      <c r="M4954" s="467" t="s">
        <v>194</v>
      </c>
      <c r="N4954" s="467" t="s">
        <v>1368</v>
      </c>
      <c r="O4954" s="174">
        <v>0</v>
      </c>
      <c r="P4954" s="174">
        <v>1920</v>
      </c>
      <c r="Q4954" s="174">
        <v>1200</v>
      </c>
      <c r="R4954" s="174">
        <v>720</v>
      </c>
      <c r="S4954" s="174">
        <v>960</v>
      </c>
      <c r="T4954" s="174">
        <v>960</v>
      </c>
      <c r="U4954" s="174">
        <v>500</v>
      </c>
      <c r="V4954" s="174">
        <v>700</v>
      </c>
      <c r="W4954" s="174">
        <v>720</v>
      </c>
      <c r="X4954" s="174">
        <v>240</v>
      </c>
      <c r="Y4954" s="174">
        <v>1220</v>
      </c>
      <c r="Z4954" s="174">
        <v>720</v>
      </c>
      <c r="AA4954" s="371">
        <f t="shared" si="832"/>
        <v>9860</v>
      </c>
    </row>
    <row r="4955" spans="1:27" x14ac:dyDescent="0.2">
      <c r="A4955" s="134"/>
      <c r="B4955" s="2762"/>
      <c r="C4955" s="3665"/>
      <c r="D4955" s="3600"/>
      <c r="E4955" s="3600"/>
      <c r="F4955" s="3600"/>
      <c r="G4955" s="3600"/>
      <c r="H4955" s="3600"/>
      <c r="I4955" s="3600"/>
      <c r="J4955" s="3600"/>
      <c r="K4955" s="3055"/>
      <c r="L4955" s="3600"/>
      <c r="M4955" s="467" t="s">
        <v>1452</v>
      </c>
      <c r="N4955" s="467" t="s">
        <v>1477</v>
      </c>
      <c r="O4955" s="174">
        <v>700</v>
      </c>
      <c r="P4955" s="174">
        <v>1960</v>
      </c>
      <c r="Q4955" s="174">
        <v>990</v>
      </c>
      <c r="R4955" s="174">
        <v>1480</v>
      </c>
      <c r="S4955" s="174">
        <v>760</v>
      </c>
      <c r="T4955" s="174">
        <v>470</v>
      </c>
      <c r="U4955" s="174">
        <v>1000</v>
      </c>
      <c r="V4955" s="174">
        <v>1480</v>
      </c>
      <c r="W4955" s="174">
        <v>970</v>
      </c>
      <c r="X4955" s="174">
        <v>1000</v>
      </c>
      <c r="Y4955" s="174">
        <v>1480</v>
      </c>
      <c r="Z4955" s="174">
        <v>730</v>
      </c>
      <c r="AA4955" s="371">
        <f t="shared" si="832"/>
        <v>13020</v>
      </c>
    </row>
    <row r="4956" spans="1:27" x14ac:dyDescent="0.2">
      <c r="A4956" s="134"/>
      <c r="B4956" s="2762"/>
      <c r="C4956" s="3665"/>
      <c r="D4956" s="3600"/>
      <c r="E4956" s="3600"/>
      <c r="F4956" s="3600"/>
      <c r="G4956" s="3600"/>
      <c r="H4956" s="3600"/>
      <c r="I4956" s="3600"/>
      <c r="J4956" s="3600"/>
      <c r="K4956" s="3055"/>
      <c r="L4956" s="3600"/>
      <c r="M4956" s="467" t="s">
        <v>180</v>
      </c>
      <c r="N4956" s="467" t="s">
        <v>1370</v>
      </c>
      <c r="O4956" s="174">
        <v>800</v>
      </c>
      <c r="P4956" s="174">
        <v>1000</v>
      </c>
      <c r="Q4956" s="174">
        <v>1110</v>
      </c>
      <c r="R4956" s="174">
        <v>820</v>
      </c>
      <c r="S4956" s="174">
        <v>480</v>
      </c>
      <c r="T4956" s="174">
        <v>950</v>
      </c>
      <c r="U4956" s="174">
        <v>1000</v>
      </c>
      <c r="V4956" s="174">
        <v>1720</v>
      </c>
      <c r="W4956" s="174">
        <v>260</v>
      </c>
      <c r="X4956" s="174">
        <v>260</v>
      </c>
      <c r="Y4956" s="174">
        <v>1000</v>
      </c>
      <c r="Z4956" s="174">
        <v>0</v>
      </c>
      <c r="AA4956" s="371">
        <f t="shared" si="832"/>
        <v>9400</v>
      </c>
    </row>
    <row r="4957" spans="1:27" x14ac:dyDescent="0.2">
      <c r="A4957" s="134"/>
      <c r="B4957" s="2762"/>
      <c r="C4957" s="3665"/>
      <c r="D4957" s="3600"/>
      <c r="E4957" s="3600"/>
      <c r="F4957" s="3600"/>
      <c r="G4957" s="3600"/>
      <c r="H4957" s="3600"/>
      <c r="I4957" s="3600"/>
      <c r="J4957" s="3600"/>
      <c r="K4957" s="3055"/>
      <c r="L4957" s="3600"/>
      <c r="M4957" s="558" t="s">
        <v>1454</v>
      </c>
      <c r="N4957" s="558" t="s">
        <v>207</v>
      </c>
      <c r="O4957" s="174">
        <v>5500</v>
      </c>
      <c r="P4957" s="174">
        <v>5200</v>
      </c>
      <c r="Q4957" s="174">
        <v>0</v>
      </c>
      <c r="R4957" s="174">
        <v>2700</v>
      </c>
      <c r="S4957" s="174">
        <v>0</v>
      </c>
      <c r="T4957" s="174">
        <v>1200</v>
      </c>
      <c r="U4957" s="174">
        <v>1500</v>
      </c>
      <c r="V4957" s="174">
        <v>1200</v>
      </c>
      <c r="W4957" s="174">
        <v>0</v>
      </c>
      <c r="X4957" s="174">
        <v>1500</v>
      </c>
      <c r="Y4957" s="174">
        <v>0</v>
      </c>
      <c r="Z4957" s="174">
        <v>0</v>
      </c>
      <c r="AA4957" s="371">
        <f t="shared" si="832"/>
        <v>18800</v>
      </c>
    </row>
    <row r="4958" spans="1:27" ht="22.5" x14ac:dyDescent="0.2">
      <c r="A4958" s="134"/>
      <c r="B4958" s="2762"/>
      <c r="C4958" s="3665"/>
      <c r="D4958" s="3600"/>
      <c r="E4958" s="3600"/>
      <c r="F4958" s="3600"/>
      <c r="G4958" s="3600"/>
      <c r="H4958" s="3600"/>
      <c r="I4958" s="3600"/>
      <c r="J4958" s="3600"/>
      <c r="K4958" s="3055"/>
      <c r="L4958" s="3600"/>
      <c r="M4958" s="558" t="s">
        <v>208</v>
      </c>
      <c r="N4958" s="558" t="s">
        <v>553</v>
      </c>
      <c r="O4958" s="174">
        <v>5500</v>
      </c>
      <c r="P4958" s="174">
        <v>5500</v>
      </c>
      <c r="Q4958" s="174">
        <v>5500</v>
      </c>
      <c r="R4958" s="174">
        <v>5500</v>
      </c>
      <c r="S4958" s="174">
        <v>5500</v>
      </c>
      <c r="T4958" s="174">
        <v>5500</v>
      </c>
      <c r="U4958" s="174">
        <v>5500</v>
      </c>
      <c r="V4958" s="174">
        <v>5500</v>
      </c>
      <c r="W4958" s="174">
        <v>5500</v>
      </c>
      <c r="X4958" s="174">
        <v>5500</v>
      </c>
      <c r="Y4958" s="174">
        <v>5500</v>
      </c>
      <c r="Z4958" s="174">
        <v>5500</v>
      </c>
      <c r="AA4958" s="371">
        <f t="shared" si="832"/>
        <v>66000</v>
      </c>
    </row>
    <row r="4959" spans="1:27" ht="22.5" x14ac:dyDescent="0.2">
      <c r="A4959" s="134"/>
      <c r="B4959" s="2762"/>
      <c r="C4959" s="3665"/>
      <c r="D4959" s="3600"/>
      <c r="E4959" s="3600"/>
      <c r="F4959" s="3600"/>
      <c r="G4959" s="3600"/>
      <c r="H4959" s="3600"/>
      <c r="I4959" s="3600"/>
      <c r="J4959" s="3600"/>
      <c r="K4959" s="3055"/>
      <c r="L4959" s="3600"/>
      <c r="M4959" s="558" t="s">
        <v>210</v>
      </c>
      <c r="N4959" s="558" t="s">
        <v>1371</v>
      </c>
      <c r="O4959" s="174">
        <v>200</v>
      </c>
      <c r="P4959" s="174">
        <v>200</v>
      </c>
      <c r="Q4959" s="174">
        <v>200</v>
      </c>
      <c r="R4959" s="174">
        <v>200</v>
      </c>
      <c r="S4959" s="174">
        <v>200</v>
      </c>
      <c r="T4959" s="174">
        <v>200</v>
      </c>
      <c r="U4959" s="174">
        <v>200</v>
      </c>
      <c r="V4959" s="174">
        <v>200</v>
      </c>
      <c r="W4959" s="174">
        <v>200</v>
      </c>
      <c r="X4959" s="174">
        <v>200</v>
      </c>
      <c r="Y4959" s="174">
        <v>200</v>
      </c>
      <c r="Z4959" s="174">
        <v>200</v>
      </c>
      <c r="AA4959" s="371">
        <f t="shared" si="832"/>
        <v>2400</v>
      </c>
    </row>
    <row r="4960" spans="1:27" x14ac:dyDescent="0.2">
      <c r="A4960" s="134"/>
      <c r="B4960" s="111"/>
      <c r="C4960" s="38"/>
      <c r="D4960" s="38"/>
      <c r="E4960" s="38"/>
      <c r="F4960" s="38"/>
      <c r="G4960" s="38"/>
      <c r="H4960" s="38"/>
      <c r="I4960" s="38"/>
      <c r="J4960" s="38"/>
      <c r="K4960" s="118"/>
      <c r="L4960" s="38"/>
      <c r="M4960" s="38"/>
      <c r="N4960" s="38"/>
      <c r="O4960" s="38"/>
      <c r="P4960" s="38"/>
      <c r="Q4960" s="38"/>
      <c r="R4960" s="38"/>
      <c r="S4960" s="38"/>
      <c r="T4960" s="38"/>
      <c r="U4960" s="38"/>
      <c r="V4960" s="38"/>
      <c r="W4960" s="38"/>
      <c r="X4960" s="38"/>
      <c r="Y4960" s="38"/>
      <c r="Z4960" s="38"/>
      <c r="AA4960" s="499"/>
    </row>
    <row r="4961" spans="1:27" x14ac:dyDescent="0.2">
      <c r="A4961" s="134"/>
      <c r="B4961" s="3607" t="s">
        <v>6</v>
      </c>
      <c r="C4961" s="3607" t="s">
        <v>2009</v>
      </c>
      <c r="D4961" s="3607"/>
      <c r="E4961" s="3607"/>
      <c r="F4961" s="3607"/>
      <c r="G4961" s="3607"/>
      <c r="H4961" s="3607"/>
      <c r="I4961" s="3607"/>
      <c r="J4961" s="3607"/>
      <c r="K4961" s="3607"/>
      <c r="L4961" s="3607"/>
      <c r="M4961" s="3607"/>
      <c r="N4961" s="3607"/>
      <c r="O4961" s="3607"/>
      <c r="P4961" s="3607"/>
      <c r="Q4961" s="3607"/>
      <c r="R4961" s="3607"/>
      <c r="S4961" s="3607"/>
      <c r="T4961" s="3607"/>
      <c r="U4961" s="3607"/>
      <c r="V4961" s="3607"/>
      <c r="W4961" s="3607"/>
      <c r="X4961" s="3607"/>
      <c r="Y4961" s="3607"/>
      <c r="Z4961" s="3607"/>
      <c r="AA4961" s="3607"/>
    </row>
    <row r="4962" spans="1:27" x14ac:dyDescent="0.2">
      <c r="A4962" s="134"/>
      <c r="B4962" s="3607"/>
      <c r="C4962" s="3607" t="s">
        <v>1510</v>
      </c>
      <c r="D4962" s="3607"/>
      <c r="E4962" s="3607"/>
      <c r="F4962" s="3607"/>
      <c r="G4962" s="3607"/>
      <c r="H4962" s="3607"/>
      <c r="I4962" s="3607"/>
      <c r="J4962" s="3607"/>
      <c r="K4962" s="3607"/>
      <c r="L4962" s="3607"/>
      <c r="M4962" s="3607"/>
      <c r="N4962" s="3607"/>
      <c r="O4962" s="3607"/>
      <c r="P4962" s="3607"/>
      <c r="Q4962" s="3607"/>
      <c r="R4962" s="3607"/>
      <c r="S4962" s="3607"/>
      <c r="T4962" s="3607"/>
      <c r="U4962" s="3607"/>
      <c r="V4962" s="3607"/>
      <c r="W4962" s="3607"/>
      <c r="X4962" s="3607"/>
      <c r="Y4962" s="3607"/>
      <c r="Z4962" s="3607"/>
      <c r="AA4962" s="3607"/>
    </row>
    <row r="4963" spans="1:27" ht="23.25" customHeight="1" x14ac:dyDescent="0.2">
      <c r="A4963" s="134"/>
      <c r="B4963" s="2110" t="s">
        <v>8</v>
      </c>
      <c r="C4963" s="2111" t="s">
        <v>3713</v>
      </c>
      <c r="D4963" s="2112"/>
      <c r="E4963" s="557"/>
      <c r="F4963" s="1261"/>
      <c r="G4963" s="343"/>
      <c r="H4963" s="343"/>
      <c r="I4963" s="343"/>
      <c r="J4963" s="343"/>
      <c r="K4963" s="343"/>
      <c r="L4963" s="343"/>
      <c r="M4963" s="343"/>
      <c r="N4963" s="343"/>
      <c r="O4963" s="343"/>
      <c r="P4963" s="343"/>
      <c r="Q4963" s="343"/>
      <c r="R4963" s="343"/>
      <c r="S4963" s="343"/>
      <c r="T4963" s="343"/>
      <c r="U4963" s="343"/>
      <c r="V4963" s="343"/>
      <c r="W4963" s="1265"/>
      <c r="X4963" s="1265"/>
      <c r="Y4963" s="1265"/>
      <c r="Z4963" s="1265"/>
      <c r="AA4963" s="1263"/>
    </row>
    <row r="4964" spans="1:27" ht="22.5" x14ac:dyDescent="0.2">
      <c r="A4964" s="134"/>
      <c r="B4964" s="1010" t="s">
        <v>11</v>
      </c>
      <c r="C4964" s="963" t="s">
        <v>12</v>
      </c>
      <c r="D4964" s="963"/>
      <c r="E4964" s="963"/>
      <c r="F4964" s="961"/>
      <c r="G4964" s="961"/>
      <c r="H4964" s="961"/>
      <c r="I4964" s="961"/>
      <c r="J4964" s="961"/>
      <c r="K4964" s="961"/>
      <c r="L4964" s="961"/>
      <c r="M4964" s="961"/>
      <c r="N4964" s="961"/>
      <c r="O4964" s="961"/>
      <c r="P4964" s="961"/>
      <c r="Q4964" s="1264"/>
      <c r="R4964" s="961"/>
      <c r="S4964" s="961"/>
      <c r="T4964" s="961"/>
      <c r="U4964" s="961"/>
      <c r="V4964" s="961"/>
      <c r="W4964" s="961"/>
      <c r="X4964" s="961"/>
      <c r="Y4964" s="961"/>
      <c r="Z4964" s="961"/>
      <c r="AA4964" s="962"/>
    </row>
    <row r="4965" spans="1:27" x14ac:dyDescent="0.2">
      <c r="A4965" s="134"/>
      <c r="B4965" s="2913" t="s">
        <v>13</v>
      </c>
      <c r="C4965" s="3664">
        <v>9002</v>
      </c>
      <c r="D4965" s="2840" t="s">
        <v>14</v>
      </c>
      <c r="E4965" s="2840"/>
      <c r="F4965" s="2840"/>
      <c r="G4965" s="2840"/>
      <c r="H4965" s="2840"/>
      <c r="I4965" s="2840"/>
      <c r="J4965" s="2840"/>
      <c r="K4965" s="2840"/>
      <c r="L4965" s="2840"/>
      <c r="M4965" s="2840"/>
      <c r="N4965" s="2840"/>
      <c r="O4965" s="2840"/>
      <c r="P4965" s="2840"/>
      <c r="Q4965" s="38"/>
      <c r="R4965" s="38"/>
      <c r="S4965" s="38"/>
      <c r="T4965" s="38"/>
      <c r="U4965" s="38"/>
      <c r="V4965" s="2922" t="s">
        <v>15</v>
      </c>
      <c r="W4965" s="2922"/>
      <c r="X4965" s="2922"/>
      <c r="Y4965" s="2922"/>
      <c r="Z4965" s="2922" t="s">
        <v>16</v>
      </c>
      <c r="AA4965" s="2922"/>
    </row>
    <row r="4966" spans="1:27" x14ac:dyDescent="0.2">
      <c r="A4966" s="134"/>
      <c r="B4966" s="2913"/>
      <c r="C4966" s="3139"/>
      <c r="D4966" s="2840"/>
      <c r="E4966" s="2840"/>
      <c r="F4966" s="2840"/>
      <c r="G4966" s="2840"/>
      <c r="H4966" s="2840"/>
      <c r="I4966" s="2840"/>
      <c r="J4966" s="2840"/>
      <c r="K4966" s="2840"/>
      <c r="L4966" s="2840"/>
      <c r="M4966" s="2840"/>
      <c r="N4966" s="2840"/>
      <c r="O4966" s="2840"/>
      <c r="P4966" s="2840"/>
      <c r="Q4966" s="47"/>
      <c r="R4966" s="38"/>
      <c r="S4966" s="38"/>
      <c r="T4966" s="38"/>
      <c r="U4966" s="38"/>
      <c r="V4966" s="2420" t="s">
        <v>19</v>
      </c>
      <c r="W4966" s="2420"/>
      <c r="X4966" s="2420"/>
      <c r="Y4966" s="2420"/>
      <c r="Z4966" s="2922"/>
      <c r="AA4966" s="2922"/>
    </row>
    <row r="4967" spans="1:27" x14ac:dyDescent="0.2">
      <c r="A4967" s="134"/>
      <c r="B4967" s="2913" t="s">
        <v>18</v>
      </c>
      <c r="C4967" s="3139">
        <v>3.9999989999999999</v>
      </c>
      <c r="D4967" s="3139" t="s">
        <v>163</v>
      </c>
      <c r="E4967" s="3139"/>
      <c r="F4967" s="3139"/>
      <c r="G4967" s="3139"/>
      <c r="H4967" s="3139"/>
      <c r="I4967" s="3139"/>
      <c r="J4967" s="3139"/>
      <c r="K4967" s="3139"/>
      <c r="L4967" s="3139"/>
      <c r="M4967" s="3139"/>
      <c r="N4967" s="3139"/>
      <c r="O4967" s="3139"/>
      <c r="P4967" s="3139"/>
      <c r="Q4967" s="465"/>
      <c r="R4967" s="465"/>
      <c r="S4967" s="465"/>
      <c r="T4967" s="465"/>
      <c r="U4967" s="465"/>
      <c r="V4967" s="2922" t="s">
        <v>15</v>
      </c>
      <c r="W4967" s="2922"/>
      <c r="X4967" s="2922"/>
      <c r="Y4967" s="2922"/>
      <c r="Z4967" s="2922" t="s">
        <v>16</v>
      </c>
      <c r="AA4967" s="2922"/>
    </row>
    <row r="4968" spans="1:27" x14ac:dyDescent="0.2">
      <c r="A4968" s="134"/>
      <c r="B4968" s="2913"/>
      <c r="C4968" s="3139"/>
      <c r="D4968" s="3139"/>
      <c r="E4968" s="3139"/>
      <c r="F4968" s="3139"/>
      <c r="G4968" s="3139"/>
      <c r="H4968" s="3139"/>
      <c r="I4968" s="3139"/>
      <c r="J4968" s="3139"/>
      <c r="K4968" s="3139"/>
      <c r="L4968" s="3139"/>
      <c r="M4968" s="3139"/>
      <c r="N4968" s="3139"/>
      <c r="O4968" s="3139"/>
      <c r="P4968" s="3139"/>
      <c r="Q4968" s="465"/>
      <c r="R4968" s="465"/>
      <c r="S4968" s="465"/>
      <c r="T4968" s="465"/>
      <c r="U4968" s="465"/>
      <c r="V4968" s="2420" t="s">
        <v>19</v>
      </c>
      <c r="W4968" s="2420"/>
      <c r="X4968" s="2420"/>
      <c r="Y4968" s="2420"/>
      <c r="Z4968" s="2922"/>
      <c r="AA4968" s="2922"/>
    </row>
    <row r="4969" spans="1:27" x14ac:dyDescent="0.2">
      <c r="A4969" s="134"/>
      <c r="B4969" s="3516" t="s">
        <v>20</v>
      </c>
      <c r="C4969" s="2847" t="s">
        <v>21</v>
      </c>
      <c r="D4969" s="2847" t="s">
        <v>22</v>
      </c>
      <c r="E4969" s="2847" t="s">
        <v>23</v>
      </c>
      <c r="F4969" s="2847" t="s">
        <v>24</v>
      </c>
      <c r="G4969" s="2847" t="s">
        <v>25</v>
      </c>
      <c r="H4969" s="2847" t="s">
        <v>26</v>
      </c>
      <c r="I4969" s="2847" t="s">
        <v>27</v>
      </c>
      <c r="J4969" s="2847" t="s">
        <v>28</v>
      </c>
      <c r="K4969" s="2847"/>
      <c r="L4969" s="2847" t="s">
        <v>29</v>
      </c>
      <c r="M4969" s="2847" t="s">
        <v>30</v>
      </c>
      <c r="N4969" s="2847"/>
      <c r="O4969" s="2990" t="s">
        <v>31</v>
      </c>
      <c r="P4969" s="2991"/>
      <c r="Q4969" s="2991"/>
      <c r="R4969" s="2991"/>
      <c r="S4969" s="2991"/>
      <c r="T4969" s="2991"/>
      <c r="U4969" s="2991"/>
      <c r="V4969" s="2991"/>
      <c r="W4969" s="2991"/>
      <c r="X4969" s="2991"/>
      <c r="Y4969" s="2991"/>
      <c r="Z4969" s="2992"/>
      <c r="AA4969" s="2916" t="s">
        <v>32</v>
      </c>
    </row>
    <row r="4970" spans="1:27" x14ac:dyDescent="0.2">
      <c r="A4970" s="134"/>
      <c r="B4970" s="3516"/>
      <c r="C4970" s="2847"/>
      <c r="D4970" s="2847"/>
      <c r="E4970" s="2847"/>
      <c r="F4970" s="2847"/>
      <c r="G4970" s="2847"/>
      <c r="H4970" s="2847"/>
      <c r="I4970" s="2847"/>
      <c r="J4970" s="455" t="s">
        <v>33</v>
      </c>
      <c r="K4970" s="455" t="s">
        <v>34</v>
      </c>
      <c r="L4970" s="2847"/>
      <c r="M4970" s="2847"/>
      <c r="N4970" s="2847"/>
      <c r="O4970" s="471" t="s">
        <v>35</v>
      </c>
      <c r="P4970" s="471" t="s">
        <v>36</v>
      </c>
      <c r="Q4970" s="471" t="s">
        <v>37</v>
      </c>
      <c r="R4970" s="471" t="s">
        <v>38</v>
      </c>
      <c r="S4970" s="471" t="s">
        <v>39</v>
      </c>
      <c r="T4970" s="471" t="s">
        <v>40</v>
      </c>
      <c r="U4970" s="471" t="s">
        <v>41</v>
      </c>
      <c r="V4970" s="471" t="s">
        <v>42</v>
      </c>
      <c r="W4970" s="471" t="s">
        <v>43</v>
      </c>
      <c r="X4970" s="471" t="s">
        <v>44</v>
      </c>
      <c r="Y4970" s="471" t="s">
        <v>45</v>
      </c>
      <c r="Z4970" s="471" t="s">
        <v>46</v>
      </c>
      <c r="AA4970" s="2916"/>
    </row>
    <row r="4971" spans="1:27" x14ac:dyDescent="0.2">
      <c r="A4971" s="134"/>
      <c r="B4971" s="3658">
        <v>5000003</v>
      </c>
      <c r="C4971" s="3670" t="s">
        <v>2010</v>
      </c>
      <c r="D4971" s="3660"/>
      <c r="E4971" s="3671">
        <v>19</v>
      </c>
      <c r="F4971" s="3672"/>
      <c r="G4971" s="3672"/>
      <c r="H4971" s="3660" t="s">
        <v>1213</v>
      </c>
      <c r="I4971" s="3660" t="s">
        <v>2011</v>
      </c>
      <c r="J4971" s="2973">
        <v>24</v>
      </c>
      <c r="K4971" s="3666">
        <f>+AA4972</f>
        <v>26420</v>
      </c>
      <c r="L4971" s="3660" t="s">
        <v>2012</v>
      </c>
      <c r="M4971" s="2999" t="s">
        <v>51</v>
      </c>
      <c r="N4971" s="2999"/>
      <c r="O4971" s="490">
        <v>2</v>
      </c>
      <c r="P4971" s="490">
        <v>2</v>
      </c>
      <c r="Q4971" s="490">
        <v>2</v>
      </c>
      <c r="R4971" s="490">
        <v>2</v>
      </c>
      <c r="S4971" s="490">
        <v>2</v>
      </c>
      <c r="T4971" s="490">
        <v>3</v>
      </c>
      <c r="U4971" s="490">
        <v>2</v>
      </c>
      <c r="V4971" s="490">
        <v>2</v>
      </c>
      <c r="W4971" s="490">
        <v>2</v>
      </c>
      <c r="X4971" s="490">
        <v>2</v>
      </c>
      <c r="Y4971" s="490">
        <v>2</v>
      </c>
      <c r="Z4971" s="490">
        <v>1</v>
      </c>
      <c r="AA4971" s="373">
        <f>SUM(O4971:Z4971)</f>
        <v>24</v>
      </c>
    </row>
    <row r="4972" spans="1:27" x14ac:dyDescent="0.2">
      <c r="A4972" s="134"/>
      <c r="B4972" s="3658"/>
      <c r="C4972" s="3670"/>
      <c r="D4972" s="3660"/>
      <c r="E4972" s="3671"/>
      <c r="F4972" s="3672"/>
      <c r="G4972" s="3672"/>
      <c r="H4972" s="3660"/>
      <c r="I4972" s="3660"/>
      <c r="J4972" s="2973"/>
      <c r="K4972" s="3666"/>
      <c r="L4972" s="3660"/>
      <c r="M4972" s="2999" t="s">
        <v>111</v>
      </c>
      <c r="N4972" s="2999"/>
      <c r="O4972" s="483">
        <f t="shared" ref="O4972:Z4972" si="833">+SUM(O4973:O4979)</f>
        <v>2200</v>
      </c>
      <c r="P4972" s="490">
        <f t="shared" si="833"/>
        <v>2200</v>
      </c>
      <c r="Q4972" s="490">
        <f t="shared" si="833"/>
        <v>2200</v>
      </c>
      <c r="R4972" s="490">
        <f t="shared" si="833"/>
        <v>2200</v>
      </c>
      <c r="S4972" s="490">
        <f t="shared" si="833"/>
        <v>2200</v>
      </c>
      <c r="T4972" s="490">
        <f t="shared" si="833"/>
        <v>2241</v>
      </c>
      <c r="U4972" s="490">
        <f t="shared" si="833"/>
        <v>2200</v>
      </c>
      <c r="V4972" s="490">
        <f t="shared" si="833"/>
        <v>2200</v>
      </c>
      <c r="W4972" s="490">
        <f t="shared" si="833"/>
        <v>2200</v>
      </c>
      <c r="X4972" s="490">
        <f t="shared" si="833"/>
        <v>2201</v>
      </c>
      <c r="Y4972" s="490">
        <f t="shared" si="833"/>
        <v>2201</v>
      </c>
      <c r="Z4972" s="490">
        <f t="shared" si="833"/>
        <v>2177</v>
      </c>
      <c r="AA4972" s="1441">
        <f>SUM(O4972:Z4972)</f>
        <v>26420</v>
      </c>
    </row>
    <row r="4973" spans="1:27" ht="33.75" x14ac:dyDescent="0.2">
      <c r="A4973" s="134"/>
      <c r="B4973" s="3658"/>
      <c r="C4973" s="3670"/>
      <c r="D4973" s="3660"/>
      <c r="E4973" s="3671"/>
      <c r="F4973" s="3672"/>
      <c r="G4973" s="3672"/>
      <c r="H4973" s="3660"/>
      <c r="I4973" s="3660"/>
      <c r="J4973" s="2973"/>
      <c r="K4973" s="3666"/>
      <c r="L4973" s="3660"/>
      <c r="M4973" s="469" t="s">
        <v>178</v>
      </c>
      <c r="N4973" s="458" t="s">
        <v>1971</v>
      </c>
      <c r="O4973" s="488">
        <v>19</v>
      </c>
      <c r="P4973" s="488">
        <v>19</v>
      </c>
      <c r="Q4973" s="488">
        <v>19</v>
      </c>
      <c r="R4973" s="488">
        <v>19</v>
      </c>
      <c r="S4973" s="488">
        <v>19</v>
      </c>
      <c r="T4973" s="488">
        <v>30</v>
      </c>
      <c r="U4973" s="488">
        <v>19</v>
      </c>
      <c r="V4973" s="488">
        <v>19</v>
      </c>
      <c r="W4973" s="488">
        <v>19</v>
      </c>
      <c r="X4973" s="488">
        <v>19</v>
      </c>
      <c r="Y4973" s="488">
        <v>19</v>
      </c>
      <c r="Z4973" s="488">
        <v>10</v>
      </c>
      <c r="AA4973" s="2259">
        <f>SUM(O4973:Z4973)</f>
        <v>230</v>
      </c>
    </row>
    <row r="4974" spans="1:27" x14ac:dyDescent="0.2">
      <c r="A4974" s="134"/>
      <c r="B4974" s="3658"/>
      <c r="C4974" s="3670"/>
      <c r="D4974" s="3660"/>
      <c r="E4974" s="3671"/>
      <c r="F4974" s="3672"/>
      <c r="G4974" s="3672"/>
      <c r="H4974" s="3660"/>
      <c r="I4974" s="3660"/>
      <c r="J4974" s="2973"/>
      <c r="K4974" s="3666"/>
      <c r="L4974" s="3660"/>
      <c r="M4974" s="469" t="s">
        <v>180</v>
      </c>
      <c r="N4974" s="458" t="s">
        <v>1370</v>
      </c>
      <c r="O4974" s="488">
        <v>55</v>
      </c>
      <c r="P4974" s="488">
        <v>55</v>
      </c>
      <c r="Q4974" s="488">
        <v>55</v>
      </c>
      <c r="R4974" s="488">
        <v>55</v>
      </c>
      <c r="S4974" s="488">
        <v>55</v>
      </c>
      <c r="T4974" s="488">
        <v>85</v>
      </c>
      <c r="U4974" s="488">
        <v>55</v>
      </c>
      <c r="V4974" s="488">
        <v>55</v>
      </c>
      <c r="W4974" s="488">
        <v>55</v>
      </c>
      <c r="X4974" s="488">
        <v>55</v>
      </c>
      <c r="Y4974" s="488">
        <v>55</v>
      </c>
      <c r="Z4974" s="488">
        <v>40</v>
      </c>
      <c r="AA4974" s="2259">
        <f t="shared" ref="AA4974:AA4979" si="834">SUM(O4974:Z4974)</f>
        <v>675</v>
      </c>
    </row>
    <row r="4975" spans="1:27" ht="22.5" x14ac:dyDescent="0.2">
      <c r="A4975" s="134"/>
      <c r="B4975" s="3658"/>
      <c r="C4975" s="3670"/>
      <c r="D4975" s="3660"/>
      <c r="E4975" s="3671"/>
      <c r="F4975" s="3672"/>
      <c r="G4975" s="3672"/>
      <c r="H4975" s="3660"/>
      <c r="I4975" s="3660"/>
      <c r="J4975" s="2973"/>
      <c r="K4975" s="3666"/>
      <c r="L4975" s="3660"/>
      <c r="M4975" s="469" t="s">
        <v>215</v>
      </c>
      <c r="N4975" s="458" t="s">
        <v>1105</v>
      </c>
      <c r="O4975" s="488">
        <v>21</v>
      </c>
      <c r="P4975" s="488">
        <v>21</v>
      </c>
      <c r="Q4975" s="488">
        <v>21</v>
      </c>
      <c r="R4975" s="488">
        <v>21</v>
      </c>
      <c r="S4975" s="488">
        <v>21</v>
      </c>
      <c r="T4975" s="488">
        <v>21</v>
      </c>
      <c r="U4975" s="488">
        <v>21</v>
      </c>
      <c r="V4975" s="488">
        <v>21</v>
      </c>
      <c r="W4975" s="488">
        <v>21</v>
      </c>
      <c r="X4975" s="488">
        <v>22</v>
      </c>
      <c r="Y4975" s="488">
        <v>22</v>
      </c>
      <c r="Z4975" s="488">
        <v>22</v>
      </c>
      <c r="AA4975" s="2259">
        <f t="shared" si="834"/>
        <v>255</v>
      </c>
    </row>
    <row r="4976" spans="1:27" ht="22.5" x14ac:dyDescent="0.2">
      <c r="A4976" s="134"/>
      <c r="B4976" s="3658"/>
      <c r="C4976" s="3670"/>
      <c r="D4976" s="3660"/>
      <c r="E4976" s="3671"/>
      <c r="F4976" s="3672"/>
      <c r="G4976" s="3672"/>
      <c r="H4976" s="3660"/>
      <c r="I4976" s="3660"/>
      <c r="J4976" s="2973"/>
      <c r="K4976" s="3666"/>
      <c r="L4976" s="3660"/>
      <c r="M4976" s="345" t="s">
        <v>184</v>
      </c>
      <c r="N4976" s="458" t="s">
        <v>1367</v>
      </c>
      <c r="O4976" s="488">
        <v>150</v>
      </c>
      <c r="P4976" s="488">
        <v>150</v>
      </c>
      <c r="Q4976" s="488">
        <v>150</v>
      </c>
      <c r="R4976" s="488">
        <v>150</v>
      </c>
      <c r="S4976" s="488">
        <v>150</v>
      </c>
      <c r="T4976" s="488">
        <v>150</v>
      </c>
      <c r="U4976" s="488">
        <v>150</v>
      </c>
      <c r="V4976" s="488">
        <v>150</v>
      </c>
      <c r="W4976" s="488">
        <v>150</v>
      </c>
      <c r="X4976" s="488">
        <v>150</v>
      </c>
      <c r="Y4976" s="488">
        <v>150</v>
      </c>
      <c r="Z4976" s="488">
        <v>150</v>
      </c>
      <c r="AA4976" s="2259">
        <f t="shared" si="834"/>
        <v>1800</v>
      </c>
    </row>
    <row r="4977" spans="1:27" x14ac:dyDescent="0.2">
      <c r="A4977" s="134"/>
      <c r="B4977" s="3658"/>
      <c r="C4977" s="3670"/>
      <c r="D4977" s="3660"/>
      <c r="E4977" s="3671"/>
      <c r="F4977" s="3672"/>
      <c r="G4977" s="3672"/>
      <c r="H4977" s="3660"/>
      <c r="I4977" s="3660"/>
      <c r="J4977" s="2973"/>
      <c r="K4977" s="3666"/>
      <c r="L4977" s="3660"/>
      <c r="M4977" s="345" t="s">
        <v>217</v>
      </c>
      <c r="N4977" s="507" t="s">
        <v>2013</v>
      </c>
      <c r="O4977" s="488">
        <v>5</v>
      </c>
      <c r="P4977" s="488">
        <v>5</v>
      </c>
      <c r="Q4977" s="488">
        <v>5</v>
      </c>
      <c r="R4977" s="488">
        <v>5</v>
      </c>
      <c r="S4977" s="488">
        <v>5</v>
      </c>
      <c r="T4977" s="488">
        <v>5</v>
      </c>
      <c r="U4977" s="488">
        <v>5</v>
      </c>
      <c r="V4977" s="488">
        <v>5</v>
      </c>
      <c r="W4977" s="488">
        <v>5</v>
      </c>
      <c r="X4977" s="488">
        <v>5</v>
      </c>
      <c r="Y4977" s="488">
        <v>5</v>
      </c>
      <c r="Z4977" s="488">
        <v>5</v>
      </c>
      <c r="AA4977" s="2259">
        <f t="shared" si="834"/>
        <v>60</v>
      </c>
    </row>
    <row r="4978" spans="1:27" x14ac:dyDescent="0.2">
      <c r="A4978" s="134"/>
      <c r="B4978" s="3658"/>
      <c r="C4978" s="3670"/>
      <c r="D4978" s="3660"/>
      <c r="E4978" s="3671"/>
      <c r="F4978" s="3672"/>
      <c r="G4978" s="3672"/>
      <c r="H4978" s="3660"/>
      <c r="I4978" s="3660"/>
      <c r="J4978" s="2973"/>
      <c r="K4978" s="3666"/>
      <c r="L4978" s="3660"/>
      <c r="M4978" s="560" t="s">
        <v>190</v>
      </c>
      <c r="N4978" s="38" t="s">
        <v>191</v>
      </c>
      <c r="O4978" s="488"/>
      <c r="P4978" s="488"/>
      <c r="Q4978" s="488"/>
      <c r="R4978" s="488"/>
      <c r="S4978" s="488"/>
      <c r="T4978" s="488"/>
      <c r="U4978" s="488"/>
      <c r="V4978" s="488"/>
      <c r="W4978" s="488"/>
      <c r="X4978" s="488"/>
      <c r="Y4978" s="488"/>
      <c r="Z4978" s="488"/>
      <c r="AA4978" s="2259">
        <f t="shared" si="834"/>
        <v>0</v>
      </c>
    </row>
    <row r="4979" spans="1:27" ht="33.75" x14ac:dyDescent="0.2">
      <c r="A4979" s="134"/>
      <c r="B4979" s="3658"/>
      <c r="C4979" s="3670"/>
      <c r="D4979" s="3660"/>
      <c r="E4979" s="3671"/>
      <c r="F4979" s="3672"/>
      <c r="G4979" s="3672"/>
      <c r="H4979" s="3660"/>
      <c r="I4979" s="3660"/>
      <c r="J4979" s="2973"/>
      <c r="K4979" s="3666"/>
      <c r="L4979" s="3660"/>
      <c r="M4979" s="560" t="s">
        <v>194</v>
      </c>
      <c r="N4979" s="104" t="s">
        <v>2014</v>
      </c>
      <c r="O4979" s="488">
        <v>1950</v>
      </c>
      <c r="P4979" s="488">
        <v>1950</v>
      </c>
      <c r="Q4979" s="488">
        <v>1950</v>
      </c>
      <c r="R4979" s="488">
        <v>1950</v>
      </c>
      <c r="S4979" s="488">
        <v>1950</v>
      </c>
      <c r="T4979" s="488">
        <v>1950</v>
      </c>
      <c r="U4979" s="488">
        <v>1950</v>
      </c>
      <c r="V4979" s="488">
        <v>1950</v>
      </c>
      <c r="W4979" s="488">
        <v>1950</v>
      </c>
      <c r="X4979" s="488">
        <v>1950</v>
      </c>
      <c r="Y4979" s="488">
        <v>1950</v>
      </c>
      <c r="Z4979" s="488">
        <v>1950</v>
      </c>
      <c r="AA4979" s="2259">
        <f t="shared" si="834"/>
        <v>23400</v>
      </c>
    </row>
    <row r="4980" spans="1:27" x14ac:dyDescent="0.2">
      <c r="A4980" s="134"/>
      <c r="B4980" s="3658">
        <v>5000003</v>
      </c>
      <c r="C4980" s="3670" t="s">
        <v>2015</v>
      </c>
      <c r="D4980" s="3660"/>
      <c r="E4980" s="3660">
        <v>19</v>
      </c>
      <c r="F4980" s="3660"/>
      <c r="G4980" s="3660"/>
      <c r="H4980" s="3660" t="s">
        <v>19</v>
      </c>
      <c r="I4980" s="3660"/>
      <c r="J4980" s="2973">
        <v>6</v>
      </c>
      <c r="K4980" s="3666">
        <f>+AA4981</f>
        <v>13467</v>
      </c>
      <c r="L4980" s="3660" t="s">
        <v>2012</v>
      </c>
      <c r="M4980" s="2999" t="s">
        <v>51</v>
      </c>
      <c r="N4980" s="2999"/>
      <c r="O4980" s="490"/>
      <c r="P4980" s="490">
        <v>1</v>
      </c>
      <c r="Q4980" s="490"/>
      <c r="R4980" s="490">
        <v>1</v>
      </c>
      <c r="S4980" s="490"/>
      <c r="T4980" s="490">
        <v>1</v>
      </c>
      <c r="U4980" s="490"/>
      <c r="V4980" s="490">
        <v>1</v>
      </c>
      <c r="W4980" s="490"/>
      <c r="X4980" s="490">
        <v>1</v>
      </c>
      <c r="Y4980" s="490"/>
      <c r="Z4980" s="490">
        <v>1</v>
      </c>
      <c r="AA4980" s="373">
        <f>SUM(O4980:Z4980)</f>
        <v>6</v>
      </c>
    </row>
    <row r="4981" spans="1:27" x14ac:dyDescent="0.2">
      <c r="A4981" s="134"/>
      <c r="B4981" s="3658"/>
      <c r="C4981" s="3670"/>
      <c r="D4981" s="3660"/>
      <c r="E4981" s="3660"/>
      <c r="F4981" s="3660"/>
      <c r="G4981" s="3660"/>
      <c r="H4981" s="3660"/>
      <c r="I4981" s="3660"/>
      <c r="J4981" s="2973"/>
      <c r="K4981" s="3666"/>
      <c r="L4981" s="3660"/>
      <c r="M4981" s="2999" t="s">
        <v>111</v>
      </c>
      <c r="N4981" s="2999"/>
      <c r="O4981" s="490">
        <f t="shared" ref="O4981:Z4981" si="835">+SUM(O4982:O4991)</f>
        <v>0</v>
      </c>
      <c r="P4981" s="490">
        <f t="shared" si="835"/>
        <v>2222</v>
      </c>
      <c r="Q4981" s="490">
        <f t="shared" si="835"/>
        <v>0</v>
      </c>
      <c r="R4981" s="490">
        <f t="shared" si="835"/>
        <v>2312</v>
      </c>
      <c r="S4981" s="490">
        <f t="shared" si="835"/>
        <v>0</v>
      </c>
      <c r="T4981" s="490">
        <f t="shared" si="835"/>
        <v>2322</v>
      </c>
      <c r="U4981" s="490">
        <f t="shared" si="835"/>
        <v>0</v>
      </c>
      <c r="V4981" s="490">
        <f t="shared" si="835"/>
        <v>2207</v>
      </c>
      <c r="W4981" s="490">
        <f t="shared" si="835"/>
        <v>0</v>
      </c>
      <c r="X4981" s="490">
        <f t="shared" si="835"/>
        <v>2122</v>
      </c>
      <c r="Y4981" s="490">
        <f t="shared" si="835"/>
        <v>0</v>
      </c>
      <c r="Z4981" s="490">
        <f t="shared" si="835"/>
        <v>2282</v>
      </c>
      <c r="AA4981" s="1441">
        <f>SUM(O4981:Z4981)</f>
        <v>13467</v>
      </c>
    </row>
    <row r="4982" spans="1:27" ht="33.75" x14ac:dyDescent="0.2">
      <c r="A4982" s="134"/>
      <c r="B4982" s="3658"/>
      <c r="C4982" s="3670"/>
      <c r="D4982" s="3660"/>
      <c r="E4982" s="3660"/>
      <c r="F4982" s="3660"/>
      <c r="G4982" s="3660"/>
      <c r="H4982" s="3660"/>
      <c r="I4982" s="3660"/>
      <c r="J4982" s="2973"/>
      <c r="K4982" s="3666"/>
      <c r="L4982" s="3660"/>
      <c r="M4982" s="468" t="s">
        <v>178</v>
      </c>
      <c r="N4982" s="458" t="s">
        <v>1971</v>
      </c>
      <c r="O4982" s="500"/>
      <c r="P4982" s="488">
        <v>12</v>
      </c>
      <c r="Q4982" s="500"/>
      <c r="R4982" s="488">
        <v>12</v>
      </c>
      <c r="S4982" s="500"/>
      <c r="T4982" s="488">
        <v>12</v>
      </c>
      <c r="U4982" s="500"/>
      <c r="V4982" s="488">
        <v>12</v>
      </c>
      <c r="W4982" s="500"/>
      <c r="X4982" s="488">
        <v>12</v>
      </c>
      <c r="Y4982" s="500"/>
      <c r="Z4982" s="488">
        <v>12</v>
      </c>
      <c r="AA4982" s="2259">
        <f>SUM(O4982:Z4982)</f>
        <v>72</v>
      </c>
    </row>
    <row r="4983" spans="1:27" x14ac:dyDescent="0.2">
      <c r="A4983" s="134"/>
      <c r="B4983" s="3658"/>
      <c r="C4983" s="3670"/>
      <c r="D4983" s="3660"/>
      <c r="E4983" s="3660"/>
      <c r="F4983" s="3660"/>
      <c r="G4983" s="3660"/>
      <c r="H4983" s="3660"/>
      <c r="I4983" s="3660"/>
      <c r="J4983" s="2973"/>
      <c r="K4983" s="3666"/>
      <c r="L4983" s="3660"/>
      <c r="M4983" s="468" t="s">
        <v>180</v>
      </c>
      <c r="N4983" s="458" t="s">
        <v>1370</v>
      </c>
      <c r="O4983" s="38"/>
      <c r="P4983" s="488">
        <v>60</v>
      </c>
      <c r="Q4983" s="3"/>
      <c r="R4983" s="488">
        <v>110</v>
      </c>
      <c r="S4983" s="3"/>
      <c r="T4983" s="488">
        <v>60</v>
      </c>
      <c r="U4983" s="3"/>
      <c r="V4983" s="488">
        <v>75</v>
      </c>
      <c r="W4983" s="3"/>
      <c r="X4983" s="488">
        <v>60</v>
      </c>
      <c r="Y4983" s="3"/>
      <c r="Z4983" s="488">
        <v>40</v>
      </c>
      <c r="AA4983" s="2259">
        <f t="shared" ref="AA4983:AA4991" si="836">SUM(O4983:Z4983)</f>
        <v>405</v>
      </c>
    </row>
    <row r="4984" spans="1:27" ht="22.5" x14ac:dyDescent="0.2">
      <c r="A4984" s="134"/>
      <c r="B4984" s="3658"/>
      <c r="C4984" s="3670"/>
      <c r="D4984" s="3660"/>
      <c r="E4984" s="3660"/>
      <c r="F4984" s="3660"/>
      <c r="G4984" s="3660"/>
      <c r="H4984" s="3660"/>
      <c r="I4984" s="3660"/>
      <c r="J4984" s="2973"/>
      <c r="K4984" s="3666"/>
      <c r="L4984" s="3660"/>
      <c r="M4984" s="468" t="s">
        <v>215</v>
      </c>
      <c r="N4984" s="458" t="s">
        <v>1105</v>
      </c>
      <c r="O4984" s="38"/>
      <c r="P4984" s="488"/>
      <c r="Q4984" s="3"/>
      <c r="R4984" s="488"/>
      <c r="S4984" s="3"/>
      <c r="T4984" s="488"/>
      <c r="U4984" s="3"/>
      <c r="V4984" s="488"/>
      <c r="W4984" s="3"/>
      <c r="X4984" s="488"/>
      <c r="Y4984" s="3"/>
      <c r="Z4984" s="488"/>
      <c r="AA4984" s="2259">
        <f t="shared" si="836"/>
        <v>0</v>
      </c>
    </row>
    <row r="4985" spans="1:27" ht="22.5" x14ac:dyDescent="0.2">
      <c r="A4985" s="134"/>
      <c r="B4985" s="3658"/>
      <c r="C4985" s="3670"/>
      <c r="D4985" s="3660"/>
      <c r="E4985" s="3660"/>
      <c r="F4985" s="3660"/>
      <c r="G4985" s="3660"/>
      <c r="H4985" s="3660"/>
      <c r="I4985" s="3660"/>
      <c r="J4985" s="2973"/>
      <c r="K4985" s="3666"/>
      <c r="L4985" s="3660"/>
      <c r="M4985" s="307" t="s">
        <v>184</v>
      </c>
      <c r="N4985" s="458" t="s">
        <v>1367</v>
      </c>
      <c r="O4985" s="38"/>
      <c r="P4985" s="488">
        <v>120</v>
      </c>
      <c r="Q4985" s="3"/>
      <c r="R4985" s="488">
        <v>140</v>
      </c>
      <c r="S4985" s="3"/>
      <c r="T4985" s="488">
        <v>120</v>
      </c>
      <c r="U4985" s="3"/>
      <c r="V4985" s="488">
        <v>90</v>
      </c>
      <c r="W4985" s="3"/>
      <c r="X4985" s="488">
        <v>120</v>
      </c>
      <c r="Y4985" s="3"/>
      <c r="Z4985" s="488">
        <v>100</v>
      </c>
      <c r="AA4985" s="2259">
        <f t="shared" si="836"/>
        <v>690</v>
      </c>
    </row>
    <row r="4986" spans="1:27" x14ac:dyDescent="0.2">
      <c r="A4986" s="134"/>
      <c r="B4986" s="3658"/>
      <c r="C4986" s="3670"/>
      <c r="D4986" s="3660"/>
      <c r="E4986" s="3660"/>
      <c r="F4986" s="3660"/>
      <c r="G4986" s="3660"/>
      <c r="H4986" s="3660"/>
      <c r="I4986" s="3660"/>
      <c r="J4986" s="2973"/>
      <c r="K4986" s="3666"/>
      <c r="L4986" s="3660"/>
      <c r="M4986" s="307" t="s">
        <v>217</v>
      </c>
      <c r="N4986" s="507" t="s">
        <v>2013</v>
      </c>
      <c r="O4986" s="38"/>
      <c r="P4986" s="488"/>
      <c r="Q4986" s="3"/>
      <c r="R4986" s="488"/>
      <c r="S4986" s="3"/>
      <c r="T4986" s="488"/>
      <c r="U4986" s="3"/>
      <c r="V4986" s="488"/>
      <c r="W4986" s="3"/>
      <c r="X4986" s="488"/>
      <c r="Y4986" s="3"/>
      <c r="Z4986" s="488"/>
      <c r="AA4986" s="2259">
        <f t="shared" si="836"/>
        <v>0</v>
      </c>
    </row>
    <row r="4987" spans="1:27" x14ac:dyDescent="0.2">
      <c r="A4987" s="134"/>
      <c r="B4987" s="3658"/>
      <c r="C4987" s="3670"/>
      <c r="D4987" s="3660"/>
      <c r="E4987" s="3660"/>
      <c r="F4987" s="3660"/>
      <c r="G4987" s="3660"/>
      <c r="H4987" s="3660"/>
      <c r="I4987" s="3660"/>
      <c r="J4987" s="2973"/>
      <c r="K4987" s="3666"/>
      <c r="L4987" s="3660"/>
      <c r="M4987" s="3" t="s">
        <v>190</v>
      </c>
      <c r="N4987" s="38" t="s">
        <v>191</v>
      </c>
      <c r="O4987" s="38"/>
      <c r="P4987" s="488">
        <v>30</v>
      </c>
      <c r="Q4987" s="3"/>
      <c r="R4987" s="488">
        <v>50</v>
      </c>
      <c r="S4987" s="3"/>
      <c r="T4987" s="488">
        <v>30</v>
      </c>
      <c r="U4987" s="3"/>
      <c r="V4987" s="488">
        <v>30</v>
      </c>
      <c r="W4987" s="3"/>
      <c r="X4987" s="488">
        <v>30</v>
      </c>
      <c r="Y4987" s="3"/>
      <c r="Z4987" s="488">
        <v>30</v>
      </c>
      <c r="AA4987" s="2259">
        <f t="shared" si="836"/>
        <v>200</v>
      </c>
    </row>
    <row r="4988" spans="1:27" ht="33.75" x14ac:dyDescent="0.2">
      <c r="A4988" s="134"/>
      <c r="B4988" s="3658"/>
      <c r="C4988" s="3670"/>
      <c r="D4988" s="3660"/>
      <c r="E4988" s="3660"/>
      <c r="F4988" s="3660"/>
      <c r="G4988" s="3660"/>
      <c r="H4988" s="3660"/>
      <c r="I4988" s="3660"/>
      <c r="J4988" s="2973"/>
      <c r="K4988" s="3666"/>
      <c r="L4988" s="3660"/>
      <c r="M4988" s="3" t="s">
        <v>194</v>
      </c>
      <c r="N4988" s="104" t="s">
        <v>2014</v>
      </c>
      <c r="O4988" s="38"/>
      <c r="P4988" s="488">
        <v>2000</v>
      </c>
      <c r="Q4988" s="3"/>
      <c r="R4988" s="488">
        <v>2000</v>
      </c>
      <c r="S4988" s="3"/>
      <c r="T4988" s="488">
        <v>2100</v>
      </c>
      <c r="U4988" s="3"/>
      <c r="V4988" s="488">
        <v>2000</v>
      </c>
      <c r="W4988" s="3"/>
      <c r="X4988" s="488">
        <v>1900</v>
      </c>
      <c r="Y4988" s="3"/>
      <c r="Z4988" s="488">
        <v>2100</v>
      </c>
      <c r="AA4988" s="2259">
        <f t="shared" si="836"/>
        <v>12100</v>
      </c>
    </row>
    <row r="4989" spans="1:27" ht="22.5" x14ac:dyDescent="0.2">
      <c r="A4989" s="134"/>
      <c r="B4989" s="3658"/>
      <c r="C4989" s="3670"/>
      <c r="D4989" s="3660"/>
      <c r="E4989" s="3660"/>
      <c r="F4989" s="3660"/>
      <c r="G4989" s="3660"/>
      <c r="H4989" s="3660"/>
      <c r="I4989" s="3660"/>
      <c r="J4989" s="2973"/>
      <c r="K4989" s="3666"/>
      <c r="L4989" s="3660"/>
      <c r="M4989" s="3" t="s">
        <v>1142</v>
      </c>
      <c r="N4989" s="104" t="s">
        <v>2016</v>
      </c>
      <c r="O4989" s="38"/>
      <c r="P4989" s="488"/>
      <c r="Q4989" s="3"/>
      <c r="R4989" s="488"/>
      <c r="S4989" s="3"/>
      <c r="T4989" s="488"/>
      <c r="U4989" s="3"/>
      <c r="V4989" s="488"/>
      <c r="W4989" s="3"/>
      <c r="X4989" s="488"/>
      <c r="Y4989" s="3"/>
      <c r="Z4989" s="488"/>
      <c r="AA4989" s="92">
        <f t="shared" si="836"/>
        <v>0</v>
      </c>
    </row>
    <row r="4990" spans="1:27" x14ac:dyDescent="0.2">
      <c r="A4990" s="134"/>
      <c r="B4990" s="3658"/>
      <c r="C4990" s="3670"/>
      <c r="D4990" s="3660"/>
      <c r="E4990" s="3660"/>
      <c r="F4990" s="3660"/>
      <c r="G4990" s="3660"/>
      <c r="H4990" s="3660"/>
      <c r="I4990" s="3660"/>
      <c r="J4990" s="2973"/>
      <c r="K4990" s="3666"/>
      <c r="L4990" s="3660"/>
      <c r="M4990" s="3" t="s">
        <v>2017</v>
      </c>
      <c r="N4990" s="104" t="s">
        <v>2018</v>
      </c>
      <c r="O4990" s="38"/>
      <c r="P4990" s="488"/>
      <c r="Q4990" s="3"/>
      <c r="R4990" s="488"/>
      <c r="S4990" s="3"/>
      <c r="T4990" s="488"/>
      <c r="U4990" s="3"/>
      <c r="V4990" s="488"/>
      <c r="W4990" s="3"/>
      <c r="X4990" s="488"/>
      <c r="Y4990" s="3"/>
      <c r="Z4990" s="488"/>
      <c r="AA4990" s="92">
        <f t="shared" si="836"/>
        <v>0</v>
      </c>
    </row>
    <row r="4991" spans="1:27" ht="22.5" x14ac:dyDescent="0.2">
      <c r="A4991" s="134"/>
      <c r="B4991" s="3658"/>
      <c r="C4991" s="3670"/>
      <c r="D4991" s="3660"/>
      <c r="E4991" s="3660"/>
      <c r="F4991" s="3660"/>
      <c r="G4991" s="3660"/>
      <c r="H4991" s="3660"/>
      <c r="I4991" s="3660"/>
      <c r="J4991" s="2973"/>
      <c r="K4991" s="3666"/>
      <c r="L4991" s="3660"/>
      <c r="M4991" s="3" t="s">
        <v>2019</v>
      </c>
      <c r="N4991" s="104" t="s">
        <v>2020</v>
      </c>
      <c r="O4991" s="38"/>
      <c r="P4991" s="488"/>
      <c r="Q4991" s="3"/>
      <c r="R4991" s="488"/>
      <c r="S4991" s="3"/>
      <c r="T4991" s="488"/>
      <c r="U4991" s="3"/>
      <c r="V4991" s="488"/>
      <c r="W4991" s="3"/>
      <c r="X4991" s="488"/>
      <c r="Y4991" s="3"/>
      <c r="Z4991" s="488"/>
      <c r="AA4991" s="92">
        <f t="shared" si="836"/>
        <v>0</v>
      </c>
    </row>
    <row r="4992" spans="1:27" x14ac:dyDescent="0.2">
      <c r="A4992" s="134"/>
      <c r="B4992" s="3667">
        <v>5000003</v>
      </c>
      <c r="C4992" s="3670" t="s">
        <v>2021</v>
      </c>
      <c r="D4992" s="3660"/>
      <c r="E4992" s="3660">
        <v>19</v>
      </c>
      <c r="F4992" s="3660"/>
      <c r="G4992" s="3660"/>
      <c r="H4992" s="3660" t="s">
        <v>19</v>
      </c>
      <c r="I4992" s="3660"/>
      <c r="J4992" s="2973">
        <v>13</v>
      </c>
      <c r="K4992" s="3666">
        <f>+AA4993</f>
        <v>24719</v>
      </c>
      <c r="L4992" s="3660" t="s">
        <v>2012</v>
      </c>
      <c r="M4992" s="2999" t="s">
        <v>51</v>
      </c>
      <c r="N4992" s="2999"/>
      <c r="O4992" s="490">
        <v>1</v>
      </c>
      <c r="P4992" s="490">
        <v>1</v>
      </c>
      <c r="Q4992" s="490">
        <v>1</v>
      </c>
      <c r="R4992" s="490">
        <v>1</v>
      </c>
      <c r="S4992" s="490">
        <v>1</v>
      </c>
      <c r="T4992" s="490">
        <v>1</v>
      </c>
      <c r="U4992" s="490">
        <v>2</v>
      </c>
      <c r="V4992" s="490">
        <v>1</v>
      </c>
      <c r="W4992" s="490">
        <v>1</v>
      </c>
      <c r="X4992" s="490">
        <v>1</v>
      </c>
      <c r="Y4992" s="490">
        <v>1</v>
      </c>
      <c r="Z4992" s="490">
        <v>1</v>
      </c>
      <c r="AA4992" s="373">
        <f>SUM(O4992:Z4992)</f>
        <v>13</v>
      </c>
    </row>
    <row r="4993" spans="1:27" x14ac:dyDescent="0.2">
      <c r="A4993" s="134"/>
      <c r="B4993" s="3668"/>
      <c r="C4993" s="3670"/>
      <c r="D4993" s="3660"/>
      <c r="E4993" s="3660"/>
      <c r="F4993" s="3660"/>
      <c r="G4993" s="3660"/>
      <c r="H4993" s="3660"/>
      <c r="I4993" s="3660"/>
      <c r="J4993" s="2973"/>
      <c r="K4993" s="3666"/>
      <c r="L4993" s="3660"/>
      <c r="M4993" s="2999" t="s">
        <v>111</v>
      </c>
      <c r="N4993" s="2999"/>
      <c r="O4993" s="490">
        <f>+SUM(O4994:O5003)</f>
        <v>1985</v>
      </c>
      <c r="P4993" s="490">
        <f t="shared" ref="P4993:Z4993" si="837">+SUM(P4994:P5003)</f>
        <v>1935</v>
      </c>
      <c r="Q4993" s="490">
        <f t="shared" si="837"/>
        <v>2015</v>
      </c>
      <c r="R4993" s="490">
        <f t="shared" si="837"/>
        <v>2009</v>
      </c>
      <c r="S4993" s="490">
        <f t="shared" si="837"/>
        <v>2095</v>
      </c>
      <c r="T4993" s="490">
        <f t="shared" si="837"/>
        <v>2083</v>
      </c>
      <c r="U4993" s="490">
        <f t="shared" si="837"/>
        <v>2182</v>
      </c>
      <c r="V4993" s="490">
        <f t="shared" si="837"/>
        <v>2066</v>
      </c>
      <c r="W4993" s="490">
        <f t="shared" si="837"/>
        <v>2084</v>
      </c>
      <c r="X4993" s="490">
        <f t="shared" si="837"/>
        <v>2080</v>
      </c>
      <c r="Y4993" s="490">
        <f t="shared" si="837"/>
        <v>2089</v>
      </c>
      <c r="Z4993" s="490">
        <f t="shared" si="837"/>
        <v>2096</v>
      </c>
      <c r="AA4993" s="373">
        <f>SUM(O4993:Z4993)</f>
        <v>24719</v>
      </c>
    </row>
    <row r="4994" spans="1:27" ht="33.75" x14ac:dyDescent="0.2">
      <c r="A4994" s="134"/>
      <c r="B4994" s="3668"/>
      <c r="C4994" s="3670"/>
      <c r="D4994" s="3660"/>
      <c r="E4994" s="3660"/>
      <c r="F4994" s="3660"/>
      <c r="G4994" s="3660"/>
      <c r="H4994" s="3660"/>
      <c r="I4994" s="3660"/>
      <c r="J4994" s="2973"/>
      <c r="K4994" s="3666"/>
      <c r="L4994" s="3660"/>
      <c r="M4994" s="458" t="s">
        <v>178</v>
      </c>
      <c r="N4994" s="458" t="s">
        <v>1971</v>
      </c>
      <c r="O4994" s="483">
        <v>120</v>
      </c>
      <c r="P4994" s="483">
        <v>80</v>
      </c>
      <c r="Q4994" s="483">
        <v>150</v>
      </c>
      <c r="R4994" s="483">
        <v>120</v>
      </c>
      <c r="S4994" s="483">
        <v>230</v>
      </c>
      <c r="T4994" s="483">
        <v>230</v>
      </c>
      <c r="U4994" s="483">
        <v>230</v>
      </c>
      <c r="V4994" s="483">
        <v>230</v>
      </c>
      <c r="W4994" s="483">
        <v>230</v>
      </c>
      <c r="X4994" s="483">
        <v>230</v>
      </c>
      <c r="Y4994" s="483">
        <v>230</v>
      </c>
      <c r="Z4994" s="483">
        <v>230</v>
      </c>
      <c r="AA4994" s="373">
        <f>SUM(O4994:Z4994)</f>
        <v>2310</v>
      </c>
    </row>
    <row r="4995" spans="1:27" x14ac:dyDescent="0.2">
      <c r="A4995" s="134"/>
      <c r="B4995" s="3668"/>
      <c r="C4995" s="3670"/>
      <c r="D4995" s="3660"/>
      <c r="E4995" s="3660"/>
      <c r="F4995" s="3660"/>
      <c r="G4995" s="3660"/>
      <c r="H4995" s="3660"/>
      <c r="I4995" s="3660"/>
      <c r="J4995" s="2973"/>
      <c r="K4995" s="3666"/>
      <c r="L4995" s="3660"/>
      <c r="M4995" s="458" t="s">
        <v>180</v>
      </c>
      <c r="N4995" s="458" t="s">
        <v>1370</v>
      </c>
      <c r="O4995" s="483">
        <v>70</v>
      </c>
      <c r="P4995" s="483">
        <v>69</v>
      </c>
      <c r="Q4995" s="483">
        <v>70</v>
      </c>
      <c r="R4995" s="483">
        <v>65</v>
      </c>
      <c r="S4995" s="483">
        <v>70</v>
      </c>
      <c r="T4995" s="483">
        <v>65</v>
      </c>
      <c r="U4995" s="483">
        <v>120</v>
      </c>
      <c r="V4995" s="483">
        <v>60</v>
      </c>
      <c r="W4995" s="483">
        <v>80</v>
      </c>
      <c r="X4995" s="483">
        <v>60</v>
      </c>
      <c r="Y4995" s="483">
        <v>65</v>
      </c>
      <c r="Z4995" s="483">
        <v>70</v>
      </c>
      <c r="AA4995" s="373">
        <f t="shared" ref="AA4995:AA5003" si="838">SUM(O4995:Z4995)</f>
        <v>864</v>
      </c>
    </row>
    <row r="4996" spans="1:27" ht="22.5" x14ac:dyDescent="0.2">
      <c r="A4996" s="134"/>
      <c r="B4996" s="3668"/>
      <c r="C4996" s="3670"/>
      <c r="D4996" s="3660"/>
      <c r="E4996" s="3660"/>
      <c r="F4996" s="3660"/>
      <c r="G4996" s="3660"/>
      <c r="H4996" s="3660"/>
      <c r="I4996" s="3660"/>
      <c r="J4996" s="2973"/>
      <c r="K4996" s="3666"/>
      <c r="L4996" s="3660"/>
      <c r="M4996" s="458" t="s">
        <v>215</v>
      </c>
      <c r="N4996" s="458" t="s">
        <v>1105</v>
      </c>
      <c r="O4996" s="483">
        <v>12</v>
      </c>
      <c r="P4996" s="483">
        <v>5</v>
      </c>
      <c r="Q4996" s="483">
        <v>15</v>
      </c>
      <c r="R4996" s="483">
        <v>13</v>
      </c>
      <c r="S4996" s="483">
        <v>12</v>
      </c>
      <c r="T4996" s="483">
        <v>15</v>
      </c>
      <c r="U4996" s="483">
        <v>20</v>
      </c>
      <c r="V4996" s="483">
        <v>10</v>
      </c>
      <c r="W4996" s="483">
        <v>10</v>
      </c>
      <c r="X4996" s="483">
        <v>12</v>
      </c>
      <c r="Y4996" s="483">
        <v>14</v>
      </c>
      <c r="Z4996" s="483">
        <v>12</v>
      </c>
      <c r="AA4996" s="373">
        <f t="shared" si="838"/>
        <v>150</v>
      </c>
    </row>
    <row r="4997" spans="1:27" ht="22.5" x14ac:dyDescent="0.2">
      <c r="A4997" s="134"/>
      <c r="B4997" s="3668"/>
      <c r="C4997" s="3670"/>
      <c r="D4997" s="3660"/>
      <c r="E4997" s="3660"/>
      <c r="F4997" s="3660"/>
      <c r="G4997" s="3660"/>
      <c r="H4997" s="3660"/>
      <c r="I4997" s="3660"/>
      <c r="J4997" s="2973"/>
      <c r="K4997" s="3666"/>
      <c r="L4997" s="3660"/>
      <c r="M4997" s="507" t="s">
        <v>184</v>
      </c>
      <c r="N4997" s="458" t="s">
        <v>1367</v>
      </c>
      <c r="O4997" s="483">
        <v>40</v>
      </c>
      <c r="P4997" s="483">
        <v>30</v>
      </c>
      <c r="Q4997" s="483">
        <v>35</v>
      </c>
      <c r="R4997" s="483">
        <v>48</v>
      </c>
      <c r="S4997" s="483">
        <v>40</v>
      </c>
      <c r="T4997" s="483">
        <v>30</v>
      </c>
      <c r="U4997" s="483">
        <v>46</v>
      </c>
      <c r="V4997" s="483">
        <v>25</v>
      </c>
      <c r="W4997" s="483">
        <v>20</v>
      </c>
      <c r="X4997" s="483">
        <v>35</v>
      </c>
      <c r="Y4997" s="483">
        <v>38</v>
      </c>
      <c r="Z4997" s="483">
        <v>40</v>
      </c>
      <c r="AA4997" s="373">
        <f t="shared" si="838"/>
        <v>427</v>
      </c>
    </row>
    <row r="4998" spans="1:27" x14ac:dyDescent="0.2">
      <c r="A4998" s="134"/>
      <c r="B4998" s="3668"/>
      <c r="C4998" s="3670"/>
      <c r="D4998" s="3660"/>
      <c r="E4998" s="3660"/>
      <c r="F4998" s="3660"/>
      <c r="G4998" s="3660"/>
      <c r="H4998" s="3660"/>
      <c r="I4998" s="3660"/>
      <c r="J4998" s="2973"/>
      <c r="K4998" s="3666"/>
      <c r="L4998" s="3660"/>
      <c r="M4998" s="507" t="s">
        <v>217</v>
      </c>
      <c r="N4998" s="507" t="s">
        <v>2013</v>
      </c>
      <c r="O4998" s="483">
        <v>5</v>
      </c>
      <c r="P4998" s="483">
        <v>3</v>
      </c>
      <c r="Q4998" s="483">
        <v>5</v>
      </c>
      <c r="R4998" s="483">
        <v>5</v>
      </c>
      <c r="S4998" s="483">
        <v>5</v>
      </c>
      <c r="T4998" s="483">
        <v>5</v>
      </c>
      <c r="U4998" s="483">
        <v>8</v>
      </c>
      <c r="V4998" s="483">
        <v>3</v>
      </c>
      <c r="W4998" s="483">
        <v>6</v>
      </c>
      <c r="X4998" s="483">
        <v>5</v>
      </c>
      <c r="Y4998" s="483">
        <v>4</v>
      </c>
      <c r="Z4998" s="483">
        <v>6</v>
      </c>
      <c r="AA4998" s="373">
        <f t="shared" si="838"/>
        <v>60</v>
      </c>
    </row>
    <row r="4999" spans="1:27" x14ac:dyDescent="0.2">
      <c r="A4999" s="134"/>
      <c r="B4999" s="3668"/>
      <c r="C4999" s="3670"/>
      <c r="D4999" s="3660"/>
      <c r="E4999" s="3660"/>
      <c r="F4999" s="3660"/>
      <c r="G4999" s="3660"/>
      <c r="H4999" s="3660"/>
      <c r="I4999" s="3660"/>
      <c r="J4999" s="2973"/>
      <c r="K4999" s="3666"/>
      <c r="L4999" s="3660"/>
      <c r="M4999" s="498" t="s">
        <v>190</v>
      </c>
      <c r="N4999" s="38" t="s">
        <v>191</v>
      </c>
      <c r="O4999" s="483">
        <v>18</v>
      </c>
      <c r="P4999" s="483">
        <v>18</v>
      </c>
      <c r="Q4999" s="483">
        <v>20</v>
      </c>
      <c r="R4999" s="483">
        <v>18</v>
      </c>
      <c r="S4999" s="483">
        <v>18</v>
      </c>
      <c r="T4999" s="483">
        <v>18</v>
      </c>
      <c r="U4999" s="483">
        <v>18</v>
      </c>
      <c r="V4999" s="483">
        <v>18</v>
      </c>
      <c r="W4999" s="483">
        <v>18</v>
      </c>
      <c r="X4999" s="483">
        <v>18</v>
      </c>
      <c r="Y4999" s="483">
        <v>18</v>
      </c>
      <c r="Z4999" s="483">
        <v>18</v>
      </c>
      <c r="AA4999" s="373">
        <f t="shared" si="838"/>
        <v>218</v>
      </c>
    </row>
    <row r="5000" spans="1:27" ht="33.75" x14ac:dyDescent="0.2">
      <c r="A5000" s="134"/>
      <c r="B5000" s="3668"/>
      <c r="C5000" s="3670"/>
      <c r="D5000" s="3660"/>
      <c r="E5000" s="3660"/>
      <c r="F5000" s="3660"/>
      <c r="G5000" s="3660"/>
      <c r="H5000" s="3660"/>
      <c r="I5000" s="3660"/>
      <c r="J5000" s="2973"/>
      <c r="K5000" s="3666"/>
      <c r="L5000" s="3660"/>
      <c r="M5000" s="498" t="s">
        <v>194</v>
      </c>
      <c r="N5000" s="104" t="s">
        <v>2014</v>
      </c>
      <c r="O5000" s="483">
        <v>1700</v>
      </c>
      <c r="P5000" s="483">
        <v>1700</v>
      </c>
      <c r="Q5000" s="483">
        <v>1700</v>
      </c>
      <c r="R5000" s="483">
        <v>1700</v>
      </c>
      <c r="S5000" s="483">
        <v>1700</v>
      </c>
      <c r="T5000" s="483">
        <v>1700</v>
      </c>
      <c r="U5000" s="483">
        <v>1700</v>
      </c>
      <c r="V5000" s="483">
        <v>1700</v>
      </c>
      <c r="W5000" s="483">
        <v>1700</v>
      </c>
      <c r="X5000" s="483">
        <v>1700</v>
      </c>
      <c r="Y5000" s="483">
        <v>1700</v>
      </c>
      <c r="Z5000" s="483">
        <v>1700</v>
      </c>
      <c r="AA5000" s="373">
        <f>SUM(O5000:Z5000)</f>
        <v>20400</v>
      </c>
    </row>
    <row r="5001" spans="1:27" ht="22.5" x14ac:dyDescent="0.2">
      <c r="A5001" s="134"/>
      <c r="B5001" s="3668"/>
      <c r="C5001" s="3670"/>
      <c r="D5001" s="3660"/>
      <c r="E5001" s="3660"/>
      <c r="F5001" s="3660"/>
      <c r="G5001" s="3660"/>
      <c r="H5001" s="3660"/>
      <c r="I5001" s="3660"/>
      <c r="J5001" s="2973"/>
      <c r="K5001" s="3666"/>
      <c r="L5001" s="3660"/>
      <c r="M5001" s="498" t="s">
        <v>1142</v>
      </c>
      <c r="N5001" s="104" t="s">
        <v>2016</v>
      </c>
      <c r="O5001" s="483">
        <v>20</v>
      </c>
      <c r="P5001" s="483">
        <v>30</v>
      </c>
      <c r="Q5001" s="483">
        <v>20</v>
      </c>
      <c r="R5001" s="483">
        <v>40</v>
      </c>
      <c r="S5001" s="483">
        <v>20</v>
      </c>
      <c r="T5001" s="483">
        <v>20</v>
      </c>
      <c r="U5001" s="483">
        <v>40</v>
      </c>
      <c r="V5001" s="483">
        <v>20</v>
      </c>
      <c r="W5001" s="483">
        <v>20</v>
      </c>
      <c r="X5001" s="483">
        <v>20</v>
      </c>
      <c r="Y5001" s="483">
        <v>20</v>
      </c>
      <c r="Z5001" s="483">
        <v>20</v>
      </c>
      <c r="AA5001" s="373">
        <f t="shared" si="838"/>
        <v>290</v>
      </c>
    </row>
    <row r="5002" spans="1:27" x14ac:dyDescent="0.2">
      <c r="A5002" s="134"/>
      <c r="B5002" s="3668"/>
      <c r="C5002" s="3670"/>
      <c r="D5002" s="3660"/>
      <c r="E5002" s="3660"/>
      <c r="F5002" s="3660"/>
      <c r="G5002" s="3660"/>
      <c r="H5002" s="3660"/>
      <c r="I5002" s="3660"/>
      <c r="J5002" s="2973"/>
      <c r="K5002" s="3666"/>
      <c r="L5002" s="3660"/>
      <c r="M5002" s="498" t="s">
        <v>2017</v>
      </c>
      <c r="N5002" s="104" t="s">
        <v>2018</v>
      </c>
      <c r="O5002" s="132"/>
      <c r="P5002" s="132"/>
      <c r="Q5002" s="132"/>
      <c r="R5002" s="132"/>
      <c r="S5002" s="132"/>
      <c r="T5002" s="132"/>
      <c r="U5002" s="132"/>
      <c r="V5002" s="132"/>
      <c r="W5002" s="132"/>
      <c r="X5002" s="132"/>
      <c r="Y5002" s="132"/>
      <c r="Z5002" s="132"/>
      <c r="AA5002" s="373">
        <f t="shared" si="838"/>
        <v>0</v>
      </c>
    </row>
    <row r="5003" spans="1:27" ht="22.5" x14ac:dyDescent="0.2">
      <c r="A5003" s="134"/>
      <c r="B5003" s="3669"/>
      <c r="C5003" s="3670"/>
      <c r="D5003" s="3660"/>
      <c r="E5003" s="3660"/>
      <c r="F5003" s="3660"/>
      <c r="G5003" s="3660"/>
      <c r="H5003" s="3660"/>
      <c r="I5003" s="3660"/>
      <c r="J5003" s="2973"/>
      <c r="K5003" s="3666"/>
      <c r="L5003" s="3660"/>
      <c r="M5003" s="498" t="s">
        <v>2019</v>
      </c>
      <c r="N5003" s="104" t="s">
        <v>2020</v>
      </c>
      <c r="O5003" s="132"/>
      <c r="P5003" s="132"/>
      <c r="Q5003" s="132"/>
      <c r="R5003" s="132"/>
      <c r="S5003" s="132"/>
      <c r="T5003" s="132"/>
      <c r="U5003" s="132"/>
      <c r="V5003" s="132"/>
      <c r="W5003" s="132"/>
      <c r="X5003" s="132"/>
      <c r="Y5003" s="132"/>
      <c r="Z5003" s="132"/>
      <c r="AA5003" s="373">
        <f t="shared" si="838"/>
        <v>0</v>
      </c>
    </row>
    <row r="5004" spans="1:27" x14ac:dyDescent="0.2">
      <c r="A5004" s="134"/>
      <c r="B5004" s="3658">
        <v>5000003</v>
      </c>
      <c r="C5004" s="3670" t="s">
        <v>2022</v>
      </c>
      <c r="D5004" s="3660"/>
      <c r="E5004" s="3660">
        <v>19</v>
      </c>
      <c r="F5004" s="3660"/>
      <c r="G5004" s="3660"/>
      <c r="H5004" s="3660" t="s">
        <v>19</v>
      </c>
      <c r="I5004" s="3660"/>
      <c r="J5004" s="2973">
        <v>12</v>
      </c>
      <c r="K5004" s="3666">
        <f>+AA5005</f>
        <v>27506</v>
      </c>
      <c r="L5004" s="3660" t="s">
        <v>2012</v>
      </c>
      <c r="M5004" s="2999" t="s">
        <v>51</v>
      </c>
      <c r="N5004" s="2999"/>
      <c r="O5004" s="490">
        <v>1</v>
      </c>
      <c r="P5004" s="490">
        <v>1</v>
      </c>
      <c r="Q5004" s="490">
        <v>1</v>
      </c>
      <c r="R5004" s="490">
        <v>1</v>
      </c>
      <c r="S5004" s="490">
        <v>1</v>
      </c>
      <c r="T5004" s="490">
        <v>1</v>
      </c>
      <c r="U5004" s="490">
        <v>1</v>
      </c>
      <c r="V5004" s="490">
        <v>1</v>
      </c>
      <c r="W5004" s="490">
        <v>1</v>
      </c>
      <c r="X5004" s="490">
        <v>1</v>
      </c>
      <c r="Y5004" s="490">
        <v>1</v>
      </c>
      <c r="Z5004" s="490">
        <v>1</v>
      </c>
      <c r="AA5004" s="373">
        <f>SUM(O5004:Z5004)</f>
        <v>12</v>
      </c>
    </row>
    <row r="5005" spans="1:27" x14ac:dyDescent="0.2">
      <c r="A5005" s="134"/>
      <c r="B5005" s="3658"/>
      <c r="C5005" s="3670"/>
      <c r="D5005" s="3660"/>
      <c r="E5005" s="3660"/>
      <c r="F5005" s="3660"/>
      <c r="G5005" s="3660"/>
      <c r="H5005" s="3660"/>
      <c r="I5005" s="3660"/>
      <c r="J5005" s="2973"/>
      <c r="K5005" s="3666"/>
      <c r="L5005" s="3660"/>
      <c r="M5005" s="2999" t="s">
        <v>111</v>
      </c>
      <c r="N5005" s="2999"/>
      <c r="O5005" s="490">
        <f>+SUM(O5006:O5015)</f>
        <v>2283</v>
      </c>
      <c r="P5005" s="490">
        <f t="shared" ref="P5005:Z5005" si="839">+SUM(P5006:P5015)</f>
        <v>2291</v>
      </c>
      <c r="Q5005" s="490">
        <f t="shared" si="839"/>
        <v>2301</v>
      </c>
      <c r="R5005" s="490">
        <f t="shared" si="839"/>
        <v>2298</v>
      </c>
      <c r="S5005" s="490">
        <f t="shared" si="839"/>
        <v>2278</v>
      </c>
      <c r="T5005" s="490">
        <f t="shared" si="839"/>
        <v>2303</v>
      </c>
      <c r="U5005" s="490">
        <f t="shared" si="839"/>
        <v>2296</v>
      </c>
      <c r="V5005" s="490">
        <f t="shared" si="839"/>
        <v>2293</v>
      </c>
      <c r="W5005" s="490">
        <f t="shared" si="839"/>
        <v>2294</v>
      </c>
      <c r="X5005" s="490">
        <f t="shared" si="839"/>
        <v>2284</v>
      </c>
      <c r="Y5005" s="490">
        <f t="shared" si="839"/>
        <v>2298</v>
      </c>
      <c r="Z5005" s="490">
        <f t="shared" si="839"/>
        <v>2287</v>
      </c>
      <c r="AA5005" s="373">
        <f>SUM(O5005:Z5005)</f>
        <v>27506</v>
      </c>
    </row>
    <row r="5006" spans="1:27" ht="33.75" x14ac:dyDescent="0.2">
      <c r="A5006" s="134"/>
      <c r="B5006" s="3658"/>
      <c r="C5006" s="3670"/>
      <c r="D5006" s="3660"/>
      <c r="E5006" s="3660"/>
      <c r="F5006" s="3660"/>
      <c r="G5006" s="3660"/>
      <c r="H5006" s="3660"/>
      <c r="I5006" s="3660"/>
      <c r="J5006" s="2973"/>
      <c r="K5006" s="3666"/>
      <c r="L5006" s="3660"/>
      <c r="M5006" s="1012" t="s">
        <v>178</v>
      </c>
      <c r="N5006" s="458" t="s">
        <v>1971</v>
      </c>
      <c r="O5006" s="483">
        <v>12</v>
      </c>
      <c r="P5006" s="483">
        <v>15</v>
      </c>
      <c r="Q5006" s="483">
        <v>17</v>
      </c>
      <c r="R5006" s="483">
        <v>20</v>
      </c>
      <c r="S5006" s="483">
        <v>14</v>
      </c>
      <c r="T5006" s="483">
        <v>25</v>
      </c>
      <c r="U5006" s="483">
        <v>24</v>
      </c>
      <c r="V5006" s="483">
        <v>22</v>
      </c>
      <c r="W5006" s="483">
        <v>15</v>
      </c>
      <c r="X5006" s="483">
        <v>16</v>
      </c>
      <c r="Y5006" s="483">
        <v>22</v>
      </c>
      <c r="Z5006" s="483">
        <v>25</v>
      </c>
      <c r="AA5006" s="373">
        <f>SUM(O5006:Z5006)</f>
        <v>227</v>
      </c>
    </row>
    <row r="5007" spans="1:27" x14ac:dyDescent="0.2">
      <c r="A5007" s="134"/>
      <c r="B5007" s="3658"/>
      <c r="C5007" s="3670"/>
      <c r="D5007" s="3660"/>
      <c r="E5007" s="3660"/>
      <c r="F5007" s="3660"/>
      <c r="G5007" s="3660"/>
      <c r="H5007" s="3660"/>
      <c r="I5007" s="3660"/>
      <c r="J5007" s="2973"/>
      <c r="K5007" s="3666"/>
      <c r="L5007" s="3660"/>
      <c r="M5007" s="1012" t="s">
        <v>180</v>
      </c>
      <c r="N5007" s="458" t="s">
        <v>1370</v>
      </c>
      <c r="O5007" s="483">
        <v>50</v>
      </c>
      <c r="P5007" s="483">
        <v>60</v>
      </c>
      <c r="Q5007" s="483">
        <v>60</v>
      </c>
      <c r="R5007" s="483">
        <v>55</v>
      </c>
      <c r="S5007" s="483">
        <v>45</v>
      </c>
      <c r="T5007" s="483">
        <v>60</v>
      </c>
      <c r="U5007" s="483">
        <v>55</v>
      </c>
      <c r="V5007" s="483">
        <v>50</v>
      </c>
      <c r="W5007" s="483">
        <v>60</v>
      </c>
      <c r="X5007" s="483">
        <v>50</v>
      </c>
      <c r="Y5007" s="483">
        <v>55</v>
      </c>
      <c r="Z5007" s="483">
        <v>40</v>
      </c>
      <c r="AA5007" s="373">
        <f t="shared" ref="AA5007:AA5012" si="840">SUM(O5007:Z5007)</f>
        <v>640</v>
      </c>
    </row>
    <row r="5008" spans="1:27" ht="22.5" x14ac:dyDescent="0.2">
      <c r="A5008" s="134"/>
      <c r="B5008" s="3658"/>
      <c r="C5008" s="3670"/>
      <c r="D5008" s="3660"/>
      <c r="E5008" s="3660"/>
      <c r="F5008" s="3660"/>
      <c r="G5008" s="3660"/>
      <c r="H5008" s="3660"/>
      <c r="I5008" s="3660"/>
      <c r="J5008" s="2973"/>
      <c r="K5008" s="3666"/>
      <c r="L5008" s="3660"/>
      <c r="M5008" s="1012" t="s">
        <v>215</v>
      </c>
      <c r="N5008" s="458" t="s">
        <v>1105</v>
      </c>
      <c r="O5008" s="483">
        <v>20</v>
      </c>
      <c r="P5008" s="483">
        <v>15</v>
      </c>
      <c r="Q5008" s="483">
        <v>23</v>
      </c>
      <c r="R5008" s="483">
        <v>22</v>
      </c>
      <c r="S5008" s="483">
        <v>18</v>
      </c>
      <c r="T5008" s="483">
        <v>17</v>
      </c>
      <c r="U5008" s="483">
        <v>16</v>
      </c>
      <c r="V5008" s="483">
        <v>20</v>
      </c>
      <c r="W5008" s="483">
        <v>18</v>
      </c>
      <c r="X5008" s="483">
        <v>17</v>
      </c>
      <c r="Y5008" s="483">
        <v>20</v>
      </c>
      <c r="Z5008" s="483">
        <v>21</v>
      </c>
      <c r="AA5008" s="373">
        <f t="shared" si="840"/>
        <v>227</v>
      </c>
    </row>
    <row r="5009" spans="1:27" ht="22.5" x14ac:dyDescent="0.2">
      <c r="A5009" s="134"/>
      <c r="B5009" s="3658"/>
      <c r="C5009" s="3670"/>
      <c r="D5009" s="3660"/>
      <c r="E5009" s="3660"/>
      <c r="F5009" s="3660"/>
      <c r="G5009" s="3660"/>
      <c r="H5009" s="3660"/>
      <c r="I5009" s="3660"/>
      <c r="J5009" s="2973"/>
      <c r="K5009" s="3666"/>
      <c r="L5009" s="3660"/>
      <c r="M5009" s="307" t="s">
        <v>184</v>
      </c>
      <c r="N5009" s="458" t="s">
        <v>1367</v>
      </c>
      <c r="O5009" s="483">
        <v>96</v>
      </c>
      <c r="P5009" s="483">
        <v>96</v>
      </c>
      <c r="Q5009" s="483">
        <v>96</v>
      </c>
      <c r="R5009" s="483">
        <v>96</v>
      </c>
      <c r="S5009" s="483">
        <v>96</v>
      </c>
      <c r="T5009" s="483">
        <v>96</v>
      </c>
      <c r="U5009" s="483">
        <v>96</v>
      </c>
      <c r="V5009" s="483">
        <v>96</v>
      </c>
      <c r="W5009" s="483">
        <v>96</v>
      </c>
      <c r="X5009" s="483">
        <v>96</v>
      </c>
      <c r="Y5009" s="483">
        <v>96</v>
      </c>
      <c r="Z5009" s="483">
        <v>96</v>
      </c>
      <c r="AA5009" s="373">
        <f t="shared" si="840"/>
        <v>1152</v>
      </c>
    </row>
    <row r="5010" spans="1:27" x14ac:dyDescent="0.2">
      <c r="A5010" s="134"/>
      <c r="B5010" s="3658"/>
      <c r="C5010" s="3670"/>
      <c r="D5010" s="3660"/>
      <c r="E5010" s="3660"/>
      <c r="F5010" s="3660"/>
      <c r="G5010" s="3660"/>
      <c r="H5010" s="3660"/>
      <c r="I5010" s="3660"/>
      <c r="J5010" s="2973"/>
      <c r="K5010" s="3666"/>
      <c r="L5010" s="3660"/>
      <c r="M5010" s="307" t="s">
        <v>217</v>
      </c>
      <c r="N5010" s="507" t="s">
        <v>2013</v>
      </c>
      <c r="O5010" s="483">
        <v>5</v>
      </c>
      <c r="P5010" s="483">
        <v>5</v>
      </c>
      <c r="Q5010" s="483">
        <v>5</v>
      </c>
      <c r="R5010" s="483">
        <v>5</v>
      </c>
      <c r="S5010" s="483">
        <v>5</v>
      </c>
      <c r="T5010" s="483">
        <v>5</v>
      </c>
      <c r="U5010" s="483">
        <v>5</v>
      </c>
      <c r="V5010" s="483">
        <v>5</v>
      </c>
      <c r="W5010" s="483">
        <v>5</v>
      </c>
      <c r="X5010" s="483">
        <v>5</v>
      </c>
      <c r="Y5010" s="483">
        <v>5</v>
      </c>
      <c r="Z5010" s="483">
        <v>5</v>
      </c>
      <c r="AA5010" s="373">
        <f t="shared" si="840"/>
        <v>60</v>
      </c>
    </row>
    <row r="5011" spans="1:27" x14ac:dyDescent="0.2">
      <c r="A5011" s="134"/>
      <c r="B5011" s="3658"/>
      <c r="C5011" s="3670"/>
      <c r="D5011" s="3660"/>
      <c r="E5011" s="3660"/>
      <c r="F5011" s="3660"/>
      <c r="G5011" s="3660"/>
      <c r="H5011" s="3660"/>
      <c r="I5011" s="3660"/>
      <c r="J5011" s="2973"/>
      <c r="K5011" s="3666"/>
      <c r="L5011" s="3660"/>
      <c r="M5011" s="38" t="s">
        <v>190</v>
      </c>
      <c r="N5011" s="38" t="s">
        <v>191</v>
      </c>
      <c r="O5011" s="483"/>
      <c r="P5011" s="483"/>
      <c r="Q5011" s="483"/>
      <c r="R5011" s="483"/>
      <c r="S5011" s="483"/>
      <c r="T5011" s="483"/>
      <c r="U5011" s="483"/>
      <c r="V5011" s="483"/>
      <c r="W5011" s="483"/>
      <c r="X5011" s="483"/>
      <c r="Y5011" s="483"/>
      <c r="Z5011" s="483"/>
      <c r="AA5011" s="373">
        <f t="shared" si="840"/>
        <v>0</v>
      </c>
    </row>
    <row r="5012" spans="1:27" ht="33.75" x14ac:dyDescent="0.2">
      <c r="A5012" s="134"/>
      <c r="B5012" s="3658"/>
      <c r="C5012" s="3670"/>
      <c r="D5012" s="3660"/>
      <c r="E5012" s="3660"/>
      <c r="F5012" s="3660"/>
      <c r="G5012" s="3660"/>
      <c r="H5012" s="3660"/>
      <c r="I5012" s="3660"/>
      <c r="J5012" s="2973"/>
      <c r="K5012" s="3666"/>
      <c r="L5012" s="3660"/>
      <c r="M5012" s="38" t="s">
        <v>194</v>
      </c>
      <c r="N5012" s="104" t="s">
        <v>2014</v>
      </c>
      <c r="O5012" s="483">
        <v>2100</v>
      </c>
      <c r="P5012" s="483">
        <v>2100</v>
      </c>
      <c r="Q5012" s="483">
        <v>2100</v>
      </c>
      <c r="R5012" s="483">
        <v>2100</v>
      </c>
      <c r="S5012" s="483">
        <v>2100</v>
      </c>
      <c r="T5012" s="483">
        <v>2100</v>
      </c>
      <c r="U5012" s="483">
        <v>2100</v>
      </c>
      <c r="V5012" s="483">
        <v>2100</v>
      </c>
      <c r="W5012" s="483">
        <v>2100</v>
      </c>
      <c r="X5012" s="483">
        <v>2100</v>
      </c>
      <c r="Y5012" s="483">
        <v>2100</v>
      </c>
      <c r="Z5012" s="483">
        <v>2100</v>
      </c>
      <c r="AA5012" s="373">
        <f t="shared" si="840"/>
        <v>25200</v>
      </c>
    </row>
    <row r="5013" spans="1:27" ht="22.5" x14ac:dyDescent="0.2">
      <c r="A5013" s="134"/>
      <c r="B5013" s="3658"/>
      <c r="C5013" s="3670"/>
      <c r="D5013" s="3660"/>
      <c r="E5013" s="3660"/>
      <c r="F5013" s="3660"/>
      <c r="G5013" s="3660"/>
      <c r="H5013" s="3660"/>
      <c r="I5013" s="3660"/>
      <c r="J5013" s="2973"/>
      <c r="K5013" s="3666"/>
      <c r="L5013" s="3660"/>
      <c r="M5013" s="38" t="s">
        <v>1142</v>
      </c>
      <c r="N5013" s="104" t="s">
        <v>2016</v>
      </c>
      <c r="O5013" s="132"/>
      <c r="P5013" s="132"/>
      <c r="Q5013" s="132"/>
      <c r="R5013" s="132"/>
      <c r="S5013" s="132"/>
      <c r="T5013" s="132"/>
      <c r="U5013" s="132"/>
      <c r="V5013" s="132"/>
      <c r="W5013" s="132"/>
      <c r="X5013" s="132"/>
      <c r="Y5013" s="132"/>
      <c r="Z5013" s="132"/>
      <c r="AA5013" s="1225"/>
    </row>
    <row r="5014" spans="1:27" x14ac:dyDescent="0.2">
      <c r="A5014" s="134"/>
      <c r="B5014" s="3658"/>
      <c r="C5014" s="3670"/>
      <c r="D5014" s="3660"/>
      <c r="E5014" s="3660"/>
      <c r="F5014" s="3660"/>
      <c r="G5014" s="3660"/>
      <c r="H5014" s="3660"/>
      <c r="I5014" s="3660"/>
      <c r="J5014" s="2973"/>
      <c r="K5014" s="3666"/>
      <c r="L5014" s="3660"/>
      <c r="M5014" s="38" t="s">
        <v>2017</v>
      </c>
      <c r="N5014" s="104" t="s">
        <v>2018</v>
      </c>
      <c r="O5014" s="132"/>
      <c r="P5014" s="132"/>
      <c r="Q5014" s="132"/>
      <c r="R5014" s="132"/>
      <c r="S5014" s="132"/>
      <c r="T5014" s="132"/>
      <c r="U5014" s="132"/>
      <c r="V5014" s="132"/>
      <c r="W5014" s="132"/>
      <c r="X5014" s="132"/>
      <c r="Y5014" s="132"/>
      <c r="Z5014" s="132"/>
      <c r="AA5014" s="1225"/>
    </row>
    <row r="5015" spans="1:27" ht="22.5" x14ac:dyDescent="0.2">
      <c r="A5015" s="134"/>
      <c r="B5015" s="3658"/>
      <c r="C5015" s="3670"/>
      <c r="D5015" s="3660"/>
      <c r="E5015" s="3660"/>
      <c r="F5015" s="3660"/>
      <c r="G5015" s="3660"/>
      <c r="H5015" s="3660"/>
      <c r="I5015" s="3660"/>
      <c r="J5015" s="2973"/>
      <c r="K5015" s="3666"/>
      <c r="L5015" s="3660"/>
      <c r="M5015" s="38" t="s">
        <v>2019</v>
      </c>
      <c r="N5015" s="104" t="s">
        <v>2020</v>
      </c>
      <c r="O5015" s="132"/>
      <c r="P5015" s="132"/>
      <c r="Q5015" s="132"/>
      <c r="R5015" s="132"/>
      <c r="S5015" s="132"/>
      <c r="T5015" s="132"/>
      <c r="U5015" s="132"/>
      <c r="V5015" s="132"/>
      <c r="W5015" s="132"/>
      <c r="X5015" s="132"/>
      <c r="Y5015" s="132"/>
      <c r="Z5015" s="132"/>
      <c r="AA5015" s="1225"/>
    </row>
    <row r="5016" spans="1:27" x14ac:dyDescent="0.2">
      <c r="A5016" s="134"/>
      <c r="B5016" s="3658">
        <v>5000003</v>
      </c>
      <c r="C5016" s="3670" t="s">
        <v>2023</v>
      </c>
      <c r="D5016" s="3660"/>
      <c r="E5016" s="3660">
        <v>19</v>
      </c>
      <c r="F5016" s="3660"/>
      <c r="G5016" s="3660"/>
      <c r="H5016" s="3660" t="s">
        <v>19</v>
      </c>
      <c r="I5016" s="3660" t="s">
        <v>376</v>
      </c>
      <c r="J5016" s="2973">
        <v>450</v>
      </c>
      <c r="K5016" s="2973">
        <f>+AA5017</f>
        <v>16333</v>
      </c>
      <c r="L5016" s="3660" t="s">
        <v>2012</v>
      </c>
      <c r="M5016" s="2999" t="s">
        <v>51</v>
      </c>
      <c r="N5016" s="2999"/>
      <c r="O5016" s="490">
        <v>30</v>
      </c>
      <c r="P5016" s="490">
        <v>35</v>
      </c>
      <c r="Q5016" s="490">
        <v>40</v>
      </c>
      <c r="R5016" s="490">
        <v>45</v>
      </c>
      <c r="S5016" s="490">
        <v>50</v>
      </c>
      <c r="T5016" s="490">
        <v>40</v>
      </c>
      <c r="U5016" s="490">
        <v>40</v>
      </c>
      <c r="V5016" s="490">
        <v>35</v>
      </c>
      <c r="W5016" s="490">
        <v>40</v>
      </c>
      <c r="X5016" s="490">
        <v>35</v>
      </c>
      <c r="Y5016" s="490">
        <v>35</v>
      </c>
      <c r="Z5016" s="490">
        <v>25</v>
      </c>
      <c r="AA5016" s="373">
        <f>SUM(O5016:Z5016)</f>
        <v>450</v>
      </c>
    </row>
    <row r="5017" spans="1:27" x14ac:dyDescent="0.2">
      <c r="A5017" s="134"/>
      <c r="B5017" s="3658"/>
      <c r="C5017" s="3670"/>
      <c r="D5017" s="3660"/>
      <c r="E5017" s="3660"/>
      <c r="F5017" s="3660"/>
      <c r="G5017" s="3660"/>
      <c r="H5017" s="3660"/>
      <c r="I5017" s="3660"/>
      <c r="J5017" s="2973"/>
      <c r="K5017" s="2973"/>
      <c r="L5017" s="3660"/>
      <c r="M5017" s="2999" t="s">
        <v>111</v>
      </c>
      <c r="N5017" s="2999"/>
      <c r="O5017" s="490">
        <f>+SUM(O5018:O5027)</f>
        <v>1332</v>
      </c>
      <c r="P5017" s="490">
        <f t="shared" ref="P5017:Z5017" si="841">+SUM(P5018:P5027)</f>
        <v>1353</v>
      </c>
      <c r="Q5017" s="490">
        <f t="shared" si="841"/>
        <v>1385</v>
      </c>
      <c r="R5017" s="490">
        <f t="shared" si="841"/>
        <v>1397</v>
      </c>
      <c r="S5017" s="490">
        <f t="shared" si="841"/>
        <v>1405</v>
      </c>
      <c r="T5017" s="490">
        <f t="shared" si="841"/>
        <v>1384</v>
      </c>
      <c r="U5017" s="490">
        <f t="shared" si="841"/>
        <v>1380</v>
      </c>
      <c r="V5017" s="490">
        <f t="shared" si="841"/>
        <v>1345</v>
      </c>
      <c r="W5017" s="490">
        <f t="shared" si="841"/>
        <v>1370</v>
      </c>
      <c r="X5017" s="490">
        <f t="shared" si="841"/>
        <v>1340</v>
      </c>
      <c r="Y5017" s="490">
        <f t="shared" si="841"/>
        <v>1342</v>
      </c>
      <c r="Z5017" s="490">
        <f t="shared" si="841"/>
        <v>1300</v>
      </c>
      <c r="AA5017" s="373">
        <f>SUM(O5017:Z5017)</f>
        <v>16333</v>
      </c>
    </row>
    <row r="5018" spans="1:27" ht="33.75" x14ac:dyDescent="0.2">
      <c r="A5018" s="134"/>
      <c r="B5018" s="3658"/>
      <c r="C5018" s="3670"/>
      <c r="D5018" s="3660"/>
      <c r="E5018" s="3660"/>
      <c r="F5018" s="3660"/>
      <c r="G5018" s="3660"/>
      <c r="H5018" s="3660"/>
      <c r="I5018" s="3660"/>
      <c r="J5018" s="2973"/>
      <c r="K5018" s="2973"/>
      <c r="L5018" s="3660"/>
      <c r="M5018" s="468" t="s">
        <v>178</v>
      </c>
      <c r="N5018" s="468" t="s">
        <v>1971</v>
      </c>
      <c r="O5018" s="291">
        <v>5</v>
      </c>
      <c r="P5018" s="291">
        <v>5</v>
      </c>
      <c r="Q5018" s="291">
        <v>5</v>
      </c>
      <c r="R5018" s="291">
        <v>5</v>
      </c>
      <c r="S5018" s="291">
        <v>5</v>
      </c>
      <c r="T5018" s="291">
        <v>5</v>
      </c>
      <c r="U5018" s="291">
        <v>5</v>
      </c>
      <c r="V5018" s="291">
        <v>5</v>
      </c>
      <c r="W5018" s="291">
        <v>5</v>
      </c>
      <c r="X5018" s="291">
        <v>5</v>
      </c>
      <c r="Y5018" s="291">
        <v>5</v>
      </c>
      <c r="Z5018" s="291">
        <v>5</v>
      </c>
      <c r="AA5018" s="373">
        <f>SUM(O5018:Z5018)</f>
        <v>60</v>
      </c>
    </row>
    <row r="5019" spans="1:27" x14ac:dyDescent="0.2">
      <c r="A5019" s="134"/>
      <c r="B5019" s="3658"/>
      <c r="C5019" s="3670"/>
      <c r="D5019" s="3660"/>
      <c r="E5019" s="3660"/>
      <c r="F5019" s="3660"/>
      <c r="G5019" s="3660"/>
      <c r="H5019" s="3660"/>
      <c r="I5019" s="3660"/>
      <c r="J5019" s="2973"/>
      <c r="K5019" s="2973"/>
      <c r="L5019" s="3660"/>
      <c r="M5019" s="468" t="s">
        <v>180</v>
      </c>
      <c r="N5019" s="468" t="s">
        <v>1370</v>
      </c>
      <c r="O5019" s="291"/>
      <c r="P5019" s="291"/>
      <c r="Q5019" s="291"/>
      <c r="R5019" s="291"/>
      <c r="S5019" s="291"/>
      <c r="T5019" s="291"/>
      <c r="U5019" s="291"/>
      <c r="V5019" s="291"/>
      <c r="W5019" s="291"/>
      <c r="X5019" s="291"/>
      <c r="Y5019" s="291"/>
      <c r="Z5019" s="291"/>
      <c r="AA5019" s="373">
        <f t="shared" ref="AA5019:AA5027" si="842">SUM(O5019:Z5019)</f>
        <v>0</v>
      </c>
    </row>
    <row r="5020" spans="1:27" ht="22.5" x14ac:dyDescent="0.2">
      <c r="A5020" s="134"/>
      <c r="B5020" s="3658"/>
      <c r="C5020" s="3670"/>
      <c r="D5020" s="3660"/>
      <c r="E5020" s="3660"/>
      <c r="F5020" s="3660"/>
      <c r="G5020" s="3660"/>
      <c r="H5020" s="3660"/>
      <c r="I5020" s="3660"/>
      <c r="J5020" s="2973"/>
      <c r="K5020" s="2973"/>
      <c r="L5020" s="3660"/>
      <c r="M5020" s="468" t="s">
        <v>215</v>
      </c>
      <c r="N5020" s="468" t="s">
        <v>1105</v>
      </c>
      <c r="O5020" s="291"/>
      <c r="P5020" s="291"/>
      <c r="Q5020" s="291"/>
      <c r="R5020" s="291"/>
      <c r="S5020" s="291"/>
      <c r="T5020" s="291"/>
      <c r="U5020" s="291"/>
      <c r="V5020" s="291"/>
      <c r="W5020" s="291"/>
      <c r="X5020" s="291"/>
      <c r="Y5020" s="291"/>
      <c r="Z5020" s="291"/>
      <c r="AA5020" s="373">
        <f t="shared" si="842"/>
        <v>0</v>
      </c>
    </row>
    <row r="5021" spans="1:27" ht="22.5" x14ac:dyDescent="0.2">
      <c r="A5021" s="134"/>
      <c r="B5021" s="3658"/>
      <c r="C5021" s="3670"/>
      <c r="D5021" s="3660"/>
      <c r="E5021" s="3660"/>
      <c r="F5021" s="3660"/>
      <c r="G5021" s="3660"/>
      <c r="H5021" s="3660"/>
      <c r="I5021" s="3660"/>
      <c r="J5021" s="2973"/>
      <c r="K5021" s="2973"/>
      <c r="L5021" s="3660"/>
      <c r="M5021" s="307" t="s">
        <v>184</v>
      </c>
      <c r="N5021" s="468" t="s">
        <v>1367</v>
      </c>
      <c r="O5021" s="291">
        <v>300</v>
      </c>
      <c r="P5021" s="291">
        <v>320</v>
      </c>
      <c r="Q5021" s="291">
        <v>350</v>
      </c>
      <c r="R5021" s="291">
        <v>360</v>
      </c>
      <c r="S5021" s="291">
        <v>370</v>
      </c>
      <c r="T5021" s="291">
        <v>350</v>
      </c>
      <c r="U5021" s="291">
        <v>350</v>
      </c>
      <c r="V5021" s="291">
        <v>320</v>
      </c>
      <c r="W5021" s="291">
        <v>350</v>
      </c>
      <c r="X5021" s="291">
        <v>320</v>
      </c>
      <c r="Y5021" s="291">
        <v>320</v>
      </c>
      <c r="Z5021" s="291">
        <v>280</v>
      </c>
      <c r="AA5021" s="373">
        <f t="shared" si="842"/>
        <v>3990</v>
      </c>
    </row>
    <row r="5022" spans="1:27" x14ac:dyDescent="0.2">
      <c r="A5022" s="134"/>
      <c r="B5022" s="3658"/>
      <c r="C5022" s="3670"/>
      <c r="D5022" s="3660"/>
      <c r="E5022" s="3660"/>
      <c r="F5022" s="3660"/>
      <c r="G5022" s="3660"/>
      <c r="H5022" s="3660"/>
      <c r="I5022" s="3660"/>
      <c r="J5022" s="2973"/>
      <c r="K5022" s="2973"/>
      <c r="L5022" s="3660"/>
      <c r="M5022" s="307" t="s">
        <v>217</v>
      </c>
      <c r="N5022" s="307" t="s">
        <v>2013</v>
      </c>
      <c r="O5022" s="291"/>
      <c r="P5022" s="291"/>
      <c r="Q5022" s="291"/>
      <c r="R5022" s="291"/>
      <c r="S5022" s="291"/>
      <c r="T5022" s="291"/>
      <c r="U5022" s="291"/>
      <c r="V5022" s="291"/>
      <c r="W5022" s="291"/>
      <c r="X5022" s="291"/>
      <c r="Y5022" s="291"/>
      <c r="Z5022" s="291"/>
      <c r="AA5022" s="373">
        <f t="shared" si="842"/>
        <v>0</v>
      </c>
    </row>
    <row r="5023" spans="1:27" x14ac:dyDescent="0.2">
      <c r="A5023" s="134"/>
      <c r="B5023" s="3658"/>
      <c r="C5023" s="3670"/>
      <c r="D5023" s="3660"/>
      <c r="E5023" s="3660"/>
      <c r="F5023" s="3660"/>
      <c r="G5023" s="3660"/>
      <c r="H5023" s="3660"/>
      <c r="I5023" s="3660"/>
      <c r="J5023" s="2973"/>
      <c r="K5023" s="2973"/>
      <c r="L5023" s="3660"/>
      <c r="M5023" s="111" t="s">
        <v>190</v>
      </c>
      <c r="N5023" s="111" t="s">
        <v>191</v>
      </c>
      <c r="O5023" s="291">
        <v>27</v>
      </c>
      <c r="P5023" s="291">
        <v>28</v>
      </c>
      <c r="Q5023" s="291">
        <v>30</v>
      </c>
      <c r="R5023" s="291">
        <v>32</v>
      </c>
      <c r="S5023" s="291">
        <v>30</v>
      </c>
      <c r="T5023" s="291">
        <v>29</v>
      </c>
      <c r="U5023" s="291">
        <v>25</v>
      </c>
      <c r="V5023" s="291">
        <v>20</v>
      </c>
      <c r="W5023" s="291">
        <v>15</v>
      </c>
      <c r="X5023" s="291">
        <v>15</v>
      </c>
      <c r="Y5023" s="291">
        <v>17</v>
      </c>
      <c r="Z5023" s="291">
        <v>15</v>
      </c>
      <c r="AA5023" s="373">
        <f t="shared" si="842"/>
        <v>283</v>
      </c>
    </row>
    <row r="5024" spans="1:27" ht="33.75" x14ac:dyDescent="0.2">
      <c r="A5024" s="134"/>
      <c r="B5024" s="3658"/>
      <c r="C5024" s="3670"/>
      <c r="D5024" s="3660"/>
      <c r="E5024" s="3660"/>
      <c r="F5024" s="3660"/>
      <c r="G5024" s="3660"/>
      <c r="H5024" s="3660"/>
      <c r="I5024" s="3660"/>
      <c r="J5024" s="2973"/>
      <c r="K5024" s="2973"/>
      <c r="L5024" s="3660"/>
      <c r="M5024" s="111" t="s">
        <v>194</v>
      </c>
      <c r="N5024" s="104" t="s">
        <v>2014</v>
      </c>
      <c r="O5024" s="291">
        <v>1000</v>
      </c>
      <c r="P5024" s="291">
        <v>1000</v>
      </c>
      <c r="Q5024" s="291">
        <v>1000</v>
      </c>
      <c r="R5024" s="291">
        <v>1000</v>
      </c>
      <c r="S5024" s="291">
        <v>1000</v>
      </c>
      <c r="T5024" s="291">
        <v>1000</v>
      </c>
      <c r="U5024" s="291">
        <v>1000</v>
      </c>
      <c r="V5024" s="291">
        <v>1000</v>
      </c>
      <c r="W5024" s="291">
        <v>1000</v>
      </c>
      <c r="X5024" s="291">
        <v>1000</v>
      </c>
      <c r="Y5024" s="291">
        <v>1000</v>
      </c>
      <c r="Z5024" s="291">
        <v>1000</v>
      </c>
      <c r="AA5024" s="373">
        <f t="shared" si="842"/>
        <v>12000</v>
      </c>
    </row>
    <row r="5025" spans="1:27" ht="22.5" x14ac:dyDescent="0.2">
      <c r="A5025" s="134"/>
      <c r="B5025" s="3658"/>
      <c r="C5025" s="3670"/>
      <c r="D5025" s="3660"/>
      <c r="E5025" s="3660"/>
      <c r="F5025" s="3660"/>
      <c r="G5025" s="3660"/>
      <c r="H5025" s="3660"/>
      <c r="I5025" s="3660"/>
      <c r="J5025" s="2973"/>
      <c r="K5025" s="2973"/>
      <c r="L5025" s="3660"/>
      <c r="M5025" s="111" t="s">
        <v>1142</v>
      </c>
      <c r="N5025" s="104" t="s">
        <v>2016</v>
      </c>
      <c r="O5025" s="291"/>
      <c r="P5025" s="291"/>
      <c r="Q5025" s="291"/>
      <c r="R5025" s="291"/>
      <c r="S5025" s="291"/>
      <c r="T5025" s="291"/>
      <c r="U5025" s="291"/>
      <c r="V5025" s="291"/>
      <c r="W5025" s="291"/>
      <c r="X5025" s="291"/>
      <c r="Y5025" s="291"/>
      <c r="Z5025" s="291"/>
      <c r="AA5025" s="373">
        <f t="shared" si="842"/>
        <v>0</v>
      </c>
    </row>
    <row r="5026" spans="1:27" x14ac:dyDescent="0.2">
      <c r="A5026" s="134"/>
      <c r="B5026" s="3658"/>
      <c r="C5026" s="3670"/>
      <c r="D5026" s="3660"/>
      <c r="E5026" s="3660"/>
      <c r="F5026" s="3660"/>
      <c r="G5026" s="3660"/>
      <c r="H5026" s="3660"/>
      <c r="I5026" s="3660"/>
      <c r="J5026" s="2973"/>
      <c r="K5026" s="2973"/>
      <c r="L5026" s="3660"/>
      <c r="M5026" s="111" t="s">
        <v>2017</v>
      </c>
      <c r="N5026" s="104" t="s">
        <v>2018</v>
      </c>
      <c r="O5026" s="291"/>
      <c r="P5026" s="291"/>
      <c r="Q5026" s="291"/>
      <c r="R5026" s="291"/>
      <c r="S5026" s="291"/>
      <c r="T5026" s="291"/>
      <c r="U5026" s="291"/>
      <c r="V5026" s="291"/>
      <c r="W5026" s="291"/>
      <c r="X5026" s="291"/>
      <c r="Y5026" s="291"/>
      <c r="Z5026" s="291"/>
      <c r="AA5026" s="373">
        <f t="shared" si="842"/>
        <v>0</v>
      </c>
    </row>
    <row r="5027" spans="1:27" ht="22.5" x14ac:dyDescent="0.2">
      <c r="A5027" s="134"/>
      <c r="B5027" s="3658"/>
      <c r="C5027" s="3670"/>
      <c r="D5027" s="3660"/>
      <c r="E5027" s="3660"/>
      <c r="F5027" s="3660"/>
      <c r="G5027" s="3660"/>
      <c r="H5027" s="3660"/>
      <c r="I5027" s="3660"/>
      <c r="J5027" s="2973"/>
      <c r="K5027" s="2973"/>
      <c r="L5027" s="3660"/>
      <c r="M5027" s="111" t="s">
        <v>2019</v>
      </c>
      <c r="N5027" s="104" t="s">
        <v>2020</v>
      </c>
      <c r="O5027" s="291"/>
      <c r="P5027" s="291"/>
      <c r="Q5027" s="291"/>
      <c r="R5027" s="291"/>
      <c r="S5027" s="291"/>
      <c r="T5027" s="291"/>
      <c r="U5027" s="291"/>
      <c r="V5027" s="291"/>
      <c r="W5027" s="291"/>
      <c r="X5027" s="291"/>
      <c r="Y5027" s="291"/>
      <c r="Z5027" s="291"/>
      <c r="AA5027" s="373">
        <f t="shared" si="842"/>
        <v>0</v>
      </c>
    </row>
    <row r="5028" spans="1:27" x14ac:dyDescent="0.2">
      <c r="A5028" s="134"/>
      <c r="B5028" s="3658">
        <v>5000003</v>
      </c>
      <c r="C5028" s="3670" t="s">
        <v>2024</v>
      </c>
      <c r="D5028" s="3660"/>
      <c r="E5028" s="3660">
        <v>19</v>
      </c>
      <c r="F5028" s="3660"/>
      <c r="G5028" s="3660"/>
      <c r="H5028" s="3660" t="s">
        <v>2025</v>
      </c>
      <c r="I5028" s="3660"/>
      <c r="J5028" s="2973">
        <v>4</v>
      </c>
      <c r="K5028" s="2973">
        <f>+AA5029</f>
        <v>14870</v>
      </c>
      <c r="L5028" s="3660" t="s">
        <v>2012</v>
      </c>
      <c r="M5028" s="2999" t="s">
        <v>51</v>
      </c>
      <c r="N5028" s="2999"/>
      <c r="O5028" s="490"/>
      <c r="P5028" s="490"/>
      <c r="Q5028" s="490">
        <v>1</v>
      </c>
      <c r="R5028" s="490"/>
      <c r="S5028" s="490"/>
      <c r="T5028" s="490">
        <v>1</v>
      </c>
      <c r="U5028" s="490"/>
      <c r="V5028" s="490"/>
      <c r="W5028" s="490">
        <v>1</v>
      </c>
      <c r="X5028" s="490"/>
      <c r="Y5028" s="490"/>
      <c r="Z5028" s="490">
        <v>1</v>
      </c>
      <c r="AA5028" s="373">
        <f>SUM(O5028:Z5028)</f>
        <v>4</v>
      </c>
    </row>
    <row r="5029" spans="1:27" x14ac:dyDescent="0.2">
      <c r="A5029" s="134"/>
      <c r="B5029" s="3658"/>
      <c r="C5029" s="3670"/>
      <c r="D5029" s="3660"/>
      <c r="E5029" s="3660"/>
      <c r="F5029" s="3660"/>
      <c r="G5029" s="3660"/>
      <c r="H5029" s="3660"/>
      <c r="I5029" s="3660"/>
      <c r="J5029" s="2973"/>
      <c r="K5029" s="2973"/>
      <c r="L5029" s="3660"/>
      <c r="M5029" s="2999" t="s">
        <v>111</v>
      </c>
      <c r="N5029" s="2999"/>
      <c r="O5029" s="490">
        <f>+SUM(O5030:O5039)</f>
        <v>0</v>
      </c>
      <c r="P5029" s="490">
        <f t="shared" ref="P5029:Z5029" si="843">+SUM(P5030:P5039)</f>
        <v>0</v>
      </c>
      <c r="Q5029" s="490">
        <f t="shared" si="843"/>
        <v>3640</v>
      </c>
      <c r="R5029" s="490">
        <f t="shared" si="843"/>
        <v>0</v>
      </c>
      <c r="S5029" s="490">
        <f t="shared" si="843"/>
        <v>0</v>
      </c>
      <c r="T5029" s="490">
        <f t="shared" si="843"/>
        <v>3690</v>
      </c>
      <c r="U5029" s="490">
        <f t="shared" si="843"/>
        <v>0</v>
      </c>
      <c r="V5029" s="490">
        <f t="shared" si="843"/>
        <v>0</v>
      </c>
      <c r="W5029" s="490">
        <f t="shared" si="843"/>
        <v>3780</v>
      </c>
      <c r="X5029" s="490">
        <f t="shared" si="843"/>
        <v>0</v>
      </c>
      <c r="Y5029" s="490">
        <f t="shared" si="843"/>
        <v>0</v>
      </c>
      <c r="Z5029" s="490">
        <f t="shared" si="843"/>
        <v>3760</v>
      </c>
      <c r="AA5029" s="373">
        <f>SUM(O5029:Z5029)</f>
        <v>14870</v>
      </c>
    </row>
    <row r="5030" spans="1:27" ht="33.75" x14ac:dyDescent="0.2">
      <c r="A5030" s="134"/>
      <c r="B5030" s="3658"/>
      <c r="C5030" s="3670"/>
      <c r="D5030" s="3660"/>
      <c r="E5030" s="3660"/>
      <c r="F5030" s="3660"/>
      <c r="G5030" s="3660"/>
      <c r="H5030" s="3660"/>
      <c r="I5030" s="3660"/>
      <c r="J5030" s="2973"/>
      <c r="K5030" s="2973"/>
      <c r="L5030" s="3660"/>
      <c r="M5030" s="1012" t="s">
        <v>178</v>
      </c>
      <c r="N5030" s="458" t="s">
        <v>1971</v>
      </c>
      <c r="O5030" s="483"/>
      <c r="P5030" s="483"/>
      <c r="Q5030" s="483">
        <v>150</v>
      </c>
      <c r="R5030" s="483"/>
      <c r="S5030" s="483"/>
      <c r="T5030" s="483">
        <v>180</v>
      </c>
      <c r="U5030" s="483"/>
      <c r="V5030" s="483"/>
      <c r="W5030" s="483">
        <v>200</v>
      </c>
      <c r="X5030" s="483"/>
      <c r="Y5030" s="483"/>
      <c r="Z5030" s="483">
        <v>180</v>
      </c>
      <c r="AA5030" s="373">
        <f>SUM(O5030:Z5030)</f>
        <v>710</v>
      </c>
    </row>
    <row r="5031" spans="1:27" x14ac:dyDescent="0.2">
      <c r="A5031" s="134"/>
      <c r="B5031" s="3658"/>
      <c r="C5031" s="3670"/>
      <c r="D5031" s="3660"/>
      <c r="E5031" s="3660"/>
      <c r="F5031" s="3660"/>
      <c r="G5031" s="3660"/>
      <c r="H5031" s="3660"/>
      <c r="I5031" s="3660"/>
      <c r="J5031" s="2973"/>
      <c r="K5031" s="2973"/>
      <c r="L5031" s="3660"/>
      <c r="M5031" s="1012" t="s">
        <v>180</v>
      </c>
      <c r="N5031" s="458" t="s">
        <v>1370</v>
      </c>
      <c r="O5031" s="483"/>
      <c r="P5031" s="483"/>
      <c r="Q5031" s="483">
        <v>100</v>
      </c>
      <c r="R5031" s="483"/>
      <c r="S5031" s="483"/>
      <c r="T5031" s="483">
        <v>120</v>
      </c>
      <c r="U5031" s="483"/>
      <c r="V5031" s="483"/>
      <c r="W5031" s="483">
        <v>160</v>
      </c>
      <c r="X5031" s="483"/>
      <c r="Y5031" s="483"/>
      <c r="Z5031" s="483">
        <v>150</v>
      </c>
      <c r="AA5031" s="373">
        <f t="shared" ref="AA5031:AA5036" si="844">SUM(O5031:Z5031)</f>
        <v>530</v>
      </c>
    </row>
    <row r="5032" spans="1:27" ht="22.5" x14ac:dyDescent="0.2">
      <c r="A5032" s="134"/>
      <c r="B5032" s="3658"/>
      <c r="C5032" s="3670"/>
      <c r="D5032" s="3660"/>
      <c r="E5032" s="3660"/>
      <c r="F5032" s="3660"/>
      <c r="G5032" s="3660"/>
      <c r="H5032" s="3660"/>
      <c r="I5032" s="3660"/>
      <c r="J5032" s="2973"/>
      <c r="K5032" s="2973"/>
      <c r="L5032" s="3660"/>
      <c r="M5032" s="1012" t="s">
        <v>215</v>
      </c>
      <c r="N5032" s="458" t="s">
        <v>1105</v>
      </c>
      <c r="O5032" s="483"/>
      <c r="P5032" s="483"/>
      <c r="Q5032" s="483">
        <v>50</v>
      </c>
      <c r="R5032" s="483"/>
      <c r="S5032" s="483"/>
      <c r="T5032" s="483">
        <v>50</v>
      </c>
      <c r="U5032" s="483"/>
      <c r="V5032" s="483"/>
      <c r="W5032" s="483">
        <v>60</v>
      </c>
      <c r="X5032" s="483"/>
      <c r="Y5032" s="483"/>
      <c r="Z5032" s="483">
        <v>70</v>
      </c>
      <c r="AA5032" s="373">
        <f t="shared" si="844"/>
        <v>230</v>
      </c>
    </row>
    <row r="5033" spans="1:27" ht="22.5" x14ac:dyDescent="0.2">
      <c r="A5033" s="134"/>
      <c r="B5033" s="3658"/>
      <c r="C5033" s="3670"/>
      <c r="D5033" s="3660"/>
      <c r="E5033" s="3660"/>
      <c r="F5033" s="3660"/>
      <c r="G5033" s="3660"/>
      <c r="H5033" s="3660"/>
      <c r="I5033" s="3660"/>
      <c r="J5033" s="2973"/>
      <c r="K5033" s="2973"/>
      <c r="L5033" s="3660"/>
      <c r="M5033" s="307" t="s">
        <v>184</v>
      </c>
      <c r="N5033" s="458" t="s">
        <v>1367</v>
      </c>
      <c r="O5033" s="483"/>
      <c r="P5033" s="483"/>
      <c r="Q5033" s="483">
        <v>340</v>
      </c>
      <c r="R5033" s="483"/>
      <c r="S5033" s="483"/>
      <c r="T5033" s="483">
        <v>340</v>
      </c>
      <c r="U5033" s="483"/>
      <c r="V5033" s="483"/>
      <c r="W5033" s="483">
        <v>360</v>
      </c>
      <c r="X5033" s="483"/>
      <c r="Y5033" s="483"/>
      <c r="Z5033" s="483">
        <v>360</v>
      </c>
      <c r="AA5033" s="373">
        <f t="shared" si="844"/>
        <v>1400</v>
      </c>
    </row>
    <row r="5034" spans="1:27" x14ac:dyDescent="0.2">
      <c r="A5034" s="134"/>
      <c r="B5034" s="3658"/>
      <c r="C5034" s="3670"/>
      <c r="D5034" s="3660"/>
      <c r="E5034" s="3660"/>
      <c r="F5034" s="3660"/>
      <c r="G5034" s="3660"/>
      <c r="H5034" s="3660"/>
      <c r="I5034" s="3660"/>
      <c r="J5034" s="2973"/>
      <c r="K5034" s="2973"/>
      <c r="L5034" s="3660"/>
      <c r="M5034" s="307" t="s">
        <v>217</v>
      </c>
      <c r="N5034" s="507" t="s">
        <v>2013</v>
      </c>
      <c r="O5034" s="483"/>
      <c r="P5034" s="483"/>
      <c r="Q5034" s="483"/>
      <c r="R5034" s="483"/>
      <c r="S5034" s="483"/>
      <c r="T5034" s="483"/>
      <c r="U5034" s="483"/>
      <c r="V5034" s="483"/>
      <c r="W5034" s="483"/>
      <c r="X5034" s="483"/>
      <c r="Y5034" s="483"/>
      <c r="Z5034" s="483"/>
      <c r="AA5034" s="373">
        <f t="shared" si="844"/>
        <v>0</v>
      </c>
    </row>
    <row r="5035" spans="1:27" x14ac:dyDescent="0.2">
      <c r="A5035" s="134"/>
      <c r="B5035" s="3658"/>
      <c r="C5035" s="3670"/>
      <c r="D5035" s="3660"/>
      <c r="E5035" s="3660"/>
      <c r="F5035" s="3660"/>
      <c r="G5035" s="3660"/>
      <c r="H5035" s="3660"/>
      <c r="I5035" s="3660"/>
      <c r="J5035" s="2973"/>
      <c r="K5035" s="2973"/>
      <c r="L5035" s="3660"/>
      <c r="M5035" s="38" t="s">
        <v>190</v>
      </c>
      <c r="N5035" s="38" t="s">
        <v>191</v>
      </c>
      <c r="O5035" s="483"/>
      <c r="P5035" s="483"/>
      <c r="Q5035" s="483"/>
      <c r="R5035" s="483"/>
      <c r="S5035" s="483"/>
      <c r="T5035" s="483"/>
      <c r="U5035" s="483"/>
      <c r="V5035" s="483"/>
      <c r="W5035" s="483"/>
      <c r="X5035" s="483"/>
      <c r="Y5035" s="483"/>
      <c r="Z5035" s="483"/>
      <c r="AA5035" s="373">
        <f t="shared" si="844"/>
        <v>0</v>
      </c>
    </row>
    <row r="5036" spans="1:27" ht="33.75" x14ac:dyDescent="0.2">
      <c r="A5036" s="134"/>
      <c r="B5036" s="3658"/>
      <c r="C5036" s="3670"/>
      <c r="D5036" s="3660"/>
      <c r="E5036" s="3660"/>
      <c r="F5036" s="3660"/>
      <c r="G5036" s="3660"/>
      <c r="H5036" s="3660"/>
      <c r="I5036" s="3660"/>
      <c r="J5036" s="2973"/>
      <c r="K5036" s="2973"/>
      <c r="L5036" s="3660"/>
      <c r="M5036" s="38" t="s">
        <v>194</v>
      </c>
      <c r="N5036" s="104" t="s">
        <v>2014</v>
      </c>
      <c r="O5036" s="483"/>
      <c r="P5036" s="483"/>
      <c r="Q5036" s="483">
        <v>3000</v>
      </c>
      <c r="R5036" s="483"/>
      <c r="S5036" s="483"/>
      <c r="T5036" s="483">
        <v>3000</v>
      </c>
      <c r="U5036" s="483"/>
      <c r="V5036" s="483"/>
      <c r="W5036" s="483">
        <v>3000</v>
      </c>
      <c r="X5036" s="483"/>
      <c r="Y5036" s="483"/>
      <c r="Z5036" s="483">
        <v>3000</v>
      </c>
      <c r="AA5036" s="373">
        <f t="shared" si="844"/>
        <v>12000</v>
      </c>
    </row>
    <row r="5037" spans="1:27" ht="22.5" x14ac:dyDescent="0.2">
      <c r="A5037" s="134"/>
      <c r="B5037" s="3658"/>
      <c r="C5037" s="3670"/>
      <c r="D5037" s="3660"/>
      <c r="E5037" s="3660"/>
      <c r="F5037" s="3660"/>
      <c r="G5037" s="3660"/>
      <c r="H5037" s="3660"/>
      <c r="I5037" s="3660"/>
      <c r="J5037" s="2973"/>
      <c r="K5037" s="2973"/>
      <c r="L5037" s="3660"/>
      <c r="M5037" s="38" t="s">
        <v>1142</v>
      </c>
      <c r="N5037" s="104" t="s">
        <v>2016</v>
      </c>
      <c r="O5037" s="132"/>
      <c r="P5037" s="132"/>
      <c r="Q5037" s="132"/>
      <c r="R5037" s="132"/>
      <c r="S5037" s="132"/>
      <c r="T5037" s="132"/>
      <c r="U5037" s="132"/>
      <c r="V5037" s="132"/>
      <c r="W5037" s="132"/>
      <c r="X5037" s="132"/>
      <c r="Y5037" s="132"/>
      <c r="Z5037" s="132"/>
      <c r="AA5037" s="1225"/>
    </row>
    <row r="5038" spans="1:27" x14ac:dyDescent="0.2">
      <c r="A5038" s="134"/>
      <c r="B5038" s="3658"/>
      <c r="C5038" s="3670"/>
      <c r="D5038" s="3660"/>
      <c r="E5038" s="3660"/>
      <c r="F5038" s="3660"/>
      <c r="G5038" s="3660"/>
      <c r="H5038" s="3660"/>
      <c r="I5038" s="3660"/>
      <c r="J5038" s="2973"/>
      <c r="K5038" s="2973"/>
      <c r="L5038" s="3660"/>
      <c r="M5038" s="38" t="s">
        <v>2017</v>
      </c>
      <c r="N5038" s="104" t="s">
        <v>2018</v>
      </c>
      <c r="O5038" s="132"/>
      <c r="P5038" s="132"/>
      <c r="Q5038" s="132"/>
      <c r="R5038" s="132"/>
      <c r="S5038" s="132"/>
      <c r="T5038" s="132"/>
      <c r="U5038" s="132"/>
      <c r="V5038" s="132"/>
      <c r="W5038" s="132"/>
      <c r="X5038" s="132"/>
      <c r="Y5038" s="132"/>
      <c r="Z5038" s="132"/>
      <c r="AA5038" s="1225"/>
    </row>
    <row r="5039" spans="1:27" ht="22.5" x14ac:dyDescent="0.2">
      <c r="A5039" s="134"/>
      <c r="B5039" s="3658"/>
      <c r="C5039" s="3670"/>
      <c r="D5039" s="3660"/>
      <c r="E5039" s="3660"/>
      <c r="F5039" s="3660"/>
      <c r="G5039" s="3660"/>
      <c r="H5039" s="3660"/>
      <c r="I5039" s="3660"/>
      <c r="J5039" s="2973"/>
      <c r="K5039" s="2973"/>
      <c r="L5039" s="3660"/>
      <c r="M5039" s="38" t="s">
        <v>2019</v>
      </c>
      <c r="N5039" s="104" t="s">
        <v>2020</v>
      </c>
      <c r="O5039" s="132"/>
      <c r="P5039" s="132"/>
      <c r="Q5039" s="132"/>
      <c r="R5039" s="132"/>
      <c r="S5039" s="132"/>
      <c r="T5039" s="132"/>
      <c r="U5039" s="132"/>
      <c r="V5039" s="132"/>
      <c r="W5039" s="132"/>
      <c r="X5039" s="132"/>
      <c r="Y5039" s="132"/>
      <c r="Z5039" s="132"/>
      <c r="AA5039" s="1225"/>
    </row>
    <row r="5040" spans="1:27" x14ac:dyDescent="0.2">
      <c r="A5040" s="134"/>
      <c r="B5040" s="3658">
        <v>5000003</v>
      </c>
      <c r="C5040" s="3670" t="s">
        <v>2026</v>
      </c>
      <c r="D5040" s="3660"/>
      <c r="E5040" s="3660">
        <v>19</v>
      </c>
      <c r="F5040" s="3660"/>
      <c r="G5040" s="3660"/>
      <c r="H5040" s="3660" t="s">
        <v>19</v>
      </c>
      <c r="I5040" s="3660" t="s">
        <v>2027</v>
      </c>
      <c r="J5040" s="2973">
        <v>2</v>
      </c>
      <c r="K5040" s="2973">
        <f>+AA5041</f>
        <v>9520</v>
      </c>
      <c r="L5040" s="3660" t="s">
        <v>2012</v>
      </c>
      <c r="M5040" s="2999" t="s">
        <v>51</v>
      </c>
      <c r="N5040" s="2999"/>
      <c r="O5040" s="490"/>
      <c r="P5040" s="490"/>
      <c r="Q5040" s="490"/>
      <c r="R5040" s="490"/>
      <c r="S5040" s="490">
        <v>1</v>
      </c>
      <c r="T5040" s="490"/>
      <c r="U5040" s="490"/>
      <c r="V5040" s="490"/>
      <c r="W5040" s="490"/>
      <c r="X5040" s="490">
        <v>1</v>
      </c>
      <c r="Y5040" s="490"/>
      <c r="Z5040" s="490"/>
      <c r="AA5040" s="373">
        <f>SUM(O5040:Z5040)</f>
        <v>2</v>
      </c>
    </row>
    <row r="5041" spans="1:27" x14ac:dyDescent="0.2">
      <c r="A5041" s="134"/>
      <c r="B5041" s="3658"/>
      <c r="C5041" s="3670"/>
      <c r="D5041" s="3660"/>
      <c r="E5041" s="3660"/>
      <c r="F5041" s="3660"/>
      <c r="G5041" s="3660"/>
      <c r="H5041" s="3660"/>
      <c r="I5041" s="3660"/>
      <c r="J5041" s="2973"/>
      <c r="K5041" s="2973"/>
      <c r="L5041" s="3660"/>
      <c r="M5041" s="2999" t="s">
        <v>111</v>
      </c>
      <c r="N5041" s="2999"/>
      <c r="O5041" s="490"/>
      <c r="P5041" s="490"/>
      <c r="Q5041" s="490"/>
      <c r="R5041" s="490"/>
      <c r="S5041" s="490">
        <f t="shared" ref="S5041" si="845">+SUM(S5042:S5051)</f>
        <v>4760</v>
      </c>
      <c r="T5041" s="490"/>
      <c r="U5041" s="490"/>
      <c r="V5041" s="490"/>
      <c r="W5041" s="490"/>
      <c r="X5041" s="490">
        <f t="shared" ref="X5041" si="846">+SUM(X5042:X5051)</f>
        <v>4760</v>
      </c>
      <c r="Y5041" s="490"/>
      <c r="Z5041" s="490"/>
      <c r="AA5041" s="373">
        <f>SUM(O5041:Z5041)</f>
        <v>9520</v>
      </c>
    </row>
    <row r="5042" spans="1:27" ht="33.75" x14ac:dyDescent="0.2">
      <c r="A5042" s="134"/>
      <c r="B5042" s="3658"/>
      <c r="C5042" s="3670"/>
      <c r="D5042" s="3660"/>
      <c r="E5042" s="3660"/>
      <c r="F5042" s="3660"/>
      <c r="G5042" s="3660"/>
      <c r="H5042" s="3660"/>
      <c r="I5042" s="3660"/>
      <c r="J5042" s="2973"/>
      <c r="K5042" s="2973"/>
      <c r="L5042" s="3660"/>
      <c r="M5042" s="458" t="s">
        <v>178</v>
      </c>
      <c r="N5042" s="458" t="s">
        <v>1971</v>
      </c>
      <c r="O5042" s="490"/>
      <c r="P5042" s="490"/>
      <c r="Q5042" s="490"/>
      <c r="R5042" s="490"/>
      <c r="S5042" s="490"/>
      <c r="T5042" s="490"/>
      <c r="U5042" s="490"/>
      <c r="V5042" s="490"/>
      <c r="W5042" s="490"/>
      <c r="X5042" s="490"/>
      <c r="Y5042" s="490"/>
      <c r="Z5042" s="490"/>
      <c r="AA5042" s="373">
        <f>SUM(O5042:Z5042)</f>
        <v>0</v>
      </c>
    </row>
    <row r="5043" spans="1:27" x14ac:dyDescent="0.2">
      <c r="A5043" s="134"/>
      <c r="B5043" s="3658"/>
      <c r="C5043" s="3670"/>
      <c r="D5043" s="3660"/>
      <c r="E5043" s="3660"/>
      <c r="F5043" s="3660"/>
      <c r="G5043" s="3660"/>
      <c r="H5043" s="3660"/>
      <c r="I5043" s="3660"/>
      <c r="J5043" s="2973"/>
      <c r="K5043" s="2973"/>
      <c r="L5043" s="3660"/>
      <c r="M5043" s="458" t="s">
        <v>180</v>
      </c>
      <c r="N5043" s="458" t="s">
        <v>1370</v>
      </c>
      <c r="O5043" s="132"/>
      <c r="P5043" s="132"/>
      <c r="Q5043" s="132"/>
      <c r="R5043" s="286"/>
      <c r="S5043" s="561">
        <v>120</v>
      </c>
      <c r="T5043" s="561"/>
      <c r="U5043" s="561"/>
      <c r="V5043" s="561"/>
      <c r="W5043" s="561"/>
      <c r="X5043" s="561">
        <v>120</v>
      </c>
      <c r="Y5043" s="286"/>
      <c r="Z5043" s="286"/>
      <c r="AA5043" s="373">
        <f t="shared" ref="AA5043:AA5051" si="847">SUM(O5043:Z5043)</f>
        <v>240</v>
      </c>
    </row>
    <row r="5044" spans="1:27" ht="22.5" x14ac:dyDescent="0.2">
      <c r="A5044" s="134"/>
      <c r="B5044" s="3658"/>
      <c r="C5044" s="3670"/>
      <c r="D5044" s="3660"/>
      <c r="E5044" s="3660"/>
      <c r="F5044" s="3660"/>
      <c r="G5044" s="3660"/>
      <c r="H5044" s="3660"/>
      <c r="I5044" s="3660"/>
      <c r="J5044" s="2973"/>
      <c r="K5044" s="2973"/>
      <c r="L5044" s="3660"/>
      <c r="M5044" s="458" t="s">
        <v>215</v>
      </c>
      <c r="N5044" s="458" t="s">
        <v>1105</v>
      </c>
      <c r="O5044" s="132"/>
      <c r="P5044" s="132"/>
      <c r="Q5044" s="132"/>
      <c r="R5044" s="286"/>
      <c r="S5044" s="561">
        <v>70</v>
      </c>
      <c r="T5044" s="561"/>
      <c r="U5044" s="561"/>
      <c r="V5044" s="561"/>
      <c r="W5044" s="561"/>
      <c r="X5044" s="561">
        <v>70</v>
      </c>
      <c r="Y5044" s="286"/>
      <c r="Z5044" s="286"/>
      <c r="AA5044" s="373">
        <f t="shared" si="847"/>
        <v>140</v>
      </c>
    </row>
    <row r="5045" spans="1:27" ht="22.5" x14ac:dyDescent="0.2">
      <c r="A5045" s="134"/>
      <c r="B5045" s="3658"/>
      <c r="C5045" s="3670"/>
      <c r="D5045" s="3660"/>
      <c r="E5045" s="3660"/>
      <c r="F5045" s="3660"/>
      <c r="G5045" s="3660"/>
      <c r="H5045" s="3660"/>
      <c r="I5045" s="3660"/>
      <c r="J5045" s="2973"/>
      <c r="K5045" s="2973"/>
      <c r="L5045" s="3660"/>
      <c r="M5045" s="507" t="s">
        <v>184</v>
      </c>
      <c r="N5045" s="458" t="s">
        <v>1367</v>
      </c>
      <c r="O5045" s="132"/>
      <c r="P5045" s="132"/>
      <c r="Q5045" s="132"/>
      <c r="R5045" s="286"/>
      <c r="S5045" s="561">
        <v>450</v>
      </c>
      <c r="T5045" s="561"/>
      <c r="U5045" s="561"/>
      <c r="V5045" s="561"/>
      <c r="W5045" s="561"/>
      <c r="X5045" s="561">
        <v>450</v>
      </c>
      <c r="Y5045" s="286"/>
      <c r="Z5045" s="286"/>
      <c r="AA5045" s="373">
        <f t="shared" si="847"/>
        <v>900</v>
      </c>
    </row>
    <row r="5046" spans="1:27" x14ac:dyDescent="0.2">
      <c r="A5046" s="134"/>
      <c r="B5046" s="3658"/>
      <c r="C5046" s="3670"/>
      <c r="D5046" s="3660"/>
      <c r="E5046" s="3660"/>
      <c r="F5046" s="3660"/>
      <c r="G5046" s="3660"/>
      <c r="H5046" s="3660"/>
      <c r="I5046" s="3660"/>
      <c r="J5046" s="2973"/>
      <c r="K5046" s="2973"/>
      <c r="L5046" s="3660"/>
      <c r="M5046" s="507" t="s">
        <v>217</v>
      </c>
      <c r="N5046" s="507" t="s">
        <v>2013</v>
      </c>
      <c r="O5046" s="132"/>
      <c r="P5046" s="132"/>
      <c r="Q5046" s="132"/>
      <c r="R5046" s="286"/>
      <c r="S5046" s="561"/>
      <c r="T5046" s="561"/>
      <c r="U5046" s="561"/>
      <c r="V5046" s="561"/>
      <c r="W5046" s="561"/>
      <c r="X5046" s="561"/>
      <c r="Y5046" s="286"/>
      <c r="Z5046" s="286"/>
      <c r="AA5046" s="373">
        <f t="shared" si="847"/>
        <v>0</v>
      </c>
    </row>
    <row r="5047" spans="1:27" x14ac:dyDescent="0.2">
      <c r="A5047" s="134"/>
      <c r="B5047" s="3658"/>
      <c r="C5047" s="3670"/>
      <c r="D5047" s="3660"/>
      <c r="E5047" s="3660"/>
      <c r="F5047" s="3660"/>
      <c r="G5047" s="3660"/>
      <c r="H5047" s="3660"/>
      <c r="I5047" s="3660"/>
      <c r="J5047" s="2973"/>
      <c r="K5047" s="2973"/>
      <c r="L5047" s="3660"/>
      <c r="M5047" s="498" t="s">
        <v>190</v>
      </c>
      <c r="N5047" s="38" t="s">
        <v>191</v>
      </c>
      <c r="O5047" s="132"/>
      <c r="P5047" s="132"/>
      <c r="Q5047" s="132"/>
      <c r="R5047" s="286"/>
      <c r="S5047" s="561">
        <v>120</v>
      </c>
      <c r="T5047" s="561"/>
      <c r="U5047" s="561"/>
      <c r="V5047" s="561"/>
      <c r="W5047" s="561"/>
      <c r="X5047" s="561">
        <v>120</v>
      </c>
      <c r="Y5047" s="286"/>
      <c r="Z5047" s="286"/>
      <c r="AA5047" s="373">
        <f t="shared" si="847"/>
        <v>240</v>
      </c>
    </row>
    <row r="5048" spans="1:27" ht="33.75" x14ac:dyDescent="0.2">
      <c r="A5048" s="134"/>
      <c r="B5048" s="3658"/>
      <c r="C5048" s="3670"/>
      <c r="D5048" s="3660"/>
      <c r="E5048" s="3660"/>
      <c r="F5048" s="3660"/>
      <c r="G5048" s="3660"/>
      <c r="H5048" s="3660"/>
      <c r="I5048" s="3660"/>
      <c r="J5048" s="2973"/>
      <c r="K5048" s="2973"/>
      <c r="L5048" s="3660"/>
      <c r="M5048" s="498" t="s">
        <v>194</v>
      </c>
      <c r="N5048" s="104" t="s">
        <v>2014</v>
      </c>
      <c r="O5048" s="132"/>
      <c r="P5048" s="132"/>
      <c r="Q5048" s="132"/>
      <c r="R5048" s="286"/>
      <c r="S5048" s="561">
        <v>4000</v>
      </c>
      <c r="T5048" s="561"/>
      <c r="U5048" s="561"/>
      <c r="V5048" s="561"/>
      <c r="W5048" s="561"/>
      <c r="X5048" s="561">
        <v>4000</v>
      </c>
      <c r="Y5048" s="286"/>
      <c r="Z5048" s="286"/>
      <c r="AA5048" s="373">
        <f t="shared" si="847"/>
        <v>8000</v>
      </c>
    </row>
    <row r="5049" spans="1:27" ht="22.5" x14ac:dyDescent="0.2">
      <c r="A5049" s="134"/>
      <c r="B5049" s="3658"/>
      <c r="C5049" s="3670"/>
      <c r="D5049" s="3660"/>
      <c r="E5049" s="3660"/>
      <c r="F5049" s="3660"/>
      <c r="G5049" s="3660"/>
      <c r="H5049" s="3660"/>
      <c r="I5049" s="3660"/>
      <c r="J5049" s="2973"/>
      <c r="K5049" s="2973"/>
      <c r="L5049" s="3660"/>
      <c r="M5049" s="498" t="s">
        <v>1142</v>
      </c>
      <c r="N5049" s="104" t="s">
        <v>2016</v>
      </c>
      <c r="O5049" s="132"/>
      <c r="P5049" s="132"/>
      <c r="Q5049" s="132"/>
      <c r="R5049" s="286"/>
      <c r="S5049" s="286"/>
      <c r="T5049" s="286"/>
      <c r="U5049" s="286"/>
      <c r="V5049" s="286"/>
      <c r="W5049" s="286"/>
      <c r="X5049" s="286"/>
      <c r="Y5049" s="286"/>
      <c r="Z5049" s="286"/>
      <c r="AA5049" s="373">
        <f t="shared" si="847"/>
        <v>0</v>
      </c>
    </row>
    <row r="5050" spans="1:27" x14ac:dyDescent="0.2">
      <c r="A5050" s="134"/>
      <c r="B5050" s="3658"/>
      <c r="C5050" s="3670"/>
      <c r="D5050" s="3660"/>
      <c r="E5050" s="3660"/>
      <c r="F5050" s="3660"/>
      <c r="G5050" s="3660"/>
      <c r="H5050" s="3660"/>
      <c r="I5050" s="3660"/>
      <c r="J5050" s="2973"/>
      <c r="K5050" s="2973"/>
      <c r="L5050" s="3660"/>
      <c r="M5050" s="498" t="s">
        <v>2017</v>
      </c>
      <c r="N5050" s="104" t="s">
        <v>2018</v>
      </c>
      <c r="O5050" s="132"/>
      <c r="P5050" s="132"/>
      <c r="Q5050" s="132"/>
      <c r="R5050" s="286"/>
      <c r="S5050" s="286"/>
      <c r="T5050" s="286"/>
      <c r="U5050" s="286"/>
      <c r="V5050" s="286"/>
      <c r="W5050" s="286"/>
      <c r="X5050" s="286"/>
      <c r="Y5050" s="286"/>
      <c r="Z5050" s="286"/>
      <c r="AA5050" s="373">
        <f t="shared" si="847"/>
        <v>0</v>
      </c>
    </row>
    <row r="5051" spans="1:27" ht="22.5" x14ac:dyDescent="0.2">
      <c r="A5051" s="134"/>
      <c r="B5051" s="3658"/>
      <c r="C5051" s="3670"/>
      <c r="D5051" s="3660"/>
      <c r="E5051" s="3660"/>
      <c r="F5051" s="3660"/>
      <c r="G5051" s="3660"/>
      <c r="H5051" s="3660"/>
      <c r="I5051" s="3660"/>
      <c r="J5051" s="2973"/>
      <c r="K5051" s="2973"/>
      <c r="L5051" s="3660"/>
      <c r="M5051" s="498" t="s">
        <v>2019</v>
      </c>
      <c r="N5051" s="104" t="s">
        <v>2020</v>
      </c>
      <c r="O5051" s="132"/>
      <c r="P5051" s="132"/>
      <c r="Q5051" s="132"/>
      <c r="R5051" s="286"/>
      <c r="S5051" s="286"/>
      <c r="T5051" s="286"/>
      <c r="U5051" s="286"/>
      <c r="V5051" s="286"/>
      <c r="W5051" s="286"/>
      <c r="X5051" s="286"/>
      <c r="Y5051" s="286"/>
      <c r="Z5051" s="286"/>
      <c r="AA5051" s="373">
        <f t="shared" si="847"/>
        <v>0</v>
      </c>
    </row>
    <row r="5052" spans="1:27" x14ac:dyDescent="0.2">
      <c r="A5052" s="134"/>
      <c r="B5052" s="3658">
        <v>5000003</v>
      </c>
      <c r="C5052" s="3670" t="s">
        <v>2028</v>
      </c>
      <c r="D5052" s="3660"/>
      <c r="E5052" s="3660">
        <v>19</v>
      </c>
      <c r="F5052" s="3660"/>
      <c r="G5052" s="3660"/>
      <c r="H5052" s="3660" t="s">
        <v>19</v>
      </c>
      <c r="I5052" s="3660" t="s">
        <v>2027</v>
      </c>
      <c r="J5052" s="2973">
        <v>12</v>
      </c>
      <c r="K5052" s="2973">
        <f>+AA5053</f>
        <v>26341</v>
      </c>
      <c r="L5052" s="3660" t="s">
        <v>2029</v>
      </c>
      <c r="M5052" s="2999" t="s">
        <v>51</v>
      </c>
      <c r="N5052" s="2999"/>
      <c r="O5052" s="490">
        <v>1</v>
      </c>
      <c r="P5052" s="490">
        <v>1</v>
      </c>
      <c r="Q5052" s="490">
        <v>1</v>
      </c>
      <c r="R5052" s="490">
        <v>1</v>
      </c>
      <c r="S5052" s="490">
        <v>1</v>
      </c>
      <c r="T5052" s="490">
        <v>1</v>
      </c>
      <c r="U5052" s="490">
        <v>1</v>
      </c>
      <c r="V5052" s="490">
        <v>1</v>
      </c>
      <c r="W5052" s="490">
        <v>1</v>
      </c>
      <c r="X5052" s="490">
        <v>1</v>
      </c>
      <c r="Y5052" s="490">
        <v>1</v>
      </c>
      <c r="Z5052" s="490">
        <v>1</v>
      </c>
      <c r="AA5052" s="373">
        <f>SUM(O5052:Z5052)</f>
        <v>12</v>
      </c>
    </row>
    <row r="5053" spans="1:27" x14ac:dyDescent="0.2">
      <c r="A5053" s="134"/>
      <c r="B5053" s="3658"/>
      <c r="C5053" s="3670"/>
      <c r="D5053" s="3660"/>
      <c r="E5053" s="3660"/>
      <c r="F5053" s="3660"/>
      <c r="G5053" s="3660"/>
      <c r="H5053" s="3660"/>
      <c r="I5053" s="3660"/>
      <c r="J5053" s="2973"/>
      <c r="K5053" s="2973"/>
      <c r="L5053" s="3660"/>
      <c r="M5053" s="2999" t="s">
        <v>111</v>
      </c>
      <c r="N5053" s="2999"/>
      <c r="O5053" s="490">
        <f>+SUM(O5054:O5063)</f>
        <v>2064</v>
      </c>
      <c r="P5053" s="490">
        <f t="shared" ref="P5053:Z5053" si="848">+SUM(P5054:P5063)</f>
        <v>2092</v>
      </c>
      <c r="Q5053" s="490">
        <f t="shared" si="848"/>
        <v>2244</v>
      </c>
      <c r="R5053" s="490">
        <f t="shared" si="848"/>
        <v>2279</v>
      </c>
      <c r="S5053" s="490">
        <f t="shared" si="848"/>
        <v>2195</v>
      </c>
      <c r="T5053" s="490">
        <f t="shared" si="848"/>
        <v>2281</v>
      </c>
      <c r="U5053" s="490">
        <f t="shared" si="848"/>
        <v>2248</v>
      </c>
      <c r="V5053" s="490">
        <f t="shared" si="848"/>
        <v>1940</v>
      </c>
      <c r="W5053" s="490">
        <f t="shared" si="848"/>
        <v>2297</v>
      </c>
      <c r="X5053" s="490">
        <f t="shared" si="848"/>
        <v>2256</v>
      </c>
      <c r="Y5053" s="490">
        <f t="shared" si="848"/>
        <v>2269</v>
      </c>
      <c r="Z5053" s="490">
        <f t="shared" si="848"/>
        <v>2176</v>
      </c>
      <c r="AA5053" s="373">
        <f>SUM(O5053:Z5053)</f>
        <v>26341</v>
      </c>
    </row>
    <row r="5054" spans="1:27" ht="33.75" x14ac:dyDescent="0.2">
      <c r="A5054" s="134"/>
      <c r="B5054" s="3658"/>
      <c r="C5054" s="3670"/>
      <c r="D5054" s="3660"/>
      <c r="E5054" s="3660"/>
      <c r="F5054" s="3660"/>
      <c r="G5054" s="3660"/>
      <c r="H5054" s="3660"/>
      <c r="I5054" s="3660"/>
      <c r="J5054" s="2973"/>
      <c r="K5054" s="2973"/>
      <c r="L5054" s="3660"/>
      <c r="M5054" s="458" t="s">
        <v>178</v>
      </c>
      <c r="N5054" s="458" t="s">
        <v>1971</v>
      </c>
      <c r="O5054" s="483"/>
      <c r="P5054" s="483"/>
      <c r="Q5054" s="483"/>
      <c r="R5054" s="483"/>
      <c r="S5054" s="483"/>
      <c r="T5054" s="483"/>
      <c r="U5054" s="483"/>
      <c r="V5054" s="483"/>
      <c r="W5054" s="483"/>
      <c r="X5054" s="483"/>
      <c r="Y5054" s="483"/>
      <c r="Z5054" s="483"/>
      <c r="AA5054" s="373">
        <f>SUM(O5054:Z5054)</f>
        <v>0</v>
      </c>
    </row>
    <row r="5055" spans="1:27" x14ac:dyDescent="0.2">
      <c r="A5055" s="134"/>
      <c r="B5055" s="3658"/>
      <c r="C5055" s="3670"/>
      <c r="D5055" s="3660"/>
      <c r="E5055" s="3660"/>
      <c r="F5055" s="3660"/>
      <c r="G5055" s="3660"/>
      <c r="H5055" s="3660"/>
      <c r="I5055" s="3660"/>
      <c r="J5055" s="2973"/>
      <c r="K5055" s="2973"/>
      <c r="L5055" s="3660"/>
      <c r="M5055" s="458" t="s">
        <v>180</v>
      </c>
      <c r="N5055" s="458" t="s">
        <v>1370</v>
      </c>
      <c r="O5055" s="293">
        <v>70</v>
      </c>
      <c r="P5055" s="293">
        <v>69</v>
      </c>
      <c r="Q5055" s="293">
        <v>70</v>
      </c>
      <c r="R5055" s="293">
        <v>65</v>
      </c>
      <c r="S5055" s="293">
        <v>70</v>
      </c>
      <c r="T5055" s="293">
        <v>65</v>
      </c>
      <c r="U5055" s="293">
        <v>120</v>
      </c>
      <c r="V5055" s="293">
        <v>60</v>
      </c>
      <c r="W5055" s="293">
        <v>80</v>
      </c>
      <c r="X5055" s="293">
        <v>60</v>
      </c>
      <c r="Y5055" s="293">
        <v>65</v>
      </c>
      <c r="Z5055" s="293">
        <v>70</v>
      </c>
      <c r="AA5055" s="373">
        <f t="shared" ref="AA5055:AA5063" si="849">SUM(O5055:Z5055)</f>
        <v>864</v>
      </c>
    </row>
    <row r="5056" spans="1:27" ht="22.5" x14ac:dyDescent="0.2">
      <c r="A5056" s="134"/>
      <c r="B5056" s="3658"/>
      <c r="C5056" s="3670"/>
      <c r="D5056" s="3660"/>
      <c r="E5056" s="3660"/>
      <c r="F5056" s="3660"/>
      <c r="G5056" s="3660"/>
      <c r="H5056" s="3660"/>
      <c r="I5056" s="3660"/>
      <c r="J5056" s="2973"/>
      <c r="K5056" s="2973"/>
      <c r="L5056" s="3660"/>
      <c r="M5056" s="458" t="s">
        <v>215</v>
      </c>
      <c r="N5056" s="458" t="s">
        <v>1105</v>
      </c>
      <c r="O5056" s="293">
        <v>6</v>
      </c>
      <c r="P5056" s="293">
        <v>5</v>
      </c>
      <c r="Q5056" s="293">
        <v>4</v>
      </c>
      <c r="R5056" s="293">
        <v>6</v>
      </c>
      <c r="S5056" s="293">
        <v>7</v>
      </c>
      <c r="T5056" s="293">
        <v>8</v>
      </c>
      <c r="U5056" s="293">
        <v>10</v>
      </c>
      <c r="V5056" s="293">
        <v>5</v>
      </c>
      <c r="W5056" s="293">
        <v>9</v>
      </c>
      <c r="X5056" s="293">
        <v>8</v>
      </c>
      <c r="Y5056" s="293">
        <v>6</v>
      </c>
      <c r="Z5056" s="293">
        <v>8</v>
      </c>
      <c r="AA5056" s="373">
        <f t="shared" si="849"/>
        <v>82</v>
      </c>
    </row>
    <row r="5057" spans="1:27" ht="22.5" x14ac:dyDescent="0.2">
      <c r="A5057" s="134"/>
      <c r="B5057" s="3658"/>
      <c r="C5057" s="3670"/>
      <c r="D5057" s="3660"/>
      <c r="E5057" s="3660"/>
      <c r="F5057" s="3660"/>
      <c r="G5057" s="3660"/>
      <c r="H5057" s="3660"/>
      <c r="I5057" s="3660"/>
      <c r="J5057" s="2973"/>
      <c r="K5057" s="2973"/>
      <c r="L5057" s="3660"/>
      <c r="M5057" s="507" t="s">
        <v>184</v>
      </c>
      <c r="N5057" s="458" t="s">
        <v>1367</v>
      </c>
      <c r="O5057" s="293">
        <v>120</v>
      </c>
      <c r="P5057" s="293">
        <v>150</v>
      </c>
      <c r="Q5057" s="293">
        <v>300</v>
      </c>
      <c r="R5057" s="293">
        <v>340</v>
      </c>
      <c r="S5057" s="293">
        <v>250</v>
      </c>
      <c r="T5057" s="293">
        <v>340</v>
      </c>
      <c r="U5057" s="293">
        <v>250</v>
      </c>
      <c r="V5057" s="293">
        <v>7</v>
      </c>
      <c r="W5057" s="293">
        <v>340</v>
      </c>
      <c r="X5057" s="293">
        <v>320</v>
      </c>
      <c r="Y5057" s="293">
        <v>330</v>
      </c>
      <c r="Z5057" s="293">
        <v>230</v>
      </c>
      <c r="AA5057" s="373">
        <f t="shared" si="849"/>
        <v>2977</v>
      </c>
    </row>
    <row r="5058" spans="1:27" x14ac:dyDescent="0.2">
      <c r="A5058" s="134"/>
      <c r="B5058" s="3658"/>
      <c r="C5058" s="3670"/>
      <c r="D5058" s="3660"/>
      <c r="E5058" s="3660"/>
      <c r="F5058" s="3660"/>
      <c r="G5058" s="3660"/>
      <c r="H5058" s="3660"/>
      <c r="I5058" s="3660"/>
      <c r="J5058" s="2973"/>
      <c r="K5058" s="2973"/>
      <c r="L5058" s="3660"/>
      <c r="M5058" s="507" t="s">
        <v>217</v>
      </c>
      <c r="N5058" s="507" t="s">
        <v>2013</v>
      </c>
      <c r="O5058" s="293"/>
      <c r="P5058" s="293"/>
      <c r="Q5058" s="293"/>
      <c r="R5058" s="293"/>
      <c r="S5058" s="293"/>
      <c r="T5058" s="293"/>
      <c r="U5058" s="293"/>
      <c r="V5058" s="293"/>
      <c r="W5058" s="293"/>
      <c r="X5058" s="293"/>
      <c r="Y5058" s="293"/>
      <c r="Z5058" s="293"/>
      <c r="AA5058" s="373">
        <f t="shared" si="849"/>
        <v>0</v>
      </c>
    </row>
    <row r="5059" spans="1:27" x14ac:dyDescent="0.2">
      <c r="A5059" s="134"/>
      <c r="B5059" s="3658"/>
      <c r="C5059" s="3670"/>
      <c r="D5059" s="3660"/>
      <c r="E5059" s="3660"/>
      <c r="F5059" s="3660"/>
      <c r="G5059" s="3660"/>
      <c r="H5059" s="3660"/>
      <c r="I5059" s="3660"/>
      <c r="J5059" s="2973"/>
      <c r="K5059" s="2973"/>
      <c r="L5059" s="3660"/>
      <c r="M5059" s="498" t="s">
        <v>190</v>
      </c>
      <c r="N5059" s="38" t="s">
        <v>191</v>
      </c>
      <c r="O5059" s="293">
        <v>18</v>
      </c>
      <c r="P5059" s="293">
        <v>18</v>
      </c>
      <c r="Q5059" s="293">
        <v>20</v>
      </c>
      <c r="R5059" s="293">
        <v>18</v>
      </c>
      <c r="S5059" s="293">
        <v>18</v>
      </c>
      <c r="T5059" s="293">
        <v>18</v>
      </c>
      <c r="U5059" s="293">
        <v>18</v>
      </c>
      <c r="V5059" s="293">
        <v>18</v>
      </c>
      <c r="W5059" s="293">
        <v>18</v>
      </c>
      <c r="X5059" s="293">
        <v>18</v>
      </c>
      <c r="Y5059" s="293">
        <v>18</v>
      </c>
      <c r="Z5059" s="293">
        <v>18</v>
      </c>
      <c r="AA5059" s="373">
        <f t="shared" si="849"/>
        <v>218</v>
      </c>
    </row>
    <row r="5060" spans="1:27" ht="33.75" x14ac:dyDescent="0.2">
      <c r="A5060" s="134"/>
      <c r="B5060" s="3658"/>
      <c r="C5060" s="3670"/>
      <c r="D5060" s="3660"/>
      <c r="E5060" s="3660"/>
      <c r="F5060" s="3660"/>
      <c r="G5060" s="3660"/>
      <c r="H5060" s="3660"/>
      <c r="I5060" s="3660"/>
      <c r="J5060" s="2973"/>
      <c r="K5060" s="2973"/>
      <c r="L5060" s="3660"/>
      <c r="M5060" s="498" t="s">
        <v>194</v>
      </c>
      <c r="N5060" s="104" t="s">
        <v>2014</v>
      </c>
      <c r="O5060" s="293">
        <v>1850</v>
      </c>
      <c r="P5060" s="293">
        <v>1850</v>
      </c>
      <c r="Q5060" s="293">
        <v>1850</v>
      </c>
      <c r="R5060" s="293">
        <v>1850</v>
      </c>
      <c r="S5060" s="293">
        <v>1850</v>
      </c>
      <c r="T5060" s="293">
        <v>1850</v>
      </c>
      <c r="U5060" s="293">
        <v>1850</v>
      </c>
      <c r="V5060" s="293">
        <v>1850</v>
      </c>
      <c r="W5060" s="293">
        <v>1850</v>
      </c>
      <c r="X5060" s="293">
        <v>1850</v>
      </c>
      <c r="Y5060" s="293">
        <v>1850</v>
      </c>
      <c r="Z5060" s="293">
        <v>1850</v>
      </c>
      <c r="AA5060" s="373">
        <f t="shared" si="849"/>
        <v>22200</v>
      </c>
    </row>
    <row r="5061" spans="1:27" ht="22.5" x14ac:dyDescent="0.2">
      <c r="A5061" s="134"/>
      <c r="B5061" s="3658"/>
      <c r="C5061" s="3670"/>
      <c r="D5061" s="3660"/>
      <c r="E5061" s="3660"/>
      <c r="F5061" s="3660"/>
      <c r="G5061" s="3660"/>
      <c r="H5061" s="3660"/>
      <c r="I5061" s="3660"/>
      <c r="J5061" s="2973"/>
      <c r="K5061" s="2973"/>
      <c r="L5061" s="3660"/>
      <c r="M5061" s="498" t="s">
        <v>1142</v>
      </c>
      <c r="N5061" s="104" t="s">
        <v>2016</v>
      </c>
      <c r="O5061" s="132"/>
      <c r="P5061" s="132"/>
      <c r="Q5061" s="132"/>
      <c r="R5061" s="132"/>
      <c r="S5061" s="132"/>
      <c r="T5061" s="132"/>
      <c r="U5061" s="132"/>
      <c r="V5061" s="132"/>
      <c r="W5061" s="132"/>
      <c r="X5061" s="132"/>
      <c r="Y5061" s="132"/>
      <c r="Z5061" s="132"/>
      <c r="AA5061" s="373">
        <f t="shared" si="849"/>
        <v>0</v>
      </c>
    </row>
    <row r="5062" spans="1:27" x14ac:dyDescent="0.2">
      <c r="A5062" s="134"/>
      <c r="B5062" s="3658"/>
      <c r="C5062" s="3670"/>
      <c r="D5062" s="3660"/>
      <c r="E5062" s="3660"/>
      <c r="F5062" s="3660"/>
      <c r="G5062" s="3660"/>
      <c r="H5062" s="3660"/>
      <c r="I5062" s="3660"/>
      <c r="J5062" s="2973"/>
      <c r="K5062" s="2973"/>
      <c r="L5062" s="3660"/>
      <c r="M5062" s="498" t="s">
        <v>2017</v>
      </c>
      <c r="N5062" s="104" t="s">
        <v>2018</v>
      </c>
      <c r="O5062" s="132"/>
      <c r="P5062" s="132"/>
      <c r="Q5062" s="132"/>
      <c r="R5062" s="132"/>
      <c r="S5062" s="132"/>
      <c r="T5062" s="132"/>
      <c r="U5062" s="132"/>
      <c r="V5062" s="132"/>
      <c r="W5062" s="132"/>
      <c r="X5062" s="132"/>
      <c r="Y5062" s="132"/>
      <c r="Z5062" s="132"/>
      <c r="AA5062" s="373">
        <f t="shared" si="849"/>
        <v>0</v>
      </c>
    </row>
    <row r="5063" spans="1:27" ht="22.5" x14ac:dyDescent="0.2">
      <c r="A5063" s="134"/>
      <c r="B5063" s="3658"/>
      <c r="C5063" s="3670"/>
      <c r="D5063" s="3660"/>
      <c r="E5063" s="3660"/>
      <c r="F5063" s="3660"/>
      <c r="G5063" s="3660"/>
      <c r="H5063" s="3660"/>
      <c r="I5063" s="3660"/>
      <c r="J5063" s="2973"/>
      <c r="K5063" s="2973"/>
      <c r="L5063" s="3660"/>
      <c r="M5063" s="498" t="s">
        <v>2019</v>
      </c>
      <c r="N5063" s="104" t="s">
        <v>2020</v>
      </c>
      <c r="O5063" s="132"/>
      <c r="P5063" s="132"/>
      <c r="Q5063" s="132"/>
      <c r="R5063" s="132"/>
      <c r="S5063" s="132"/>
      <c r="T5063" s="132"/>
      <c r="U5063" s="132"/>
      <c r="V5063" s="132"/>
      <c r="W5063" s="132"/>
      <c r="X5063" s="132"/>
      <c r="Y5063" s="132"/>
      <c r="Z5063" s="132"/>
      <c r="AA5063" s="373">
        <f t="shared" si="849"/>
        <v>0</v>
      </c>
    </row>
    <row r="5064" spans="1:27" x14ac:dyDescent="0.2">
      <c r="A5064" s="134"/>
      <c r="B5064" s="3658">
        <v>5000003</v>
      </c>
      <c r="C5064" s="3670" t="s">
        <v>2030</v>
      </c>
      <c r="D5064" s="3660"/>
      <c r="E5064" s="3660">
        <v>19</v>
      </c>
      <c r="F5064" s="3660"/>
      <c r="G5064" s="3660"/>
      <c r="H5064" s="3660" t="s">
        <v>2031</v>
      </c>
      <c r="I5064" s="3660" t="s">
        <v>2011</v>
      </c>
      <c r="J5064" s="2973">
        <v>20</v>
      </c>
      <c r="K5064" s="2973">
        <f>+AA5065</f>
        <v>27110.650000000009</v>
      </c>
      <c r="L5064" s="3660" t="s">
        <v>2029</v>
      </c>
      <c r="M5064" s="2999" t="s">
        <v>51</v>
      </c>
      <c r="N5064" s="2999"/>
      <c r="O5064" s="490">
        <v>1</v>
      </c>
      <c r="P5064" s="490">
        <v>2</v>
      </c>
      <c r="Q5064" s="490">
        <v>2</v>
      </c>
      <c r="R5064" s="490">
        <v>2</v>
      </c>
      <c r="S5064" s="490">
        <v>2</v>
      </c>
      <c r="T5064" s="490">
        <v>1</v>
      </c>
      <c r="U5064" s="490">
        <v>1</v>
      </c>
      <c r="V5064" s="490">
        <v>2</v>
      </c>
      <c r="W5064" s="490">
        <v>2</v>
      </c>
      <c r="X5064" s="490">
        <v>2</v>
      </c>
      <c r="Y5064" s="490">
        <v>2</v>
      </c>
      <c r="Z5064" s="490">
        <v>1</v>
      </c>
      <c r="AA5064" s="373">
        <f>SUM(O5064:Z5064)</f>
        <v>20</v>
      </c>
    </row>
    <row r="5065" spans="1:27" x14ac:dyDescent="0.2">
      <c r="A5065" s="134"/>
      <c r="B5065" s="3658"/>
      <c r="C5065" s="3670"/>
      <c r="D5065" s="3660"/>
      <c r="E5065" s="3660"/>
      <c r="F5065" s="3660"/>
      <c r="G5065" s="3660"/>
      <c r="H5065" s="3660"/>
      <c r="I5065" s="3660"/>
      <c r="J5065" s="2973"/>
      <c r="K5065" s="2973"/>
      <c r="L5065" s="3660"/>
      <c r="M5065" s="2999" t="s">
        <v>111</v>
      </c>
      <c r="N5065" s="2999"/>
      <c r="O5065" s="490">
        <f>+SUM(O5066:O5075)</f>
        <v>2254.3850000000002</v>
      </c>
      <c r="P5065" s="490">
        <f t="shared" ref="P5065:Z5065" si="850">+SUM(P5066:P5075)</f>
        <v>2254.3850000000002</v>
      </c>
      <c r="Q5065" s="490">
        <f t="shared" si="850"/>
        <v>2259.3850000000002</v>
      </c>
      <c r="R5065" s="490">
        <f t="shared" si="850"/>
        <v>2261.3850000000002</v>
      </c>
      <c r="S5065" s="490">
        <f t="shared" si="850"/>
        <v>2257.3850000000002</v>
      </c>
      <c r="T5065" s="490">
        <f t="shared" si="850"/>
        <v>2300.3850000000002</v>
      </c>
      <c r="U5065" s="490">
        <f t="shared" si="850"/>
        <v>2258.3850000000002</v>
      </c>
      <c r="V5065" s="490">
        <f t="shared" si="850"/>
        <v>2260.3850000000002</v>
      </c>
      <c r="W5065" s="490">
        <f t="shared" si="850"/>
        <v>2255.3850000000002</v>
      </c>
      <c r="X5065" s="490">
        <f t="shared" si="850"/>
        <v>2259.3850000000002</v>
      </c>
      <c r="Y5065" s="490">
        <f t="shared" si="850"/>
        <v>2258.3850000000002</v>
      </c>
      <c r="Z5065" s="490">
        <f t="shared" si="850"/>
        <v>2231.415</v>
      </c>
      <c r="AA5065" s="373">
        <f>SUM(O5065:Z5065)</f>
        <v>27110.650000000009</v>
      </c>
    </row>
    <row r="5066" spans="1:27" ht="33.75" x14ac:dyDescent="0.2">
      <c r="A5066" s="134"/>
      <c r="B5066" s="3658"/>
      <c r="C5066" s="3670"/>
      <c r="D5066" s="3660"/>
      <c r="E5066" s="3660"/>
      <c r="F5066" s="3660"/>
      <c r="G5066" s="3660"/>
      <c r="H5066" s="3660"/>
      <c r="I5066" s="3660"/>
      <c r="J5066" s="2973"/>
      <c r="K5066" s="2973"/>
      <c r="L5066" s="3660"/>
      <c r="M5066" s="458" t="s">
        <v>178</v>
      </c>
      <c r="N5066" s="458" t="s">
        <v>1971</v>
      </c>
      <c r="O5066" s="483">
        <v>19</v>
      </c>
      <c r="P5066" s="483">
        <v>19</v>
      </c>
      <c r="Q5066" s="483">
        <v>19</v>
      </c>
      <c r="R5066" s="483">
        <v>19</v>
      </c>
      <c r="S5066" s="483">
        <v>19</v>
      </c>
      <c r="T5066" s="483">
        <v>30</v>
      </c>
      <c r="U5066" s="483">
        <v>19</v>
      </c>
      <c r="V5066" s="483">
        <v>19</v>
      </c>
      <c r="W5066" s="483">
        <v>19</v>
      </c>
      <c r="X5066" s="483">
        <v>19</v>
      </c>
      <c r="Y5066" s="483">
        <v>19</v>
      </c>
      <c r="Z5066" s="483">
        <v>10</v>
      </c>
      <c r="AA5066" s="373">
        <f>SUM(O5066:Z5066)</f>
        <v>230</v>
      </c>
    </row>
    <row r="5067" spans="1:27" x14ac:dyDescent="0.2">
      <c r="A5067" s="134"/>
      <c r="B5067" s="3658"/>
      <c r="C5067" s="3670"/>
      <c r="D5067" s="3660"/>
      <c r="E5067" s="3660"/>
      <c r="F5067" s="3660"/>
      <c r="G5067" s="3660"/>
      <c r="H5067" s="3660"/>
      <c r="I5067" s="3660"/>
      <c r="J5067" s="2973"/>
      <c r="K5067" s="2973"/>
      <c r="L5067" s="3660"/>
      <c r="M5067" s="458" t="s">
        <v>180</v>
      </c>
      <c r="N5067" s="458" t="s">
        <v>1370</v>
      </c>
      <c r="O5067" s="483">
        <v>55</v>
      </c>
      <c r="P5067" s="483">
        <v>55</v>
      </c>
      <c r="Q5067" s="483">
        <v>55</v>
      </c>
      <c r="R5067" s="483">
        <v>55</v>
      </c>
      <c r="S5067" s="483">
        <v>55</v>
      </c>
      <c r="T5067" s="483">
        <v>85</v>
      </c>
      <c r="U5067" s="483">
        <v>55</v>
      </c>
      <c r="V5067" s="483">
        <v>55</v>
      </c>
      <c r="W5067" s="483">
        <v>55</v>
      </c>
      <c r="X5067" s="483">
        <v>55</v>
      </c>
      <c r="Y5067" s="483">
        <v>55</v>
      </c>
      <c r="Z5067" s="483">
        <v>40</v>
      </c>
      <c r="AA5067" s="373">
        <f t="shared" ref="AA5067:AA5072" si="851">SUM(O5067:Z5067)</f>
        <v>675</v>
      </c>
    </row>
    <row r="5068" spans="1:27" ht="22.5" x14ac:dyDescent="0.2">
      <c r="A5068" s="134"/>
      <c r="B5068" s="3658"/>
      <c r="C5068" s="3670"/>
      <c r="D5068" s="3660"/>
      <c r="E5068" s="3660"/>
      <c r="F5068" s="3660"/>
      <c r="G5068" s="3660"/>
      <c r="H5068" s="3660"/>
      <c r="I5068" s="3660"/>
      <c r="J5068" s="2973"/>
      <c r="K5068" s="2973"/>
      <c r="L5068" s="3660"/>
      <c r="M5068" s="458" t="s">
        <v>215</v>
      </c>
      <c r="N5068" s="458" t="s">
        <v>1105</v>
      </c>
      <c r="O5068" s="483">
        <v>20.385000000000002</v>
      </c>
      <c r="P5068" s="483">
        <v>20.385000000000002</v>
      </c>
      <c r="Q5068" s="483">
        <v>20.385000000000002</v>
      </c>
      <c r="R5068" s="483">
        <v>20.385000000000002</v>
      </c>
      <c r="S5068" s="483">
        <v>20.385000000000002</v>
      </c>
      <c r="T5068" s="483">
        <v>20.385000000000002</v>
      </c>
      <c r="U5068" s="483">
        <v>20.385000000000002</v>
      </c>
      <c r="V5068" s="483">
        <v>20.385000000000002</v>
      </c>
      <c r="W5068" s="483">
        <v>20.385000000000002</v>
      </c>
      <c r="X5068" s="483">
        <v>20.385000000000002</v>
      </c>
      <c r="Y5068" s="483">
        <v>20.385000000000002</v>
      </c>
      <c r="Z5068" s="483">
        <f>20.385+0.03</f>
        <v>20.415000000000003</v>
      </c>
      <c r="AA5068" s="373">
        <f t="shared" si="851"/>
        <v>244.64999999999998</v>
      </c>
    </row>
    <row r="5069" spans="1:27" ht="22.5" x14ac:dyDescent="0.2">
      <c r="A5069" s="134"/>
      <c r="B5069" s="3658"/>
      <c r="C5069" s="3670"/>
      <c r="D5069" s="3660"/>
      <c r="E5069" s="3660"/>
      <c r="F5069" s="3660"/>
      <c r="G5069" s="3660"/>
      <c r="H5069" s="3660"/>
      <c r="I5069" s="3660"/>
      <c r="J5069" s="2973"/>
      <c r="K5069" s="2973"/>
      <c r="L5069" s="3660"/>
      <c r="M5069" s="507" t="s">
        <v>184</v>
      </c>
      <c r="N5069" s="458" t="s">
        <v>1367</v>
      </c>
      <c r="O5069" s="483">
        <v>150</v>
      </c>
      <c r="P5069" s="483">
        <v>150</v>
      </c>
      <c r="Q5069" s="483">
        <v>150</v>
      </c>
      <c r="R5069" s="483">
        <v>150</v>
      </c>
      <c r="S5069" s="483">
        <v>150</v>
      </c>
      <c r="T5069" s="483">
        <v>150</v>
      </c>
      <c r="U5069" s="483">
        <v>150</v>
      </c>
      <c r="V5069" s="483">
        <v>150</v>
      </c>
      <c r="W5069" s="483">
        <v>150</v>
      </c>
      <c r="X5069" s="483">
        <v>150</v>
      </c>
      <c r="Y5069" s="483">
        <v>150</v>
      </c>
      <c r="Z5069" s="483">
        <v>150</v>
      </c>
      <c r="AA5069" s="373">
        <f t="shared" si="851"/>
        <v>1800</v>
      </c>
    </row>
    <row r="5070" spans="1:27" x14ac:dyDescent="0.2">
      <c r="A5070" s="134"/>
      <c r="B5070" s="3658"/>
      <c r="C5070" s="3670"/>
      <c r="D5070" s="3660"/>
      <c r="E5070" s="3660"/>
      <c r="F5070" s="3660"/>
      <c r="G5070" s="3660"/>
      <c r="H5070" s="3660"/>
      <c r="I5070" s="3660"/>
      <c r="J5070" s="2973"/>
      <c r="K5070" s="2973"/>
      <c r="L5070" s="3660"/>
      <c r="M5070" s="507" t="s">
        <v>217</v>
      </c>
      <c r="N5070" s="507" t="s">
        <v>2013</v>
      </c>
      <c r="O5070" s="483">
        <v>6</v>
      </c>
      <c r="P5070" s="483">
        <v>4</v>
      </c>
      <c r="Q5070" s="483">
        <v>8</v>
      </c>
      <c r="R5070" s="483">
        <v>9</v>
      </c>
      <c r="S5070" s="483">
        <v>10</v>
      </c>
      <c r="T5070" s="483">
        <v>6</v>
      </c>
      <c r="U5070" s="483">
        <v>8</v>
      </c>
      <c r="V5070" s="483">
        <v>9</v>
      </c>
      <c r="W5070" s="483">
        <v>7</v>
      </c>
      <c r="X5070" s="483">
        <v>8</v>
      </c>
      <c r="Y5070" s="483">
        <v>6</v>
      </c>
      <c r="Z5070" s="483">
        <v>4</v>
      </c>
      <c r="AA5070" s="373">
        <f t="shared" si="851"/>
        <v>85</v>
      </c>
    </row>
    <row r="5071" spans="1:27" x14ac:dyDescent="0.2">
      <c r="A5071" s="134"/>
      <c r="B5071" s="3658"/>
      <c r="C5071" s="3670"/>
      <c r="D5071" s="3660"/>
      <c r="E5071" s="3660"/>
      <c r="F5071" s="3660"/>
      <c r="G5071" s="3660"/>
      <c r="H5071" s="3660"/>
      <c r="I5071" s="3660"/>
      <c r="J5071" s="2973"/>
      <c r="K5071" s="2973"/>
      <c r="L5071" s="3660"/>
      <c r="M5071" s="498" t="s">
        <v>190</v>
      </c>
      <c r="N5071" s="38" t="s">
        <v>191</v>
      </c>
      <c r="O5071" s="483">
        <v>4</v>
      </c>
      <c r="P5071" s="483">
        <v>6</v>
      </c>
      <c r="Q5071" s="483">
        <v>7</v>
      </c>
      <c r="R5071" s="483">
        <v>8</v>
      </c>
      <c r="S5071" s="483">
        <v>3</v>
      </c>
      <c r="T5071" s="483">
        <v>9</v>
      </c>
      <c r="U5071" s="483">
        <v>6</v>
      </c>
      <c r="V5071" s="483">
        <v>7</v>
      </c>
      <c r="W5071" s="483">
        <v>4</v>
      </c>
      <c r="X5071" s="483">
        <v>7</v>
      </c>
      <c r="Y5071" s="483">
        <v>8</v>
      </c>
      <c r="Z5071" s="483">
        <v>7</v>
      </c>
      <c r="AA5071" s="373">
        <f t="shared" si="851"/>
        <v>76</v>
      </c>
    </row>
    <row r="5072" spans="1:27" ht="33.75" x14ac:dyDescent="0.2">
      <c r="A5072" s="134"/>
      <c r="B5072" s="3658"/>
      <c r="C5072" s="3670"/>
      <c r="D5072" s="3660"/>
      <c r="E5072" s="3660"/>
      <c r="F5072" s="3660"/>
      <c r="G5072" s="3660"/>
      <c r="H5072" s="3660"/>
      <c r="I5072" s="3660"/>
      <c r="J5072" s="2973"/>
      <c r="K5072" s="2973"/>
      <c r="L5072" s="3660"/>
      <c r="M5072" s="498" t="s">
        <v>194</v>
      </c>
      <c r="N5072" s="104" t="s">
        <v>2014</v>
      </c>
      <c r="O5072" s="483">
        <v>2000</v>
      </c>
      <c r="P5072" s="483">
        <v>2000</v>
      </c>
      <c r="Q5072" s="483">
        <v>2000</v>
      </c>
      <c r="R5072" s="483">
        <v>2000</v>
      </c>
      <c r="S5072" s="483">
        <v>2000</v>
      </c>
      <c r="T5072" s="483">
        <v>2000</v>
      </c>
      <c r="U5072" s="483">
        <v>2000</v>
      </c>
      <c r="V5072" s="483">
        <v>2000</v>
      </c>
      <c r="W5072" s="483">
        <v>2000</v>
      </c>
      <c r="X5072" s="483">
        <v>2000</v>
      </c>
      <c r="Y5072" s="483">
        <v>2000</v>
      </c>
      <c r="Z5072" s="483">
        <v>2000</v>
      </c>
      <c r="AA5072" s="373">
        <f t="shared" si="851"/>
        <v>24000</v>
      </c>
    </row>
    <row r="5073" spans="1:27" ht="22.5" x14ac:dyDescent="0.2">
      <c r="A5073" s="134"/>
      <c r="B5073" s="3658"/>
      <c r="C5073" s="3670"/>
      <c r="D5073" s="3660"/>
      <c r="E5073" s="3660"/>
      <c r="F5073" s="3660"/>
      <c r="G5073" s="3660"/>
      <c r="H5073" s="3660"/>
      <c r="I5073" s="3660"/>
      <c r="J5073" s="2973"/>
      <c r="K5073" s="2973"/>
      <c r="L5073" s="3660"/>
      <c r="M5073" s="498" t="s">
        <v>1142</v>
      </c>
      <c r="N5073" s="104" t="s">
        <v>2016</v>
      </c>
      <c r="O5073" s="132"/>
      <c r="P5073" s="132"/>
      <c r="Q5073" s="132"/>
      <c r="R5073" s="132"/>
      <c r="S5073" s="132"/>
      <c r="T5073" s="132"/>
      <c r="U5073" s="132"/>
      <c r="V5073" s="132"/>
      <c r="W5073" s="132"/>
      <c r="X5073" s="132"/>
      <c r="Y5073" s="132"/>
      <c r="Z5073" s="132"/>
      <c r="AA5073" s="1225"/>
    </row>
    <row r="5074" spans="1:27" x14ac:dyDescent="0.2">
      <c r="A5074" s="134"/>
      <c r="B5074" s="3658"/>
      <c r="C5074" s="3670"/>
      <c r="D5074" s="3660"/>
      <c r="E5074" s="3660"/>
      <c r="F5074" s="3660"/>
      <c r="G5074" s="3660"/>
      <c r="H5074" s="3660"/>
      <c r="I5074" s="3660"/>
      <c r="J5074" s="2973"/>
      <c r="K5074" s="2973"/>
      <c r="L5074" s="3660"/>
      <c r="M5074" s="498" t="s">
        <v>2017</v>
      </c>
      <c r="N5074" s="104" t="s">
        <v>2018</v>
      </c>
      <c r="O5074" s="132"/>
      <c r="P5074" s="132"/>
      <c r="Q5074" s="132"/>
      <c r="R5074" s="132"/>
      <c r="S5074" s="132"/>
      <c r="T5074" s="132"/>
      <c r="U5074" s="132"/>
      <c r="V5074" s="132"/>
      <c r="W5074" s="132"/>
      <c r="X5074" s="132"/>
      <c r="Y5074" s="132"/>
      <c r="Z5074" s="132"/>
      <c r="AA5074" s="1225"/>
    </row>
    <row r="5075" spans="1:27" ht="22.5" x14ac:dyDescent="0.2">
      <c r="A5075" s="134"/>
      <c r="B5075" s="3658"/>
      <c r="C5075" s="3670"/>
      <c r="D5075" s="3660"/>
      <c r="E5075" s="3660"/>
      <c r="F5075" s="3660"/>
      <c r="G5075" s="3660"/>
      <c r="H5075" s="3660"/>
      <c r="I5075" s="3660"/>
      <c r="J5075" s="2973"/>
      <c r="K5075" s="2973"/>
      <c r="L5075" s="3660"/>
      <c r="M5075" s="498" t="s">
        <v>2019</v>
      </c>
      <c r="N5075" s="104" t="s">
        <v>2020</v>
      </c>
      <c r="O5075" s="132"/>
      <c r="P5075" s="132"/>
      <c r="Q5075" s="132"/>
      <c r="R5075" s="132"/>
      <c r="S5075" s="132"/>
      <c r="T5075" s="132"/>
      <c r="U5075" s="132"/>
      <c r="V5075" s="132"/>
      <c r="W5075" s="132"/>
      <c r="X5075" s="132"/>
      <c r="Y5075" s="132"/>
      <c r="Z5075" s="132"/>
      <c r="AA5075" s="1225"/>
    </row>
    <row r="5076" spans="1:27" x14ac:dyDescent="0.2">
      <c r="A5076" s="134"/>
      <c r="B5076" s="3658">
        <v>5000003</v>
      </c>
      <c r="C5076" s="3670" t="s">
        <v>2032</v>
      </c>
      <c r="D5076" s="3660"/>
      <c r="E5076" s="3660">
        <v>19</v>
      </c>
      <c r="F5076" s="3660"/>
      <c r="G5076" s="3660"/>
      <c r="H5076" s="3660" t="s">
        <v>2025</v>
      </c>
      <c r="I5076" s="3660" t="s">
        <v>2011</v>
      </c>
      <c r="J5076" s="2973">
        <v>13</v>
      </c>
      <c r="K5076" s="2973">
        <f>+AA5077</f>
        <v>31238</v>
      </c>
      <c r="L5076" s="3660" t="s">
        <v>2012</v>
      </c>
      <c r="M5076" s="2999" t="s">
        <v>51</v>
      </c>
      <c r="N5076" s="2999"/>
      <c r="O5076" s="490">
        <v>1</v>
      </c>
      <c r="P5076" s="490">
        <v>1</v>
      </c>
      <c r="Q5076" s="490">
        <v>1</v>
      </c>
      <c r="R5076" s="490">
        <v>1</v>
      </c>
      <c r="S5076" s="490">
        <v>1</v>
      </c>
      <c r="T5076" s="490">
        <v>1</v>
      </c>
      <c r="U5076" s="490">
        <v>2</v>
      </c>
      <c r="V5076" s="490">
        <v>1</v>
      </c>
      <c r="W5076" s="490">
        <v>1</v>
      </c>
      <c r="X5076" s="490">
        <v>1</v>
      </c>
      <c r="Y5076" s="490">
        <v>1</v>
      </c>
      <c r="Z5076" s="490">
        <v>1</v>
      </c>
      <c r="AA5076" s="373">
        <f>SUM(O5076:Z5076)</f>
        <v>13</v>
      </c>
    </row>
    <row r="5077" spans="1:27" x14ac:dyDescent="0.2">
      <c r="A5077" s="134"/>
      <c r="B5077" s="3658"/>
      <c r="C5077" s="3670"/>
      <c r="D5077" s="3660"/>
      <c r="E5077" s="3660"/>
      <c r="F5077" s="3660"/>
      <c r="G5077" s="3660"/>
      <c r="H5077" s="3660"/>
      <c r="I5077" s="3660"/>
      <c r="J5077" s="2973"/>
      <c r="K5077" s="2973"/>
      <c r="L5077" s="3660"/>
      <c r="M5077" s="2999" t="s">
        <v>111</v>
      </c>
      <c r="N5077" s="2999"/>
      <c r="O5077" s="490">
        <f>+SUM(O5078:O5087)</f>
        <v>2586</v>
      </c>
      <c r="P5077" s="490">
        <f t="shared" ref="P5077" si="852">+SUM(P5078:P5087)</f>
        <v>2570</v>
      </c>
      <c r="Q5077" s="490">
        <f>+SUM(Q5078:Q5087)</f>
        <v>2655</v>
      </c>
      <c r="R5077" s="490">
        <f t="shared" ref="R5077:Z5077" si="853">+SUM(R5078:R5087)</f>
        <v>2618</v>
      </c>
      <c r="S5077" s="490">
        <f t="shared" si="853"/>
        <v>2633</v>
      </c>
      <c r="T5077" s="490">
        <f t="shared" si="853"/>
        <v>2601</v>
      </c>
      <c r="U5077" s="490">
        <f t="shared" si="853"/>
        <v>2652</v>
      </c>
      <c r="V5077" s="490">
        <f t="shared" si="853"/>
        <v>2573</v>
      </c>
      <c r="W5077" s="490">
        <f t="shared" si="853"/>
        <v>2609</v>
      </c>
      <c r="X5077" s="490">
        <f t="shared" si="853"/>
        <v>2626</v>
      </c>
      <c r="Y5077" s="490">
        <f t="shared" si="853"/>
        <v>2571</v>
      </c>
      <c r="Z5077" s="490">
        <f t="shared" si="853"/>
        <v>2544</v>
      </c>
      <c r="AA5077" s="373">
        <f>SUM(O5077:Z5077)</f>
        <v>31238</v>
      </c>
    </row>
    <row r="5078" spans="1:27" ht="33.75" x14ac:dyDescent="0.2">
      <c r="A5078" s="134"/>
      <c r="B5078" s="3658"/>
      <c r="C5078" s="3670"/>
      <c r="D5078" s="3660"/>
      <c r="E5078" s="3660"/>
      <c r="F5078" s="3660"/>
      <c r="G5078" s="3660"/>
      <c r="H5078" s="3660"/>
      <c r="I5078" s="3660"/>
      <c r="J5078" s="2973"/>
      <c r="K5078" s="2973"/>
      <c r="L5078" s="3660"/>
      <c r="M5078" s="458" t="s">
        <v>178</v>
      </c>
      <c r="N5078" s="458" t="s">
        <v>1971</v>
      </c>
      <c r="O5078" s="291">
        <v>5</v>
      </c>
      <c r="P5078" s="291">
        <v>5</v>
      </c>
      <c r="Q5078" s="291">
        <v>5</v>
      </c>
      <c r="R5078" s="291">
        <v>5</v>
      </c>
      <c r="S5078" s="291">
        <v>5</v>
      </c>
      <c r="T5078" s="291">
        <v>5</v>
      </c>
      <c r="U5078" s="291">
        <v>5</v>
      </c>
      <c r="V5078" s="291">
        <v>5</v>
      </c>
      <c r="W5078" s="291">
        <v>5</v>
      </c>
      <c r="X5078" s="291">
        <v>5</v>
      </c>
      <c r="Y5078" s="291">
        <v>5</v>
      </c>
      <c r="Z5078" s="291">
        <v>5</v>
      </c>
      <c r="AA5078" s="371">
        <f>SUM(O5078:Z5078)</f>
        <v>60</v>
      </c>
    </row>
    <row r="5079" spans="1:27" x14ac:dyDescent="0.2">
      <c r="A5079" s="134"/>
      <c r="B5079" s="3658"/>
      <c r="C5079" s="3670"/>
      <c r="D5079" s="3660"/>
      <c r="E5079" s="3660"/>
      <c r="F5079" s="3660"/>
      <c r="G5079" s="3660"/>
      <c r="H5079" s="3660"/>
      <c r="I5079" s="3660"/>
      <c r="J5079" s="2973"/>
      <c r="K5079" s="2973"/>
      <c r="L5079" s="3660"/>
      <c r="M5079" s="458" t="s">
        <v>180</v>
      </c>
      <c r="N5079" s="458" t="s">
        <v>1370</v>
      </c>
      <c r="O5079" s="291">
        <v>4</v>
      </c>
      <c r="P5079" s="291">
        <v>5</v>
      </c>
      <c r="Q5079" s="291">
        <v>7</v>
      </c>
      <c r="R5079" s="291">
        <v>9</v>
      </c>
      <c r="S5079" s="291">
        <v>2</v>
      </c>
      <c r="T5079" s="291">
        <v>4</v>
      </c>
      <c r="U5079" s="291">
        <v>6</v>
      </c>
      <c r="V5079" s="291">
        <v>9</v>
      </c>
      <c r="W5079" s="291">
        <v>4</v>
      </c>
      <c r="X5079" s="291">
        <v>7</v>
      </c>
      <c r="Y5079" s="291">
        <v>4</v>
      </c>
      <c r="Z5079" s="291">
        <v>6</v>
      </c>
      <c r="AA5079" s="371">
        <f t="shared" ref="AA5079:AA5087" si="854">SUM(O5079:Z5079)</f>
        <v>67</v>
      </c>
    </row>
    <row r="5080" spans="1:27" ht="22.5" x14ac:dyDescent="0.2">
      <c r="A5080" s="134"/>
      <c r="B5080" s="3658"/>
      <c r="C5080" s="3670"/>
      <c r="D5080" s="3660"/>
      <c r="E5080" s="3660"/>
      <c r="F5080" s="3660"/>
      <c r="G5080" s="3660"/>
      <c r="H5080" s="3660"/>
      <c r="I5080" s="3660"/>
      <c r="J5080" s="2973"/>
      <c r="K5080" s="2973"/>
      <c r="L5080" s="3660"/>
      <c r="M5080" s="458" t="s">
        <v>215</v>
      </c>
      <c r="N5080" s="458" t="s">
        <v>1105</v>
      </c>
      <c r="O5080" s="291">
        <v>6</v>
      </c>
      <c r="P5080" s="291">
        <v>8</v>
      </c>
      <c r="Q5080" s="291">
        <v>9</v>
      </c>
      <c r="R5080" s="291">
        <v>12</v>
      </c>
      <c r="S5080" s="291">
        <v>14</v>
      </c>
      <c r="T5080" s="291">
        <v>6</v>
      </c>
      <c r="U5080" s="291">
        <v>7</v>
      </c>
      <c r="V5080" s="291">
        <v>4</v>
      </c>
      <c r="W5080" s="291">
        <v>8</v>
      </c>
      <c r="X5080" s="291">
        <v>7</v>
      </c>
      <c r="Y5080" s="291">
        <v>9</v>
      </c>
      <c r="Z5080" s="291">
        <v>6</v>
      </c>
      <c r="AA5080" s="371">
        <f t="shared" si="854"/>
        <v>96</v>
      </c>
    </row>
    <row r="5081" spans="1:27" ht="22.5" x14ac:dyDescent="0.2">
      <c r="A5081" s="134"/>
      <c r="B5081" s="3658"/>
      <c r="C5081" s="3670"/>
      <c r="D5081" s="3660"/>
      <c r="E5081" s="3660"/>
      <c r="F5081" s="3660"/>
      <c r="G5081" s="3660"/>
      <c r="H5081" s="3660"/>
      <c r="I5081" s="3660"/>
      <c r="J5081" s="2973"/>
      <c r="K5081" s="2973"/>
      <c r="L5081" s="3660"/>
      <c r="M5081" s="507" t="s">
        <v>184</v>
      </c>
      <c r="N5081" s="458" t="s">
        <v>1367</v>
      </c>
      <c r="O5081" s="291">
        <v>300</v>
      </c>
      <c r="P5081" s="291">
        <v>320</v>
      </c>
      <c r="Q5081" s="291">
        <v>350</v>
      </c>
      <c r="R5081" s="291">
        <v>360</v>
      </c>
      <c r="S5081" s="291">
        <v>370</v>
      </c>
      <c r="T5081" s="291">
        <v>350</v>
      </c>
      <c r="U5081" s="291">
        <v>350</v>
      </c>
      <c r="V5081" s="291">
        <v>320</v>
      </c>
      <c r="W5081" s="291">
        <v>350</v>
      </c>
      <c r="X5081" s="291">
        <v>320</v>
      </c>
      <c r="Y5081" s="291">
        <v>320</v>
      </c>
      <c r="Z5081" s="291">
        <v>280</v>
      </c>
      <c r="AA5081" s="371">
        <f t="shared" si="854"/>
        <v>3990</v>
      </c>
    </row>
    <row r="5082" spans="1:27" x14ac:dyDescent="0.2">
      <c r="A5082" s="134"/>
      <c r="B5082" s="3658"/>
      <c r="C5082" s="3670"/>
      <c r="D5082" s="3660"/>
      <c r="E5082" s="3660"/>
      <c r="F5082" s="3660"/>
      <c r="G5082" s="3660"/>
      <c r="H5082" s="3660"/>
      <c r="I5082" s="3660"/>
      <c r="J5082" s="2973"/>
      <c r="K5082" s="2973"/>
      <c r="L5082" s="3660"/>
      <c r="M5082" s="507" t="s">
        <v>217</v>
      </c>
      <c r="N5082" s="507" t="s">
        <v>2013</v>
      </c>
      <c r="O5082" s="132">
        <v>6</v>
      </c>
      <c r="P5082" s="132">
        <v>8</v>
      </c>
      <c r="Q5082" s="132">
        <v>9</v>
      </c>
      <c r="R5082" s="132">
        <v>6</v>
      </c>
      <c r="S5082" s="132">
        <v>8</v>
      </c>
      <c r="T5082" s="132">
        <v>9</v>
      </c>
      <c r="U5082" s="132">
        <v>6</v>
      </c>
      <c r="V5082" s="132">
        <v>9</v>
      </c>
      <c r="W5082" s="132">
        <v>5</v>
      </c>
      <c r="X5082" s="132">
        <v>9</v>
      </c>
      <c r="Y5082" s="132">
        <v>4</v>
      </c>
      <c r="Z5082" s="132">
        <v>7</v>
      </c>
      <c r="AA5082" s="371">
        <f t="shared" si="854"/>
        <v>86</v>
      </c>
    </row>
    <row r="5083" spans="1:27" x14ac:dyDescent="0.2">
      <c r="A5083" s="134"/>
      <c r="B5083" s="3658"/>
      <c r="C5083" s="3670"/>
      <c r="D5083" s="3660"/>
      <c r="E5083" s="3660"/>
      <c r="F5083" s="3660"/>
      <c r="G5083" s="3660"/>
      <c r="H5083" s="3660"/>
      <c r="I5083" s="3660"/>
      <c r="J5083" s="2973"/>
      <c r="K5083" s="2973"/>
      <c r="L5083" s="3660"/>
      <c r="M5083" s="498" t="s">
        <v>190</v>
      </c>
      <c r="N5083" s="38" t="s">
        <v>191</v>
      </c>
      <c r="O5083" s="132">
        <v>15</v>
      </c>
      <c r="P5083" s="132">
        <v>24</v>
      </c>
      <c r="Q5083" s="132">
        <v>25</v>
      </c>
      <c r="R5083" s="132">
        <v>26</v>
      </c>
      <c r="S5083" s="132">
        <v>24</v>
      </c>
      <c r="T5083" s="132">
        <v>27</v>
      </c>
      <c r="U5083" s="132">
        <v>28</v>
      </c>
      <c r="V5083" s="132">
        <v>26</v>
      </c>
      <c r="W5083" s="132">
        <v>27</v>
      </c>
      <c r="X5083" s="132">
        <v>28</v>
      </c>
      <c r="Y5083" s="132">
        <v>29</v>
      </c>
      <c r="Z5083" s="132">
        <v>30</v>
      </c>
      <c r="AA5083" s="371">
        <f t="shared" si="854"/>
        <v>309</v>
      </c>
    </row>
    <row r="5084" spans="1:27" ht="33.75" x14ac:dyDescent="0.2">
      <c r="A5084" s="134"/>
      <c r="B5084" s="3658"/>
      <c r="C5084" s="3670"/>
      <c r="D5084" s="3660"/>
      <c r="E5084" s="3660"/>
      <c r="F5084" s="3660"/>
      <c r="G5084" s="3660"/>
      <c r="H5084" s="3660"/>
      <c r="I5084" s="3660"/>
      <c r="J5084" s="2973"/>
      <c r="K5084" s="2973"/>
      <c r="L5084" s="3660"/>
      <c r="M5084" s="498" t="s">
        <v>194</v>
      </c>
      <c r="N5084" s="104" t="s">
        <v>2014</v>
      </c>
      <c r="O5084" s="286">
        <v>2050</v>
      </c>
      <c r="P5084" s="286">
        <v>2050</v>
      </c>
      <c r="Q5084" s="286">
        <v>2050</v>
      </c>
      <c r="R5084" s="286">
        <v>2050</v>
      </c>
      <c r="S5084" s="286">
        <v>2050</v>
      </c>
      <c r="T5084" s="286">
        <v>2050</v>
      </c>
      <c r="U5084" s="286">
        <v>2050</v>
      </c>
      <c r="V5084" s="286">
        <v>2050</v>
      </c>
      <c r="W5084" s="286">
        <v>2050</v>
      </c>
      <c r="X5084" s="286">
        <v>2050</v>
      </c>
      <c r="Y5084" s="286">
        <v>2050</v>
      </c>
      <c r="Z5084" s="286">
        <v>2050</v>
      </c>
      <c r="AA5084" s="371">
        <f t="shared" si="854"/>
        <v>24600</v>
      </c>
    </row>
    <row r="5085" spans="1:27" ht="22.5" x14ac:dyDescent="0.2">
      <c r="A5085" s="134"/>
      <c r="B5085" s="3658"/>
      <c r="C5085" s="3670"/>
      <c r="D5085" s="3660"/>
      <c r="E5085" s="3660"/>
      <c r="F5085" s="3660"/>
      <c r="G5085" s="3660"/>
      <c r="H5085" s="3660"/>
      <c r="I5085" s="3660"/>
      <c r="J5085" s="2973"/>
      <c r="K5085" s="2973"/>
      <c r="L5085" s="3660"/>
      <c r="M5085" s="498" t="s">
        <v>1142</v>
      </c>
      <c r="N5085" s="104" t="s">
        <v>2016</v>
      </c>
      <c r="O5085" s="286">
        <v>200</v>
      </c>
      <c r="P5085" s="286">
        <v>150</v>
      </c>
      <c r="Q5085" s="286">
        <v>200</v>
      </c>
      <c r="R5085" s="286">
        <v>150</v>
      </c>
      <c r="S5085" s="286">
        <v>160</v>
      </c>
      <c r="T5085" s="286">
        <v>150</v>
      </c>
      <c r="U5085" s="286">
        <v>200</v>
      </c>
      <c r="V5085" s="286">
        <v>150</v>
      </c>
      <c r="W5085" s="286">
        <v>160</v>
      </c>
      <c r="X5085" s="286">
        <v>200</v>
      </c>
      <c r="Y5085" s="286">
        <v>150</v>
      </c>
      <c r="Z5085" s="286">
        <v>160</v>
      </c>
      <c r="AA5085" s="371">
        <f t="shared" si="854"/>
        <v>2030</v>
      </c>
    </row>
    <row r="5086" spans="1:27" x14ac:dyDescent="0.2">
      <c r="A5086" s="134"/>
      <c r="B5086" s="3658"/>
      <c r="C5086" s="3670"/>
      <c r="D5086" s="3660"/>
      <c r="E5086" s="3660"/>
      <c r="F5086" s="3660"/>
      <c r="G5086" s="3660"/>
      <c r="H5086" s="3660"/>
      <c r="I5086" s="3660"/>
      <c r="J5086" s="2973"/>
      <c r="K5086" s="2973"/>
      <c r="L5086" s="3660"/>
      <c r="M5086" s="498" t="s">
        <v>2017</v>
      </c>
      <c r="N5086" s="104" t="s">
        <v>2018</v>
      </c>
      <c r="O5086" s="132"/>
      <c r="P5086" s="132"/>
      <c r="Q5086" s="132"/>
      <c r="R5086" s="132"/>
      <c r="S5086" s="132"/>
      <c r="T5086" s="132"/>
      <c r="U5086" s="132"/>
      <c r="V5086" s="132"/>
      <c r="W5086" s="132"/>
      <c r="X5086" s="132"/>
      <c r="Y5086" s="132"/>
      <c r="Z5086" s="132"/>
      <c r="AA5086" s="371">
        <f t="shared" si="854"/>
        <v>0</v>
      </c>
    </row>
    <row r="5087" spans="1:27" ht="22.5" x14ac:dyDescent="0.2">
      <c r="A5087" s="134"/>
      <c r="B5087" s="3658"/>
      <c r="C5087" s="3670"/>
      <c r="D5087" s="3660"/>
      <c r="E5087" s="3660"/>
      <c r="F5087" s="3660"/>
      <c r="G5087" s="3660"/>
      <c r="H5087" s="3660"/>
      <c r="I5087" s="3660"/>
      <c r="J5087" s="2973"/>
      <c r="K5087" s="2973"/>
      <c r="L5087" s="3660"/>
      <c r="M5087" s="498" t="s">
        <v>2019</v>
      </c>
      <c r="N5087" s="104" t="s">
        <v>2020</v>
      </c>
      <c r="O5087" s="132"/>
      <c r="P5087" s="132"/>
      <c r="Q5087" s="132"/>
      <c r="R5087" s="132"/>
      <c r="S5087" s="132"/>
      <c r="T5087" s="132"/>
      <c r="U5087" s="132"/>
      <c r="V5087" s="132"/>
      <c r="W5087" s="132"/>
      <c r="X5087" s="132"/>
      <c r="Y5087" s="132"/>
      <c r="Z5087" s="132"/>
      <c r="AA5087" s="371">
        <f t="shared" si="854"/>
        <v>0</v>
      </c>
    </row>
    <row r="5088" spans="1:27" x14ac:dyDescent="0.2">
      <c r="A5088" s="134"/>
      <c r="B5088" s="3658">
        <v>5000003</v>
      </c>
      <c r="C5088" s="3670" t="s">
        <v>2033</v>
      </c>
      <c r="D5088" s="3660"/>
      <c r="E5088" s="3660">
        <v>19</v>
      </c>
      <c r="F5088" s="3660"/>
      <c r="G5088" s="3660"/>
      <c r="H5088" s="3660" t="s">
        <v>19</v>
      </c>
      <c r="I5088" s="3660" t="s">
        <v>2011</v>
      </c>
      <c r="J5088" s="2973">
        <v>4</v>
      </c>
      <c r="K5088" s="2973">
        <f>+AA5089</f>
        <v>16230</v>
      </c>
      <c r="L5088" s="3660" t="s">
        <v>2034</v>
      </c>
      <c r="M5088" s="2999" t="s">
        <v>51</v>
      </c>
      <c r="N5088" s="2999"/>
      <c r="O5088" s="490"/>
      <c r="P5088" s="490"/>
      <c r="Q5088" s="490">
        <v>1</v>
      </c>
      <c r="R5088" s="490"/>
      <c r="S5088" s="490"/>
      <c r="T5088" s="490">
        <v>1</v>
      </c>
      <c r="U5088" s="490"/>
      <c r="V5088" s="490"/>
      <c r="W5088" s="490">
        <v>1</v>
      </c>
      <c r="X5088" s="490"/>
      <c r="Y5088" s="490"/>
      <c r="Z5088" s="490">
        <v>1</v>
      </c>
      <c r="AA5088" s="371">
        <f>SUM(O5088:Z5088)</f>
        <v>4</v>
      </c>
    </row>
    <row r="5089" spans="1:27" x14ac:dyDescent="0.2">
      <c r="A5089" s="134"/>
      <c r="B5089" s="3658"/>
      <c r="C5089" s="3670"/>
      <c r="D5089" s="3660"/>
      <c r="E5089" s="3660"/>
      <c r="F5089" s="3660"/>
      <c r="G5089" s="3660"/>
      <c r="H5089" s="3660"/>
      <c r="I5089" s="3660"/>
      <c r="J5089" s="2973"/>
      <c r="K5089" s="2973"/>
      <c r="L5089" s="3660"/>
      <c r="M5089" s="2999" t="s">
        <v>111</v>
      </c>
      <c r="N5089" s="2999"/>
      <c r="O5089" s="490"/>
      <c r="P5089" s="490"/>
      <c r="Q5089" s="490">
        <f t="shared" ref="Q5089" si="855">+SUM(Q5090:Q5099)</f>
        <v>4020</v>
      </c>
      <c r="R5089" s="490"/>
      <c r="S5089" s="490"/>
      <c r="T5089" s="490">
        <f t="shared" ref="T5089" si="856">+SUM(T5090:T5099)</f>
        <v>4070</v>
      </c>
      <c r="U5089" s="490"/>
      <c r="V5089" s="490"/>
      <c r="W5089" s="490">
        <f t="shared" ref="W5089" si="857">+SUM(W5090:W5099)</f>
        <v>4070</v>
      </c>
      <c r="X5089" s="490"/>
      <c r="Y5089" s="490"/>
      <c r="Z5089" s="490">
        <f t="shared" ref="Z5089" si="858">+SUM(Z5090:Z5099)</f>
        <v>4070</v>
      </c>
      <c r="AA5089" s="371">
        <f>SUM(O5089:Z5089)</f>
        <v>16230</v>
      </c>
    </row>
    <row r="5090" spans="1:27" ht="33.75" x14ac:dyDescent="0.2">
      <c r="A5090" s="134"/>
      <c r="B5090" s="3658"/>
      <c r="C5090" s="3670"/>
      <c r="D5090" s="3660"/>
      <c r="E5090" s="3660"/>
      <c r="F5090" s="3660"/>
      <c r="G5090" s="3660"/>
      <c r="H5090" s="3660"/>
      <c r="I5090" s="3660"/>
      <c r="J5090" s="2973"/>
      <c r="K5090" s="2973"/>
      <c r="L5090" s="3660"/>
      <c r="M5090" s="458" t="s">
        <v>178</v>
      </c>
      <c r="N5090" s="458" t="s">
        <v>1971</v>
      </c>
      <c r="O5090" s="490"/>
      <c r="P5090" s="490"/>
      <c r="Q5090" s="483">
        <v>450</v>
      </c>
      <c r="R5090" s="483"/>
      <c r="S5090" s="483"/>
      <c r="T5090" s="483">
        <v>450</v>
      </c>
      <c r="U5090" s="483"/>
      <c r="V5090" s="483"/>
      <c r="W5090" s="483">
        <v>450</v>
      </c>
      <c r="X5090" s="483"/>
      <c r="Y5090" s="483"/>
      <c r="Z5090" s="483">
        <v>450</v>
      </c>
      <c r="AA5090" s="371">
        <f>SUM(O5090:Z5090)</f>
        <v>1800</v>
      </c>
    </row>
    <row r="5091" spans="1:27" x14ac:dyDescent="0.2">
      <c r="A5091" s="134"/>
      <c r="B5091" s="3658"/>
      <c r="C5091" s="3670"/>
      <c r="D5091" s="3660"/>
      <c r="E5091" s="3660"/>
      <c r="F5091" s="3660"/>
      <c r="G5091" s="3660"/>
      <c r="H5091" s="3660"/>
      <c r="I5091" s="3660"/>
      <c r="J5091" s="2973"/>
      <c r="K5091" s="2973"/>
      <c r="L5091" s="3660"/>
      <c r="M5091" s="458" t="s">
        <v>180</v>
      </c>
      <c r="N5091" s="458" t="s">
        <v>1370</v>
      </c>
      <c r="O5091" s="132"/>
      <c r="P5091" s="132"/>
      <c r="Q5091" s="483">
        <v>100</v>
      </c>
      <c r="R5091" s="483"/>
      <c r="S5091" s="483"/>
      <c r="T5091" s="483">
        <v>100</v>
      </c>
      <c r="U5091" s="483"/>
      <c r="V5091" s="483"/>
      <c r="W5091" s="483">
        <v>100</v>
      </c>
      <c r="X5091" s="483"/>
      <c r="Y5091" s="483"/>
      <c r="Z5091" s="483">
        <v>100</v>
      </c>
      <c r="AA5091" s="371">
        <f t="shared" ref="AA5091:AA5099" si="859">SUM(O5091:Z5091)</f>
        <v>400</v>
      </c>
    </row>
    <row r="5092" spans="1:27" ht="22.5" x14ac:dyDescent="0.2">
      <c r="A5092" s="134"/>
      <c r="B5092" s="3658"/>
      <c r="C5092" s="3670"/>
      <c r="D5092" s="3660"/>
      <c r="E5092" s="3660"/>
      <c r="F5092" s="3660"/>
      <c r="G5092" s="3660"/>
      <c r="H5092" s="3660"/>
      <c r="I5092" s="3660"/>
      <c r="J5092" s="2973"/>
      <c r="K5092" s="2973"/>
      <c r="L5092" s="3660"/>
      <c r="M5092" s="458" t="s">
        <v>215</v>
      </c>
      <c r="N5092" s="458" t="s">
        <v>1105</v>
      </c>
      <c r="O5092" s="132"/>
      <c r="P5092" s="132"/>
      <c r="Q5092" s="483"/>
      <c r="R5092" s="483"/>
      <c r="S5092" s="483"/>
      <c r="T5092" s="483"/>
      <c r="U5092" s="483"/>
      <c r="V5092" s="483"/>
      <c r="W5092" s="483"/>
      <c r="X5092" s="483"/>
      <c r="Y5092" s="483"/>
      <c r="Z5092" s="483"/>
      <c r="AA5092" s="371">
        <f t="shared" si="859"/>
        <v>0</v>
      </c>
    </row>
    <row r="5093" spans="1:27" ht="22.5" x14ac:dyDescent="0.2">
      <c r="A5093" s="134"/>
      <c r="B5093" s="3658"/>
      <c r="C5093" s="3670"/>
      <c r="D5093" s="3660"/>
      <c r="E5093" s="3660"/>
      <c r="F5093" s="3660"/>
      <c r="G5093" s="3660"/>
      <c r="H5093" s="3660"/>
      <c r="I5093" s="3660"/>
      <c r="J5093" s="2973"/>
      <c r="K5093" s="2973"/>
      <c r="L5093" s="3660"/>
      <c r="M5093" s="507" t="s">
        <v>184</v>
      </c>
      <c r="N5093" s="458" t="s">
        <v>1367</v>
      </c>
      <c r="O5093" s="132"/>
      <c r="P5093" s="132"/>
      <c r="Q5093" s="483">
        <v>400</v>
      </c>
      <c r="R5093" s="483"/>
      <c r="S5093" s="483"/>
      <c r="T5093" s="483">
        <v>450</v>
      </c>
      <c r="U5093" s="483"/>
      <c r="V5093" s="483"/>
      <c r="W5093" s="483">
        <v>450</v>
      </c>
      <c r="X5093" s="483"/>
      <c r="Y5093" s="483"/>
      <c r="Z5093" s="483">
        <v>450</v>
      </c>
      <c r="AA5093" s="371">
        <f t="shared" si="859"/>
        <v>1750</v>
      </c>
    </row>
    <row r="5094" spans="1:27" x14ac:dyDescent="0.2">
      <c r="A5094" s="134"/>
      <c r="B5094" s="3658"/>
      <c r="C5094" s="3670"/>
      <c r="D5094" s="3660"/>
      <c r="E5094" s="3660"/>
      <c r="F5094" s="3660"/>
      <c r="G5094" s="3660"/>
      <c r="H5094" s="3660"/>
      <c r="I5094" s="3660"/>
      <c r="J5094" s="2973"/>
      <c r="K5094" s="2973"/>
      <c r="L5094" s="3660"/>
      <c r="M5094" s="507" t="s">
        <v>217</v>
      </c>
      <c r="N5094" s="507" t="s">
        <v>2013</v>
      </c>
      <c r="O5094" s="132"/>
      <c r="P5094" s="132"/>
      <c r="Q5094" s="483"/>
      <c r="R5094" s="483"/>
      <c r="S5094" s="483"/>
      <c r="T5094" s="483"/>
      <c r="U5094" s="483"/>
      <c r="V5094" s="483"/>
      <c r="W5094" s="483"/>
      <c r="X5094" s="483"/>
      <c r="Y5094" s="483"/>
      <c r="Z5094" s="483"/>
      <c r="AA5094" s="371">
        <f t="shared" si="859"/>
        <v>0</v>
      </c>
    </row>
    <row r="5095" spans="1:27" x14ac:dyDescent="0.2">
      <c r="A5095" s="134"/>
      <c r="B5095" s="3658"/>
      <c r="C5095" s="3670"/>
      <c r="D5095" s="3660"/>
      <c r="E5095" s="3660"/>
      <c r="F5095" s="3660"/>
      <c r="G5095" s="3660"/>
      <c r="H5095" s="3660"/>
      <c r="I5095" s="3660"/>
      <c r="J5095" s="2973"/>
      <c r="K5095" s="2973"/>
      <c r="L5095" s="3660"/>
      <c r="M5095" s="498" t="s">
        <v>190</v>
      </c>
      <c r="N5095" s="38" t="s">
        <v>191</v>
      </c>
      <c r="O5095" s="132"/>
      <c r="P5095" s="132"/>
      <c r="Q5095" s="483">
        <v>120</v>
      </c>
      <c r="R5095" s="483"/>
      <c r="S5095" s="483"/>
      <c r="T5095" s="483">
        <v>120</v>
      </c>
      <c r="U5095" s="483"/>
      <c r="V5095" s="483"/>
      <c r="W5095" s="483">
        <v>120</v>
      </c>
      <c r="X5095" s="483"/>
      <c r="Y5095" s="483"/>
      <c r="Z5095" s="483">
        <v>120</v>
      </c>
      <c r="AA5095" s="371">
        <f t="shared" si="859"/>
        <v>480</v>
      </c>
    </row>
    <row r="5096" spans="1:27" ht="33.75" x14ac:dyDescent="0.2">
      <c r="A5096" s="134"/>
      <c r="B5096" s="3658"/>
      <c r="C5096" s="3670"/>
      <c r="D5096" s="3660"/>
      <c r="E5096" s="3660"/>
      <c r="F5096" s="3660"/>
      <c r="G5096" s="3660"/>
      <c r="H5096" s="3660"/>
      <c r="I5096" s="3660"/>
      <c r="J5096" s="2973"/>
      <c r="K5096" s="2973"/>
      <c r="L5096" s="3660"/>
      <c r="M5096" s="498" t="s">
        <v>194</v>
      </c>
      <c r="N5096" s="104" t="s">
        <v>2014</v>
      </c>
      <c r="O5096" s="132"/>
      <c r="P5096" s="132"/>
      <c r="Q5096" s="483">
        <v>2500</v>
      </c>
      <c r="R5096" s="483"/>
      <c r="S5096" s="483"/>
      <c r="T5096" s="483">
        <v>2500</v>
      </c>
      <c r="U5096" s="483"/>
      <c r="V5096" s="483"/>
      <c r="W5096" s="483">
        <v>2500</v>
      </c>
      <c r="X5096" s="483"/>
      <c r="Y5096" s="483"/>
      <c r="Z5096" s="483">
        <v>2500</v>
      </c>
      <c r="AA5096" s="371">
        <f t="shared" si="859"/>
        <v>10000</v>
      </c>
    </row>
    <row r="5097" spans="1:27" ht="22.5" x14ac:dyDescent="0.2">
      <c r="A5097" s="134"/>
      <c r="B5097" s="3658"/>
      <c r="C5097" s="3670"/>
      <c r="D5097" s="3660"/>
      <c r="E5097" s="3660"/>
      <c r="F5097" s="3660"/>
      <c r="G5097" s="3660"/>
      <c r="H5097" s="3660"/>
      <c r="I5097" s="3660"/>
      <c r="J5097" s="2973"/>
      <c r="K5097" s="2973"/>
      <c r="L5097" s="3660"/>
      <c r="M5097" s="498" t="s">
        <v>1142</v>
      </c>
      <c r="N5097" s="104" t="s">
        <v>2016</v>
      </c>
      <c r="O5097" s="132"/>
      <c r="P5097" s="132"/>
      <c r="Q5097" s="483">
        <v>450</v>
      </c>
      <c r="R5097" s="483"/>
      <c r="S5097" s="483"/>
      <c r="T5097" s="483">
        <v>450</v>
      </c>
      <c r="U5097" s="483"/>
      <c r="V5097" s="483"/>
      <c r="W5097" s="483">
        <v>450</v>
      </c>
      <c r="X5097" s="483"/>
      <c r="Y5097" s="483"/>
      <c r="Z5097" s="483">
        <v>450</v>
      </c>
      <c r="AA5097" s="371">
        <f t="shared" si="859"/>
        <v>1800</v>
      </c>
    </row>
    <row r="5098" spans="1:27" x14ac:dyDescent="0.2">
      <c r="A5098" s="134"/>
      <c r="B5098" s="3658"/>
      <c r="C5098" s="3670"/>
      <c r="D5098" s="3660"/>
      <c r="E5098" s="3660"/>
      <c r="F5098" s="3660"/>
      <c r="G5098" s="3660"/>
      <c r="H5098" s="3660"/>
      <c r="I5098" s="3660"/>
      <c r="J5098" s="2973"/>
      <c r="K5098" s="2973"/>
      <c r="L5098" s="3660"/>
      <c r="M5098" s="498" t="s">
        <v>2017</v>
      </c>
      <c r="N5098" s="104" t="s">
        <v>2018</v>
      </c>
      <c r="O5098" s="132"/>
      <c r="P5098" s="132"/>
      <c r="Q5098" s="491"/>
      <c r="R5098" s="491"/>
      <c r="S5098" s="491"/>
      <c r="T5098" s="491"/>
      <c r="U5098" s="491"/>
      <c r="V5098" s="491"/>
      <c r="W5098" s="491"/>
      <c r="X5098" s="491"/>
      <c r="Y5098" s="491"/>
      <c r="Z5098" s="491"/>
      <c r="AA5098" s="371">
        <f t="shared" si="859"/>
        <v>0</v>
      </c>
    </row>
    <row r="5099" spans="1:27" ht="22.5" x14ac:dyDescent="0.2">
      <c r="A5099" s="134"/>
      <c r="B5099" s="3658"/>
      <c r="C5099" s="3670"/>
      <c r="D5099" s="3660"/>
      <c r="E5099" s="3660"/>
      <c r="F5099" s="3660"/>
      <c r="G5099" s="3660"/>
      <c r="H5099" s="3660"/>
      <c r="I5099" s="3660"/>
      <c r="J5099" s="2973"/>
      <c r="K5099" s="2973"/>
      <c r="L5099" s="3660"/>
      <c r="M5099" s="498" t="s">
        <v>2019</v>
      </c>
      <c r="N5099" s="104" t="s">
        <v>2020</v>
      </c>
      <c r="O5099" s="132"/>
      <c r="P5099" s="132"/>
      <c r="Q5099" s="132"/>
      <c r="R5099" s="132"/>
      <c r="S5099" s="132"/>
      <c r="T5099" s="132"/>
      <c r="U5099" s="132"/>
      <c r="V5099" s="132"/>
      <c r="W5099" s="132"/>
      <c r="X5099" s="132"/>
      <c r="Y5099" s="132"/>
      <c r="Z5099" s="132"/>
      <c r="AA5099" s="371">
        <f t="shared" si="859"/>
        <v>0</v>
      </c>
    </row>
    <row r="5100" spans="1:27" x14ac:dyDescent="0.2">
      <c r="A5100" s="134"/>
      <c r="B5100" s="3658">
        <v>5000003</v>
      </c>
      <c r="C5100" s="3670" t="s">
        <v>2035</v>
      </c>
      <c r="D5100" s="3660"/>
      <c r="E5100" s="3660">
        <v>19</v>
      </c>
      <c r="F5100" s="3660"/>
      <c r="G5100" s="3660"/>
      <c r="H5100" s="3660" t="s">
        <v>2025</v>
      </c>
      <c r="I5100" s="3660" t="s">
        <v>2011</v>
      </c>
      <c r="J5100" s="2973">
        <v>12</v>
      </c>
      <c r="K5100" s="2973">
        <f>+AA5101</f>
        <v>41338</v>
      </c>
      <c r="L5100" s="3660" t="s">
        <v>2034</v>
      </c>
      <c r="M5100" s="2999" t="s">
        <v>51</v>
      </c>
      <c r="N5100" s="2999"/>
      <c r="O5100" s="490">
        <v>1</v>
      </c>
      <c r="P5100" s="490">
        <v>1</v>
      </c>
      <c r="Q5100" s="490">
        <v>1</v>
      </c>
      <c r="R5100" s="490">
        <v>1</v>
      </c>
      <c r="S5100" s="490">
        <v>1</v>
      </c>
      <c r="T5100" s="490">
        <v>1</v>
      </c>
      <c r="U5100" s="490">
        <v>1</v>
      </c>
      <c r="V5100" s="490">
        <v>1</v>
      </c>
      <c r="W5100" s="490">
        <v>1</v>
      </c>
      <c r="X5100" s="490">
        <v>1</v>
      </c>
      <c r="Y5100" s="490">
        <v>1</v>
      </c>
      <c r="Z5100" s="490">
        <v>1</v>
      </c>
      <c r="AA5100" s="373">
        <f>SUM(O5100:Z5100)</f>
        <v>12</v>
      </c>
    </row>
    <row r="5101" spans="1:27" x14ac:dyDescent="0.2">
      <c r="A5101" s="134"/>
      <c r="B5101" s="3658"/>
      <c r="C5101" s="3670"/>
      <c r="D5101" s="3660"/>
      <c r="E5101" s="3660"/>
      <c r="F5101" s="3660"/>
      <c r="G5101" s="3660"/>
      <c r="H5101" s="3660"/>
      <c r="I5101" s="3660"/>
      <c r="J5101" s="2973"/>
      <c r="K5101" s="2973"/>
      <c r="L5101" s="3660"/>
      <c r="M5101" s="2999" t="s">
        <v>111</v>
      </c>
      <c r="N5101" s="2999"/>
      <c r="O5101" s="490">
        <f>+SUM(O5102:O5111)</f>
        <v>3390</v>
      </c>
      <c r="P5101" s="490">
        <f t="shared" ref="P5101:Z5101" si="860">+SUM(P5102:P5111)</f>
        <v>3405</v>
      </c>
      <c r="Q5101" s="490">
        <f t="shared" si="860"/>
        <v>3435</v>
      </c>
      <c r="R5101" s="490">
        <f t="shared" si="860"/>
        <v>3523</v>
      </c>
      <c r="S5101" s="490">
        <f t="shared" si="860"/>
        <v>3425</v>
      </c>
      <c r="T5101" s="490">
        <f t="shared" si="860"/>
        <v>3447</v>
      </c>
      <c r="U5101" s="490">
        <f t="shared" si="860"/>
        <v>3440</v>
      </c>
      <c r="V5101" s="490">
        <f t="shared" si="860"/>
        <v>3460</v>
      </c>
      <c r="W5101" s="490">
        <f t="shared" si="860"/>
        <v>3485</v>
      </c>
      <c r="X5101" s="490">
        <f t="shared" si="860"/>
        <v>3478</v>
      </c>
      <c r="Y5101" s="490">
        <f t="shared" si="860"/>
        <v>3430</v>
      </c>
      <c r="Z5101" s="490">
        <f t="shared" si="860"/>
        <v>3420</v>
      </c>
      <c r="AA5101" s="373">
        <f>SUM(O5101:Z5101)</f>
        <v>41338</v>
      </c>
    </row>
    <row r="5102" spans="1:27" ht="33.75" x14ac:dyDescent="0.2">
      <c r="A5102" s="134"/>
      <c r="B5102" s="3658"/>
      <c r="C5102" s="3670"/>
      <c r="D5102" s="3660"/>
      <c r="E5102" s="3660"/>
      <c r="F5102" s="3660"/>
      <c r="G5102" s="3660"/>
      <c r="H5102" s="3660"/>
      <c r="I5102" s="3660"/>
      <c r="J5102" s="2973"/>
      <c r="K5102" s="2973"/>
      <c r="L5102" s="3660"/>
      <c r="M5102" s="458" t="s">
        <v>178</v>
      </c>
      <c r="N5102" s="458" t="s">
        <v>1971</v>
      </c>
      <c r="O5102" s="483">
        <v>50</v>
      </c>
      <c r="P5102" s="483">
        <v>50</v>
      </c>
      <c r="Q5102" s="483">
        <v>60</v>
      </c>
      <c r="R5102" s="483">
        <v>45</v>
      </c>
      <c r="S5102" s="483">
        <v>55</v>
      </c>
      <c r="T5102" s="483">
        <v>50</v>
      </c>
      <c r="U5102" s="483">
        <v>45</v>
      </c>
      <c r="V5102" s="483">
        <v>60</v>
      </c>
      <c r="W5102" s="483">
        <v>70</v>
      </c>
      <c r="X5102" s="483">
        <v>60</v>
      </c>
      <c r="Y5102" s="483">
        <v>50</v>
      </c>
      <c r="Z5102" s="483">
        <v>45</v>
      </c>
      <c r="AA5102" s="373">
        <f>SUM(O5102:Z5102)</f>
        <v>640</v>
      </c>
    </row>
    <row r="5103" spans="1:27" x14ac:dyDescent="0.2">
      <c r="A5103" s="134"/>
      <c r="B5103" s="3658"/>
      <c r="C5103" s="3670"/>
      <c r="D5103" s="3660"/>
      <c r="E5103" s="3660"/>
      <c r="F5103" s="3660"/>
      <c r="G5103" s="3660"/>
      <c r="H5103" s="3660"/>
      <c r="I5103" s="3660"/>
      <c r="J5103" s="2973"/>
      <c r="K5103" s="2973"/>
      <c r="L5103" s="3660"/>
      <c r="M5103" s="458" t="s">
        <v>180</v>
      </c>
      <c r="N5103" s="458" t="s">
        <v>1370</v>
      </c>
      <c r="O5103" s="483">
        <v>80</v>
      </c>
      <c r="P5103" s="483">
        <v>90</v>
      </c>
      <c r="Q5103" s="483">
        <v>100</v>
      </c>
      <c r="R5103" s="483">
        <v>120</v>
      </c>
      <c r="S5103" s="483">
        <v>100</v>
      </c>
      <c r="T5103" s="483">
        <v>110</v>
      </c>
      <c r="U5103" s="483">
        <v>110</v>
      </c>
      <c r="V5103" s="483">
        <v>130</v>
      </c>
      <c r="W5103" s="483">
        <v>150</v>
      </c>
      <c r="X5103" s="483">
        <v>140</v>
      </c>
      <c r="Y5103" s="483">
        <v>110</v>
      </c>
      <c r="Z5103" s="483">
        <v>120</v>
      </c>
      <c r="AA5103" s="373">
        <f t="shared" ref="AA5103:AA5111" si="861">SUM(O5103:Z5103)</f>
        <v>1360</v>
      </c>
    </row>
    <row r="5104" spans="1:27" ht="22.5" x14ac:dyDescent="0.2">
      <c r="A5104" s="134"/>
      <c r="B5104" s="3658"/>
      <c r="C5104" s="3670"/>
      <c r="D5104" s="3660"/>
      <c r="E5104" s="3660"/>
      <c r="F5104" s="3660"/>
      <c r="G5104" s="3660"/>
      <c r="H5104" s="3660"/>
      <c r="I5104" s="3660"/>
      <c r="J5104" s="2973"/>
      <c r="K5104" s="2973"/>
      <c r="L5104" s="3660"/>
      <c r="M5104" s="458" t="s">
        <v>215</v>
      </c>
      <c r="N5104" s="458" t="s">
        <v>1105</v>
      </c>
      <c r="O5104" s="483">
        <v>30</v>
      </c>
      <c r="P5104" s="483">
        <v>25</v>
      </c>
      <c r="Q5104" s="483">
        <v>25</v>
      </c>
      <c r="R5104" s="483">
        <v>18</v>
      </c>
      <c r="S5104" s="483">
        <v>20</v>
      </c>
      <c r="T5104" s="483">
        <v>37</v>
      </c>
      <c r="U5104" s="483">
        <v>25</v>
      </c>
      <c r="V5104" s="483">
        <v>30</v>
      </c>
      <c r="W5104" s="483">
        <v>25</v>
      </c>
      <c r="X5104" s="483">
        <v>28</v>
      </c>
      <c r="Y5104" s="483">
        <v>30</v>
      </c>
      <c r="Z5104" s="483">
        <v>15</v>
      </c>
      <c r="AA5104" s="373">
        <f t="shared" si="861"/>
        <v>308</v>
      </c>
    </row>
    <row r="5105" spans="1:27" ht="22.5" x14ac:dyDescent="0.2">
      <c r="A5105" s="134"/>
      <c r="B5105" s="3658"/>
      <c r="C5105" s="3670"/>
      <c r="D5105" s="3660"/>
      <c r="E5105" s="3660"/>
      <c r="F5105" s="3660"/>
      <c r="G5105" s="3660"/>
      <c r="H5105" s="3660"/>
      <c r="I5105" s="3660"/>
      <c r="J5105" s="2973"/>
      <c r="K5105" s="2973"/>
      <c r="L5105" s="3660"/>
      <c r="M5105" s="507" t="s">
        <v>184</v>
      </c>
      <c r="N5105" s="458" t="s">
        <v>1367</v>
      </c>
      <c r="O5105" s="483">
        <v>230</v>
      </c>
      <c r="P5105" s="483">
        <v>240</v>
      </c>
      <c r="Q5105" s="483">
        <v>250</v>
      </c>
      <c r="R5105" s="483">
        <v>340</v>
      </c>
      <c r="S5105" s="483">
        <v>250</v>
      </c>
      <c r="T5105" s="483">
        <v>250</v>
      </c>
      <c r="U5105" s="483">
        <v>260</v>
      </c>
      <c r="V5105" s="483">
        <v>240</v>
      </c>
      <c r="W5105" s="483">
        <v>240</v>
      </c>
      <c r="X5105" s="483">
        <v>250</v>
      </c>
      <c r="Y5105" s="483">
        <v>240</v>
      </c>
      <c r="Z5105" s="483">
        <v>240</v>
      </c>
      <c r="AA5105" s="373">
        <f t="shared" si="861"/>
        <v>3030</v>
      </c>
    </row>
    <row r="5106" spans="1:27" x14ac:dyDescent="0.2">
      <c r="A5106" s="134"/>
      <c r="B5106" s="3658"/>
      <c r="C5106" s="3670"/>
      <c r="D5106" s="3660"/>
      <c r="E5106" s="3660"/>
      <c r="F5106" s="3660"/>
      <c r="G5106" s="3660"/>
      <c r="H5106" s="3660"/>
      <c r="I5106" s="3660"/>
      <c r="J5106" s="2973"/>
      <c r="K5106" s="2973"/>
      <c r="L5106" s="3660"/>
      <c r="M5106" s="507" t="s">
        <v>217</v>
      </c>
      <c r="N5106" s="507" t="s">
        <v>2013</v>
      </c>
      <c r="O5106" s="483"/>
      <c r="P5106" s="483"/>
      <c r="Q5106" s="483"/>
      <c r="R5106" s="483"/>
      <c r="S5106" s="483"/>
      <c r="T5106" s="483"/>
      <c r="U5106" s="483"/>
      <c r="V5106" s="483"/>
      <c r="W5106" s="483"/>
      <c r="X5106" s="483"/>
      <c r="Y5106" s="483"/>
      <c r="Z5106" s="483"/>
      <c r="AA5106" s="373">
        <f t="shared" si="861"/>
        <v>0</v>
      </c>
    </row>
    <row r="5107" spans="1:27" x14ac:dyDescent="0.2">
      <c r="A5107" s="134"/>
      <c r="B5107" s="3658"/>
      <c r="C5107" s="3670"/>
      <c r="D5107" s="3660"/>
      <c r="E5107" s="3660"/>
      <c r="F5107" s="3660"/>
      <c r="G5107" s="3660"/>
      <c r="H5107" s="3660"/>
      <c r="I5107" s="3660"/>
      <c r="J5107" s="2973"/>
      <c r="K5107" s="2973"/>
      <c r="L5107" s="3660"/>
      <c r="M5107" s="498" t="s">
        <v>190</v>
      </c>
      <c r="N5107" s="38" t="s">
        <v>191</v>
      </c>
      <c r="O5107" s="483"/>
      <c r="P5107" s="483"/>
      <c r="Q5107" s="483"/>
      <c r="R5107" s="483"/>
      <c r="S5107" s="483"/>
      <c r="T5107" s="483"/>
      <c r="U5107" s="483"/>
      <c r="V5107" s="483"/>
      <c r="W5107" s="483"/>
      <c r="X5107" s="483"/>
      <c r="Y5107" s="483"/>
      <c r="Z5107" s="483"/>
      <c r="AA5107" s="373">
        <f t="shared" si="861"/>
        <v>0</v>
      </c>
    </row>
    <row r="5108" spans="1:27" ht="33.75" x14ac:dyDescent="0.2">
      <c r="A5108" s="134"/>
      <c r="B5108" s="3658"/>
      <c r="C5108" s="3670"/>
      <c r="D5108" s="3660"/>
      <c r="E5108" s="3660"/>
      <c r="F5108" s="3660"/>
      <c r="G5108" s="3660"/>
      <c r="H5108" s="3660"/>
      <c r="I5108" s="3660"/>
      <c r="J5108" s="2973"/>
      <c r="K5108" s="2973"/>
      <c r="L5108" s="3660"/>
      <c r="M5108" s="498" t="s">
        <v>194</v>
      </c>
      <c r="N5108" s="104" t="s">
        <v>2014</v>
      </c>
      <c r="O5108" s="483">
        <v>3000</v>
      </c>
      <c r="P5108" s="483">
        <v>3000</v>
      </c>
      <c r="Q5108" s="483">
        <v>3000</v>
      </c>
      <c r="R5108" s="483">
        <v>3000</v>
      </c>
      <c r="S5108" s="483">
        <v>3000</v>
      </c>
      <c r="T5108" s="483">
        <v>3000</v>
      </c>
      <c r="U5108" s="483">
        <v>3000</v>
      </c>
      <c r="V5108" s="483">
        <v>3000</v>
      </c>
      <c r="W5108" s="483">
        <v>3000</v>
      </c>
      <c r="X5108" s="483">
        <v>3000</v>
      </c>
      <c r="Y5108" s="483">
        <v>3000</v>
      </c>
      <c r="Z5108" s="483">
        <v>3000</v>
      </c>
      <c r="AA5108" s="373">
        <f t="shared" si="861"/>
        <v>36000</v>
      </c>
    </row>
    <row r="5109" spans="1:27" ht="22.5" x14ac:dyDescent="0.2">
      <c r="A5109" s="134"/>
      <c r="B5109" s="3658"/>
      <c r="C5109" s="3670"/>
      <c r="D5109" s="3660"/>
      <c r="E5109" s="3660"/>
      <c r="F5109" s="3660"/>
      <c r="G5109" s="3660"/>
      <c r="H5109" s="3660"/>
      <c r="I5109" s="3660"/>
      <c r="J5109" s="2973"/>
      <c r="K5109" s="2973"/>
      <c r="L5109" s="3660"/>
      <c r="M5109" s="498" t="s">
        <v>1142</v>
      </c>
      <c r="N5109" s="104" t="s">
        <v>2016</v>
      </c>
      <c r="O5109" s="132"/>
      <c r="P5109" s="132"/>
      <c r="Q5109" s="132"/>
      <c r="R5109" s="132"/>
      <c r="S5109" s="132"/>
      <c r="T5109" s="132"/>
      <c r="U5109" s="132"/>
      <c r="V5109" s="132"/>
      <c r="W5109" s="132"/>
      <c r="X5109" s="132"/>
      <c r="Y5109" s="132"/>
      <c r="Z5109" s="132"/>
      <c r="AA5109" s="373">
        <f t="shared" si="861"/>
        <v>0</v>
      </c>
    </row>
    <row r="5110" spans="1:27" x14ac:dyDescent="0.2">
      <c r="A5110" s="134"/>
      <c r="B5110" s="3658"/>
      <c r="C5110" s="3670"/>
      <c r="D5110" s="3660"/>
      <c r="E5110" s="3660"/>
      <c r="F5110" s="3660"/>
      <c r="G5110" s="3660"/>
      <c r="H5110" s="3660"/>
      <c r="I5110" s="3660"/>
      <c r="J5110" s="2973"/>
      <c r="K5110" s="2973"/>
      <c r="L5110" s="3660"/>
      <c r="M5110" s="498" t="s">
        <v>2017</v>
      </c>
      <c r="N5110" s="104" t="s">
        <v>2018</v>
      </c>
      <c r="O5110" s="132"/>
      <c r="P5110" s="132"/>
      <c r="Q5110" s="132"/>
      <c r="R5110" s="132"/>
      <c r="S5110" s="132"/>
      <c r="T5110" s="132"/>
      <c r="U5110" s="132"/>
      <c r="V5110" s="132"/>
      <c r="W5110" s="132"/>
      <c r="X5110" s="132"/>
      <c r="Y5110" s="132"/>
      <c r="Z5110" s="132"/>
      <c r="AA5110" s="373">
        <f t="shared" si="861"/>
        <v>0</v>
      </c>
    </row>
    <row r="5111" spans="1:27" ht="22.5" x14ac:dyDescent="0.2">
      <c r="A5111" s="134"/>
      <c r="B5111" s="3658"/>
      <c r="C5111" s="3670"/>
      <c r="D5111" s="3660"/>
      <c r="E5111" s="3660"/>
      <c r="F5111" s="3660"/>
      <c r="G5111" s="3660"/>
      <c r="H5111" s="3660"/>
      <c r="I5111" s="3660"/>
      <c r="J5111" s="2973"/>
      <c r="K5111" s="2973"/>
      <c r="L5111" s="3660"/>
      <c r="M5111" s="498" t="s">
        <v>2019</v>
      </c>
      <c r="N5111" s="104" t="s">
        <v>2020</v>
      </c>
      <c r="O5111" s="132"/>
      <c r="P5111" s="132"/>
      <c r="Q5111" s="132"/>
      <c r="R5111" s="132"/>
      <c r="S5111" s="132"/>
      <c r="T5111" s="132"/>
      <c r="U5111" s="132"/>
      <c r="V5111" s="132"/>
      <c r="W5111" s="132"/>
      <c r="X5111" s="132"/>
      <c r="Y5111" s="132"/>
      <c r="Z5111" s="132"/>
      <c r="AA5111" s="373">
        <f t="shared" si="861"/>
        <v>0</v>
      </c>
    </row>
    <row r="5112" spans="1:27" x14ac:dyDescent="0.2">
      <c r="A5112" s="134"/>
      <c r="B5112" s="3658">
        <v>5000003</v>
      </c>
      <c r="C5112" s="3670" t="s">
        <v>2036</v>
      </c>
      <c r="D5112" s="3660"/>
      <c r="E5112" s="3660">
        <v>19</v>
      </c>
      <c r="F5112" s="3660"/>
      <c r="G5112" s="3660"/>
      <c r="H5112" s="3660" t="s">
        <v>2037</v>
      </c>
      <c r="I5112" s="3660" t="s">
        <v>2038</v>
      </c>
      <c r="J5112" s="2973">
        <v>124</v>
      </c>
      <c r="K5112" s="2973">
        <f>+AA5113</f>
        <v>48058</v>
      </c>
      <c r="L5112" s="3660" t="s">
        <v>2039</v>
      </c>
      <c r="M5112" s="2999" t="s">
        <v>51</v>
      </c>
      <c r="N5112" s="2999"/>
      <c r="O5112" s="490">
        <v>8</v>
      </c>
      <c r="P5112" s="490">
        <v>9</v>
      </c>
      <c r="Q5112" s="490">
        <v>11</v>
      </c>
      <c r="R5112" s="490">
        <v>9</v>
      </c>
      <c r="S5112" s="490">
        <v>9</v>
      </c>
      <c r="T5112" s="490">
        <v>11</v>
      </c>
      <c r="U5112" s="490">
        <v>13</v>
      </c>
      <c r="V5112" s="490">
        <v>12</v>
      </c>
      <c r="W5112" s="490">
        <v>10</v>
      </c>
      <c r="X5112" s="490">
        <v>10</v>
      </c>
      <c r="Y5112" s="490">
        <v>10</v>
      </c>
      <c r="Z5112" s="490">
        <v>12</v>
      </c>
      <c r="AA5112" s="373">
        <f>SUM(O5112:Z5112)</f>
        <v>124</v>
      </c>
    </row>
    <row r="5113" spans="1:27" x14ac:dyDescent="0.2">
      <c r="A5113" s="134"/>
      <c r="B5113" s="3658"/>
      <c r="C5113" s="3670"/>
      <c r="D5113" s="3660"/>
      <c r="E5113" s="3660"/>
      <c r="F5113" s="3660"/>
      <c r="G5113" s="3660"/>
      <c r="H5113" s="3660"/>
      <c r="I5113" s="3660"/>
      <c r="J5113" s="2973"/>
      <c r="K5113" s="2973"/>
      <c r="L5113" s="3660"/>
      <c r="M5113" s="2999" t="s">
        <v>111</v>
      </c>
      <c r="N5113" s="2999"/>
      <c r="O5113" s="490">
        <f>+SUM(O5114:O5123)</f>
        <v>3860</v>
      </c>
      <c r="P5113" s="490">
        <f t="shared" ref="P5113:Z5113" si="862">+SUM(P5114:P5123)</f>
        <v>3885</v>
      </c>
      <c r="Q5113" s="490">
        <f t="shared" si="862"/>
        <v>3970</v>
      </c>
      <c r="R5113" s="490">
        <f t="shared" si="862"/>
        <v>4005</v>
      </c>
      <c r="S5113" s="490">
        <f t="shared" si="862"/>
        <v>3995</v>
      </c>
      <c r="T5113" s="490">
        <f t="shared" si="862"/>
        <v>4035</v>
      </c>
      <c r="U5113" s="490">
        <f t="shared" si="862"/>
        <v>4000</v>
      </c>
      <c r="V5113" s="490">
        <f t="shared" si="862"/>
        <v>4065</v>
      </c>
      <c r="W5113" s="490">
        <f t="shared" si="862"/>
        <v>4059</v>
      </c>
      <c r="X5113" s="490">
        <f t="shared" si="862"/>
        <v>4069</v>
      </c>
      <c r="Y5113" s="490">
        <f t="shared" si="862"/>
        <v>4030</v>
      </c>
      <c r="Z5113" s="490">
        <f t="shared" si="862"/>
        <v>4085</v>
      </c>
      <c r="AA5113" s="373">
        <f>SUM(O5113:Z5113)</f>
        <v>48058</v>
      </c>
    </row>
    <row r="5114" spans="1:27" ht="33.75" x14ac:dyDescent="0.2">
      <c r="A5114" s="134"/>
      <c r="B5114" s="3658"/>
      <c r="C5114" s="3670"/>
      <c r="D5114" s="3660"/>
      <c r="E5114" s="3660"/>
      <c r="F5114" s="3660"/>
      <c r="G5114" s="3660"/>
      <c r="H5114" s="3660"/>
      <c r="I5114" s="3660"/>
      <c r="J5114" s="2973"/>
      <c r="K5114" s="2973"/>
      <c r="L5114" s="3660"/>
      <c r="M5114" s="458" t="s">
        <v>178</v>
      </c>
      <c r="N5114" s="458" t="s">
        <v>1971</v>
      </c>
      <c r="O5114" s="490"/>
      <c r="P5114" s="490"/>
      <c r="Q5114" s="490"/>
      <c r="R5114" s="490"/>
      <c r="S5114" s="490"/>
      <c r="T5114" s="490"/>
      <c r="U5114" s="490"/>
      <c r="V5114" s="490"/>
      <c r="W5114" s="490"/>
      <c r="X5114" s="490"/>
      <c r="Y5114" s="490"/>
      <c r="Z5114" s="490"/>
      <c r="AA5114" s="373">
        <f>SUM(O5114:Z5114)</f>
        <v>0</v>
      </c>
    </row>
    <row r="5115" spans="1:27" x14ac:dyDescent="0.2">
      <c r="A5115" s="134"/>
      <c r="B5115" s="3658"/>
      <c r="C5115" s="3670"/>
      <c r="D5115" s="3660"/>
      <c r="E5115" s="3660"/>
      <c r="F5115" s="3660"/>
      <c r="G5115" s="3660"/>
      <c r="H5115" s="3660"/>
      <c r="I5115" s="3660"/>
      <c r="J5115" s="2973"/>
      <c r="K5115" s="2973"/>
      <c r="L5115" s="3660"/>
      <c r="M5115" s="458" t="s">
        <v>180</v>
      </c>
      <c r="N5115" s="458" t="s">
        <v>1370</v>
      </c>
      <c r="O5115" s="561">
        <v>120</v>
      </c>
      <c r="P5115" s="561">
        <v>140</v>
      </c>
      <c r="Q5115" s="561">
        <v>130</v>
      </c>
      <c r="R5115" s="561">
        <v>150</v>
      </c>
      <c r="S5115" s="561">
        <v>120</v>
      </c>
      <c r="T5115" s="561">
        <v>130</v>
      </c>
      <c r="U5115" s="561">
        <v>130</v>
      </c>
      <c r="V5115" s="561">
        <v>150</v>
      </c>
      <c r="W5115" s="561">
        <v>120</v>
      </c>
      <c r="X5115" s="561">
        <v>130</v>
      </c>
      <c r="Y5115" s="561">
        <v>120</v>
      </c>
      <c r="Z5115" s="561">
        <v>100</v>
      </c>
      <c r="AA5115" s="373">
        <f>SUM(O5115:Z5115)</f>
        <v>1540</v>
      </c>
    </row>
    <row r="5116" spans="1:27" ht="22.5" x14ac:dyDescent="0.2">
      <c r="A5116" s="134"/>
      <c r="B5116" s="3658"/>
      <c r="C5116" s="3670"/>
      <c r="D5116" s="3660"/>
      <c r="E5116" s="3660"/>
      <c r="F5116" s="3660"/>
      <c r="G5116" s="3660"/>
      <c r="H5116" s="3660"/>
      <c r="I5116" s="3660"/>
      <c r="J5116" s="2973"/>
      <c r="K5116" s="2973"/>
      <c r="L5116" s="3660"/>
      <c r="M5116" s="458" t="s">
        <v>215</v>
      </c>
      <c r="N5116" s="458" t="s">
        <v>1105</v>
      </c>
      <c r="O5116" s="561">
        <v>20</v>
      </c>
      <c r="P5116" s="561">
        <v>15</v>
      </c>
      <c r="Q5116" s="561">
        <v>70</v>
      </c>
      <c r="R5116" s="561">
        <v>70</v>
      </c>
      <c r="S5116" s="561">
        <v>80</v>
      </c>
      <c r="T5116" s="561">
        <v>85</v>
      </c>
      <c r="U5116" s="561">
        <v>80</v>
      </c>
      <c r="V5116" s="561">
        <v>90</v>
      </c>
      <c r="W5116" s="561">
        <v>100</v>
      </c>
      <c r="X5116" s="561">
        <v>100</v>
      </c>
      <c r="Y5116" s="561">
        <v>100</v>
      </c>
      <c r="Z5116" s="561">
        <v>100</v>
      </c>
      <c r="AA5116" s="373">
        <f t="shared" ref="AA5116:AA5123" si="863">SUM(O5116:Z5116)</f>
        <v>910</v>
      </c>
    </row>
    <row r="5117" spans="1:27" ht="22.5" x14ac:dyDescent="0.2">
      <c r="A5117" s="134"/>
      <c r="B5117" s="3658"/>
      <c r="C5117" s="3670"/>
      <c r="D5117" s="3660"/>
      <c r="E5117" s="3660"/>
      <c r="F5117" s="3660"/>
      <c r="G5117" s="3660"/>
      <c r="H5117" s="3660"/>
      <c r="I5117" s="3660"/>
      <c r="J5117" s="2973"/>
      <c r="K5117" s="2973"/>
      <c r="L5117" s="3660"/>
      <c r="M5117" s="507" t="s">
        <v>184</v>
      </c>
      <c r="N5117" s="458" t="s">
        <v>1367</v>
      </c>
      <c r="O5117" s="561">
        <v>100</v>
      </c>
      <c r="P5117" s="561">
        <v>120</v>
      </c>
      <c r="Q5117" s="561">
        <v>150</v>
      </c>
      <c r="R5117" s="561">
        <v>140</v>
      </c>
      <c r="S5117" s="561">
        <v>160</v>
      </c>
      <c r="T5117" s="561">
        <v>180</v>
      </c>
      <c r="U5117" s="561">
        <v>150</v>
      </c>
      <c r="V5117" s="561">
        <v>160</v>
      </c>
      <c r="W5117" s="561">
        <v>170</v>
      </c>
      <c r="X5117" s="561">
        <v>150</v>
      </c>
      <c r="Y5117" s="561">
        <v>140</v>
      </c>
      <c r="Z5117" s="561">
        <v>160</v>
      </c>
      <c r="AA5117" s="373">
        <f t="shared" si="863"/>
        <v>1780</v>
      </c>
    </row>
    <row r="5118" spans="1:27" x14ac:dyDescent="0.2">
      <c r="A5118" s="134"/>
      <c r="B5118" s="3658"/>
      <c r="C5118" s="3670"/>
      <c r="D5118" s="3660"/>
      <c r="E5118" s="3660"/>
      <c r="F5118" s="3660"/>
      <c r="G5118" s="3660"/>
      <c r="H5118" s="3660"/>
      <c r="I5118" s="3660"/>
      <c r="J5118" s="2973"/>
      <c r="K5118" s="2973"/>
      <c r="L5118" s="3660"/>
      <c r="M5118" s="507" t="s">
        <v>217</v>
      </c>
      <c r="N5118" s="507" t="s">
        <v>2013</v>
      </c>
      <c r="O5118" s="561"/>
      <c r="P5118" s="561"/>
      <c r="Q5118" s="561">
        <v>20</v>
      </c>
      <c r="R5118" s="561">
        <v>25</v>
      </c>
      <c r="S5118" s="561">
        <v>25</v>
      </c>
      <c r="T5118" s="561">
        <v>20</v>
      </c>
      <c r="U5118" s="561">
        <v>30</v>
      </c>
      <c r="V5118" s="561">
        <v>35</v>
      </c>
      <c r="W5118" s="561">
        <v>39</v>
      </c>
      <c r="X5118" s="561">
        <v>49</v>
      </c>
      <c r="Y5118" s="561">
        <v>50</v>
      </c>
      <c r="Z5118" s="561">
        <v>45</v>
      </c>
      <c r="AA5118" s="373">
        <f t="shared" si="863"/>
        <v>338</v>
      </c>
    </row>
    <row r="5119" spans="1:27" x14ac:dyDescent="0.2">
      <c r="A5119" s="134"/>
      <c r="B5119" s="3658"/>
      <c r="C5119" s="3670"/>
      <c r="D5119" s="3660"/>
      <c r="E5119" s="3660"/>
      <c r="F5119" s="3660"/>
      <c r="G5119" s="3660"/>
      <c r="H5119" s="3660"/>
      <c r="I5119" s="3660"/>
      <c r="J5119" s="2973"/>
      <c r="K5119" s="2973"/>
      <c r="L5119" s="3660"/>
      <c r="M5119" s="498" t="s">
        <v>190</v>
      </c>
      <c r="N5119" s="38" t="s">
        <v>191</v>
      </c>
      <c r="O5119" s="561">
        <v>120</v>
      </c>
      <c r="P5119" s="561">
        <v>110</v>
      </c>
      <c r="Q5119" s="561">
        <v>100</v>
      </c>
      <c r="R5119" s="561">
        <v>120</v>
      </c>
      <c r="S5119" s="561">
        <v>110</v>
      </c>
      <c r="T5119" s="561">
        <v>120</v>
      </c>
      <c r="U5119" s="561">
        <v>110</v>
      </c>
      <c r="V5119" s="561">
        <v>130</v>
      </c>
      <c r="W5119" s="561">
        <v>130</v>
      </c>
      <c r="X5119" s="561">
        <v>140</v>
      </c>
      <c r="Y5119" s="561">
        <v>120</v>
      </c>
      <c r="Z5119" s="561">
        <v>180</v>
      </c>
      <c r="AA5119" s="373">
        <f t="shared" si="863"/>
        <v>1490</v>
      </c>
    </row>
    <row r="5120" spans="1:27" ht="33.75" x14ac:dyDescent="0.2">
      <c r="A5120" s="134"/>
      <c r="B5120" s="3658"/>
      <c r="C5120" s="3670"/>
      <c r="D5120" s="3660"/>
      <c r="E5120" s="3660"/>
      <c r="F5120" s="3660"/>
      <c r="G5120" s="3660"/>
      <c r="H5120" s="3660"/>
      <c r="I5120" s="3660"/>
      <c r="J5120" s="2973"/>
      <c r="K5120" s="2973"/>
      <c r="L5120" s="3660"/>
      <c r="M5120" s="498" t="s">
        <v>194</v>
      </c>
      <c r="N5120" s="104" t="s">
        <v>2014</v>
      </c>
      <c r="O5120" s="561">
        <v>3500</v>
      </c>
      <c r="P5120" s="561">
        <v>3500</v>
      </c>
      <c r="Q5120" s="561">
        <v>3500</v>
      </c>
      <c r="R5120" s="561">
        <v>3500</v>
      </c>
      <c r="S5120" s="561">
        <v>3500</v>
      </c>
      <c r="T5120" s="561">
        <v>3500</v>
      </c>
      <c r="U5120" s="561">
        <v>3500</v>
      </c>
      <c r="V5120" s="561">
        <v>3500</v>
      </c>
      <c r="W5120" s="561">
        <v>3500</v>
      </c>
      <c r="X5120" s="561">
        <v>3500</v>
      </c>
      <c r="Y5120" s="561">
        <v>3500</v>
      </c>
      <c r="Z5120" s="561">
        <v>3500</v>
      </c>
      <c r="AA5120" s="373">
        <f t="shared" si="863"/>
        <v>42000</v>
      </c>
    </row>
    <row r="5121" spans="1:27" ht="22.5" x14ac:dyDescent="0.2">
      <c r="A5121" s="134"/>
      <c r="B5121" s="3658"/>
      <c r="C5121" s="3670"/>
      <c r="D5121" s="3660"/>
      <c r="E5121" s="3660"/>
      <c r="F5121" s="3660"/>
      <c r="G5121" s="3660"/>
      <c r="H5121" s="3660"/>
      <c r="I5121" s="3660"/>
      <c r="J5121" s="2973"/>
      <c r="K5121" s="2973"/>
      <c r="L5121" s="3660"/>
      <c r="M5121" s="498" t="s">
        <v>1142</v>
      </c>
      <c r="N5121" s="104" t="s">
        <v>2016</v>
      </c>
      <c r="O5121" s="132"/>
      <c r="P5121" s="132"/>
      <c r="Q5121" s="132"/>
      <c r="R5121" s="132"/>
      <c r="S5121" s="132"/>
      <c r="T5121" s="132"/>
      <c r="U5121" s="132"/>
      <c r="V5121" s="132"/>
      <c r="W5121" s="132"/>
      <c r="X5121" s="132"/>
      <c r="Y5121" s="132"/>
      <c r="Z5121" s="132"/>
      <c r="AA5121" s="373">
        <f t="shared" si="863"/>
        <v>0</v>
      </c>
    </row>
    <row r="5122" spans="1:27" x14ac:dyDescent="0.2">
      <c r="A5122" s="134"/>
      <c r="B5122" s="3658"/>
      <c r="C5122" s="3670"/>
      <c r="D5122" s="3660"/>
      <c r="E5122" s="3660"/>
      <c r="F5122" s="3660"/>
      <c r="G5122" s="3660"/>
      <c r="H5122" s="3660"/>
      <c r="I5122" s="3660"/>
      <c r="J5122" s="2973"/>
      <c r="K5122" s="2973"/>
      <c r="L5122" s="3660"/>
      <c r="M5122" s="498" t="s">
        <v>2017</v>
      </c>
      <c r="N5122" s="104" t="s">
        <v>2018</v>
      </c>
      <c r="O5122" s="132"/>
      <c r="P5122" s="132"/>
      <c r="Q5122" s="132"/>
      <c r="R5122" s="132"/>
      <c r="S5122" s="132"/>
      <c r="T5122" s="132"/>
      <c r="U5122" s="132"/>
      <c r="V5122" s="132"/>
      <c r="W5122" s="132"/>
      <c r="X5122" s="132"/>
      <c r="Y5122" s="132"/>
      <c r="Z5122" s="132"/>
      <c r="AA5122" s="373">
        <f t="shared" si="863"/>
        <v>0</v>
      </c>
    </row>
    <row r="5123" spans="1:27" ht="22.5" x14ac:dyDescent="0.2">
      <c r="A5123" s="134"/>
      <c r="B5123" s="3658"/>
      <c r="C5123" s="3670"/>
      <c r="D5123" s="3660"/>
      <c r="E5123" s="3660"/>
      <c r="F5123" s="3660"/>
      <c r="G5123" s="3660"/>
      <c r="H5123" s="3660"/>
      <c r="I5123" s="3660"/>
      <c r="J5123" s="2973"/>
      <c r="K5123" s="2973"/>
      <c r="L5123" s="3660"/>
      <c r="M5123" s="498" t="s">
        <v>2019</v>
      </c>
      <c r="N5123" s="104" t="s">
        <v>2020</v>
      </c>
      <c r="O5123" s="132"/>
      <c r="P5123" s="132"/>
      <c r="Q5123" s="132"/>
      <c r="R5123" s="132"/>
      <c r="S5123" s="132"/>
      <c r="T5123" s="132"/>
      <c r="U5123" s="132"/>
      <c r="V5123" s="132"/>
      <c r="W5123" s="132"/>
      <c r="X5123" s="132"/>
      <c r="Y5123" s="132"/>
      <c r="Z5123" s="132"/>
      <c r="AA5123" s="373">
        <f t="shared" si="863"/>
        <v>0</v>
      </c>
    </row>
    <row r="5124" spans="1:27" x14ac:dyDescent="0.2">
      <c r="A5124" s="134"/>
      <c r="B5124" s="3658">
        <v>5000003</v>
      </c>
      <c r="C5124" s="3670" t="s">
        <v>2040</v>
      </c>
      <c r="D5124" s="3660"/>
      <c r="E5124" s="3660">
        <v>19</v>
      </c>
      <c r="F5124" s="3660"/>
      <c r="G5124" s="3660"/>
      <c r="H5124" s="3660" t="s">
        <v>19</v>
      </c>
      <c r="I5124" s="3660" t="s">
        <v>2041</v>
      </c>
      <c r="J5124" s="2973">
        <v>500</v>
      </c>
      <c r="K5124" s="2973">
        <f>+AA5125</f>
        <v>65870.350000000006</v>
      </c>
      <c r="L5124" s="3660" t="s">
        <v>2039</v>
      </c>
      <c r="M5124" s="2999" t="s">
        <v>51</v>
      </c>
      <c r="N5124" s="2999"/>
      <c r="O5124" s="490">
        <v>30</v>
      </c>
      <c r="P5124" s="490">
        <v>35</v>
      </c>
      <c r="Q5124" s="490">
        <v>30</v>
      </c>
      <c r="R5124" s="490">
        <v>45</v>
      </c>
      <c r="S5124" s="490">
        <v>37</v>
      </c>
      <c r="T5124" s="490">
        <v>42</v>
      </c>
      <c r="U5124" s="490">
        <v>36</v>
      </c>
      <c r="V5124" s="490">
        <v>40</v>
      </c>
      <c r="W5124" s="490">
        <v>50</v>
      </c>
      <c r="X5124" s="490">
        <v>55</v>
      </c>
      <c r="Y5124" s="490">
        <v>50</v>
      </c>
      <c r="Z5124" s="490">
        <v>50</v>
      </c>
      <c r="AA5124" s="373">
        <f>SUM(O5124:Z5124)</f>
        <v>500</v>
      </c>
    </row>
    <row r="5125" spans="1:27" x14ac:dyDescent="0.2">
      <c r="A5125" s="134"/>
      <c r="B5125" s="3658"/>
      <c r="C5125" s="3670"/>
      <c r="D5125" s="3660"/>
      <c r="E5125" s="3660"/>
      <c r="F5125" s="3660"/>
      <c r="G5125" s="3660"/>
      <c r="H5125" s="3660"/>
      <c r="I5125" s="3660"/>
      <c r="J5125" s="2973"/>
      <c r="K5125" s="2973"/>
      <c r="L5125" s="3660"/>
      <c r="M5125" s="2999" t="s">
        <v>111</v>
      </c>
      <c r="N5125" s="2999"/>
      <c r="O5125" s="490">
        <f>+SUM(O5126:O5135)</f>
        <v>5427</v>
      </c>
      <c r="P5125" s="490">
        <f t="shared" ref="P5125:Z5125" si="864">+SUM(P5126:P5135)</f>
        <v>5524</v>
      </c>
      <c r="Q5125" s="490">
        <f t="shared" si="864"/>
        <v>5453</v>
      </c>
      <c r="R5125" s="490">
        <f t="shared" si="864"/>
        <v>5416</v>
      </c>
      <c r="S5125" s="490">
        <f t="shared" si="864"/>
        <v>5527</v>
      </c>
      <c r="T5125" s="490">
        <f t="shared" si="864"/>
        <v>5435</v>
      </c>
      <c r="U5125" s="490">
        <f t="shared" si="864"/>
        <v>5497</v>
      </c>
      <c r="V5125" s="490">
        <f t="shared" si="864"/>
        <v>5513</v>
      </c>
      <c r="W5125" s="490">
        <f t="shared" si="864"/>
        <v>5519</v>
      </c>
      <c r="X5125" s="490">
        <f t="shared" si="864"/>
        <v>5511</v>
      </c>
      <c r="Y5125" s="490">
        <f t="shared" si="864"/>
        <v>5526</v>
      </c>
      <c r="Z5125" s="490">
        <f t="shared" si="864"/>
        <v>5522.35</v>
      </c>
      <c r="AA5125" s="373">
        <f>SUM(O5125:Z5125)</f>
        <v>65870.350000000006</v>
      </c>
    </row>
    <row r="5126" spans="1:27" ht="33.75" x14ac:dyDescent="0.2">
      <c r="A5126" s="134"/>
      <c r="B5126" s="3658"/>
      <c r="C5126" s="3670"/>
      <c r="D5126" s="3660"/>
      <c r="E5126" s="3660"/>
      <c r="F5126" s="3660"/>
      <c r="G5126" s="3660"/>
      <c r="H5126" s="3660"/>
      <c r="I5126" s="3660"/>
      <c r="J5126" s="2973"/>
      <c r="K5126" s="2973"/>
      <c r="L5126" s="3660"/>
      <c r="M5126" s="458" t="s">
        <v>178</v>
      </c>
      <c r="N5126" s="458" t="s">
        <v>1971</v>
      </c>
      <c r="O5126" s="500"/>
      <c r="P5126" s="500"/>
      <c r="Q5126" s="32"/>
      <c r="R5126" s="32"/>
      <c r="S5126" s="32"/>
      <c r="T5126" s="32"/>
      <c r="U5126" s="32"/>
      <c r="V5126" s="32"/>
      <c r="W5126" s="32"/>
      <c r="X5126" s="32"/>
      <c r="Y5126" s="32"/>
      <c r="Z5126" s="32"/>
      <c r="AA5126" s="92">
        <f>SUM(O5126:Z5126)</f>
        <v>0</v>
      </c>
    </row>
    <row r="5127" spans="1:27" x14ac:dyDescent="0.2">
      <c r="A5127" s="134"/>
      <c r="B5127" s="3658"/>
      <c r="C5127" s="3670"/>
      <c r="D5127" s="3660"/>
      <c r="E5127" s="3660"/>
      <c r="F5127" s="3660"/>
      <c r="G5127" s="3660"/>
      <c r="H5127" s="3660"/>
      <c r="I5127" s="3660"/>
      <c r="J5127" s="2973"/>
      <c r="K5127" s="2973"/>
      <c r="L5127" s="3660"/>
      <c r="M5127" s="458" t="s">
        <v>180</v>
      </c>
      <c r="N5127" s="458" t="s">
        <v>1370</v>
      </c>
      <c r="O5127" s="562">
        <v>45</v>
      </c>
      <c r="P5127" s="562">
        <v>50</v>
      </c>
      <c r="Q5127" s="562">
        <v>70</v>
      </c>
      <c r="R5127" s="562">
        <v>50</v>
      </c>
      <c r="S5127" s="562">
        <v>70</v>
      </c>
      <c r="T5127" s="562">
        <v>50</v>
      </c>
      <c r="U5127" s="562">
        <v>60</v>
      </c>
      <c r="V5127" s="562">
        <v>70</v>
      </c>
      <c r="W5127" s="562">
        <v>70</v>
      </c>
      <c r="X5127" s="562">
        <v>60</v>
      </c>
      <c r="Y5127" s="562">
        <v>70</v>
      </c>
      <c r="Z5127" s="562">
        <v>75</v>
      </c>
      <c r="AA5127" s="92">
        <f t="shared" ref="AA5127:AA5135" si="865">SUM(O5127:Z5127)</f>
        <v>740</v>
      </c>
    </row>
    <row r="5128" spans="1:27" ht="22.5" x14ac:dyDescent="0.2">
      <c r="A5128" s="134"/>
      <c r="B5128" s="3658"/>
      <c r="C5128" s="3670"/>
      <c r="D5128" s="3660"/>
      <c r="E5128" s="3660"/>
      <c r="F5128" s="3660"/>
      <c r="G5128" s="3660"/>
      <c r="H5128" s="3660"/>
      <c r="I5128" s="3660"/>
      <c r="J5128" s="2973"/>
      <c r="K5128" s="2973"/>
      <c r="L5128" s="3660"/>
      <c r="M5128" s="458" t="s">
        <v>215</v>
      </c>
      <c r="N5128" s="458" t="s">
        <v>1105</v>
      </c>
      <c r="O5128" s="562">
        <v>10</v>
      </c>
      <c r="P5128" s="562">
        <v>10</v>
      </c>
      <c r="Q5128" s="562">
        <v>10</v>
      </c>
      <c r="R5128" s="562">
        <v>10</v>
      </c>
      <c r="S5128" s="562">
        <v>10</v>
      </c>
      <c r="T5128" s="562">
        <v>10</v>
      </c>
      <c r="U5128" s="562">
        <v>10</v>
      </c>
      <c r="V5128" s="562">
        <v>10</v>
      </c>
      <c r="W5128" s="562">
        <v>10</v>
      </c>
      <c r="X5128" s="562">
        <v>10</v>
      </c>
      <c r="Y5128" s="562">
        <v>10</v>
      </c>
      <c r="Z5128" s="562">
        <v>10.35</v>
      </c>
      <c r="AA5128" s="92">
        <f t="shared" si="865"/>
        <v>120.35</v>
      </c>
    </row>
    <row r="5129" spans="1:27" ht="22.5" x14ac:dyDescent="0.2">
      <c r="A5129" s="134"/>
      <c r="B5129" s="3658"/>
      <c r="C5129" s="3670"/>
      <c r="D5129" s="3660"/>
      <c r="E5129" s="3660"/>
      <c r="F5129" s="3660"/>
      <c r="G5129" s="3660"/>
      <c r="H5129" s="3660"/>
      <c r="I5129" s="3660"/>
      <c r="J5129" s="2973"/>
      <c r="K5129" s="2973"/>
      <c r="L5129" s="3660"/>
      <c r="M5129" s="507" t="s">
        <v>184</v>
      </c>
      <c r="N5129" s="458" t="s">
        <v>1367</v>
      </c>
      <c r="O5129" s="562">
        <v>230</v>
      </c>
      <c r="P5129" s="562">
        <v>320</v>
      </c>
      <c r="Q5129" s="562">
        <v>250</v>
      </c>
      <c r="R5129" s="562">
        <v>230</v>
      </c>
      <c r="S5129" s="562">
        <v>320</v>
      </c>
      <c r="T5129" s="562">
        <v>250</v>
      </c>
      <c r="U5129" s="562">
        <v>300</v>
      </c>
      <c r="V5129" s="562">
        <v>310</v>
      </c>
      <c r="W5129" s="562">
        <v>315</v>
      </c>
      <c r="X5129" s="562">
        <v>315</v>
      </c>
      <c r="Y5129" s="562">
        <v>320</v>
      </c>
      <c r="Z5129" s="562">
        <v>310</v>
      </c>
      <c r="AA5129" s="92">
        <f t="shared" si="865"/>
        <v>3470</v>
      </c>
    </row>
    <row r="5130" spans="1:27" x14ac:dyDescent="0.2">
      <c r="A5130" s="134"/>
      <c r="B5130" s="3658"/>
      <c r="C5130" s="3670"/>
      <c r="D5130" s="3660"/>
      <c r="E5130" s="3660"/>
      <c r="F5130" s="3660"/>
      <c r="G5130" s="3660"/>
      <c r="H5130" s="3660"/>
      <c r="I5130" s="3660"/>
      <c r="J5130" s="2973"/>
      <c r="K5130" s="2973"/>
      <c r="L5130" s="3660"/>
      <c r="M5130" s="507" t="s">
        <v>217</v>
      </c>
      <c r="N5130" s="507" t="s">
        <v>2013</v>
      </c>
      <c r="O5130" s="562">
        <v>12</v>
      </c>
      <c r="P5130" s="562">
        <v>14</v>
      </c>
      <c r="Q5130" s="562">
        <v>13</v>
      </c>
      <c r="R5130" s="562">
        <v>16</v>
      </c>
      <c r="S5130" s="562">
        <v>17</v>
      </c>
      <c r="T5130" s="562">
        <v>15</v>
      </c>
      <c r="U5130" s="562">
        <v>17</v>
      </c>
      <c r="V5130" s="562">
        <v>13</v>
      </c>
      <c r="W5130" s="562">
        <v>14</v>
      </c>
      <c r="X5130" s="562">
        <v>16</v>
      </c>
      <c r="Y5130" s="562">
        <v>16</v>
      </c>
      <c r="Z5130" s="562">
        <v>17</v>
      </c>
      <c r="AA5130" s="92">
        <f t="shared" si="865"/>
        <v>180</v>
      </c>
    </row>
    <row r="5131" spans="1:27" x14ac:dyDescent="0.2">
      <c r="A5131" s="134"/>
      <c r="B5131" s="3658"/>
      <c r="C5131" s="3670"/>
      <c r="D5131" s="3660"/>
      <c r="E5131" s="3660"/>
      <c r="F5131" s="3660"/>
      <c r="G5131" s="3660"/>
      <c r="H5131" s="3660"/>
      <c r="I5131" s="3660"/>
      <c r="J5131" s="2973"/>
      <c r="K5131" s="2973"/>
      <c r="L5131" s="3660"/>
      <c r="M5131" s="498" t="s">
        <v>190</v>
      </c>
      <c r="N5131" s="38" t="s">
        <v>191</v>
      </c>
      <c r="O5131" s="562">
        <v>350</v>
      </c>
      <c r="P5131" s="562">
        <v>350</v>
      </c>
      <c r="Q5131" s="562">
        <v>330</v>
      </c>
      <c r="R5131" s="562">
        <v>330</v>
      </c>
      <c r="S5131" s="562">
        <v>330</v>
      </c>
      <c r="T5131" s="562">
        <v>330</v>
      </c>
      <c r="U5131" s="562">
        <v>330</v>
      </c>
      <c r="V5131" s="562">
        <v>330</v>
      </c>
      <c r="W5131" s="562">
        <v>330</v>
      </c>
      <c r="X5131" s="562">
        <v>330</v>
      </c>
      <c r="Y5131" s="562">
        <v>330</v>
      </c>
      <c r="Z5131" s="562">
        <v>330</v>
      </c>
      <c r="AA5131" s="92">
        <f t="shared" si="865"/>
        <v>4000</v>
      </c>
    </row>
    <row r="5132" spans="1:27" ht="33.75" x14ac:dyDescent="0.2">
      <c r="A5132" s="134"/>
      <c r="B5132" s="3658"/>
      <c r="C5132" s="3670"/>
      <c r="D5132" s="3660"/>
      <c r="E5132" s="3660"/>
      <c r="F5132" s="3660"/>
      <c r="G5132" s="3660"/>
      <c r="H5132" s="3660"/>
      <c r="I5132" s="3660"/>
      <c r="J5132" s="2973"/>
      <c r="K5132" s="2973"/>
      <c r="L5132" s="3660"/>
      <c r="M5132" s="498" t="s">
        <v>194</v>
      </c>
      <c r="N5132" s="104" t="s">
        <v>2014</v>
      </c>
      <c r="O5132" s="562">
        <v>4780</v>
      </c>
      <c r="P5132" s="562">
        <v>4780</v>
      </c>
      <c r="Q5132" s="562">
        <v>4780</v>
      </c>
      <c r="R5132" s="562">
        <v>4780</v>
      </c>
      <c r="S5132" s="562">
        <v>4780</v>
      </c>
      <c r="T5132" s="562">
        <v>4780</v>
      </c>
      <c r="U5132" s="562">
        <v>4780</v>
      </c>
      <c r="V5132" s="562">
        <v>4780</v>
      </c>
      <c r="W5132" s="562">
        <v>4780</v>
      </c>
      <c r="X5132" s="562">
        <v>4780</v>
      </c>
      <c r="Y5132" s="562">
        <v>4780</v>
      </c>
      <c r="Z5132" s="562">
        <v>4780</v>
      </c>
      <c r="AA5132" s="92">
        <f t="shared" si="865"/>
        <v>57360</v>
      </c>
    </row>
    <row r="5133" spans="1:27" ht="22.5" x14ac:dyDescent="0.2">
      <c r="A5133" s="134"/>
      <c r="B5133" s="3658"/>
      <c r="C5133" s="3670"/>
      <c r="D5133" s="3660"/>
      <c r="E5133" s="3660"/>
      <c r="F5133" s="3660"/>
      <c r="G5133" s="3660"/>
      <c r="H5133" s="3660"/>
      <c r="I5133" s="3660"/>
      <c r="J5133" s="2973"/>
      <c r="K5133" s="2973"/>
      <c r="L5133" s="3660"/>
      <c r="M5133" s="498" t="s">
        <v>1142</v>
      </c>
      <c r="N5133" s="104" t="s">
        <v>2016</v>
      </c>
      <c r="O5133" s="38"/>
      <c r="P5133" s="38"/>
      <c r="Q5133" s="38"/>
      <c r="R5133" s="38"/>
      <c r="S5133" s="38"/>
      <c r="T5133" s="38"/>
      <c r="U5133" s="38"/>
      <c r="V5133" s="38"/>
      <c r="W5133" s="38"/>
      <c r="X5133" s="38"/>
      <c r="Y5133" s="38"/>
      <c r="Z5133" s="38"/>
      <c r="AA5133" s="92">
        <f t="shared" si="865"/>
        <v>0</v>
      </c>
    </row>
    <row r="5134" spans="1:27" x14ac:dyDescent="0.2">
      <c r="A5134" s="134"/>
      <c r="B5134" s="3658"/>
      <c r="C5134" s="3670"/>
      <c r="D5134" s="3660"/>
      <c r="E5134" s="3660"/>
      <c r="F5134" s="3660"/>
      <c r="G5134" s="3660"/>
      <c r="H5134" s="3660"/>
      <c r="I5134" s="3660"/>
      <c r="J5134" s="2973"/>
      <c r="K5134" s="2973"/>
      <c r="L5134" s="3660"/>
      <c r="M5134" s="498" t="s">
        <v>2017</v>
      </c>
      <c r="N5134" s="104" t="s">
        <v>2018</v>
      </c>
      <c r="O5134" s="38"/>
      <c r="P5134" s="38"/>
      <c r="Q5134" s="38"/>
      <c r="R5134" s="38"/>
      <c r="S5134" s="38"/>
      <c r="T5134" s="38"/>
      <c r="U5134" s="38"/>
      <c r="V5134" s="38"/>
      <c r="W5134" s="38"/>
      <c r="X5134" s="38"/>
      <c r="Y5134" s="38"/>
      <c r="Z5134" s="38"/>
      <c r="AA5134" s="92">
        <f t="shared" si="865"/>
        <v>0</v>
      </c>
    </row>
    <row r="5135" spans="1:27" ht="22.5" x14ac:dyDescent="0.2">
      <c r="A5135" s="134"/>
      <c r="B5135" s="3658"/>
      <c r="C5135" s="3670"/>
      <c r="D5135" s="3660"/>
      <c r="E5135" s="3660"/>
      <c r="F5135" s="3660"/>
      <c r="G5135" s="3660"/>
      <c r="H5135" s="3660"/>
      <c r="I5135" s="3660"/>
      <c r="J5135" s="2973"/>
      <c r="K5135" s="2973"/>
      <c r="L5135" s="3660"/>
      <c r="M5135" s="498" t="s">
        <v>2019</v>
      </c>
      <c r="N5135" s="104" t="s">
        <v>2020</v>
      </c>
      <c r="O5135" s="38"/>
      <c r="P5135" s="38"/>
      <c r="Q5135" s="38"/>
      <c r="R5135" s="38"/>
      <c r="S5135" s="38"/>
      <c r="T5135" s="38"/>
      <c r="U5135" s="38"/>
      <c r="V5135" s="38"/>
      <c r="W5135" s="38"/>
      <c r="X5135" s="38"/>
      <c r="Y5135" s="38"/>
      <c r="Z5135" s="38"/>
      <c r="AA5135" s="92">
        <f t="shared" si="865"/>
        <v>0</v>
      </c>
    </row>
    <row r="5136" spans="1:27" x14ac:dyDescent="0.2">
      <c r="A5136" s="134"/>
      <c r="B5136" s="1156"/>
      <c r="C5136" s="1258"/>
      <c r="D5136" s="729"/>
      <c r="E5136" s="729"/>
      <c r="F5136" s="729"/>
      <c r="G5136" s="729"/>
      <c r="H5136" s="729"/>
      <c r="I5136" s="729"/>
      <c r="J5136" s="730"/>
      <c r="K5136" s="730">
        <f>SUM(K4971:K5135)</f>
        <v>389021</v>
      </c>
      <c r="L5136" s="729"/>
      <c r="M5136" s="739"/>
      <c r="N5136" s="104"/>
      <c r="O5136" s="38"/>
      <c r="P5136" s="38"/>
      <c r="Q5136" s="38"/>
      <c r="R5136" s="38"/>
      <c r="S5136" s="38"/>
      <c r="T5136" s="38"/>
      <c r="U5136" s="38"/>
      <c r="V5136" s="38"/>
      <c r="W5136" s="38"/>
      <c r="X5136" s="38"/>
      <c r="Y5136" s="38"/>
      <c r="Z5136" s="38"/>
      <c r="AA5136" s="746"/>
    </row>
    <row r="5137" spans="1:30" ht="22.5" x14ac:dyDescent="0.2">
      <c r="A5137" s="134"/>
      <c r="B5137" s="1010" t="s">
        <v>6</v>
      </c>
      <c r="C5137" s="3673" t="s">
        <v>3220</v>
      </c>
      <c r="D5137" s="3674"/>
      <c r="E5137" s="3674"/>
      <c r="F5137" s="3674"/>
      <c r="G5137" s="3674"/>
      <c r="H5137" s="3674"/>
      <c r="I5137" s="3674"/>
      <c r="J5137" s="3674"/>
      <c r="K5137" s="3674"/>
      <c r="L5137" s="3674"/>
      <c r="M5137" s="3674"/>
      <c r="N5137" s="3674"/>
      <c r="O5137" s="3674"/>
      <c r="P5137" s="3674"/>
      <c r="Q5137" s="3674"/>
      <c r="R5137" s="3674"/>
      <c r="S5137" s="3674"/>
      <c r="T5137" s="3674"/>
      <c r="U5137" s="3674"/>
      <c r="V5137" s="3675"/>
      <c r="W5137" s="457"/>
      <c r="X5137" s="457"/>
      <c r="Y5137" s="457"/>
      <c r="Z5137" s="457"/>
      <c r="AA5137" s="457"/>
    </row>
    <row r="5138" spans="1:30" ht="23.25" customHeight="1" x14ac:dyDescent="0.2">
      <c r="A5138" s="134"/>
      <c r="B5138" s="509" t="s">
        <v>8</v>
      </c>
      <c r="C5138" s="563" t="s">
        <v>2158</v>
      </c>
      <c r="D5138" s="564"/>
      <c r="E5138" s="564"/>
      <c r="F5138" s="564"/>
      <c r="G5138" s="564"/>
      <c r="H5138" s="564"/>
      <c r="I5138" s="564"/>
      <c r="J5138" s="564"/>
      <c r="K5138" s="564"/>
      <c r="L5138" s="564"/>
      <c r="M5138" s="564"/>
      <c r="N5138" s="564"/>
      <c r="O5138" s="564"/>
      <c r="P5138" s="564"/>
      <c r="Q5138" s="565"/>
      <c r="R5138" s="565"/>
      <c r="S5138" s="565"/>
      <c r="T5138" s="565"/>
      <c r="U5138" s="565"/>
      <c r="V5138" s="564"/>
      <c r="W5138" s="564"/>
      <c r="X5138" s="564"/>
      <c r="Y5138" s="564"/>
      <c r="Z5138" s="564"/>
      <c r="AA5138" s="564"/>
    </row>
    <row r="5139" spans="1:30" ht="22.5" x14ac:dyDescent="0.2">
      <c r="A5139" s="134"/>
      <c r="B5139" s="1010" t="s">
        <v>11</v>
      </c>
      <c r="C5139" s="475" t="s">
        <v>230</v>
      </c>
      <c r="D5139" s="476"/>
      <c r="E5139" s="476"/>
      <c r="F5139" s="1447"/>
      <c r="G5139" s="1447"/>
      <c r="H5139" s="1447"/>
      <c r="I5139" s="1447"/>
      <c r="J5139" s="1447"/>
      <c r="K5139" s="1447"/>
      <c r="L5139" s="1447"/>
      <c r="M5139" s="1447"/>
      <c r="N5139" s="1447"/>
      <c r="O5139" s="1447"/>
      <c r="P5139" s="1447"/>
      <c r="Q5139" s="396"/>
      <c r="R5139" s="396"/>
      <c r="S5139" s="396"/>
      <c r="T5139" s="396"/>
      <c r="U5139" s="396"/>
      <c r="V5139" s="476"/>
      <c r="W5139" s="476"/>
      <c r="X5139" s="476"/>
      <c r="Y5139" s="476"/>
      <c r="Z5139" s="476"/>
      <c r="AA5139" s="476"/>
    </row>
    <row r="5140" spans="1:30" x14ac:dyDescent="0.2">
      <c r="A5140" s="134"/>
      <c r="B5140" s="2913" t="s">
        <v>13</v>
      </c>
      <c r="C5140" s="3139">
        <v>9001</v>
      </c>
      <c r="D5140" s="3139" t="s">
        <v>160</v>
      </c>
      <c r="E5140" s="3139"/>
      <c r="F5140" s="171"/>
      <c r="G5140" s="171"/>
      <c r="H5140" s="171"/>
      <c r="I5140" s="171"/>
      <c r="J5140" s="171"/>
      <c r="K5140" s="171"/>
      <c r="L5140" s="171"/>
      <c r="M5140" s="171"/>
      <c r="N5140" s="171"/>
      <c r="O5140" s="171"/>
      <c r="P5140" s="171"/>
      <c r="Q5140" s="1448"/>
      <c r="R5140" s="1448"/>
      <c r="S5140" s="1448"/>
      <c r="T5140" s="1448"/>
      <c r="U5140" s="1448"/>
      <c r="V5140" s="2922" t="s">
        <v>15</v>
      </c>
      <c r="W5140" s="2922"/>
      <c r="X5140" s="2922"/>
      <c r="Y5140" s="2922"/>
      <c r="Z5140" s="2922" t="s">
        <v>16</v>
      </c>
      <c r="AA5140" s="2922"/>
    </row>
    <row r="5141" spans="1:30" x14ac:dyDescent="0.2">
      <c r="A5141" s="134"/>
      <c r="B5141" s="2913"/>
      <c r="C5141" s="3139"/>
      <c r="D5141" s="3139"/>
      <c r="E5141" s="3139"/>
      <c r="F5141" s="171"/>
      <c r="G5141" s="171"/>
      <c r="H5141" s="171"/>
      <c r="I5141" s="171"/>
      <c r="J5141" s="171"/>
      <c r="K5141" s="171"/>
      <c r="L5141" s="171"/>
      <c r="M5141" s="171"/>
      <c r="N5141" s="171"/>
      <c r="O5141" s="171"/>
      <c r="P5141" s="171"/>
      <c r="Q5141" s="1448"/>
      <c r="R5141" s="1448"/>
      <c r="S5141" s="1448"/>
      <c r="T5141" s="1448"/>
      <c r="U5141" s="1448"/>
      <c r="V5141" s="2922" t="s">
        <v>1213</v>
      </c>
      <c r="W5141" s="2922"/>
      <c r="X5141" s="2922"/>
      <c r="Y5141" s="2922"/>
      <c r="Z5141" s="2922" t="s">
        <v>1213</v>
      </c>
      <c r="AA5141" s="2922"/>
    </row>
    <row r="5142" spans="1:30" x14ac:dyDescent="0.2">
      <c r="A5142" s="134"/>
      <c r="B5142" s="2913"/>
      <c r="C5142" s="3139"/>
      <c r="D5142" s="3139"/>
      <c r="E5142" s="3139"/>
      <c r="F5142" s="171"/>
      <c r="G5142" s="171"/>
      <c r="H5142" s="171"/>
      <c r="I5142" s="171"/>
      <c r="J5142" s="171"/>
      <c r="K5142" s="171"/>
      <c r="L5142" s="171"/>
      <c r="M5142" s="171"/>
      <c r="N5142" s="171"/>
      <c r="O5142" s="171"/>
      <c r="P5142" s="171"/>
      <c r="Q5142" s="1448"/>
      <c r="R5142" s="1448"/>
      <c r="S5142" s="1448"/>
      <c r="T5142" s="1448"/>
      <c r="U5142" s="1448"/>
      <c r="V5142" s="2922"/>
      <c r="W5142" s="2922"/>
      <c r="X5142" s="2922"/>
      <c r="Y5142" s="2922"/>
      <c r="Z5142" s="2922"/>
      <c r="AA5142" s="2922"/>
    </row>
    <row r="5143" spans="1:30" x14ac:dyDescent="0.2">
      <c r="A5143" s="134"/>
      <c r="B5143" s="2913" t="s">
        <v>18</v>
      </c>
      <c r="C5143" s="3139">
        <v>3.9999989999999999</v>
      </c>
      <c r="D5143" s="2840" t="s">
        <v>163</v>
      </c>
      <c r="E5143" s="2840"/>
      <c r="F5143" s="1449"/>
      <c r="G5143" s="1449"/>
      <c r="H5143" s="1449"/>
      <c r="I5143" s="1449"/>
      <c r="J5143" s="1449"/>
      <c r="K5143" s="1449"/>
      <c r="L5143" s="1449"/>
      <c r="M5143" s="1449"/>
      <c r="N5143" s="1449"/>
      <c r="O5143" s="1449"/>
      <c r="P5143" s="1449"/>
      <c r="Q5143" s="171"/>
      <c r="R5143" s="171"/>
      <c r="S5143" s="171"/>
      <c r="T5143" s="171"/>
      <c r="U5143" s="171"/>
      <c r="V5143" s="2840" t="s">
        <v>15</v>
      </c>
      <c r="W5143" s="2840"/>
      <c r="X5143" s="2840"/>
      <c r="Y5143" s="2840"/>
      <c r="Z5143" s="2922" t="s">
        <v>16</v>
      </c>
      <c r="AA5143" s="2922"/>
    </row>
    <row r="5144" spans="1:30" x14ac:dyDescent="0.2">
      <c r="A5144" s="134"/>
      <c r="B5144" s="2913"/>
      <c r="C5144" s="3139"/>
      <c r="D5144" s="2840"/>
      <c r="E5144" s="2840"/>
      <c r="F5144" s="1450"/>
      <c r="G5144" s="1450"/>
      <c r="H5144" s="1450"/>
      <c r="I5144" s="1450"/>
      <c r="J5144" s="1450"/>
      <c r="K5144" s="1450"/>
      <c r="L5144" s="1450"/>
      <c r="M5144" s="1450"/>
      <c r="N5144" s="1450"/>
      <c r="O5144" s="1450"/>
      <c r="P5144" s="1450"/>
      <c r="Q5144" s="172"/>
      <c r="R5144" s="172"/>
      <c r="S5144" s="172"/>
      <c r="T5144" s="172"/>
      <c r="U5144" s="172"/>
      <c r="V5144" s="2840" t="s">
        <v>1213</v>
      </c>
      <c r="W5144" s="2840"/>
      <c r="X5144" s="2840"/>
      <c r="Y5144" s="2840"/>
      <c r="Z5144" s="2922" t="s">
        <v>1213</v>
      </c>
      <c r="AA5144" s="2922"/>
    </row>
    <row r="5145" spans="1:30" x14ac:dyDescent="0.2">
      <c r="A5145" s="134"/>
      <c r="B5145" s="3516" t="s">
        <v>20</v>
      </c>
      <c r="C5145" s="2847" t="s">
        <v>21</v>
      </c>
      <c r="D5145" s="2847" t="s">
        <v>22</v>
      </c>
      <c r="E5145" s="2847" t="s">
        <v>23</v>
      </c>
      <c r="F5145" s="2847" t="s">
        <v>164</v>
      </c>
      <c r="G5145" s="2847" t="s">
        <v>25</v>
      </c>
      <c r="H5145" s="2847" t="s">
        <v>26</v>
      </c>
      <c r="I5145" s="2847" t="s">
        <v>27</v>
      </c>
      <c r="J5145" s="2847" t="s">
        <v>28</v>
      </c>
      <c r="K5145" s="2847"/>
      <c r="L5145" s="2847" t="s">
        <v>279</v>
      </c>
      <c r="M5145" s="2847" t="s">
        <v>30</v>
      </c>
      <c r="N5145" s="2847"/>
      <c r="O5145" s="2916" t="s">
        <v>31</v>
      </c>
      <c r="P5145" s="2916"/>
      <c r="Q5145" s="2916"/>
      <c r="R5145" s="2916"/>
      <c r="S5145" s="2916"/>
      <c r="T5145" s="2916"/>
      <c r="U5145" s="2916"/>
      <c r="V5145" s="2916"/>
      <c r="W5145" s="2916"/>
      <c r="X5145" s="2916"/>
      <c r="Y5145" s="2916"/>
      <c r="Z5145" s="2916"/>
      <c r="AA5145" s="2916" t="s">
        <v>32</v>
      </c>
    </row>
    <row r="5146" spans="1:30" x14ac:dyDescent="0.2">
      <c r="A5146" s="134"/>
      <c r="B5146" s="3516"/>
      <c r="C5146" s="2847"/>
      <c r="D5146" s="2847"/>
      <c r="E5146" s="2847"/>
      <c r="F5146" s="2847"/>
      <c r="G5146" s="2847"/>
      <c r="H5146" s="2847"/>
      <c r="I5146" s="2847"/>
      <c r="J5146" s="455" t="s">
        <v>33</v>
      </c>
      <c r="K5146" s="455" t="s">
        <v>34</v>
      </c>
      <c r="L5146" s="2847"/>
      <c r="M5146" s="2847"/>
      <c r="N5146" s="2847"/>
      <c r="O5146" s="471" t="s">
        <v>35</v>
      </c>
      <c r="P5146" s="471" t="s">
        <v>36</v>
      </c>
      <c r="Q5146" s="471" t="s">
        <v>37</v>
      </c>
      <c r="R5146" s="471" t="s">
        <v>38</v>
      </c>
      <c r="S5146" s="471" t="s">
        <v>39</v>
      </c>
      <c r="T5146" s="471" t="s">
        <v>40</v>
      </c>
      <c r="U5146" s="471" t="s">
        <v>41</v>
      </c>
      <c r="V5146" s="471" t="s">
        <v>42</v>
      </c>
      <c r="W5146" s="471" t="s">
        <v>43</v>
      </c>
      <c r="X5146" s="471" t="s">
        <v>44</v>
      </c>
      <c r="Y5146" s="471" t="s">
        <v>45</v>
      </c>
      <c r="Z5146" s="471" t="s">
        <v>46</v>
      </c>
      <c r="AA5146" s="2916"/>
    </row>
    <row r="5147" spans="1:30" x14ac:dyDescent="0.2">
      <c r="A5147" s="134"/>
      <c r="B5147" s="3679" t="s">
        <v>1350</v>
      </c>
      <c r="C5147" s="3216" t="s">
        <v>1805</v>
      </c>
      <c r="D5147" s="3333" t="s">
        <v>1085</v>
      </c>
      <c r="E5147" s="3308" t="s">
        <v>2159</v>
      </c>
      <c r="F5147" s="2922" t="s">
        <v>2160</v>
      </c>
      <c r="G5147" s="2922" t="s">
        <v>2161</v>
      </c>
      <c r="H5147" s="3333" t="s">
        <v>1352</v>
      </c>
      <c r="I5147" s="3333"/>
      <c r="J5147" s="3676"/>
      <c r="K5147" s="3676">
        <v>1932452</v>
      </c>
      <c r="L5147" s="3333" t="s">
        <v>2162</v>
      </c>
      <c r="M5147" s="3677" t="s">
        <v>51</v>
      </c>
      <c r="N5147" s="3677"/>
      <c r="O5147" s="893"/>
      <c r="P5147" s="1149"/>
      <c r="Q5147" s="1149"/>
      <c r="R5147" s="1149"/>
      <c r="S5147" s="1149"/>
      <c r="T5147" s="1149"/>
      <c r="U5147" s="1149"/>
      <c r="V5147" s="1149"/>
      <c r="W5147" s="1149"/>
      <c r="X5147" s="1149"/>
      <c r="Y5147" s="1149"/>
      <c r="Z5147" s="1149"/>
      <c r="AA5147" s="510"/>
      <c r="AD5147" s="771"/>
    </row>
    <row r="5148" spans="1:30" x14ac:dyDescent="0.2">
      <c r="A5148" s="134"/>
      <c r="B5148" s="3679"/>
      <c r="C5148" s="3216"/>
      <c r="D5148" s="3333"/>
      <c r="E5148" s="3308"/>
      <c r="F5148" s="2922"/>
      <c r="G5148" s="2922"/>
      <c r="H5148" s="3333"/>
      <c r="I5148" s="3333"/>
      <c r="J5148" s="3676"/>
      <c r="K5148" s="3676"/>
      <c r="L5148" s="3333"/>
      <c r="M5148" s="3677" t="s">
        <v>2163</v>
      </c>
      <c r="N5148" s="3677"/>
      <c r="O5148" s="510">
        <f>SUM(O5153:O5160)</f>
        <v>18862.309999999998</v>
      </c>
      <c r="P5148" s="510">
        <f t="shared" ref="P5148:Z5148" si="866">SUM(P5153:P5160)</f>
        <v>18862.309999999998</v>
      </c>
      <c r="Q5148" s="510">
        <f t="shared" si="866"/>
        <v>18862.309999999998</v>
      </c>
      <c r="R5148" s="510">
        <f t="shared" si="866"/>
        <v>18862.309999999998</v>
      </c>
      <c r="S5148" s="510">
        <f t="shared" si="866"/>
        <v>18862.309999999998</v>
      </c>
      <c r="T5148" s="510">
        <f t="shared" si="866"/>
        <v>18862.309999999998</v>
      </c>
      <c r="U5148" s="510">
        <f t="shared" si="866"/>
        <v>18862.309999999998</v>
      </c>
      <c r="V5148" s="510">
        <f t="shared" si="866"/>
        <v>18862.309999999998</v>
      </c>
      <c r="W5148" s="510">
        <f t="shared" si="866"/>
        <v>18862.309999999998</v>
      </c>
      <c r="X5148" s="510">
        <f t="shared" si="866"/>
        <v>18862.309999999998</v>
      </c>
      <c r="Y5148" s="510">
        <f t="shared" si="866"/>
        <v>18862.309999999998</v>
      </c>
      <c r="Z5148" s="510">
        <f t="shared" si="866"/>
        <v>18862.309999999998</v>
      </c>
      <c r="AA5148" s="2081">
        <f>SUM(O5148:Z5148)</f>
        <v>226347.71999999997</v>
      </c>
    </row>
    <row r="5149" spans="1:30" x14ac:dyDescent="0.2">
      <c r="A5149" s="134"/>
      <c r="B5149" s="3679"/>
      <c r="C5149" s="3216"/>
      <c r="D5149" s="3333"/>
      <c r="E5149" s="3308"/>
      <c r="F5149" s="2922"/>
      <c r="G5149" s="2922"/>
      <c r="H5149" s="3333"/>
      <c r="I5149" s="3333"/>
      <c r="J5149" s="3676"/>
      <c r="K5149" s="3676"/>
      <c r="L5149" s="3333"/>
      <c r="M5149" s="3677" t="s">
        <v>2164</v>
      </c>
      <c r="N5149" s="3677"/>
      <c r="O5149" s="510">
        <f>SUM(O5162:O5165)</f>
        <v>9795.5</v>
      </c>
      <c r="P5149" s="510">
        <f t="shared" ref="P5149:Z5149" si="867">SUM(P5162:P5165)</f>
        <v>9794.7000000000007</v>
      </c>
      <c r="Q5149" s="510">
        <f t="shared" si="867"/>
        <v>9794.7000000000007</v>
      </c>
      <c r="R5149" s="510">
        <f t="shared" si="867"/>
        <v>9794.7000000000007</v>
      </c>
      <c r="S5149" s="510">
        <f t="shared" si="867"/>
        <v>9794.7000000000007</v>
      </c>
      <c r="T5149" s="510">
        <f t="shared" si="867"/>
        <v>9794.7000000000007</v>
      </c>
      <c r="U5149" s="510">
        <f t="shared" si="867"/>
        <v>9794.7000000000007</v>
      </c>
      <c r="V5149" s="510">
        <f t="shared" si="867"/>
        <v>9794.7000000000007</v>
      </c>
      <c r="W5149" s="510">
        <f t="shared" si="867"/>
        <v>9794.7000000000007</v>
      </c>
      <c r="X5149" s="510">
        <f t="shared" si="867"/>
        <v>9794.7000000000007</v>
      </c>
      <c r="Y5149" s="510">
        <f t="shared" si="867"/>
        <v>9794.7000000000007</v>
      </c>
      <c r="Z5149" s="510">
        <f t="shared" si="867"/>
        <v>9794.7000000000007</v>
      </c>
      <c r="AA5149" s="2081">
        <f>SUM(O5149:Z5149)</f>
        <v>117537.19999999998</v>
      </c>
    </row>
    <row r="5150" spans="1:30" ht="18.75" customHeight="1" x14ac:dyDescent="0.2">
      <c r="A5150" s="134"/>
      <c r="B5150" s="3678" t="s">
        <v>2165</v>
      </c>
      <c r="C5150" s="3678"/>
      <c r="D5150" s="3678"/>
      <c r="E5150" s="3678"/>
      <c r="F5150" s="3678"/>
      <c r="G5150" s="3678"/>
      <c r="H5150" s="3678"/>
      <c r="I5150" s="3678"/>
      <c r="J5150" s="3678"/>
      <c r="K5150" s="3678"/>
      <c r="L5150" s="3678"/>
      <c r="M5150" s="3678"/>
      <c r="N5150" s="3678"/>
      <c r="O5150" s="3678"/>
      <c r="P5150" s="3678"/>
      <c r="Q5150" s="3678"/>
      <c r="R5150" s="3678"/>
      <c r="S5150" s="3678"/>
      <c r="T5150" s="3678"/>
      <c r="U5150" s="3678"/>
      <c r="V5150" s="3678"/>
      <c r="W5150" s="3678"/>
      <c r="X5150" s="3678"/>
      <c r="Y5150" s="3678"/>
      <c r="Z5150" s="3678"/>
      <c r="AA5150" s="3678"/>
    </row>
    <row r="5151" spans="1:30" x14ac:dyDescent="0.2">
      <c r="A5151" s="134"/>
      <c r="B5151" s="2941"/>
      <c r="C5151" s="2421" t="s">
        <v>2166</v>
      </c>
      <c r="D5151" s="2421"/>
      <c r="E5151" s="3308"/>
      <c r="F5151" s="2922"/>
      <c r="G5151" s="2922"/>
      <c r="H5151" s="3681" t="s">
        <v>1352</v>
      </c>
      <c r="I5151" s="3483" t="s">
        <v>942</v>
      </c>
      <c r="J5151" s="3483">
        <v>500</v>
      </c>
      <c r="K5151" s="3497"/>
      <c r="L5151" s="2421" t="s">
        <v>2167</v>
      </c>
      <c r="M5151" s="3682" t="s">
        <v>51</v>
      </c>
      <c r="N5151" s="3682"/>
      <c r="O5151" s="2169">
        <v>50</v>
      </c>
      <c r="P5151" s="2169">
        <v>50</v>
      </c>
      <c r="Q5151" s="2169">
        <v>50</v>
      </c>
      <c r="R5151" s="2169">
        <v>50</v>
      </c>
      <c r="S5151" s="2169">
        <v>50</v>
      </c>
      <c r="T5151" s="2169">
        <v>50</v>
      </c>
      <c r="U5151" s="2169">
        <v>50</v>
      </c>
      <c r="V5151" s="2169">
        <v>50</v>
      </c>
      <c r="W5151" s="2169">
        <v>50</v>
      </c>
      <c r="X5151" s="2169">
        <v>50</v>
      </c>
      <c r="Y5151" s="2169">
        <v>50</v>
      </c>
      <c r="Z5151" s="2169">
        <v>50</v>
      </c>
      <c r="AA5151" s="92">
        <f t="shared" ref="AA5151" si="868">SUM(O5151:Z5151)</f>
        <v>600</v>
      </c>
    </row>
    <row r="5152" spans="1:30" x14ac:dyDescent="0.2">
      <c r="A5152" s="134"/>
      <c r="B5152" s="2941"/>
      <c r="C5152" s="2421"/>
      <c r="D5152" s="2421"/>
      <c r="E5152" s="3308"/>
      <c r="F5152" s="2922"/>
      <c r="G5152" s="2922"/>
      <c r="H5152" s="3681"/>
      <c r="I5152" s="3483"/>
      <c r="J5152" s="3483"/>
      <c r="K5152" s="3497"/>
      <c r="L5152" s="2421"/>
      <c r="M5152" s="3682" t="s">
        <v>111</v>
      </c>
      <c r="N5152" s="3682"/>
      <c r="O5152" s="2169">
        <f>SUM(O5153:O5165)</f>
        <v>28670.609999999997</v>
      </c>
      <c r="P5152" s="2169">
        <f t="shared" ref="P5152:Z5152" si="869">SUM(P5153:P5165)</f>
        <v>28669.809999999998</v>
      </c>
      <c r="Q5152" s="2169">
        <f t="shared" si="869"/>
        <v>28669.809999999998</v>
      </c>
      <c r="R5152" s="2169">
        <f t="shared" si="869"/>
        <v>28669.809999999998</v>
      </c>
      <c r="S5152" s="2169">
        <f t="shared" si="869"/>
        <v>28669.809999999998</v>
      </c>
      <c r="T5152" s="2169">
        <f t="shared" si="869"/>
        <v>28669.809999999998</v>
      </c>
      <c r="U5152" s="2169">
        <f t="shared" si="869"/>
        <v>28669.809999999998</v>
      </c>
      <c r="V5152" s="2169">
        <f t="shared" si="869"/>
        <v>28669.809999999998</v>
      </c>
      <c r="W5152" s="2169">
        <f t="shared" si="869"/>
        <v>28669.809999999998</v>
      </c>
      <c r="X5152" s="2169">
        <f t="shared" si="869"/>
        <v>28669.809999999998</v>
      </c>
      <c r="Y5152" s="2169">
        <f t="shared" si="869"/>
        <v>28669.809999999998</v>
      </c>
      <c r="Z5152" s="2169">
        <f t="shared" si="869"/>
        <v>28669.809999999998</v>
      </c>
      <c r="AA5152" s="92">
        <f>SUM(O5152:Z5152)</f>
        <v>344038.51999999996</v>
      </c>
    </row>
    <row r="5153" spans="1:27" ht="45" x14ac:dyDescent="0.2">
      <c r="A5153" s="134"/>
      <c r="B5153" s="2941"/>
      <c r="C5153" s="2421"/>
      <c r="D5153" s="2421"/>
      <c r="E5153" s="3308"/>
      <c r="F5153" s="2922"/>
      <c r="G5153" s="2922"/>
      <c r="H5153" s="3681"/>
      <c r="I5153" s="3483"/>
      <c r="J5153" s="3483"/>
      <c r="K5153" s="3497"/>
      <c r="L5153" s="2421"/>
      <c r="M5153" s="2150" t="s">
        <v>2168</v>
      </c>
      <c r="N5153" s="2150" t="s">
        <v>2169</v>
      </c>
      <c r="O5153" s="2169">
        <v>1168.9000000000001</v>
      </c>
      <c r="P5153" s="2169">
        <v>1168.9000000000001</v>
      </c>
      <c r="Q5153" s="2169">
        <v>1168.9000000000001</v>
      </c>
      <c r="R5153" s="2169">
        <v>1168.9000000000001</v>
      </c>
      <c r="S5153" s="2169">
        <v>1168.9000000000001</v>
      </c>
      <c r="T5153" s="2169">
        <v>1168.9000000000001</v>
      </c>
      <c r="U5153" s="2169">
        <v>1168.9000000000001</v>
      </c>
      <c r="V5153" s="2169">
        <v>1168.9000000000001</v>
      </c>
      <c r="W5153" s="2169">
        <v>1168.9000000000001</v>
      </c>
      <c r="X5153" s="2169">
        <v>1168.9000000000001</v>
      </c>
      <c r="Y5153" s="2169">
        <v>1168.9000000000001</v>
      </c>
      <c r="Z5153" s="2169">
        <v>1168.9000000000001</v>
      </c>
      <c r="AA5153" s="92">
        <f t="shared" ref="AA5153:AA5166" si="870">SUM(O5153:Z5153)</f>
        <v>14026.799999999997</v>
      </c>
    </row>
    <row r="5154" spans="1:27" ht="45" x14ac:dyDescent="0.2">
      <c r="A5154" s="134"/>
      <c r="B5154" s="2941"/>
      <c r="C5154" s="2421"/>
      <c r="D5154" s="2421"/>
      <c r="E5154" s="3308"/>
      <c r="F5154" s="2922"/>
      <c r="G5154" s="2922"/>
      <c r="H5154" s="3681"/>
      <c r="I5154" s="3483"/>
      <c r="J5154" s="3483"/>
      <c r="K5154" s="3497"/>
      <c r="L5154" s="2421"/>
      <c r="M5154" s="2150" t="s">
        <v>2170</v>
      </c>
      <c r="N5154" s="2150" t="s">
        <v>2171</v>
      </c>
      <c r="O5154" s="2169">
        <v>1048.5999999999999</v>
      </c>
      <c r="P5154" s="2169">
        <v>1048.5999999999999</v>
      </c>
      <c r="Q5154" s="2169">
        <v>1048.5999999999999</v>
      </c>
      <c r="R5154" s="2169">
        <v>1048.5999999999999</v>
      </c>
      <c r="S5154" s="2169">
        <v>1048.5999999999999</v>
      </c>
      <c r="T5154" s="2169">
        <v>1048.5999999999999</v>
      </c>
      <c r="U5154" s="2169">
        <v>1048.5999999999999</v>
      </c>
      <c r="V5154" s="2169">
        <v>1048.5999999999999</v>
      </c>
      <c r="W5154" s="2169">
        <v>1048.5999999999999</v>
      </c>
      <c r="X5154" s="2169">
        <v>1048.5999999999999</v>
      </c>
      <c r="Y5154" s="2169">
        <v>1048.5999999999999</v>
      </c>
      <c r="Z5154" s="2169">
        <v>1048.5999999999999</v>
      </c>
      <c r="AA5154" s="92">
        <f t="shared" si="870"/>
        <v>12583.200000000003</v>
      </c>
    </row>
    <row r="5155" spans="1:27" ht="33.75" x14ac:dyDescent="0.2">
      <c r="A5155" s="134"/>
      <c r="B5155" s="2941"/>
      <c r="C5155" s="2421"/>
      <c r="D5155" s="2421"/>
      <c r="E5155" s="3308"/>
      <c r="F5155" s="2922"/>
      <c r="G5155" s="2922"/>
      <c r="H5155" s="3681"/>
      <c r="I5155" s="3483"/>
      <c r="J5155" s="3483"/>
      <c r="K5155" s="3497"/>
      <c r="L5155" s="2421"/>
      <c r="M5155" s="2150" t="s">
        <v>2172</v>
      </c>
      <c r="N5155" s="2150" t="s">
        <v>1319</v>
      </c>
      <c r="O5155" s="2169">
        <v>9423.4</v>
      </c>
      <c r="P5155" s="2169">
        <v>9423.4</v>
      </c>
      <c r="Q5155" s="2169">
        <v>9423.4</v>
      </c>
      <c r="R5155" s="2169">
        <v>9423.4</v>
      </c>
      <c r="S5155" s="2169">
        <v>9423.4</v>
      </c>
      <c r="T5155" s="2169">
        <v>9423.4</v>
      </c>
      <c r="U5155" s="2169">
        <v>9423.4</v>
      </c>
      <c r="V5155" s="2169">
        <v>9423.4</v>
      </c>
      <c r="W5155" s="2169">
        <v>9423.4</v>
      </c>
      <c r="X5155" s="2169">
        <v>9423.4</v>
      </c>
      <c r="Y5155" s="2169">
        <v>9423.4</v>
      </c>
      <c r="Z5155" s="2169">
        <v>9423.4</v>
      </c>
      <c r="AA5155" s="92">
        <f t="shared" si="870"/>
        <v>113080.79999999997</v>
      </c>
    </row>
    <row r="5156" spans="1:27" x14ac:dyDescent="0.2">
      <c r="A5156" s="134"/>
      <c r="B5156" s="2941"/>
      <c r="C5156" s="2421"/>
      <c r="D5156" s="2421"/>
      <c r="E5156" s="3308"/>
      <c r="F5156" s="2922"/>
      <c r="G5156" s="2922"/>
      <c r="H5156" s="3681"/>
      <c r="I5156" s="3483"/>
      <c r="J5156" s="3483"/>
      <c r="K5156" s="3497"/>
      <c r="L5156" s="2421"/>
      <c r="M5156" s="2150" t="s">
        <v>2173</v>
      </c>
      <c r="N5156" s="2150" t="s">
        <v>1321</v>
      </c>
      <c r="O5156" s="2169">
        <v>150</v>
      </c>
      <c r="P5156" s="2169">
        <v>150</v>
      </c>
      <c r="Q5156" s="2169">
        <v>150</v>
      </c>
      <c r="R5156" s="2169">
        <v>150</v>
      </c>
      <c r="S5156" s="2169">
        <v>150</v>
      </c>
      <c r="T5156" s="2169">
        <v>150</v>
      </c>
      <c r="U5156" s="2169">
        <v>150</v>
      </c>
      <c r="V5156" s="2169">
        <v>150</v>
      </c>
      <c r="W5156" s="2169">
        <v>150</v>
      </c>
      <c r="X5156" s="2169">
        <v>150</v>
      </c>
      <c r="Y5156" s="2169">
        <v>150</v>
      </c>
      <c r="Z5156" s="2169">
        <v>150</v>
      </c>
      <c r="AA5156" s="92">
        <f t="shared" si="870"/>
        <v>1800</v>
      </c>
    </row>
    <row r="5157" spans="1:27" ht="22.5" x14ac:dyDescent="0.2">
      <c r="A5157" s="134"/>
      <c r="B5157" s="2941"/>
      <c r="C5157" s="2421"/>
      <c r="D5157" s="2421"/>
      <c r="E5157" s="3308"/>
      <c r="F5157" s="2922"/>
      <c r="G5157" s="2922"/>
      <c r="H5157" s="3681"/>
      <c r="I5157" s="3483"/>
      <c r="J5157" s="3483"/>
      <c r="K5157" s="3497"/>
      <c r="L5157" s="2421"/>
      <c r="M5157" s="2150" t="s">
        <v>2174</v>
      </c>
      <c r="N5157" s="2150" t="s">
        <v>1323</v>
      </c>
      <c r="O5157" s="2169">
        <v>100</v>
      </c>
      <c r="P5157" s="2169">
        <v>100</v>
      </c>
      <c r="Q5157" s="2169">
        <v>100</v>
      </c>
      <c r="R5157" s="2169">
        <v>100</v>
      </c>
      <c r="S5157" s="2169">
        <v>100</v>
      </c>
      <c r="T5157" s="2169">
        <v>100</v>
      </c>
      <c r="U5157" s="2169">
        <v>100</v>
      </c>
      <c r="V5157" s="2169">
        <v>100</v>
      </c>
      <c r="W5157" s="2169">
        <v>100</v>
      </c>
      <c r="X5157" s="2169">
        <v>100</v>
      </c>
      <c r="Y5157" s="2169">
        <v>100</v>
      </c>
      <c r="Z5157" s="2169">
        <v>100</v>
      </c>
      <c r="AA5157" s="92">
        <f t="shared" si="870"/>
        <v>1200</v>
      </c>
    </row>
    <row r="5158" spans="1:27" ht="22.5" x14ac:dyDescent="0.2">
      <c r="A5158" s="134"/>
      <c r="B5158" s="2941"/>
      <c r="C5158" s="2421"/>
      <c r="D5158" s="2421"/>
      <c r="E5158" s="3308"/>
      <c r="F5158" s="2922"/>
      <c r="G5158" s="2922"/>
      <c r="H5158" s="3681"/>
      <c r="I5158" s="3483"/>
      <c r="J5158" s="3483"/>
      <c r="K5158" s="3497"/>
      <c r="L5158" s="2421"/>
      <c r="M5158" s="2150" t="s">
        <v>2175</v>
      </c>
      <c r="N5158" s="2150" t="s">
        <v>1329</v>
      </c>
      <c r="O5158" s="2169">
        <v>248.5</v>
      </c>
      <c r="P5158" s="2169">
        <v>248.5</v>
      </c>
      <c r="Q5158" s="2169">
        <v>248.5</v>
      </c>
      <c r="R5158" s="2169">
        <v>248.5</v>
      </c>
      <c r="S5158" s="2169">
        <v>248.5</v>
      </c>
      <c r="T5158" s="2169">
        <v>248.5</v>
      </c>
      <c r="U5158" s="2169">
        <v>248.5</v>
      </c>
      <c r="V5158" s="2169">
        <v>248.5</v>
      </c>
      <c r="W5158" s="2169">
        <v>248.5</v>
      </c>
      <c r="X5158" s="2169">
        <v>248.5</v>
      </c>
      <c r="Y5158" s="2169">
        <v>248.5</v>
      </c>
      <c r="Z5158" s="2169">
        <v>248.5</v>
      </c>
      <c r="AA5158" s="92">
        <f t="shared" si="870"/>
        <v>2982</v>
      </c>
    </row>
    <row r="5159" spans="1:27" ht="33.75" x14ac:dyDescent="0.2">
      <c r="A5159" s="134"/>
      <c r="B5159" s="2941"/>
      <c r="C5159" s="2421"/>
      <c r="D5159" s="2421"/>
      <c r="E5159" s="3308"/>
      <c r="F5159" s="2922"/>
      <c r="G5159" s="2922"/>
      <c r="H5159" s="3681"/>
      <c r="I5159" s="3483"/>
      <c r="J5159" s="3483"/>
      <c r="K5159" s="3497"/>
      <c r="L5159" s="2421"/>
      <c r="M5159" s="2171" t="s">
        <v>2176</v>
      </c>
      <c r="N5159" s="2260" t="s">
        <v>1331</v>
      </c>
      <c r="O5159" s="2169">
        <v>6284.16</v>
      </c>
      <c r="P5159" s="2169">
        <v>6284.16</v>
      </c>
      <c r="Q5159" s="2169">
        <v>6284.16</v>
      </c>
      <c r="R5159" s="2169">
        <v>6284.16</v>
      </c>
      <c r="S5159" s="2169">
        <v>6284.16</v>
      </c>
      <c r="T5159" s="2169">
        <v>6284.16</v>
      </c>
      <c r="U5159" s="2169">
        <v>6284.16</v>
      </c>
      <c r="V5159" s="2169">
        <v>6284.16</v>
      </c>
      <c r="W5159" s="2169">
        <v>6284.16</v>
      </c>
      <c r="X5159" s="2169">
        <v>6284.16</v>
      </c>
      <c r="Y5159" s="2169">
        <v>6284.16</v>
      </c>
      <c r="Z5159" s="2169">
        <v>6284.16</v>
      </c>
      <c r="AA5159" s="92">
        <f t="shared" si="870"/>
        <v>75409.920000000013</v>
      </c>
    </row>
    <row r="5160" spans="1:27" ht="22.5" x14ac:dyDescent="0.2">
      <c r="A5160" s="134"/>
      <c r="B5160" s="2941"/>
      <c r="C5160" s="2421"/>
      <c r="D5160" s="2421"/>
      <c r="E5160" s="3308"/>
      <c r="F5160" s="2922"/>
      <c r="G5160" s="2922"/>
      <c r="H5160" s="3681"/>
      <c r="I5160" s="3483"/>
      <c r="J5160" s="3483"/>
      <c r="K5160" s="3497"/>
      <c r="L5160" s="2421"/>
      <c r="M5160" s="2171" t="s">
        <v>2177</v>
      </c>
      <c r="N5160" s="2260" t="s">
        <v>1333</v>
      </c>
      <c r="O5160" s="2169">
        <v>438.75</v>
      </c>
      <c r="P5160" s="2169">
        <v>438.75</v>
      </c>
      <c r="Q5160" s="2169">
        <v>438.75</v>
      </c>
      <c r="R5160" s="2169">
        <v>438.75</v>
      </c>
      <c r="S5160" s="2169">
        <v>438.75</v>
      </c>
      <c r="T5160" s="2169">
        <v>438.75</v>
      </c>
      <c r="U5160" s="2169">
        <v>438.75</v>
      </c>
      <c r="V5160" s="2169">
        <v>438.75</v>
      </c>
      <c r="W5160" s="2169">
        <v>438.75</v>
      </c>
      <c r="X5160" s="2169">
        <v>438.75</v>
      </c>
      <c r="Y5160" s="2169">
        <v>438.75</v>
      </c>
      <c r="Z5160" s="2169">
        <v>438.75</v>
      </c>
      <c r="AA5160" s="92">
        <f t="shared" si="870"/>
        <v>5265</v>
      </c>
    </row>
    <row r="5161" spans="1:27" ht="22.5" x14ac:dyDescent="0.2">
      <c r="A5161" s="134"/>
      <c r="B5161" s="2941"/>
      <c r="C5161" s="2421"/>
      <c r="D5161" s="2421"/>
      <c r="E5161" s="3308"/>
      <c r="F5161" s="2922"/>
      <c r="G5161" s="2922"/>
      <c r="H5161" s="3681"/>
      <c r="I5161" s="3483"/>
      <c r="J5161" s="3483"/>
      <c r="K5161" s="3497"/>
      <c r="L5161" s="2421"/>
      <c r="M5161" s="2182" t="s">
        <v>184</v>
      </c>
      <c r="N5161" s="2260" t="s">
        <v>2178</v>
      </c>
      <c r="O5161" s="2169">
        <v>12.8</v>
      </c>
      <c r="P5161" s="2169">
        <v>12.8</v>
      </c>
      <c r="Q5161" s="2169">
        <v>12.8</v>
      </c>
      <c r="R5161" s="2169">
        <v>12.8</v>
      </c>
      <c r="S5161" s="2169">
        <v>12.8</v>
      </c>
      <c r="T5161" s="2169">
        <v>12.8</v>
      </c>
      <c r="U5161" s="2169">
        <v>12.8</v>
      </c>
      <c r="V5161" s="2169">
        <v>12.8</v>
      </c>
      <c r="W5161" s="2169">
        <v>12.8</v>
      </c>
      <c r="X5161" s="2169">
        <v>12.8</v>
      </c>
      <c r="Y5161" s="2169">
        <v>12.8</v>
      </c>
      <c r="Z5161" s="2169">
        <v>12.8</v>
      </c>
      <c r="AA5161" s="92">
        <f t="shared" si="870"/>
        <v>153.6</v>
      </c>
    </row>
    <row r="5162" spans="1:27" ht="22.5" x14ac:dyDescent="0.2">
      <c r="A5162" s="134"/>
      <c r="B5162" s="2941"/>
      <c r="C5162" s="2421"/>
      <c r="D5162" s="2421"/>
      <c r="E5162" s="3308"/>
      <c r="F5162" s="2922"/>
      <c r="G5162" s="2922"/>
      <c r="H5162" s="3681"/>
      <c r="I5162" s="3483"/>
      <c r="J5162" s="3483"/>
      <c r="K5162" s="3497"/>
      <c r="L5162" s="2421"/>
      <c r="M5162" s="2182" t="s">
        <v>2179</v>
      </c>
      <c r="N5162" s="2166" t="s">
        <v>1586</v>
      </c>
      <c r="O5162" s="2169">
        <v>4583.3</v>
      </c>
      <c r="P5162" s="2169">
        <v>4583.3</v>
      </c>
      <c r="Q5162" s="2169">
        <v>4583.3</v>
      </c>
      <c r="R5162" s="2169">
        <v>4583.3</v>
      </c>
      <c r="S5162" s="2169">
        <v>4583.3</v>
      </c>
      <c r="T5162" s="2169">
        <v>4583.3</v>
      </c>
      <c r="U5162" s="2169">
        <v>4583.3</v>
      </c>
      <c r="V5162" s="2169">
        <v>4583.3</v>
      </c>
      <c r="W5162" s="2169">
        <v>4583.3</v>
      </c>
      <c r="X5162" s="2169">
        <v>4583.3</v>
      </c>
      <c r="Y5162" s="2169">
        <v>4583.3</v>
      </c>
      <c r="Z5162" s="2169">
        <v>4583.3</v>
      </c>
      <c r="AA5162" s="92">
        <f t="shared" si="870"/>
        <v>54999.600000000013</v>
      </c>
    </row>
    <row r="5163" spans="1:27" x14ac:dyDescent="0.2">
      <c r="A5163" s="134"/>
      <c r="B5163" s="2941"/>
      <c r="C5163" s="2421"/>
      <c r="D5163" s="2421"/>
      <c r="E5163" s="3308"/>
      <c r="F5163" s="2922"/>
      <c r="G5163" s="2922"/>
      <c r="H5163" s="3681"/>
      <c r="I5163" s="3483"/>
      <c r="J5163" s="3483"/>
      <c r="K5163" s="3497"/>
      <c r="L5163" s="2421"/>
      <c r="M5163" s="2182" t="s">
        <v>2103</v>
      </c>
      <c r="N5163" s="2174" t="s">
        <v>1262</v>
      </c>
      <c r="O5163" s="2169">
        <v>128.19999999999999</v>
      </c>
      <c r="P5163" s="2169">
        <v>128.19999999999999</v>
      </c>
      <c r="Q5163" s="2169">
        <v>128.19999999999999</v>
      </c>
      <c r="R5163" s="2169">
        <v>128.19999999999999</v>
      </c>
      <c r="S5163" s="2169">
        <v>128.19999999999999</v>
      </c>
      <c r="T5163" s="2169">
        <v>128.19999999999999</v>
      </c>
      <c r="U5163" s="2169">
        <v>128.19999999999999</v>
      </c>
      <c r="V5163" s="2169">
        <v>128.19999999999999</v>
      </c>
      <c r="W5163" s="2169">
        <v>128.19999999999999</v>
      </c>
      <c r="X5163" s="2169">
        <v>128.19999999999999</v>
      </c>
      <c r="Y5163" s="2169">
        <v>128.19999999999999</v>
      </c>
      <c r="Z5163" s="2169">
        <v>128.19999999999999</v>
      </c>
      <c r="AA5163" s="92">
        <f t="shared" si="870"/>
        <v>1538.4000000000003</v>
      </c>
    </row>
    <row r="5164" spans="1:27" ht="22.5" x14ac:dyDescent="0.2">
      <c r="A5164" s="134"/>
      <c r="B5164" s="2941"/>
      <c r="C5164" s="2421"/>
      <c r="D5164" s="2421"/>
      <c r="E5164" s="3308"/>
      <c r="F5164" s="2922"/>
      <c r="G5164" s="2922"/>
      <c r="H5164" s="3681"/>
      <c r="I5164" s="3483"/>
      <c r="J5164" s="3483"/>
      <c r="K5164" s="3497"/>
      <c r="L5164" s="2421"/>
      <c r="M5164" s="2182" t="s">
        <v>2180</v>
      </c>
      <c r="N5164" s="2260" t="s">
        <v>2181</v>
      </c>
      <c r="O5164" s="2169">
        <v>417</v>
      </c>
      <c r="P5164" s="2169">
        <v>416.6</v>
      </c>
      <c r="Q5164" s="2169">
        <v>416.6</v>
      </c>
      <c r="R5164" s="2169">
        <v>416.6</v>
      </c>
      <c r="S5164" s="2169">
        <v>416.6</v>
      </c>
      <c r="T5164" s="2169">
        <v>416.6</v>
      </c>
      <c r="U5164" s="2169">
        <v>416.6</v>
      </c>
      <c r="V5164" s="2169">
        <v>416.6</v>
      </c>
      <c r="W5164" s="2169">
        <v>416.6</v>
      </c>
      <c r="X5164" s="2169">
        <v>416.6</v>
      </c>
      <c r="Y5164" s="2169">
        <v>416.6</v>
      </c>
      <c r="Z5164" s="2169">
        <v>416.6</v>
      </c>
      <c r="AA5164" s="92">
        <f t="shared" si="870"/>
        <v>4999.6000000000004</v>
      </c>
    </row>
    <row r="5165" spans="1:27" ht="22.5" x14ac:dyDescent="0.2">
      <c r="A5165" s="134"/>
      <c r="B5165" s="2941"/>
      <c r="C5165" s="2421"/>
      <c r="D5165" s="2421"/>
      <c r="E5165" s="3308"/>
      <c r="F5165" s="2922"/>
      <c r="G5165" s="2922"/>
      <c r="H5165" s="3681"/>
      <c r="I5165" s="3483"/>
      <c r="J5165" s="3483"/>
      <c r="K5165" s="3497"/>
      <c r="L5165" s="2421"/>
      <c r="M5165" s="2182" t="s">
        <v>2182</v>
      </c>
      <c r="N5165" s="2172" t="s">
        <v>2183</v>
      </c>
      <c r="O5165" s="2169">
        <v>4667</v>
      </c>
      <c r="P5165" s="2169">
        <v>4666.6000000000004</v>
      </c>
      <c r="Q5165" s="2169">
        <v>4666.6000000000004</v>
      </c>
      <c r="R5165" s="2169">
        <v>4666.6000000000004</v>
      </c>
      <c r="S5165" s="2169">
        <v>4666.6000000000004</v>
      </c>
      <c r="T5165" s="2169">
        <v>4666.6000000000004</v>
      </c>
      <c r="U5165" s="2169">
        <v>4666.6000000000004</v>
      </c>
      <c r="V5165" s="2169">
        <v>4666.6000000000004</v>
      </c>
      <c r="W5165" s="2169">
        <v>4666.6000000000004</v>
      </c>
      <c r="X5165" s="2169">
        <v>4666.6000000000004</v>
      </c>
      <c r="Y5165" s="2169">
        <v>4666.6000000000004</v>
      </c>
      <c r="Z5165" s="2169">
        <v>4666.6000000000004</v>
      </c>
      <c r="AA5165" s="92">
        <f t="shared" si="870"/>
        <v>55999.599999999991</v>
      </c>
    </row>
    <row r="5166" spans="1:27" x14ac:dyDescent="0.2">
      <c r="A5166" s="134"/>
      <c r="B5166" s="2941"/>
      <c r="C5166" s="2421" t="s">
        <v>2184</v>
      </c>
      <c r="D5166" s="2421"/>
      <c r="E5166" s="3483"/>
      <c r="F5166" s="3483"/>
      <c r="G5166" s="3483"/>
      <c r="H5166" s="2421"/>
      <c r="I5166" s="3483" t="s">
        <v>2185</v>
      </c>
      <c r="J5166" s="3483">
        <v>700</v>
      </c>
      <c r="K5166" s="3497"/>
      <c r="L5166" s="2421" t="s">
        <v>2186</v>
      </c>
      <c r="M5166" s="2627" t="s">
        <v>51</v>
      </c>
      <c r="N5166" s="2627"/>
      <c r="O5166" s="2169">
        <v>60</v>
      </c>
      <c r="P5166" s="2169">
        <v>60</v>
      </c>
      <c r="Q5166" s="2169">
        <v>58</v>
      </c>
      <c r="R5166" s="2169">
        <v>58</v>
      </c>
      <c r="S5166" s="2169">
        <v>58</v>
      </c>
      <c r="T5166" s="2169">
        <v>58</v>
      </c>
      <c r="U5166" s="2169">
        <v>58</v>
      </c>
      <c r="V5166" s="2169">
        <v>58</v>
      </c>
      <c r="W5166" s="2169">
        <v>58</v>
      </c>
      <c r="X5166" s="2169">
        <v>58</v>
      </c>
      <c r="Y5166" s="2169">
        <v>58</v>
      </c>
      <c r="Z5166" s="2169">
        <v>58</v>
      </c>
      <c r="AA5166" s="92">
        <f t="shared" si="870"/>
        <v>700</v>
      </c>
    </row>
    <row r="5167" spans="1:27" x14ac:dyDescent="0.2">
      <c r="A5167" s="134"/>
      <c r="B5167" s="2941"/>
      <c r="C5167" s="2421"/>
      <c r="D5167" s="2421"/>
      <c r="E5167" s="3483"/>
      <c r="F5167" s="3483"/>
      <c r="G5167" s="3483"/>
      <c r="H5167" s="2421"/>
      <c r="I5167" s="3483"/>
      <c r="J5167" s="3483"/>
      <c r="K5167" s="3497"/>
      <c r="L5167" s="2421"/>
      <c r="M5167" s="2627" t="s">
        <v>111</v>
      </c>
      <c r="N5167" s="2627"/>
      <c r="O5167" s="2169">
        <f>SUM(O5168:O5169)</f>
        <v>141</v>
      </c>
      <c r="P5167" s="2169">
        <f t="shared" ref="P5167:AA5167" si="871">SUM(P5168:P5169)</f>
        <v>141</v>
      </c>
      <c r="Q5167" s="2169">
        <f t="shared" si="871"/>
        <v>141</v>
      </c>
      <c r="R5167" s="2169">
        <f t="shared" si="871"/>
        <v>141</v>
      </c>
      <c r="S5167" s="2169">
        <f t="shared" si="871"/>
        <v>141</v>
      </c>
      <c r="T5167" s="2169">
        <f t="shared" si="871"/>
        <v>141</v>
      </c>
      <c r="U5167" s="2169">
        <f t="shared" si="871"/>
        <v>141</v>
      </c>
      <c r="V5167" s="2169">
        <f t="shared" si="871"/>
        <v>141</v>
      </c>
      <c r="W5167" s="2169">
        <f t="shared" si="871"/>
        <v>141</v>
      </c>
      <c r="X5167" s="2169">
        <f t="shared" si="871"/>
        <v>141</v>
      </c>
      <c r="Y5167" s="2169">
        <f t="shared" si="871"/>
        <v>141</v>
      </c>
      <c r="Z5167" s="2169">
        <f t="shared" si="871"/>
        <v>141</v>
      </c>
      <c r="AA5167" s="368">
        <f t="shared" si="871"/>
        <v>1692.0000000000002</v>
      </c>
    </row>
    <row r="5168" spans="1:27" ht="22.5" x14ac:dyDescent="0.2">
      <c r="A5168" s="134"/>
      <c r="B5168" s="2941"/>
      <c r="C5168" s="2421"/>
      <c r="D5168" s="2421"/>
      <c r="E5168" s="3483"/>
      <c r="F5168" s="3483"/>
      <c r="G5168" s="3483"/>
      <c r="H5168" s="2421"/>
      <c r="I5168" s="3483"/>
      <c r="J5168" s="3483"/>
      <c r="K5168" s="3497"/>
      <c r="L5168" s="2421"/>
      <c r="M5168" s="2182" t="s">
        <v>184</v>
      </c>
      <c r="N5168" s="2260" t="s">
        <v>2178</v>
      </c>
      <c r="O5168" s="2169">
        <v>12.8</v>
      </c>
      <c r="P5168" s="2169">
        <v>12.8</v>
      </c>
      <c r="Q5168" s="2169">
        <v>12.8</v>
      </c>
      <c r="R5168" s="2169">
        <v>12.8</v>
      </c>
      <c r="S5168" s="2169">
        <v>12.8</v>
      </c>
      <c r="T5168" s="2169">
        <v>12.8</v>
      </c>
      <c r="U5168" s="2169">
        <v>12.8</v>
      </c>
      <c r="V5168" s="2169">
        <v>12.8</v>
      </c>
      <c r="W5168" s="2169">
        <v>12.8</v>
      </c>
      <c r="X5168" s="2169">
        <v>12.8</v>
      </c>
      <c r="Y5168" s="2169">
        <v>12.8</v>
      </c>
      <c r="Z5168" s="2169">
        <v>12.8</v>
      </c>
      <c r="AA5168" s="92">
        <f>SUM(O5168:Z5168)</f>
        <v>153.6</v>
      </c>
    </row>
    <row r="5169" spans="1:27" x14ac:dyDescent="0.2">
      <c r="A5169" s="134"/>
      <c r="B5169" s="2941"/>
      <c r="C5169" s="2421"/>
      <c r="D5169" s="2421"/>
      <c r="E5169" s="3483"/>
      <c r="F5169" s="3483"/>
      <c r="G5169" s="3483"/>
      <c r="H5169" s="2421"/>
      <c r="I5169" s="3483"/>
      <c r="J5169" s="3483"/>
      <c r="K5169" s="3497"/>
      <c r="L5169" s="2421"/>
      <c r="M5169" s="2182" t="s">
        <v>2103</v>
      </c>
      <c r="N5169" s="2174" t="s">
        <v>1262</v>
      </c>
      <c r="O5169" s="2169">
        <v>128.19999999999999</v>
      </c>
      <c r="P5169" s="2169">
        <v>128.19999999999999</v>
      </c>
      <c r="Q5169" s="2169">
        <v>128.19999999999999</v>
      </c>
      <c r="R5169" s="2169">
        <v>128.19999999999999</v>
      </c>
      <c r="S5169" s="2169">
        <v>128.19999999999999</v>
      </c>
      <c r="T5169" s="2169">
        <v>128.19999999999999</v>
      </c>
      <c r="U5169" s="2169">
        <v>128.19999999999999</v>
      </c>
      <c r="V5169" s="2169">
        <v>128.19999999999999</v>
      </c>
      <c r="W5169" s="2169">
        <v>128.19999999999999</v>
      </c>
      <c r="X5169" s="2169">
        <v>128.19999999999999</v>
      </c>
      <c r="Y5169" s="2169">
        <v>128.19999999999999</v>
      </c>
      <c r="Z5169" s="2169">
        <v>128.19999999999999</v>
      </c>
      <c r="AA5169" s="92">
        <f>SUM(O5169:Z5169)</f>
        <v>1538.4000000000003</v>
      </c>
    </row>
    <row r="5170" spans="1:27" x14ac:dyDescent="0.2">
      <c r="A5170" s="134"/>
      <c r="B5170" s="2165"/>
      <c r="C5170" s="3680" t="s">
        <v>2187</v>
      </c>
      <c r="D5170" s="2421"/>
      <c r="E5170" s="3483"/>
      <c r="F5170" s="3483"/>
      <c r="G5170" s="3483"/>
      <c r="H5170" s="2421"/>
      <c r="I5170" s="3483" t="s">
        <v>2188</v>
      </c>
      <c r="J5170" s="3483">
        <v>1000</v>
      </c>
      <c r="K5170" s="3497"/>
      <c r="L5170" s="2421" t="s">
        <v>2189</v>
      </c>
      <c r="M5170" s="2627" t="s">
        <v>51</v>
      </c>
      <c r="N5170" s="2627"/>
      <c r="O5170" s="2169">
        <v>85</v>
      </c>
      <c r="P5170" s="2169">
        <v>85</v>
      </c>
      <c r="Q5170" s="2169">
        <v>83</v>
      </c>
      <c r="R5170" s="2169">
        <v>83</v>
      </c>
      <c r="S5170" s="2169">
        <v>83</v>
      </c>
      <c r="T5170" s="2169">
        <v>83</v>
      </c>
      <c r="U5170" s="2169">
        <v>83</v>
      </c>
      <c r="V5170" s="2169">
        <v>83</v>
      </c>
      <c r="W5170" s="2169">
        <v>83</v>
      </c>
      <c r="X5170" s="2169">
        <v>83</v>
      </c>
      <c r="Y5170" s="2169">
        <v>83</v>
      </c>
      <c r="Z5170" s="2169">
        <v>83</v>
      </c>
      <c r="AA5170" s="92">
        <f>SUM(O5170:Z5170)</f>
        <v>1000</v>
      </c>
    </row>
    <row r="5171" spans="1:27" x14ac:dyDescent="0.2">
      <c r="A5171" s="134"/>
      <c r="B5171" s="2167"/>
      <c r="C5171" s="3680"/>
      <c r="D5171" s="2421"/>
      <c r="E5171" s="3483"/>
      <c r="F5171" s="3483"/>
      <c r="G5171" s="3483"/>
      <c r="H5171" s="2421"/>
      <c r="I5171" s="3483"/>
      <c r="J5171" s="3483"/>
      <c r="K5171" s="3497"/>
      <c r="L5171" s="2421"/>
      <c r="M5171" s="2627" t="s">
        <v>111</v>
      </c>
      <c r="N5171" s="2627"/>
      <c r="O5171" s="2169">
        <f>SUM(O5172:O5173)</f>
        <v>141</v>
      </c>
      <c r="P5171" s="2169">
        <f t="shared" ref="P5171:AA5171" si="872">SUM(P5172:P5173)</f>
        <v>141</v>
      </c>
      <c r="Q5171" s="2169">
        <f t="shared" si="872"/>
        <v>141</v>
      </c>
      <c r="R5171" s="2169">
        <f t="shared" si="872"/>
        <v>141</v>
      </c>
      <c r="S5171" s="2169">
        <f t="shared" si="872"/>
        <v>141</v>
      </c>
      <c r="T5171" s="2169">
        <f t="shared" si="872"/>
        <v>141</v>
      </c>
      <c r="U5171" s="2169">
        <f t="shared" si="872"/>
        <v>141</v>
      </c>
      <c r="V5171" s="2169">
        <f t="shared" si="872"/>
        <v>141</v>
      </c>
      <c r="W5171" s="2169">
        <f t="shared" si="872"/>
        <v>141</v>
      </c>
      <c r="X5171" s="2169">
        <f t="shared" si="872"/>
        <v>141</v>
      </c>
      <c r="Y5171" s="2169">
        <f t="shared" si="872"/>
        <v>141</v>
      </c>
      <c r="Z5171" s="2169">
        <f t="shared" si="872"/>
        <v>141</v>
      </c>
      <c r="AA5171" s="368">
        <f t="shared" si="872"/>
        <v>1692.0000000000002</v>
      </c>
    </row>
    <row r="5172" spans="1:27" ht="22.5" x14ac:dyDescent="0.2">
      <c r="A5172" s="134"/>
      <c r="B5172" s="2167"/>
      <c r="C5172" s="3680"/>
      <c r="D5172" s="2421"/>
      <c r="E5172" s="3483"/>
      <c r="F5172" s="3483"/>
      <c r="G5172" s="3483"/>
      <c r="H5172" s="2421"/>
      <c r="I5172" s="3483"/>
      <c r="J5172" s="3483"/>
      <c r="K5172" s="3497"/>
      <c r="L5172" s="2421"/>
      <c r="M5172" s="2182" t="s">
        <v>184</v>
      </c>
      <c r="N5172" s="2260" t="s">
        <v>2178</v>
      </c>
      <c r="O5172" s="2169">
        <v>12.8</v>
      </c>
      <c r="P5172" s="2169">
        <v>12.8</v>
      </c>
      <c r="Q5172" s="2169">
        <v>12.8</v>
      </c>
      <c r="R5172" s="2169">
        <v>12.8</v>
      </c>
      <c r="S5172" s="2169">
        <v>12.8</v>
      </c>
      <c r="T5172" s="2169">
        <v>12.8</v>
      </c>
      <c r="U5172" s="2169">
        <v>12.8</v>
      </c>
      <c r="V5172" s="2169">
        <v>12.8</v>
      </c>
      <c r="W5172" s="2169">
        <v>12.8</v>
      </c>
      <c r="X5172" s="2169">
        <v>12.8</v>
      </c>
      <c r="Y5172" s="2169">
        <v>12.8</v>
      </c>
      <c r="Z5172" s="2169">
        <v>12.8</v>
      </c>
      <c r="AA5172" s="92">
        <f t="shared" ref="AA5172:AA5178" si="873">SUM(O5172:Z5172)</f>
        <v>153.6</v>
      </c>
    </row>
    <row r="5173" spans="1:27" x14ac:dyDescent="0.2">
      <c r="A5173" s="134"/>
      <c r="B5173" s="2167"/>
      <c r="C5173" s="3680"/>
      <c r="D5173" s="2421"/>
      <c r="E5173" s="3483"/>
      <c r="F5173" s="3483"/>
      <c r="G5173" s="3483"/>
      <c r="H5173" s="2421"/>
      <c r="I5173" s="3483"/>
      <c r="J5173" s="3483"/>
      <c r="K5173" s="3497"/>
      <c r="L5173" s="2421"/>
      <c r="M5173" s="2182" t="s">
        <v>2103</v>
      </c>
      <c r="N5173" s="2174" t="s">
        <v>1262</v>
      </c>
      <c r="O5173" s="2169">
        <v>128.19999999999999</v>
      </c>
      <c r="P5173" s="2169">
        <v>128.19999999999999</v>
      </c>
      <c r="Q5173" s="2169">
        <v>128.19999999999999</v>
      </c>
      <c r="R5173" s="2169">
        <v>128.19999999999999</v>
      </c>
      <c r="S5173" s="2169">
        <v>128.19999999999999</v>
      </c>
      <c r="T5173" s="2169">
        <v>128.19999999999999</v>
      </c>
      <c r="U5173" s="2169">
        <v>128.19999999999999</v>
      </c>
      <c r="V5173" s="2169">
        <v>128.19999999999999</v>
      </c>
      <c r="W5173" s="2169">
        <v>128.19999999999999</v>
      </c>
      <c r="X5173" s="2169">
        <v>128.19999999999999</v>
      </c>
      <c r="Y5173" s="2169">
        <v>128.19999999999999</v>
      </c>
      <c r="Z5173" s="2169">
        <v>128.19999999999999</v>
      </c>
      <c r="AA5173" s="92">
        <f t="shared" si="873"/>
        <v>1538.4000000000003</v>
      </c>
    </row>
    <row r="5174" spans="1:27" x14ac:dyDescent="0.2">
      <c r="A5174" s="134"/>
      <c r="B5174" s="2167"/>
      <c r="C5174" s="3680" t="s">
        <v>2190</v>
      </c>
      <c r="D5174" s="2421"/>
      <c r="E5174" s="3483"/>
      <c r="F5174" s="3483"/>
      <c r="G5174" s="3483"/>
      <c r="H5174" s="2421"/>
      <c r="I5174" s="3483" t="s">
        <v>2191</v>
      </c>
      <c r="J5174" s="3483">
        <v>400</v>
      </c>
      <c r="K5174" s="3497"/>
      <c r="L5174" s="2421" t="s">
        <v>2189</v>
      </c>
      <c r="M5174" s="2627" t="s">
        <v>51</v>
      </c>
      <c r="N5174" s="2627"/>
      <c r="O5174" s="2153">
        <v>35</v>
      </c>
      <c r="P5174" s="2153">
        <v>35</v>
      </c>
      <c r="Q5174" s="2153">
        <v>33</v>
      </c>
      <c r="R5174" s="2153">
        <v>33</v>
      </c>
      <c r="S5174" s="2153">
        <v>33</v>
      </c>
      <c r="T5174" s="2153">
        <v>33</v>
      </c>
      <c r="U5174" s="2153">
        <v>33</v>
      </c>
      <c r="V5174" s="2153">
        <v>33</v>
      </c>
      <c r="W5174" s="2153">
        <v>33</v>
      </c>
      <c r="X5174" s="2153">
        <v>33</v>
      </c>
      <c r="Y5174" s="2153">
        <v>33</v>
      </c>
      <c r="Z5174" s="2153">
        <v>33</v>
      </c>
      <c r="AA5174" s="2180">
        <f t="shared" si="873"/>
        <v>400</v>
      </c>
    </row>
    <row r="5175" spans="1:27" x14ac:dyDescent="0.2">
      <c r="A5175" s="134"/>
      <c r="B5175" s="2167"/>
      <c r="C5175" s="3680"/>
      <c r="D5175" s="2421"/>
      <c r="E5175" s="3483"/>
      <c r="F5175" s="3483"/>
      <c r="G5175" s="3483"/>
      <c r="H5175" s="2421"/>
      <c r="I5175" s="3483"/>
      <c r="J5175" s="3483"/>
      <c r="K5175" s="3497"/>
      <c r="L5175" s="2421"/>
      <c r="M5175" s="2627" t="s">
        <v>111</v>
      </c>
      <c r="N5175" s="2627"/>
      <c r="O5175" s="2169">
        <f>SUM(O5176:O5177)</f>
        <v>141</v>
      </c>
      <c r="P5175" s="2169">
        <f t="shared" ref="P5175:Z5175" si="874">SUM(P5176:P5177)</f>
        <v>141</v>
      </c>
      <c r="Q5175" s="2169">
        <f t="shared" si="874"/>
        <v>141</v>
      </c>
      <c r="R5175" s="2169">
        <f t="shared" si="874"/>
        <v>141</v>
      </c>
      <c r="S5175" s="2169">
        <f t="shared" si="874"/>
        <v>141</v>
      </c>
      <c r="T5175" s="2169">
        <f t="shared" si="874"/>
        <v>141</v>
      </c>
      <c r="U5175" s="2169">
        <f t="shared" si="874"/>
        <v>141</v>
      </c>
      <c r="V5175" s="2169">
        <f t="shared" si="874"/>
        <v>141</v>
      </c>
      <c r="W5175" s="2169">
        <f t="shared" si="874"/>
        <v>141</v>
      </c>
      <c r="X5175" s="2169">
        <f t="shared" si="874"/>
        <v>141</v>
      </c>
      <c r="Y5175" s="2169">
        <f t="shared" si="874"/>
        <v>141</v>
      </c>
      <c r="Z5175" s="2169">
        <f t="shared" si="874"/>
        <v>141</v>
      </c>
      <c r="AA5175" s="368">
        <f t="shared" si="873"/>
        <v>1692</v>
      </c>
    </row>
    <row r="5176" spans="1:27" ht="22.5" x14ac:dyDescent="0.2">
      <c r="A5176" s="134"/>
      <c r="B5176" s="2167"/>
      <c r="C5176" s="3680"/>
      <c r="D5176" s="2421"/>
      <c r="E5176" s="3483"/>
      <c r="F5176" s="3483"/>
      <c r="G5176" s="3483"/>
      <c r="H5176" s="2421"/>
      <c r="I5176" s="3483"/>
      <c r="J5176" s="3483"/>
      <c r="K5176" s="3497"/>
      <c r="L5176" s="2421"/>
      <c r="M5176" s="2182" t="s">
        <v>184</v>
      </c>
      <c r="N5176" s="2260" t="s">
        <v>2178</v>
      </c>
      <c r="O5176" s="2169">
        <v>12.8</v>
      </c>
      <c r="P5176" s="2169">
        <v>12.8</v>
      </c>
      <c r="Q5176" s="2169">
        <v>12.8</v>
      </c>
      <c r="R5176" s="2169">
        <v>12.8</v>
      </c>
      <c r="S5176" s="2169">
        <v>12.8</v>
      </c>
      <c r="T5176" s="2169">
        <v>12.8</v>
      </c>
      <c r="U5176" s="2169">
        <v>12.8</v>
      </c>
      <c r="V5176" s="2169">
        <v>12.8</v>
      </c>
      <c r="W5176" s="2169">
        <v>12.8</v>
      </c>
      <c r="X5176" s="2169">
        <v>12.8</v>
      </c>
      <c r="Y5176" s="2169">
        <v>12.8</v>
      </c>
      <c r="Z5176" s="2169">
        <v>12.8</v>
      </c>
      <c r="AA5176" s="92">
        <f t="shared" si="873"/>
        <v>153.6</v>
      </c>
    </row>
    <row r="5177" spans="1:27" x14ac:dyDescent="0.2">
      <c r="A5177" s="134"/>
      <c r="B5177" s="2167"/>
      <c r="C5177" s="3680"/>
      <c r="D5177" s="2421"/>
      <c r="E5177" s="3483"/>
      <c r="F5177" s="3483"/>
      <c r="G5177" s="3483"/>
      <c r="H5177" s="2421"/>
      <c r="I5177" s="3483"/>
      <c r="J5177" s="3483"/>
      <c r="K5177" s="3497"/>
      <c r="L5177" s="2421"/>
      <c r="M5177" s="2182" t="s">
        <v>2103</v>
      </c>
      <c r="N5177" s="2174" t="s">
        <v>1262</v>
      </c>
      <c r="O5177" s="2169">
        <v>128.19999999999999</v>
      </c>
      <c r="P5177" s="2169">
        <v>128.19999999999999</v>
      </c>
      <c r="Q5177" s="2169">
        <v>128.19999999999999</v>
      </c>
      <c r="R5177" s="2169">
        <v>128.19999999999999</v>
      </c>
      <c r="S5177" s="2169">
        <v>128.19999999999999</v>
      </c>
      <c r="T5177" s="2169">
        <v>128.19999999999999</v>
      </c>
      <c r="U5177" s="2169">
        <v>128.19999999999999</v>
      </c>
      <c r="V5177" s="2169">
        <v>128.19999999999999</v>
      </c>
      <c r="W5177" s="2169">
        <v>128.19999999999999</v>
      </c>
      <c r="X5177" s="2169">
        <v>128.19999999999999</v>
      </c>
      <c r="Y5177" s="2169">
        <v>128.19999999999999</v>
      </c>
      <c r="Z5177" s="2169">
        <v>128.19999999999999</v>
      </c>
      <c r="AA5177" s="92">
        <f t="shared" si="873"/>
        <v>1538.4000000000003</v>
      </c>
    </row>
    <row r="5178" spans="1:27" x14ac:dyDescent="0.2">
      <c r="A5178" s="134"/>
      <c r="B5178" s="2167"/>
      <c r="C5178" s="3680" t="s">
        <v>2192</v>
      </c>
      <c r="D5178" s="2421"/>
      <c r="E5178" s="3483"/>
      <c r="F5178" s="3483"/>
      <c r="G5178" s="3483"/>
      <c r="H5178" s="2421"/>
      <c r="I5178" s="3483" t="s">
        <v>950</v>
      </c>
      <c r="J5178" s="3483">
        <v>1100</v>
      </c>
      <c r="K5178" s="3497"/>
      <c r="L5178" s="2421" t="s">
        <v>2193</v>
      </c>
      <c r="M5178" s="2627" t="s">
        <v>51</v>
      </c>
      <c r="N5178" s="2627"/>
      <c r="O5178" s="2153">
        <v>99</v>
      </c>
      <c r="P5178" s="2153">
        <v>91</v>
      </c>
      <c r="Q5178" s="2153">
        <v>91</v>
      </c>
      <c r="R5178" s="2153">
        <v>91</v>
      </c>
      <c r="S5178" s="2153">
        <v>91</v>
      </c>
      <c r="T5178" s="2153">
        <v>91</v>
      </c>
      <c r="U5178" s="2153">
        <v>91</v>
      </c>
      <c r="V5178" s="2153">
        <v>91</v>
      </c>
      <c r="W5178" s="2153">
        <v>91</v>
      </c>
      <c r="X5178" s="2153">
        <v>91</v>
      </c>
      <c r="Y5178" s="2153">
        <v>91</v>
      </c>
      <c r="Z5178" s="2153">
        <v>91</v>
      </c>
      <c r="AA5178" s="2180">
        <f t="shared" si="873"/>
        <v>1100</v>
      </c>
    </row>
    <row r="5179" spans="1:27" x14ac:dyDescent="0.2">
      <c r="A5179" s="134"/>
      <c r="B5179" s="2167"/>
      <c r="C5179" s="3680"/>
      <c r="D5179" s="2421"/>
      <c r="E5179" s="3483"/>
      <c r="F5179" s="3483"/>
      <c r="G5179" s="3483"/>
      <c r="H5179" s="2421"/>
      <c r="I5179" s="3483"/>
      <c r="J5179" s="3483"/>
      <c r="K5179" s="3497"/>
      <c r="L5179" s="2421"/>
      <c r="M5179" s="2627" t="s">
        <v>111</v>
      </c>
      <c r="N5179" s="2627"/>
      <c r="O5179" s="2169">
        <f>SUM(O5180:O5181)</f>
        <v>141</v>
      </c>
      <c r="P5179" s="2169">
        <f t="shared" ref="P5179:Z5179" si="875">SUM(P5180:P5181)</f>
        <v>141</v>
      </c>
      <c r="Q5179" s="2169">
        <f t="shared" si="875"/>
        <v>141</v>
      </c>
      <c r="R5179" s="2169">
        <f t="shared" si="875"/>
        <v>141</v>
      </c>
      <c r="S5179" s="2169">
        <f t="shared" si="875"/>
        <v>141</v>
      </c>
      <c r="T5179" s="2169">
        <f t="shared" si="875"/>
        <v>141</v>
      </c>
      <c r="U5179" s="2169">
        <f t="shared" si="875"/>
        <v>141</v>
      </c>
      <c r="V5179" s="2169">
        <f t="shared" si="875"/>
        <v>141</v>
      </c>
      <c r="W5179" s="2169">
        <f t="shared" si="875"/>
        <v>141</v>
      </c>
      <c r="X5179" s="2169">
        <f t="shared" si="875"/>
        <v>141</v>
      </c>
      <c r="Y5179" s="2169">
        <f t="shared" si="875"/>
        <v>141</v>
      </c>
      <c r="Z5179" s="2169">
        <f t="shared" si="875"/>
        <v>141</v>
      </c>
      <c r="AA5179" s="2180"/>
    </row>
    <row r="5180" spans="1:27" ht="22.5" x14ac:dyDescent="0.2">
      <c r="A5180" s="134"/>
      <c r="B5180" s="2167"/>
      <c r="C5180" s="3680"/>
      <c r="D5180" s="2421"/>
      <c r="E5180" s="3483"/>
      <c r="F5180" s="3483"/>
      <c r="G5180" s="3483"/>
      <c r="H5180" s="2421"/>
      <c r="I5180" s="3483"/>
      <c r="J5180" s="3483"/>
      <c r="K5180" s="3497"/>
      <c r="L5180" s="2421"/>
      <c r="M5180" s="2182" t="s">
        <v>184</v>
      </c>
      <c r="N5180" s="2260" t="s">
        <v>2178</v>
      </c>
      <c r="O5180" s="2169">
        <v>12.8</v>
      </c>
      <c r="P5180" s="2169">
        <v>12.8</v>
      </c>
      <c r="Q5180" s="2169">
        <v>12.8</v>
      </c>
      <c r="R5180" s="2169">
        <v>12.8</v>
      </c>
      <c r="S5180" s="2169">
        <v>12.8</v>
      </c>
      <c r="T5180" s="2169">
        <v>12.8</v>
      </c>
      <c r="U5180" s="2169">
        <v>12.8</v>
      </c>
      <c r="V5180" s="2169">
        <v>12.8</v>
      </c>
      <c r="W5180" s="2169">
        <v>12.8</v>
      </c>
      <c r="X5180" s="2169">
        <v>12.8</v>
      </c>
      <c r="Y5180" s="2169">
        <v>12.8</v>
      </c>
      <c r="Z5180" s="2169">
        <v>12.8</v>
      </c>
      <c r="AA5180" s="92">
        <f>SUM(O5180:Z5180)</f>
        <v>153.6</v>
      </c>
    </row>
    <row r="5181" spans="1:27" x14ac:dyDescent="0.2">
      <c r="A5181" s="134"/>
      <c r="B5181" s="2167"/>
      <c r="C5181" s="3680"/>
      <c r="D5181" s="2421"/>
      <c r="E5181" s="3483"/>
      <c r="F5181" s="3483"/>
      <c r="G5181" s="3483"/>
      <c r="H5181" s="2421"/>
      <c r="I5181" s="3483"/>
      <c r="J5181" s="3483"/>
      <c r="K5181" s="3497"/>
      <c r="L5181" s="2421"/>
      <c r="M5181" s="2182" t="s">
        <v>2103</v>
      </c>
      <c r="N5181" s="2174" t="s">
        <v>1262</v>
      </c>
      <c r="O5181" s="2169">
        <v>128.19999999999999</v>
      </c>
      <c r="P5181" s="2169">
        <v>128.19999999999999</v>
      </c>
      <c r="Q5181" s="2169">
        <v>128.19999999999999</v>
      </c>
      <c r="R5181" s="2169">
        <v>128.19999999999999</v>
      </c>
      <c r="S5181" s="2169">
        <v>128.19999999999999</v>
      </c>
      <c r="T5181" s="2169">
        <v>128.19999999999999</v>
      </c>
      <c r="U5181" s="2169">
        <v>128.19999999999999</v>
      </c>
      <c r="V5181" s="2169">
        <v>128.19999999999999</v>
      </c>
      <c r="W5181" s="2169">
        <v>128.19999999999999</v>
      </c>
      <c r="X5181" s="2169">
        <v>128.19999999999999</v>
      </c>
      <c r="Y5181" s="2169">
        <v>128.19999999999999</v>
      </c>
      <c r="Z5181" s="2169">
        <v>128.19999999999999</v>
      </c>
      <c r="AA5181" s="92">
        <f>SUM(O5181:Z5181)</f>
        <v>1538.4000000000003</v>
      </c>
    </row>
    <row r="5182" spans="1:27" x14ac:dyDescent="0.2">
      <c r="A5182" s="134"/>
      <c r="B5182" s="2167"/>
      <c r="C5182" s="3680" t="s">
        <v>2194</v>
      </c>
      <c r="D5182" s="2421"/>
      <c r="E5182" s="3483"/>
      <c r="F5182" s="3483"/>
      <c r="G5182" s="3483"/>
      <c r="H5182" s="2421"/>
      <c r="I5182" s="3483" t="s">
        <v>2195</v>
      </c>
      <c r="J5182" s="3483">
        <v>1100</v>
      </c>
      <c r="K5182" s="3497"/>
      <c r="L5182" s="2421" t="s">
        <v>2196</v>
      </c>
      <c r="M5182" s="2627" t="s">
        <v>51</v>
      </c>
      <c r="N5182" s="2627"/>
      <c r="O5182" s="2153">
        <v>99</v>
      </c>
      <c r="P5182" s="2153">
        <v>91</v>
      </c>
      <c r="Q5182" s="2153">
        <v>91</v>
      </c>
      <c r="R5182" s="2153">
        <v>91</v>
      </c>
      <c r="S5182" s="2153">
        <v>91</v>
      </c>
      <c r="T5182" s="2153">
        <v>91</v>
      </c>
      <c r="U5182" s="2153">
        <v>91</v>
      </c>
      <c r="V5182" s="2153">
        <v>91</v>
      </c>
      <c r="W5182" s="2153">
        <v>91</v>
      </c>
      <c r="X5182" s="2153">
        <v>91</v>
      </c>
      <c r="Y5182" s="2153">
        <v>91</v>
      </c>
      <c r="Z5182" s="2153">
        <v>91</v>
      </c>
      <c r="AA5182" s="2180">
        <f>SUM(O5182:Z5182)</f>
        <v>1100</v>
      </c>
    </row>
    <row r="5183" spans="1:27" x14ac:dyDescent="0.2">
      <c r="A5183" s="134"/>
      <c r="B5183" s="2167"/>
      <c r="C5183" s="3680"/>
      <c r="D5183" s="2421"/>
      <c r="E5183" s="3483"/>
      <c r="F5183" s="3483"/>
      <c r="G5183" s="3483"/>
      <c r="H5183" s="2421"/>
      <c r="I5183" s="3483"/>
      <c r="J5183" s="3483"/>
      <c r="K5183" s="3497"/>
      <c r="L5183" s="2421"/>
      <c r="M5183" s="2627" t="s">
        <v>111</v>
      </c>
      <c r="N5183" s="2627"/>
      <c r="O5183" s="2169">
        <f>SUM(O5184:O5185)</f>
        <v>141</v>
      </c>
      <c r="P5183" s="2169">
        <f t="shared" ref="P5183:Z5183" si="876">SUM(P5184:P5185)</f>
        <v>141</v>
      </c>
      <c r="Q5183" s="2169">
        <f t="shared" si="876"/>
        <v>141</v>
      </c>
      <c r="R5183" s="2169">
        <f t="shared" si="876"/>
        <v>141</v>
      </c>
      <c r="S5183" s="2169">
        <f t="shared" si="876"/>
        <v>141</v>
      </c>
      <c r="T5183" s="2169">
        <f t="shared" si="876"/>
        <v>141</v>
      </c>
      <c r="U5183" s="2169">
        <f t="shared" si="876"/>
        <v>141</v>
      </c>
      <c r="V5183" s="2169">
        <f t="shared" si="876"/>
        <v>141</v>
      </c>
      <c r="W5183" s="2169">
        <f t="shared" si="876"/>
        <v>141</v>
      </c>
      <c r="X5183" s="2169">
        <f t="shared" si="876"/>
        <v>141</v>
      </c>
      <c r="Y5183" s="2169">
        <f t="shared" si="876"/>
        <v>141</v>
      </c>
      <c r="Z5183" s="2169">
        <f t="shared" si="876"/>
        <v>141</v>
      </c>
      <c r="AA5183" s="2180"/>
    </row>
    <row r="5184" spans="1:27" ht="22.5" x14ac:dyDescent="0.2">
      <c r="A5184" s="134"/>
      <c r="B5184" s="2167"/>
      <c r="C5184" s="3680"/>
      <c r="D5184" s="2421"/>
      <c r="E5184" s="3483"/>
      <c r="F5184" s="3483"/>
      <c r="G5184" s="3483"/>
      <c r="H5184" s="2421"/>
      <c r="I5184" s="3483"/>
      <c r="J5184" s="3483"/>
      <c r="K5184" s="3497"/>
      <c r="L5184" s="2421"/>
      <c r="M5184" s="2182" t="s">
        <v>184</v>
      </c>
      <c r="N5184" s="2260" t="s">
        <v>2178</v>
      </c>
      <c r="O5184" s="2169">
        <v>12.8</v>
      </c>
      <c r="P5184" s="2169">
        <v>12.8</v>
      </c>
      <c r="Q5184" s="2169">
        <v>12.8</v>
      </c>
      <c r="R5184" s="2169">
        <v>12.8</v>
      </c>
      <c r="S5184" s="2169">
        <v>12.8</v>
      </c>
      <c r="T5184" s="2169">
        <v>12.8</v>
      </c>
      <c r="U5184" s="2169">
        <v>12.8</v>
      </c>
      <c r="V5184" s="2169">
        <v>12.8</v>
      </c>
      <c r="W5184" s="2169">
        <v>12.8</v>
      </c>
      <c r="X5184" s="2169">
        <v>12.8</v>
      </c>
      <c r="Y5184" s="2169">
        <v>12.8</v>
      </c>
      <c r="Z5184" s="2169">
        <v>12.8</v>
      </c>
      <c r="AA5184" s="92">
        <f>SUM(O5184:Z5184)</f>
        <v>153.6</v>
      </c>
    </row>
    <row r="5185" spans="1:27" x14ac:dyDescent="0.2">
      <c r="A5185" s="134"/>
      <c r="B5185" s="2167"/>
      <c r="C5185" s="3680"/>
      <c r="D5185" s="2421"/>
      <c r="E5185" s="3483"/>
      <c r="F5185" s="3483"/>
      <c r="G5185" s="3483"/>
      <c r="H5185" s="2421"/>
      <c r="I5185" s="3483"/>
      <c r="J5185" s="3483"/>
      <c r="K5185" s="3497"/>
      <c r="L5185" s="2421"/>
      <c r="M5185" s="2182" t="s">
        <v>2103</v>
      </c>
      <c r="N5185" s="2174" t="s">
        <v>1262</v>
      </c>
      <c r="O5185" s="2169">
        <v>128.19999999999999</v>
      </c>
      <c r="P5185" s="2169">
        <v>128.19999999999999</v>
      </c>
      <c r="Q5185" s="2169">
        <v>128.19999999999999</v>
      </c>
      <c r="R5185" s="2169">
        <v>128.19999999999999</v>
      </c>
      <c r="S5185" s="2169">
        <v>128.19999999999999</v>
      </c>
      <c r="T5185" s="2169">
        <v>128.19999999999999</v>
      </c>
      <c r="U5185" s="2169">
        <v>128.19999999999999</v>
      </c>
      <c r="V5185" s="2169">
        <v>128.19999999999999</v>
      </c>
      <c r="W5185" s="2169">
        <v>128.19999999999999</v>
      </c>
      <c r="X5185" s="2169">
        <v>128.19999999999999</v>
      </c>
      <c r="Y5185" s="2169">
        <v>128.19999999999999</v>
      </c>
      <c r="Z5185" s="2169">
        <v>128.19999999999999</v>
      </c>
      <c r="AA5185" s="92">
        <f>SUM(O5185:Z5185)</f>
        <v>1538.4000000000003</v>
      </c>
    </row>
    <row r="5186" spans="1:27" x14ac:dyDescent="0.2">
      <c r="A5186" s="134"/>
      <c r="B5186" s="2167"/>
      <c r="C5186" s="3680" t="s">
        <v>2197</v>
      </c>
      <c r="D5186" s="2421"/>
      <c r="E5186" s="3483"/>
      <c r="F5186" s="3483"/>
      <c r="G5186" s="3483"/>
      <c r="H5186" s="2421"/>
      <c r="I5186" s="3483" t="s">
        <v>2198</v>
      </c>
      <c r="J5186" s="3483">
        <v>3900</v>
      </c>
      <c r="K5186" s="3497"/>
      <c r="L5186" s="2421" t="s">
        <v>2199</v>
      </c>
      <c r="M5186" s="2627" t="s">
        <v>51</v>
      </c>
      <c r="N5186" s="2627"/>
      <c r="O5186" s="2153">
        <v>325</v>
      </c>
      <c r="P5186" s="2153">
        <v>325</v>
      </c>
      <c r="Q5186" s="2153">
        <v>325</v>
      </c>
      <c r="R5186" s="2153">
        <v>325</v>
      </c>
      <c r="S5186" s="2153">
        <v>325</v>
      </c>
      <c r="T5186" s="2153">
        <v>325</v>
      </c>
      <c r="U5186" s="2153">
        <v>325</v>
      </c>
      <c r="V5186" s="2153">
        <v>325</v>
      </c>
      <c r="W5186" s="2153">
        <v>325</v>
      </c>
      <c r="X5186" s="2153">
        <v>325</v>
      </c>
      <c r="Y5186" s="2153">
        <v>325</v>
      </c>
      <c r="Z5186" s="2153">
        <v>325</v>
      </c>
      <c r="AA5186" s="2180">
        <f>SUM(O5186:Z5186)</f>
        <v>3900</v>
      </c>
    </row>
    <row r="5187" spans="1:27" x14ac:dyDescent="0.2">
      <c r="A5187" s="134"/>
      <c r="B5187" s="2167"/>
      <c r="C5187" s="3680"/>
      <c r="D5187" s="2421"/>
      <c r="E5187" s="3483"/>
      <c r="F5187" s="3483"/>
      <c r="G5187" s="3483"/>
      <c r="H5187" s="2421"/>
      <c r="I5187" s="3483"/>
      <c r="J5187" s="3483"/>
      <c r="K5187" s="3497"/>
      <c r="L5187" s="2421"/>
      <c r="M5187" s="2627" t="s">
        <v>111</v>
      </c>
      <c r="N5187" s="2627"/>
      <c r="O5187" s="2169">
        <f>SUM(O5188:O5189)</f>
        <v>141</v>
      </c>
      <c r="P5187" s="2169">
        <f t="shared" ref="P5187:Z5187" si="877">SUM(P5188:P5189)</f>
        <v>141</v>
      </c>
      <c r="Q5187" s="2169">
        <f t="shared" si="877"/>
        <v>141</v>
      </c>
      <c r="R5187" s="2169">
        <f t="shared" si="877"/>
        <v>141</v>
      </c>
      <c r="S5187" s="2169">
        <f t="shared" si="877"/>
        <v>141</v>
      </c>
      <c r="T5187" s="2169">
        <f t="shared" si="877"/>
        <v>141</v>
      </c>
      <c r="U5187" s="2169">
        <f t="shared" si="877"/>
        <v>141</v>
      </c>
      <c r="V5187" s="2169">
        <f t="shared" si="877"/>
        <v>141</v>
      </c>
      <c r="W5187" s="2169">
        <f t="shared" si="877"/>
        <v>141</v>
      </c>
      <c r="X5187" s="2169">
        <f t="shared" si="877"/>
        <v>141</v>
      </c>
      <c r="Y5187" s="2169">
        <f t="shared" si="877"/>
        <v>141</v>
      </c>
      <c r="Z5187" s="2169">
        <f t="shared" si="877"/>
        <v>141</v>
      </c>
      <c r="AA5187" s="2180"/>
    </row>
    <row r="5188" spans="1:27" ht="22.5" x14ac:dyDescent="0.2">
      <c r="A5188" s="134"/>
      <c r="B5188" s="2167"/>
      <c r="C5188" s="3680"/>
      <c r="D5188" s="2421"/>
      <c r="E5188" s="3483"/>
      <c r="F5188" s="3483"/>
      <c r="G5188" s="3483"/>
      <c r="H5188" s="2421"/>
      <c r="I5188" s="3483"/>
      <c r="J5188" s="3483"/>
      <c r="K5188" s="3497"/>
      <c r="L5188" s="2421"/>
      <c r="M5188" s="2182" t="s">
        <v>184</v>
      </c>
      <c r="N5188" s="2260" t="s">
        <v>2178</v>
      </c>
      <c r="O5188" s="2169">
        <v>12.8</v>
      </c>
      <c r="P5188" s="2169">
        <v>12.8</v>
      </c>
      <c r="Q5188" s="2169">
        <v>12.8</v>
      </c>
      <c r="R5188" s="2169">
        <v>12.8</v>
      </c>
      <c r="S5188" s="2169">
        <v>12.8</v>
      </c>
      <c r="T5188" s="2169">
        <v>12.8</v>
      </c>
      <c r="U5188" s="2169">
        <v>12.8</v>
      </c>
      <c r="V5188" s="2169">
        <v>12.8</v>
      </c>
      <c r="W5188" s="2169">
        <v>12.8</v>
      </c>
      <c r="X5188" s="2169">
        <v>12.8</v>
      </c>
      <c r="Y5188" s="2169">
        <v>12.8</v>
      </c>
      <c r="Z5188" s="2169">
        <v>12.8</v>
      </c>
      <c r="AA5188" s="92">
        <f>SUM(O5188:Z5188)</f>
        <v>153.6</v>
      </c>
    </row>
    <row r="5189" spans="1:27" x14ac:dyDescent="0.2">
      <c r="A5189" s="134"/>
      <c r="B5189" s="2167"/>
      <c r="C5189" s="3680"/>
      <c r="D5189" s="2421"/>
      <c r="E5189" s="3483"/>
      <c r="F5189" s="3483"/>
      <c r="G5189" s="3483"/>
      <c r="H5189" s="2421"/>
      <c r="I5189" s="3483"/>
      <c r="J5189" s="3483"/>
      <c r="K5189" s="3497"/>
      <c r="L5189" s="2421"/>
      <c r="M5189" s="2182" t="s">
        <v>2103</v>
      </c>
      <c r="N5189" s="2174" t="s">
        <v>1262</v>
      </c>
      <c r="O5189" s="2169">
        <v>128.19999999999999</v>
      </c>
      <c r="P5189" s="2169">
        <v>128.19999999999999</v>
      </c>
      <c r="Q5189" s="2169">
        <v>128.19999999999999</v>
      </c>
      <c r="R5189" s="2169">
        <v>128.19999999999999</v>
      </c>
      <c r="S5189" s="2169">
        <v>128.19999999999999</v>
      </c>
      <c r="T5189" s="2169">
        <v>128.19999999999999</v>
      </c>
      <c r="U5189" s="2169">
        <v>128.19999999999999</v>
      </c>
      <c r="V5189" s="2169">
        <v>128.19999999999999</v>
      </c>
      <c r="W5189" s="2169">
        <v>128.19999999999999</v>
      </c>
      <c r="X5189" s="2169">
        <v>128.19999999999999</v>
      </c>
      <c r="Y5189" s="2169">
        <v>128.19999999999999</v>
      </c>
      <c r="Z5189" s="2169">
        <v>128.19999999999999</v>
      </c>
      <c r="AA5189" s="92">
        <f>SUM(O5189:Z5189)</f>
        <v>1538.4000000000003</v>
      </c>
    </row>
    <row r="5190" spans="1:27" x14ac:dyDescent="0.2">
      <c r="A5190" s="134"/>
      <c r="B5190" s="2167"/>
      <c r="C5190" s="3595" t="s">
        <v>2200</v>
      </c>
      <c r="D5190" s="2421"/>
      <c r="E5190" s="3483"/>
      <c r="F5190" s="3483"/>
      <c r="G5190" s="3483"/>
      <c r="H5190" s="2421"/>
      <c r="I5190" s="3483" t="s">
        <v>2201</v>
      </c>
      <c r="J5190" s="3483">
        <v>100</v>
      </c>
      <c r="K5190" s="3497"/>
      <c r="L5190" s="2421" t="s">
        <v>2199</v>
      </c>
      <c r="M5190" s="2627" t="s">
        <v>51</v>
      </c>
      <c r="N5190" s="2627"/>
      <c r="O5190" s="2153">
        <v>8</v>
      </c>
      <c r="P5190" s="2153">
        <v>8</v>
      </c>
      <c r="Q5190" s="2153">
        <v>8</v>
      </c>
      <c r="R5190" s="2153">
        <v>8</v>
      </c>
      <c r="S5190" s="2153">
        <v>8</v>
      </c>
      <c r="T5190" s="2153">
        <v>10</v>
      </c>
      <c r="U5190" s="2153">
        <v>10</v>
      </c>
      <c r="V5190" s="2153">
        <v>8</v>
      </c>
      <c r="W5190" s="2153">
        <v>8</v>
      </c>
      <c r="X5190" s="2153">
        <v>8</v>
      </c>
      <c r="Y5190" s="2153">
        <v>8</v>
      </c>
      <c r="Z5190" s="2153">
        <v>8</v>
      </c>
      <c r="AA5190" s="2180">
        <f>SUM(O5190:Z5190)</f>
        <v>100</v>
      </c>
    </row>
    <row r="5191" spans="1:27" x14ac:dyDescent="0.2">
      <c r="A5191" s="134"/>
      <c r="B5191" s="2167"/>
      <c r="C5191" s="3595"/>
      <c r="D5191" s="2421"/>
      <c r="E5191" s="3483"/>
      <c r="F5191" s="3483"/>
      <c r="G5191" s="3483"/>
      <c r="H5191" s="2421"/>
      <c r="I5191" s="3483"/>
      <c r="J5191" s="3483"/>
      <c r="K5191" s="3497"/>
      <c r="L5191" s="2421"/>
      <c r="M5191" s="2627" t="s">
        <v>111</v>
      </c>
      <c r="N5191" s="2627"/>
      <c r="O5191" s="2169">
        <f>SUM(O5192:O5193)</f>
        <v>141</v>
      </c>
      <c r="P5191" s="2169">
        <f t="shared" ref="P5191:Z5191" si="878">SUM(P5192:P5193)</f>
        <v>141</v>
      </c>
      <c r="Q5191" s="2169">
        <f t="shared" si="878"/>
        <v>141</v>
      </c>
      <c r="R5191" s="2169">
        <f t="shared" si="878"/>
        <v>141</v>
      </c>
      <c r="S5191" s="2169">
        <f t="shared" si="878"/>
        <v>141</v>
      </c>
      <c r="T5191" s="2169">
        <f t="shared" si="878"/>
        <v>141</v>
      </c>
      <c r="U5191" s="2169">
        <f t="shared" si="878"/>
        <v>141</v>
      </c>
      <c r="V5191" s="2169">
        <f t="shared" si="878"/>
        <v>141</v>
      </c>
      <c r="W5191" s="2169">
        <f t="shared" si="878"/>
        <v>141</v>
      </c>
      <c r="X5191" s="2169">
        <f t="shared" si="878"/>
        <v>141</v>
      </c>
      <c r="Y5191" s="2169">
        <f t="shared" si="878"/>
        <v>141</v>
      </c>
      <c r="Z5191" s="2169">
        <f t="shared" si="878"/>
        <v>141</v>
      </c>
      <c r="AA5191" s="2180"/>
    </row>
    <row r="5192" spans="1:27" ht="22.5" x14ac:dyDescent="0.2">
      <c r="A5192" s="134"/>
      <c r="B5192" s="2167"/>
      <c r="C5192" s="3595"/>
      <c r="D5192" s="2421"/>
      <c r="E5192" s="3483"/>
      <c r="F5192" s="3483"/>
      <c r="G5192" s="3483"/>
      <c r="H5192" s="2421"/>
      <c r="I5192" s="3483"/>
      <c r="J5192" s="3483"/>
      <c r="K5192" s="3497"/>
      <c r="L5192" s="2421"/>
      <c r="M5192" s="2182" t="s">
        <v>184</v>
      </c>
      <c r="N5192" s="2260" t="s">
        <v>2178</v>
      </c>
      <c r="O5192" s="2169">
        <v>12.8</v>
      </c>
      <c r="P5192" s="2169">
        <v>12.8</v>
      </c>
      <c r="Q5192" s="2169">
        <v>12.8</v>
      </c>
      <c r="R5192" s="2169">
        <v>12.8</v>
      </c>
      <c r="S5192" s="2169">
        <v>12.8</v>
      </c>
      <c r="T5192" s="2169">
        <v>12.8</v>
      </c>
      <c r="U5192" s="2169">
        <v>12.8</v>
      </c>
      <c r="V5192" s="2169">
        <v>12.8</v>
      </c>
      <c r="W5192" s="2169">
        <v>12.8</v>
      </c>
      <c r="X5192" s="2169">
        <v>12.8</v>
      </c>
      <c r="Y5192" s="2169">
        <v>12.8</v>
      </c>
      <c r="Z5192" s="2169">
        <v>12.8</v>
      </c>
      <c r="AA5192" s="92">
        <f>SUM(O5192:Z5192)</f>
        <v>153.6</v>
      </c>
    </row>
    <row r="5193" spans="1:27" x14ac:dyDescent="0.2">
      <c r="A5193" s="134"/>
      <c r="B5193" s="2167"/>
      <c r="C5193" s="3595"/>
      <c r="D5193" s="2421"/>
      <c r="E5193" s="3483"/>
      <c r="F5193" s="3483"/>
      <c r="G5193" s="3483"/>
      <c r="H5193" s="2421"/>
      <c r="I5193" s="3483"/>
      <c r="J5193" s="3483"/>
      <c r="K5193" s="3497"/>
      <c r="L5193" s="2421"/>
      <c r="M5193" s="2182" t="s">
        <v>2103</v>
      </c>
      <c r="N5193" s="2174" t="s">
        <v>1262</v>
      </c>
      <c r="O5193" s="2169">
        <v>128.19999999999999</v>
      </c>
      <c r="P5193" s="2169">
        <v>128.19999999999999</v>
      </c>
      <c r="Q5193" s="2169">
        <v>128.19999999999999</v>
      </c>
      <c r="R5193" s="2169">
        <v>128.19999999999999</v>
      </c>
      <c r="S5193" s="2169">
        <v>128.19999999999999</v>
      </c>
      <c r="T5193" s="2169">
        <v>128.19999999999999</v>
      </c>
      <c r="U5193" s="2169">
        <v>128.19999999999999</v>
      </c>
      <c r="V5193" s="2169">
        <v>128.19999999999999</v>
      </c>
      <c r="W5193" s="2169">
        <v>128.19999999999999</v>
      </c>
      <c r="X5193" s="2169">
        <v>128.19999999999999</v>
      </c>
      <c r="Y5193" s="2169">
        <v>128.19999999999999</v>
      </c>
      <c r="Z5193" s="2169">
        <v>128.19999999999999</v>
      </c>
      <c r="AA5193" s="92">
        <f>SUM(O5193:Z5193)</f>
        <v>1538.4000000000003</v>
      </c>
    </row>
    <row r="5194" spans="1:27" x14ac:dyDescent="0.2">
      <c r="A5194" s="134"/>
      <c r="B5194" s="2167"/>
      <c r="C5194" s="3680" t="s">
        <v>2202</v>
      </c>
      <c r="D5194" s="2421"/>
      <c r="E5194" s="3483"/>
      <c r="F5194" s="3483"/>
      <c r="G5194" s="3483"/>
      <c r="H5194" s="2421"/>
      <c r="I5194" s="3483" t="s">
        <v>2203</v>
      </c>
      <c r="J5194" s="3483">
        <v>1300</v>
      </c>
      <c r="K5194" s="3497"/>
      <c r="L5194" s="2421" t="s">
        <v>2199</v>
      </c>
      <c r="M5194" s="2627" t="s">
        <v>51</v>
      </c>
      <c r="N5194" s="2627"/>
      <c r="O5194" s="2153">
        <v>108</v>
      </c>
      <c r="P5194" s="2153">
        <v>108</v>
      </c>
      <c r="Q5194" s="2153">
        <v>108</v>
      </c>
      <c r="R5194" s="2153">
        <v>108</v>
      </c>
      <c r="S5194" s="2153">
        <v>110</v>
      </c>
      <c r="T5194" s="2153">
        <v>110</v>
      </c>
      <c r="U5194" s="2153">
        <v>108</v>
      </c>
      <c r="V5194" s="2153">
        <v>108</v>
      </c>
      <c r="W5194" s="2153">
        <v>108</v>
      </c>
      <c r="X5194" s="2153">
        <v>108</v>
      </c>
      <c r="Y5194" s="2153">
        <v>108</v>
      </c>
      <c r="Z5194" s="2153">
        <v>108</v>
      </c>
      <c r="AA5194" s="2180">
        <f>SUM(O5194:Z5194)</f>
        <v>1300</v>
      </c>
    </row>
    <row r="5195" spans="1:27" x14ac:dyDescent="0.2">
      <c r="A5195" s="134"/>
      <c r="B5195" s="2167"/>
      <c r="C5195" s="3680"/>
      <c r="D5195" s="2421"/>
      <c r="E5195" s="3483"/>
      <c r="F5195" s="3483"/>
      <c r="G5195" s="3483"/>
      <c r="H5195" s="2421"/>
      <c r="I5195" s="3483"/>
      <c r="J5195" s="3483"/>
      <c r="K5195" s="3497"/>
      <c r="L5195" s="2421"/>
      <c r="M5195" s="2627" t="s">
        <v>111</v>
      </c>
      <c r="N5195" s="2627"/>
      <c r="O5195" s="2169">
        <f>SUM(O5196:O5197)</f>
        <v>141</v>
      </c>
      <c r="P5195" s="2169">
        <f t="shared" ref="P5195:Z5195" si="879">SUM(P5196:P5197)</f>
        <v>141</v>
      </c>
      <c r="Q5195" s="2169">
        <f t="shared" si="879"/>
        <v>141</v>
      </c>
      <c r="R5195" s="2169">
        <f t="shared" si="879"/>
        <v>141</v>
      </c>
      <c r="S5195" s="2169">
        <f t="shared" si="879"/>
        <v>141</v>
      </c>
      <c r="T5195" s="2169">
        <f t="shared" si="879"/>
        <v>141</v>
      </c>
      <c r="U5195" s="2169">
        <f t="shared" si="879"/>
        <v>141</v>
      </c>
      <c r="V5195" s="2169">
        <f t="shared" si="879"/>
        <v>141</v>
      </c>
      <c r="W5195" s="2169">
        <f t="shared" si="879"/>
        <v>141</v>
      </c>
      <c r="X5195" s="2169">
        <f t="shared" si="879"/>
        <v>141</v>
      </c>
      <c r="Y5195" s="2169">
        <f t="shared" si="879"/>
        <v>141</v>
      </c>
      <c r="Z5195" s="2169">
        <f t="shared" si="879"/>
        <v>141</v>
      </c>
      <c r="AA5195" s="2180"/>
    </row>
    <row r="5196" spans="1:27" ht="22.5" x14ac:dyDescent="0.2">
      <c r="A5196" s="134"/>
      <c r="B5196" s="2167"/>
      <c r="C5196" s="3680"/>
      <c r="D5196" s="2421"/>
      <c r="E5196" s="3483"/>
      <c r="F5196" s="3483"/>
      <c r="G5196" s="3483"/>
      <c r="H5196" s="2421"/>
      <c r="I5196" s="3483"/>
      <c r="J5196" s="3483"/>
      <c r="K5196" s="3497"/>
      <c r="L5196" s="2421"/>
      <c r="M5196" s="2182" t="s">
        <v>184</v>
      </c>
      <c r="N5196" s="2260" t="s">
        <v>2178</v>
      </c>
      <c r="O5196" s="2169">
        <v>12.8</v>
      </c>
      <c r="P5196" s="2169">
        <v>12.8</v>
      </c>
      <c r="Q5196" s="2169">
        <v>12.8</v>
      </c>
      <c r="R5196" s="2169">
        <v>12.8</v>
      </c>
      <c r="S5196" s="2169">
        <v>12.8</v>
      </c>
      <c r="T5196" s="2169">
        <v>12.8</v>
      </c>
      <c r="U5196" s="2169">
        <v>12.8</v>
      </c>
      <c r="V5196" s="2169">
        <v>12.8</v>
      </c>
      <c r="W5196" s="2169">
        <v>12.8</v>
      </c>
      <c r="X5196" s="2169">
        <v>12.8</v>
      </c>
      <c r="Y5196" s="2169">
        <v>12.8</v>
      </c>
      <c r="Z5196" s="2169">
        <v>12.8</v>
      </c>
      <c r="AA5196" s="92">
        <f>SUM(O5196:Z5196)</f>
        <v>153.6</v>
      </c>
    </row>
    <row r="5197" spans="1:27" x14ac:dyDescent="0.2">
      <c r="A5197" s="134"/>
      <c r="B5197" s="2167"/>
      <c r="C5197" s="3680"/>
      <c r="D5197" s="2421"/>
      <c r="E5197" s="3483"/>
      <c r="F5197" s="3483"/>
      <c r="G5197" s="3483"/>
      <c r="H5197" s="2421"/>
      <c r="I5197" s="3483"/>
      <c r="J5197" s="3483"/>
      <c r="K5197" s="3497"/>
      <c r="L5197" s="2421"/>
      <c r="M5197" s="2182" t="s">
        <v>2103</v>
      </c>
      <c r="N5197" s="2174" t="s">
        <v>1262</v>
      </c>
      <c r="O5197" s="2169">
        <v>128.19999999999999</v>
      </c>
      <c r="P5197" s="2169">
        <v>128.19999999999999</v>
      </c>
      <c r="Q5197" s="2169">
        <v>128.19999999999999</v>
      </c>
      <c r="R5197" s="2169">
        <v>128.19999999999999</v>
      </c>
      <c r="S5197" s="2169">
        <v>128.19999999999999</v>
      </c>
      <c r="T5197" s="2169">
        <v>128.19999999999999</v>
      </c>
      <c r="U5197" s="2169">
        <v>128.19999999999999</v>
      </c>
      <c r="V5197" s="2169">
        <v>128.19999999999999</v>
      </c>
      <c r="W5197" s="2169">
        <v>128.19999999999999</v>
      </c>
      <c r="X5197" s="2169">
        <v>128.19999999999999</v>
      </c>
      <c r="Y5197" s="2169">
        <v>128.19999999999999</v>
      </c>
      <c r="Z5197" s="2169">
        <v>128.19999999999999</v>
      </c>
      <c r="AA5197" s="92">
        <f>SUM(O5197:Z5197)</f>
        <v>1538.4000000000003</v>
      </c>
    </row>
    <row r="5198" spans="1:27" x14ac:dyDescent="0.2">
      <c r="A5198" s="134"/>
      <c r="B5198" s="2167"/>
      <c r="C5198" s="3686" t="s">
        <v>2204</v>
      </c>
      <c r="D5198" s="2421"/>
      <c r="E5198" s="3483"/>
      <c r="F5198" s="3483"/>
      <c r="G5198" s="3483"/>
      <c r="H5198" s="2421"/>
      <c r="I5198" s="3483" t="s">
        <v>2191</v>
      </c>
      <c r="J5198" s="3483">
        <v>9</v>
      </c>
      <c r="K5198" s="3497"/>
      <c r="L5198" s="2421" t="s">
        <v>2167</v>
      </c>
      <c r="M5198" s="2627" t="s">
        <v>51</v>
      </c>
      <c r="N5198" s="2627"/>
      <c r="O5198" s="2153"/>
      <c r="P5198" s="2153"/>
      <c r="Q5198" s="2153">
        <v>1</v>
      </c>
      <c r="R5198" s="2153">
        <v>1</v>
      </c>
      <c r="S5198" s="2153">
        <v>1</v>
      </c>
      <c r="T5198" s="2153">
        <v>1</v>
      </c>
      <c r="U5198" s="2153">
        <v>1</v>
      </c>
      <c r="V5198" s="2153">
        <v>1</v>
      </c>
      <c r="W5198" s="2153">
        <v>1</v>
      </c>
      <c r="X5198" s="2153">
        <v>1</v>
      </c>
      <c r="Y5198" s="2153">
        <v>1</v>
      </c>
      <c r="Z5198" s="2153"/>
      <c r="AA5198" s="2180">
        <f>SUM(O5198:Z5198)</f>
        <v>9</v>
      </c>
    </row>
    <row r="5199" spans="1:27" x14ac:dyDescent="0.2">
      <c r="A5199" s="134"/>
      <c r="B5199" s="2167"/>
      <c r="C5199" s="3686"/>
      <c r="D5199" s="2421"/>
      <c r="E5199" s="3483"/>
      <c r="F5199" s="3483"/>
      <c r="G5199" s="3483"/>
      <c r="H5199" s="2421"/>
      <c r="I5199" s="3483"/>
      <c r="J5199" s="3483"/>
      <c r="K5199" s="3497"/>
      <c r="L5199" s="2421"/>
      <c r="M5199" s="2627" t="s">
        <v>111</v>
      </c>
      <c r="N5199" s="2627"/>
      <c r="O5199" s="2169">
        <f>SUM(O5200:O5201)</f>
        <v>141</v>
      </c>
      <c r="P5199" s="2169">
        <f t="shared" ref="P5199:Z5199" si="880">SUM(P5200:P5201)</f>
        <v>141</v>
      </c>
      <c r="Q5199" s="2169">
        <f t="shared" si="880"/>
        <v>141</v>
      </c>
      <c r="R5199" s="2169">
        <f t="shared" si="880"/>
        <v>141</v>
      </c>
      <c r="S5199" s="2169">
        <f t="shared" si="880"/>
        <v>141</v>
      </c>
      <c r="T5199" s="2169">
        <f t="shared" si="880"/>
        <v>141</v>
      </c>
      <c r="U5199" s="2169">
        <f t="shared" si="880"/>
        <v>141</v>
      </c>
      <c r="V5199" s="2169">
        <f t="shared" si="880"/>
        <v>141</v>
      </c>
      <c r="W5199" s="2169">
        <f t="shared" si="880"/>
        <v>141</v>
      </c>
      <c r="X5199" s="2169">
        <f t="shared" si="880"/>
        <v>141</v>
      </c>
      <c r="Y5199" s="2169">
        <f t="shared" si="880"/>
        <v>141</v>
      </c>
      <c r="Z5199" s="2169">
        <f t="shared" si="880"/>
        <v>141</v>
      </c>
      <c r="AA5199" s="2180"/>
    </row>
    <row r="5200" spans="1:27" ht="22.5" x14ac:dyDescent="0.2">
      <c r="A5200" s="134"/>
      <c r="B5200" s="2167"/>
      <c r="C5200" s="3686"/>
      <c r="D5200" s="2421"/>
      <c r="E5200" s="3483"/>
      <c r="F5200" s="3483"/>
      <c r="G5200" s="3483"/>
      <c r="H5200" s="2421"/>
      <c r="I5200" s="3483"/>
      <c r="J5200" s="3483"/>
      <c r="K5200" s="3497"/>
      <c r="L5200" s="2421"/>
      <c r="M5200" s="2182" t="s">
        <v>184</v>
      </c>
      <c r="N5200" s="2260" t="s">
        <v>2178</v>
      </c>
      <c r="O5200" s="2169">
        <v>12.8</v>
      </c>
      <c r="P5200" s="2169">
        <v>12.8</v>
      </c>
      <c r="Q5200" s="2169">
        <v>12.8</v>
      </c>
      <c r="R5200" s="2169">
        <v>12.8</v>
      </c>
      <c r="S5200" s="2169">
        <v>12.8</v>
      </c>
      <c r="T5200" s="2169">
        <v>12.8</v>
      </c>
      <c r="U5200" s="2169">
        <v>12.8</v>
      </c>
      <c r="V5200" s="2169">
        <v>12.8</v>
      </c>
      <c r="W5200" s="2169">
        <v>12.8</v>
      </c>
      <c r="X5200" s="2169">
        <v>12.8</v>
      </c>
      <c r="Y5200" s="2169">
        <v>12.8</v>
      </c>
      <c r="Z5200" s="2169">
        <v>12.8</v>
      </c>
      <c r="AA5200" s="92">
        <f>SUM(O5200:Z5200)</f>
        <v>153.6</v>
      </c>
    </row>
    <row r="5201" spans="1:27" x14ac:dyDescent="0.2">
      <c r="A5201" s="134"/>
      <c r="B5201" s="2167"/>
      <c r="C5201" s="3686"/>
      <c r="D5201" s="2421"/>
      <c r="E5201" s="3483"/>
      <c r="F5201" s="3483"/>
      <c r="G5201" s="3483"/>
      <c r="H5201" s="2421"/>
      <c r="I5201" s="3483"/>
      <c r="J5201" s="3483"/>
      <c r="K5201" s="3497"/>
      <c r="L5201" s="2421"/>
      <c r="M5201" s="2182" t="s">
        <v>2103</v>
      </c>
      <c r="N5201" s="2174" t="s">
        <v>1262</v>
      </c>
      <c r="O5201" s="2169">
        <v>128.19999999999999</v>
      </c>
      <c r="P5201" s="2169">
        <v>128.19999999999999</v>
      </c>
      <c r="Q5201" s="2169">
        <v>128.19999999999999</v>
      </c>
      <c r="R5201" s="2169">
        <v>128.19999999999999</v>
      </c>
      <c r="S5201" s="2169">
        <v>128.19999999999999</v>
      </c>
      <c r="T5201" s="2169">
        <v>128.19999999999999</v>
      </c>
      <c r="U5201" s="2169">
        <v>128.19999999999999</v>
      </c>
      <c r="V5201" s="2169">
        <v>128.19999999999999</v>
      </c>
      <c r="W5201" s="2169">
        <v>128.19999999999999</v>
      </c>
      <c r="X5201" s="2169">
        <v>128.19999999999999</v>
      </c>
      <c r="Y5201" s="2169">
        <v>128.19999999999999</v>
      </c>
      <c r="Z5201" s="2169">
        <v>128.19999999999999</v>
      </c>
      <c r="AA5201" s="92">
        <f>SUM(O5201:Z5201)</f>
        <v>1538.4000000000003</v>
      </c>
    </row>
    <row r="5202" spans="1:27" x14ac:dyDescent="0.2">
      <c r="A5202" s="134"/>
      <c r="B5202" s="2167"/>
      <c r="C5202" s="3683" t="s">
        <v>2205</v>
      </c>
      <c r="D5202" s="2421"/>
      <c r="E5202" s="3483"/>
      <c r="F5202" s="3483"/>
      <c r="G5202" s="3483"/>
      <c r="H5202" s="2421"/>
      <c r="I5202" s="3483" t="s">
        <v>2201</v>
      </c>
      <c r="J5202" s="3483">
        <v>12</v>
      </c>
      <c r="K5202" s="3497"/>
      <c r="L5202" s="2421" t="s">
        <v>2206</v>
      </c>
      <c r="M5202" s="2627" t="s">
        <v>51</v>
      </c>
      <c r="N5202" s="2627"/>
      <c r="O5202" s="2153">
        <v>1</v>
      </c>
      <c r="P5202" s="2153">
        <v>1</v>
      </c>
      <c r="Q5202" s="2153">
        <v>1</v>
      </c>
      <c r="R5202" s="2153">
        <v>1</v>
      </c>
      <c r="S5202" s="2153">
        <v>1</v>
      </c>
      <c r="T5202" s="2153">
        <v>1</v>
      </c>
      <c r="U5202" s="2153">
        <v>1</v>
      </c>
      <c r="V5202" s="2153">
        <v>1</v>
      </c>
      <c r="W5202" s="2153">
        <v>1</v>
      </c>
      <c r="X5202" s="2153">
        <v>1</v>
      </c>
      <c r="Y5202" s="2153">
        <v>1</v>
      </c>
      <c r="Z5202" s="2153">
        <v>1</v>
      </c>
      <c r="AA5202" s="2180">
        <f>SUM(O5202:Z5202)</f>
        <v>12</v>
      </c>
    </row>
    <row r="5203" spans="1:27" x14ac:dyDescent="0.2">
      <c r="A5203" s="134"/>
      <c r="B5203" s="2167"/>
      <c r="C5203" s="3684"/>
      <c r="D5203" s="2421"/>
      <c r="E5203" s="3483"/>
      <c r="F5203" s="3483"/>
      <c r="G5203" s="3483"/>
      <c r="H5203" s="2421"/>
      <c r="I5203" s="3483"/>
      <c r="J5203" s="3483"/>
      <c r="K5203" s="3497"/>
      <c r="L5203" s="2421"/>
      <c r="M5203" s="2627" t="s">
        <v>111</v>
      </c>
      <c r="N5203" s="2627"/>
      <c r="O5203" s="2169">
        <f>SUM(O5204:O5205)</f>
        <v>141</v>
      </c>
      <c r="P5203" s="2169">
        <f t="shared" ref="P5203:Z5203" si="881">SUM(P5204:P5205)</f>
        <v>141</v>
      </c>
      <c r="Q5203" s="2169">
        <f t="shared" si="881"/>
        <v>141</v>
      </c>
      <c r="R5203" s="2169">
        <f t="shared" si="881"/>
        <v>141</v>
      </c>
      <c r="S5203" s="2169">
        <f t="shared" si="881"/>
        <v>141</v>
      </c>
      <c r="T5203" s="2169">
        <f t="shared" si="881"/>
        <v>141</v>
      </c>
      <c r="U5203" s="2169">
        <f t="shared" si="881"/>
        <v>141</v>
      </c>
      <c r="V5203" s="2169">
        <f t="shared" si="881"/>
        <v>141</v>
      </c>
      <c r="W5203" s="2169">
        <f t="shared" si="881"/>
        <v>141</v>
      </c>
      <c r="X5203" s="2169">
        <f t="shared" si="881"/>
        <v>141</v>
      </c>
      <c r="Y5203" s="2169">
        <f t="shared" si="881"/>
        <v>141</v>
      </c>
      <c r="Z5203" s="2169">
        <f t="shared" si="881"/>
        <v>141</v>
      </c>
      <c r="AA5203" s="2180"/>
    </row>
    <row r="5204" spans="1:27" ht="22.5" x14ac:dyDescent="0.2">
      <c r="A5204" s="134"/>
      <c r="B5204" s="2167"/>
      <c r="C5204" s="3684"/>
      <c r="D5204" s="2421"/>
      <c r="E5204" s="3483"/>
      <c r="F5204" s="3483"/>
      <c r="G5204" s="3483"/>
      <c r="H5204" s="2421"/>
      <c r="I5204" s="3483"/>
      <c r="J5204" s="3483"/>
      <c r="K5204" s="3497"/>
      <c r="L5204" s="2421"/>
      <c r="M5204" s="2182" t="s">
        <v>184</v>
      </c>
      <c r="N5204" s="2260" t="s">
        <v>2178</v>
      </c>
      <c r="O5204" s="2169">
        <v>12.8</v>
      </c>
      <c r="P5204" s="2169">
        <v>12.8</v>
      </c>
      <c r="Q5204" s="2169">
        <v>12.8</v>
      </c>
      <c r="R5204" s="2169">
        <v>12.8</v>
      </c>
      <c r="S5204" s="2169">
        <v>12.8</v>
      </c>
      <c r="T5204" s="2169">
        <v>12.8</v>
      </c>
      <c r="U5204" s="2169">
        <v>12.8</v>
      </c>
      <c r="V5204" s="2169">
        <v>12.8</v>
      </c>
      <c r="W5204" s="2169">
        <v>12.8</v>
      </c>
      <c r="X5204" s="2169">
        <v>12.8</v>
      </c>
      <c r="Y5204" s="2169">
        <v>12.8</v>
      </c>
      <c r="Z5204" s="2169">
        <v>12.8</v>
      </c>
      <c r="AA5204" s="92">
        <f>SUM(O5204:Z5204)</f>
        <v>153.6</v>
      </c>
    </row>
    <row r="5205" spans="1:27" x14ac:dyDescent="0.2">
      <c r="A5205" s="134"/>
      <c r="B5205" s="2167"/>
      <c r="C5205" s="3685"/>
      <c r="D5205" s="2421"/>
      <c r="E5205" s="3483"/>
      <c r="F5205" s="3483"/>
      <c r="G5205" s="3483"/>
      <c r="H5205" s="2421"/>
      <c r="I5205" s="3483"/>
      <c r="J5205" s="3483"/>
      <c r="K5205" s="3497"/>
      <c r="L5205" s="2421"/>
      <c r="M5205" s="2182" t="s">
        <v>2103</v>
      </c>
      <c r="N5205" s="2174" t="s">
        <v>1262</v>
      </c>
      <c r="O5205" s="2169">
        <v>128.19999999999999</v>
      </c>
      <c r="P5205" s="2169">
        <v>128.19999999999999</v>
      </c>
      <c r="Q5205" s="2169">
        <v>128.19999999999999</v>
      </c>
      <c r="R5205" s="2169">
        <v>128.19999999999999</v>
      </c>
      <c r="S5205" s="2169">
        <v>128.19999999999999</v>
      </c>
      <c r="T5205" s="2169">
        <v>128.19999999999999</v>
      </c>
      <c r="U5205" s="2169">
        <v>128.19999999999999</v>
      </c>
      <c r="V5205" s="2169">
        <v>128.19999999999999</v>
      </c>
      <c r="W5205" s="2169">
        <v>128.19999999999999</v>
      </c>
      <c r="X5205" s="2169">
        <v>128.19999999999999</v>
      </c>
      <c r="Y5205" s="2169">
        <v>128.19999999999999</v>
      </c>
      <c r="Z5205" s="2169">
        <v>128.19999999999999</v>
      </c>
      <c r="AA5205" s="92">
        <f>SUM(O5205:Z5205)</f>
        <v>1538.4000000000003</v>
      </c>
    </row>
    <row r="5206" spans="1:27" x14ac:dyDescent="0.2">
      <c r="A5206" s="134"/>
      <c r="B5206" s="2167"/>
      <c r="C5206" s="3680" t="s">
        <v>2207</v>
      </c>
      <c r="D5206" s="2421"/>
      <c r="E5206" s="3483"/>
      <c r="F5206" s="3483"/>
      <c r="G5206" s="3483"/>
      <c r="H5206" s="2421"/>
      <c r="I5206" s="3483" t="s">
        <v>2208</v>
      </c>
      <c r="J5206" s="3483">
        <v>2</v>
      </c>
      <c r="K5206" s="3497"/>
      <c r="L5206" s="2421" t="s">
        <v>2206</v>
      </c>
      <c r="M5206" s="2627" t="s">
        <v>51</v>
      </c>
      <c r="N5206" s="2627"/>
      <c r="O5206" s="2153"/>
      <c r="P5206" s="2153"/>
      <c r="Q5206" s="2153"/>
      <c r="R5206" s="2153">
        <v>1</v>
      </c>
      <c r="S5206" s="2153"/>
      <c r="T5206" s="2153"/>
      <c r="U5206" s="2153"/>
      <c r="V5206" s="2153"/>
      <c r="W5206" s="2153"/>
      <c r="X5206" s="2153">
        <v>1</v>
      </c>
      <c r="Y5206" s="2153"/>
      <c r="Z5206" s="2153"/>
      <c r="AA5206" s="2180">
        <f>SUM(O5206:Z5206)</f>
        <v>2</v>
      </c>
    </row>
    <row r="5207" spans="1:27" x14ac:dyDescent="0.2">
      <c r="A5207" s="134"/>
      <c r="B5207" s="2167"/>
      <c r="C5207" s="3680"/>
      <c r="D5207" s="2421"/>
      <c r="E5207" s="3483"/>
      <c r="F5207" s="3483"/>
      <c r="G5207" s="3483"/>
      <c r="H5207" s="2421"/>
      <c r="I5207" s="3483"/>
      <c r="J5207" s="3483"/>
      <c r="K5207" s="3497"/>
      <c r="L5207" s="2421"/>
      <c r="M5207" s="2627" t="s">
        <v>111</v>
      </c>
      <c r="N5207" s="2627"/>
      <c r="O5207" s="2169">
        <f>SUM(O5208:O5209)</f>
        <v>141</v>
      </c>
      <c r="P5207" s="2169">
        <f t="shared" ref="P5207:Z5207" si="882">SUM(P5208:P5209)</f>
        <v>141</v>
      </c>
      <c r="Q5207" s="2169">
        <f t="shared" si="882"/>
        <v>141</v>
      </c>
      <c r="R5207" s="2169">
        <f t="shared" si="882"/>
        <v>141</v>
      </c>
      <c r="S5207" s="2169">
        <f t="shared" si="882"/>
        <v>141</v>
      </c>
      <c r="T5207" s="2169">
        <f t="shared" si="882"/>
        <v>141</v>
      </c>
      <c r="U5207" s="2169">
        <f t="shared" si="882"/>
        <v>141</v>
      </c>
      <c r="V5207" s="2169">
        <f t="shared" si="882"/>
        <v>141</v>
      </c>
      <c r="W5207" s="2169">
        <f t="shared" si="882"/>
        <v>141</v>
      </c>
      <c r="X5207" s="2169">
        <f t="shared" si="882"/>
        <v>141</v>
      </c>
      <c r="Y5207" s="2169">
        <f t="shared" si="882"/>
        <v>141</v>
      </c>
      <c r="Z5207" s="2169">
        <f t="shared" si="882"/>
        <v>141</v>
      </c>
      <c r="AA5207" s="2180"/>
    </row>
    <row r="5208" spans="1:27" ht="22.5" x14ac:dyDescent="0.2">
      <c r="A5208" s="134"/>
      <c r="B5208" s="2167"/>
      <c r="C5208" s="3680"/>
      <c r="D5208" s="2421"/>
      <c r="E5208" s="3483"/>
      <c r="F5208" s="3483"/>
      <c r="G5208" s="3483"/>
      <c r="H5208" s="2421"/>
      <c r="I5208" s="3483"/>
      <c r="J5208" s="3483"/>
      <c r="K5208" s="3497"/>
      <c r="L5208" s="2421"/>
      <c r="M5208" s="2182" t="s">
        <v>184</v>
      </c>
      <c r="N5208" s="2260" t="s">
        <v>2178</v>
      </c>
      <c r="O5208" s="2169">
        <v>12.8</v>
      </c>
      <c r="P5208" s="2169">
        <v>12.8</v>
      </c>
      <c r="Q5208" s="2169">
        <v>12.8</v>
      </c>
      <c r="R5208" s="2169">
        <v>12.8</v>
      </c>
      <c r="S5208" s="2169">
        <v>12.8</v>
      </c>
      <c r="T5208" s="2169">
        <v>12.8</v>
      </c>
      <c r="U5208" s="2169">
        <v>12.8</v>
      </c>
      <c r="V5208" s="2169">
        <v>12.8</v>
      </c>
      <c r="W5208" s="2169">
        <v>12.8</v>
      </c>
      <c r="X5208" s="2169">
        <v>12.8</v>
      </c>
      <c r="Y5208" s="2169">
        <v>12.8</v>
      </c>
      <c r="Z5208" s="2169">
        <v>12.8</v>
      </c>
      <c r="AA5208" s="92">
        <f>SUM(O5208:Z5208)</f>
        <v>153.6</v>
      </c>
    </row>
    <row r="5209" spans="1:27" x14ac:dyDescent="0.2">
      <c r="A5209" s="134"/>
      <c r="B5209" s="2167"/>
      <c r="C5209" s="3680"/>
      <c r="D5209" s="2421"/>
      <c r="E5209" s="3483"/>
      <c r="F5209" s="3483"/>
      <c r="G5209" s="3483"/>
      <c r="H5209" s="2421"/>
      <c r="I5209" s="3483"/>
      <c r="J5209" s="3483"/>
      <c r="K5209" s="3497"/>
      <c r="L5209" s="2421"/>
      <c r="M5209" s="2182" t="s">
        <v>2103</v>
      </c>
      <c r="N5209" s="2174" t="s">
        <v>1262</v>
      </c>
      <c r="O5209" s="2169">
        <v>128.19999999999999</v>
      </c>
      <c r="P5209" s="2169">
        <v>128.19999999999999</v>
      </c>
      <c r="Q5209" s="2169">
        <v>128.19999999999999</v>
      </c>
      <c r="R5209" s="2169">
        <v>128.19999999999999</v>
      </c>
      <c r="S5209" s="2169">
        <v>128.19999999999999</v>
      </c>
      <c r="T5209" s="2169">
        <v>128.19999999999999</v>
      </c>
      <c r="U5209" s="2169">
        <v>128.19999999999999</v>
      </c>
      <c r="V5209" s="2169">
        <v>128.19999999999999</v>
      </c>
      <c r="W5209" s="2169">
        <v>128.19999999999999</v>
      </c>
      <c r="X5209" s="2169">
        <v>128.19999999999999</v>
      </c>
      <c r="Y5209" s="2169">
        <v>128.19999999999999</v>
      </c>
      <c r="Z5209" s="2169">
        <v>128.19999999999999</v>
      </c>
      <c r="AA5209" s="92">
        <f>SUM(O5209:Z5209)</f>
        <v>1538.4000000000003</v>
      </c>
    </row>
    <row r="5210" spans="1:27" x14ac:dyDescent="0.2">
      <c r="A5210" s="134"/>
      <c r="B5210" s="2167"/>
      <c r="C5210" s="3680" t="s">
        <v>2209</v>
      </c>
      <c r="D5210" s="2421"/>
      <c r="E5210" s="3483"/>
      <c r="F5210" s="3483"/>
      <c r="G5210" s="3483"/>
      <c r="H5210" s="2421"/>
      <c r="I5210" s="3483" t="s">
        <v>2208</v>
      </c>
      <c r="J5210" s="3483">
        <v>3</v>
      </c>
      <c r="K5210" s="3497"/>
      <c r="L5210" s="2421" t="s">
        <v>2167</v>
      </c>
      <c r="M5210" s="2627" t="s">
        <v>51</v>
      </c>
      <c r="N5210" s="2627"/>
      <c r="O5210" s="2153"/>
      <c r="P5210" s="2153"/>
      <c r="Q5210" s="2153">
        <v>1</v>
      </c>
      <c r="R5210" s="2153"/>
      <c r="S5210" s="2153"/>
      <c r="T5210" s="2153">
        <v>1</v>
      </c>
      <c r="U5210" s="2153"/>
      <c r="V5210" s="2153"/>
      <c r="W5210" s="2153">
        <v>1</v>
      </c>
      <c r="X5210" s="2153"/>
      <c r="Y5210" s="2153"/>
      <c r="Z5210" s="2153"/>
      <c r="AA5210" s="2180">
        <f>SUM(O5210:Z5210)</f>
        <v>3</v>
      </c>
    </row>
    <row r="5211" spans="1:27" x14ac:dyDescent="0.2">
      <c r="A5211" s="134"/>
      <c r="B5211" s="2167"/>
      <c r="C5211" s="3680"/>
      <c r="D5211" s="2421"/>
      <c r="E5211" s="3483"/>
      <c r="F5211" s="3483"/>
      <c r="G5211" s="3483"/>
      <c r="H5211" s="2421"/>
      <c r="I5211" s="3483"/>
      <c r="J5211" s="3483"/>
      <c r="K5211" s="3497"/>
      <c r="L5211" s="2421"/>
      <c r="M5211" s="2627" t="s">
        <v>111</v>
      </c>
      <c r="N5211" s="2627"/>
      <c r="O5211" s="2169">
        <f>SUM(O5212:O5213)</f>
        <v>141</v>
      </c>
      <c r="P5211" s="2169">
        <f t="shared" ref="P5211:Z5211" si="883">SUM(P5212:P5213)</f>
        <v>141</v>
      </c>
      <c r="Q5211" s="2169">
        <f t="shared" si="883"/>
        <v>141</v>
      </c>
      <c r="R5211" s="2169">
        <f t="shared" si="883"/>
        <v>141</v>
      </c>
      <c r="S5211" s="2169">
        <f t="shared" si="883"/>
        <v>141</v>
      </c>
      <c r="T5211" s="2169">
        <f t="shared" si="883"/>
        <v>141</v>
      </c>
      <c r="U5211" s="2169">
        <f t="shared" si="883"/>
        <v>141</v>
      </c>
      <c r="V5211" s="2169">
        <f t="shared" si="883"/>
        <v>141</v>
      </c>
      <c r="W5211" s="2169">
        <f t="shared" si="883"/>
        <v>141</v>
      </c>
      <c r="X5211" s="2169">
        <f t="shared" si="883"/>
        <v>141</v>
      </c>
      <c r="Y5211" s="2169">
        <f t="shared" si="883"/>
        <v>141</v>
      </c>
      <c r="Z5211" s="2169">
        <f t="shared" si="883"/>
        <v>141</v>
      </c>
      <c r="AA5211" s="2180"/>
    </row>
    <row r="5212" spans="1:27" ht="22.5" x14ac:dyDescent="0.2">
      <c r="A5212" s="134"/>
      <c r="B5212" s="2167"/>
      <c r="C5212" s="3680"/>
      <c r="D5212" s="2421"/>
      <c r="E5212" s="3483"/>
      <c r="F5212" s="3483"/>
      <c r="G5212" s="3483"/>
      <c r="H5212" s="2421"/>
      <c r="I5212" s="3483"/>
      <c r="J5212" s="3483"/>
      <c r="K5212" s="3497"/>
      <c r="L5212" s="2421"/>
      <c r="M5212" s="2182" t="s">
        <v>184</v>
      </c>
      <c r="N5212" s="2260" t="s">
        <v>2178</v>
      </c>
      <c r="O5212" s="2169">
        <v>12.8</v>
      </c>
      <c r="P5212" s="2169">
        <v>12.8</v>
      </c>
      <c r="Q5212" s="2169">
        <v>12.8</v>
      </c>
      <c r="R5212" s="2169">
        <v>12.8</v>
      </c>
      <c r="S5212" s="2169">
        <v>12.8</v>
      </c>
      <c r="T5212" s="2169">
        <v>12.8</v>
      </c>
      <c r="U5212" s="2169">
        <v>12.8</v>
      </c>
      <c r="V5212" s="2169">
        <v>12.8</v>
      </c>
      <c r="W5212" s="2169">
        <v>12.8</v>
      </c>
      <c r="X5212" s="2169">
        <v>12.8</v>
      </c>
      <c r="Y5212" s="2169">
        <v>12.8</v>
      </c>
      <c r="Z5212" s="2169">
        <v>12.8</v>
      </c>
      <c r="AA5212" s="92">
        <f>SUM(O5212:Z5212)</f>
        <v>153.6</v>
      </c>
    </row>
    <row r="5213" spans="1:27" x14ac:dyDescent="0.2">
      <c r="A5213" s="134"/>
      <c r="B5213" s="2167"/>
      <c r="C5213" s="3680"/>
      <c r="D5213" s="2421"/>
      <c r="E5213" s="3483"/>
      <c r="F5213" s="3483"/>
      <c r="G5213" s="3483"/>
      <c r="H5213" s="2421"/>
      <c r="I5213" s="3483"/>
      <c r="J5213" s="3483"/>
      <c r="K5213" s="3497"/>
      <c r="L5213" s="2421"/>
      <c r="M5213" s="2182" t="s">
        <v>2103</v>
      </c>
      <c r="N5213" s="2174" t="s">
        <v>1262</v>
      </c>
      <c r="O5213" s="2169">
        <v>128.19999999999999</v>
      </c>
      <c r="P5213" s="2169">
        <v>128.19999999999999</v>
      </c>
      <c r="Q5213" s="2169">
        <v>128.19999999999999</v>
      </c>
      <c r="R5213" s="2169">
        <v>128.19999999999999</v>
      </c>
      <c r="S5213" s="2169">
        <v>128.19999999999999</v>
      </c>
      <c r="T5213" s="2169">
        <v>128.19999999999999</v>
      </c>
      <c r="U5213" s="2169">
        <v>128.19999999999999</v>
      </c>
      <c r="V5213" s="2169">
        <v>128.19999999999999</v>
      </c>
      <c r="W5213" s="2169">
        <v>128.19999999999999</v>
      </c>
      <c r="X5213" s="2169">
        <v>128.19999999999999</v>
      </c>
      <c r="Y5213" s="2169">
        <v>128.19999999999999</v>
      </c>
      <c r="Z5213" s="2169">
        <v>128.19999999999999</v>
      </c>
      <c r="AA5213" s="92">
        <f>SUM(O5213:Z5213)</f>
        <v>1538.4000000000003</v>
      </c>
    </row>
    <row r="5214" spans="1:27" x14ac:dyDescent="0.2">
      <c r="A5214" s="134"/>
      <c r="B5214" s="2167"/>
      <c r="C5214" s="3680" t="s">
        <v>2210</v>
      </c>
      <c r="D5214" s="2421"/>
      <c r="E5214" s="3483"/>
      <c r="F5214" s="3483"/>
      <c r="G5214" s="3483"/>
      <c r="H5214" s="2421"/>
      <c r="I5214" s="3483" t="s">
        <v>2211</v>
      </c>
      <c r="J5214" s="3483">
        <v>12</v>
      </c>
      <c r="K5214" s="3497"/>
      <c r="L5214" s="2421" t="s">
        <v>2212</v>
      </c>
      <c r="M5214" s="2627" t="s">
        <v>51</v>
      </c>
      <c r="N5214" s="2627"/>
      <c r="O5214" s="2153">
        <v>1</v>
      </c>
      <c r="P5214" s="2153">
        <v>1</v>
      </c>
      <c r="Q5214" s="2153">
        <v>1</v>
      </c>
      <c r="R5214" s="2153">
        <v>1</v>
      </c>
      <c r="S5214" s="2153">
        <v>1</v>
      </c>
      <c r="T5214" s="2153">
        <v>1</v>
      </c>
      <c r="U5214" s="2153">
        <v>1</v>
      </c>
      <c r="V5214" s="2153">
        <v>1</v>
      </c>
      <c r="W5214" s="2153">
        <v>1</v>
      </c>
      <c r="X5214" s="2153">
        <v>1</v>
      </c>
      <c r="Y5214" s="2153">
        <v>1</v>
      </c>
      <c r="Z5214" s="2153">
        <v>1</v>
      </c>
      <c r="AA5214" s="2180">
        <f>SUM(O5214:Z5214)</f>
        <v>12</v>
      </c>
    </row>
    <row r="5215" spans="1:27" x14ac:dyDescent="0.2">
      <c r="A5215" s="134"/>
      <c r="B5215" s="2167"/>
      <c r="C5215" s="3680"/>
      <c r="D5215" s="2421"/>
      <c r="E5215" s="3483"/>
      <c r="F5215" s="3483"/>
      <c r="G5215" s="3483"/>
      <c r="H5215" s="2421"/>
      <c r="I5215" s="3483"/>
      <c r="J5215" s="3483"/>
      <c r="K5215" s="3497"/>
      <c r="L5215" s="2421"/>
      <c r="M5215" s="2627" t="s">
        <v>111</v>
      </c>
      <c r="N5215" s="2627"/>
      <c r="O5215" s="2169">
        <f>SUM(O5216:O5217)</f>
        <v>141</v>
      </c>
      <c r="P5215" s="2169">
        <f t="shared" ref="P5215:Z5215" si="884">SUM(P5216:P5217)</f>
        <v>141</v>
      </c>
      <c r="Q5215" s="2169">
        <f t="shared" si="884"/>
        <v>141</v>
      </c>
      <c r="R5215" s="2169">
        <f t="shared" si="884"/>
        <v>141</v>
      </c>
      <c r="S5215" s="2169">
        <f t="shared" si="884"/>
        <v>141</v>
      </c>
      <c r="T5215" s="2169">
        <f t="shared" si="884"/>
        <v>141</v>
      </c>
      <c r="U5215" s="2169">
        <f t="shared" si="884"/>
        <v>141</v>
      </c>
      <c r="V5215" s="2169">
        <f t="shared" si="884"/>
        <v>141</v>
      </c>
      <c r="W5215" s="2169">
        <f t="shared" si="884"/>
        <v>141</v>
      </c>
      <c r="X5215" s="2169">
        <f t="shared" si="884"/>
        <v>141</v>
      </c>
      <c r="Y5215" s="2169">
        <f t="shared" si="884"/>
        <v>141</v>
      </c>
      <c r="Z5215" s="2169">
        <f t="shared" si="884"/>
        <v>141</v>
      </c>
      <c r="AA5215" s="2180"/>
    </row>
    <row r="5216" spans="1:27" ht="22.5" x14ac:dyDescent="0.2">
      <c r="A5216" s="134"/>
      <c r="B5216" s="2167"/>
      <c r="C5216" s="3680"/>
      <c r="D5216" s="2421"/>
      <c r="E5216" s="3483"/>
      <c r="F5216" s="3483"/>
      <c r="G5216" s="3483"/>
      <c r="H5216" s="2421"/>
      <c r="I5216" s="3483"/>
      <c r="J5216" s="3483"/>
      <c r="K5216" s="3497"/>
      <c r="L5216" s="2421"/>
      <c r="M5216" s="2182" t="s">
        <v>184</v>
      </c>
      <c r="N5216" s="2260" t="s">
        <v>2178</v>
      </c>
      <c r="O5216" s="2169">
        <v>12.8</v>
      </c>
      <c r="P5216" s="2169">
        <v>12.8</v>
      </c>
      <c r="Q5216" s="2169">
        <v>12.8</v>
      </c>
      <c r="R5216" s="2169">
        <v>12.8</v>
      </c>
      <c r="S5216" s="2169">
        <v>12.8</v>
      </c>
      <c r="T5216" s="2169">
        <v>12.8</v>
      </c>
      <c r="U5216" s="2169">
        <v>12.8</v>
      </c>
      <c r="V5216" s="2169">
        <v>12.8</v>
      </c>
      <c r="W5216" s="2169">
        <v>12.8</v>
      </c>
      <c r="X5216" s="2169">
        <v>12.8</v>
      </c>
      <c r="Y5216" s="2169">
        <v>12.8</v>
      </c>
      <c r="Z5216" s="2169">
        <v>12.8</v>
      </c>
      <c r="AA5216" s="92">
        <f>SUM(O5216:Z5216)</f>
        <v>153.6</v>
      </c>
    </row>
    <row r="5217" spans="1:27" x14ac:dyDescent="0.2">
      <c r="A5217" s="134"/>
      <c r="B5217" s="2167"/>
      <c r="C5217" s="3680"/>
      <c r="D5217" s="2421"/>
      <c r="E5217" s="3483"/>
      <c r="F5217" s="3483"/>
      <c r="G5217" s="3483"/>
      <c r="H5217" s="2421"/>
      <c r="I5217" s="3483"/>
      <c r="J5217" s="3483"/>
      <c r="K5217" s="3497"/>
      <c r="L5217" s="2421"/>
      <c r="M5217" s="2182" t="s">
        <v>2103</v>
      </c>
      <c r="N5217" s="2174" t="s">
        <v>1262</v>
      </c>
      <c r="O5217" s="2169">
        <v>128.19999999999999</v>
      </c>
      <c r="P5217" s="2169">
        <v>128.19999999999999</v>
      </c>
      <c r="Q5217" s="2169">
        <v>128.19999999999999</v>
      </c>
      <c r="R5217" s="2169">
        <v>128.19999999999999</v>
      </c>
      <c r="S5217" s="2169">
        <v>128.19999999999999</v>
      </c>
      <c r="T5217" s="2169">
        <v>128.19999999999999</v>
      </c>
      <c r="U5217" s="2169">
        <v>128.19999999999999</v>
      </c>
      <c r="V5217" s="2169">
        <v>128.19999999999999</v>
      </c>
      <c r="W5217" s="2169">
        <v>128.19999999999999</v>
      </c>
      <c r="X5217" s="2169">
        <v>128.19999999999999</v>
      </c>
      <c r="Y5217" s="2169">
        <v>128.19999999999999</v>
      </c>
      <c r="Z5217" s="2169">
        <v>128.19999999999999</v>
      </c>
      <c r="AA5217" s="92">
        <f>SUM(O5217:Z5217)</f>
        <v>1538.4000000000003</v>
      </c>
    </row>
    <row r="5218" spans="1:27" x14ac:dyDescent="0.2">
      <c r="A5218" s="134"/>
      <c r="B5218" s="2167"/>
      <c r="C5218" s="3680" t="s">
        <v>2213</v>
      </c>
      <c r="D5218" s="2421"/>
      <c r="E5218" s="3483"/>
      <c r="F5218" s="3483"/>
      <c r="G5218" s="3483"/>
      <c r="H5218" s="2421"/>
      <c r="I5218" s="3483" t="s">
        <v>2214</v>
      </c>
      <c r="J5218" s="3483">
        <v>4</v>
      </c>
      <c r="K5218" s="3497"/>
      <c r="L5218" s="2421" t="s">
        <v>2206</v>
      </c>
      <c r="M5218" s="2627" t="s">
        <v>51</v>
      </c>
      <c r="N5218" s="2627"/>
      <c r="O5218" s="2153"/>
      <c r="P5218" s="2153"/>
      <c r="Q5218" s="2153">
        <v>1</v>
      </c>
      <c r="R5218" s="2153"/>
      <c r="S5218" s="2153"/>
      <c r="T5218" s="2153">
        <v>1</v>
      </c>
      <c r="U5218" s="2153"/>
      <c r="V5218" s="2153"/>
      <c r="W5218" s="2153">
        <v>1</v>
      </c>
      <c r="X5218" s="2153"/>
      <c r="Y5218" s="2153"/>
      <c r="Z5218" s="2153">
        <v>1</v>
      </c>
      <c r="AA5218" s="2180">
        <f>SUM(O5218:Z5218)</f>
        <v>4</v>
      </c>
    </row>
    <row r="5219" spans="1:27" x14ac:dyDescent="0.2">
      <c r="A5219" s="134"/>
      <c r="B5219" s="2167"/>
      <c r="C5219" s="3680"/>
      <c r="D5219" s="2421"/>
      <c r="E5219" s="3483"/>
      <c r="F5219" s="3483"/>
      <c r="G5219" s="3483"/>
      <c r="H5219" s="2421"/>
      <c r="I5219" s="3483"/>
      <c r="J5219" s="3483"/>
      <c r="K5219" s="3497"/>
      <c r="L5219" s="2421"/>
      <c r="M5219" s="2627" t="s">
        <v>111</v>
      </c>
      <c r="N5219" s="2627"/>
      <c r="O5219" s="2169">
        <f>SUM(O5220:O5221)</f>
        <v>141</v>
      </c>
      <c r="P5219" s="2169">
        <f t="shared" ref="P5219:Z5219" si="885">SUM(P5220:P5221)</f>
        <v>141</v>
      </c>
      <c r="Q5219" s="2169">
        <f t="shared" si="885"/>
        <v>141</v>
      </c>
      <c r="R5219" s="2169">
        <f t="shared" si="885"/>
        <v>141</v>
      </c>
      <c r="S5219" s="2169">
        <f t="shared" si="885"/>
        <v>141</v>
      </c>
      <c r="T5219" s="2169">
        <f t="shared" si="885"/>
        <v>141</v>
      </c>
      <c r="U5219" s="2169">
        <f t="shared" si="885"/>
        <v>141</v>
      </c>
      <c r="V5219" s="2169">
        <f t="shared" si="885"/>
        <v>141</v>
      </c>
      <c r="W5219" s="2169">
        <f t="shared" si="885"/>
        <v>141</v>
      </c>
      <c r="X5219" s="2169">
        <f t="shared" si="885"/>
        <v>141</v>
      </c>
      <c r="Y5219" s="2169">
        <f t="shared" si="885"/>
        <v>141</v>
      </c>
      <c r="Z5219" s="2169">
        <f t="shared" si="885"/>
        <v>141</v>
      </c>
      <c r="AA5219" s="2180"/>
    </row>
    <row r="5220" spans="1:27" ht="22.5" x14ac:dyDescent="0.2">
      <c r="A5220" s="134"/>
      <c r="B5220" s="2167"/>
      <c r="C5220" s="3680"/>
      <c r="D5220" s="2421"/>
      <c r="E5220" s="3483"/>
      <c r="F5220" s="3483"/>
      <c r="G5220" s="3483"/>
      <c r="H5220" s="2421"/>
      <c r="I5220" s="3483"/>
      <c r="J5220" s="3483"/>
      <c r="K5220" s="3497"/>
      <c r="L5220" s="2421"/>
      <c r="M5220" s="2182" t="s">
        <v>184</v>
      </c>
      <c r="N5220" s="2260" t="s">
        <v>2178</v>
      </c>
      <c r="O5220" s="2169">
        <v>12.8</v>
      </c>
      <c r="P5220" s="2169">
        <v>12.8</v>
      </c>
      <c r="Q5220" s="2169">
        <v>12.8</v>
      </c>
      <c r="R5220" s="2169">
        <v>12.8</v>
      </c>
      <c r="S5220" s="2169">
        <v>12.8</v>
      </c>
      <c r="T5220" s="2169">
        <v>12.8</v>
      </c>
      <c r="U5220" s="2169">
        <v>12.8</v>
      </c>
      <c r="V5220" s="2169">
        <v>12.8</v>
      </c>
      <c r="W5220" s="2169">
        <v>12.8</v>
      </c>
      <c r="X5220" s="2169">
        <v>12.8</v>
      </c>
      <c r="Y5220" s="2169">
        <v>12.8</v>
      </c>
      <c r="Z5220" s="2169">
        <v>12.8</v>
      </c>
      <c r="AA5220" s="92">
        <f>SUM(O5220:Z5220)</f>
        <v>153.6</v>
      </c>
    </row>
    <row r="5221" spans="1:27" x14ac:dyDescent="0.2">
      <c r="A5221" s="134"/>
      <c r="B5221" s="2167"/>
      <c r="C5221" s="3680"/>
      <c r="D5221" s="2421"/>
      <c r="E5221" s="3483"/>
      <c r="F5221" s="3483"/>
      <c r="G5221" s="3483"/>
      <c r="H5221" s="2421"/>
      <c r="I5221" s="3483"/>
      <c r="J5221" s="3483"/>
      <c r="K5221" s="3497"/>
      <c r="L5221" s="2421"/>
      <c r="M5221" s="2182" t="s">
        <v>2103</v>
      </c>
      <c r="N5221" s="2174" t="s">
        <v>1262</v>
      </c>
      <c r="O5221" s="2169">
        <v>128.19999999999999</v>
      </c>
      <c r="P5221" s="2169">
        <v>128.19999999999999</v>
      </c>
      <c r="Q5221" s="2169">
        <v>128.19999999999999</v>
      </c>
      <c r="R5221" s="2169">
        <v>128.19999999999999</v>
      </c>
      <c r="S5221" s="2169">
        <v>128.19999999999999</v>
      </c>
      <c r="T5221" s="2169">
        <v>128.19999999999999</v>
      </c>
      <c r="U5221" s="2169">
        <v>128.19999999999999</v>
      </c>
      <c r="V5221" s="2169">
        <v>128.19999999999999</v>
      </c>
      <c r="W5221" s="2169">
        <v>128.19999999999999</v>
      </c>
      <c r="X5221" s="2169">
        <v>128.19999999999999</v>
      </c>
      <c r="Y5221" s="2169">
        <v>128.19999999999999</v>
      </c>
      <c r="Z5221" s="2169">
        <v>128.19999999999999</v>
      </c>
      <c r="AA5221" s="92">
        <f>SUM(O5221:Z5221)</f>
        <v>1538.4000000000003</v>
      </c>
    </row>
    <row r="5222" spans="1:27" x14ac:dyDescent="0.2">
      <c r="A5222" s="134"/>
      <c r="B5222" s="2167"/>
      <c r="C5222" s="3680" t="s">
        <v>2215</v>
      </c>
      <c r="D5222" s="2421"/>
      <c r="E5222" s="3483"/>
      <c r="F5222" s="3483"/>
      <c r="G5222" s="3483"/>
      <c r="H5222" s="2421"/>
      <c r="I5222" s="3483" t="s">
        <v>2216</v>
      </c>
      <c r="J5222" s="3483">
        <v>15</v>
      </c>
      <c r="K5222" s="3497"/>
      <c r="L5222" s="2421" t="s">
        <v>2206</v>
      </c>
      <c r="M5222" s="2627" t="s">
        <v>51</v>
      </c>
      <c r="N5222" s="2627"/>
      <c r="O5222" s="2153">
        <v>1</v>
      </c>
      <c r="P5222" s="2153">
        <v>1</v>
      </c>
      <c r="Q5222" s="2153">
        <v>1</v>
      </c>
      <c r="R5222" s="2153">
        <v>1</v>
      </c>
      <c r="S5222" s="2153">
        <v>2</v>
      </c>
      <c r="T5222" s="2153">
        <v>1</v>
      </c>
      <c r="U5222" s="2153">
        <v>1</v>
      </c>
      <c r="V5222" s="2153">
        <v>3</v>
      </c>
      <c r="W5222" s="2153">
        <v>1</v>
      </c>
      <c r="X5222" s="2153">
        <v>1</v>
      </c>
      <c r="Y5222" s="2153">
        <v>1</v>
      </c>
      <c r="Z5222" s="2153">
        <v>1</v>
      </c>
      <c r="AA5222" s="2180">
        <f>SUM(O5222:Z5222)</f>
        <v>15</v>
      </c>
    </row>
    <row r="5223" spans="1:27" x14ac:dyDescent="0.2">
      <c r="A5223" s="134"/>
      <c r="B5223" s="2167"/>
      <c r="C5223" s="3680"/>
      <c r="D5223" s="2421"/>
      <c r="E5223" s="3483"/>
      <c r="F5223" s="3483"/>
      <c r="G5223" s="3483"/>
      <c r="H5223" s="2421"/>
      <c r="I5223" s="3483"/>
      <c r="J5223" s="3483"/>
      <c r="K5223" s="3497"/>
      <c r="L5223" s="2421"/>
      <c r="M5223" s="2627" t="s">
        <v>111</v>
      </c>
      <c r="N5223" s="2627"/>
      <c r="O5223" s="2169">
        <f>SUM(O5224:O5225)</f>
        <v>141</v>
      </c>
      <c r="P5223" s="2169">
        <f t="shared" ref="P5223:Z5223" si="886">SUM(P5224:P5225)</f>
        <v>141</v>
      </c>
      <c r="Q5223" s="2169">
        <f t="shared" si="886"/>
        <v>141</v>
      </c>
      <c r="R5223" s="2169">
        <f t="shared" si="886"/>
        <v>141</v>
      </c>
      <c r="S5223" s="2169">
        <f t="shared" si="886"/>
        <v>141</v>
      </c>
      <c r="T5223" s="2169">
        <f t="shared" si="886"/>
        <v>141</v>
      </c>
      <c r="U5223" s="2169">
        <f t="shared" si="886"/>
        <v>141</v>
      </c>
      <c r="V5223" s="2169">
        <f t="shared" si="886"/>
        <v>141</v>
      </c>
      <c r="W5223" s="2169">
        <f t="shared" si="886"/>
        <v>141</v>
      </c>
      <c r="X5223" s="2169">
        <f t="shared" si="886"/>
        <v>141</v>
      </c>
      <c r="Y5223" s="2169">
        <f t="shared" si="886"/>
        <v>141</v>
      </c>
      <c r="Z5223" s="2169">
        <f t="shared" si="886"/>
        <v>141</v>
      </c>
      <c r="AA5223" s="2180"/>
    </row>
    <row r="5224" spans="1:27" ht="22.5" x14ac:dyDescent="0.2">
      <c r="A5224" s="134"/>
      <c r="B5224" s="2167"/>
      <c r="C5224" s="3680"/>
      <c r="D5224" s="2421"/>
      <c r="E5224" s="3483"/>
      <c r="F5224" s="3483"/>
      <c r="G5224" s="3483"/>
      <c r="H5224" s="2421"/>
      <c r="I5224" s="3483"/>
      <c r="J5224" s="3483"/>
      <c r="K5224" s="3497"/>
      <c r="L5224" s="2421"/>
      <c r="M5224" s="2182" t="s">
        <v>184</v>
      </c>
      <c r="N5224" s="2260" t="s">
        <v>2178</v>
      </c>
      <c r="O5224" s="2169">
        <v>12.8</v>
      </c>
      <c r="P5224" s="2169">
        <v>12.8</v>
      </c>
      <c r="Q5224" s="2169">
        <v>12.8</v>
      </c>
      <c r="R5224" s="2169">
        <v>12.8</v>
      </c>
      <c r="S5224" s="2169">
        <v>12.8</v>
      </c>
      <c r="T5224" s="2169">
        <v>12.8</v>
      </c>
      <c r="U5224" s="2169">
        <v>12.8</v>
      </c>
      <c r="V5224" s="2169">
        <v>12.8</v>
      </c>
      <c r="W5224" s="2169">
        <v>12.8</v>
      </c>
      <c r="X5224" s="2169">
        <v>12.8</v>
      </c>
      <c r="Y5224" s="2169">
        <v>12.8</v>
      </c>
      <c r="Z5224" s="2169">
        <v>12.8</v>
      </c>
      <c r="AA5224" s="92">
        <f>SUM(O5224:Z5224)</f>
        <v>153.6</v>
      </c>
    </row>
    <row r="5225" spans="1:27" x14ac:dyDescent="0.2">
      <c r="A5225" s="134"/>
      <c r="B5225" s="2167"/>
      <c r="C5225" s="3680"/>
      <c r="D5225" s="2421"/>
      <c r="E5225" s="3483"/>
      <c r="F5225" s="3483"/>
      <c r="G5225" s="3483"/>
      <c r="H5225" s="2421"/>
      <c r="I5225" s="3483"/>
      <c r="J5225" s="3483"/>
      <c r="K5225" s="3497"/>
      <c r="L5225" s="2421"/>
      <c r="M5225" s="2182" t="s">
        <v>2103</v>
      </c>
      <c r="N5225" s="2174" t="s">
        <v>1262</v>
      </c>
      <c r="O5225" s="2169">
        <v>128.19999999999999</v>
      </c>
      <c r="P5225" s="2169">
        <v>128.19999999999999</v>
      </c>
      <c r="Q5225" s="2169">
        <v>128.19999999999999</v>
      </c>
      <c r="R5225" s="2169">
        <v>128.19999999999999</v>
      </c>
      <c r="S5225" s="2169">
        <v>128.19999999999999</v>
      </c>
      <c r="T5225" s="2169">
        <v>128.19999999999999</v>
      </c>
      <c r="U5225" s="2169">
        <v>128.19999999999999</v>
      </c>
      <c r="V5225" s="2169">
        <v>128.19999999999999</v>
      </c>
      <c r="W5225" s="2169">
        <v>128.19999999999999</v>
      </c>
      <c r="X5225" s="2169">
        <v>128.19999999999999</v>
      </c>
      <c r="Y5225" s="2169">
        <v>128.19999999999999</v>
      </c>
      <c r="Z5225" s="2169">
        <v>128.19999999999999</v>
      </c>
      <c r="AA5225" s="92">
        <f>SUM(O5225:Z5225)</f>
        <v>1538.4000000000003</v>
      </c>
    </row>
    <row r="5226" spans="1:27" x14ac:dyDescent="0.2">
      <c r="A5226" s="134"/>
      <c r="B5226" s="2167"/>
      <c r="C5226" s="3680" t="s">
        <v>2217</v>
      </c>
      <c r="D5226" s="2421"/>
      <c r="E5226" s="3483"/>
      <c r="F5226" s="3483"/>
      <c r="G5226" s="3483"/>
      <c r="H5226" s="2421"/>
      <c r="I5226" s="3483" t="s">
        <v>2216</v>
      </c>
      <c r="J5226" s="3483">
        <v>15</v>
      </c>
      <c r="K5226" s="3497"/>
      <c r="L5226" s="2421" t="s">
        <v>2206</v>
      </c>
      <c r="M5226" s="2627" t="s">
        <v>51</v>
      </c>
      <c r="N5226" s="2627"/>
      <c r="O5226" s="2153">
        <v>1</v>
      </c>
      <c r="P5226" s="2153">
        <v>1</v>
      </c>
      <c r="Q5226" s="2153">
        <v>1</v>
      </c>
      <c r="R5226" s="2153">
        <v>1</v>
      </c>
      <c r="S5226" s="2153">
        <v>2</v>
      </c>
      <c r="T5226" s="2153">
        <v>1</v>
      </c>
      <c r="U5226" s="2153">
        <v>1</v>
      </c>
      <c r="V5226" s="2153">
        <v>3</v>
      </c>
      <c r="W5226" s="2153">
        <v>1</v>
      </c>
      <c r="X5226" s="2153">
        <v>1</v>
      </c>
      <c r="Y5226" s="2153">
        <v>1</v>
      </c>
      <c r="Z5226" s="2153">
        <v>1</v>
      </c>
      <c r="AA5226" s="2180">
        <f>SUM(O5226:Z5226)</f>
        <v>15</v>
      </c>
    </row>
    <row r="5227" spans="1:27" x14ac:dyDescent="0.2">
      <c r="A5227" s="134"/>
      <c r="B5227" s="2167"/>
      <c r="C5227" s="3680"/>
      <c r="D5227" s="2421"/>
      <c r="E5227" s="3483"/>
      <c r="F5227" s="3483"/>
      <c r="G5227" s="3483"/>
      <c r="H5227" s="2421"/>
      <c r="I5227" s="3483"/>
      <c r="J5227" s="3483"/>
      <c r="K5227" s="3497"/>
      <c r="L5227" s="2421"/>
      <c r="M5227" s="2627" t="s">
        <v>111</v>
      </c>
      <c r="N5227" s="2627"/>
      <c r="O5227" s="2169">
        <f>SUM(O5228:O5229)</f>
        <v>141</v>
      </c>
      <c r="P5227" s="2169">
        <f t="shared" ref="P5227:Z5227" si="887">SUM(P5228:P5229)</f>
        <v>141</v>
      </c>
      <c r="Q5227" s="2169">
        <f t="shared" si="887"/>
        <v>141</v>
      </c>
      <c r="R5227" s="2169">
        <f t="shared" si="887"/>
        <v>141</v>
      </c>
      <c r="S5227" s="2169">
        <f t="shared" si="887"/>
        <v>141</v>
      </c>
      <c r="T5227" s="2169">
        <f t="shared" si="887"/>
        <v>141</v>
      </c>
      <c r="U5227" s="2169">
        <f t="shared" si="887"/>
        <v>141</v>
      </c>
      <c r="V5227" s="2169">
        <f t="shared" si="887"/>
        <v>141</v>
      </c>
      <c r="W5227" s="2169">
        <f t="shared" si="887"/>
        <v>141</v>
      </c>
      <c r="X5227" s="2169">
        <f t="shared" si="887"/>
        <v>141</v>
      </c>
      <c r="Y5227" s="2169">
        <f t="shared" si="887"/>
        <v>141</v>
      </c>
      <c r="Z5227" s="2169">
        <f t="shared" si="887"/>
        <v>141</v>
      </c>
      <c r="AA5227" s="2180"/>
    </row>
    <row r="5228" spans="1:27" ht="22.5" x14ac:dyDescent="0.2">
      <c r="A5228" s="134"/>
      <c r="B5228" s="2167"/>
      <c r="C5228" s="3680"/>
      <c r="D5228" s="2421"/>
      <c r="E5228" s="3483"/>
      <c r="F5228" s="3483"/>
      <c r="G5228" s="3483"/>
      <c r="H5228" s="2421"/>
      <c r="I5228" s="3483"/>
      <c r="J5228" s="3483"/>
      <c r="K5228" s="3497"/>
      <c r="L5228" s="2421"/>
      <c r="M5228" s="2182" t="s">
        <v>184</v>
      </c>
      <c r="N5228" s="2260" t="s">
        <v>2178</v>
      </c>
      <c r="O5228" s="2169">
        <v>12.8</v>
      </c>
      <c r="P5228" s="2169">
        <v>12.8</v>
      </c>
      <c r="Q5228" s="2169">
        <v>12.8</v>
      </c>
      <c r="R5228" s="2169">
        <v>12.8</v>
      </c>
      <c r="S5228" s="2169">
        <v>12.8</v>
      </c>
      <c r="T5228" s="2169">
        <v>12.8</v>
      </c>
      <c r="U5228" s="2169">
        <v>12.8</v>
      </c>
      <c r="V5228" s="2169">
        <v>12.8</v>
      </c>
      <c r="W5228" s="2169">
        <v>12.8</v>
      </c>
      <c r="X5228" s="2169">
        <v>12.8</v>
      </c>
      <c r="Y5228" s="2169">
        <v>12.8</v>
      </c>
      <c r="Z5228" s="2169">
        <v>12.8</v>
      </c>
      <c r="AA5228" s="92">
        <f>SUM(O5228:Z5228)</f>
        <v>153.6</v>
      </c>
    </row>
    <row r="5229" spans="1:27" x14ac:dyDescent="0.2">
      <c r="A5229" s="134"/>
      <c r="B5229" s="2167"/>
      <c r="C5229" s="3680"/>
      <c r="D5229" s="2421"/>
      <c r="E5229" s="3483"/>
      <c r="F5229" s="3483"/>
      <c r="G5229" s="3483"/>
      <c r="H5229" s="2421"/>
      <c r="I5229" s="3483"/>
      <c r="J5229" s="3483"/>
      <c r="K5229" s="3497"/>
      <c r="L5229" s="2421"/>
      <c r="M5229" s="2182" t="s">
        <v>2103</v>
      </c>
      <c r="N5229" s="2174" t="s">
        <v>1262</v>
      </c>
      <c r="O5229" s="2169">
        <v>128.19999999999999</v>
      </c>
      <c r="P5229" s="2169">
        <v>128.19999999999999</v>
      </c>
      <c r="Q5229" s="2169">
        <v>128.19999999999999</v>
      </c>
      <c r="R5229" s="2169">
        <v>128.19999999999999</v>
      </c>
      <c r="S5229" s="2169">
        <v>128.19999999999999</v>
      </c>
      <c r="T5229" s="2169">
        <v>128.19999999999999</v>
      </c>
      <c r="U5229" s="2169">
        <v>128.19999999999999</v>
      </c>
      <c r="V5229" s="2169">
        <v>128.19999999999999</v>
      </c>
      <c r="W5229" s="2169">
        <v>128.19999999999999</v>
      </c>
      <c r="X5229" s="2169">
        <v>128.19999999999999</v>
      </c>
      <c r="Y5229" s="2169">
        <v>128.19999999999999</v>
      </c>
      <c r="Z5229" s="2169">
        <v>128.19999999999999</v>
      </c>
      <c r="AA5229" s="92">
        <f>SUM(O5229:Z5229)</f>
        <v>1538.4000000000003</v>
      </c>
    </row>
    <row r="5230" spans="1:27" x14ac:dyDescent="0.2">
      <c r="A5230" s="134"/>
      <c r="B5230" s="3684"/>
      <c r="C5230" s="3680" t="s">
        <v>2218</v>
      </c>
      <c r="D5230" s="2421"/>
      <c r="E5230" s="3483"/>
      <c r="F5230" s="3483"/>
      <c r="G5230" s="3483"/>
      <c r="H5230" s="2421"/>
      <c r="I5230" s="3483" t="s">
        <v>2219</v>
      </c>
      <c r="J5230" s="3483">
        <v>350</v>
      </c>
      <c r="K5230" s="3497"/>
      <c r="L5230" s="2421" t="s">
        <v>2206</v>
      </c>
      <c r="M5230" s="2627" t="s">
        <v>51</v>
      </c>
      <c r="N5230" s="2627"/>
      <c r="O5230" s="2153">
        <v>29</v>
      </c>
      <c r="P5230" s="2153">
        <v>29</v>
      </c>
      <c r="Q5230" s="2153">
        <v>29</v>
      </c>
      <c r="R5230" s="2153">
        <v>29</v>
      </c>
      <c r="S5230" s="2153">
        <v>29</v>
      </c>
      <c r="T5230" s="2153">
        <v>31</v>
      </c>
      <c r="U5230" s="2153">
        <v>29</v>
      </c>
      <c r="V5230" s="2153">
        <v>29</v>
      </c>
      <c r="W5230" s="2153">
        <v>29</v>
      </c>
      <c r="X5230" s="2153">
        <v>29</v>
      </c>
      <c r="Y5230" s="2153">
        <v>29</v>
      </c>
      <c r="Z5230" s="2153">
        <v>29</v>
      </c>
      <c r="AA5230" s="2180">
        <f>SUM(O5230:Z5230)</f>
        <v>350</v>
      </c>
    </row>
    <row r="5231" spans="1:27" x14ac:dyDescent="0.2">
      <c r="A5231" s="134"/>
      <c r="B5231" s="3684"/>
      <c r="C5231" s="3680"/>
      <c r="D5231" s="2421"/>
      <c r="E5231" s="3483"/>
      <c r="F5231" s="3483"/>
      <c r="G5231" s="3483"/>
      <c r="H5231" s="2421"/>
      <c r="I5231" s="3483"/>
      <c r="J5231" s="3483"/>
      <c r="K5231" s="3497"/>
      <c r="L5231" s="2421"/>
      <c r="M5231" s="2627" t="s">
        <v>111</v>
      </c>
      <c r="N5231" s="2627"/>
      <c r="O5231" s="2169">
        <f>SUM(O5232:O5233)</f>
        <v>141</v>
      </c>
      <c r="P5231" s="2169">
        <f t="shared" ref="P5231:Z5231" si="888">SUM(P5232:P5233)</f>
        <v>141</v>
      </c>
      <c r="Q5231" s="2169">
        <f t="shared" si="888"/>
        <v>141</v>
      </c>
      <c r="R5231" s="2169">
        <f t="shared" si="888"/>
        <v>141</v>
      </c>
      <c r="S5231" s="2169">
        <f t="shared" si="888"/>
        <v>141</v>
      </c>
      <c r="T5231" s="2169">
        <f t="shared" si="888"/>
        <v>141</v>
      </c>
      <c r="U5231" s="2169">
        <f t="shared" si="888"/>
        <v>141</v>
      </c>
      <c r="V5231" s="2169">
        <f t="shared" si="888"/>
        <v>141</v>
      </c>
      <c r="W5231" s="2169">
        <f t="shared" si="888"/>
        <v>141</v>
      </c>
      <c r="X5231" s="2169">
        <f t="shared" si="888"/>
        <v>141</v>
      </c>
      <c r="Y5231" s="2169">
        <f t="shared" si="888"/>
        <v>141</v>
      </c>
      <c r="Z5231" s="2169">
        <f t="shared" si="888"/>
        <v>141</v>
      </c>
      <c r="AA5231" s="2180"/>
    </row>
    <row r="5232" spans="1:27" ht="22.5" x14ac:dyDescent="0.2">
      <c r="A5232" s="134"/>
      <c r="B5232" s="3684"/>
      <c r="C5232" s="3680"/>
      <c r="D5232" s="2421"/>
      <c r="E5232" s="3483"/>
      <c r="F5232" s="3483"/>
      <c r="G5232" s="3483"/>
      <c r="H5232" s="2421"/>
      <c r="I5232" s="3483"/>
      <c r="J5232" s="3483"/>
      <c r="K5232" s="3497"/>
      <c r="L5232" s="2421"/>
      <c r="M5232" s="2182" t="s">
        <v>184</v>
      </c>
      <c r="N5232" s="2260" t="s">
        <v>2178</v>
      </c>
      <c r="O5232" s="2169">
        <v>12.8</v>
      </c>
      <c r="P5232" s="2169">
        <v>12.8</v>
      </c>
      <c r="Q5232" s="2169">
        <v>12.8</v>
      </c>
      <c r="R5232" s="2169">
        <v>12.8</v>
      </c>
      <c r="S5232" s="2169">
        <v>12.8</v>
      </c>
      <c r="T5232" s="2169">
        <v>12.8</v>
      </c>
      <c r="U5232" s="2169">
        <v>12.8</v>
      </c>
      <c r="V5232" s="2169">
        <v>12.8</v>
      </c>
      <c r="W5232" s="2169">
        <v>12.8</v>
      </c>
      <c r="X5232" s="2169">
        <v>12.8</v>
      </c>
      <c r="Y5232" s="2169">
        <v>12.8</v>
      </c>
      <c r="Z5232" s="2169">
        <v>12.8</v>
      </c>
      <c r="AA5232" s="92">
        <f>SUM(O5232:Z5232)</f>
        <v>153.6</v>
      </c>
    </row>
    <row r="5233" spans="1:27" x14ac:dyDescent="0.2">
      <c r="A5233" s="134"/>
      <c r="B5233" s="3684"/>
      <c r="C5233" s="3680"/>
      <c r="D5233" s="2421"/>
      <c r="E5233" s="3483"/>
      <c r="F5233" s="3483"/>
      <c r="G5233" s="3483"/>
      <c r="H5233" s="2421"/>
      <c r="I5233" s="3483"/>
      <c r="J5233" s="3483"/>
      <c r="K5233" s="3497"/>
      <c r="L5233" s="2421"/>
      <c r="M5233" s="2182" t="s">
        <v>2103</v>
      </c>
      <c r="N5233" s="2174" t="s">
        <v>1262</v>
      </c>
      <c r="O5233" s="2169">
        <v>128.19999999999999</v>
      </c>
      <c r="P5233" s="2169">
        <v>128.19999999999999</v>
      </c>
      <c r="Q5233" s="2169">
        <v>128.19999999999999</v>
      </c>
      <c r="R5233" s="2169">
        <v>128.19999999999999</v>
      </c>
      <c r="S5233" s="2169">
        <v>128.19999999999999</v>
      </c>
      <c r="T5233" s="2169">
        <v>128.19999999999999</v>
      </c>
      <c r="U5233" s="2169">
        <v>128.19999999999999</v>
      </c>
      <c r="V5233" s="2169">
        <v>128.19999999999999</v>
      </c>
      <c r="W5233" s="2169">
        <v>128.19999999999999</v>
      </c>
      <c r="X5233" s="2169">
        <v>128.19999999999999</v>
      </c>
      <c r="Y5233" s="2169">
        <v>128.19999999999999</v>
      </c>
      <c r="Z5233" s="2169">
        <v>128.19999999999999</v>
      </c>
      <c r="AA5233" s="92">
        <f>SUM(O5233:Z5233)</f>
        <v>1538.4000000000003</v>
      </c>
    </row>
    <row r="5234" spans="1:27" x14ac:dyDescent="0.2">
      <c r="A5234" s="134"/>
      <c r="B5234" s="3684"/>
      <c r="C5234" s="3680" t="s">
        <v>2220</v>
      </c>
      <c r="D5234" s="2421"/>
      <c r="E5234" s="3483"/>
      <c r="F5234" s="3483"/>
      <c r="G5234" s="3483"/>
      <c r="H5234" s="2421"/>
      <c r="I5234" s="3483" t="s">
        <v>2221</v>
      </c>
      <c r="J5234" s="3483">
        <v>2</v>
      </c>
      <c r="K5234" s="3497"/>
      <c r="L5234" s="2421" t="s">
        <v>2222</v>
      </c>
      <c r="M5234" s="2627" t="s">
        <v>51</v>
      </c>
      <c r="N5234" s="2627"/>
      <c r="O5234" s="2153"/>
      <c r="P5234" s="2153"/>
      <c r="Q5234" s="2153"/>
      <c r="R5234" s="2153"/>
      <c r="S5234" s="2153"/>
      <c r="T5234" s="2153"/>
      <c r="U5234" s="2153">
        <v>1</v>
      </c>
      <c r="V5234" s="2153"/>
      <c r="W5234" s="2153"/>
      <c r="X5234" s="2153"/>
      <c r="Y5234" s="2153">
        <v>1</v>
      </c>
      <c r="Z5234" s="2153"/>
      <c r="AA5234" s="2180">
        <f>SUM(O5234:Z5234)</f>
        <v>2</v>
      </c>
    </row>
    <row r="5235" spans="1:27" x14ac:dyDescent="0.2">
      <c r="A5235" s="134"/>
      <c r="B5235" s="3684"/>
      <c r="C5235" s="3680"/>
      <c r="D5235" s="2421"/>
      <c r="E5235" s="3483"/>
      <c r="F5235" s="3483"/>
      <c r="G5235" s="3483"/>
      <c r="H5235" s="2421"/>
      <c r="I5235" s="3483"/>
      <c r="J5235" s="3483"/>
      <c r="K5235" s="3497"/>
      <c r="L5235" s="2421"/>
      <c r="M5235" s="2627" t="s">
        <v>111</v>
      </c>
      <c r="N5235" s="2627"/>
      <c r="O5235" s="2169">
        <f>SUM(O5236:O5237)</f>
        <v>141</v>
      </c>
      <c r="P5235" s="2169">
        <f t="shared" ref="P5235:Z5235" si="889">SUM(P5236:P5237)</f>
        <v>141</v>
      </c>
      <c r="Q5235" s="2169">
        <f t="shared" si="889"/>
        <v>141</v>
      </c>
      <c r="R5235" s="2169">
        <f t="shared" si="889"/>
        <v>141</v>
      </c>
      <c r="S5235" s="2169">
        <f t="shared" si="889"/>
        <v>141</v>
      </c>
      <c r="T5235" s="2169">
        <f t="shared" si="889"/>
        <v>141</v>
      </c>
      <c r="U5235" s="2169">
        <f t="shared" si="889"/>
        <v>141</v>
      </c>
      <c r="V5235" s="2169">
        <f t="shared" si="889"/>
        <v>141</v>
      </c>
      <c r="W5235" s="2169">
        <f t="shared" si="889"/>
        <v>141</v>
      </c>
      <c r="X5235" s="2169">
        <f t="shared" si="889"/>
        <v>141</v>
      </c>
      <c r="Y5235" s="2169">
        <f t="shared" si="889"/>
        <v>141</v>
      </c>
      <c r="Z5235" s="2169">
        <f t="shared" si="889"/>
        <v>141</v>
      </c>
      <c r="AA5235" s="2180"/>
    </row>
    <row r="5236" spans="1:27" ht="22.5" x14ac:dyDescent="0.2">
      <c r="A5236" s="134"/>
      <c r="B5236" s="3684"/>
      <c r="C5236" s="3680"/>
      <c r="D5236" s="2421"/>
      <c r="E5236" s="3483"/>
      <c r="F5236" s="3483"/>
      <c r="G5236" s="3483"/>
      <c r="H5236" s="2421"/>
      <c r="I5236" s="3483"/>
      <c r="J5236" s="3483"/>
      <c r="K5236" s="3497"/>
      <c r="L5236" s="2421"/>
      <c r="M5236" s="2182" t="s">
        <v>184</v>
      </c>
      <c r="N5236" s="2260" t="s">
        <v>2178</v>
      </c>
      <c r="O5236" s="2169">
        <v>12.8</v>
      </c>
      <c r="P5236" s="2169">
        <v>12.8</v>
      </c>
      <c r="Q5236" s="2169">
        <v>12.8</v>
      </c>
      <c r="R5236" s="2169">
        <v>12.8</v>
      </c>
      <c r="S5236" s="2169">
        <v>12.8</v>
      </c>
      <c r="T5236" s="2169">
        <v>12.8</v>
      </c>
      <c r="U5236" s="2169">
        <v>12.8</v>
      </c>
      <c r="V5236" s="2169">
        <v>12.8</v>
      </c>
      <c r="W5236" s="2169">
        <v>12.8</v>
      </c>
      <c r="X5236" s="2169">
        <v>12.8</v>
      </c>
      <c r="Y5236" s="2169">
        <v>12.8</v>
      </c>
      <c r="Z5236" s="2169">
        <v>12.8</v>
      </c>
      <c r="AA5236" s="92">
        <f>SUM(O5236:Z5236)</f>
        <v>153.6</v>
      </c>
    </row>
    <row r="5237" spans="1:27" x14ac:dyDescent="0.2">
      <c r="A5237" s="134"/>
      <c r="B5237" s="3684"/>
      <c r="C5237" s="3680"/>
      <c r="D5237" s="2421"/>
      <c r="E5237" s="3483"/>
      <c r="F5237" s="3483"/>
      <c r="G5237" s="3483"/>
      <c r="H5237" s="2421"/>
      <c r="I5237" s="3483"/>
      <c r="J5237" s="3483"/>
      <c r="K5237" s="3497"/>
      <c r="L5237" s="2421"/>
      <c r="M5237" s="2182" t="s">
        <v>2103</v>
      </c>
      <c r="N5237" s="2174" t="s">
        <v>1262</v>
      </c>
      <c r="O5237" s="2169">
        <v>128.19999999999999</v>
      </c>
      <c r="P5237" s="2169">
        <v>128.19999999999999</v>
      </c>
      <c r="Q5237" s="2169">
        <v>128.19999999999999</v>
      </c>
      <c r="R5237" s="2169">
        <v>128.19999999999999</v>
      </c>
      <c r="S5237" s="2169">
        <v>128.19999999999999</v>
      </c>
      <c r="T5237" s="2169">
        <v>128.19999999999999</v>
      </c>
      <c r="U5237" s="2169">
        <v>128.19999999999999</v>
      </c>
      <c r="V5237" s="2169">
        <v>128.19999999999999</v>
      </c>
      <c r="W5237" s="2169">
        <v>128.19999999999999</v>
      </c>
      <c r="X5237" s="2169">
        <v>128.19999999999999</v>
      </c>
      <c r="Y5237" s="2169">
        <v>128.19999999999999</v>
      </c>
      <c r="Z5237" s="2169">
        <v>128.19999999999999</v>
      </c>
      <c r="AA5237" s="92">
        <f>SUM(O5237:Z5237)</f>
        <v>1538.4000000000003</v>
      </c>
    </row>
    <row r="5238" spans="1:27" x14ac:dyDescent="0.2">
      <c r="A5238" s="134"/>
      <c r="B5238" s="3684"/>
      <c r="C5238" s="3680" t="s">
        <v>2223</v>
      </c>
      <c r="D5238" s="2421"/>
      <c r="E5238" s="3483"/>
      <c r="F5238" s="3483"/>
      <c r="G5238" s="3483"/>
      <c r="H5238" s="2421"/>
      <c r="I5238" s="3483" t="s">
        <v>2216</v>
      </c>
      <c r="J5238" s="3483">
        <v>2</v>
      </c>
      <c r="K5238" s="3497"/>
      <c r="L5238" s="2421" t="s">
        <v>2186</v>
      </c>
      <c r="M5238" s="2627" t="s">
        <v>51</v>
      </c>
      <c r="N5238" s="2627"/>
      <c r="O5238" s="2153"/>
      <c r="P5238" s="2153"/>
      <c r="Q5238" s="2153"/>
      <c r="R5238" s="2153"/>
      <c r="S5238" s="2153"/>
      <c r="T5238" s="2153"/>
      <c r="U5238" s="2153">
        <v>1</v>
      </c>
      <c r="V5238" s="2153"/>
      <c r="W5238" s="2153"/>
      <c r="X5238" s="2153"/>
      <c r="Y5238" s="2153">
        <v>1</v>
      </c>
      <c r="Z5238" s="2153"/>
      <c r="AA5238" s="2180">
        <f>SUM(O5238:Z5238)</f>
        <v>2</v>
      </c>
    </row>
    <row r="5239" spans="1:27" x14ac:dyDescent="0.2">
      <c r="A5239" s="134"/>
      <c r="B5239" s="3684"/>
      <c r="C5239" s="3680"/>
      <c r="D5239" s="2421"/>
      <c r="E5239" s="3483"/>
      <c r="F5239" s="3483"/>
      <c r="G5239" s="3483"/>
      <c r="H5239" s="2421"/>
      <c r="I5239" s="3483"/>
      <c r="J5239" s="3483"/>
      <c r="K5239" s="3497"/>
      <c r="L5239" s="2421"/>
      <c r="M5239" s="2627" t="s">
        <v>111</v>
      </c>
      <c r="N5239" s="2627"/>
      <c r="O5239" s="2169">
        <f>SUM(O5240:O5241)</f>
        <v>141</v>
      </c>
      <c r="P5239" s="2169">
        <f t="shared" ref="P5239:Z5239" si="890">SUM(P5240:P5241)</f>
        <v>141</v>
      </c>
      <c r="Q5239" s="2169">
        <f t="shared" si="890"/>
        <v>141</v>
      </c>
      <c r="R5239" s="2169">
        <f t="shared" si="890"/>
        <v>141</v>
      </c>
      <c r="S5239" s="2169">
        <f t="shared" si="890"/>
        <v>141</v>
      </c>
      <c r="T5239" s="2169">
        <f t="shared" si="890"/>
        <v>141</v>
      </c>
      <c r="U5239" s="2169">
        <f t="shared" si="890"/>
        <v>141</v>
      </c>
      <c r="V5239" s="2169">
        <f t="shared" si="890"/>
        <v>141</v>
      </c>
      <c r="W5239" s="2169">
        <f t="shared" si="890"/>
        <v>141</v>
      </c>
      <c r="X5239" s="2169">
        <f t="shared" si="890"/>
        <v>141</v>
      </c>
      <c r="Y5239" s="2169">
        <f t="shared" si="890"/>
        <v>141</v>
      </c>
      <c r="Z5239" s="2169">
        <f t="shared" si="890"/>
        <v>141</v>
      </c>
      <c r="AA5239" s="2180"/>
    </row>
    <row r="5240" spans="1:27" ht="22.5" x14ac:dyDescent="0.2">
      <c r="A5240" s="134"/>
      <c r="B5240" s="3684"/>
      <c r="C5240" s="3680"/>
      <c r="D5240" s="2421"/>
      <c r="E5240" s="3483"/>
      <c r="F5240" s="3483"/>
      <c r="G5240" s="3483"/>
      <c r="H5240" s="2421"/>
      <c r="I5240" s="3483"/>
      <c r="J5240" s="3483"/>
      <c r="K5240" s="3497"/>
      <c r="L5240" s="2421"/>
      <c r="M5240" s="2182" t="s">
        <v>184</v>
      </c>
      <c r="N5240" s="2260" t="s">
        <v>2178</v>
      </c>
      <c r="O5240" s="2169">
        <v>12.8</v>
      </c>
      <c r="P5240" s="2169">
        <v>12.8</v>
      </c>
      <c r="Q5240" s="2169">
        <v>12.8</v>
      </c>
      <c r="R5240" s="2169">
        <v>12.8</v>
      </c>
      <c r="S5240" s="2169">
        <v>12.8</v>
      </c>
      <c r="T5240" s="2169">
        <v>12.8</v>
      </c>
      <c r="U5240" s="2169">
        <v>12.8</v>
      </c>
      <c r="V5240" s="2169">
        <v>12.8</v>
      </c>
      <c r="W5240" s="2169">
        <v>12.8</v>
      </c>
      <c r="X5240" s="2169">
        <v>12.8</v>
      </c>
      <c r="Y5240" s="2169">
        <v>12.8</v>
      </c>
      <c r="Z5240" s="2169">
        <v>12.8</v>
      </c>
      <c r="AA5240" s="92">
        <f>SUM(O5240:Z5240)</f>
        <v>153.6</v>
      </c>
    </row>
    <row r="5241" spans="1:27" x14ac:dyDescent="0.2">
      <c r="A5241" s="134"/>
      <c r="B5241" s="3684"/>
      <c r="C5241" s="3680"/>
      <c r="D5241" s="2421"/>
      <c r="E5241" s="3483"/>
      <c r="F5241" s="3483"/>
      <c r="G5241" s="3483"/>
      <c r="H5241" s="2421"/>
      <c r="I5241" s="3483"/>
      <c r="J5241" s="3483"/>
      <c r="K5241" s="3497"/>
      <c r="L5241" s="2421"/>
      <c r="M5241" s="2182" t="s">
        <v>2103</v>
      </c>
      <c r="N5241" s="2174" t="s">
        <v>1262</v>
      </c>
      <c r="O5241" s="2169">
        <v>128.19999999999999</v>
      </c>
      <c r="P5241" s="2169">
        <v>128.19999999999999</v>
      </c>
      <c r="Q5241" s="2169">
        <v>128.19999999999999</v>
      </c>
      <c r="R5241" s="2169">
        <v>128.19999999999999</v>
      </c>
      <c r="S5241" s="2169">
        <v>128.19999999999999</v>
      </c>
      <c r="T5241" s="2169">
        <v>128.19999999999999</v>
      </c>
      <c r="U5241" s="2169">
        <v>128.19999999999999</v>
      </c>
      <c r="V5241" s="2169">
        <v>128.19999999999999</v>
      </c>
      <c r="W5241" s="2169">
        <v>128.19999999999999</v>
      </c>
      <c r="X5241" s="2169">
        <v>128.19999999999999</v>
      </c>
      <c r="Y5241" s="2169">
        <v>128.19999999999999</v>
      </c>
      <c r="Z5241" s="2169">
        <v>128.19999999999999</v>
      </c>
      <c r="AA5241" s="92">
        <f>SUM(O5241:Z5241)</f>
        <v>1538.4000000000003</v>
      </c>
    </row>
    <row r="5242" spans="1:27" x14ac:dyDescent="0.2">
      <c r="A5242" s="134"/>
      <c r="B5242" s="3684"/>
      <c r="C5242" s="3680" t="s">
        <v>2224</v>
      </c>
      <c r="D5242" s="2421"/>
      <c r="E5242" s="3483"/>
      <c r="F5242" s="3483"/>
      <c r="G5242" s="3483"/>
      <c r="H5242" s="2421"/>
      <c r="I5242" s="3483" t="s">
        <v>2225</v>
      </c>
      <c r="J5242" s="3483">
        <v>7</v>
      </c>
      <c r="K5242" s="3497"/>
      <c r="L5242" s="2421"/>
      <c r="M5242" s="2627" t="s">
        <v>51</v>
      </c>
      <c r="N5242" s="2627"/>
      <c r="O5242" s="2153"/>
      <c r="P5242" s="2153">
        <v>1</v>
      </c>
      <c r="Q5242" s="2153">
        <v>1</v>
      </c>
      <c r="R5242" s="2153"/>
      <c r="S5242" s="2153">
        <v>1</v>
      </c>
      <c r="T5242" s="2153"/>
      <c r="U5242" s="2153">
        <v>1</v>
      </c>
      <c r="V5242" s="2153"/>
      <c r="W5242" s="2153">
        <v>1</v>
      </c>
      <c r="X5242" s="2153">
        <v>1</v>
      </c>
      <c r="Y5242" s="2153"/>
      <c r="Z5242" s="2153">
        <v>1</v>
      </c>
      <c r="AA5242" s="2180">
        <f>SUM(O5242:Z5242)</f>
        <v>7</v>
      </c>
    </row>
    <row r="5243" spans="1:27" x14ac:dyDescent="0.2">
      <c r="A5243" s="134"/>
      <c r="B5243" s="3684"/>
      <c r="C5243" s="3680"/>
      <c r="D5243" s="2421"/>
      <c r="E5243" s="3483"/>
      <c r="F5243" s="3483"/>
      <c r="G5243" s="3483"/>
      <c r="H5243" s="2421"/>
      <c r="I5243" s="3483"/>
      <c r="J5243" s="3483"/>
      <c r="K5243" s="3497"/>
      <c r="L5243" s="2421"/>
      <c r="M5243" s="2627" t="s">
        <v>111</v>
      </c>
      <c r="N5243" s="2627"/>
      <c r="O5243" s="2169">
        <f>SUM(O5244:O5245)</f>
        <v>141</v>
      </c>
      <c r="P5243" s="2169">
        <f t="shared" ref="P5243:Z5243" si="891">SUM(P5244:P5245)</f>
        <v>141</v>
      </c>
      <c r="Q5243" s="2169">
        <f t="shared" si="891"/>
        <v>141</v>
      </c>
      <c r="R5243" s="2169">
        <f t="shared" si="891"/>
        <v>141</v>
      </c>
      <c r="S5243" s="2169">
        <f t="shared" si="891"/>
        <v>141</v>
      </c>
      <c r="T5243" s="2169">
        <f t="shared" si="891"/>
        <v>141</v>
      </c>
      <c r="U5243" s="2169">
        <f t="shared" si="891"/>
        <v>141</v>
      </c>
      <c r="V5243" s="2169">
        <f t="shared" si="891"/>
        <v>141</v>
      </c>
      <c r="W5243" s="2169">
        <f t="shared" si="891"/>
        <v>141</v>
      </c>
      <c r="X5243" s="2169">
        <f t="shared" si="891"/>
        <v>141</v>
      </c>
      <c r="Y5243" s="2169">
        <f t="shared" si="891"/>
        <v>141</v>
      </c>
      <c r="Z5243" s="2169">
        <f t="shared" si="891"/>
        <v>141</v>
      </c>
      <c r="AA5243" s="2180"/>
    </row>
    <row r="5244" spans="1:27" ht="22.5" x14ac:dyDescent="0.2">
      <c r="A5244" s="134"/>
      <c r="B5244" s="3684"/>
      <c r="C5244" s="3680"/>
      <c r="D5244" s="2421"/>
      <c r="E5244" s="3483"/>
      <c r="F5244" s="3483"/>
      <c r="G5244" s="3483"/>
      <c r="H5244" s="2421"/>
      <c r="I5244" s="3483"/>
      <c r="J5244" s="3483"/>
      <c r="K5244" s="3497"/>
      <c r="L5244" s="2421"/>
      <c r="M5244" s="2182" t="s">
        <v>184</v>
      </c>
      <c r="N5244" s="2260" t="s">
        <v>2178</v>
      </c>
      <c r="O5244" s="2169">
        <v>12.8</v>
      </c>
      <c r="P5244" s="2169">
        <v>12.8</v>
      </c>
      <c r="Q5244" s="2169">
        <v>12.8</v>
      </c>
      <c r="R5244" s="2169">
        <v>12.8</v>
      </c>
      <c r="S5244" s="2169">
        <v>12.8</v>
      </c>
      <c r="T5244" s="2169">
        <v>12.8</v>
      </c>
      <c r="U5244" s="2169">
        <v>12.8</v>
      </c>
      <c r="V5244" s="2169">
        <v>12.8</v>
      </c>
      <c r="W5244" s="2169">
        <v>12.8</v>
      </c>
      <c r="X5244" s="2169">
        <v>12.8</v>
      </c>
      <c r="Y5244" s="2169">
        <v>12.8</v>
      </c>
      <c r="Z5244" s="2169">
        <v>12.8</v>
      </c>
      <c r="AA5244" s="92">
        <f>SUM(O5244:Z5244)</f>
        <v>153.6</v>
      </c>
    </row>
    <row r="5245" spans="1:27" ht="50.25" customHeight="1" x14ac:dyDescent="0.2">
      <c r="A5245" s="134"/>
      <c r="B5245" s="3684"/>
      <c r="C5245" s="3680"/>
      <c r="D5245" s="2421"/>
      <c r="E5245" s="3483"/>
      <c r="F5245" s="3483"/>
      <c r="G5245" s="3483"/>
      <c r="H5245" s="2421"/>
      <c r="I5245" s="3483"/>
      <c r="J5245" s="3483"/>
      <c r="K5245" s="3497"/>
      <c r="L5245" s="2421"/>
      <c r="M5245" s="2182" t="s">
        <v>2103</v>
      </c>
      <c r="N5245" s="2174" t="s">
        <v>1262</v>
      </c>
      <c r="O5245" s="2169">
        <v>128.19999999999999</v>
      </c>
      <c r="P5245" s="2169">
        <v>128.19999999999999</v>
      </c>
      <c r="Q5245" s="2169">
        <v>128.19999999999999</v>
      </c>
      <c r="R5245" s="2169">
        <v>128.19999999999999</v>
      </c>
      <c r="S5245" s="2169">
        <v>128.19999999999999</v>
      </c>
      <c r="T5245" s="2169">
        <v>128.19999999999999</v>
      </c>
      <c r="U5245" s="2169">
        <v>128.19999999999999</v>
      </c>
      <c r="V5245" s="2169">
        <v>128.19999999999999</v>
      </c>
      <c r="W5245" s="2169">
        <v>128.19999999999999</v>
      </c>
      <c r="X5245" s="2169">
        <v>128.19999999999999</v>
      </c>
      <c r="Y5245" s="2169">
        <v>128.19999999999999</v>
      </c>
      <c r="Z5245" s="2169">
        <v>128.19999999999999</v>
      </c>
      <c r="AA5245" s="92">
        <f>SUM(O5245:Z5245)</f>
        <v>1538.4000000000003</v>
      </c>
    </row>
    <row r="5246" spans="1:27" x14ac:dyDescent="0.2">
      <c r="A5246" s="134"/>
      <c r="B5246" s="3684"/>
      <c r="C5246" s="3680" t="s">
        <v>2226</v>
      </c>
      <c r="D5246" s="2421"/>
      <c r="E5246" s="3483"/>
      <c r="F5246" s="3483"/>
      <c r="G5246" s="3483"/>
      <c r="H5246" s="2421"/>
      <c r="I5246" s="3483" t="s">
        <v>2225</v>
      </c>
      <c r="J5246" s="3483">
        <v>10</v>
      </c>
      <c r="K5246" s="3497"/>
      <c r="L5246" s="2421"/>
      <c r="M5246" s="2627" t="s">
        <v>51</v>
      </c>
      <c r="N5246" s="2627"/>
      <c r="O5246" s="2153"/>
      <c r="P5246" s="2153">
        <v>1</v>
      </c>
      <c r="Q5246" s="2153">
        <v>1</v>
      </c>
      <c r="R5246" s="2153">
        <v>1</v>
      </c>
      <c r="S5246" s="2153">
        <v>1</v>
      </c>
      <c r="T5246" s="2153">
        <v>1</v>
      </c>
      <c r="U5246" s="2153">
        <v>1</v>
      </c>
      <c r="V5246" s="2153">
        <v>1</v>
      </c>
      <c r="W5246" s="2153">
        <v>1</v>
      </c>
      <c r="X5246" s="2153">
        <v>1</v>
      </c>
      <c r="Y5246" s="2153">
        <v>1</v>
      </c>
      <c r="Z5246" s="2153"/>
      <c r="AA5246" s="2180">
        <f>SUM(O5246:Z5246)</f>
        <v>10</v>
      </c>
    </row>
    <row r="5247" spans="1:27" x14ac:dyDescent="0.2">
      <c r="A5247" s="134"/>
      <c r="B5247" s="3684"/>
      <c r="C5247" s="3680"/>
      <c r="D5247" s="2421"/>
      <c r="E5247" s="3483"/>
      <c r="F5247" s="3483"/>
      <c r="G5247" s="3483"/>
      <c r="H5247" s="2421"/>
      <c r="I5247" s="3483"/>
      <c r="J5247" s="3483"/>
      <c r="K5247" s="3497"/>
      <c r="L5247" s="2421"/>
      <c r="M5247" s="2627" t="s">
        <v>111</v>
      </c>
      <c r="N5247" s="2627"/>
      <c r="O5247" s="2169">
        <f>SUM(O5248:O5249)</f>
        <v>141</v>
      </c>
      <c r="P5247" s="2169">
        <f t="shared" ref="P5247:Z5247" si="892">SUM(P5248:P5249)</f>
        <v>141</v>
      </c>
      <c r="Q5247" s="2169">
        <f t="shared" si="892"/>
        <v>141</v>
      </c>
      <c r="R5247" s="2169">
        <f t="shared" si="892"/>
        <v>141</v>
      </c>
      <c r="S5247" s="2169">
        <f t="shared" si="892"/>
        <v>141</v>
      </c>
      <c r="T5247" s="2169">
        <f t="shared" si="892"/>
        <v>141</v>
      </c>
      <c r="U5247" s="2169">
        <f t="shared" si="892"/>
        <v>141</v>
      </c>
      <c r="V5247" s="2169">
        <f t="shared" si="892"/>
        <v>141</v>
      </c>
      <c r="W5247" s="2169">
        <f t="shared" si="892"/>
        <v>141</v>
      </c>
      <c r="X5247" s="2169">
        <f t="shared" si="892"/>
        <v>141</v>
      </c>
      <c r="Y5247" s="2169">
        <f t="shared" si="892"/>
        <v>141</v>
      </c>
      <c r="Z5247" s="2169">
        <f t="shared" si="892"/>
        <v>141</v>
      </c>
      <c r="AA5247" s="2180"/>
    </row>
    <row r="5248" spans="1:27" ht="22.5" x14ac:dyDescent="0.2">
      <c r="A5248" s="134"/>
      <c r="B5248" s="3684"/>
      <c r="C5248" s="3680"/>
      <c r="D5248" s="2421"/>
      <c r="E5248" s="3483"/>
      <c r="F5248" s="3483"/>
      <c r="G5248" s="3483"/>
      <c r="H5248" s="2421"/>
      <c r="I5248" s="3483"/>
      <c r="J5248" s="3483"/>
      <c r="K5248" s="3497"/>
      <c r="L5248" s="2421"/>
      <c r="M5248" s="2182" t="s">
        <v>184</v>
      </c>
      <c r="N5248" s="2260" t="s">
        <v>2178</v>
      </c>
      <c r="O5248" s="2169">
        <v>12.8</v>
      </c>
      <c r="P5248" s="2169">
        <v>12.8</v>
      </c>
      <c r="Q5248" s="2169">
        <v>12.8</v>
      </c>
      <c r="R5248" s="2169">
        <v>12.8</v>
      </c>
      <c r="S5248" s="2169">
        <v>12.8</v>
      </c>
      <c r="T5248" s="2169">
        <v>12.8</v>
      </c>
      <c r="U5248" s="2169">
        <v>12.8</v>
      </c>
      <c r="V5248" s="2169">
        <v>12.8</v>
      </c>
      <c r="W5248" s="2169">
        <v>12.8</v>
      </c>
      <c r="X5248" s="2169">
        <v>12.8</v>
      </c>
      <c r="Y5248" s="2169">
        <v>12.8</v>
      </c>
      <c r="Z5248" s="2169">
        <v>12.8</v>
      </c>
      <c r="AA5248" s="92">
        <f>SUM(O5248:Z5248)</f>
        <v>153.6</v>
      </c>
    </row>
    <row r="5249" spans="1:27" x14ac:dyDescent="0.2">
      <c r="A5249" s="134"/>
      <c r="B5249" s="3684"/>
      <c r="C5249" s="3680"/>
      <c r="D5249" s="2421"/>
      <c r="E5249" s="3483"/>
      <c r="F5249" s="3483"/>
      <c r="G5249" s="3483"/>
      <c r="H5249" s="2421"/>
      <c r="I5249" s="3483"/>
      <c r="J5249" s="3483"/>
      <c r="K5249" s="3497"/>
      <c r="L5249" s="2421"/>
      <c r="M5249" s="2192" t="s">
        <v>2103</v>
      </c>
      <c r="N5249" s="2193" t="s">
        <v>1262</v>
      </c>
      <c r="O5249" s="2169">
        <v>128.19999999999999</v>
      </c>
      <c r="P5249" s="2169">
        <v>128.19999999999999</v>
      </c>
      <c r="Q5249" s="2169">
        <v>128.19999999999999</v>
      </c>
      <c r="R5249" s="2169">
        <v>128.19999999999999</v>
      </c>
      <c r="S5249" s="2169">
        <v>128.19999999999999</v>
      </c>
      <c r="T5249" s="2169">
        <v>128.19999999999999</v>
      </c>
      <c r="U5249" s="2169">
        <v>128.19999999999999</v>
      </c>
      <c r="V5249" s="2169">
        <v>128.19999999999999</v>
      </c>
      <c r="W5249" s="2169">
        <v>128.19999999999999</v>
      </c>
      <c r="X5249" s="2169">
        <v>128.19999999999999</v>
      </c>
      <c r="Y5249" s="2169">
        <v>128.19999999999999</v>
      </c>
      <c r="Z5249" s="2169">
        <v>128.19999999999999</v>
      </c>
      <c r="AA5249" s="92">
        <f>SUM(O5249:Z5249)</f>
        <v>1538.4000000000003</v>
      </c>
    </row>
    <row r="5250" spans="1:27" x14ac:dyDescent="0.2">
      <c r="A5250" s="134"/>
      <c r="B5250" s="3684"/>
      <c r="C5250" s="3680" t="s">
        <v>2227</v>
      </c>
      <c r="D5250" s="2421"/>
      <c r="E5250" s="3483"/>
      <c r="F5250" s="3483"/>
      <c r="G5250" s="3483"/>
      <c r="H5250" s="2421"/>
      <c r="I5250" s="3483" t="s">
        <v>2228</v>
      </c>
      <c r="J5250" s="3483">
        <v>2</v>
      </c>
      <c r="K5250" s="3497"/>
      <c r="L5250" s="2421"/>
      <c r="M5250" s="2627" t="s">
        <v>51</v>
      </c>
      <c r="N5250" s="2627"/>
      <c r="O5250" s="2153"/>
      <c r="P5250" s="2153"/>
      <c r="Q5250" s="2153"/>
      <c r="R5250" s="2153"/>
      <c r="S5250" s="2153">
        <v>1</v>
      </c>
      <c r="T5250" s="2153"/>
      <c r="U5250" s="2153"/>
      <c r="V5250" s="2153"/>
      <c r="W5250" s="2153"/>
      <c r="X5250" s="2153">
        <v>1</v>
      </c>
      <c r="Y5250" s="2153"/>
      <c r="Z5250" s="2153"/>
      <c r="AA5250" s="2180">
        <f>SUM(O5250:Z5250)</f>
        <v>2</v>
      </c>
    </row>
    <row r="5251" spans="1:27" x14ac:dyDescent="0.2">
      <c r="A5251" s="134"/>
      <c r="B5251" s="3684"/>
      <c r="C5251" s="3680"/>
      <c r="D5251" s="2421"/>
      <c r="E5251" s="3483"/>
      <c r="F5251" s="3483"/>
      <c r="G5251" s="3483"/>
      <c r="H5251" s="2421"/>
      <c r="I5251" s="3483"/>
      <c r="J5251" s="3483"/>
      <c r="K5251" s="3497"/>
      <c r="L5251" s="2421"/>
      <c r="M5251" s="2627" t="s">
        <v>111</v>
      </c>
      <c r="N5251" s="2627"/>
      <c r="O5251" s="2169">
        <f>SUM(O5252:O5253)</f>
        <v>141</v>
      </c>
      <c r="P5251" s="2169">
        <f t="shared" ref="P5251:Z5251" si="893">SUM(P5252:P5253)</f>
        <v>141</v>
      </c>
      <c r="Q5251" s="2169">
        <f t="shared" si="893"/>
        <v>141</v>
      </c>
      <c r="R5251" s="2169">
        <f t="shared" si="893"/>
        <v>141</v>
      </c>
      <c r="S5251" s="2169">
        <f t="shared" si="893"/>
        <v>141</v>
      </c>
      <c r="T5251" s="2169">
        <f t="shared" si="893"/>
        <v>141</v>
      </c>
      <c r="U5251" s="2169">
        <f t="shared" si="893"/>
        <v>141</v>
      </c>
      <c r="V5251" s="2169">
        <f t="shared" si="893"/>
        <v>141</v>
      </c>
      <c r="W5251" s="2169">
        <f t="shared" si="893"/>
        <v>141</v>
      </c>
      <c r="X5251" s="2169">
        <f t="shared" si="893"/>
        <v>141</v>
      </c>
      <c r="Y5251" s="2169">
        <f t="shared" si="893"/>
        <v>141</v>
      </c>
      <c r="Z5251" s="2169">
        <f t="shared" si="893"/>
        <v>141</v>
      </c>
      <c r="AA5251" s="2180"/>
    </row>
    <row r="5252" spans="1:27" ht="22.5" x14ac:dyDescent="0.2">
      <c r="A5252" s="134"/>
      <c r="B5252" s="3684"/>
      <c r="C5252" s="3680"/>
      <c r="D5252" s="2421"/>
      <c r="E5252" s="3483"/>
      <c r="F5252" s="3483"/>
      <c r="G5252" s="3483"/>
      <c r="H5252" s="2421"/>
      <c r="I5252" s="3483"/>
      <c r="J5252" s="3483"/>
      <c r="K5252" s="3497"/>
      <c r="L5252" s="2421"/>
      <c r="M5252" s="2182" t="s">
        <v>184</v>
      </c>
      <c r="N5252" s="2260" t="s">
        <v>2178</v>
      </c>
      <c r="O5252" s="2169">
        <v>12.8</v>
      </c>
      <c r="P5252" s="2169">
        <v>12.8</v>
      </c>
      <c r="Q5252" s="2169">
        <v>12.8</v>
      </c>
      <c r="R5252" s="2169">
        <v>12.8</v>
      </c>
      <c r="S5252" s="2169">
        <v>12.8</v>
      </c>
      <c r="T5252" s="2169">
        <v>12.8</v>
      </c>
      <c r="U5252" s="2169">
        <v>12.8</v>
      </c>
      <c r="V5252" s="2169">
        <v>12.8</v>
      </c>
      <c r="W5252" s="2169">
        <v>12.8</v>
      </c>
      <c r="X5252" s="2169">
        <v>12.8</v>
      </c>
      <c r="Y5252" s="2169">
        <v>12.8</v>
      </c>
      <c r="Z5252" s="2169">
        <v>12.8</v>
      </c>
      <c r="AA5252" s="92">
        <f>SUM(O5252:Z5252)</f>
        <v>153.6</v>
      </c>
    </row>
    <row r="5253" spans="1:27" x14ac:dyDescent="0.2">
      <c r="A5253" s="134"/>
      <c r="B5253" s="3684"/>
      <c r="C5253" s="3680"/>
      <c r="D5253" s="2421"/>
      <c r="E5253" s="3483"/>
      <c r="F5253" s="3483"/>
      <c r="G5253" s="3483"/>
      <c r="H5253" s="2421"/>
      <c r="I5253" s="3483"/>
      <c r="J5253" s="3483"/>
      <c r="K5253" s="3497"/>
      <c r="L5253" s="2421"/>
      <c r="M5253" s="2182" t="s">
        <v>2103</v>
      </c>
      <c r="N5253" s="2174" t="s">
        <v>1262</v>
      </c>
      <c r="O5253" s="2169">
        <v>128.19999999999999</v>
      </c>
      <c r="P5253" s="2169">
        <v>128.19999999999999</v>
      </c>
      <c r="Q5253" s="2169">
        <v>128.19999999999999</v>
      </c>
      <c r="R5253" s="2169">
        <v>128.19999999999999</v>
      </c>
      <c r="S5253" s="2169">
        <v>128.19999999999999</v>
      </c>
      <c r="T5253" s="2169">
        <v>128.19999999999999</v>
      </c>
      <c r="U5253" s="2169">
        <v>128.19999999999999</v>
      </c>
      <c r="V5253" s="2169">
        <v>128.19999999999999</v>
      </c>
      <c r="W5253" s="2169">
        <v>128.19999999999999</v>
      </c>
      <c r="X5253" s="2169">
        <v>128.19999999999999</v>
      </c>
      <c r="Y5253" s="2169">
        <v>128.19999999999999</v>
      </c>
      <c r="Z5253" s="2169">
        <v>128.19999999999999</v>
      </c>
      <c r="AA5253" s="92">
        <f>SUM(O5253:Z5253)</f>
        <v>1538.4000000000003</v>
      </c>
    </row>
    <row r="5254" spans="1:27" x14ac:dyDescent="0.2">
      <c r="A5254" s="134"/>
      <c r="B5254" s="3684"/>
      <c r="C5254" s="3680" t="s">
        <v>2229</v>
      </c>
      <c r="D5254" s="2421"/>
      <c r="E5254" s="3483"/>
      <c r="F5254" s="3483"/>
      <c r="G5254" s="3483"/>
      <c r="H5254" s="2421"/>
      <c r="I5254" s="3483"/>
      <c r="J5254" s="3483" t="s">
        <v>2230</v>
      </c>
      <c r="K5254" s="3497">
        <v>2</v>
      </c>
      <c r="L5254" s="2421"/>
      <c r="M5254" s="2627" t="s">
        <v>51</v>
      </c>
      <c r="N5254" s="2627"/>
      <c r="O5254" s="2153"/>
      <c r="P5254" s="2153"/>
      <c r="Q5254" s="2153"/>
      <c r="R5254" s="2153"/>
      <c r="S5254" s="2153">
        <v>1</v>
      </c>
      <c r="T5254" s="2153"/>
      <c r="U5254" s="2153"/>
      <c r="V5254" s="2153"/>
      <c r="W5254" s="2153"/>
      <c r="X5254" s="2153">
        <v>1</v>
      </c>
      <c r="Y5254" s="2153"/>
      <c r="Z5254" s="2153"/>
      <c r="AA5254" s="2180">
        <f>SUM(O5254:Z5254)</f>
        <v>2</v>
      </c>
    </row>
    <row r="5255" spans="1:27" x14ac:dyDescent="0.2">
      <c r="A5255" s="134"/>
      <c r="B5255" s="3684"/>
      <c r="C5255" s="3680"/>
      <c r="D5255" s="2421"/>
      <c r="E5255" s="3483"/>
      <c r="F5255" s="3483"/>
      <c r="G5255" s="3483"/>
      <c r="H5255" s="2421"/>
      <c r="I5255" s="3483"/>
      <c r="J5255" s="3483"/>
      <c r="K5255" s="3497"/>
      <c r="L5255" s="2421"/>
      <c r="M5255" s="2627" t="s">
        <v>111</v>
      </c>
      <c r="N5255" s="2627"/>
      <c r="O5255" s="2169">
        <f>SUM(O5256:O5257)</f>
        <v>141</v>
      </c>
      <c r="P5255" s="2169">
        <f t="shared" ref="P5255:Z5255" si="894">SUM(P5256:P5257)</f>
        <v>141</v>
      </c>
      <c r="Q5255" s="2169">
        <f t="shared" si="894"/>
        <v>141</v>
      </c>
      <c r="R5255" s="2169">
        <f t="shared" si="894"/>
        <v>141</v>
      </c>
      <c r="S5255" s="2169">
        <f t="shared" si="894"/>
        <v>141</v>
      </c>
      <c r="T5255" s="2169">
        <f t="shared" si="894"/>
        <v>141</v>
      </c>
      <c r="U5255" s="2169">
        <f t="shared" si="894"/>
        <v>141</v>
      </c>
      <c r="V5255" s="2169">
        <f t="shared" si="894"/>
        <v>141</v>
      </c>
      <c r="W5255" s="2169">
        <f t="shared" si="894"/>
        <v>141</v>
      </c>
      <c r="X5255" s="2169">
        <f t="shared" si="894"/>
        <v>141</v>
      </c>
      <c r="Y5255" s="2169">
        <f t="shared" si="894"/>
        <v>141</v>
      </c>
      <c r="Z5255" s="2169">
        <f t="shared" si="894"/>
        <v>141</v>
      </c>
      <c r="AA5255" s="2180"/>
    </row>
    <row r="5256" spans="1:27" ht="22.5" x14ac:dyDescent="0.2">
      <c r="A5256" s="134"/>
      <c r="B5256" s="3684"/>
      <c r="C5256" s="3680"/>
      <c r="D5256" s="2421"/>
      <c r="E5256" s="3483"/>
      <c r="F5256" s="3483"/>
      <c r="G5256" s="3483"/>
      <c r="H5256" s="2421"/>
      <c r="I5256" s="3483"/>
      <c r="J5256" s="3483"/>
      <c r="K5256" s="3497"/>
      <c r="L5256" s="2421"/>
      <c r="M5256" s="2182" t="s">
        <v>184</v>
      </c>
      <c r="N5256" s="2260" t="s">
        <v>2178</v>
      </c>
      <c r="O5256" s="2169">
        <v>12.8</v>
      </c>
      <c r="P5256" s="2169">
        <v>12.8</v>
      </c>
      <c r="Q5256" s="2169">
        <v>12.8</v>
      </c>
      <c r="R5256" s="2169">
        <v>12.8</v>
      </c>
      <c r="S5256" s="2169">
        <v>12.8</v>
      </c>
      <c r="T5256" s="2169">
        <v>12.8</v>
      </c>
      <c r="U5256" s="2169">
        <v>12.8</v>
      </c>
      <c r="V5256" s="2169">
        <v>12.8</v>
      </c>
      <c r="W5256" s="2169">
        <v>12.8</v>
      </c>
      <c r="X5256" s="2169">
        <v>12.8</v>
      </c>
      <c r="Y5256" s="2169">
        <v>12.8</v>
      </c>
      <c r="Z5256" s="2169">
        <v>12.8</v>
      </c>
      <c r="AA5256" s="92">
        <f>SUM(O5256:Z5256)</f>
        <v>153.6</v>
      </c>
    </row>
    <row r="5257" spans="1:27" x14ac:dyDescent="0.2">
      <c r="A5257" s="134"/>
      <c r="B5257" s="3684"/>
      <c r="C5257" s="3680"/>
      <c r="D5257" s="2421"/>
      <c r="E5257" s="3483"/>
      <c r="F5257" s="3483"/>
      <c r="G5257" s="3483"/>
      <c r="H5257" s="2421"/>
      <c r="I5257" s="3483"/>
      <c r="J5257" s="3483"/>
      <c r="K5257" s="3497"/>
      <c r="L5257" s="2421"/>
      <c r="M5257" s="2182" t="s">
        <v>2103</v>
      </c>
      <c r="N5257" s="2174" t="s">
        <v>1262</v>
      </c>
      <c r="O5257" s="2169">
        <v>128.19999999999999</v>
      </c>
      <c r="P5257" s="2169">
        <v>128.19999999999999</v>
      </c>
      <c r="Q5257" s="2169">
        <v>128.19999999999999</v>
      </c>
      <c r="R5257" s="2169">
        <v>128.19999999999999</v>
      </c>
      <c r="S5257" s="2169">
        <v>128.19999999999999</v>
      </c>
      <c r="T5257" s="2169">
        <v>128.19999999999999</v>
      </c>
      <c r="U5257" s="2169">
        <v>128.19999999999999</v>
      </c>
      <c r="V5257" s="2169">
        <v>128.19999999999999</v>
      </c>
      <c r="W5257" s="2169">
        <v>128.19999999999999</v>
      </c>
      <c r="X5257" s="2169">
        <v>128.19999999999999</v>
      </c>
      <c r="Y5257" s="2169">
        <v>128.19999999999999</v>
      </c>
      <c r="Z5257" s="2169">
        <v>128.19999999999999</v>
      </c>
      <c r="AA5257" s="92">
        <f>SUM(O5257:Z5257)</f>
        <v>1538.4000000000003</v>
      </c>
    </row>
    <row r="5258" spans="1:27" x14ac:dyDescent="0.2">
      <c r="A5258" s="134"/>
      <c r="B5258" s="3684"/>
      <c r="C5258" s="3680" t="s">
        <v>2231</v>
      </c>
      <c r="D5258" s="2421"/>
      <c r="E5258" s="3483"/>
      <c r="F5258" s="3483"/>
      <c r="G5258" s="3483"/>
      <c r="H5258" s="2421"/>
      <c r="I5258" s="3483"/>
      <c r="J5258" s="3483" t="s">
        <v>2232</v>
      </c>
      <c r="K5258" s="3497">
        <v>2</v>
      </c>
      <c r="L5258" s="2421"/>
      <c r="M5258" s="2627" t="s">
        <v>51</v>
      </c>
      <c r="N5258" s="2627"/>
      <c r="O5258" s="2153"/>
      <c r="P5258" s="2153"/>
      <c r="Q5258" s="2153"/>
      <c r="R5258" s="2153"/>
      <c r="S5258" s="2153">
        <v>1</v>
      </c>
      <c r="T5258" s="2153"/>
      <c r="U5258" s="2153"/>
      <c r="V5258" s="2153"/>
      <c r="W5258" s="2153"/>
      <c r="X5258" s="2153">
        <v>1</v>
      </c>
      <c r="Y5258" s="2153"/>
      <c r="Z5258" s="2153"/>
      <c r="AA5258" s="2180">
        <f>SUM(O5258:Z5258)</f>
        <v>2</v>
      </c>
    </row>
    <row r="5259" spans="1:27" x14ac:dyDescent="0.2">
      <c r="A5259" s="134"/>
      <c r="B5259" s="3684"/>
      <c r="C5259" s="3680"/>
      <c r="D5259" s="2421"/>
      <c r="E5259" s="3483"/>
      <c r="F5259" s="3483"/>
      <c r="G5259" s="3483"/>
      <c r="H5259" s="2421"/>
      <c r="I5259" s="3483"/>
      <c r="J5259" s="3483"/>
      <c r="K5259" s="3497"/>
      <c r="L5259" s="2421"/>
      <c r="M5259" s="2627" t="s">
        <v>111</v>
      </c>
      <c r="N5259" s="2627"/>
      <c r="O5259" s="2169">
        <f>SUM(O5260:O5261)</f>
        <v>141</v>
      </c>
      <c r="P5259" s="2169">
        <f t="shared" ref="P5259:Z5259" si="895">SUM(P5260:P5261)</f>
        <v>141</v>
      </c>
      <c r="Q5259" s="2169">
        <f t="shared" si="895"/>
        <v>141</v>
      </c>
      <c r="R5259" s="2169">
        <f t="shared" si="895"/>
        <v>141</v>
      </c>
      <c r="S5259" s="2169">
        <f t="shared" si="895"/>
        <v>141</v>
      </c>
      <c r="T5259" s="2169">
        <f t="shared" si="895"/>
        <v>141</v>
      </c>
      <c r="U5259" s="2169">
        <f t="shared" si="895"/>
        <v>141</v>
      </c>
      <c r="V5259" s="2169">
        <f t="shared" si="895"/>
        <v>141</v>
      </c>
      <c r="W5259" s="2169">
        <f t="shared" si="895"/>
        <v>141</v>
      </c>
      <c r="X5259" s="2169">
        <f t="shared" si="895"/>
        <v>141</v>
      </c>
      <c r="Y5259" s="2169">
        <f t="shared" si="895"/>
        <v>141</v>
      </c>
      <c r="Z5259" s="2169">
        <f t="shared" si="895"/>
        <v>141</v>
      </c>
      <c r="AA5259" s="2180"/>
    </row>
    <row r="5260" spans="1:27" ht="22.5" x14ac:dyDescent="0.2">
      <c r="A5260" s="134"/>
      <c r="B5260" s="3684"/>
      <c r="C5260" s="3680"/>
      <c r="D5260" s="2421"/>
      <c r="E5260" s="3483"/>
      <c r="F5260" s="3483"/>
      <c r="G5260" s="3483"/>
      <c r="H5260" s="2421"/>
      <c r="I5260" s="3483"/>
      <c r="J5260" s="3483"/>
      <c r="K5260" s="3497"/>
      <c r="L5260" s="2421"/>
      <c r="M5260" s="2182" t="s">
        <v>184</v>
      </c>
      <c r="N5260" s="2260" t="s">
        <v>2178</v>
      </c>
      <c r="O5260" s="2169">
        <v>12.8</v>
      </c>
      <c r="P5260" s="2169">
        <v>12.8</v>
      </c>
      <c r="Q5260" s="2169">
        <v>12.8</v>
      </c>
      <c r="R5260" s="2169">
        <v>12.8</v>
      </c>
      <c r="S5260" s="2169">
        <v>12.8</v>
      </c>
      <c r="T5260" s="2169">
        <v>12.8</v>
      </c>
      <c r="U5260" s="2169">
        <v>12.8</v>
      </c>
      <c r="V5260" s="2169">
        <v>12.8</v>
      </c>
      <c r="W5260" s="2169">
        <v>12.8</v>
      </c>
      <c r="X5260" s="2169">
        <v>12.8</v>
      </c>
      <c r="Y5260" s="2169">
        <v>12.8</v>
      </c>
      <c r="Z5260" s="2169">
        <v>12.8</v>
      </c>
      <c r="AA5260" s="92">
        <f t="shared" ref="AA5260:AA5266" si="896">SUM(O5260:Z5260)</f>
        <v>153.6</v>
      </c>
    </row>
    <row r="5261" spans="1:27" x14ac:dyDescent="0.2">
      <c r="A5261" s="134"/>
      <c r="B5261" s="3684"/>
      <c r="C5261" s="3680"/>
      <c r="D5261" s="2421"/>
      <c r="E5261" s="3483"/>
      <c r="F5261" s="3483"/>
      <c r="G5261" s="3483"/>
      <c r="H5261" s="2421"/>
      <c r="I5261" s="3483"/>
      <c r="J5261" s="3483"/>
      <c r="K5261" s="3497"/>
      <c r="L5261" s="2421"/>
      <c r="M5261" s="2182" t="s">
        <v>2103</v>
      </c>
      <c r="N5261" s="2174" t="s">
        <v>1262</v>
      </c>
      <c r="O5261" s="2169">
        <v>128.19999999999999</v>
      </c>
      <c r="P5261" s="2169">
        <v>128.19999999999999</v>
      </c>
      <c r="Q5261" s="2169">
        <v>128.19999999999999</v>
      </c>
      <c r="R5261" s="2169">
        <v>128.19999999999999</v>
      </c>
      <c r="S5261" s="2169">
        <v>128.19999999999999</v>
      </c>
      <c r="T5261" s="2169">
        <v>128.19999999999999</v>
      </c>
      <c r="U5261" s="2169">
        <v>128.19999999999999</v>
      </c>
      <c r="V5261" s="2169">
        <v>128.19999999999999</v>
      </c>
      <c r="W5261" s="2169">
        <v>128.19999999999999</v>
      </c>
      <c r="X5261" s="2169">
        <v>128.19999999999999</v>
      </c>
      <c r="Y5261" s="2169">
        <v>128.19999999999999</v>
      </c>
      <c r="Z5261" s="2169">
        <v>128.19999999999999</v>
      </c>
      <c r="AA5261" s="92">
        <f t="shared" si="896"/>
        <v>1538.4000000000003</v>
      </c>
    </row>
    <row r="5262" spans="1:27" ht="12" customHeight="1" x14ac:dyDescent="0.2">
      <c r="A5262" s="134"/>
      <c r="B5262" s="3684"/>
      <c r="C5262" s="3680" t="s">
        <v>2233</v>
      </c>
      <c r="D5262" s="2421"/>
      <c r="E5262" s="3483"/>
      <c r="F5262" s="3483"/>
      <c r="G5262" s="3483"/>
      <c r="H5262" s="2421"/>
      <c r="I5262" s="3483"/>
      <c r="J5262" s="3483" t="s">
        <v>2234</v>
      </c>
      <c r="K5262" s="3497">
        <v>2</v>
      </c>
      <c r="L5262" s="2421"/>
      <c r="M5262" s="2627" t="s">
        <v>51</v>
      </c>
      <c r="N5262" s="2627"/>
      <c r="O5262" s="2153"/>
      <c r="P5262" s="2153"/>
      <c r="Q5262" s="2153"/>
      <c r="R5262" s="2153"/>
      <c r="S5262" s="2153"/>
      <c r="T5262" s="2153"/>
      <c r="U5262" s="2153">
        <v>1</v>
      </c>
      <c r="V5262" s="2153"/>
      <c r="W5262" s="2153"/>
      <c r="X5262" s="2153"/>
      <c r="Y5262" s="2153"/>
      <c r="Z5262" s="2153"/>
      <c r="AA5262" s="2180">
        <f t="shared" si="896"/>
        <v>1</v>
      </c>
    </row>
    <row r="5263" spans="1:27" ht="12" customHeight="1" x14ac:dyDescent="0.2">
      <c r="A5263" s="134"/>
      <c r="B5263" s="3684"/>
      <c r="C5263" s="3680"/>
      <c r="D5263" s="2421"/>
      <c r="E5263" s="3483"/>
      <c r="F5263" s="3483"/>
      <c r="G5263" s="3483"/>
      <c r="H5263" s="2421"/>
      <c r="I5263" s="3483"/>
      <c r="J5263" s="3483"/>
      <c r="K5263" s="3497"/>
      <c r="L5263" s="2421"/>
      <c r="M5263" s="2627" t="s">
        <v>111</v>
      </c>
      <c r="N5263" s="2627"/>
      <c r="O5263" s="127">
        <f>SUM(O5264:O5266)</f>
        <v>141</v>
      </c>
      <c r="P5263" s="127">
        <f t="shared" ref="P5263:Z5263" si="897">SUM(P5264:P5266)</f>
        <v>141</v>
      </c>
      <c r="Q5263" s="127">
        <f t="shared" si="897"/>
        <v>141</v>
      </c>
      <c r="R5263" s="127">
        <f t="shared" si="897"/>
        <v>141</v>
      </c>
      <c r="S5263" s="127">
        <f t="shared" si="897"/>
        <v>1641</v>
      </c>
      <c r="T5263" s="127">
        <f t="shared" si="897"/>
        <v>141</v>
      </c>
      <c r="U5263" s="127">
        <f t="shared" si="897"/>
        <v>141</v>
      </c>
      <c r="V5263" s="127">
        <f t="shared" si="897"/>
        <v>141</v>
      </c>
      <c r="W5263" s="127">
        <f t="shared" si="897"/>
        <v>1641</v>
      </c>
      <c r="X5263" s="127">
        <f t="shared" si="897"/>
        <v>141</v>
      </c>
      <c r="Y5263" s="127">
        <f t="shared" si="897"/>
        <v>141</v>
      </c>
      <c r="Z5263" s="127">
        <f t="shared" si="897"/>
        <v>141</v>
      </c>
      <c r="AA5263" s="1217">
        <f t="shared" si="896"/>
        <v>4692</v>
      </c>
    </row>
    <row r="5264" spans="1:27" ht="22.5" x14ac:dyDescent="0.2">
      <c r="A5264" s="134"/>
      <c r="B5264" s="3684"/>
      <c r="C5264" s="3680"/>
      <c r="D5264" s="2421"/>
      <c r="E5264" s="3483"/>
      <c r="F5264" s="3483"/>
      <c r="G5264" s="3483"/>
      <c r="H5264" s="2421"/>
      <c r="I5264" s="3483"/>
      <c r="J5264" s="3483"/>
      <c r="K5264" s="3497"/>
      <c r="L5264" s="2421"/>
      <c r="M5264" s="2182" t="s">
        <v>184</v>
      </c>
      <c r="N5264" s="2260" t="s">
        <v>2178</v>
      </c>
      <c r="O5264" s="2169">
        <v>12.8</v>
      </c>
      <c r="P5264" s="2169">
        <v>12.8</v>
      </c>
      <c r="Q5264" s="2169">
        <v>12.8</v>
      </c>
      <c r="R5264" s="2169">
        <v>12.8</v>
      </c>
      <c r="S5264" s="2169">
        <v>12.8</v>
      </c>
      <c r="T5264" s="2169">
        <v>12.8</v>
      </c>
      <c r="U5264" s="2169">
        <v>12.8</v>
      </c>
      <c r="V5264" s="2169">
        <v>12.8</v>
      </c>
      <c r="W5264" s="2169">
        <v>12.8</v>
      </c>
      <c r="X5264" s="2169">
        <v>12.8</v>
      </c>
      <c r="Y5264" s="2169">
        <v>12.8</v>
      </c>
      <c r="Z5264" s="2169">
        <v>12.8</v>
      </c>
      <c r="AA5264" s="92">
        <f t="shared" si="896"/>
        <v>153.6</v>
      </c>
    </row>
    <row r="5265" spans="1:27" ht="22.5" x14ac:dyDescent="0.2">
      <c r="A5265" s="134"/>
      <c r="B5265" s="3684"/>
      <c r="C5265" s="3680"/>
      <c r="D5265" s="2421"/>
      <c r="E5265" s="3483"/>
      <c r="F5265" s="3483"/>
      <c r="G5265" s="3483"/>
      <c r="H5265" s="2421"/>
      <c r="I5265" s="3483"/>
      <c r="J5265" s="3483"/>
      <c r="K5265" s="3497"/>
      <c r="L5265" s="2421"/>
      <c r="M5265" s="2182" t="s">
        <v>2235</v>
      </c>
      <c r="N5265" s="2260" t="s">
        <v>2236</v>
      </c>
      <c r="O5265" s="2169"/>
      <c r="P5265" s="2169"/>
      <c r="Q5265" s="2169"/>
      <c r="R5265" s="2169"/>
      <c r="S5265" s="2169">
        <v>1500</v>
      </c>
      <c r="T5265" s="2169"/>
      <c r="U5265" s="2169"/>
      <c r="V5265" s="2169"/>
      <c r="W5265" s="2169">
        <v>1500</v>
      </c>
      <c r="X5265" s="2169"/>
      <c r="Y5265" s="2169"/>
      <c r="Z5265" s="2169"/>
      <c r="AA5265" s="92">
        <f t="shared" si="896"/>
        <v>3000</v>
      </c>
    </row>
    <row r="5266" spans="1:27" x14ac:dyDescent="0.2">
      <c r="A5266" s="134"/>
      <c r="B5266" s="3685"/>
      <c r="C5266" s="3680"/>
      <c r="D5266" s="2421"/>
      <c r="E5266" s="3483"/>
      <c r="F5266" s="3483"/>
      <c r="G5266" s="3483"/>
      <c r="H5266" s="2421"/>
      <c r="I5266" s="3483"/>
      <c r="J5266" s="3483"/>
      <c r="K5266" s="3497"/>
      <c r="L5266" s="2421"/>
      <c r="M5266" s="2182" t="s">
        <v>2103</v>
      </c>
      <c r="N5266" s="2174" t="s">
        <v>1262</v>
      </c>
      <c r="O5266" s="2169">
        <v>128.19999999999999</v>
      </c>
      <c r="P5266" s="2169">
        <v>128.19999999999999</v>
      </c>
      <c r="Q5266" s="2169">
        <v>128.19999999999999</v>
      </c>
      <c r="R5266" s="2169">
        <v>128.19999999999999</v>
      </c>
      <c r="S5266" s="2169">
        <v>128.19999999999999</v>
      </c>
      <c r="T5266" s="2169">
        <v>128.19999999999999</v>
      </c>
      <c r="U5266" s="2169">
        <v>128.19999999999999</v>
      </c>
      <c r="V5266" s="2169">
        <v>128.19999999999999</v>
      </c>
      <c r="W5266" s="2169">
        <v>128.19999999999999</v>
      </c>
      <c r="X5266" s="2169">
        <v>128.19999999999999</v>
      </c>
      <c r="Y5266" s="2169">
        <v>128.19999999999999</v>
      </c>
      <c r="Z5266" s="2169">
        <v>128.19999999999999</v>
      </c>
      <c r="AA5266" s="92">
        <f t="shared" si="896"/>
        <v>1538.4000000000003</v>
      </c>
    </row>
    <row r="5267" spans="1:27" s="773" customFormat="1" x14ac:dyDescent="0.2">
      <c r="A5267" s="1259"/>
      <c r="B5267" s="559"/>
      <c r="C5267" s="559"/>
      <c r="D5267" s="559"/>
      <c r="E5267" s="559"/>
      <c r="F5267" s="559"/>
      <c r="G5267" s="559"/>
      <c r="H5267" s="559"/>
      <c r="I5267" s="559"/>
      <c r="J5267" s="559"/>
      <c r="K5267" s="559"/>
      <c r="L5267" s="559"/>
      <c r="M5267" s="559"/>
      <c r="N5267" s="559"/>
      <c r="O5267" s="559"/>
      <c r="P5267" s="559"/>
      <c r="Q5267" s="559"/>
      <c r="R5267" s="559"/>
      <c r="S5267" s="559"/>
      <c r="T5267" s="559"/>
      <c r="U5267" s="559"/>
      <c r="V5267" s="559"/>
      <c r="W5267" s="559"/>
      <c r="X5267" s="559"/>
      <c r="Y5267" s="559"/>
      <c r="Z5267" s="559"/>
      <c r="AA5267" s="772"/>
    </row>
    <row r="5268" spans="1:27" ht="25.5" customHeight="1" x14ac:dyDescent="0.2">
      <c r="A5268" s="134"/>
      <c r="B5268" s="78" t="s">
        <v>8</v>
      </c>
      <c r="C5268" s="563" t="s">
        <v>2158</v>
      </c>
      <c r="D5268" s="563"/>
      <c r="E5268" s="563"/>
      <c r="F5268" s="563"/>
      <c r="G5268" s="563"/>
      <c r="H5268" s="563"/>
      <c r="I5268" s="563"/>
      <c r="J5268" s="563"/>
      <c r="K5268" s="563"/>
      <c r="L5268" s="563"/>
      <c r="M5268" s="563"/>
      <c r="N5268" s="563"/>
      <c r="O5268" s="563"/>
      <c r="P5268" s="563"/>
      <c r="Q5268" s="563"/>
      <c r="R5268" s="563"/>
      <c r="S5268" s="563"/>
      <c r="T5268" s="563"/>
      <c r="U5268" s="563"/>
      <c r="V5268" s="563"/>
      <c r="W5268" s="565"/>
      <c r="X5268" s="565"/>
      <c r="Y5268" s="565"/>
      <c r="Z5268" s="565"/>
      <c r="AA5268" s="565"/>
    </row>
    <row r="5269" spans="1:27" ht="22.5" x14ac:dyDescent="0.2">
      <c r="A5269" s="134"/>
      <c r="B5269" s="950" t="s">
        <v>11</v>
      </c>
      <c r="C5269" s="3687" t="s">
        <v>84</v>
      </c>
      <c r="D5269" s="3687"/>
      <c r="E5269" s="3687"/>
      <c r="F5269" s="3687"/>
      <c r="G5269" s="3687"/>
      <c r="H5269" s="3687"/>
      <c r="I5269" s="3687"/>
      <c r="J5269" s="3687"/>
      <c r="K5269" s="3687"/>
      <c r="L5269" s="3687"/>
      <c r="M5269" s="3687"/>
      <c r="N5269" s="3687"/>
      <c r="O5269" s="3687"/>
      <c r="P5269" s="3687"/>
      <c r="Q5269" s="3687"/>
      <c r="R5269" s="3687"/>
      <c r="S5269" s="3687"/>
      <c r="T5269" s="3687"/>
      <c r="U5269" s="3687"/>
      <c r="V5269" s="3687"/>
      <c r="W5269" s="38"/>
      <c r="X5269" s="38"/>
      <c r="Y5269" s="38"/>
      <c r="Z5269" s="38"/>
      <c r="AA5269" s="38"/>
    </row>
    <row r="5270" spans="1:27" x14ac:dyDescent="0.2">
      <c r="A5270" s="134"/>
      <c r="B5270" s="2913" t="s">
        <v>13</v>
      </c>
      <c r="C5270" s="3652">
        <v>103</v>
      </c>
      <c r="D5270" s="3436" t="s">
        <v>2237</v>
      </c>
      <c r="E5270" s="3436"/>
      <c r="F5270" s="3436"/>
      <c r="G5270" s="3436"/>
      <c r="H5270" s="3436"/>
      <c r="I5270" s="3436"/>
      <c r="J5270" s="3436"/>
      <c r="K5270" s="3436"/>
      <c r="L5270" s="3436"/>
      <c r="M5270" s="3436"/>
      <c r="N5270" s="3436"/>
      <c r="O5270" s="3436"/>
      <c r="P5270" s="3436"/>
      <c r="Q5270" s="2941"/>
      <c r="R5270" s="2941"/>
      <c r="S5270" s="2941"/>
      <c r="T5270" s="2941"/>
      <c r="U5270" s="2941"/>
      <c r="V5270" s="2922" t="s">
        <v>15</v>
      </c>
      <c r="W5270" s="2922"/>
      <c r="X5270" s="2922"/>
      <c r="Y5270" s="2922"/>
      <c r="Z5270" s="2922" t="s">
        <v>16</v>
      </c>
      <c r="AA5270" s="2922"/>
    </row>
    <row r="5271" spans="1:27" x14ac:dyDescent="0.2">
      <c r="A5271" s="134"/>
      <c r="B5271" s="2913"/>
      <c r="C5271" s="3652"/>
      <c r="D5271" s="3436"/>
      <c r="E5271" s="3436"/>
      <c r="F5271" s="3436"/>
      <c r="G5271" s="3436"/>
      <c r="H5271" s="3436"/>
      <c r="I5271" s="3436"/>
      <c r="J5271" s="3436"/>
      <c r="K5271" s="3436"/>
      <c r="L5271" s="3436"/>
      <c r="M5271" s="3436"/>
      <c r="N5271" s="3436"/>
      <c r="O5271" s="3436"/>
      <c r="P5271" s="3436"/>
      <c r="Q5271" s="2941"/>
      <c r="R5271" s="2941"/>
      <c r="S5271" s="2941"/>
      <c r="T5271" s="2941"/>
      <c r="U5271" s="2941"/>
      <c r="V5271" s="2627" t="s">
        <v>2238</v>
      </c>
      <c r="W5271" s="2627"/>
      <c r="X5271" s="2627"/>
      <c r="Y5271" s="2627"/>
      <c r="Z5271" s="3092" t="s">
        <v>2239</v>
      </c>
      <c r="AA5271" s="3092"/>
    </row>
    <row r="5272" spans="1:27" x14ac:dyDescent="0.2">
      <c r="A5272" s="134"/>
      <c r="B5272" s="2913"/>
      <c r="C5272" s="3652"/>
      <c r="D5272" s="3436"/>
      <c r="E5272" s="3436"/>
      <c r="F5272" s="3436"/>
      <c r="G5272" s="3436"/>
      <c r="H5272" s="3436"/>
      <c r="I5272" s="3436"/>
      <c r="J5272" s="3436"/>
      <c r="K5272" s="3436"/>
      <c r="L5272" s="3436"/>
      <c r="M5272" s="3436"/>
      <c r="N5272" s="3436"/>
      <c r="O5272" s="3436"/>
      <c r="P5272" s="3436"/>
      <c r="Q5272" s="2941"/>
      <c r="R5272" s="2941"/>
      <c r="S5272" s="2941"/>
      <c r="T5272" s="2941"/>
      <c r="U5272" s="2941"/>
      <c r="V5272" s="2627"/>
      <c r="W5272" s="2627"/>
      <c r="X5272" s="2627"/>
      <c r="Y5272" s="2627"/>
      <c r="Z5272" s="3092"/>
      <c r="AA5272" s="3092"/>
    </row>
    <row r="5273" spans="1:27" x14ac:dyDescent="0.2">
      <c r="A5273" s="134"/>
      <c r="B5273" s="2913" t="s">
        <v>18</v>
      </c>
      <c r="C5273" s="3115">
        <v>3000001</v>
      </c>
      <c r="D5273" s="3092" t="s">
        <v>2240</v>
      </c>
      <c r="E5273" s="3092"/>
      <c r="F5273" s="3092"/>
      <c r="G5273" s="3092"/>
      <c r="H5273" s="3092"/>
      <c r="I5273" s="3092"/>
      <c r="J5273" s="3092"/>
      <c r="K5273" s="3092"/>
      <c r="L5273" s="3092"/>
      <c r="M5273" s="3092"/>
      <c r="N5273" s="3092"/>
      <c r="O5273" s="3092"/>
      <c r="P5273" s="3092"/>
      <c r="Q5273" s="132"/>
      <c r="R5273" s="132"/>
      <c r="S5273" s="132"/>
      <c r="T5273" s="132"/>
      <c r="U5273" s="132"/>
      <c r="V5273" s="2922" t="s">
        <v>15</v>
      </c>
      <c r="W5273" s="2922"/>
      <c r="X5273" s="2922"/>
      <c r="Y5273" s="2922"/>
      <c r="Z5273" s="2922" t="s">
        <v>16</v>
      </c>
      <c r="AA5273" s="2922"/>
    </row>
    <row r="5274" spans="1:27" x14ac:dyDescent="0.2">
      <c r="A5274" s="134"/>
      <c r="B5274" s="2913"/>
      <c r="C5274" s="3115"/>
      <c r="D5274" s="3092"/>
      <c r="E5274" s="3092"/>
      <c r="F5274" s="3092"/>
      <c r="G5274" s="3092"/>
      <c r="H5274" s="3092"/>
      <c r="I5274" s="3092"/>
      <c r="J5274" s="3092"/>
      <c r="K5274" s="3092"/>
      <c r="L5274" s="3092"/>
      <c r="M5274" s="3092"/>
      <c r="N5274" s="3092"/>
      <c r="O5274" s="3092"/>
      <c r="P5274" s="3092"/>
      <c r="Q5274" s="132"/>
      <c r="R5274" s="132"/>
      <c r="S5274" s="132"/>
      <c r="T5274" s="132"/>
      <c r="U5274" s="132"/>
      <c r="V5274" s="2627" t="s">
        <v>2241</v>
      </c>
      <c r="W5274" s="2627"/>
      <c r="X5274" s="2627"/>
      <c r="Y5274" s="2627"/>
      <c r="Z5274" s="3092" t="s">
        <v>61</v>
      </c>
      <c r="AA5274" s="3092"/>
    </row>
    <row r="5275" spans="1:27" x14ac:dyDescent="0.2">
      <c r="A5275" s="134"/>
      <c r="B5275" s="3516" t="s">
        <v>20</v>
      </c>
      <c r="C5275" s="2847" t="s">
        <v>21</v>
      </c>
      <c r="D5275" s="2847" t="s">
        <v>22</v>
      </c>
      <c r="E5275" s="2847" t="s">
        <v>23</v>
      </c>
      <c r="F5275" s="2847" t="s">
        <v>24</v>
      </c>
      <c r="G5275" s="2847" t="s">
        <v>25</v>
      </c>
      <c r="H5275" s="2847" t="s">
        <v>26</v>
      </c>
      <c r="I5275" s="2847" t="s">
        <v>27</v>
      </c>
      <c r="J5275" s="2847" t="s">
        <v>28</v>
      </c>
      <c r="K5275" s="2847"/>
      <c r="L5275" s="2847" t="s">
        <v>279</v>
      </c>
      <c r="M5275" s="2847" t="s">
        <v>30</v>
      </c>
      <c r="N5275" s="2847"/>
      <c r="O5275" s="2916" t="s">
        <v>31</v>
      </c>
      <c r="P5275" s="2916"/>
      <c r="Q5275" s="2916"/>
      <c r="R5275" s="2916"/>
      <c r="S5275" s="2916"/>
      <c r="T5275" s="2916"/>
      <c r="U5275" s="2916"/>
      <c r="V5275" s="2916"/>
      <c r="W5275" s="2916"/>
      <c r="X5275" s="2916"/>
      <c r="Y5275" s="2916"/>
      <c r="Z5275" s="2916"/>
      <c r="AA5275" s="2916" t="s">
        <v>32</v>
      </c>
    </row>
    <row r="5276" spans="1:27" x14ac:dyDescent="0.2">
      <c r="A5276" s="134"/>
      <c r="B5276" s="3516"/>
      <c r="C5276" s="2847"/>
      <c r="D5276" s="2847"/>
      <c r="E5276" s="2847"/>
      <c r="F5276" s="2847"/>
      <c r="G5276" s="2847"/>
      <c r="H5276" s="2847"/>
      <c r="I5276" s="2847"/>
      <c r="J5276" s="455" t="s">
        <v>33</v>
      </c>
      <c r="K5276" s="455" t="s">
        <v>34</v>
      </c>
      <c r="L5276" s="2847"/>
      <c r="M5276" s="2847"/>
      <c r="N5276" s="2847"/>
      <c r="O5276" s="471" t="s">
        <v>35</v>
      </c>
      <c r="P5276" s="471" t="s">
        <v>36</v>
      </c>
      <c r="Q5276" s="471" t="s">
        <v>37</v>
      </c>
      <c r="R5276" s="471" t="s">
        <v>38</v>
      </c>
      <c r="S5276" s="471" t="s">
        <v>39</v>
      </c>
      <c r="T5276" s="471" t="s">
        <v>40</v>
      </c>
      <c r="U5276" s="471" t="s">
        <v>41</v>
      </c>
      <c r="V5276" s="471" t="s">
        <v>42</v>
      </c>
      <c r="W5276" s="471" t="s">
        <v>43</v>
      </c>
      <c r="X5276" s="471" t="s">
        <v>44</v>
      </c>
      <c r="Y5276" s="471" t="s">
        <v>45</v>
      </c>
      <c r="Z5276" s="471" t="s">
        <v>46</v>
      </c>
      <c r="AA5276" s="2916"/>
    </row>
    <row r="5277" spans="1:27" x14ac:dyDescent="0.2">
      <c r="A5277" s="134"/>
      <c r="B5277" s="2742">
        <v>5004301</v>
      </c>
      <c r="C5277" s="3688" t="s">
        <v>2242</v>
      </c>
      <c r="D5277" s="2421" t="s">
        <v>2243</v>
      </c>
      <c r="E5277" s="3308" t="s">
        <v>2159</v>
      </c>
      <c r="F5277" s="2922" t="s">
        <v>2160</v>
      </c>
      <c r="G5277" s="2420" t="s">
        <v>2161</v>
      </c>
      <c r="H5277" s="2420" t="s">
        <v>2244</v>
      </c>
      <c r="I5277" s="2420" t="s">
        <v>2245</v>
      </c>
      <c r="J5277" s="3497">
        <v>360</v>
      </c>
      <c r="K5277" s="3497">
        <v>124830</v>
      </c>
      <c r="L5277" s="2420" t="s">
        <v>2246</v>
      </c>
      <c r="M5277" s="2840" t="s">
        <v>51</v>
      </c>
      <c r="N5277" s="2840"/>
      <c r="O5277" s="502">
        <v>30</v>
      </c>
      <c r="P5277" s="502">
        <v>30</v>
      </c>
      <c r="Q5277" s="502">
        <v>30</v>
      </c>
      <c r="R5277" s="502">
        <v>30</v>
      </c>
      <c r="S5277" s="502">
        <v>30</v>
      </c>
      <c r="T5277" s="502">
        <v>30</v>
      </c>
      <c r="U5277" s="502">
        <v>30</v>
      </c>
      <c r="V5277" s="502">
        <v>30</v>
      </c>
      <c r="W5277" s="502">
        <v>30</v>
      </c>
      <c r="X5277" s="502">
        <v>30</v>
      </c>
      <c r="Y5277" s="502">
        <v>30</v>
      </c>
      <c r="Z5277" s="502">
        <v>30</v>
      </c>
      <c r="AA5277" s="373">
        <f t="shared" ref="AA5277:AA5323" si="898">SUM(O5277:Z5277)</f>
        <v>360</v>
      </c>
    </row>
    <row r="5278" spans="1:27" x14ac:dyDescent="0.2">
      <c r="A5278" s="134"/>
      <c r="B5278" s="2743"/>
      <c r="C5278" s="3688"/>
      <c r="D5278" s="2421"/>
      <c r="E5278" s="3308"/>
      <c r="F5278" s="2922"/>
      <c r="G5278" s="2420"/>
      <c r="H5278" s="2420"/>
      <c r="I5278" s="2420"/>
      <c r="J5278" s="3497"/>
      <c r="K5278" s="3497"/>
      <c r="L5278" s="2420"/>
      <c r="M5278" s="2840" t="s">
        <v>111</v>
      </c>
      <c r="N5278" s="2840"/>
      <c r="O5278" s="502">
        <f>SUM(O5279:O5280)</f>
        <v>13527.57</v>
      </c>
      <c r="P5278" s="502">
        <f t="shared" ref="P5278:Z5278" si="899">SUM(P5279:P5280)</f>
        <v>13527.57</v>
      </c>
      <c r="Q5278" s="502">
        <f t="shared" si="899"/>
        <v>13527.57</v>
      </c>
      <c r="R5278" s="502">
        <f t="shared" si="899"/>
        <v>13527.57</v>
      </c>
      <c r="S5278" s="502">
        <f t="shared" si="899"/>
        <v>13527.57</v>
      </c>
      <c r="T5278" s="502">
        <f t="shared" si="899"/>
        <v>13527.57</v>
      </c>
      <c r="U5278" s="502">
        <f t="shared" si="899"/>
        <v>13527.57</v>
      </c>
      <c r="V5278" s="502">
        <f t="shared" si="899"/>
        <v>13527.57</v>
      </c>
      <c r="W5278" s="502">
        <f t="shared" si="899"/>
        <v>13527.57</v>
      </c>
      <c r="X5278" s="502">
        <f t="shared" si="899"/>
        <v>13527.57</v>
      </c>
      <c r="Y5278" s="502">
        <f t="shared" si="899"/>
        <v>13527.57</v>
      </c>
      <c r="Z5278" s="502">
        <f t="shared" si="899"/>
        <v>13527.57</v>
      </c>
      <c r="AA5278" s="373">
        <f t="shared" si="898"/>
        <v>162330.84000000005</v>
      </c>
    </row>
    <row r="5279" spans="1:27" ht="33.75" x14ac:dyDescent="0.2">
      <c r="A5279" s="134"/>
      <c r="B5279" s="2743"/>
      <c r="C5279" s="3688"/>
      <c r="D5279" s="2421"/>
      <c r="E5279" s="3308"/>
      <c r="F5279" s="2922"/>
      <c r="G5279" s="2420"/>
      <c r="H5279" s="2420"/>
      <c r="I5279" s="2420"/>
      <c r="J5279" s="3497"/>
      <c r="K5279" s="3497"/>
      <c r="L5279" s="2420"/>
      <c r="M5279" s="1846" t="s">
        <v>2176</v>
      </c>
      <c r="N5279" s="568" t="s">
        <v>1331</v>
      </c>
      <c r="O5279" s="32">
        <v>12410.16</v>
      </c>
      <c r="P5279" s="32">
        <v>12410.16</v>
      </c>
      <c r="Q5279" s="32">
        <v>12410.16</v>
      </c>
      <c r="R5279" s="32">
        <v>12410.16</v>
      </c>
      <c r="S5279" s="32">
        <v>12410.16</v>
      </c>
      <c r="T5279" s="32">
        <v>12410.16</v>
      </c>
      <c r="U5279" s="32">
        <v>12410.16</v>
      </c>
      <c r="V5279" s="32">
        <v>12410.16</v>
      </c>
      <c r="W5279" s="32">
        <v>12410.16</v>
      </c>
      <c r="X5279" s="32">
        <v>12410.16</v>
      </c>
      <c r="Y5279" s="32">
        <v>12410.16</v>
      </c>
      <c r="Z5279" s="32">
        <v>12410.16</v>
      </c>
      <c r="AA5279" s="371">
        <f t="shared" si="898"/>
        <v>148921.92000000001</v>
      </c>
    </row>
    <row r="5280" spans="1:27" ht="22.5" x14ac:dyDescent="0.2">
      <c r="A5280" s="134"/>
      <c r="B5280" s="2628"/>
      <c r="C5280" s="3688"/>
      <c r="D5280" s="2421"/>
      <c r="E5280" s="3308"/>
      <c r="F5280" s="2922"/>
      <c r="G5280" s="2420"/>
      <c r="H5280" s="2420"/>
      <c r="I5280" s="2420"/>
      <c r="J5280" s="3497"/>
      <c r="K5280" s="3497"/>
      <c r="L5280" s="2420"/>
      <c r="M5280" s="1846" t="s">
        <v>2177</v>
      </c>
      <c r="N5280" s="568" t="s">
        <v>1333</v>
      </c>
      <c r="O5280" s="32">
        <v>1117.4100000000001</v>
      </c>
      <c r="P5280" s="32">
        <v>1117.4100000000001</v>
      </c>
      <c r="Q5280" s="32">
        <v>1117.4100000000001</v>
      </c>
      <c r="R5280" s="32">
        <v>1117.4100000000001</v>
      </c>
      <c r="S5280" s="32">
        <v>1117.4100000000001</v>
      </c>
      <c r="T5280" s="32">
        <v>1117.4100000000001</v>
      </c>
      <c r="U5280" s="32">
        <v>1117.4100000000001</v>
      </c>
      <c r="V5280" s="32">
        <v>1117.4100000000001</v>
      </c>
      <c r="W5280" s="32">
        <v>1117.4100000000001</v>
      </c>
      <c r="X5280" s="32">
        <v>1117.4100000000001</v>
      </c>
      <c r="Y5280" s="32">
        <v>1117.4100000000001</v>
      </c>
      <c r="Z5280" s="32">
        <v>1117.4100000000001</v>
      </c>
      <c r="AA5280" s="371">
        <f t="shared" si="898"/>
        <v>13408.92</v>
      </c>
    </row>
    <row r="5281" spans="1:27" x14ac:dyDescent="0.2">
      <c r="A5281" s="134"/>
      <c r="B5281" s="2438">
        <v>5005591</v>
      </c>
      <c r="C5281" s="3688" t="s">
        <v>2247</v>
      </c>
      <c r="D5281" s="2421" t="s">
        <v>2248</v>
      </c>
      <c r="E5281" s="2426" t="s">
        <v>2159</v>
      </c>
      <c r="F5281" s="2420" t="s">
        <v>2160</v>
      </c>
      <c r="G5281" s="2420" t="s">
        <v>2161</v>
      </c>
      <c r="H5281" s="2420" t="s">
        <v>2249</v>
      </c>
      <c r="I5281" s="2420" t="s">
        <v>2250</v>
      </c>
      <c r="J5281" s="3497">
        <v>70</v>
      </c>
      <c r="K5281" s="3497">
        <v>116040</v>
      </c>
      <c r="L5281" s="2420" t="s">
        <v>2246</v>
      </c>
      <c r="M5281" s="2840" t="s">
        <v>51</v>
      </c>
      <c r="N5281" s="2840"/>
      <c r="O5281" s="502">
        <v>5</v>
      </c>
      <c r="P5281" s="502">
        <v>6</v>
      </c>
      <c r="Q5281" s="502">
        <v>6</v>
      </c>
      <c r="R5281" s="502">
        <v>6</v>
      </c>
      <c r="S5281" s="502">
        <v>6</v>
      </c>
      <c r="T5281" s="502">
        <v>6</v>
      </c>
      <c r="U5281" s="502">
        <v>6</v>
      </c>
      <c r="V5281" s="502">
        <v>6</v>
      </c>
      <c r="W5281" s="502">
        <v>6</v>
      </c>
      <c r="X5281" s="502">
        <v>6</v>
      </c>
      <c r="Y5281" s="502">
        <v>6</v>
      </c>
      <c r="Z5281" s="502">
        <v>5</v>
      </c>
      <c r="AA5281" s="371">
        <f t="shared" si="898"/>
        <v>70</v>
      </c>
    </row>
    <row r="5282" spans="1:27" x14ac:dyDescent="0.2">
      <c r="A5282" s="134"/>
      <c r="B5282" s="2456"/>
      <c r="C5282" s="3688"/>
      <c r="D5282" s="2421"/>
      <c r="E5282" s="2426"/>
      <c r="F5282" s="2420"/>
      <c r="G5282" s="2420"/>
      <c r="H5282" s="2420"/>
      <c r="I5282" s="2420"/>
      <c r="J5282" s="3497"/>
      <c r="K5282" s="3497"/>
      <c r="L5282" s="2420"/>
      <c r="M5282" s="2840" t="s">
        <v>111</v>
      </c>
      <c r="N5282" s="2840"/>
      <c r="O5282" s="502">
        <f>SUM(O5283:O5305)</f>
        <v>67223.460000000006</v>
      </c>
      <c r="P5282" s="502">
        <f t="shared" ref="P5282:Z5282" si="900">SUM(P5283:P5305)</f>
        <v>102423.06000000001</v>
      </c>
      <c r="Q5282" s="502">
        <f t="shared" si="900"/>
        <v>74723.060000000012</v>
      </c>
      <c r="R5282" s="502">
        <f t="shared" si="900"/>
        <v>81223.060000000012</v>
      </c>
      <c r="S5282" s="502">
        <f t="shared" si="900"/>
        <v>90658.060000000012</v>
      </c>
      <c r="T5282" s="502">
        <f t="shared" si="900"/>
        <v>82723.060000000012</v>
      </c>
      <c r="U5282" s="502">
        <f t="shared" si="900"/>
        <v>76223.060000000012</v>
      </c>
      <c r="V5282" s="502">
        <f t="shared" si="900"/>
        <v>85723.060000000012</v>
      </c>
      <c r="W5282" s="502">
        <f t="shared" si="900"/>
        <v>76223.060000000012</v>
      </c>
      <c r="X5282" s="502">
        <f t="shared" si="900"/>
        <v>78223.060000000012</v>
      </c>
      <c r="Y5282" s="502">
        <f t="shared" si="900"/>
        <v>84223.060000000012</v>
      </c>
      <c r="Z5282" s="502">
        <f t="shared" si="900"/>
        <v>69723.060000000012</v>
      </c>
      <c r="AA5282" s="371">
        <f t="shared" si="898"/>
        <v>969312.12000000034</v>
      </c>
    </row>
    <row r="5283" spans="1:27" ht="45" x14ac:dyDescent="0.2">
      <c r="A5283" s="134"/>
      <c r="B5283" s="2456"/>
      <c r="C5283" s="3688"/>
      <c r="D5283" s="2421"/>
      <c r="E5283" s="2426"/>
      <c r="F5283" s="2420"/>
      <c r="G5283" s="2420"/>
      <c r="H5283" s="2420"/>
      <c r="I5283" s="2420"/>
      <c r="J5283" s="3497"/>
      <c r="K5283" s="3497"/>
      <c r="L5283" s="2420"/>
      <c r="M5283" s="1841" t="s">
        <v>2251</v>
      </c>
      <c r="N5283" s="569" t="s">
        <v>2252</v>
      </c>
      <c r="O5283" s="490"/>
      <c r="P5283" s="490"/>
      <c r="Q5283" s="490">
        <v>1000</v>
      </c>
      <c r="R5283" s="490"/>
      <c r="S5283" s="490"/>
      <c r="T5283" s="490">
        <v>2000</v>
      </c>
      <c r="U5283" s="490"/>
      <c r="V5283" s="490"/>
      <c r="W5283" s="490">
        <v>1000</v>
      </c>
      <c r="X5283" s="490"/>
      <c r="Y5283" s="490"/>
      <c r="Z5283" s="490"/>
      <c r="AA5283" s="371">
        <f t="shared" si="898"/>
        <v>4000</v>
      </c>
    </row>
    <row r="5284" spans="1:27" ht="45" x14ac:dyDescent="0.2">
      <c r="A5284" s="134"/>
      <c r="B5284" s="2456"/>
      <c r="C5284" s="3688"/>
      <c r="D5284" s="2421"/>
      <c r="E5284" s="2426"/>
      <c r="F5284" s="2420"/>
      <c r="G5284" s="2420"/>
      <c r="H5284" s="2420"/>
      <c r="I5284" s="2420"/>
      <c r="J5284" s="3497"/>
      <c r="K5284" s="3497"/>
      <c r="L5284" s="2420"/>
      <c r="M5284" s="1846" t="s">
        <v>2253</v>
      </c>
      <c r="N5284" s="567" t="s">
        <v>1236</v>
      </c>
      <c r="O5284" s="490"/>
      <c r="P5284" s="490">
        <v>10000</v>
      </c>
      <c r="Q5284" s="490"/>
      <c r="R5284" s="490"/>
      <c r="S5284" s="490">
        <v>3435</v>
      </c>
      <c r="T5284" s="490"/>
      <c r="U5284" s="490"/>
      <c r="V5284" s="490"/>
      <c r="W5284" s="490"/>
      <c r="X5284" s="490"/>
      <c r="Y5284" s="490"/>
      <c r="Z5284" s="490"/>
      <c r="AA5284" s="371">
        <f t="shared" si="898"/>
        <v>13435</v>
      </c>
    </row>
    <row r="5285" spans="1:27" ht="22.5" x14ac:dyDescent="0.2">
      <c r="A5285" s="134"/>
      <c r="B5285" s="2456"/>
      <c r="C5285" s="3688"/>
      <c r="D5285" s="2421"/>
      <c r="E5285" s="2426"/>
      <c r="F5285" s="2420"/>
      <c r="G5285" s="2420"/>
      <c r="H5285" s="2420"/>
      <c r="I5285" s="2420"/>
      <c r="J5285" s="3497"/>
      <c r="K5285" s="3497"/>
      <c r="L5285" s="2420"/>
      <c r="M5285" s="1846" t="s">
        <v>2254</v>
      </c>
      <c r="N5285" s="567" t="s">
        <v>1268</v>
      </c>
      <c r="O5285" s="490"/>
      <c r="P5285" s="490">
        <v>5000</v>
      </c>
      <c r="Q5285" s="490"/>
      <c r="R5285" s="490"/>
      <c r="S5285" s="490">
        <v>3000</v>
      </c>
      <c r="T5285" s="490"/>
      <c r="U5285" s="490"/>
      <c r="V5285" s="490">
        <v>2000</v>
      </c>
      <c r="W5285" s="490"/>
      <c r="X5285" s="490"/>
      <c r="Y5285" s="490"/>
      <c r="Z5285" s="490"/>
      <c r="AA5285" s="371">
        <f t="shared" si="898"/>
        <v>10000</v>
      </c>
    </row>
    <row r="5286" spans="1:27" x14ac:dyDescent="0.2">
      <c r="A5286" s="134"/>
      <c r="B5286" s="2456"/>
      <c r="C5286" s="3688"/>
      <c r="D5286" s="2421"/>
      <c r="E5286" s="2426"/>
      <c r="F5286" s="2420"/>
      <c r="G5286" s="2420"/>
      <c r="H5286" s="2420"/>
      <c r="I5286" s="2420"/>
      <c r="J5286" s="3497"/>
      <c r="K5286" s="3497"/>
      <c r="L5286" s="2420"/>
      <c r="M5286" s="1841" t="s">
        <v>2255</v>
      </c>
      <c r="N5286" s="345" t="s">
        <v>1717</v>
      </c>
      <c r="O5286" s="490"/>
      <c r="P5286" s="490"/>
      <c r="Q5286" s="490">
        <v>1000</v>
      </c>
      <c r="R5286" s="490"/>
      <c r="S5286" s="490"/>
      <c r="T5286" s="490">
        <v>1500</v>
      </c>
      <c r="U5286" s="490"/>
      <c r="V5286" s="490"/>
      <c r="W5286" s="490"/>
      <c r="X5286" s="490"/>
      <c r="Y5286" s="490"/>
      <c r="Z5286" s="490"/>
      <c r="AA5286" s="371">
        <f t="shared" si="898"/>
        <v>2500</v>
      </c>
    </row>
    <row r="5287" spans="1:27" ht="33.75" x14ac:dyDescent="0.2">
      <c r="A5287" s="134"/>
      <c r="B5287" s="2456"/>
      <c r="C5287" s="3688"/>
      <c r="D5287" s="2421"/>
      <c r="E5287" s="2426"/>
      <c r="F5287" s="2420"/>
      <c r="G5287" s="2420"/>
      <c r="H5287" s="2420"/>
      <c r="I5287" s="2420"/>
      <c r="J5287" s="3497"/>
      <c r="K5287" s="3497"/>
      <c r="L5287" s="2420"/>
      <c r="M5287" s="1846" t="s">
        <v>2256</v>
      </c>
      <c r="N5287" s="567" t="s">
        <v>2257</v>
      </c>
      <c r="O5287" s="490"/>
      <c r="P5287" s="490">
        <v>5000</v>
      </c>
      <c r="Q5287" s="490"/>
      <c r="R5287" s="490"/>
      <c r="S5287" s="490">
        <v>7000</v>
      </c>
      <c r="T5287" s="490"/>
      <c r="U5287" s="490"/>
      <c r="V5287" s="490">
        <v>5000</v>
      </c>
      <c r="W5287" s="490"/>
      <c r="X5287" s="490"/>
      <c r="Y5287" s="490">
        <v>8000</v>
      </c>
      <c r="Z5287" s="490"/>
      <c r="AA5287" s="371">
        <f t="shared" si="898"/>
        <v>25000</v>
      </c>
    </row>
    <row r="5288" spans="1:27" ht="45" x14ac:dyDescent="0.2">
      <c r="A5288" s="134"/>
      <c r="B5288" s="2456"/>
      <c r="C5288" s="3688"/>
      <c r="D5288" s="2421"/>
      <c r="E5288" s="2426"/>
      <c r="F5288" s="2420"/>
      <c r="G5288" s="2420"/>
      <c r="H5288" s="2420"/>
      <c r="I5288" s="2420"/>
      <c r="J5288" s="3497"/>
      <c r="K5288" s="3497"/>
      <c r="L5288" s="2420"/>
      <c r="M5288" s="1846" t="s">
        <v>2258</v>
      </c>
      <c r="N5288" s="567" t="s">
        <v>1273</v>
      </c>
      <c r="O5288" s="490"/>
      <c r="P5288" s="490"/>
      <c r="Q5288" s="490"/>
      <c r="R5288" s="490">
        <v>1000</v>
      </c>
      <c r="S5288" s="490"/>
      <c r="T5288" s="490"/>
      <c r="U5288" s="490"/>
      <c r="V5288" s="490"/>
      <c r="W5288" s="490">
        <v>1000</v>
      </c>
      <c r="X5288" s="490"/>
      <c r="Y5288" s="490"/>
      <c r="Z5288" s="490"/>
      <c r="AA5288" s="371">
        <f t="shared" si="898"/>
        <v>2000</v>
      </c>
    </row>
    <row r="5289" spans="1:27" ht="22.5" x14ac:dyDescent="0.2">
      <c r="A5289" s="134"/>
      <c r="B5289" s="2456"/>
      <c r="C5289" s="3688"/>
      <c r="D5289" s="2421"/>
      <c r="E5289" s="2426"/>
      <c r="F5289" s="2420"/>
      <c r="G5289" s="2420"/>
      <c r="H5289" s="2420"/>
      <c r="I5289" s="2420"/>
      <c r="J5289" s="3497"/>
      <c r="K5289" s="3497"/>
      <c r="L5289" s="2420"/>
      <c r="M5289" s="1846" t="s">
        <v>2259</v>
      </c>
      <c r="N5289" s="567" t="s">
        <v>2260</v>
      </c>
      <c r="O5289" s="490"/>
      <c r="P5289" s="490"/>
      <c r="Q5289" s="490">
        <v>1500</v>
      </c>
      <c r="R5289" s="490"/>
      <c r="S5289" s="490"/>
      <c r="T5289" s="490"/>
      <c r="U5289" s="490">
        <v>1500</v>
      </c>
      <c r="V5289" s="490"/>
      <c r="W5289" s="490"/>
      <c r="X5289" s="490"/>
      <c r="Y5289" s="490"/>
      <c r="Z5289" s="490"/>
      <c r="AA5289" s="371">
        <f t="shared" si="898"/>
        <v>3000</v>
      </c>
    </row>
    <row r="5290" spans="1:27" x14ac:dyDescent="0.2">
      <c r="A5290" s="134"/>
      <c r="B5290" s="2456"/>
      <c r="C5290" s="3688"/>
      <c r="D5290" s="2421"/>
      <c r="E5290" s="2426"/>
      <c r="F5290" s="2420"/>
      <c r="G5290" s="2420"/>
      <c r="H5290" s="2420"/>
      <c r="I5290" s="2420"/>
      <c r="J5290" s="3497"/>
      <c r="K5290" s="3497"/>
      <c r="L5290" s="2420"/>
      <c r="M5290" s="1846" t="s">
        <v>2261</v>
      </c>
      <c r="N5290" s="1852" t="s">
        <v>1572</v>
      </c>
      <c r="O5290" s="490"/>
      <c r="P5290" s="490"/>
      <c r="Q5290" s="490">
        <v>1000</v>
      </c>
      <c r="R5290" s="490"/>
      <c r="S5290" s="490"/>
      <c r="T5290" s="490"/>
      <c r="U5290" s="490"/>
      <c r="V5290" s="490">
        <v>1000</v>
      </c>
      <c r="W5290" s="490"/>
      <c r="X5290" s="490"/>
      <c r="Y5290" s="490"/>
      <c r="Z5290" s="490"/>
      <c r="AA5290" s="371">
        <f t="shared" si="898"/>
        <v>2000</v>
      </c>
    </row>
    <row r="5291" spans="1:27" x14ac:dyDescent="0.2">
      <c r="A5291" s="134"/>
      <c r="B5291" s="2456"/>
      <c r="C5291" s="3688"/>
      <c r="D5291" s="2421"/>
      <c r="E5291" s="2426"/>
      <c r="F5291" s="2420"/>
      <c r="G5291" s="2420"/>
      <c r="H5291" s="2420"/>
      <c r="I5291" s="2420"/>
      <c r="J5291" s="3497"/>
      <c r="K5291" s="3497"/>
      <c r="L5291" s="2420"/>
      <c r="M5291" s="345" t="s">
        <v>2262</v>
      </c>
      <c r="N5291" s="345" t="s">
        <v>1277</v>
      </c>
      <c r="O5291" s="490"/>
      <c r="P5291" s="490"/>
      <c r="Q5291" s="490">
        <v>1000</v>
      </c>
      <c r="R5291" s="490"/>
      <c r="S5291" s="490"/>
      <c r="T5291" s="490">
        <v>1000</v>
      </c>
      <c r="U5291" s="490"/>
      <c r="V5291" s="490"/>
      <c r="W5291" s="490"/>
      <c r="X5291" s="490">
        <v>1000</v>
      </c>
      <c r="Y5291" s="490"/>
      <c r="Z5291" s="490"/>
      <c r="AA5291" s="371">
        <f t="shared" si="898"/>
        <v>3000</v>
      </c>
    </row>
    <row r="5292" spans="1:27" ht="22.5" x14ac:dyDescent="0.2">
      <c r="A5292" s="134"/>
      <c r="B5292" s="2456"/>
      <c r="C5292" s="3688"/>
      <c r="D5292" s="2421"/>
      <c r="E5292" s="2426"/>
      <c r="F5292" s="2420"/>
      <c r="G5292" s="2420"/>
      <c r="H5292" s="2420"/>
      <c r="I5292" s="2420"/>
      <c r="J5292" s="3497"/>
      <c r="K5292" s="3497"/>
      <c r="L5292" s="2420"/>
      <c r="M5292" s="1846" t="s">
        <v>2066</v>
      </c>
      <c r="N5292" s="345" t="s">
        <v>1238</v>
      </c>
      <c r="O5292" s="490"/>
      <c r="P5292" s="490">
        <v>1000</v>
      </c>
      <c r="Q5292" s="490">
        <v>1000</v>
      </c>
      <c r="R5292" s="490">
        <v>1000</v>
      </c>
      <c r="S5292" s="490">
        <v>1000</v>
      </c>
      <c r="T5292" s="490">
        <v>1000</v>
      </c>
      <c r="U5292" s="490">
        <v>1000</v>
      </c>
      <c r="V5292" s="490">
        <v>1000</v>
      </c>
      <c r="W5292" s="490">
        <v>1000</v>
      </c>
      <c r="X5292" s="490">
        <v>1000</v>
      </c>
      <c r="Y5292" s="490">
        <v>1000</v>
      </c>
      <c r="Z5292" s="490"/>
      <c r="AA5292" s="371">
        <f t="shared" si="898"/>
        <v>10000</v>
      </c>
    </row>
    <row r="5293" spans="1:27" ht="45" x14ac:dyDescent="0.2">
      <c r="A5293" s="134"/>
      <c r="B5293" s="2456"/>
      <c r="C5293" s="3688"/>
      <c r="D5293" s="2421"/>
      <c r="E5293" s="2426"/>
      <c r="F5293" s="2420"/>
      <c r="G5293" s="2420"/>
      <c r="H5293" s="2420"/>
      <c r="I5293" s="2420"/>
      <c r="J5293" s="3497"/>
      <c r="K5293" s="3497"/>
      <c r="L5293" s="2420"/>
      <c r="M5293" s="1846" t="s">
        <v>2263</v>
      </c>
      <c r="N5293" s="345" t="s">
        <v>2264</v>
      </c>
      <c r="O5293" s="490">
        <v>1000</v>
      </c>
      <c r="P5293" s="490">
        <v>1000</v>
      </c>
      <c r="Q5293" s="490">
        <v>2000</v>
      </c>
      <c r="R5293" s="490">
        <v>2000</v>
      </c>
      <c r="S5293" s="490">
        <v>2000</v>
      </c>
      <c r="T5293" s="490">
        <v>2000</v>
      </c>
      <c r="U5293" s="490">
        <v>2000</v>
      </c>
      <c r="V5293" s="490">
        <v>2000</v>
      </c>
      <c r="W5293" s="490">
        <v>2000</v>
      </c>
      <c r="X5293" s="490">
        <v>2000</v>
      </c>
      <c r="Y5293" s="490">
        <v>1000</v>
      </c>
      <c r="Z5293" s="490">
        <v>1000</v>
      </c>
      <c r="AA5293" s="371">
        <f t="shared" si="898"/>
        <v>20000</v>
      </c>
    </row>
    <row r="5294" spans="1:27" x14ac:dyDescent="0.2">
      <c r="A5294" s="134"/>
      <c r="B5294" s="2456"/>
      <c r="C5294" s="3688"/>
      <c r="D5294" s="2421"/>
      <c r="E5294" s="2426"/>
      <c r="F5294" s="2420"/>
      <c r="G5294" s="2420"/>
      <c r="H5294" s="2420"/>
      <c r="I5294" s="2420"/>
      <c r="J5294" s="3497"/>
      <c r="K5294" s="3497"/>
      <c r="L5294" s="2420"/>
      <c r="M5294" s="1841" t="s">
        <v>2070</v>
      </c>
      <c r="N5294" s="345" t="s">
        <v>1279</v>
      </c>
      <c r="O5294" s="490">
        <v>1000</v>
      </c>
      <c r="P5294" s="490"/>
      <c r="Q5294" s="490">
        <v>1000</v>
      </c>
      <c r="R5294" s="490"/>
      <c r="S5294" s="490">
        <v>1000</v>
      </c>
      <c r="T5294" s="490"/>
      <c r="U5294" s="490">
        <v>1500</v>
      </c>
      <c r="V5294" s="490"/>
      <c r="W5294" s="490">
        <v>1000</v>
      </c>
      <c r="X5294" s="490"/>
      <c r="Y5294" s="490">
        <v>1000</v>
      </c>
      <c r="Z5294" s="490">
        <v>1500</v>
      </c>
      <c r="AA5294" s="371">
        <f t="shared" si="898"/>
        <v>8000</v>
      </c>
    </row>
    <row r="5295" spans="1:27" ht="45" x14ac:dyDescent="0.2">
      <c r="A5295" s="134"/>
      <c r="B5295" s="2456"/>
      <c r="C5295" s="3688"/>
      <c r="D5295" s="2421"/>
      <c r="E5295" s="2426"/>
      <c r="F5295" s="2420"/>
      <c r="G5295" s="2420"/>
      <c r="H5295" s="2420"/>
      <c r="I5295" s="2420"/>
      <c r="J5295" s="3497"/>
      <c r="K5295" s="3497"/>
      <c r="L5295" s="2420"/>
      <c r="M5295" s="1846" t="s">
        <v>2265</v>
      </c>
      <c r="N5295" s="345" t="s">
        <v>2266</v>
      </c>
      <c r="O5295" s="490"/>
      <c r="P5295" s="490">
        <v>5200</v>
      </c>
      <c r="Q5295" s="490"/>
      <c r="R5295" s="490">
        <v>5000</v>
      </c>
      <c r="S5295" s="490">
        <v>5000</v>
      </c>
      <c r="T5295" s="490"/>
      <c r="U5295" s="490">
        <v>5000</v>
      </c>
      <c r="V5295" s="490">
        <v>5000</v>
      </c>
      <c r="W5295" s="490">
        <v>5000</v>
      </c>
      <c r="X5295" s="490"/>
      <c r="Y5295" s="490">
        <v>5000</v>
      </c>
      <c r="Z5295" s="490"/>
      <c r="AA5295" s="371">
        <f t="shared" si="898"/>
        <v>35200</v>
      </c>
    </row>
    <row r="5296" spans="1:27" ht="22.5" x14ac:dyDescent="0.2">
      <c r="A5296" s="134"/>
      <c r="B5296" s="2456"/>
      <c r="C5296" s="3688"/>
      <c r="D5296" s="2421"/>
      <c r="E5296" s="2426"/>
      <c r="F5296" s="2420"/>
      <c r="G5296" s="2420"/>
      <c r="H5296" s="2420"/>
      <c r="I5296" s="2420"/>
      <c r="J5296" s="3497"/>
      <c r="K5296" s="3497"/>
      <c r="L5296" s="2420"/>
      <c r="M5296" s="1846" t="s">
        <v>2267</v>
      </c>
      <c r="N5296" s="1852" t="s">
        <v>2268</v>
      </c>
      <c r="O5296" s="490"/>
      <c r="P5296" s="490">
        <v>4000</v>
      </c>
      <c r="Q5296" s="490"/>
      <c r="R5296" s="490"/>
      <c r="S5296" s="490"/>
      <c r="T5296" s="490">
        <v>3000</v>
      </c>
      <c r="U5296" s="490"/>
      <c r="V5296" s="490"/>
      <c r="W5296" s="490"/>
      <c r="X5296" s="490">
        <v>3000</v>
      </c>
      <c r="Y5296" s="490"/>
      <c r="Z5296" s="490"/>
      <c r="AA5296" s="371">
        <f t="shared" si="898"/>
        <v>10000</v>
      </c>
    </row>
    <row r="5297" spans="1:27" x14ac:dyDescent="0.2">
      <c r="A5297" s="134"/>
      <c r="B5297" s="2456"/>
      <c r="C5297" s="3688"/>
      <c r="D5297" s="2421"/>
      <c r="E5297" s="2426"/>
      <c r="F5297" s="2420"/>
      <c r="G5297" s="2420"/>
      <c r="H5297" s="2420"/>
      <c r="I5297" s="2420"/>
      <c r="J5297" s="3497"/>
      <c r="K5297" s="3497"/>
      <c r="L5297" s="2420"/>
      <c r="M5297" s="1841" t="s">
        <v>2269</v>
      </c>
      <c r="N5297" s="1852" t="s">
        <v>2270</v>
      </c>
      <c r="O5297" s="490"/>
      <c r="P5297" s="490">
        <v>2000</v>
      </c>
      <c r="Q5297" s="490"/>
      <c r="R5297" s="490">
        <v>2000</v>
      </c>
      <c r="S5297" s="490"/>
      <c r="T5297" s="490">
        <v>2000</v>
      </c>
      <c r="U5297" s="490"/>
      <c r="V5297" s="490"/>
      <c r="W5297" s="490"/>
      <c r="X5297" s="490">
        <v>2000</v>
      </c>
      <c r="Y5297" s="490"/>
      <c r="Z5297" s="490">
        <v>2000</v>
      </c>
      <c r="AA5297" s="371">
        <f t="shared" si="898"/>
        <v>10000</v>
      </c>
    </row>
    <row r="5298" spans="1:27" ht="22.5" x14ac:dyDescent="0.2">
      <c r="A5298" s="134"/>
      <c r="B5298" s="2456"/>
      <c r="C5298" s="3688"/>
      <c r="D5298" s="2421"/>
      <c r="E5298" s="2426"/>
      <c r="F5298" s="2420"/>
      <c r="G5298" s="2420"/>
      <c r="H5298" s="2420"/>
      <c r="I5298" s="2420"/>
      <c r="J5298" s="3497"/>
      <c r="K5298" s="3497"/>
      <c r="L5298" s="2420"/>
      <c r="M5298" s="1841" t="s">
        <v>2271</v>
      </c>
      <c r="N5298" s="345" t="s">
        <v>2272</v>
      </c>
      <c r="O5298" s="490"/>
      <c r="P5298" s="490">
        <v>1000</v>
      </c>
      <c r="Q5298" s="490"/>
      <c r="R5298" s="490"/>
      <c r="S5298" s="490">
        <v>1000</v>
      </c>
      <c r="T5298" s="490"/>
      <c r="U5298" s="490"/>
      <c r="V5298" s="490">
        <v>1000</v>
      </c>
      <c r="W5298" s="490"/>
      <c r="X5298" s="490"/>
      <c r="Y5298" s="490">
        <v>1000</v>
      </c>
      <c r="Z5298" s="490"/>
      <c r="AA5298" s="371">
        <f t="shared" si="898"/>
        <v>4000</v>
      </c>
    </row>
    <row r="5299" spans="1:27" ht="22.5" x14ac:dyDescent="0.2">
      <c r="A5299" s="134"/>
      <c r="B5299" s="2456"/>
      <c r="C5299" s="3688"/>
      <c r="D5299" s="2421"/>
      <c r="E5299" s="2426"/>
      <c r="F5299" s="2420"/>
      <c r="G5299" s="2420"/>
      <c r="H5299" s="2420"/>
      <c r="I5299" s="2420"/>
      <c r="J5299" s="3497"/>
      <c r="K5299" s="3497"/>
      <c r="L5299" s="2420"/>
      <c r="M5299" s="1846" t="s">
        <v>2179</v>
      </c>
      <c r="N5299" s="1852" t="s">
        <v>1586</v>
      </c>
      <c r="O5299" s="490">
        <v>3500</v>
      </c>
      <c r="P5299" s="490">
        <v>3500</v>
      </c>
      <c r="Q5299" s="490">
        <v>3500</v>
      </c>
      <c r="R5299" s="490">
        <v>3500</v>
      </c>
      <c r="S5299" s="490">
        <v>3500</v>
      </c>
      <c r="T5299" s="490">
        <v>3500</v>
      </c>
      <c r="U5299" s="490">
        <v>3500</v>
      </c>
      <c r="V5299" s="490">
        <v>3500</v>
      </c>
      <c r="W5299" s="490">
        <v>3500</v>
      </c>
      <c r="X5299" s="490">
        <v>3500</v>
      </c>
      <c r="Y5299" s="490">
        <v>3500</v>
      </c>
      <c r="Z5299" s="490">
        <v>3500</v>
      </c>
      <c r="AA5299" s="371">
        <f t="shared" si="898"/>
        <v>42000</v>
      </c>
    </row>
    <row r="5300" spans="1:27" ht="22.5" x14ac:dyDescent="0.2">
      <c r="A5300" s="134"/>
      <c r="B5300" s="2456"/>
      <c r="C5300" s="3688"/>
      <c r="D5300" s="2421"/>
      <c r="E5300" s="2426"/>
      <c r="F5300" s="2420"/>
      <c r="G5300" s="2420"/>
      <c r="H5300" s="2420"/>
      <c r="I5300" s="2420"/>
      <c r="J5300" s="3497"/>
      <c r="K5300" s="3497"/>
      <c r="L5300" s="2420"/>
      <c r="M5300" s="1841" t="s">
        <v>2273</v>
      </c>
      <c r="N5300" s="345" t="s">
        <v>1584</v>
      </c>
      <c r="O5300" s="490"/>
      <c r="P5300" s="490"/>
      <c r="Q5300" s="490"/>
      <c r="R5300" s="490"/>
      <c r="S5300" s="490">
        <v>2000</v>
      </c>
      <c r="T5300" s="490">
        <v>2000</v>
      </c>
      <c r="U5300" s="490"/>
      <c r="V5300" s="490"/>
      <c r="W5300" s="490"/>
      <c r="X5300" s="490">
        <v>1000</v>
      </c>
      <c r="Y5300" s="490"/>
      <c r="Z5300" s="490"/>
      <c r="AA5300" s="371">
        <f t="shared" si="898"/>
        <v>5000</v>
      </c>
    </row>
    <row r="5301" spans="1:27" x14ac:dyDescent="0.2">
      <c r="A5301" s="134"/>
      <c r="B5301" s="2456"/>
      <c r="C5301" s="3688"/>
      <c r="D5301" s="2421"/>
      <c r="E5301" s="2426"/>
      <c r="F5301" s="2420"/>
      <c r="G5301" s="2420"/>
      <c r="H5301" s="2420"/>
      <c r="I5301" s="2420"/>
      <c r="J5301" s="3497"/>
      <c r="K5301" s="3497"/>
      <c r="L5301" s="2420"/>
      <c r="M5301" s="1846" t="s">
        <v>2274</v>
      </c>
      <c r="N5301" s="1852" t="s">
        <v>1226</v>
      </c>
      <c r="O5301" s="490"/>
      <c r="P5301" s="490"/>
      <c r="Q5301" s="490"/>
      <c r="R5301" s="490">
        <v>2000</v>
      </c>
      <c r="S5301" s="490"/>
      <c r="T5301" s="490"/>
      <c r="U5301" s="490"/>
      <c r="V5301" s="490">
        <v>500</v>
      </c>
      <c r="W5301" s="490"/>
      <c r="X5301" s="490"/>
      <c r="Y5301" s="490"/>
      <c r="Z5301" s="490"/>
      <c r="AA5301" s="371">
        <f t="shared" si="898"/>
        <v>2500</v>
      </c>
    </row>
    <row r="5302" spans="1:27" x14ac:dyDescent="0.2">
      <c r="A5302" s="134"/>
      <c r="B5302" s="2456"/>
      <c r="C5302" s="3688"/>
      <c r="D5302" s="2421"/>
      <c r="E5302" s="2426"/>
      <c r="F5302" s="2420"/>
      <c r="G5302" s="2420"/>
      <c r="H5302" s="2420"/>
      <c r="I5302" s="2420"/>
      <c r="J5302" s="3497"/>
      <c r="K5302" s="3497"/>
      <c r="L5302" s="2420"/>
      <c r="M5302" s="1846" t="s">
        <v>2275</v>
      </c>
      <c r="N5302" s="1852" t="s">
        <v>1643</v>
      </c>
      <c r="O5302" s="490"/>
      <c r="P5302" s="490">
        <v>3000</v>
      </c>
      <c r="Q5302" s="490"/>
      <c r="R5302" s="490">
        <v>3000</v>
      </c>
      <c r="S5302" s="490"/>
      <c r="T5302" s="490">
        <v>3000</v>
      </c>
      <c r="U5302" s="490"/>
      <c r="V5302" s="490">
        <v>3000</v>
      </c>
      <c r="W5302" s="490"/>
      <c r="X5302" s="490">
        <v>3000</v>
      </c>
      <c r="Y5302" s="490">
        <v>2000</v>
      </c>
      <c r="Z5302" s="490"/>
      <c r="AA5302" s="371">
        <f t="shared" si="898"/>
        <v>17000</v>
      </c>
    </row>
    <row r="5303" spans="1:27" x14ac:dyDescent="0.2">
      <c r="A5303" s="134"/>
      <c r="B5303" s="2456"/>
      <c r="C5303" s="3688"/>
      <c r="D5303" s="2421"/>
      <c r="E5303" s="2426"/>
      <c r="F5303" s="2420"/>
      <c r="G5303" s="2420"/>
      <c r="H5303" s="2420"/>
      <c r="I5303" s="2420"/>
      <c r="J5303" s="3497"/>
      <c r="K5303" s="3497"/>
      <c r="L5303" s="2420"/>
      <c r="M5303" s="1846" t="s">
        <v>2103</v>
      </c>
      <c r="N5303" s="567" t="s">
        <v>1262</v>
      </c>
      <c r="O5303" s="490">
        <v>4167</v>
      </c>
      <c r="P5303" s="490">
        <v>4166.6000000000004</v>
      </c>
      <c r="Q5303" s="490">
        <v>4166.6000000000004</v>
      </c>
      <c r="R5303" s="490">
        <v>4166.6000000000004</v>
      </c>
      <c r="S5303" s="490">
        <v>4166.6000000000004</v>
      </c>
      <c r="T5303" s="490">
        <v>4166.6000000000004</v>
      </c>
      <c r="U5303" s="490">
        <v>4166.6000000000004</v>
      </c>
      <c r="V5303" s="490">
        <v>4166.6000000000004</v>
      </c>
      <c r="W5303" s="490">
        <v>4166.6000000000004</v>
      </c>
      <c r="X5303" s="490">
        <v>4166.6000000000004</v>
      </c>
      <c r="Y5303" s="490">
        <v>4166.6000000000004</v>
      </c>
      <c r="Z5303" s="490">
        <v>4166.6000000000004</v>
      </c>
      <c r="AA5303" s="371">
        <f t="shared" si="898"/>
        <v>49999.599999999991</v>
      </c>
    </row>
    <row r="5304" spans="1:27" ht="33.75" x14ac:dyDescent="0.2">
      <c r="A5304" s="134"/>
      <c r="B5304" s="2456"/>
      <c r="C5304" s="3688"/>
      <c r="D5304" s="2421"/>
      <c r="E5304" s="2426"/>
      <c r="F5304" s="2420"/>
      <c r="G5304" s="2420"/>
      <c r="H5304" s="2420"/>
      <c r="I5304" s="2420"/>
      <c r="J5304" s="3497"/>
      <c r="K5304" s="3497"/>
      <c r="L5304" s="2420"/>
      <c r="M5304" s="1846" t="s">
        <v>2176</v>
      </c>
      <c r="N5304" s="2018" t="s">
        <v>1331</v>
      </c>
      <c r="O5304" s="174">
        <v>54223.16</v>
      </c>
      <c r="P5304" s="174">
        <v>54223.16</v>
      </c>
      <c r="Q5304" s="174">
        <v>54223.16</v>
      </c>
      <c r="R5304" s="174">
        <v>54223.16</v>
      </c>
      <c r="S5304" s="174">
        <v>54223.16</v>
      </c>
      <c r="T5304" s="174">
        <v>54223.16</v>
      </c>
      <c r="U5304" s="174">
        <v>54223.16</v>
      </c>
      <c r="V5304" s="174">
        <v>54223.16</v>
      </c>
      <c r="W5304" s="174">
        <v>54223.16</v>
      </c>
      <c r="X5304" s="174">
        <v>54223.16</v>
      </c>
      <c r="Y5304" s="174">
        <v>54223.16</v>
      </c>
      <c r="Z5304" s="174">
        <v>54223.16</v>
      </c>
      <c r="AA5304" s="371">
        <f t="shared" si="898"/>
        <v>650677.92000000027</v>
      </c>
    </row>
    <row r="5305" spans="1:27" ht="22.5" x14ac:dyDescent="0.2">
      <c r="A5305" s="134"/>
      <c r="B5305" s="2450"/>
      <c r="C5305" s="3688"/>
      <c r="D5305" s="2421"/>
      <c r="E5305" s="2426"/>
      <c r="F5305" s="2420"/>
      <c r="G5305" s="2420"/>
      <c r="H5305" s="2420"/>
      <c r="I5305" s="2420"/>
      <c r="J5305" s="3497"/>
      <c r="K5305" s="3497"/>
      <c r="L5305" s="2420"/>
      <c r="M5305" s="1846" t="s">
        <v>2177</v>
      </c>
      <c r="N5305" s="2018" t="s">
        <v>1333</v>
      </c>
      <c r="O5305" s="174">
        <v>3333.3</v>
      </c>
      <c r="P5305" s="174">
        <v>3333.3</v>
      </c>
      <c r="Q5305" s="174">
        <v>3333.3</v>
      </c>
      <c r="R5305" s="174">
        <v>3333.3</v>
      </c>
      <c r="S5305" s="174">
        <v>3333.3</v>
      </c>
      <c r="T5305" s="174">
        <v>3333.3</v>
      </c>
      <c r="U5305" s="174">
        <v>3333.3</v>
      </c>
      <c r="V5305" s="174">
        <v>3333.3</v>
      </c>
      <c r="W5305" s="174">
        <v>3333.3</v>
      </c>
      <c r="X5305" s="174">
        <v>3333.3</v>
      </c>
      <c r="Y5305" s="174">
        <v>3333.3</v>
      </c>
      <c r="Z5305" s="174">
        <v>3333.3</v>
      </c>
      <c r="AA5305" s="371">
        <f t="shared" si="898"/>
        <v>39999.600000000006</v>
      </c>
    </row>
    <row r="5306" spans="1:27" x14ac:dyDescent="0.2">
      <c r="A5306" s="134"/>
      <c r="B5306" s="2438">
        <v>5000276</v>
      </c>
      <c r="C5306" s="3688" t="s">
        <v>2276</v>
      </c>
      <c r="D5306" s="2421" t="s">
        <v>2277</v>
      </c>
      <c r="E5306" s="2426" t="s">
        <v>2159</v>
      </c>
      <c r="F5306" s="2420" t="s">
        <v>2160</v>
      </c>
      <c r="G5306" s="2420" t="s">
        <v>2161</v>
      </c>
      <c r="H5306" s="2420" t="s">
        <v>2278</v>
      </c>
      <c r="I5306" s="2420" t="s">
        <v>2279</v>
      </c>
      <c r="J5306" s="3497">
        <v>4</v>
      </c>
      <c r="K5306" s="3497">
        <v>305095.8</v>
      </c>
      <c r="L5306" s="2420" t="s">
        <v>2246</v>
      </c>
      <c r="M5306" s="2840" t="s">
        <v>51</v>
      </c>
      <c r="N5306" s="2840"/>
      <c r="O5306" s="502"/>
      <c r="P5306" s="502"/>
      <c r="Q5306" s="502">
        <v>1</v>
      </c>
      <c r="R5306" s="502"/>
      <c r="S5306" s="502"/>
      <c r="T5306" s="502">
        <v>1</v>
      </c>
      <c r="U5306" s="502"/>
      <c r="V5306" s="502"/>
      <c r="W5306" s="502">
        <v>1</v>
      </c>
      <c r="X5306" s="502"/>
      <c r="Y5306" s="502"/>
      <c r="Z5306" s="502">
        <v>1</v>
      </c>
      <c r="AA5306" s="371">
        <f t="shared" si="898"/>
        <v>4</v>
      </c>
    </row>
    <row r="5307" spans="1:27" x14ac:dyDescent="0.2">
      <c r="A5307" s="134"/>
      <c r="B5307" s="2456"/>
      <c r="C5307" s="3688"/>
      <c r="D5307" s="2421"/>
      <c r="E5307" s="2426"/>
      <c r="F5307" s="2420"/>
      <c r="G5307" s="2420"/>
      <c r="H5307" s="2420"/>
      <c r="I5307" s="2420"/>
      <c r="J5307" s="3497"/>
      <c r="K5307" s="3497"/>
      <c r="L5307" s="2420"/>
      <c r="M5307" s="2840" t="s">
        <v>2280</v>
      </c>
      <c r="N5307" s="2840"/>
      <c r="O5307" s="502">
        <f>SUM(O5309:O5314)</f>
        <v>12142.75</v>
      </c>
      <c r="P5307" s="502">
        <f t="shared" ref="P5307:Z5307" si="901">SUM(P5309:P5314)</f>
        <v>12141.73</v>
      </c>
      <c r="Q5307" s="502">
        <f t="shared" si="901"/>
        <v>12141.63</v>
      </c>
      <c r="R5307" s="502">
        <f t="shared" si="901"/>
        <v>12141.63</v>
      </c>
      <c r="S5307" s="502">
        <f t="shared" si="901"/>
        <v>12141.63</v>
      </c>
      <c r="T5307" s="502">
        <f t="shared" si="901"/>
        <v>12141.63</v>
      </c>
      <c r="U5307" s="502">
        <f t="shared" si="901"/>
        <v>12141.63</v>
      </c>
      <c r="V5307" s="502">
        <f t="shared" si="901"/>
        <v>12141.63</v>
      </c>
      <c r="W5307" s="502">
        <f t="shared" si="901"/>
        <v>12141.63</v>
      </c>
      <c r="X5307" s="502">
        <f t="shared" si="901"/>
        <v>12141.63</v>
      </c>
      <c r="Y5307" s="502">
        <f t="shared" si="901"/>
        <v>12141.63</v>
      </c>
      <c r="Z5307" s="502">
        <f t="shared" si="901"/>
        <v>12141.63</v>
      </c>
      <c r="AA5307" s="371">
        <f>SUM(O5307:Z5307)</f>
        <v>145700.78000000003</v>
      </c>
    </row>
    <row r="5308" spans="1:27" x14ac:dyDescent="0.2">
      <c r="A5308" s="134"/>
      <c r="B5308" s="2456"/>
      <c r="C5308" s="3688"/>
      <c r="D5308" s="2421"/>
      <c r="E5308" s="2426"/>
      <c r="F5308" s="2420"/>
      <c r="G5308" s="2420"/>
      <c r="H5308" s="2420"/>
      <c r="I5308" s="2420"/>
      <c r="J5308" s="3497"/>
      <c r="K5308" s="3497"/>
      <c r="L5308" s="2420"/>
      <c r="M5308" s="2840" t="s">
        <v>2281</v>
      </c>
      <c r="N5308" s="2840"/>
      <c r="O5308" s="502">
        <f>SUM(O5315:O5338)</f>
        <v>13093.6</v>
      </c>
      <c r="P5308" s="502">
        <f t="shared" ref="P5308:Z5308" si="902">SUM(P5315:P5338)</f>
        <v>29042.499999999996</v>
      </c>
      <c r="Q5308" s="502">
        <f t="shared" si="902"/>
        <v>45741.299999999988</v>
      </c>
      <c r="R5308" s="502">
        <f t="shared" si="902"/>
        <v>28841.699999999993</v>
      </c>
      <c r="S5308" s="502">
        <f t="shared" si="902"/>
        <v>16841.3</v>
      </c>
      <c r="T5308" s="502">
        <f t="shared" si="902"/>
        <v>20841.699999999997</v>
      </c>
      <c r="U5308" s="502">
        <f t="shared" si="902"/>
        <v>22241.3</v>
      </c>
      <c r="V5308" s="502">
        <f t="shared" si="902"/>
        <v>15841.7</v>
      </c>
      <c r="W5308" s="502">
        <f t="shared" si="902"/>
        <v>14841.300000000001</v>
      </c>
      <c r="X5308" s="502">
        <f t="shared" si="902"/>
        <v>13791.7</v>
      </c>
      <c r="Y5308" s="502">
        <f t="shared" si="902"/>
        <v>19380.300000000003</v>
      </c>
      <c r="Z5308" s="502">
        <f t="shared" si="902"/>
        <v>13391.300000000001</v>
      </c>
      <c r="AA5308" s="1440">
        <f t="shared" si="898"/>
        <v>253889.69999999995</v>
      </c>
    </row>
    <row r="5309" spans="1:27" ht="45" x14ac:dyDescent="0.2">
      <c r="A5309" s="134"/>
      <c r="B5309" s="2456"/>
      <c r="C5309" s="3688"/>
      <c r="D5309" s="2421"/>
      <c r="E5309" s="2426"/>
      <c r="F5309" s="2420"/>
      <c r="G5309" s="2420"/>
      <c r="H5309" s="2420"/>
      <c r="I5309" s="2420"/>
      <c r="J5309" s="3497"/>
      <c r="K5309" s="3497"/>
      <c r="L5309" s="2420"/>
      <c r="M5309" s="1832" t="s">
        <v>2168</v>
      </c>
      <c r="N5309" s="1832" t="s">
        <v>2169</v>
      </c>
      <c r="O5309" s="500">
        <v>1169</v>
      </c>
      <c r="P5309" s="500">
        <v>1169</v>
      </c>
      <c r="Q5309" s="500">
        <v>1168.9000000000001</v>
      </c>
      <c r="R5309" s="500">
        <v>1168.9000000000001</v>
      </c>
      <c r="S5309" s="500">
        <v>1168.9000000000001</v>
      </c>
      <c r="T5309" s="500">
        <v>1168.9000000000001</v>
      </c>
      <c r="U5309" s="500">
        <v>1168.9000000000001</v>
      </c>
      <c r="V5309" s="500">
        <v>1168.9000000000001</v>
      </c>
      <c r="W5309" s="500">
        <v>1168.9000000000001</v>
      </c>
      <c r="X5309" s="500">
        <v>1168.9000000000001</v>
      </c>
      <c r="Y5309" s="500">
        <v>1168.9000000000001</v>
      </c>
      <c r="Z5309" s="500">
        <v>1168.9000000000001</v>
      </c>
      <c r="AA5309" s="1440">
        <f t="shared" si="898"/>
        <v>14026.999999999998</v>
      </c>
    </row>
    <row r="5310" spans="1:27" ht="45" x14ac:dyDescent="0.2">
      <c r="A5310" s="134"/>
      <c r="B5310" s="2456"/>
      <c r="C5310" s="3688"/>
      <c r="D5310" s="2421"/>
      <c r="E5310" s="2426"/>
      <c r="F5310" s="2420"/>
      <c r="G5310" s="2420"/>
      <c r="H5310" s="2420"/>
      <c r="I5310" s="2420"/>
      <c r="J5310" s="3497"/>
      <c r="K5310" s="3497"/>
      <c r="L5310" s="2420"/>
      <c r="M5310" s="1832" t="s">
        <v>2170</v>
      </c>
      <c r="N5310" s="1832" t="s">
        <v>2171</v>
      </c>
      <c r="O5310" s="500">
        <v>1051.75</v>
      </c>
      <c r="P5310" s="500">
        <v>1051.75</v>
      </c>
      <c r="Q5310" s="500">
        <v>1051.75</v>
      </c>
      <c r="R5310" s="500">
        <v>1051.75</v>
      </c>
      <c r="S5310" s="500">
        <v>1051.75</v>
      </c>
      <c r="T5310" s="500">
        <v>1051.75</v>
      </c>
      <c r="U5310" s="500">
        <v>1051.75</v>
      </c>
      <c r="V5310" s="500">
        <v>1051.75</v>
      </c>
      <c r="W5310" s="500">
        <v>1051.75</v>
      </c>
      <c r="X5310" s="500">
        <v>1051.75</v>
      </c>
      <c r="Y5310" s="500">
        <v>1051.75</v>
      </c>
      <c r="Z5310" s="500">
        <v>1051.75</v>
      </c>
      <c r="AA5310" s="1440">
        <f t="shared" si="898"/>
        <v>12621</v>
      </c>
    </row>
    <row r="5311" spans="1:27" ht="33.75" x14ac:dyDescent="0.2">
      <c r="A5311" s="134"/>
      <c r="B5311" s="2456"/>
      <c r="C5311" s="3688"/>
      <c r="D5311" s="2421"/>
      <c r="E5311" s="2426"/>
      <c r="F5311" s="2420"/>
      <c r="G5311" s="2420"/>
      <c r="H5311" s="2420"/>
      <c r="I5311" s="2420"/>
      <c r="J5311" s="3497"/>
      <c r="K5311" s="3497"/>
      <c r="L5311" s="2420"/>
      <c r="M5311" s="1832" t="s">
        <v>2172</v>
      </c>
      <c r="N5311" s="1832" t="s">
        <v>1319</v>
      </c>
      <c r="O5311" s="500">
        <v>9424</v>
      </c>
      <c r="P5311" s="500">
        <v>9423.4</v>
      </c>
      <c r="Q5311" s="500">
        <v>9423.4</v>
      </c>
      <c r="R5311" s="500">
        <v>9423.4</v>
      </c>
      <c r="S5311" s="500">
        <v>9423.4</v>
      </c>
      <c r="T5311" s="500">
        <v>9423.4</v>
      </c>
      <c r="U5311" s="500">
        <v>9423.4</v>
      </c>
      <c r="V5311" s="500">
        <v>9423.4</v>
      </c>
      <c r="W5311" s="500">
        <v>9423.4</v>
      </c>
      <c r="X5311" s="500">
        <v>9423.4</v>
      </c>
      <c r="Y5311" s="500">
        <v>9423.4</v>
      </c>
      <c r="Z5311" s="500">
        <v>9423.4</v>
      </c>
      <c r="AA5311" s="1440">
        <f t="shared" si="898"/>
        <v>113081.39999999998</v>
      </c>
    </row>
    <row r="5312" spans="1:27" x14ac:dyDescent="0.2">
      <c r="A5312" s="134"/>
      <c r="B5312" s="2456"/>
      <c r="C5312" s="3688"/>
      <c r="D5312" s="2421"/>
      <c r="E5312" s="2426"/>
      <c r="F5312" s="2420"/>
      <c r="G5312" s="2420"/>
      <c r="H5312" s="2420"/>
      <c r="I5312" s="2420"/>
      <c r="J5312" s="3497"/>
      <c r="K5312" s="3497"/>
      <c r="L5312" s="2420"/>
      <c r="M5312" s="1832" t="s">
        <v>2173</v>
      </c>
      <c r="N5312" s="1832" t="s">
        <v>1321</v>
      </c>
      <c r="O5312" s="500">
        <v>150</v>
      </c>
      <c r="P5312" s="500">
        <v>150</v>
      </c>
      <c r="Q5312" s="500">
        <v>150</v>
      </c>
      <c r="R5312" s="500">
        <v>150</v>
      </c>
      <c r="S5312" s="500">
        <v>150</v>
      </c>
      <c r="T5312" s="500">
        <v>150</v>
      </c>
      <c r="U5312" s="500">
        <v>150</v>
      </c>
      <c r="V5312" s="500">
        <v>150</v>
      </c>
      <c r="W5312" s="500">
        <v>150</v>
      </c>
      <c r="X5312" s="500">
        <v>150</v>
      </c>
      <c r="Y5312" s="500">
        <v>150</v>
      </c>
      <c r="Z5312" s="500">
        <v>150</v>
      </c>
      <c r="AA5312" s="1440">
        <f t="shared" si="898"/>
        <v>1800</v>
      </c>
    </row>
    <row r="5313" spans="1:27" ht="22.5" x14ac:dyDescent="0.2">
      <c r="A5313" s="134"/>
      <c r="B5313" s="2456"/>
      <c r="C5313" s="3688"/>
      <c r="D5313" s="2421"/>
      <c r="E5313" s="2426"/>
      <c r="F5313" s="2420"/>
      <c r="G5313" s="2420"/>
      <c r="H5313" s="2420"/>
      <c r="I5313" s="2420"/>
      <c r="J5313" s="3497"/>
      <c r="K5313" s="3497"/>
      <c r="L5313" s="2420"/>
      <c r="M5313" s="1832" t="s">
        <v>2174</v>
      </c>
      <c r="N5313" s="1832" t="s">
        <v>1323</v>
      </c>
      <c r="O5313" s="500">
        <v>100</v>
      </c>
      <c r="P5313" s="500">
        <v>100</v>
      </c>
      <c r="Q5313" s="500">
        <v>100</v>
      </c>
      <c r="R5313" s="500">
        <v>100</v>
      </c>
      <c r="S5313" s="500">
        <v>100</v>
      </c>
      <c r="T5313" s="500">
        <v>100</v>
      </c>
      <c r="U5313" s="500">
        <v>100</v>
      </c>
      <c r="V5313" s="500">
        <v>100</v>
      </c>
      <c r="W5313" s="500">
        <v>100</v>
      </c>
      <c r="X5313" s="500">
        <v>100</v>
      </c>
      <c r="Y5313" s="500">
        <v>100</v>
      </c>
      <c r="Z5313" s="500">
        <v>100</v>
      </c>
      <c r="AA5313" s="1440">
        <f t="shared" si="898"/>
        <v>1200</v>
      </c>
    </row>
    <row r="5314" spans="1:27" ht="22.5" x14ac:dyDescent="0.2">
      <c r="A5314" s="134"/>
      <c r="B5314" s="2456"/>
      <c r="C5314" s="3688"/>
      <c r="D5314" s="2421"/>
      <c r="E5314" s="2426"/>
      <c r="F5314" s="2420"/>
      <c r="G5314" s="2420"/>
      <c r="H5314" s="2420"/>
      <c r="I5314" s="2420"/>
      <c r="J5314" s="3497"/>
      <c r="K5314" s="3497"/>
      <c r="L5314" s="2420"/>
      <c r="M5314" s="1832" t="s">
        <v>2175</v>
      </c>
      <c r="N5314" s="1832" t="s">
        <v>1329</v>
      </c>
      <c r="O5314" s="500">
        <v>248</v>
      </c>
      <c r="P5314" s="500">
        <v>247.58</v>
      </c>
      <c r="Q5314" s="500">
        <v>247.58</v>
      </c>
      <c r="R5314" s="500">
        <v>247.58</v>
      </c>
      <c r="S5314" s="500">
        <v>247.58</v>
      </c>
      <c r="T5314" s="500">
        <v>247.58</v>
      </c>
      <c r="U5314" s="500">
        <v>247.58</v>
      </c>
      <c r="V5314" s="500">
        <v>247.58</v>
      </c>
      <c r="W5314" s="500">
        <v>247.58</v>
      </c>
      <c r="X5314" s="500">
        <v>247.58</v>
      </c>
      <c r="Y5314" s="500">
        <v>247.58</v>
      </c>
      <c r="Z5314" s="500">
        <v>247.58</v>
      </c>
      <c r="AA5314" s="1440">
        <f t="shared" si="898"/>
        <v>2971.3799999999997</v>
      </c>
    </row>
    <row r="5315" spans="1:27" ht="33.75" x14ac:dyDescent="0.2">
      <c r="A5315" s="134"/>
      <c r="B5315" s="2456"/>
      <c r="C5315" s="3688"/>
      <c r="D5315" s="2421"/>
      <c r="E5315" s="2426"/>
      <c r="F5315" s="2420"/>
      <c r="G5315" s="2420"/>
      <c r="H5315" s="2420"/>
      <c r="I5315" s="2420"/>
      <c r="J5315" s="3497"/>
      <c r="K5315" s="3497"/>
      <c r="L5315" s="2420"/>
      <c r="M5315" s="1846" t="s">
        <v>2282</v>
      </c>
      <c r="N5315" s="1273" t="s">
        <v>1306</v>
      </c>
      <c r="O5315" s="32"/>
      <c r="P5315" s="32">
        <v>500</v>
      </c>
      <c r="Q5315" s="32">
        <v>400</v>
      </c>
      <c r="R5315" s="32">
        <v>300</v>
      </c>
      <c r="S5315" s="32">
        <v>300</v>
      </c>
      <c r="T5315" s="32">
        <v>300</v>
      </c>
      <c r="U5315" s="32">
        <v>500</v>
      </c>
      <c r="V5315" s="32">
        <v>300</v>
      </c>
      <c r="W5315" s="32">
        <v>300</v>
      </c>
      <c r="X5315" s="32">
        <v>300</v>
      </c>
      <c r="Y5315" s="32">
        <v>500</v>
      </c>
      <c r="Z5315" s="32">
        <v>300</v>
      </c>
      <c r="AA5315" s="2245">
        <f t="shared" si="898"/>
        <v>4000</v>
      </c>
    </row>
    <row r="5316" spans="1:27" ht="22.5" x14ac:dyDescent="0.2">
      <c r="A5316" s="134"/>
      <c r="B5316" s="2456"/>
      <c r="C5316" s="3688"/>
      <c r="D5316" s="2421"/>
      <c r="E5316" s="2426"/>
      <c r="F5316" s="2420"/>
      <c r="G5316" s="2420"/>
      <c r="H5316" s="2420"/>
      <c r="I5316" s="2420"/>
      <c r="J5316" s="3497"/>
      <c r="K5316" s="3497"/>
      <c r="L5316" s="2420"/>
      <c r="M5316" s="1846" t="s">
        <v>2283</v>
      </c>
      <c r="N5316" s="1841" t="s">
        <v>1544</v>
      </c>
      <c r="O5316" s="32">
        <v>4167</v>
      </c>
      <c r="P5316" s="32">
        <v>4167</v>
      </c>
      <c r="Q5316" s="32">
        <v>4166.6000000000004</v>
      </c>
      <c r="R5316" s="32">
        <v>4166.6000000000004</v>
      </c>
      <c r="S5316" s="32">
        <v>4166.6000000000004</v>
      </c>
      <c r="T5316" s="32">
        <v>4166.6000000000004</v>
      </c>
      <c r="U5316" s="32">
        <v>4166.6000000000004</v>
      </c>
      <c r="V5316" s="32">
        <v>4166.6000000000004</v>
      </c>
      <c r="W5316" s="32">
        <v>4166.6000000000004</v>
      </c>
      <c r="X5316" s="32">
        <v>4166.6000000000004</v>
      </c>
      <c r="Y5316" s="32">
        <v>4166.6000000000004</v>
      </c>
      <c r="Z5316" s="32">
        <v>4166.6000000000004</v>
      </c>
      <c r="AA5316" s="2245">
        <f>SUM(O5316:Z5316)</f>
        <v>49999.999999999993</v>
      </c>
    </row>
    <row r="5317" spans="1:27" ht="33.75" x14ac:dyDescent="0.2">
      <c r="A5317" s="134"/>
      <c r="B5317" s="2456"/>
      <c r="C5317" s="3688"/>
      <c r="D5317" s="2421"/>
      <c r="E5317" s="2426"/>
      <c r="F5317" s="2420"/>
      <c r="G5317" s="2420"/>
      <c r="H5317" s="2420"/>
      <c r="I5317" s="2420"/>
      <c r="J5317" s="3497"/>
      <c r="K5317" s="3497"/>
      <c r="L5317" s="2420"/>
      <c r="M5317" s="1846" t="s">
        <v>2284</v>
      </c>
      <c r="N5317" s="1273" t="s">
        <v>1554</v>
      </c>
      <c r="O5317" s="32"/>
      <c r="P5317" s="32"/>
      <c r="Q5317" s="32"/>
      <c r="R5317" s="32">
        <v>5000</v>
      </c>
      <c r="S5317" s="32"/>
      <c r="T5317" s="32"/>
      <c r="U5317" s="32"/>
      <c r="V5317" s="32"/>
      <c r="W5317" s="32"/>
      <c r="X5317" s="32"/>
      <c r="Y5317" s="32">
        <v>1000</v>
      </c>
      <c r="Z5317" s="32"/>
      <c r="AA5317" s="2245">
        <f t="shared" si="898"/>
        <v>6000</v>
      </c>
    </row>
    <row r="5318" spans="1:27" x14ac:dyDescent="0.2">
      <c r="A5318" s="134"/>
      <c r="B5318" s="2456"/>
      <c r="C5318" s="3688"/>
      <c r="D5318" s="2421"/>
      <c r="E5318" s="2426"/>
      <c r="F5318" s="2420"/>
      <c r="G5318" s="2420"/>
      <c r="H5318" s="2420"/>
      <c r="I5318" s="2420"/>
      <c r="J5318" s="3497"/>
      <c r="K5318" s="3497"/>
      <c r="L5318" s="2420"/>
      <c r="M5318" s="1846" t="s">
        <v>2285</v>
      </c>
      <c r="N5318" s="1273" t="s">
        <v>2286</v>
      </c>
      <c r="O5318" s="32"/>
      <c r="P5318" s="32"/>
      <c r="Q5318" s="32">
        <v>2000</v>
      </c>
      <c r="R5318" s="32"/>
      <c r="S5318" s="32"/>
      <c r="T5318" s="32"/>
      <c r="U5318" s="32"/>
      <c r="V5318" s="32"/>
      <c r="W5318" s="32">
        <v>1000</v>
      </c>
      <c r="X5318" s="32"/>
      <c r="Y5318" s="32"/>
      <c r="Z5318" s="32"/>
      <c r="AA5318" s="2245">
        <f t="shared" si="898"/>
        <v>3000</v>
      </c>
    </row>
    <row r="5319" spans="1:27" ht="22.5" x14ac:dyDescent="0.2">
      <c r="A5319" s="134"/>
      <c r="B5319" s="2456"/>
      <c r="C5319" s="3688"/>
      <c r="D5319" s="2421"/>
      <c r="E5319" s="2426"/>
      <c r="F5319" s="2420"/>
      <c r="G5319" s="2420"/>
      <c r="H5319" s="2420"/>
      <c r="I5319" s="2420"/>
      <c r="J5319" s="3497"/>
      <c r="K5319" s="3497"/>
      <c r="L5319" s="2420"/>
      <c r="M5319" s="1846" t="s">
        <v>2287</v>
      </c>
      <c r="N5319" s="1273" t="s">
        <v>1220</v>
      </c>
      <c r="O5319" s="32">
        <v>2500</v>
      </c>
      <c r="P5319" s="32">
        <v>2500</v>
      </c>
      <c r="Q5319" s="32">
        <v>2500</v>
      </c>
      <c r="R5319" s="32">
        <v>2500</v>
      </c>
      <c r="S5319" s="32">
        <v>2500</v>
      </c>
      <c r="T5319" s="32">
        <v>2500</v>
      </c>
      <c r="U5319" s="32">
        <v>2500</v>
      </c>
      <c r="V5319" s="32">
        <v>2500</v>
      </c>
      <c r="W5319" s="32">
        <v>2500</v>
      </c>
      <c r="X5319" s="32">
        <v>2500</v>
      </c>
      <c r="Y5319" s="32">
        <v>2500</v>
      </c>
      <c r="Z5319" s="32">
        <v>2500</v>
      </c>
      <c r="AA5319" s="2245">
        <f t="shared" si="898"/>
        <v>30000</v>
      </c>
    </row>
    <row r="5320" spans="1:27" ht="22.5" x14ac:dyDescent="0.2">
      <c r="A5320" s="134"/>
      <c r="B5320" s="2456"/>
      <c r="C5320" s="3688"/>
      <c r="D5320" s="2421"/>
      <c r="E5320" s="2426"/>
      <c r="F5320" s="2420"/>
      <c r="G5320" s="2420"/>
      <c r="H5320" s="2420"/>
      <c r="I5320" s="2420"/>
      <c r="J5320" s="3497"/>
      <c r="K5320" s="3497"/>
      <c r="L5320" s="2420"/>
      <c r="M5320" s="1846" t="s">
        <v>2288</v>
      </c>
      <c r="N5320" s="567" t="s">
        <v>1222</v>
      </c>
      <c r="O5320" s="32">
        <v>300</v>
      </c>
      <c r="P5320" s="32">
        <v>350</v>
      </c>
      <c r="Q5320" s="32">
        <v>350</v>
      </c>
      <c r="R5320" s="32">
        <v>350</v>
      </c>
      <c r="S5320" s="32">
        <v>350</v>
      </c>
      <c r="T5320" s="32">
        <v>350</v>
      </c>
      <c r="U5320" s="32">
        <v>350</v>
      </c>
      <c r="V5320" s="32">
        <v>350</v>
      </c>
      <c r="W5320" s="32">
        <v>350</v>
      </c>
      <c r="X5320" s="32">
        <v>300</v>
      </c>
      <c r="Y5320" s="32">
        <v>300</v>
      </c>
      <c r="Z5320" s="32">
        <v>300</v>
      </c>
      <c r="AA5320" s="2245">
        <f t="shared" si="898"/>
        <v>4000</v>
      </c>
    </row>
    <row r="5321" spans="1:27" ht="22.5" x14ac:dyDescent="0.2">
      <c r="A5321" s="134"/>
      <c r="B5321" s="2456"/>
      <c r="C5321" s="3688"/>
      <c r="D5321" s="2421"/>
      <c r="E5321" s="2426"/>
      <c r="F5321" s="2420"/>
      <c r="G5321" s="2420"/>
      <c r="H5321" s="2420"/>
      <c r="I5321" s="2420"/>
      <c r="J5321" s="3497"/>
      <c r="K5321" s="3497"/>
      <c r="L5321" s="2420"/>
      <c r="M5321" s="1846" t="s">
        <v>2289</v>
      </c>
      <c r="N5321" s="1273" t="s">
        <v>1246</v>
      </c>
      <c r="O5321" s="32">
        <v>400</v>
      </c>
      <c r="P5321" s="32">
        <v>400</v>
      </c>
      <c r="Q5321" s="32"/>
      <c r="R5321" s="32">
        <v>400</v>
      </c>
      <c r="S5321" s="32">
        <v>400</v>
      </c>
      <c r="T5321" s="32">
        <v>400</v>
      </c>
      <c r="U5321" s="32"/>
      <c r="V5321" s="32">
        <v>400</v>
      </c>
      <c r="W5321" s="32">
        <v>400</v>
      </c>
      <c r="X5321" s="32">
        <v>400</v>
      </c>
      <c r="Y5321" s="32">
        <v>400</v>
      </c>
      <c r="Z5321" s="32">
        <v>400</v>
      </c>
      <c r="AA5321" s="2245">
        <f t="shared" si="898"/>
        <v>4000</v>
      </c>
    </row>
    <row r="5322" spans="1:27" ht="45" x14ac:dyDescent="0.2">
      <c r="A5322" s="134"/>
      <c r="B5322" s="2456"/>
      <c r="C5322" s="3688"/>
      <c r="D5322" s="2421"/>
      <c r="E5322" s="2426"/>
      <c r="F5322" s="2420"/>
      <c r="G5322" s="2420"/>
      <c r="H5322" s="2420"/>
      <c r="I5322" s="2420"/>
      <c r="J5322" s="3497"/>
      <c r="K5322" s="3497"/>
      <c r="L5322" s="2420"/>
      <c r="M5322" s="1846" t="s">
        <v>2253</v>
      </c>
      <c r="N5322" s="1273" t="s">
        <v>1236</v>
      </c>
      <c r="O5322" s="32"/>
      <c r="P5322" s="32">
        <v>10000</v>
      </c>
      <c r="Q5322" s="32"/>
      <c r="R5322" s="32">
        <v>5000</v>
      </c>
      <c r="S5322" s="32"/>
      <c r="T5322" s="32"/>
      <c r="U5322" s="32">
        <v>3000</v>
      </c>
      <c r="V5322" s="32"/>
      <c r="W5322" s="32"/>
      <c r="X5322" s="32"/>
      <c r="Y5322" s="32"/>
      <c r="Z5322" s="32"/>
      <c r="AA5322" s="2245">
        <f t="shared" si="898"/>
        <v>18000</v>
      </c>
    </row>
    <row r="5323" spans="1:27" ht="22.5" x14ac:dyDescent="0.2">
      <c r="A5323" s="134"/>
      <c r="B5323" s="2456"/>
      <c r="C5323" s="3688"/>
      <c r="D5323" s="2421"/>
      <c r="E5323" s="2426"/>
      <c r="F5323" s="2420"/>
      <c r="G5323" s="2420"/>
      <c r="H5323" s="2420"/>
      <c r="I5323" s="2420"/>
      <c r="J5323" s="3497"/>
      <c r="K5323" s="3497"/>
      <c r="L5323" s="2420"/>
      <c r="M5323" s="1846" t="s">
        <v>2254</v>
      </c>
      <c r="N5323" s="1273" t="s">
        <v>1268</v>
      </c>
      <c r="O5323" s="32"/>
      <c r="P5323" s="32">
        <v>5000</v>
      </c>
      <c r="Q5323" s="32"/>
      <c r="R5323" s="32"/>
      <c r="S5323" s="32">
        <v>3000</v>
      </c>
      <c r="T5323" s="32"/>
      <c r="U5323" s="32"/>
      <c r="V5323" s="32">
        <v>2000</v>
      </c>
      <c r="W5323" s="32"/>
      <c r="X5323" s="32"/>
      <c r="Y5323" s="32"/>
      <c r="Z5323" s="32"/>
      <c r="AA5323" s="2245">
        <f t="shared" si="898"/>
        <v>10000</v>
      </c>
    </row>
    <row r="5324" spans="1:27" ht="33.75" x14ac:dyDescent="0.2">
      <c r="A5324" s="134"/>
      <c r="B5324" s="2456"/>
      <c r="C5324" s="3688"/>
      <c r="D5324" s="2421"/>
      <c r="E5324" s="2426"/>
      <c r="F5324" s="2420"/>
      <c r="G5324" s="2420"/>
      <c r="H5324" s="2420"/>
      <c r="I5324" s="2420"/>
      <c r="J5324" s="3497"/>
      <c r="K5324" s="3497"/>
      <c r="L5324" s="2420"/>
      <c r="M5324" s="1846" t="s">
        <v>2290</v>
      </c>
      <c r="N5324" s="1273" t="s">
        <v>2291</v>
      </c>
      <c r="O5324" s="32"/>
      <c r="P5324" s="32">
        <v>400</v>
      </c>
      <c r="Q5324" s="32">
        <v>400</v>
      </c>
      <c r="R5324" s="32">
        <v>400</v>
      </c>
      <c r="S5324" s="32">
        <v>400</v>
      </c>
      <c r="T5324" s="32">
        <v>400</v>
      </c>
      <c r="U5324" s="32">
        <v>1000</v>
      </c>
      <c r="V5324" s="32">
        <v>400</v>
      </c>
      <c r="W5324" s="32">
        <v>400</v>
      </c>
      <c r="X5324" s="32">
        <v>400</v>
      </c>
      <c r="Y5324" s="32">
        <v>926</v>
      </c>
      <c r="Z5324" s="32"/>
      <c r="AA5324" s="2245">
        <f>SUM(P5324:Z5324)</f>
        <v>5126</v>
      </c>
    </row>
    <row r="5325" spans="1:27" ht="22.5" x14ac:dyDescent="0.2">
      <c r="A5325" s="134"/>
      <c r="B5325" s="2456"/>
      <c r="C5325" s="3688"/>
      <c r="D5325" s="2421"/>
      <c r="E5325" s="2426"/>
      <c r="F5325" s="2420"/>
      <c r="G5325" s="2420"/>
      <c r="H5325" s="2420"/>
      <c r="I5325" s="2420"/>
      <c r="J5325" s="3497"/>
      <c r="K5325" s="3497"/>
      <c r="L5325" s="2420"/>
      <c r="M5325" s="1846" t="s">
        <v>2292</v>
      </c>
      <c r="N5325" s="1273" t="s">
        <v>1562</v>
      </c>
      <c r="O5325" s="32"/>
      <c r="P5325" s="32"/>
      <c r="Q5325" s="32">
        <v>1000</v>
      </c>
      <c r="R5325" s="32"/>
      <c r="S5325" s="32"/>
      <c r="T5325" s="32">
        <v>1000</v>
      </c>
      <c r="U5325" s="32"/>
      <c r="V5325" s="32"/>
      <c r="W5325" s="32"/>
      <c r="X5325" s="32"/>
      <c r="Y5325" s="32"/>
      <c r="Z5325" s="32"/>
      <c r="AA5325" s="2245">
        <f t="shared" ref="AA5325:AA5326" si="903">SUM(O5325:Z5325)</f>
        <v>2000</v>
      </c>
    </row>
    <row r="5326" spans="1:27" ht="22.5" x14ac:dyDescent="0.2">
      <c r="A5326" s="134"/>
      <c r="B5326" s="2456"/>
      <c r="C5326" s="3688"/>
      <c r="D5326" s="2421"/>
      <c r="E5326" s="2426"/>
      <c r="F5326" s="2420"/>
      <c r="G5326" s="2420"/>
      <c r="H5326" s="2420"/>
      <c r="I5326" s="2420"/>
      <c r="J5326" s="3497"/>
      <c r="K5326" s="3497"/>
      <c r="L5326" s="2420"/>
      <c r="M5326" s="1846" t="s">
        <v>2293</v>
      </c>
      <c r="N5326" s="1841" t="s">
        <v>2236</v>
      </c>
      <c r="O5326" s="32"/>
      <c r="P5326" s="32"/>
      <c r="Q5326" s="32">
        <v>5000</v>
      </c>
      <c r="R5326" s="32"/>
      <c r="S5326" s="32"/>
      <c r="T5326" s="32">
        <v>3000</v>
      </c>
      <c r="U5326" s="32"/>
      <c r="V5326" s="32"/>
      <c r="W5326" s="32"/>
      <c r="X5326" s="32"/>
      <c r="Y5326" s="32"/>
      <c r="Z5326" s="32"/>
      <c r="AA5326" s="2245">
        <f t="shared" si="903"/>
        <v>8000</v>
      </c>
    </row>
    <row r="5327" spans="1:27" ht="22.5" x14ac:dyDescent="0.2">
      <c r="A5327" s="134"/>
      <c r="B5327" s="2456"/>
      <c r="C5327" s="3688"/>
      <c r="D5327" s="2421"/>
      <c r="E5327" s="2426"/>
      <c r="F5327" s="2420"/>
      <c r="G5327" s="2420"/>
      <c r="H5327" s="2420"/>
      <c r="I5327" s="2420"/>
      <c r="J5327" s="3497"/>
      <c r="K5327" s="3497"/>
      <c r="L5327" s="2420"/>
      <c r="M5327" s="1846" t="s">
        <v>2294</v>
      </c>
      <c r="N5327" s="1841" t="s">
        <v>2295</v>
      </c>
      <c r="O5327" s="32"/>
      <c r="P5327" s="32"/>
      <c r="Q5327" s="32"/>
      <c r="R5327" s="32"/>
      <c r="S5327" s="32"/>
      <c r="T5327" s="32">
        <v>3000</v>
      </c>
      <c r="U5327" s="32"/>
      <c r="V5327" s="32"/>
      <c r="W5327" s="32"/>
      <c r="X5327" s="32"/>
      <c r="Y5327" s="32"/>
      <c r="Z5327" s="32"/>
      <c r="AA5327" s="2245">
        <f>SUM(O5327:Z5327)</f>
        <v>3000</v>
      </c>
    </row>
    <row r="5328" spans="1:27" ht="33.75" x14ac:dyDescent="0.2">
      <c r="A5328" s="134"/>
      <c r="B5328" s="2456"/>
      <c r="C5328" s="3688"/>
      <c r="D5328" s="2421"/>
      <c r="E5328" s="2426"/>
      <c r="F5328" s="2420"/>
      <c r="G5328" s="2420"/>
      <c r="H5328" s="2420"/>
      <c r="I5328" s="2420"/>
      <c r="J5328" s="3497"/>
      <c r="K5328" s="3497"/>
      <c r="L5328" s="2420"/>
      <c r="M5328" s="1846" t="s">
        <v>2296</v>
      </c>
      <c r="N5328" s="1273" t="s">
        <v>2297</v>
      </c>
      <c r="O5328" s="32">
        <v>700</v>
      </c>
      <c r="P5328" s="32">
        <v>700</v>
      </c>
      <c r="Q5328" s="32">
        <v>700</v>
      </c>
      <c r="R5328" s="32">
        <v>700</v>
      </c>
      <c r="S5328" s="32">
        <v>700</v>
      </c>
      <c r="T5328" s="32">
        <v>700</v>
      </c>
      <c r="U5328" s="32">
        <v>700</v>
      </c>
      <c r="V5328" s="32">
        <v>700</v>
      </c>
      <c r="W5328" s="32">
        <v>700</v>
      </c>
      <c r="X5328" s="32">
        <v>700</v>
      </c>
      <c r="Y5328" s="32">
        <v>700</v>
      </c>
      <c r="Z5328" s="32">
        <v>700</v>
      </c>
      <c r="AA5328" s="2245">
        <f t="shared" ref="AA5328:AA5338" si="904">SUM(O5328:Z5328)</f>
        <v>8400</v>
      </c>
    </row>
    <row r="5329" spans="1:28" ht="22.5" x14ac:dyDescent="0.2">
      <c r="A5329" s="134"/>
      <c r="B5329" s="2456"/>
      <c r="C5329" s="3688"/>
      <c r="D5329" s="2421"/>
      <c r="E5329" s="2426"/>
      <c r="F5329" s="2420"/>
      <c r="G5329" s="2420"/>
      <c r="H5329" s="2420"/>
      <c r="I5329" s="2420"/>
      <c r="J5329" s="3497"/>
      <c r="K5329" s="3497"/>
      <c r="L5329" s="2420"/>
      <c r="M5329" s="1846" t="s">
        <v>2298</v>
      </c>
      <c r="N5329" s="1273" t="s">
        <v>2299</v>
      </c>
      <c r="O5329" s="32">
        <v>192</v>
      </c>
      <c r="P5329" s="32">
        <v>192</v>
      </c>
      <c r="Q5329" s="32">
        <v>191.6</v>
      </c>
      <c r="R5329" s="32">
        <v>191.6</v>
      </c>
      <c r="S5329" s="32">
        <v>191.6</v>
      </c>
      <c r="T5329" s="32">
        <v>191.6</v>
      </c>
      <c r="U5329" s="32">
        <v>191.6</v>
      </c>
      <c r="V5329" s="32">
        <v>191.6</v>
      </c>
      <c r="W5329" s="32">
        <v>191.6</v>
      </c>
      <c r="X5329" s="32">
        <v>191.6</v>
      </c>
      <c r="Y5329" s="32">
        <v>191.6</v>
      </c>
      <c r="Z5329" s="32">
        <v>191.6</v>
      </c>
      <c r="AA5329" s="2245">
        <f t="shared" si="904"/>
        <v>2299.9999999999995</v>
      </c>
    </row>
    <row r="5330" spans="1:28" ht="22.5" x14ac:dyDescent="0.2">
      <c r="A5330" s="134"/>
      <c r="B5330" s="2456"/>
      <c r="C5330" s="3688"/>
      <c r="D5330" s="2421"/>
      <c r="E5330" s="2426"/>
      <c r="F5330" s="2420"/>
      <c r="G5330" s="2420"/>
      <c r="H5330" s="2420"/>
      <c r="I5330" s="2420"/>
      <c r="J5330" s="3497"/>
      <c r="K5330" s="3497"/>
      <c r="L5330" s="2420"/>
      <c r="M5330" s="1846" t="s">
        <v>2300</v>
      </c>
      <c r="N5330" s="1273" t="s">
        <v>2301</v>
      </c>
      <c r="O5330" s="32">
        <v>417</v>
      </c>
      <c r="P5330" s="32">
        <v>416.6</v>
      </c>
      <c r="Q5330" s="32">
        <v>416.6</v>
      </c>
      <c r="R5330" s="32">
        <v>417</v>
      </c>
      <c r="S5330" s="32">
        <v>416.6</v>
      </c>
      <c r="T5330" s="32">
        <v>416.6</v>
      </c>
      <c r="U5330" s="32">
        <v>416.6</v>
      </c>
      <c r="V5330" s="32">
        <v>416.6</v>
      </c>
      <c r="W5330" s="32">
        <v>416.6</v>
      </c>
      <c r="X5330" s="32">
        <v>416.6</v>
      </c>
      <c r="Y5330" s="32">
        <v>416.6</v>
      </c>
      <c r="Z5330" s="32">
        <v>416.6</v>
      </c>
      <c r="AA5330" s="2245">
        <f t="shared" si="904"/>
        <v>5000.0000000000009</v>
      </c>
    </row>
    <row r="5331" spans="1:28" ht="22.5" x14ac:dyDescent="0.2">
      <c r="A5331" s="134"/>
      <c r="B5331" s="2456"/>
      <c r="C5331" s="3688"/>
      <c r="D5331" s="2421"/>
      <c r="E5331" s="2426"/>
      <c r="F5331" s="2420"/>
      <c r="G5331" s="2420"/>
      <c r="H5331" s="2420"/>
      <c r="I5331" s="2420"/>
      <c r="J5331" s="3497"/>
      <c r="K5331" s="3497"/>
      <c r="L5331" s="2420"/>
      <c r="M5331" s="1846" t="s">
        <v>2302</v>
      </c>
      <c r="N5331" s="1273" t="s">
        <v>2303</v>
      </c>
      <c r="O5331" s="32">
        <v>1334</v>
      </c>
      <c r="P5331" s="32">
        <v>1333.3</v>
      </c>
      <c r="Q5331" s="32">
        <v>1333.3</v>
      </c>
      <c r="R5331" s="32">
        <v>1333.3</v>
      </c>
      <c r="S5331" s="32">
        <v>1333.3</v>
      </c>
      <c r="T5331" s="32">
        <v>1333.3</v>
      </c>
      <c r="U5331" s="32">
        <v>1333.3</v>
      </c>
      <c r="V5331" s="32">
        <v>1333.3</v>
      </c>
      <c r="W5331" s="32">
        <v>1333.3</v>
      </c>
      <c r="X5331" s="32">
        <v>1333.3</v>
      </c>
      <c r="Y5331" s="32">
        <v>1333.3</v>
      </c>
      <c r="Z5331" s="32">
        <v>1333.3</v>
      </c>
      <c r="AA5331" s="2245">
        <f t="shared" si="904"/>
        <v>16000.299999999997</v>
      </c>
    </row>
    <row r="5332" spans="1:28" ht="22.5" x14ac:dyDescent="0.2">
      <c r="A5332" s="134"/>
      <c r="B5332" s="2456"/>
      <c r="C5332" s="3688"/>
      <c r="D5332" s="2421"/>
      <c r="E5332" s="2426"/>
      <c r="F5332" s="2420"/>
      <c r="G5332" s="2420"/>
      <c r="H5332" s="2420"/>
      <c r="I5332" s="2420"/>
      <c r="J5332" s="3497"/>
      <c r="K5332" s="3497"/>
      <c r="L5332" s="2420"/>
      <c r="M5332" s="1846" t="s">
        <v>2304</v>
      </c>
      <c r="N5332" s="1273" t="s">
        <v>2305</v>
      </c>
      <c r="O5332" s="32">
        <v>167</v>
      </c>
      <c r="P5332" s="32">
        <v>167</v>
      </c>
      <c r="Q5332" s="32">
        <v>166.6</v>
      </c>
      <c r="R5332" s="32">
        <v>166.6</v>
      </c>
      <c r="S5332" s="32">
        <v>166.6</v>
      </c>
      <c r="T5332" s="32">
        <v>166.6</v>
      </c>
      <c r="U5332" s="32">
        <v>166.6</v>
      </c>
      <c r="V5332" s="32">
        <v>166.6</v>
      </c>
      <c r="W5332" s="32">
        <v>166.6</v>
      </c>
      <c r="X5332" s="32">
        <v>166.6</v>
      </c>
      <c r="Y5332" s="32">
        <v>166.6</v>
      </c>
      <c r="Z5332" s="32">
        <v>166.6</v>
      </c>
      <c r="AA5332" s="2245">
        <f t="shared" si="904"/>
        <v>1999.9999999999995</v>
      </c>
    </row>
    <row r="5333" spans="1:28" ht="22.5" x14ac:dyDescent="0.2">
      <c r="A5333" s="134"/>
      <c r="B5333" s="2456"/>
      <c r="C5333" s="3688"/>
      <c r="D5333" s="2421"/>
      <c r="E5333" s="2426"/>
      <c r="F5333" s="2420"/>
      <c r="G5333" s="2420"/>
      <c r="H5333" s="2420"/>
      <c r="I5333" s="2420"/>
      <c r="J5333" s="3497"/>
      <c r="K5333" s="3497"/>
      <c r="L5333" s="2420"/>
      <c r="M5333" s="1846" t="s">
        <v>2306</v>
      </c>
      <c r="N5333" s="1273" t="s">
        <v>1291</v>
      </c>
      <c r="O5333" s="32">
        <v>2916.6</v>
      </c>
      <c r="P5333" s="32">
        <v>2916.6</v>
      </c>
      <c r="Q5333" s="32">
        <v>2916.6</v>
      </c>
      <c r="R5333" s="32">
        <v>2916.6</v>
      </c>
      <c r="S5333" s="32">
        <v>2916.6</v>
      </c>
      <c r="T5333" s="32">
        <v>2917</v>
      </c>
      <c r="U5333" s="32">
        <v>2916.6</v>
      </c>
      <c r="V5333" s="32">
        <v>2917</v>
      </c>
      <c r="W5333" s="32">
        <v>2916.6</v>
      </c>
      <c r="X5333" s="32">
        <v>2917</v>
      </c>
      <c r="Y5333" s="32">
        <v>2916.6</v>
      </c>
      <c r="Z5333" s="32">
        <v>2916.6</v>
      </c>
      <c r="AA5333" s="2245">
        <f t="shared" si="904"/>
        <v>35000.399999999994</v>
      </c>
    </row>
    <row r="5334" spans="1:28" ht="22.5" x14ac:dyDescent="0.2">
      <c r="A5334" s="134"/>
      <c r="B5334" s="2456"/>
      <c r="C5334" s="3688"/>
      <c r="D5334" s="2421"/>
      <c r="E5334" s="2426"/>
      <c r="F5334" s="2420"/>
      <c r="G5334" s="2420"/>
      <c r="H5334" s="2420"/>
      <c r="I5334" s="2420"/>
      <c r="J5334" s="3497"/>
      <c r="K5334" s="3497"/>
      <c r="L5334" s="2420"/>
      <c r="M5334" s="1846" t="s">
        <v>2307</v>
      </c>
      <c r="N5334" s="1273" t="s">
        <v>1252</v>
      </c>
      <c r="O5334" s="32"/>
      <c r="P5334" s="32"/>
      <c r="Q5334" s="32"/>
      <c r="R5334" s="32">
        <v>5000</v>
      </c>
      <c r="S5334" s="32"/>
      <c r="T5334" s="32"/>
      <c r="U5334" s="32">
        <v>5000</v>
      </c>
      <c r="V5334" s="32"/>
      <c r="W5334" s="32"/>
      <c r="X5334" s="32"/>
      <c r="Y5334" s="32">
        <v>3863</v>
      </c>
      <c r="Z5334" s="32"/>
      <c r="AA5334" s="2245">
        <f t="shared" si="904"/>
        <v>13863</v>
      </c>
    </row>
    <row r="5335" spans="1:28" ht="22.5" x14ac:dyDescent="0.2">
      <c r="A5335" s="134"/>
      <c r="B5335" s="2456"/>
      <c r="C5335" s="3688"/>
      <c r="D5335" s="2421"/>
      <c r="E5335" s="2426"/>
      <c r="F5335" s="2420"/>
      <c r="G5335" s="2420"/>
      <c r="H5335" s="2420"/>
      <c r="I5335" s="2420"/>
      <c r="J5335" s="3497"/>
      <c r="K5335" s="3497"/>
      <c r="L5335" s="2420"/>
      <c r="M5335" s="1846" t="s">
        <v>2308</v>
      </c>
      <c r="N5335" s="568" t="s">
        <v>2309</v>
      </c>
      <c r="O5335" s="32"/>
      <c r="P5335" s="32"/>
      <c r="Q5335" s="32">
        <v>1200</v>
      </c>
      <c r="R5335" s="32"/>
      <c r="S5335" s="32"/>
      <c r="T5335" s="32"/>
      <c r="U5335" s="32"/>
      <c r="V5335" s="32"/>
      <c r="W5335" s="32"/>
      <c r="X5335" s="32"/>
      <c r="Y5335" s="32"/>
      <c r="Z5335" s="32"/>
      <c r="AA5335" s="2245">
        <f t="shared" si="904"/>
        <v>1200</v>
      </c>
    </row>
    <row r="5336" spans="1:28" x14ac:dyDescent="0.2">
      <c r="A5336" s="134"/>
      <c r="B5336" s="2456"/>
      <c r="C5336" s="3688"/>
      <c r="D5336" s="2421"/>
      <c r="E5336" s="2426"/>
      <c r="F5336" s="2420"/>
      <c r="G5336" s="2420"/>
      <c r="H5336" s="2420"/>
      <c r="I5336" s="2420"/>
      <c r="J5336" s="3497"/>
      <c r="K5336" s="3497"/>
      <c r="L5336" s="2420"/>
      <c r="M5336" s="1846" t="s">
        <v>2310</v>
      </c>
      <c r="N5336" s="568" t="s">
        <v>1607</v>
      </c>
      <c r="O5336" s="32"/>
      <c r="P5336" s="32"/>
      <c r="Q5336" s="32">
        <v>10000</v>
      </c>
      <c r="R5336" s="32"/>
      <c r="S5336" s="32"/>
      <c r="T5336" s="32"/>
      <c r="U5336" s="32"/>
      <c r="V5336" s="32"/>
      <c r="W5336" s="32"/>
      <c r="X5336" s="32"/>
      <c r="Y5336" s="32"/>
      <c r="Z5336" s="32"/>
      <c r="AA5336" s="2245">
        <f t="shared" si="904"/>
        <v>10000</v>
      </c>
    </row>
    <row r="5337" spans="1:28" x14ac:dyDescent="0.2">
      <c r="A5337" s="134"/>
      <c r="B5337" s="2456"/>
      <c r="C5337" s="3688"/>
      <c r="D5337" s="2421"/>
      <c r="E5337" s="2426"/>
      <c r="F5337" s="2420"/>
      <c r="G5337" s="2420"/>
      <c r="H5337" s="2420"/>
      <c r="I5337" s="2420"/>
      <c r="J5337" s="3497"/>
      <c r="K5337" s="3497"/>
      <c r="L5337" s="2420"/>
      <c r="M5337" s="1846" t="s">
        <v>2311</v>
      </c>
      <c r="N5337" s="568" t="s">
        <v>1609</v>
      </c>
      <c r="O5337" s="32"/>
      <c r="P5337" s="32"/>
      <c r="Q5337" s="32">
        <v>8000</v>
      </c>
      <c r="R5337" s="32"/>
      <c r="S5337" s="32"/>
      <c r="T5337" s="32"/>
      <c r="U5337" s="32"/>
      <c r="V5337" s="32"/>
      <c r="W5337" s="32"/>
      <c r="X5337" s="32"/>
      <c r="Y5337" s="32"/>
      <c r="Z5337" s="32"/>
      <c r="AA5337" s="2245">
        <f t="shared" si="904"/>
        <v>8000</v>
      </c>
    </row>
    <row r="5338" spans="1:28" ht="22.5" x14ac:dyDescent="0.2">
      <c r="A5338" s="134"/>
      <c r="B5338" s="2450"/>
      <c r="C5338" s="3688"/>
      <c r="D5338" s="2421"/>
      <c r="E5338" s="2426"/>
      <c r="F5338" s="2420"/>
      <c r="G5338" s="2420"/>
      <c r="H5338" s="2420"/>
      <c r="I5338" s="2420"/>
      <c r="J5338" s="3497"/>
      <c r="K5338" s="3497"/>
      <c r="L5338" s="2420"/>
      <c r="M5338" s="1846" t="s">
        <v>2312</v>
      </c>
      <c r="N5338" s="568" t="s">
        <v>2313</v>
      </c>
      <c r="O5338" s="32"/>
      <c r="P5338" s="32"/>
      <c r="Q5338" s="32">
        <v>5000</v>
      </c>
      <c r="R5338" s="32"/>
      <c r="S5338" s="32"/>
      <c r="T5338" s="32"/>
      <c r="U5338" s="32"/>
      <c r="V5338" s="32"/>
      <c r="W5338" s="32"/>
      <c r="X5338" s="32"/>
      <c r="Y5338" s="32"/>
      <c r="Z5338" s="32"/>
      <c r="AA5338" s="2245">
        <f t="shared" si="904"/>
        <v>5000</v>
      </c>
    </row>
    <row r="5339" spans="1:28" x14ac:dyDescent="0.2">
      <c r="A5339" s="134"/>
      <c r="B5339" s="723"/>
      <c r="C5339" s="747"/>
      <c r="D5339" s="735"/>
      <c r="E5339" s="725"/>
      <c r="F5339" s="723"/>
      <c r="G5339" s="723"/>
      <c r="H5339" s="723"/>
      <c r="I5339" s="723"/>
      <c r="J5339" s="731"/>
      <c r="K5339" s="731">
        <f>SUM(K5277:K5338)</f>
        <v>545965.80000000005</v>
      </c>
      <c r="L5339" s="723"/>
      <c r="M5339" s="732"/>
      <c r="N5339" s="570"/>
      <c r="O5339" s="32"/>
      <c r="P5339" s="32"/>
      <c r="Q5339" s="32"/>
      <c r="R5339" s="32"/>
      <c r="S5339" s="32"/>
      <c r="T5339" s="32"/>
      <c r="U5339" s="32"/>
      <c r="V5339" s="32"/>
      <c r="W5339" s="32"/>
      <c r="X5339" s="32"/>
      <c r="Y5339" s="32"/>
      <c r="Z5339" s="32"/>
      <c r="AA5339" s="733"/>
    </row>
    <row r="5340" spans="1:28" ht="22.5" x14ac:dyDescent="0.2">
      <c r="A5340" s="134"/>
      <c r="B5340" s="950" t="s">
        <v>2</v>
      </c>
      <c r="C5340" s="2840" t="s">
        <v>1851</v>
      </c>
      <c r="D5340" s="2840"/>
      <c r="E5340" s="2840"/>
      <c r="F5340" s="2840"/>
      <c r="G5340" s="2840"/>
      <c r="H5340" s="2840"/>
      <c r="I5340" s="2840"/>
      <c r="J5340" s="2840"/>
      <c r="K5340" s="2840"/>
      <c r="L5340" s="2840"/>
      <c r="M5340" s="2840"/>
      <c r="N5340" s="2840"/>
      <c r="O5340" s="2840"/>
      <c r="P5340" s="2840"/>
      <c r="Q5340" s="2840"/>
      <c r="R5340" s="2840"/>
      <c r="S5340" s="2840"/>
      <c r="T5340" s="2840"/>
      <c r="U5340" s="2840"/>
      <c r="V5340" s="2840"/>
      <c r="W5340" s="2840"/>
      <c r="X5340" s="2840"/>
      <c r="Y5340" s="2840"/>
      <c r="Z5340" s="2840"/>
      <c r="AA5340" s="2840"/>
      <c r="AB5340" s="571"/>
    </row>
    <row r="5341" spans="1:28" ht="17.25" customHeight="1" x14ac:dyDescent="0.2">
      <c r="A5341" s="134"/>
      <c r="B5341" s="950" t="s">
        <v>4</v>
      </c>
      <c r="C5341" s="2840" t="s">
        <v>2616</v>
      </c>
      <c r="D5341" s="2840"/>
      <c r="E5341" s="2840"/>
      <c r="F5341" s="2840"/>
      <c r="G5341" s="2840"/>
      <c r="H5341" s="2840"/>
      <c r="I5341" s="2840"/>
      <c r="J5341" s="2840"/>
      <c r="K5341" s="2840"/>
      <c r="L5341" s="2840"/>
      <c r="M5341" s="2840"/>
      <c r="N5341" s="2840"/>
      <c r="O5341" s="2840"/>
      <c r="P5341" s="2840"/>
      <c r="Q5341" s="2840"/>
      <c r="R5341" s="2840"/>
      <c r="S5341" s="2840"/>
      <c r="T5341" s="2840"/>
      <c r="U5341" s="2840"/>
      <c r="V5341" s="2840"/>
      <c r="W5341" s="2840"/>
      <c r="X5341" s="2840"/>
      <c r="Y5341" s="2840"/>
      <c r="Z5341" s="2840"/>
      <c r="AA5341" s="2840"/>
    </row>
    <row r="5342" spans="1:28" ht="22.5" x14ac:dyDescent="0.2">
      <c r="A5342" s="134"/>
      <c r="B5342" s="950" t="s">
        <v>6</v>
      </c>
      <c r="C5342" s="2840" t="s">
        <v>1510</v>
      </c>
      <c r="D5342" s="2840"/>
      <c r="E5342" s="2840"/>
      <c r="F5342" s="2840"/>
      <c r="G5342" s="2840"/>
      <c r="H5342" s="2840"/>
      <c r="I5342" s="2840"/>
      <c r="J5342" s="2840"/>
      <c r="K5342" s="2840"/>
      <c r="L5342" s="2840"/>
      <c r="M5342" s="2840"/>
      <c r="N5342" s="2840"/>
      <c r="O5342" s="2840"/>
      <c r="P5342" s="2840"/>
      <c r="Q5342" s="2840"/>
      <c r="R5342" s="2840"/>
      <c r="S5342" s="2840"/>
      <c r="T5342" s="2840"/>
      <c r="U5342" s="2840"/>
      <c r="V5342" s="2840"/>
      <c r="W5342" s="2840"/>
      <c r="X5342" s="2840"/>
      <c r="Y5342" s="2840"/>
      <c r="Z5342" s="2840"/>
      <c r="AA5342" s="2840"/>
    </row>
    <row r="5343" spans="1:28" ht="15" x14ac:dyDescent="0.2">
      <c r="A5343" s="134"/>
      <c r="B5343" s="3048" t="s">
        <v>1169</v>
      </c>
      <c r="C5343" s="3049"/>
      <c r="D5343" s="3049"/>
      <c r="E5343" s="3049"/>
      <c r="F5343" s="3049"/>
      <c r="G5343" s="3049"/>
      <c r="H5343" s="3049"/>
      <c r="I5343" s="3049"/>
      <c r="J5343" s="3049"/>
      <c r="K5343" s="3049"/>
      <c r="L5343" s="3049"/>
      <c r="M5343" s="3049"/>
      <c r="N5343" s="3049"/>
      <c r="O5343" s="3049"/>
      <c r="P5343" s="3049"/>
      <c r="Q5343" s="3049"/>
      <c r="R5343" s="3049"/>
      <c r="S5343" s="3049"/>
      <c r="T5343" s="3049"/>
      <c r="U5343" s="3049"/>
      <c r="V5343" s="3049"/>
      <c r="W5343" s="3049"/>
      <c r="X5343" s="3049"/>
      <c r="Y5343" s="3049"/>
      <c r="Z5343" s="3049"/>
      <c r="AA5343" s="3049"/>
      <c r="AB5343" s="2290"/>
    </row>
    <row r="5344" spans="1:28" ht="32.25" customHeight="1" x14ac:dyDescent="0.25">
      <c r="A5344" s="134"/>
      <c r="B5344" s="449" t="s">
        <v>1</v>
      </c>
      <c r="C5344" s="1452" t="s">
        <v>252</v>
      </c>
      <c r="D5344" s="50"/>
      <c r="E5344" s="50"/>
      <c r="F5344" s="50"/>
      <c r="G5344" s="50"/>
      <c r="H5344" s="50"/>
      <c r="I5344" s="50"/>
      <c r="J5344" s="572"/>
      <c r="K5344" s="50"/>
      <c r="L5344" s="50"/>
      <c r="M5344" s="50"/>
      <c r="N5344" s="50"/>
      <c r="O5344" s="50"/>
      <c r="P5344" s="50"/>
      <c r="Q5344" s="50"/>
      <c r="R5344" s="50"/>
      <c r="S5344" s="50"/>
      <c r="T5344" s="50"/>
      <c r="U5344" s="50"/>
      <c r="V5344" s="50"/>
      <c r="W5344" s="50"/>
      <c r="X5344" s="50"/>
      <c r="Y5344" s="50"/>
      <c r="Z5344" s="50"/>
      <c r="AB5344" s="2"/>
    </row>
    <row r="5345" spans="1:28" ht="22.5" x14ac:dyDescent="0.25">
      <c r="A5345" s="134"/>
      <c r="B5345" s="1116" t="s">
        <v>2</v>
      </c>
      <c r="C5345" s="1134" t="s">
        <v>2630</v>
      </c>
      <c r="D5345" s="1135"/>
      <c r="E5345" s="1135"/>
      <c r="F5345" s="1135"/>
      <c r="G5345" s="1135"/>
      <c r="H5345" s="1135"/>
      <c r="I5345" s="1135"/>
      <c r="J5345" s="1135"/>
      <c r="K5345" s="1135"/>
      <c r="L5345" s="1135"/>
      <c r="M5345" s="1135"/>
      <c r="N5345" s="1135"/>
      <c r="O5345" s="1135"/>
      <c r="P5345" s="1135"/>
      <c r="Q5345" s="1135"/>
      <c r="R5345" s="1135"/>
      <c r="S5345" s="1135"/>
      <c r="T5345" s="1135"/>
      <c r="U5345" s="1135"/>
      <c r="V5345" s="1135"/>
      <c r="W5345" s="1135"/>
      <c r="X5345" s="1135"/>
      <c r="Y5345" s="1135"/>
      <c r="Z5345" s="1135"/>
      <c r="AA5345" s="1136"/>
      <c r="AB5345" s="2"/>
    </row>
    <row r="5346" spans="1:28" ht="22.5" x14ac:dyDescent="0.25">
      <c r="A5346" s="134"/>
      <c r="B5346" s="1116" t="s">
        <v>6</v>
      </c>
      <c r="C5346" s="1134" t="s">
        <v>3235</v>
      </c>
      <c r="D5346" s="1135"/>
      <c r="E5346" s="1135"/>
      <c r="F5346" s="1135"/>
      <c r="G5346" s="1135"/>
      <c r="H5346" s="1135"/>
      <c r="I5346" s="1135"/>
      <c r="J5346" s="1135"/>
      <c r="K5346" s="1135"/>
      <c r="L5346" s="1135"/>
      <c r="M5346" s="1135"/>
      <c r="N5346" s="1135"/>
      <c r="O5346" s="1135"/>
      <c r="P5346" s="1135"/>
      <c r="Q5346" s="1135"/>
      <c r="R5346" s="1135"/>
      <c r="S5346" s="1135"/>
      <c r="T5346" s="1135"/>
      <c r="U5346" s="1135"/>
      <c r="V5346" s="1135"/>
      <c r="W5346" s="1135"/>
      <c r="X5346" s="1135"/>
      <c r="Y5346" s="1135"/>
      <c r="Z5346" s="1135"/>
      <c r="AA5346" s="1136"/>
      <c r="AB5346" s="2"/>
    </row>
    <row r="5347" spans="1:28" ht="24" customHeight="1" x14ac:dyDescent="0.25">
      <c r="A5347" s="134"/>
      <c r="B5347" s="617" t="s">
        <v>8</v>
      </c>
      <c r="C5347" s="618" t="s">
        <v>2631</v>
      </c>
      <c r="D5347" s="620"/>
      <c r="E5347" s="620"/>
      <c r="F5347" s="620"/>
      <c r="G5347" s="620"/>
      <c r="H5347" s="620"/>
      <c r="I5347" s="620"/>
      <c r="J5347" s="620"/>
      <c r="K5347" s="620"/>
      <c r="L5347" s="620"/>
      <c r="M5347" s="620"/>
      <c r="N5347" s="620"/>
      <c r="O5347" s="620"/>
      <c r="P5347" s="620"/>
      <c r="Q5347" s="620"/>
      <c r="R5347" s="620"/>
      <c r="S5347" s="620"/>
      <c r="T5347" s="620"/>
      <c r="U5347" s="620"/>
      <c r="V5347" s="620"/>
      <c r="W5347" s="620"/>
      <c r="X5347" s="620"/>
      <c r="Y5347" s="620"/>
      <c r="Z5347" s="620"/>
      <c r="AA5347" s="1453"/>
      <c r="AB5347" s="2"/>
    </row>
    <row r="5348" spans="1:28" ht="22.5" x14ac:dyDescent="0.25">
      <c r="A5348" s="134"/>
      <c r="B5348" s="1116" t="s">
        <v>11</v>
      </c>
      <c r="C5348" s="1134" t="s">
        <v>2632</v>
      </c>
      <c r="D5348" s="1135"/>
      <c r="E5348" s="1135"/>
      <c r="F5348" s="1135"/>
      <c r="G5348" s="1135"/>
      <c r="H5348" s="1135"/>
      <c r="I5348" s="1135"/>
      <c r="J5348" s="1135"/>
      <c r="K5348" s="1135"/>
      <c r="L5348" s="1135"/>
      <c r="M5348" s="1135"/>
      <c r="N5348" s="1135"/>
      <c r="O5348" s="1135"/>
      <c r="P5348" s="1135"/>
      <c r="Q5348" s="1135"/>
      <c r="R5348" s="1135"/>
      <c r="S5348" s="1135"/>
      <c r="T5348" s="1135"/>
      <c r="U5348" s="1135"/>
      <c r="V5348" s="1135"/>
      <c r="W5348" s="1135"/>
      <c r="X5348" s="1135"/>
      <c r="Y5348" s="1135"/>
      <c r="Z5348" s="1135"/>
      <c r="AA5348" s="1136"/>
      <c r="AB5348" s="2"/>
    </row>
    <row r="5349" spans="1:28" ht="15.75" x14ac:dyDescent="0.2">
      <c r="A5349" s="134"/>
      <c r="B5349" s="1045" t="s">
        <v>13</v>
      </c>
      <c r="C5349" s="3612" t="s">
        <v>2633</v>
      </c>
      <c r="D5349" s="3613"/>
      <c r="E5349" s="3613"/>
      <c r="F5349" s="3613"/>
      <c r="G5349" s="3613"/>
      <c r="H5349" s="3613"/>
      <c r="I5349" s="3613"/>
      <c r="J5349" s="3613"/>
      <c r="K5349" s="3613"/>
      <c r="L5349" s="3613"/>
      <c r="M5349" s="3613"/>
      <c r="N5349" s="3613"/>
      <c r="O5349" s="3613"/>
      <c r="P5349" s="3613"/>
      <c r="Q5349" s="3613"/>
      <c r="R5349" s="3613"/>
      <c r="S5349" s="3613"/>
      <c r="T5349" s="3613"/>
      <c r="U5349" s="3613"/>
      <c r="V5349" s="3613"/>
      <c r="W5349" s="3613"/>
      <c r="X5349" s="3613"/>
      <c r="Y5349" s="3613"/>
      <c r="Z5349" s="3613"/>
      <c r="AA5349" s="3614"/>
      <c r="AB5349" s="573"/>
    </row>
    <row r="5350" spans="1:28" ht="12" customHeight="1" x14ac:dyDescent="0.2">
      <c r="A5350" s="134"/>
      <c r="B5350" s="3694" t="s">
        <v>2634</v>
      </c>
      <c r="C5350" s="3696" t="s">
        <v>2635</v>
      </c>
      <c r="D5350" s="3696" t="s">
        <v>23</v>
      </c>
      <c r="E5350" s="3696" t="s">
        <v>164</v>
      </c>
      <c r="F5350" s="3696" t="s">
        <v>25</v>
      </c>
      <c r="G5350" s="3696" t="s">
        <v>26</v>
      </c>
      <c r="H5350" s="3696" t="s">
        <v>27</v>
      </c>
      <c r="I5350" s="3698" t="s">
        <v>28</v>
      </c>
      <c r="J5350" s="3699"/>
      <c r="K5350" s="3696" t="s">
        <v>29</v>
      </c>
      <c r="L5350" s="2986" t="s">
        <v>30</v>
      </c>
      <c r="M5350" s="3142"/>
      <c r="N5350" s="2987"/>
      <c r="O5350" s="3689" t="s">
        <v>31</v>
      </c>
      <c r="P5350" s="3690"/>
      <c r="Q5350" s="3690"/>
      <c r="R5350" s="3690"/>
      <c r="S5350" s="3690"/>
      <c r="T5350" s="3690"/>
      <c r="U5350" s="3690"/>
      <c r="V5350" s="3690"/>
      <c r="W5350" s="3690"/>
      <c r="X5350" s="3690"/>
      <c r="Y5350" s="3690"/>
      <c r="Z5350" s="3691"/>
      <c r="AA5350" s="3692" t="s">
        <v>32</v>
      </c>
      <c r="AB5350" s="574"/>
    </row>
    <row r="5351" spans="1:28" ht="12" x14ac:dyDescent="0.2">
      <c r="A5351" s="134"/>
      <c r="B5351" s="3695"/>
      <c r="C5351" s="3697"/>
      <c r="D5351" s="3697"/>
      <c r="E5351" s="3697"/>
      <c r="F5351" s="3697"/>
      <c r="G5351" s="3697"/>
      <c r="H5351" s="3697"/>
      <c r="I5351" s="1038">
        <v>1851</v>
      </c>
      <c r="J5351" s="1038" t="s">
        <v>34</v>
      </c>
      <c r="K5351" s="3697"/>
      <c r="L5351" s="3000"/>
      <c r="M5351" s="3143"/>
      <c r="N5351" s="3001"/>
      <c r="O5351" s="1039" t="s">
        <v>35</v>
      </c>
      <c r="P5351" s="1039" t="s">
        <v>36</v>
      </c>
      <c r="Q5351" s="1039" t="s">
        <v>37</v>
      </c>
      <c r="R5351" s="1039" t="s">
        <v>38</v>
      </c>
      <c r="S5351" s="1039" t="s">
        <v>39</v>
      </c>
      <c r="T5351" s="1039" t="s">
        <v>40</v>
      </c>
      <c r="U5351" s="1039" t="s">
        <v>41</v>
      </c>
      <c r="V5351" s="1039" t="s">
        <v>42</v>
      </c>
      <c r="W5351" s="1039" t="s">
        <v>2636</v>
      </c>
      <c r="X5351" s="1039" t="s">
        <v>44</v>
      </c>
      <c r="Y5351" s="1039" t="s">
        <v>45</v>
      </c>
      <c r="Z5351" s="1075" t="s">
        <v>46</v>
      </c>
      <c r="AA5351" s="3693"/>
      <c r="AB5351" s="574"/>
    </row>
    <row r="5352" spans="1:28" ht="12" customHeight="1" x14ac:dyDescent="0.2">
      <c r="A5352" s="134"/>
      <c r="B5352" s="2945">
        <v>5005580</v>
      </c>
      <c r="C5352" s="3190" t="s">
        <v>2637</v>
      </c>
      <c r="D5352" s="3199">
        <v>22</v>
      </c>
      <c r="E5352" s="2431" t="s">
        <v>2638</v>
      </c>
      <c r="F5352" s="3190" t="s">
        <v>2639</v>
      </c>
      <c r="G5352" s="3190" t="s">
        <v>2640</v>
      </c>
      <c r="H5352" s="2431" t="s">
        <v>661</v>
      </c>
      <c r="I5352" s="3500">
        <v>1851</v>
      </c>
      <c r="J5352" s="3500">
        <v>1414581.16</v>
      </c>
      <c r="K5352" s="2431" t="s">
        <v>2641</v>
      </c>
      <c r="L5352" s="3710" t="s">
        <v>2642</v>
      </c>
      <c r="M5352" s="3190" t="s">
        <v>2643</v>
      </c>
      <c r="N5352" s="1858" t="s">
        <v>1344</v>
      </c>
      <c r="O5352" s="1512"/>
      <c r="P5352" s="1512"/>
      <c r="Q5352" s="1512"/>
      <c r="R5352" s="1512">
        <v>1851</v>
      </c>
      <c r="S5352" s="1512"/>
      <c r="T5352" s="1512"/>
      <c r="U5352" s="1512"/>
      <c r="V5352" s="1512"/>
      <c r="W5352" s="1512">
        <v>1851</v>
      </c>
      <c r="X5352" s="1512"/>
      <c r="Y5352" s="1512"/>
      <c r="Z5352" s="1525"/>
      <c r="AA5352" s="2265">
        <v>1851</v>
      </c>
      <c r="AB5352" s="574"/>
    </row>
    <row r="5353" spans="1:28" ht="21.75" customHeight="1" x14ac:dyDescent="0.2">
      <c r="A5353" s="134"/>
      <c r="B5353" s="2947"/>
      <c r="C5353" s="2439"/>
      <c r="D5353" s="3201"/>
      <c r="E5353" s="2437"/>
      <c r="F5353" s="2439"/>
      <c r="G5353" s="2439"/>
      <c r="H5353" s="2437"/>
      <c r="I5353" s="3501"/>
      <c r="J5353" s="3501"/>
      <c r="K5353" s="2437"/>
      <c r="L5353" s="3711"/>
      <c r="M5353" s="2439"/>
      <c r="N5353" s="1851" t="s">
        <v>1340</v>
      </c>
      <c r="O5353" s="1523"/>
      <c r="P5353" s="1523"/>
      <c r="Q5353" s="1523"/>
      <c r="R5353" s="1523">
        <f>+AA5353/2</f>
        <v>707290.58</v>
      </c>
      <c r="S5353" s="1523"/>
      <c r="T5353" s="1523"/>
      <c r="U5353" s="1523"/>
      <c r="V5353" s="1523"/>
      <c r="W5353" s="1523">
        <v>707290.58</v>
      </c>
      <c r="X5353" s="1523"/>
      <c r="Y5353" s="1523"/>
      <c r="Z5353" s="576"/>
      <c r="AA5353" s="2261">
        <v>1414581.16</v>
      </c>
      <c r="AB5353" s="574"/>
    </row>
    <row r="5354" spans="1:28" ht="12" customHeight="1" x14ac:dyDescent="0.2">
      <c r="A5354" s="134"/>
      <c r="B5354" s="2945">
        <v>5005581</v>
      </c>
      <c r="C5354" s="3190" t="s">
        <v>2644</v>
      </c>
      <c r="D5354" s="3199">
        <v>22</v>
      </c>
      <c r="E5354" s="2431" t="s">
        <v>2638</v>
      </c>
      <c r="F5354" s="3190" t="s">
        <v>2639</v>
      </c>
      <c r="G5354" s="3190" t="s">
        <v>2645</v>
      </c>
      <c r="H5354" s="3199" t="s">
        <v>1042</v>
      </c>
      <c r="I5354" s="3501"/>
      <c r="J5354" s="3501"/>
      <c r="K5354" s="2431" t="s">
        <v>2641</v>
      </c>
      <c r="L5354" s="3302" t="s">
        <v>2642</v>
      </c>
      <c r="M5354" s="3190" t="s">
        <v>2646</v>
      </c>
      <c r="N5354" s="2019" t="s">
        <v>1344</v>
      </c>
      <c r="O5354" s="577"/>
      <c r="P5354" s="577">
        <v>1</v>
      </c>
      <c r="Q5354" s="577">
        <v>1</v>
      </c>
      <c r="R5354" s="577">
        <v>1</v>
      </c>
      <c r="S5354" s="577"/>
      <c r="T5354" s="577"/>
      <c r="U5354" s="577"/>
      <c r="V5354" s="577">
        <v>1</v>
      </c>
      <c r="W5354" s="577">
        <v>1</v>
      </c>
      <c r="X5354" s="577"/>
      <c r="Y5354" s="578"/>
      <c r="Z5354" s="543"/>
      <c r="AA5354" s="2251">
        <f>SUM(O5354:Z5354)</f>
        <v>5</v>
      </c>
      <c r="AB5354" s="574"/>
    </row>
    <row r="5355" spans="1:28" ht="33" customHeight="1" x14ac:dyDescent="0.2">
      <c r="A5355" s="134"/>
      <c r="B5355" s="2947"/>
      <c r="C5355" s="2439"/>
      <c r="D5355" s="3201"/>
      <c r="E5355" s="2437"/>
      <c r="F5355" s="2439"/>
      <c r="G5355" s="2439"/>
      <c r="H5355" s="3201"/>
      <c r="I5355" s="3501"/>
      <c r="J5355" s="3501"/>
      <c r="K5355" s="2437"/>
      <c r="L5355" s="3304"/>
      <c r="M5355" s="2439"/>
      <c r="N5355" s="1851" t="s">
        <v>1340</v>
      </c>
      <c r="O5355" s="132"/>
      <c r="P5355" s="1520">
        <v>7000</v>
      </c>
      <c r="Q5355" s="1520">
        <v>7000</v>
      </c>
      <c r="R5355" s="1520">
        <v>7000</v>
      </c>
      <c r="S5355" s="132"/>
      <c r="T5355" s="132"/>
      <c r="U5355" s="132"/>
      <c r="V5355" s="1520">
        <v>7000</v>
      </c>
      <c r="W5355" s="1520">
        <v>7000</v>
      </c>
      <c r="X5355" s="132"/>
      <c r="Y5355" s="132"/>
      <c r="Z5355" s="579"/>
      <c r="AA5355" s="2262">
        <v>35000</v>
      </c>
      <c r="AB5355" s="574"/>
    </row>
    <row r="5356" spans="1:28" ht="12" customHeight="1" x14ac:dyDescent="0.2">
      <c r="A5356" s="134"/>
      <c r="B5356" s="2945">
        <v>50005585</v>
      </c>
      <c r="C5356" s="3190" t="s">
        <v>2647</v>
      </c>
      <c r="D5356" s="3199">
        <v>22</v>
      </c>
      <c r="E5356" s="2431" t="s">
        <v>2638</v>
      </c>
      <c r="F5356" s="3190" t="s">
        <v>2639</v>
      </c>
      <c r="G5356" s="3190" t="s">
        <v>2648</v>
      </c>
      <c r="H5356" s="3199" t="s">
        <v>982</v>
      </c>
      <c r="I5356" s="3501"/>
      <c r="J5356" s="3501"/>
      <c r="K5356" s="2431" t="s">
        <v>2641</v>
      </c>
      <c r="L5356" s="3302" t="s">
        <v>2642</v>
      </c>
      <c r="M5356" s="3190" t="s">
        <v>2259</v>
      </c>
      <c r="N5356" s="1858" t="s">
        <v>1344</v>
      </c>
      <c r="O5356" s="1522"/>
      <c r="P5356" s="1522"/>
      <c r="Q5356" s="1522">
        <v>1</v>
      </c>
      <c r="R5356" s="1522"/>
      <c r="S5356" s="1522"/>
      <c r="T5356" s="1522"/>
      <c r="U5356" s="1522"/>
      <c r="V5356" s="1522"/>
      <c r="W5356" s="1522"/>
      <c r="X5356" s="1522"/>
      <c r="Y5356" s="132"/>
      <c r="Z5356" s="579"/>
      <c r="AA5356" s="2251">
        <v>1</v>
      </c>
      <c r="AB5356" s="574"/>
    </row>
    <row r="5357" spans="1:28" ht="20.25" customHeight="1" x14ac:dyDescent="0.2">
      <c r="A5357" s="134"/>
      <c r="B5357" s="2947"/>
      <c r="C5357" s="2439"/>
      <c r="D5357" s="3201"/>
      <c r="E5357" s="2437"/>
      <c r="F5357" s="2439"/>
      <c r="G5357" s="2439"/>
      <c r="H5357" s="3201"/>
      <c r="I5357" s="3492"/>
      <c r="J5357" s="3492"/>
      <c r="K5357" s="2437"/>
      <c r="L5357" s="3304"/>
      <c r="M5357" s="2439"/>
      <c r="N5357" s="1851" t="s">
        <v>1340</v>
      </c>
      <c r="O5357" s="1821"/>
      <c r="P5357" s="1821"/>
      <c r="Q5357" s="482">
        <v>587</v>
      </c>
      <c r="R5357" s="482"/>
      <c r="S5357" s="482"/>
      <c r="T5357" s="482"/>
      <c r="U5357" s="482"/>
      <c r="V5357" s="482"/>
      <c r="W5357" s="482"/>
      <c r="X5357" s="482"/>
      <c r="Y5357" s="482"/>
      <c r="Z5357" s="1822"/>
      <c r="AA5357" s="2263">
        <v>587</v>
      </c>
      <c r="AB5357" s="574"/>
    </row>
    <row r="5358" spans="1:28" ht="12" x14ac:dyDescent="0.2">
      <c r="A5358" s="134"/>
      <c r="B5358" s="1058"/>
      <c r="C5358" s="1819"/>
      <c r="D5358" s="1454"/>
      <c r="E5358" s="1455"/>
      <c r="F5358" s="1455"/>
      <c r="G5358" s="645"/>
      <c r="H5358" s="110"/>
      <c r="I5358" s="110"/>
      <c r="J5358" s="607"/>
      <c r="K5358" s="1820"/>
      <c r="L5358" s="1526"/>
      <c r="M5358" s="1526"/>
      <c r="N5358" s="1526"/>
      <c r="O5358" s="3367" t="s">
        <v>2649</v>
      </c>
      <c r="P5358" s="3367"/>
      <c r="Q5358" s="3367"/>
      <c r="R5358" s="3367"/>
      <c r="S5358" s="3367"/>
      <c r="T5358" s="3367"/>
      <c r="U5358" s="3367"/>
      <c r="V5358" s="3367"/>
      <c r="W5358" s="3367"/>
      <c r="X5358" s="3367"/>
      <c r="Y5358" s="3367"/>
      <c r="Z5358" s="3367"/>
      <c r="AA5358" s="2264">
        <f>+AA5357+AA5355+AA5353</f>
        <v>1450168.16</v>
      </c>
      <c r="AB5358" s="574"/>
    </row>
    <row r="5359" spans="1:28" ht="15.75" x14ac:dyDescent="0.2">
      <c r="A5359" s="134"/>
      <c r="B5359" s="1083" t="s">
        <v>13</v>
      </c>
      <c r="C5359" s="3612" t="s">
        <v>2650</v>
      </c>
      <c r="D5359" s="3613"/>
      <c r="E5359" s="3613"/>
      <c r="F5359" s="3613"/>
      <c r="G5359" s="3613"/>
      <c r="H5359" s="3613"/>
      <c r="I5359" s="3613"/>
      <c r="J5359" s="3613"/>
      <c r="K5359" s="3613"/>
      <c r="L5359" s="3613"/>
      <c r="M5359" s="3613"/>
      <c r="N5359" s="3613"/>
      <c r="O5359" s="3613"/>
      <c r="P5359" s="3613"/>
      <c r="Q5359" s="3613"/>
      <c r="R5359" s="3613"/>
      <c r="S5359" s="3613"/>
      <c r="T5359" s="3613"/>
      <c r="U5359" s="3613"/>
      <c r="V5359" s="3613"/>
      <c r="W5359" s="3613"/>
      <c r="X5359" s="3613"/>
      <c r="Y5359" s="3613"/>
      <c r="Z5359" s="3613"/>
      <c r="AA5359" s="3614"/>
      <c r="AB5359" s="573"/>
    </row>
    <row r="5360" spans="1:28" ht="12" customHeight="1" x14ac:dyDescent="0.2">
      <c r="A5360" s="134"/>
      <c r="B5360" s="3700" t="s">
        <v>2651</v>
      </c>
      <c r="C5360" s="3702" t="s">
        <v>2652</v>
      </c>
      <c r="D5360" s="3703"/>
      <c r="E5360" s="3703"/>
      <c r="F5360" s="3703"/>
      <c r="G5360" s="3703"/>
      <c r="H5360" s="3703"/>
      <c r="I5360" s="3703"/>
      <c r="J5360" s="3703"/>
      <c r="K5360" s="3703"/>
      <c r="L5360" s="3703"/>
      <c r="M5360" s="3703"/>
      <c r="N5360" s="3703"/>
      <c r="O5360" s="3703"/>
      <c r="P5360" s="3703"/>
      <c r="Q5360" s="3703"/>
      <c r="R5360" s="3703"/>
      <c r="S5360" s="3703"/>
      <c r="T5360" s="3703"/>
      <c r="U5360" s="3703"/>
      <c r="V5360" s="3703"/>
      <c r="W5360" s="3703"/>
      <c r="X5360" s="3703"/>
      <c r="Y5360" s="3703"/>
      <c r="Z5360" s="3703"/>
      <c r="AA5360" s="3704"/>
      <c r="AB5360" s="580"/>
    </row>
    <row r="5361" spans="1:28" ht="12" x14ac:dyDescent="0.2">
      <c r="A5361" s="134"/>
      <c r="B5361" s="3701"/>
      <c r="C5361" s="3289"/>
      <c r="D5361" s="3705"/>
      <c r="E5361" s="3705"/>
      <c r="F5361" s="3705"/>
      <c r="G5361" s="3705"/>
      <c r="H5361" s="3705"/>
      <c r="I5361" s="3705"/>
      <c r="J5361" s="3705"/>
      <c r="K5361" s="3705"/>
      <c r="L5361" s="3705"/>
      <c r="M5361" s="3705"/>
      <c r="N5361" s="3705"/>
      <c r="O5361" s="3705"/>
      <c r="P5361" s="3705"/>
      <c r="Q5361" s="3705"/>
      <c r="R5361" s="3705"/>
      <c r="S5361" s="3705"/>
      <c r="T5361" s="3705"/>
      <c r="U5361" s="3705"/>
      <c r="V5361" s="3705"/>
      <c r="W5361" s="3705"/>
      <c r="X5361" s="3705"/>
      <c r="Y5361" s="3705"/>
      <c r="Z5361" s="3705"/>
      <c r="AA5361" s="3290"/>
      <c r="AB5361" s="580"/>
    </row>
    <row r="5362" spans="1:28" ht="15" customHeight="1" x14ac:dyDescent="0.25">
      <c r="A5362" s="134"/>
      <c r="B5362" s="3706" t="s">
        <v>2634</v>
      </c>
      <c r="C5362" s="3708" t="s">
        <v>2635</v>
      </c>
      <c r="D5362" s="3708" t="s">
        <v>23</v>
      </c>
      <c r="E5362" s="3708" t="s">
        <v>164</v>
      </c>
      <c r="F5362" s="3708" t="s">
        <v>25</v>
      </c>
      <c r="G5362" s="3708" t="s">
        <v>26</v>
      </c>
      <c r="H5362" s="3708" t="s">
        <v>27</v>
      </c>
      <c r="I5362" s="3725" t="s">
        <v>28</v>
      </c>
      <c r="J5362" s="3726"/>
      <c r="K5362" s="3708" t="s">
        <v>29</v>
      </c>
      <c r="L5362" s="3727" t="s">
        <v>30</v>
      </c>
      <c r="M5362" s="3728"/>
      <c r="N5362" s="3729"/>
      <c r="O5362" s="3733" t="s">
        <v>31</v>
      </c>
      <c r="P5362" s="3734"/>
      <c r="Q5362" s="3734"/>
      <c r="R5362" s="3734"/>
      <c r="S5362" s="3734"/>
      <c r="T5362" s="3734"/>
      <c r="U5362" s="3734"/>
      <c r="V5362" s="3734"/>
      <c r="W5362" s="3734"/>
      <c r="X5362" s="3734"/>
      <c r="Y5362" s="3734"/>
      <c r="Z5362" s="3735"/>
      <c r="AA5362" s="3736" t="s">
        <v>32</v>
      </c>
      <c r="AB5362" s="2"/>
    </row>
    <row r="5363" spans="1:28" ht="15" x14ac:dyDescent="0.25">
      <c r="A5363" s="134"/>
      <c r="B5363" s="3707"/>
      <c r="C5363" s="3709"/>
      <c r="D5363" s="3709"/>
      <c r="E5363" s="3709"/>
      <c r="F5363" s="3709"/>
      <c r="G5363" s="3709"/>
      <c r="H5363" s="3709"/>
      <c r="I5363" s="743" t="s">
        <v>33</v>
      </c>
      <c r="J5363" s="584" t="s">
        <v>34</v>
      </c>
      <c r="K5363" s="3709"/>
      <c r="L5363" s="3730"/>
      <c r="M5363" s="3731"/>
      <c r="N5363" s="3732"/>
      <c r="O5363" s="742" t="s">
        <v>35</v>
      </c>
      <c r="P5363" s="742" t="s">
        <v>36</v>
      </c>
      <c r="Q5363" s="742" t="s">
        <v>37</v>
      </c>
      <c r="R5363" s="742" t="s">
        <v>38</v>
      </c>
      <c r="S5363" s="742" t="s">
        <v>39</v>
      </c>
      <c r="T5363" s="742" t="s">
        <v>40</v>
      </c>
      <c r="U5363" s="742" t="s">
        <v>41</v>
      </c>
      <c r="V5363" s="742" t="s">
        <v>42</v>
      </c>
      <c r="W5363" s="742" t="s">
        <v>2636</v>
      </c>
      <c r="X5363" s="742" t="s">
        <v>44</v>
      </c>
      <c r="Y5363" s="742" t="s">
        <v>45</v>
      </c>
      <c r="Z5363" s="742" t="s">
        <v>46</v>
      </c>
      <c r="AA5363" s="3737"/>
      <c r="AB5363" s="2"/>
    </row>
    <row r="5364" spans="1:28" ht="12" customHeight="1" x14ac:dyDescent="0.2">
      <c r="A5364" s="134"/>
      <c r="B5364" s="3718" t="s">
        <v>3246</v>
      </c>
      <c r="C5364" s="2438" t="s">
        <v>1431</v>
      </c>
      <c r="D5364" s="2949">
        <v>22</v>
      </c>
      <c r="E5364" s="3739" t="s">
        <v>165</v>
      </c>
      <c r="F5364" s="3718" t="s">
        <v>2653</v>
      </c>
      <c r="G5364" s="2335" t="s">
        <v>2654</v>
      </c>
      <c r="H5364" s="3196" t="s">
        <v>235</v>
      </c>
      <c r="I5364" s="2938"/>
      <c r="J5364" s="2938">
        <v>1161333</v>
      </c>
      <c r="K5364" s="2514" t="s">
        <v>2655</v>
      </c>
      <c r="L5364" s="2438" t="s">
        <v>2656</v>
      </c>
      <c r="M5364" s="2438" t="s">
        <v>2657</v>
      </c>
      <c r="N5364" s="1456" t="s">
        <v>51</v>
      </c>
      <c r="O5364" s="1088">
        <v>1</v>
      </c>
      <c r="P5364" s="1088">
        <v>1</v>
      </c>
      <c r="Q5364" s="1054">
        <v>1</v>
      </c>
      <c r="R5364" s="1054">
        <v>1</v>
      </c>
      <c r="S5364" s="1054">
        <v>1</v>
      </c>
      <c r="T5364" s="1054">
        <v>1</v>
      </c>
      <c r="U5364" s="1054">
        <v>1</v>
      </c>
      <c r="V5364" s="1054">
        <v>1</v>
      </c>
      <c r="W5364" s="1054">
        <v>1</v>
      </c>
      <c r="X5364" s="1054">
        <v>1</v>
      </c>
      <c r="Y5364" s="1054">
        <v>1</v>
      </c>
      <c r="Z5364" s="1054">
        <v>1</v>
      </c>
      <c r="AA5364" s="1054">
        <v>12</v>
      </c>
      <c r="AB5364" s="581"/>
    </row>
    <row r="5365" spans="1:28" ht="12" customHeight="1" x14ac:dyDescent="0.2">
      <c r="A5365" s="134"/>
      <c r="B5365" s="3738"/>
      <c r="C5365" s="2456"/>
      <c r="D5365" s="2950"/>
      <c r="E5365" s="3740"/>
      <c r="F5365" s="3738"/>
      <c r="G5365" s="3006"/>
      <c r="H5365" s="3197"/>
      <c r="I5365" s="2939"/>
      <c r="J5365" s="2939"/>
      <c r="K5365" s="2515"/>
      <c r="L5365" s="2456"/>
      <c r="M5365" s="2456"/>
      <c r="N5365" s="3722" t="s">
        <v>1090</v>
      </c>
      <c r="O5365" s="3712">
        <f>+J5364/12</f>
        <v>96777.75</v>
      </c>
      <c r="P5365" s="3712">
        <v>96777.75</v>
      </c>
      <c r="Q5365" s="3712">
        <v>96778.75</v>
      </c>
      <c r="R5365" s="3712">
        <v>96779.75</v>
      </c>
      <c r="S5365" s="3712">
        <v>96780.75</v>
      </c>
      <c r="T5365" s="3712">
        <v>96781.75</v>
      </c>
      <c r="U5365" s="3712">
        <v>96782.75</v>
      </c>
      <c r="V5365" s="3712">
        <v>96783.75</v>
      </c>
      <c r="W5365" s="3712">
        <v>96784.75</v>
      </c>
      <c r="X5365" s="3712">
        <v>96785.75</v>
      </c>
      <c r="Y5365" s="3712">
        <v>96786.75</v>
      </c>
      <c r="Z5365" s="3712">
        <v>96787.75</v>
      </c>
      <c r="AA5365" s="3715">
        <f>SUM(O5365:Z5369)</f>
        <v>1161388</v>
      </c>
      <c r="AB5365" s="581"/>
    </row>
    <row r="5366" spans="1:28" ht="15" x14ac:dyDescent="0.25">
      <c r="A5366" s="134"/>
      <c r="B5366" s="3738"/>
      <c r="C5366" s="2456"/>
      <c r="D5366" s="2950"/>
      <c r="E5366" s="3740"/>
      <c r="F5366" s="3738"/>
      <c r="G5366" s="3006"/>
      <c r="H5366" s="3197"/>
      <c r="I5366" s="2939"/>
      <c r="J5366" s="2939"/>
      <c r="K5366" s="2515"/>
      <c r="L5366" s="2456"/>
      <c r="M5366" s="2456"/>
      <c r="N5366" s="3723"/>
      <c r="O5366" s="3713"/>
      <c r="P5366" s="3713"/>
      <c r="Q5366" s="3713"/>
      <c r="R5366" s="3713"/>
      <c r="S5366" s="3713"/>
      <c r="T5366" s="3713"/>
      <c r="U5366" s="3713"/>
      <c r="V5366" s="3713"/>
      <c r="W5366" s="3713"/>
      <c r="X5366" s="3713"/>
      <c r="Y5366" s="3713"/>
      <c r="Z5366" s="3713"/>
      <c r="AA5366" s="3716"/>
      <c r="AB5366" s="2"/>
    </row>
    <row r="5367" spans="1:28" ht="15" x14ac:dyDescent="0.25">
      <c r="A5367" s="134"/>
      <c r="B5367" s="3738"/>
      <c r="C5367" s="2456"/>
      <c r="D5367" s="2950"/>
      <c r="E5367" s="3740"/>
      <c r="F5367" s="3738"/>
      <c r="G5367" s="3006"/>
      <c r="H5367" s="3197"/>
      <c r="I5367" s="2939"/>
      <c r="J5367" s="2939"/>
      <c r="K5367" s="2515"/>
      <c r="L5367" s="2456"/>
      <c r="M5367" s="2456"/>
      <c r="N5367" s="3723"/>
      <c r="O5367" s="3713"/>
      <c r="P5367" s="3713"/>
      <c r="Q5367" s="3713"/>
      <c r="R5367" s="3713"/>
      <c r="S5367" s="3713"/>
      <c r="T5367" s="3713"/>
      <c r="U5367" s="3713"/>
      <c r="V5367" s="3713"/>
      <c r="W5367" s="3713"/>
      <c r="X5367" s="3713"/>
      <c r="Y5367" s="3713"/>
      <c r="Z5367" s="3713"/>
      <c r="AA5367" s="3716"/>
      <c r="AB5367" s="2"/>
    </row>
    <row r="5368" spans="1:28" ht="15" x14ac:dyDescent="0.25">
      <c r="A5368" s="134"/>
      <c r="B5368" s="3738"/>
      <c r="C5368" s="2456"/>
      <c r="D5368" s="2950"/>
      <c r="E5368" s="3740"/>
      <c r="F5368" s="3738"/>
      <c r="G5368" s="3006"/>
      <c r="H5368" s="3197"/>
      <c r="I5368" s="2939"/>
      <c r="J5368" s="2939"/>
      <c r="K5368" s="2515"/>
      <c r="L5368" s="2456"/>
      <c r="M5368" s="2456"/>
      <c r="N5368" s="3723"/>
      <c r="O5368" s="3713"/>
      <c r="P5368" s="3713"/>
      <c r="Q5368" s="3713"/>
      <c r="R5368" s="3713"/>
      <c r="S5368" s="3713"/>
      <c r="T5368" s="3713"/>
      <c r="U5368" s="3713"/>
      <c r="V5368" s="3713"/>
      <c r="W5368" s="3713"/>
      <c r="X5368" s="3713"/>
      <c r="Y5368" s="3713"/>
      <c r="Z5368" s="3713"/>
      <c r="AA5368" s="3716"/>
      <c r="AB5368" s="2"/>
    </row>
    <row r="5369" spans="1:28" ht="15" x14ac:dyDescent="0.25">
      <c r="A5369" s="134"/>
      <c r="B5369" s="3719"/>
      <c r="C5369" s="2450"/>
      <c r="D5369" s="2951"/>
      <c r="E5369" s="3741"/>
      <c r="F5369" s="3719"/>
      <c r="G5369" s="2336"/>
      <c r="H5369" s="3198"/>
      <c r="I5369" s="2940"/>
      <c r="J5369" s="2940"/>
      <c r="K5369" s="2516"/>
      <c r="L5369" s="2450"/>
      <c r="M5369" s="2450"/>
      <c r="N5369" s="3724"/>
      <c r="O5369" s="3714"/>
      <c r="P5369" s="3714"/>
      <c r="Q5369" s="3714"/>
      <c r="R5369" s="3714"/>
      <c r="S5369" s="3714"/>
      <c r="T5369" s="3714"/>
      <c r="U5369" s="3714"/>
      <c r="V5369" s="3714"/>
      <c r="W5369" s="3714"/>
      <c r="X5369" s="3714"/>
      <c r="Y5369" s="3714"/>
      <c r="Z5369" s="3714"/>
      <c r="AA5369" s="3717"/>
      <c r="AB5369" s="2"/>
    </row>
    <row r="5370" spans="1:28" ht="15" customHeight="1" x14ac:dyDescent="0.25">
      <c r="A5370" s="134"/>
      <c r="B5370" s="3718" t="s">
        <v>3247</v>
      </c>
      <c r="C5370" s="2438" t="s">
        <v>2658</v>
      </c>
      <c r="D5370" s="2949">
        <v>22</v>
      </c>
      <c r="E5370" s="3196" t="s">
        <v>2659</v>
      </c>
      <c r="F5370" s="3720" t="s">
        <v>2660</v>
      </c>
      <c r="G5370" s="2335" t="s">
        <v>2661</v>
      </c>
      <c r="H5370" s="3196" t="s">
        <v>767</v>
      </c>
      <c r="I5370" s="2938"/>
      <c r="J5370" s="2938">
        <v>34279913</v>
      </c>
      <c r="K5370" s="2514"/>
      <c r="L5370" s="2438"/>
      <c r="M5370" s="2438"/>
      <c r="N5370" s="1092" t="s">
        <v>51</v>
      </c>
      <c r="O5370" s="588"/>
      <c r="P5370" s="588"/>
      <c r="Q5370" s="1109"/>
      <c r="R5370" s="1109"/>
      <c r="S5370" s="1109"/>
      <c r="T5370" s="1109"/>
      <c r="U5370" s="1109"/>
      <c r="V5370" s="1109"/>
      <c r="W5370" s="1109"/>
      <c r="X5370" s="1109"/>
      <c r="Y5370" s="1109"/>
      <c r="Z5370" s="1109"/>
      <c r="AA5370" s="368"/>
      <c r="AB5370" s="2"/>
    </row>
    <row r="5371" spans="1:28" ht="65.25" customHeight="1" x14ac:dyDescent="0.25">
      <c r="A5371" s="134"/>
      <c r="B5371" s="3719"/>
      <c r="C5371" s="2450"/>
      <c r="D5371" s="2951"/>
      <c r="E5371" s="3198"/>
      <c r="F5371" s="3721"/>
      <c r="G5371" s="2336"/>
      <c r="H5371" s="3198"/>
      <c r="I5371" s="2940"/>
      <c r="J5371" s="2940"/>
      <c r="K5371" s="2516"/>
      <c r="L5371" s="2450"/>
      <c r="M5371" s="2450"/>
      <c r="N5371" s="1904" t="s">
        <v>1090</v>
      </c>
      <c r="O5371" s="588">
        <f>+J5370/12</f>
        <v>2856659.4166666665</v>
      </c>
      <c r="P5371" s="1108">
        <v>2856659.4166666665</v>
      </c>
      <c r="Q5371" s="1108">
        <v>2856659.4166666665</v>
      </c>
      <c r="R5371" s="1108">
        <v>2856659.4166666665</v>
      </c>
      <c r="S5371" s="1108">
        <v>2856659.4166666665</v>
      </c>
      <c r="T5371" s="1108">
        <v>2856659.4166666665</v>
      </c>
      <c r="U5371" s="1108">
        <v>2856659.4166666665</v>
      </c>
      <c r="V5371" s="1108">
        <v>2856659.4166666665</v>
      </c>
      <c r="W5371" s="1108">
        <v>2856659.4166666665</v>
      </c>
      <c r="X5371" s="1108">
        <v>2856659.4166666665</v>
      </c>
      <c r="Y5371" s="1108">
        <v>2856659.4166666665</v>
      </c>
      <c r="Z5371" s="1108">
        <v>2856659.4166666665</v>
      </c>
      <c r="AA5371" s="368">
        <f>SUM(O5371:Z5371)</f>
        <v>34279913.000000007</v>
      </c>
      <c r="AB5371" s="2"/>
    </row>
    <row r="5372" spans="1:28" ht="15" customHeight="1" x14ac:dyDescent="0.25">
      <c r="A5372" s="134"/>
      <c r="B5372" s="3718" t="s">
        <v>3248</v>
      </c>
      <c r="C5372" s="2438" t="s">
        <v>2662</v>
      </c>
      <c r="D5372" s="2949">
        <v>22</v>
      </c>
      <c r="E5372" s="3196" t="s">
        <v>2659</v>
      </c>
      <c r="F5372" s="3720" t="s">
        <v>2663</v>
      </c>
      <c r="G5372" s="2335" t="s">
        <v>2664</v>
      </c>
      <c r="H5372" s="3196" t="s">
        <v>767</v>
      </c>
      <c r="I5372" s="2938"/>
      <c r="J5372" s="3297">
        <v>210817387</v>
      </c>
      <c r="K5372" s="2514" t="s">
        <v>2665</v>
      </c>
      <c r="L5372" s="2522" t="s">
        <v>2666</v>
      </c>
      <c r="M5372" s="2438" t="s">
        <v>2657</v>
      </c>
      <c r="N5372" s="1092" t="s">
        <v>51</v>
      </c>
      <c r="O5372" s="588"/>
      <c r="P5372" s="588"/>
      <c r="Q5372" s="588"/>
      <c r="R5372" s="588"/>
      <c r="S5372" s="588"/>
      <c r="T5372" s="588"/>
      <c r="U5372" s="588"/>
      <c r="V5372" s="588"/>
      <c r="W5372" s="588"/>
      <c r="X5372" s="588"/>
      <c r="Y5372" s="588"/>
      <c r="Z5372" s="588"/>
      <c r="AA5372" s="368"/>
      <c r="AB5372" s="2"/>
    </row>
    <row r="5373" spans="1:28" ht="51" customHeight="1" x14ac:dyDescent="0.25">
      <c r="A5373" s="134"/>
      <c r="B5373" s="3719"/>
      <c r="C5373" s="2450"/>
      <c r="D5373" s="2951"/>
      <c r="E5373" s="3198"/>
      <c r="F5373" s="3721"/>
      <c r="G5373" s="2336"/>
      <c r="H5373" s="3198"/>
      <c r="I5373" s="2940"/>
      <c r="J5373" s="3299"/>
      <c r="K5373" s="2515"/>
      <c r="L5373" s="2522"/>
      <c r="M5373" s="2450"/>
      <c r="N5373" s="1092" t="s">
        <v>1090</v>
      </c>
      <c r="O5373" s="588">
        <f>+J5372/12</f>
        <v>17568115.583333332</v>
      </c>
      <c r="P5373" s="588">
        <v>17568115.583333332</v>
      </c>
      <c r="Q5373" s="588">
        <v>17568115.583333332</v>
      </c>
      <c r="R5373" s="588">
        <v>17568115.583333332</v>
      </c>
      <c r="S5373" s="588">
        <v>17568115.583333332</v>
      </c>
      <c r="T5373" s="588">
        <v>17568115.583333332</v>
      </c>
      <c r="U5373" s="588">
        <v>17568115.583333332</v>
      </c>
      <c r="V5373" s="588">
        <v>17568115.583333332</v>
      </c>
      <c r="W5373" s="588">
        <v>17568115.583333332</v>
      </c>
      <c r="X5373" s="588">
        <v>17568115.583333332</v>
      </c>
      <c r="Y5373" s="588">
        <v>17568115.583333332</v>
      </c>
      <c r="Z5373" s="588">
        <v>17568115.583333332</v>
      </c>
      <c r="AA5373" s="368">
        <f t="shared" ref="AA5373:AA5423" si="905">SUM(O5373:Z5373)</f>
        <v>210817387.00000003</v>
      </c>
      <c r="AB5373" s="2"/>
    </row>
    <row r="5374" spans="1:28" ht="15" customHeight="1" x14ac:dyDescent="0.25">
      <c r="A5374" s="134"/>
      <c r="B5374" s="3718" t="s">
        <v>3247</v>
      </c>
      <c r="C5374" s="2438" t="s">
        <v>2667</v>
      </c>
      <c r="D5374" s="2949">
        <v>22</v>
      </c>
      <c r="E5374" s="3196" t="s">
        <v>2659</v>
      </c>
      <c r="F5374" s="3720" t="s">
        <v>2668</v>
      </c>
      <c r="G5374" s="2335" t="s">
        <v>2669</v>
      </c>
      <c r="H5374" s="3196" t="s">
        <v>767</v>
      </c>
      <c r="I5374" s="2938"/>
      <c r="J5374" s="3297">
        <v>205110861</v>
      </c>
      <c r="K5374" s="2515"/>
      <c r="L5374" s="2522"/>
      <c r="M5374" s="2438" t="s">
        <v>2657</v>
      </c>
      <c r="N5374" s="1092" t="s">
        <v>51</v>
      </c>
      <c r="O5374" s="588"/>
      <c r="P5374" s="588"/>
      <c r="Q5374" s="588"/>
      <c r="R5374" s="588"/>
      <c r="S5374" s="588"/>
      <c r="T5374" s="588"/>
      <c r="U5374" s="588"/>
      <c r="V5374" s="588"/>
      <c r="W5374" s="588"/>
      <c r="X5374" s="588"/>
      <c r="Y5374" s="588"/>
      <c r="Z5374" s="588"/>
      <c r="AA5374" s="368"/>
      <c r="AB5374" s="2"/>
    </row>
    <row r="5375" spans="1:28" ht="28.5" customHeight="1" x14ac:dyDescent="0.25">
      <c r="A5375" s="134"/>
      <c r="B5375" s="3719"/>
      <c r="C5375" s="2450"/>
      <c r="D5375" s="2951"/>
      <c r="E5375" s="3198"/>
      <c r="F5375" s="3721"/>
      <c r="G5375" s="2336"/>
      <c r="H5375" s="3198"/>
      <c r="I5375" s="2940"/>
      <c r="J5375" s="3299"/>
      <c r="K5375" s="2515"/>
      <c r="L5375" s="2522"/>
      <c r="M5375" s="2450"/>
      <c r="N5375" s="1092" t="s">
        <v>1090</v>
      </c>
      <c r="O5375" s="588">
        <f>+J5374/12</f>
        <v>17092571.75</v>
      </c>
      <c r="P5375" s="588">
        <v>17092571.75</v>
      </c>
      <c r="Q5375" s="588">
        <v>17092571.75</v>
      </c>
      <c r="R5375" s="588">
        <v>17092571.75</v>
      </c>
      <c r="S5375" s="588">
        <v>17092571.75</v>
      </c>
      <c r="T5375" s="588">
        <v>17092571.75</v>
      </c>
      <c r="U5375" s="588">
        <v>17092571.75</v>
      </c>
      <c r="V5375" s="588">
        <v>17092571.75</v>
      </c>
      <c r="W5375" s="588">
        <v>17092571.75</v>
      </c>
      <c r="X5375" s="588">
        <v>17092571.75</v>
      </c>
      <c r="Y5375" s="588">
        <v>17092571.75</v>
      </c>
      <c r="Z5375" s="588">
        <v>17092571.75</v>
      </c>
      <c r="AA5375" s="368">
        <f t="shared" si="905"/>
        <v>205110861</v>
      </c>
      <c r="AB5375" s="2"/>
    </row>
    <row r="5376" spans="1:28" ht="15" customHeight="1" x14ac:dyDescent="0.25">
      <c r="B5376" s="3718" t="s">
        <v>3247</v>
      </c>
      <c r="C5376" s="2438" t="s">
        <v>2662</v>
      </c>
      <c r="D5376" s="2949">
        <v>23</v>
      </c>
      <c r="E5376" s="3196" t="s">
        <v>2659</v>
      </c>
      <c r="F5376" s="3720" t="s">
        <v>2670</v>
      </c>
      <c r="G5376" s="2335" t="s">
        <v>2669</v>
      </c>
      <c r="H5376" s="3196" t="s">
        <v>767</v>
      </c>
      <c r="I5376" s="2938"/>
      <c r="J5376" s="3297">
        <v>134673626</v>
      </c>
      <c r="K5376" s="2515"/>
      <c r="L5376" s="2522"/>
      <c r="M5376" s="2438" t="s">
        <v>2657</v>
      </c>
      <c r="N5376" s="1092" t="s">
        <v>51</v>
      </c>
      <c r="O5376" s="588"/>
      <c r="P5376" s="588"/>
      <c r="Q5376" s="588"/>
      <c r="R5376" s="588"/>
      <c r="S5376" s="588"/>
      <c r="T5376" s="588"/>
      <c r="U5376" s="588"/>
      <c r="V5376" s="588"/>
      <c r="W5376" s="588"/>
      <c r="X5376" s="588"/>
      <c r="Y5376" s="588"/>
      <c r="Z5376" s="588"/>
      <c r="AA5376" s="368"/>
      <c r="AB5376" s="2"/>
    </row>
    <row r="5377" spans="2:28" ht="27.75" customHeight="1" x14ac:dyDescent="0.25">
      <c r="B5377" s="3719"/>
      <c r="C5377" s="2450"/>
      <c r="D5377" s="2951"/>
      <c r="E5377" s="3198"/>
      <c r="F5377" s="3721"/>
      <c r="G5377" s="2336"/>
      <c r="H5377" s="3198"/>
      <c r="I5377" s="2940"/>
      <c r="J5377" s="3299"/>
      <c r="K5377" s="2515"/>
      <c r="L5377" s="2522"/>
      <c r="M5377" s="2450"/>
      <c r="N5377" s="1092" t="s">
        <v>1090</v>
      </c>
      <c r="O5377" s="588">
        <f>+J5376/12</f>
        <v>11222802.166666666</v>
      </c>
      <c r="P5377" s="588">
        <v>11222802.166666666</v>
      </c>
      <c r="Q5377" s="588">
        <v>11222802.166666666</v>
      </c>
      <c r="R5377" s="588">
        <v>11222802.166666666</v>
      </c>
      <c r="S5377" s="588">
        <v>11222802.166666666</v>
      </c>
      <c r="T5377" s="588">
        <v>11222802.166666666</v>
      </c>
      <c r="U5377" s="588">
        <v>11222802.166666666</v>
      </c>
      <c r="V5377" s="588">
        <v>11222802.166666666</v>
      </c>
      <c r="W5377" s="588">
        <v>11222802.166666666</v>
      </c>
      <c r="X5377" s="588">
        <v>11222802.166666666</v>
      </c>
      <c r="Y5377" s="588">
        <v>11222802.166666666</v>
      </c>
      <c r="Z5377" s="588">
        <v>11222802.166666666</v>
      </c>
      <c r="AA5377" s="368">
        <f t="shared" si="905"/>
        <v>134673626.00000003</v>
      </c>
      <c r="AB5377" s="2"/>
    </row>
    <row r="5378" spans="2:28" ht="15" customHeight="1" x14ac:dyDescent="0.25">
      <c r="B5378" s="3718" t="s">
        <v>3248</v>
      </c>
      <c r="C5378" s="2438" t="s">
        <v>2671</v>
      </c>
      <c r="D5378" s="3196" t="s">
        <v>2672</v>
      </c>
      <c r="E5378" s="3196" t="s">
        <v>2659</v>
      </c>
      <c r="F5378" s="3720" t="s">
        <v>2673</v>
      </c>
      <c r="G5378" s="2335" t="s">
        <v>2661</v>
      </c>
      <c r="H5378" s="3196" t="s">
        <v>767</v>
      </c>
      <c r="I5378" s="2938"/>
      <c r="J5378" s="3297">
        <v>22528</v>
      </c>
      <c r="K5378" s="2515"/>
      <c r="L5378" s="2522"/>
      <c r="M5378" s="2438" t="s">
        <v>2657</v>
      </c>
      <c r="N5378" s="1092" t="s">
        <v>51</v>
      </c>
      <c r="O5378" s="588"/>
      <c r="P5378" s="588"/>
      <c r="Q5378" s="588"/>
      <c r="R5378" s="588"/>
      <c r="S5378" s="588"/>
      <c r="T5378" s="588"/>
      <c r="U5378" s="588"/>
      <c r="V5378" s="588"/>
      <c r="W5378" s="588"/>
      <c r="X5378" s="588"/>
      <c r="Y5378" s="588"/>
      <c r="Z5378" s="588"/>
      <c r="AA5378" s="368"/>
      <c r="AB5378" s="2"/>
    </row>
    <row r="5379" spans="2:28" ht="18" customHeight="1" x14ac:dyDescent="0.25">
      <c r="B5379" s="3719"/>
      <c r="C5379" s="2450"/>
      <c r="D5379" s="3198"/>
      <c r="E5379" s="3198"/>
      <c r="F5379" s="3721"/>
      <c r="G5379" s="2336"/>
      <c r="H5379" s="3198"/>
      <c r="I5379" s="2940"/>
      <c r="J5379" s="3299"/>
      <c r="K5379" s="2515"/>
      <c r="L5379" s="2522"/>
      <c r="M5379" s="2450"/>
      <c r="N5379" s="1092" t="s">
        <v>1090</v>
      </c>
      <c r="O5379" s="588">
        <f>+J5378/12</f>
        <v>1877.3333333333333</v>
      </c>
      <c r="P5379" s="588">
        <v>1877.3333333333333</v>
      </c>
      <c r="Q5379" s="588">
        <v>1877.3333333333333</v>
      </c>
      <c r="R5379" s="588">
        <v>1877.3333333333333</v>
      </c>
      <c r="S5379" s="588">
        <v>1877.3333333333333</v>
      </c>
      <c r="T5379" s="588">
        <v>1877.3333333333333</v>
      </c>
      <c r="U5379" s="588">
        <v>1877.3333333333333</v>
      </c>
      <c r="V5379" s="588">
        <v>1877.3333333333333</v>
      </c>
      <c r="W5379" s="588">
        <v>1877.3333333333333</v>
      </c>
      <c r="X5379" s="588">
        <v>1877.3333333333333</v>
      </c>
      <c r="Y5379" s="588">
        <v>1877.3333333333333</v>
      </c>
      <c r="Z5379" s="588">
        <v>1877.3333333333333</v>
      </c>
      <c r="AA5379" s="368">
        <f t="shared" si="905"/>
        <v>22527.999999999996</v>
      </c>
      <c r="AB5379" s="2"/>
    </row>
    <row r="5380" spans="2:28" ht="15" customHeight="1" x14ac:dyDescent="0.25">
      <c r="B5380" s="3718" t="s">
        <v>3248</v>
      </c>
      <c r="C5380" s="2438" t="s">
        <v>2671</v>
      </c>
      <c r="D5380" s="3196" t="s">
        <v>2672</v>
      </c>
      <c r="E5380" s="3196" t="s">
        <v>2674</v>
      </c>
      <c r="F5380" s="3720" t="s">
        <v>2668</v>
      </c>
      <c r="G5380" s="2335" t="s">
        <v>2661</v>
      </c>
      <c r="H5380" s="3196" t="s">
        <v>767</v>
      </c>
      <c r="I5380" s="2938"/>
      <c r="J5380" s="3297">
        <v>1494807.2</v>
      </c>
      <c r="K5380" s="2515"/>
      <c r="L5380" s="2522"/>
      <c r="M5380" s="2438" t="s">
        <v>2657</v>
      </c>
      <c r="N5380" s="1092" t="s">
        <v>51</v>
      </c>
      <c r="O5380" s="588"/>
      <c r="P5380" s="588"/>
      <c r="Q5380" s="588"/>
      <c r="R5380" s="588"/>
      <c r="S5380" s="588"/>
      <c r="T5380" s="588"/>
      <c r="U5380" s="588"/>
      <c r="V5380" s="588"/>
      <c r="W5380" s="588"/>
      <c r="X5380" s="588"/>
      <c r="Y5380" s="588"/>
      <c r="Z5380" s="588"/>
      <c r="AA5380" s="368"/>
      <c r="AB5380" s="2"/>
    </row>
    <row r="5381" spans="2:28" ht="59.25" customHeight="1" x14ac:dyDescent="0.25">
      <c r="B5381" s="3719"/>
      <c r="C5381" s="2450"/>
      <c r="D5381" s="3198"/>
      <c r="E5381" s="3198"/>
      <c r="F5381" s="3721"/>
      <c r="G5381" s="2336"/>
      <c r="H5381" s="3198"/>
      <c r="I5381" s="2940"/>
      <c r="J5381" s="3299"/>
      <c r="K5381" s="2515"/>
      <c r="L5381" s="2522"/>
      <c r="M5381" s="2450"/>
      <c r="N5381" s="1092" t="s">
        <v>1090</v>
      </c>
      <c r="O5381" s="588">
        <f>+J5380/12</f>
        <v>124567.26666666666</v>
      </c>
      <c r="P5381" s="588">
        <v>124567.26666666666</v>
      </c>
      <c r="Q5381" s="588">
        <v>124567.26666666666</v>
      </c>
      <c r="R5381" s="588">
        <v>124567.26666666666</v>
      </c>
      <c r="S5381" s="588">
        <v>124567.26666666666</v>
      </c>
      <c r="T5381" s="588">
        <v>124567.26666666666</v>
      </c>
      <c r="U5381" s="588">
        <v>124567.26666666666</v>
      </c>
      <c r="V5381" s="588">
        <v>124567.26666666666</v>
      </c>
      <c r="W5381" s="588">
        <v>124567.26666666666</v>
      </c>
      <c r="X5381" s="588">
        <v>124567.26666666666</v>
      </c>
      <c r="Y5381" s="588">
        <v>124567.26666666666</v>
      </c>
      <c r="Z5381" s="588">
        <v>124567.26666666666</v>
      </c>
      <c r="AA5381" s="368">
        <f t="shared" si="905"/>
        <v>1494807.1999999995</v>
      </c>
      <c r="AB5381" s="2"/>
    </row>
    <row r="5382" spans="2:28" ht="15" customHeight="1" x14ac:dyDescent="0.25">
      <c r="B5382" s="3718" t="s">
        <v>3248</v>
      </c>
      <c r="C5382" s="2438" t="s">
        <v>2675</v>
      </c>
      <c r="D5382" s="3196" t="s">
        <v>2676</v>
      </c>
      <c r="E5382" s="3739" t="s">
        <v>2674</v>
      </c>
      <c r="F5382" s="3720" t="s">
        <v>2670</v>
      </c>
      <c r="G5382" s="2335" t="s">
        <v>2661</v>
      </c>
      <c r="H5382" s="3196" t="s">
        <v>767</v>
      </c>
      <c r="I5382" s="2938"/>
      <c r="J5382" s="3297">
        <v>4936314</v>
      </c>
      <c r="K5382" s="2515"/>
      <c r="L5382" s="2522"/>
      <c r="M5382" s="2438" t="s">
        <v>2657</v>
      </c>
      <c r="N5382" s="1904" t="s">
        <v>51</v>
      </c>
      <c r="O5382" s="588"/>
      <c r="P5382" s="588"/>
      <c r="Q5382" s="588"/>
      <c r="R5382" s="588"/>
      <c r="S5382" s="588"/>
      <c r="T5382" s="588"/>
      <c r="U5382" s="588"/>
      <c r="V5382" s="588"/>
      <c r="W5382" s="588"/>
      <c r="X5382" s="588"/>
      <c r="Y5382" s="588"/>
      <c r="Z5382" s="588"/>
      <c r="AA5382" s="368"/>
      <c r="AB5382" s="2"/>
    </row>
    <row r="5383" spans="2:28" ht="57" customHeight="1" x14ac:dyDescent="0.2">
      <c r="B5383" s="3719"/>
      <c r="C5383" s="2450"/>
      <c r="D5383" s="3198"/>
      <c r="E5383" s="3741"/>
      <c r="F5383" s="3721"/>
      <c r="G5383" s="2336"/>
      <c r="H5383" s="3198"/>
      <c r="I5383" s="2940"/>
      <c r="J5383" s="3299"/>
      <c r="K5383" s="2515"/>
      <c r="L5383" s="2522"/>
      <c r="M5383" s="2450"/>
      <c r="N5383" s="1904" t="s">
        <v>1090</v>
      </c>
      <c r="O5383" s="588">
        <f>+J5382/12</f>
        <v>411359.5</v>
      </c>
      <c r="P5383" s="588">
        <v>411359.5</v>
      </c>
      <c r="Q5383" s="588">
        <v>411359.5</v>
      </c>
      <c r="R5383" s="588">
        <v>411359.5</v>
      </c>
      <c r="S5383" s="588">
        <v>411359.5</v>
      </c>
      <c r="T5383" s="588">
        <v>411359.5</v>
      </c>
      <c r="U5383" s="588">
        <v>411359.5</v>
      </c>
      <c r="V5383" s="588">
        <v>411359.5</v>
      </c>
      <c r="W5383" s="588">
        <v>411359.5</v>
      </c>
      <c r="X5383" s="588">
        <v>411359.5</v>
      </c>
      <c r="Y5383" s="588">
        <v>411359.5</v>
      </c>
      <c r="Z5383" s="588">
        <v>411359.5</v>
      </c>
      <c r="AA5383" s="368">
        <f t="shared" si="905"/>
        <v>4936314</v>
      </c>
      <c r="AB5383" s="582"/>
    </row>
    <row r="5384" spans="2:28" ht="12" customHeight="1" x14ac:dyDescent="0.2">
      <c r="B5384" s="3718" t="s">
        <v>2677</v>
      </c>
      <c r="C5384" s="2438" t="s">
        <v>2678</v>
      </c>
      <c r="D5384" s="3196" t="s">
        <v>2672</v>
      </c>
      <c r="E5384" s="3739" t="s">
        <v>2659</v>
      </c>
      <c r="F5384" s="3720" t="s">
        <v>2679</v>
      </c>
      <c r="G5384" s="2335" t="s">
        <v>2680</v>
      </c>
      <c r="H5384" s="3196" t="s">
        <v>2681</v>
      </c>
      <c r="I5384" s="2938"/>
      <c r="J5384" s="3297">
        <v>121564</v>
      </c>
      <c r="K5384" s="2515"/>
      <c r="L5384" s="2522"/>
      <c r="M5384" s="2438" t="s">
        <v>2657</v>
      </c>
      <c r="N5384" s="1904" t="s">
        <v>51</v>
      </c>
      <c r="O5384" s="588"/>
      <c r="P5384" s="588"/>
      <c r="Q5384" s="588"/>
      <c r="R5384" s="588"/>
      <c r="S5384" s="588"/>
      <c r="T5384" s="588"/>
      <c r="U5384" s="588"/>
      <c r="V5384" s="588"/>
      <c r="W5384" s="588"/>
      <c r="X5384" s="588"/>
      <c r="Y5384" s="588"/>
      <c r="Z5384" s="588"/>
      <c r="AA5384" s="368"/>
      <c r="AB5384" s="582"/>
    </row>
    <row r="5385" spans="2:28" ht="31.5" customHeight="1" x14ac:dyDescent="0.2">
      <c r="B5385" s="3719"/>
      <c r="C5385" s="2450"/>
      <c r="D5385" s="3198"/>
      <c r="E5385" s="3741"/>
      <c r="F5385" s="3721"/>
      <c r="G5385" s="2336"/>
      <c r="H5385" s="3198"/>
      <c r="I5385" s="2940"/>
      <c r="J5385" s="3299"/>
      <c r="K5385" s="2515"/>
      <c r="L5385" s="2522"/>
      <c r="M5385" s="2450"/>
      <c r="N5385" s="1904" t="s">
        <v>1090</v>
      </c>
      <c r="O5385" s="588">
        <f>+J5384/12</f>
        <v>10130.333333333334</v>
      </c>
      <c r="P5385" s="588">
        <v>10130.333333333334</v>
      </c>
      <c r="Q5385" s="588">
        <v>10130.333333333334</v>
      </c>
      <c r="R5385" s="588">
        <v>10130.333333333334</v>
      </c>
      <c r="S5385" s="588">
        <v>10130.333333333334</v>
      </c>
      <c r="T5385" s="588">
        <v>10130.333333333334</v>
      </c>
      <c r="U5385" s="588">
        <v>10130.333333333334</v>
      </c>
      <c r="V5385" s="588">
        <v>10130.333333333334</v>
      </c>
      <c r="W5385" s="588">
        <v>10130.333333333334</v>
      </c>
      <c r="X5385" s="588">
        <v>10130.333333333334</v>
      </c>
      <c r="Y5385" s="588">
        <v>10130.333333333334</v>
      </c>
      <c r="Z5385" s="588">
        <v>10130.333333333334</v>
      </c>
      <c r="AA5385" s="368">
        <f t="shared" si="905"/>
        <v>121563.99999999999</v>
      </c>
      <c r="AB5385" s="582"/>
    </row>
    <row r="5386" spans="2:28" ht="12" customHeight="1" x14ac:dyDescent="0.2">
      <c r="B5386" s="3718" t="s">
        <v>3248</v>
      </c>
      <c r="C5386" s="2438" t="s">
        <v>2682</v>
      </c>
      <c r="D5386" s="3196" t="s">
        <v>2672</v>
      </c>
      <c r="E5386" s="3196" t="s">
        <v>2674</v>
      </c>
      <c r="F5386" s="3720" t="s">
        <v>2683</v>
      </c>
      <c r="G5386" s="2335" t="s">
        <v>2684</v>
      </c>
      <c r="H5386" s="3196" t="s">
        <v>2685</v>
      </c>
      <c r="I5386" s="2938"/>
      <c r="J5386" s="3297">
        <v>309260</v>
      </c>
      <c r="K5386" s="2515"/>
      <c r="L5386" s="2522"/>
      <c r="M5386" s="2438" t="s">
        <v>2657</v>
      </c>
      <c r="N5386" s="1904" t="s">
        <v>51</v>
      </c>
      <c r="O5386" s="588"/>
      <c r="P5386" s="588"/>
      <c r="Q5386" s="588"/>
      <c r="R5386" s="588"/>
      <c r="S5386" s="588"/>
      <c r="T5386" s="588"/>
      <c r="U5386" s="588"/>
      <c r="V5386" s="588"/>
      <c r="W5386" s="588"/>
      <c r="X5386" s="588"/>
      <c r="Y5386" s="588"/>
      <c r="Z5386" s="588"/>
      <c r="AA5386" s="368"/>
      <c r="AB5386" s="582"/>
    </row>
    <row r="5387" spans="2:28" ht="84" customHeight="1" x14ac:dyDescent="0.2">
      <c r="B5387" s="3719"/>
      <c r="C5387" s="2450"/>
      <c r="D5387" s="3198"/>
      <c r="E5387" s="3198"/>
      <c r="F5387" s="3721"/>
      <c r="G5387" s="2336"/>
      <c r="H5387" s="3198"/>
      <c r="I5387" s="2940"/>
      <c r="J5387" s="3299"/>
      <c r="K5387" s="2516"/>
      <c r="L5387" s="2522"/>
      <c r="M5387" s="2450"/>
      <c r="N5387" s="1904" t="s">
        <v>1090</v>
      </c>
      <c r="O5387" s="588">
        <f>+J5386/12</f>
        <v>25771.666666666668</v>
      </c>
      <c r="P5387" s="588">
        <v>25771.666666666668</v>
      </c>
      <c r="Q5387" s="588">
        <v>25771.666666666668</v>
      </c>
      <c r="R5387" s="588">
        <v>25771.666666666668</v>
      </c>
      <c r="S5387" s="588">
        <v>25771.666666666668</v>
      </c>
      <c r="T5387" s="588">
        <v>25771.666666666668</v>
      </c>
      <c r="U5387" s="588">
        <v>25771.666666666668</v>
      </c>
      <c r="V5387" s="588">
        <v>25771.666666666668</v>
      </c>
      <c r="W5387" s="588">
        <v>25771.666666666668</v>
      </c>
      <c r="X5387" s="588">
        <v>25771.666666666668</v>
      </c>
      <c r="Y5387" s="588">
        <v>25771.666666666668</v>
      </c>
      <c r="Z5387" s="588">
        <v>25771.666666666668</v>
      </c>
      <c r="AA5387" s="368">
        <f t="shared" si="905"/>
        <v>309260</v>
      </c>
      <c r="AB5387" s="582"/>
    </row>
    <row r="5388" spans="2:28" ht="12" customHeight="1" x14ac:dyDescent="0.2">
      <c r="B5388" s="3718" t="s">
        <v>3248</v>
      </c>
      <c r="C5388" s="2438" t="s">
        <v>2686</v>
      </c>
      <c r="D5388" s="3196" t="s">
        <v>2672</v>
      </c>
      <c r="E5388" s="3196" t="s">
        <v>2674</v>
      </c>
      <c r="F5388" s="3720" t="s">
        <v>2687</v>
      </c>
      <c r="G5388" s="2335" t="s">
        <v>2684</v>
      </c>
      <c r="H5388" s="3196" t="s">
        <v>2685</v>
      </c>
      <c r="I5388" s="2938"/>
      <c r="J5388" s="3297">
        <v>893536</v>
      </c>
      <c r="K5388" s="2514"/>
      <c r="L5388" s="2438"/>
      <c r="M5388" s="2438" t="s">
        <v>2657</v>
      </c>
      <c r="N5388" s="1904" t="s">
        <v>51</v>
      </c>
      <c r="O5388" s="1089"/>
      <c r="P5388" s="1088"/>
      <c r="Q5388" s="1088"/>
      <c r="R5388" s="1088"/>
      <c r="S5388" s="1088"/>
      <c r="T5388" s="1088"/>
      <c r="U5388" s="1088"/>
      <c r="V5388" s="1088"/>
      <c r="W5388" s="1088"/>
      <c r="X5388" s="1088"/>
      <c r="Y5388" s="1088"/>
      <c r="Z5388" s="1088"/>
      <c r="AA5388" s="368"/>
      <c r="AB5388" s="582"/>
    </row>
    <row r="5389" spans="2:28" ht="88.5" customHeight="1" x14ac:dyDescent="0.2">
      <c r="B5389" s="3719"/>
      <c r="C5389" s="2450"/>
      <c r="D5389" s="3198"/>
      <c r="E5389" s="3198"/>
      <c r="F5389" s="3721"/>
      <c r="G5389" s="2336"/>
      <c r="H5389" s="3198"/>
      <c r="I5389" s="2940"/>
      <c r="J5389" s="3299"/>
      <c r="K5389" s="2516"/>
      <c r="L5389" s="2450"/>
      <c r="M5389" s="2450"/>
      <c r="N5389" s="1904" t="s">
        <v>1090</v>
      </c>
      <c r="O5389" s="1089">
        <f>+J5388/12</f>
        <v>74461.333333333328</v>
      </c>
      <c r="P5389" s="1089">
        <v>74461.333333333328</v>
      </c>
      <c r="Q5389" s="1089">
        <v>74461.333333333328</v>
      </c>
      <c r="R5389" s="1089">
        <v>74461.333333333328</v>
      </c>
      <c r="S5389" s="1089">
        <v>74461.333333333328</v>
      </c>
      <c r="T5389" s="1089">
        <v>74461.333333333328</v>
      </c>
      <c r="U5389" s="1089">
        <v>74461.333333333328</v>
      </c>
      <c r="V5389" s="1089">
        <v>74461.333333333328</v>
      </c>
      <c r="W5389" s="1089">
        <v>74461.333333333328</v>
      </c>
      <c r="X5389" s="1089">
        <v>74461.333333333328</v>
      </c>
      <c r="Y5389" s="1089">
        <v>74461.333333333328</v>
      </c>
      <c r="Z5389" s="1089">
        <v>74461.333333333328</v>
      </c>
      <c r="AA5389" s="368">
        <f t="shared" si="905"/>
        <v>893536.00000000012</v>
      </c>
      <c r="AB5389" s="582"/>
    </row>
    <row r="5390" spans="2:28" ht="12" customHeight="1" x14ac:dyDescent="0.2">
      <c r="B5390" s="3718" t="s">
        <v>3248</v>
      </c>
      <c r="C5390" s="2438" t="s">
        <v>2688</v>
      </c>
      <c r="D5390" s="3196" t="s">
        <v>2672</v>
      </c>
      <c r="E5390" s="3196" t="s">
        <v>2674</v>
      </c>
      <c r="F5390" s="3720" t="s">
        <v>2689</v>
      </c>
      <c r="G5390" s="2335" t="s">
        <v>3275</v>
      </c>
      <c r="H5390" s="3196" t="s">
        <v>2685</v>
      </c>
      <c r="I5390" s="2938"/>
      <c r="J5390" s="3297">
        <v>756670</v>
      </c>
      <c r="K5390" s="2514"/>
      <c r="L5390" s="2438"/>
      <c r="M5390" s="2438" t="s">
        <v>2657</v>
      </c>
      <c r="N5390" s="1904" t="s">
        <v>51</v>
      </c>
      <c r="O5390" s="1089"/>
      <c r="P5390" s="1088"/>
      <c r="Q5390" s="1088"/>
      <c r="R5390" s="1088"/>
      <c r="S5390" s="1088"/>
      <c r="T5390" s="1088"/>
      <c r="U5390" s="1088"/>
      <c r="V5390" s="1088"/>
      <c r="W5390" s="1088"/>
      <c r="X5390" s="1088"/>
      <c r="Y5390" s="1088"/>
      <c r="Z5390" s="1088"/>
      <c r="AA5390" s="368"/>
      <c r="AB5390" s="582"/>
    </row>
    <row r="5391" spans="2:28" ht="36" customHeight="1" x14ac:dyDescent="0.2">
      <c r="B5391" s="3719"/>
      <c r="C5391" s="2450"/>
      <c r="D5391" s="3198"/>
      <c r="E5391" s="3198"/>
      <c r="F5391" s="3721"/>
      <c r="G5391" s="2336"/>
      <c r="H5391" s="3198"/>
      <c r="I5391" s="2940"/>
      <c r="J5391" s="3299"/>
      <c r="K5391" s="2516"/>
      <c r="L5391" s="2450"/>
      <c r="M5391" s="2450"/>
      <c r="N5391" s="1904" t="s">
        <v>1090</v>
      </c>
      <c r="O5391" s="1089">
        <f>+J5390/12</f>
        <v>63055.833333333336</v>
      </c>
      <c r="P5391" s="1089">
        <v>63055.833333333336</v>
      </c>
      <c r="Q5391" s="1089">
        <v>63055.833333333336</v>
      </c>
      <c r="R5391" s="1089">
        <v>63055.833333333336</v>
      </c>
      <c r="S5391" s="1089">
        <v>63055.833333333336</v>
      </c>
      <c r="T5391" s="1089">
        <v>63055.833333333336</v>
      </c>
      <c r="U5391" s="1089">
        <v>63055.833333333336</v>
      </c>
      <c r="V5391" s="1089">
        <v>63055.833333333336</v>
      </c>
      <c r="W5391" s="1089">
        <v>63055.833333333336</v>
      </c>
      <c r="X5391" s="1089">
        <v>63055.833333333336</v>
      </c>
      <c r="Y5391" s="1089">
        <v>63055.833333333336</v>
      </c>
      <c r="Z5391" s="1089">
        <v>63055.833333333336</v>
      </c>
      <c r="AA5391" s="368">
        <f t="shared" si="905"/>
        <v>756670.00000000012</v>
      </c>
      <c r="AB5391" s="582"/>
    </row>
    <row r="5392" spans="2:28" ht="12" customHeight="1" x14ac:dyDescent="0.2">
      <c r="B5392" s="3718" t="s">
        <v>3248</v>
      </c>
      <c r="C5392" s="2438" t="s">
        <v>3236</v>
      </c>
      <c r="D5392" s="2949">
        <v>22</v>
      </c>
      <c r="E5392" s="3196" t="s">
        <v>2659</v>
      </c>
      <c r="F5392" s="3720" t="s">
        <v>2668</v>
      </c>
      <c r="G5392" s="2335" t="s">
        <v>3276</v>
      </c>
      <c r="H5392" s="3196" t="s">
        <v>2690</v>
      </c>
      <c r="I5392" s="2938"/>
      <c r="J5392" s="3297">
        <v>7998217</v>
      </c>
      <c r="K5392" s="2514" t="s">
        <v>2665</v>
      </c>
      <c r="L5392" s="2438" t="s">
        <v>2691</v>
      </c>
      <c r="M5392" s="2438" t="s">
        <v>2657</v>
      </c>
      <c r="N5392" s="1904" t="s">
        <v>51</v>
      </c>
      <c r="O5392" s="1089"/>
      <c r="P5392" s="1088"/>
      <c r="Q5392" s="1088"/>
      <c r="R5392" s="1088"/>
      <c r="S5392" s="1088"/>
      <c r="T5392" s="1088"/>
      <c r="U5392" s="1088"/>
      <c r="V5392" s="1088"/>
      <c r="W5392" s="1088"/>
      <c r="X5392" s="1088"/>
      <c r="Y5392" s="1088"/>
      <c r="Z5392" s="1088"/>
      <c r="AA5392" s="368"/>
      <c r="AB5392" s="582"/>
    </row>
    <row r="5393" spans="2:28" ht="30.75" customHeight="1" x14ac:dyDescent="0.2">
      <c r="B5393" s="3719"/>
      <c r="C5393" s="2450"/>
      <c r="D5393" s="2951"/>
      <c r="E5393" s="3198"/>
      <c r="F5393" s="3721"/>
      <c r="G5393" s="2336"/>
      <c r="H5393" s="3198"/>
      <c r="I5393" s="2940"/>
      <c r="J5393" s="3299"/>
      <c r="K5393" s="2515"/>
      <c r="L5393" s="2456"/>
      <c r="M5393" s="2450"/>
      <c r="N5393" s="1904" t="s">
        <v>1090</v>
      </c>
      <c r="O5393" s="1089">
        <f>+J5392/12</f>
        <v>666518.08333333337</v>
      </c>
      <c r="P5393" s="1089">
        <v>666518.08333333337</v>
      </c>
      <c r="Q5393" s="1089">
        <v>666518.08333333337</v>
      </c>
      <c r="R5393" s="1089">
        <v>666518.08333333337</v>
      </c>
      <c r="S5393" s="1089">
        <v>666518.08333333337</v>
      </c>
      <c r="T5393" s="1089">
        <v>666518.08333333337</v>
      </c>
      <c r="U5393" s="1089">
        <v>666518.08333333337</v>
      </c>
      <c r="V5393" s="1089">
        <v>666518.08333333337</v>
      </c>
      <c r="W5393" s="1089">
        <v>666518.08333333337</v>
      </c>
      <c r="X5393" s="1089">
        <v>666518.08333333337</v>
      </c>
      <c r="Y5393" s="1089">
        <v>666518.08333333337</v>
      </c>
      <c r="Z5393" s="1089">
        <v>666518.08333333337</v>
      </c>
      <c r="AA5393" s="368">
        <f t="shared" si="905"/>
        <v>7998216.9999999991</v>
      </c>
      <c r="AB5393" s="582"/>
    </row>
    <row r="5394" spans="2:28" ht="12" customHeight="1" x14ac:dyDescent="0.2">
      <c r="B5394" s="3718" t="s">
        <v>3248</v>
      </c>
      <c r="C5394" s="2438" t="s">
        <v>3237</v>
      </c>
      <c r="D5394" s="2949">
        <v>22</v>
      </c>
      <c r="E5394" s="3196" t="s">
        <v>2659</v>
      </c>
      <c r="F5394" s="3720" t="s">
        <v>2668</v>
      </c>
      <c r="G5394" s="2335" t="s">
        <v>3266</v>
      </c>
      <c r="H5394" s="3196" t="s">
        <v>2690</v>
      </c>
      <c r="I5394" s="2938"/>
      <c r="J5394" s="3297">
        <v>567648</v>
      </c>
      <c r="K5394" s="2515"/>
      <c r="L5394" s="2456"/>
      <c r="M5394" s="2438" t="s">
        <v>2657</v>
      </c>
      <c r="N5394" s="1904" t="s">
        <v>51</v>
      </c>
      <c r="O5394" s="1089"/>
      <c r="P5394" s="1088"/>
      <c r="Q5394" s="1088"/>
      <c r="R5394" s="1088"/>
      <c r="S5394" s="1088"/>
      <c r="T5394" s="1088"/>
      <c r="U5394" s="1088"/>
      <c r="V5394" s="1088"/>
      <c r="W5394" s="1088"/>
      <c r="X5394" s="1088"/>
      <c r="Y5394" s="1088"/>
      <c r="Z5394" s="1088"/>
      <c r="AA5394" s="368"/>
      <c r="AB5394" s="582"/>
    </row>
    <row r="5395" spans="2:28" ht="38.25" customHeight="1" x14ac:dyDescent="0.2">
      <c r="B5395" s="3719"/>
      <c r="C5395" s="2450"/>
      <c r="D5395" s="2951"/>
      <c r="E5395" s="3198"/>
      <c r="F5395" s="3721"/>
      <c r="G5395" s="2336"/>
      <c r="H5395" s="3198"/>
      <c r="I5395" s="2940"/>
      <c r="J5395" s="3299"/>
      <c r="K5395" s="2515"/>
      <c r="L5395" s="2456"/>
      <c r="M5395" s="2450"/>
      <c r="N5395" s="1904" t="s">
        <v>1090</v>
      </c>
      <c r="O5395" s="1089">
        <f>+J5394/12</f>
        <v>47304</v>
      </c>
      <c r="P5395" s="1089">
        <v>47304</v>
      </c>
      <c r="Q5395" s="1089">
        <v>47304</v>
      </c>
      <c r="R5395" s="1089">
        <v>47304</v>
      </c>
      <c r="S5395" s="1089">
        <v>47304</v>
      </c>
      <c r="T5395" s="1089">
        <v>47304</v>
      </c>
      <c r="U5395" s="1089">
        <v>47304</v>
      </c>
      <c r="V5395" s="1089">
        <v>47304</v>
      </c>
      <c r="W5395" s="1089">
        <v>47304</v>
      </c>
      <c r="X5395" s="1089">
        <v>47304</v>
      </c>
      <c r="Y5395" s="1089">
        <v>47304</v>
      </c>
      <c r="Z5395" s="1089">
        <v>47304</v>
      </c>
      <c r="AA5395" s="368">
        <f t="shared" si="905"/>
        <v>567648</v>
      </c>
      <c r="AB5395" s="582"/>
    </row>
    <row r="5396" spans="2:28" ht="12" customHeight="1" x14ac:dyDescent="0.2">
      <c r="B5396" s="3718" t="s">
        <v>3248</v>
      </c>
      <c r="C5396" s="2438" t="s">
        <v>3238</v>
      </c>
      <c r="D5396" s="2949">
        <v>22</v>
      </c>
      <c r="E5396" s="3196" t="s">
        <v>2659</v>
      </c>
      <c r="F5396" s="3720" t="s">
        <v>2668</v>
      </c>
      <c r="G5396" s="2335" t="s">
        <v>3274</v>
      </c>
      <c r="H5396" s="3196" t="s">
        <v>2690</v>
      </c>
      <c r="I5396" s="2938"/>
      <c r="J5396" s="3297">
        <v>825552</v>
      </c>
      <c r="K5396" s="2515"/>
      <c r="L5396" s="2456"/>
      <c r="M5396" s="2438" t="s">
        <v>2657</v>
      </c>
      <c r="N5396" s="1904" t="s">
        <v>51</v>
      </c>
      <c r="O5396" s="1089"/>
      <c r="P5396" s="1088"/>
      <c r="Q5396" s="1088"/>
      <c r="R5396" s="1088"/>
      <c r="S5396" s="1088"/>
      <c r="T5396" s="1088"/>
      <c r="U5396" s="1088"/>
      <c r="V5396" s="1088"/>
      <c r="W5396" s="1088"/>
      <c r="X5396" s="1088"/>
      <c r="Y5396" s="1088"/>
      <c r="Z5396" s="1088"/>
      <c r="AA5396" s="368"/>
      <c r="AB5396" s="582"/>
    </row>
    <row r="5397" spans="2:28" ht="33.75" customHeight="1" x14ac:dyDescent="0.2">
      <c r="B5397" s="3719"/>
      <c r="C5397" s="2450"/>
      <c r="D5397" s="2951"/>
      <c r="E5397" s="3198"/>
      <c r="F5397" s="3721"/>
      <c r="G5397" s="2336"/>
      <c r="H5397" s="3198"/>
      <c r="I5397" s="2940"/>
      <c r="J5397" s="3299"/>
      <c r="K5397" s="2516"/>
      <c r="L5397" s="2450"/>
      <c r="M5397" s="2450"/>
      <c r="N5397" s="1904" t="s">
        <v>1090</v>
      </c>
      <c r="O5397" s="1089">
        <f>+J5396/12</f>
        <v>68796</v>
      </c>
      <c r="P5397" s="1089">
        <v>68796</v>
      </c>
      <c r="Q5397" s="1089">
        <v>68796</v>
      </c>
      <c r="R5397" s="1089">
        <v>68796</v>
      </c>
      <c r="S5397" s="1089">
        <v>68796</v>
      </c>
      <c r="T5397" s="1089">
        <v>68796</v>
      </c>
      <c r="U5397" s="1089">
        <v>68796</v>
      </c>
      <c r="V5397" s="1089">
        <v>68796</v>
      </c>
      <c r="W5397" s="1089">
        <v>68796</v>
      </c>
      <c r="X5397" s="1089">
        <v>68796</v>
      </c>
      <c r="Y5397" s="1089">
        <v>68796</v>
      </c>
      <c r="Z5397" s="1089">
        <v>68796</v>
      </c>
      <c r="AA5397" s="368">
        <f t="shared" si="905"/>
        <v>825552</v>
      </c>
      <c r="AB5397" s="582"/>
    </row>
    <row r="5398" spans="2:28" ht="12" customHeight="1" x14ac:dyDescent="0.2">
      <c r="B5398" s="3718" t="s">
        <v>3248</v>
      </c>
      <c r="C5398" s="2438" t="s">
        <v>2693</v>
      </c>
      <c r="D5398" s="2514">
        <v>22</v>
      </c>
      <c r="E5398" s="3196" t="s">
        <v>2659</v>
      </c>
      <c r="F5398" s="3720" t="s">
        <v>3239</v>
      </c>
      <c r="G5398" s="2424" t="s">
        <v>2694</v>
      </c>
      <c r="H5398" s="2514" t="s">
        <v>2695</v>
      </c>
      <c r="I5398" s="2938"/>
      <c r="J5398" s="3297">
        <v>297874</v>
      </c>
      <c r="K5398" s="2514"/>
      <c r="L5398" s="2514"/>
      <c r="M5398" s="2514" t="s">
        <v>2657</v>
      </c>
      <c r="N5398" s="1904" t="s">
        <v>51</v>
      </c>
      <c r="O5398" s="1089"/>
      <c r="P5398" s="1088"/>
      <c r="Q5398" s="1088"/>
      <c r="R5398" s="1088"/>
      <c r="S5398" s="1088"/>
      <c r="T5398" s="1088"/>
      <c r="U5398" s="1088"/>
      <c r="V5398" s="1088"/>
      <c r="W5398" s="1088"/>
      <c r="X5398" s="1088"/>
      <c r="Y5398" s="1088"/>
      <c r="Z5398" s="1088"/>
      <c r="AA5398" s="368"/>
      <c r="AB5398" s="582"/>
    </row>
    <row r="5399" spans="2:28" ht="43.5" customHeight="1" x14ac:dyDescent="0.2">
      <c r="B5399" s="3719"/>
      <c r="C5399" s="2450"/>
      <c r="D5399" s="2516"/>
      <c r="E5399" s="3198"/>
      <c r="F5399" s="3721"/>
      <c r="G5399" s="2425"/>
      <c r="H5399" s="2516"/>
      <c r="I5399" s="2940"/>
      <c r="J5399" s="3299"/>
      <c r="K5399" s="2516"/>
      <c r="L5399" s="2516"/>
      <c r="M5399" s="2516"/>
      <c r="N5399" s="1904" t="s">
        <v>1090</v>
      </c>
      <c r="O5399" s="1089">
        <f>+J5398/12</f>
        <v>24822.833333333332</v>
      </c>
      <c r="P5399" s="1089">
        <v>24822.833333333332</v>
      </c>
      <c r="Q5399" s="1089">
        <v>24822.833333333332</v>
      </c>
      <c r="R5399" s="1089">
        <v>24822.833333333332</v>
      </c>
      <c r="S5399" s="1089">
        <v>24822.833333333332</v>
      </c>
      <c r="T5399" s="1089">
        <v>24822.833333333332</v>
      </c>
      <c r="U5399" s="1089">
        <v>24822.833333333332</v>
      </c>
      <c r="V5399" s="1089">
        <v>24822.833333333332</v>
      </c>
      <c r="W5399" s="1089">
        <v>24822.833333333332</v>
      </c>
      <c r="X5399" s="1089">
        <v>24822.833333333332</v>
      </c>
      <c r="Y5399" s="1089">
        <v>24822.833333333332</v>
      </c>
      <c r="Z5399" s="1089">
        <v>24822.833333333332</v>
      </c>
      <c r="AA5399" s="368">
        <f t="shared" si="905"/>
        <v>297874</v>
      </c>
      <c r="AB5399" s="582"/>
    </row>
    <row r="5400" spans="2:28" ht="12" customHeight="1" x14ac:dyDescent="0.2">
      <c r="B5400" s="3718" t="s">
        <v>3248</v>
      </c>
      <c r="C5400" s="2438" t="s">
        <v>2693</v>
      </c>
      <c r="D5400" s="2514">
        <v>22</v>
      </c>
      <c r="E5400" s="3196" t="s">
        <v>2659</v>
      </c>
      <c r="F5400" s="3720" t="s">
        <v>3240</v>
      </c>
      <c r="G5400" s="2424" t="s">
        <v>2694</v>
      </c>
      <c r="H5400" s="2514" t="s">
        <v>2695</v>
      </c>
      <c r="I5400" s="3297"/>
      <c r="J5400" s="3297">
        <v>5088</v>
      </c>
      <c r="K5400" s="2514" t="s">
        <v>2665</v>
      </c>
      <c r="L5400" s="2438" t="s">
        <v>2696</v>
      </c>
      <c r="M5400" s="2438" t="s">
        <v>2657</v>
      </c>
      <c r="N5400" s="1904" t="s">
        <v>51</v>
      </c>
      <c r="O5400" s="1515"/>
      <c r="P5400" s="1510"/>
      <c r="Q5400" s="1511"/>
      <c r="R5400" s="1511"/>
      <c r="S5400" s="1511"/>
      <c r="T5400" s="1511"/>
      <c r="U5400" s="1511"/>
      <c r="V5400" s="1511"/>
      <c r="W5400" s="1511"/>
      <c r="X5400" s="1511"/>
      <c r="Y5400" s="1511"/>
      <c r="Z5400" s="1511"/>
      <c r="AA5400" s="368"/>
      <c r="AB5400" s="581"/>
    </row>
    <row r="5401" spans="2:28" ht="36" customHeight="1" x14ac:dyDescent="0.2">
      <c r="B5401" s="3719"/>
      <c r="C5401" s="2450"/>
      <c r="D5401" s="2516"/>
      <c r="E5401" s="3198"/>
      <c r="F5401" s="3721"/>
      <c r="G5401" s="2425"/>
      <c r="H5401" s="2516"/>
      <c r="I5401" s="3299"/>
      <c r="J5401" s="3299"/>
      <c r="K5401" s="2515"/>
      <c r="L5401" s="2456"/>
      <c r="M5401" s="2450"/>
      <c r="N5401" s="1904" t="s">
        <v>1090</v>
      </c>
      <c r="O5401" s="1515">
        <f>+J5400/12</f>
        <v>424</v>
      </c>
      <c r="P5401" s="1515">
        <v>424</v>
      </c>
      <c r="Q5401" s="1515">
        <v>424</v>
      </c>
      <c r="R5401" s="1515">
        <v>424</v>
      </c>
      <c r="S5401" s="1515">
        <v>424</v>
      </c>
      <c r="T5401" s="1515">
        <v>424</v>
      </c>
      <c r="U5401" s="1515">
        <v>424</v>
      </c>
      <c r="V5401" s="1515">
        <v>424</v>
      </c>
      <c r="W5401" s="1515">
        <v>424</v>
      </c>
      <c r="X5401" s="1515">
        <v>424</v>
      </c>
      <c r="Y5401" s="1515">
        <v>424</v>
      </c>
      <c r="Z5401" s="1515">
        <v>424</v>
      </c>
      <c r="AA5401" s="368">
        <f t="shared" si="905"/>
        <v>5088</v>
      </c>
      <c r="AB5401" s="581"/>
    </row>
    <row r="5402" spans="2:28" ht="12" customHeight="1" x14ac:dyDescent="0.2">
      <c r="B5402" s="3720" t="s">
        <v>2692</v>
      </c>
      <c r="C5402" s="2514" t="s">
        <v>2697</v>
      </c>
      <c r="D5402" s="2514">
        <v>22</v>
      </c>
      <c r="E5402" s="3196" t="s">
        <v>2659</v>
      </c>
      <c r="F5402" s="3720" t="s">
        <v>3241</v>
      </c>
      <c r="G5402" s="2424" t="s">
        <v>2694</v>
      </c>
      <c r="H5402" s="2514" t="s">
        <v>2695</v>
      </c>
      <c r="I5402" s="3297"/>
      <c r="J5402" s="3742">
        <v>2850</v>
      </c>
      <c r="K5402" s="2515"/>
      <c r="L5402" s="2456"/>
      <c r="M5402" s="2438" t="s">
        <v>2657</v>
      </c>
      <c r="N5402" s="1904" t="s">
        <v>51</v>
      </c>
      <c r="O5402" s="1515"/>
      <c r="P5402" s="1510"/>
      <c r="Q5402" s="1511"/>
      <c r="R5402" s="1511"/>
      <c r="S5402" s="1511"/>
      <c r="T5402" s="1511"/>
      <c r="U5402" s="1511"/>
      <c r="V5402" s="1511"/>
      <c r="W5402" s="1511"/>
      <c r="X5402" s="1511"/>
      <c r="Y5402" s="1511"/>
      <c r="Z5402" s="1511"/>
      <c r="AA5402" s="368"/>
      <c r="AB5402" s="581"/>
    </row>
    <row r="5403" spans="2:28" ht="37.5" customHeight="1" x14ac:dyDescent="0.2">
      <c r="B5403" s="3721"/>
      <c r="C5403" s="2516"/>
      <c r="D5403" s="2516"/>
      <c r="E5403" s="3198"/>
      <c r="F5403" s="3721"/>
      <c r="G5403" s="2425"/>
      <c r="H5403" s="2516"/>
      <c r="I5403" s="3299"/>
      <c r="J5403" s="3743"/>
      <c r="K5403" s="2515"/>
      <c r="L5403" s="2456"/>
      <c r="M5403" s="2450"/>
      <c r="N5403" s="1904" t="s">
        <v>1090</v>
      </c>
      <c r="O5403" s="1515">
        <f>+J5402/12</f>
        <v>237.5</v>
      </c>
      <c r="P5403" s="1515">
        <v>237.5</v>
      </c>
      <c r="Q5403" s="1515">
        <v>237.5</v>
      </c>
      <c r="R5403" s="1515">
        <v>237.5</v>
      </c>
      <c r="S5403" s="1515">
        <v>237.5</v>
      </c>
      <c r="T5403" s="1515">
        <v>237.5</v>
      </c>
      <c r="U5403" s="1515">
        <v>237.5</v>
      </c>
      <c r="V5403" s="1515">
        <v>237.5</v>
      </c>
      <c r="W5403" s="1515">
        <v>237.5</v>
      </c>
      <c r="X5403" s="1515">
        <v>237.5</v>
      </c>
      <c r="Y5403" s="1515">
        <v>237.5</v>
      </c>
      <c r="Z5403" s="1515">
        <v>237.5</v>
      </c>
      <c r="AA5403" s="368">
        <f t="shared" si="905"/>
        <v>2850</v>
      </c>
      <c r="AB5403" s="581"/>
    </row>
    <row r="5404" spans="2:28" ht="12" customHeight="1" x14ac:dyDescent="0.2">
      <c r="B5404" s="3720" t="s">
        <v>3249</v>
      </c>
      <c r="C5404" s="2438" t="s">
        <v>3242</v>
      </c>
      <c r="D5404" s="2514">
        <v>22</v>
      </c>
      <c r="E5404" s="3196" t="s">
        <v>2659</v>
      </c>
      <c r="F5404" s="3720" t="s">
        <v>2698</v>
      </c>
      <c r="G5404" s="2424" t="s">
        <v>2699</v>
      </c>
      <c r="H5404" s="2514" t="s">
        <v>2700</v>
      </c>
      <c r="I5404" s="3297"/>
      <c r="J5404" s="3742">
        <v>138343</v>
      </c>
      <c r="K5404" s="2515"/>
      <c r="L5404" s="2456"/>
      <c r="M5404" s="2438" t="s">
        <v>2657</v>
      </c>
      <c r="N5404" s="1904" t="s">
        <v>51</v>
      </c>
      <c r="O5404" s="1515"/>
      <c r="P5404" s="1510"/>
      <c r="Q5404" s="1511"/>
      <c r="R5404" s="1511"/>
      <c r="S5404" s="1511"/>
      <c r="T5404" s="1511"/>
      <c r="U5404" s="1511"/>
      <c r="V5404" s="1511"/>
      <c r="W5404" s="1511"/>
      <c r="X5404" s="1511"/>
      <c r="Y5404" s="1511"/>
      <c r="Z5404" s="1511"/>
      <c r="AA5404" s="368"/>
      <c r="AB5404" s="581"/>
    </row>
    <row r="5405" spans="2:28" ht="53.25" customHeight="1" x14ac:dyDescent="0.2">
      <c r="B5405" s="3721"/>
      <c r="C5405" s="2450"/>
      <c r="D5405" s="2516"/>
      <c r="E5405" s="3198"/>
      <c r="F5405" s="3721"/>
      <c r="G5405" s="2425"/>
      <c r="H5405" s="2516"/>
      <c r="I5405" s="3299"/>
      <c r="J5405" s="3743"/>
      <c r="K5405" s="2515"/>
      <c r="L5405" s="2456"/>
      <c r="M5405" s="2450"/>
      <c r="N5405" s="1904" t="s">
        <v>1090</v>
      </c>
      <c r="O5405" s="1515">
        <f>+J5404/12</f>
        <v>11528.583333333334</v>
      </c>
      <c r="P5405" s="1515">
        <v>11528.583333333334</v>
      </c>
      <c r="Q5405" s="1515">
        <v>11528.583333333334</v>
      </c>
      <c r="R5405" s="1515">
        <v>11528.583333333334</v>
      </c>
      <c r="S5405" s="1515">
        <v>11528.583333333334</v>
      </c>
      <c r="T5405" s="1515">
        <v>11528.583333333334</v>
      </c>
      <c r="U5405" s="1515">
        <v>11528.583333333334</v>
      </c>
      <c r="V5405" s="1515">
        <v>11528.583333333334</v>
      </c>
      <c r="W5405" s="1515">
        <v>11528.583333333334</v>
      </c>
      <c r="X5405" s="1515">
        <v>11528.583333333334</v>
      </c>
      <c r="Y5405" s="1515">
        <v>11528.583333333334</v>
      </c>
      <c r="Z5405" s="1515">
        <v>11528.583333333334</v>
      </c>
      <c r="AA5405" s="368">
        <f t="shared" si="905"/>
        <v>138342.99999999997</v>
      </c>
      <c r="AB5405" s="581"/>
    </row>
    <row r="5406" spans="2:28" ht="12" customHeight="1" x14ac:dyDescent="0.2">
      <c r="B5406" s="3720" t="s">
        <v>3249</v>
      </c>
      <c r="C5406" s="2438" t="s">
        <v>2701</v>
      </c>
      <c r="D5406" s="2514">
        <v>22</v>
      </c>
      <c r="E5406" s="3196" t="s">
        <v>2659</v>
      </c>
      <c r="F5406" s="3720" t="s">
        <v>2702</v>
      </c>
      <c r="G5406" s="2424" t="s">
        <v>2703</v>
      </c>
      <c r="H5406" s="2514" t="s">
        <v>2700</v>
      </c>
      <c r="I5406" s="3297"/>
      <c r="J5406" s="3742">
        <v>185907</v>
      </c>
      <c r="K5406" s="2515"/>
      <c r="L5406" s="2456"/>
      <c r="M5406" s="2438" t="s">
        <v>2657</v>
      </c>
      <c r="N5406" s="1904" t="s">
        <v>51</v>
      </c>
      <c r="O5406" s="1515"/>
      <c r="P5406" s="1510"/>
      <c r="Q5406" s="1511"/>
      <c r="R5406" s="1511"/>
      <c r="S5406" s="1511"/>
      <c r="T5406" s="1511"/>
      <c r="U5406" s="1511"/>
      <c r="V5406" s="1511"/>
      <c r="W5406" s="1511"/>
      <c r="X5406" s="1511"/>
      <c r="Y5406" s="1511"/>
      <c r="Z5406" s="1511"/>
      <c r="AA5406" s="368"/>
      <c r="AB5406" s="581"/>
    </row>
    <row r="5407" spans="2:28" ht="54" customHeight="1" x14ac:dyDescent="0.2">
      <c r="B5407" s="3721"/>
      <c r="C5407" s="2450"/>
      <c r="D5407" s="2516"/>
      <c r="E5407" s="3198"/>
      <c r="F5407" s="3721"/>
      <c r="G5407" s="2433"/>
      <c r="H5407" s="2516"/>
      <c r="I5407" s="3299"/>
      <c r="J5407" s="3743"/>
      <c r="K5407" s="2515"/>
      <c r="L5407" s="2456"/>
      <c r="M5407" s="2450"/>
      <c r="N5407" s="1904" t="s">
        <v>1090</v>
      </c>
      <c r="O5407" s="1515">
        <f>+J5406/12</f>
        <v>15492.25</v>
      </c>
      <c r="P5407" s="1515">
        <v>15492.25</v>
      </c>
      <c r="Q5407" s="1515">
        <v>15492.25</v>
      </c>
      <c r="R5407" s="1515">
        <v>15492.25</v>
      </c>
      <c r="S5407" s="1515">
        <v>15492.25</v>
      </c>
      <c r="T5407" s="1515">
        <v>15492.25</v>
      </c>
      <c r="U5407" s="1515">
        <v>15492.25</v>
      </c>
      <c r="V5407" s="1515">
        <v>15492.25</v>
      </c>
      <c r="W5407" s="1515">
        <v>15492.25</v>
      </c>
      <c r="X5407" s="1515">
        <v>15492.25</v>
      </c>
      <c r="Y5407" s="1515">
        <v>15492.25</v>
      </c>
      <c r="Z5407" s="1515">
        <v>15492.25</v>
      </c>
      <c r="AA5407" s="368">
        <f t="shared" si="905"/>
        <v>185907</v>
      </c>
      <c r="AB5407" s="581"/>
    </row>
    <row r="5408" spans="2:28" ht="12" customHeight="1" x14ac:dyDescent="0.2">
      <c r="B5408" s="3720" t="s">
        <v>3250</v>
      </c>
      <c r="C5408" s="2438" t="s">
        <v>2704</v>
      </c>
      <c r="D5408" s="2514">
        <v>22</v>
      </c>
      <c r="E5408" s="3196" t="s">
        <v>2659</v>
      </c>
      <c r="F5408" s="3720" t="s">
        <v>2698</v>
      </c>
      <c r="G5408" s="2502" t="s">
        <v>2705</v>
      </c>
      <c r="H5408" s="2514" t="s">
        <v>2706</v>
      </c>
      <c r="I5408" s="3297"/>
      <c r="J5408" s="3742">
        <v>1382640</v>
      </c>
      <c r="K5408" s="2515"/>
      <c r="L5408" s="2456"/>
      <c r="M5408" s="2438" t="s">
        <v>2657</v>
      </c>
      <c r="N5408" s="1904" t="s">
        <v>51</v>
      </c>
      <c r="O5408" s="1515"/>
      <c r="P5408" s="1510"/>
      <c r="Q5408" s="1511"/>
      <c r="R5408" s="1511"/>
      <c r="S5408" s="1511"/>
      <c r="T5408" s="1511"/>
      <c r="U5408" s="1511"/>
      <c r="V5408" s="1511"/>
      <c r="W5408" s="1511"/>
      <c r="X5408" s="1511"/>
      <c r="Y5408" s="1507"/>
      <c r="Z5408" s="1507"/>
      <c r="AA5408" s="368"/>
      <c r="AB5408" s="581"/>
    </row>
    <row r="5409" spans="2:28" ht="35.25" customHeight="1" x14ac:dyDescent="0.2">
      <c r="B5409" s="3721"/>
      <c r="C5409" s="2450"/>
      <c r="D5409" s="2516"/>
      <c r="E5409" s="3198"/>
      <c r="F5409" s="3721"/>
      <c r="G5409" s="2502"/>
      <c r="H5409" s="2516"/>
      <c r="I5409" s="3299"/>
      <c r="J5409" s="3743"/>
      <c r="K5409" s="2515"/>
      <c r="L5409" s="2456"/>
      <c r="M5409" s="2450"/>
      <c r="N5409" s="1904" t="s">
        <v>1090</v>
      </c>
      <c r="O5409" s="1515">
        <f>+J5408/12</f>
        <v>115220</v>
      </c>
      <c r="P5409" s="1515">
        <v>115220</v>
      </c>
      <c r="Q5409" s="1515">
        <v>115220</v>
      </c>
      <c r="R5409" s="1515">
        <v>115220</v>
      </c>
      <c r="S5409" s="1515">
        <v>115220</v>
      </c>
      <c r="T5409" s="1515">
        <v>115220</v>
      </c>
      <c r="U5409" s="1515">
        <v>115220</v>
      </c>
      <c r="V5409" s="1515">
        <v>115220</v>
      </c>
      <c r="W5409" s="1515">
        <v>115220</v>
      </c>
      <c r="X5409" s="1515">
        <v>115220</v>
      </c>
      <c r="Y5409" s="1515">
        <v>115220</v>
      </c>
      <c r="Z5409" s="1515">
        <v>115220</v>
      </c>
      <c r="AA5409" s="368">
        <f t="shared" si="905"/>
        <v>1382640</v>
      </c>
      <c r="AB5409" s="581"/>
    </row>
    <row r="5410" spans="2:28" ht="12" customHeight="1" x14ac:dyDescent="0.2">
      <c r="B5410" s="3720" t="s">
        <v>3250</v>
      </c>
      <c r="C5410" s="2438" t="s">
        <v>2704</v>
      </c>
      <c r="D5410" s="2514">
        <v>22</v>
      </c>
      <c r="E5410" s="3196" t="s">
        <v>2659</v>
      </c>
      <c r="F5410" s="3720" t="s">
        <v>2707</v>
      </c>
      <c r="G5410" s="2424" t="s">
        <v>2705</v>
      </c>
      <c r="H5410" s="2514" t="s">
        <v>2706</v>
      </c>
      <c r="I5410" s="3297"/>
      <c r="J5410" s="3742">
        <v>343365</v>
      </c>
      <c r="K5410" s="2515"/>
      <c r="L5410" s="2456"/>
      <c r="M5410" s="2438" t="s">
        <v>2657</v>
      </c>
      <c r="N5410" s="1904" t="s">
        <v>51</v>
      </c>
      <c r="O5410" s="1515"/>
      <c r="P5410" s="1510"/>
      <c r="Q5410" s="1511"/>
      <c r="R5410" s="1511"/>
      <c r="S5410" s="1511"/>
      <c r="T5410" s="1511"/>
      <c r="U5410" s="1511"/>
      <c r="V5410" s="1511"/>
      <c r="W5410" s="1511"/>
      <c r="X5410" s="1511"/>
      <c r="Y5410" s="1507"/>
      <c r="Z5410" s="1507"/>
      <c r="AA5410" s="368"/>
      <c r="AB5410" s="581"/>
    </row>
    <row r="5411" spans="2:28" ht="34.5" customHeight="1" x14ac:dyDescent="0.2">
      <c r="B5411" s="3721"/>
      <c r="C5411" s="2450"/>
      <c r="D5411" s="2516"/>
      <c r="E5411" s="3198"/>
      <c r="F5411" s="3721"/>
      <c r="G5411" s="2425"/>
      <c r="H5411" s="2516"/>
      <c r="I5411" s="3299"/>
      <c r="J5411" s="3743"/>
      <c r="K5411" s="2515"/>
      <c r="L5411" s="2456"/>
      <c r="M5411" s="2450"/>
      <c r="N5411" s="1904" t="s">
        <v>1090</v>
      </c>
      <c r="O5411" s="1515">
        <f>+J5410/12</f>
        <v>28613.75</v>
      </c>
      <c r="P5411" s="1515">
        <v>28613.75</v>
      </c>
      <c r="Q5411" s="1515">
        <v>28613.75</v>
      </c>
      <c r="R5411" s="1515">
        <v>28613.75</v>
      </c>
      <c r="S5411" s="1515">
        <v>28613.75</v>
      </c>
      <c r="T5411" s="1515">
        <v>28613.75</v>
      </c>
      <c r="U5411" s="1515">
        <v>28613.75</v>
      </c>
      <c r="V5411" s="1515">
        <v>28613.75</v>
      </c>
      <c r="W5411" s="1515">
        <v>28613.75</v>
      </c>
      <c r="X5411" s="1515">
        <v>28613.75</v>
      </c>
      <c r="Y5411" s="1515">
        <v>28613.75</v>
      </c>
      <c r="Z5411" s="1515">
        <v>28613.75</v>
      </c>
      <c r="AA5411" s="368">
        <f t="shared" si="905"/>
        <v>343365</v>
      </c>
      <c r="AB5411" s="581"/>
    </row>
    <row r="5412" spans="2:28" ht="12" customHeight="1" x14ac:dyDescent="0.2">
      <c r="B5412" s="3720" t="s">
        <v>3250</v>
      </c>
      <c r="C5412" s="2438" t="s">
        <v>2704</v>
      </c>
      <c r="D5412" s="2514">
        <v>22</v>
      </c>
      <c r="E5412" s="3196" t="s">
        <v>2659</v>
      </c>
      <c r="F5412" s="3720" t="s">
        <v>2708</v>
      </c>
      <c r="G5412" s="2424" t="s">
        <v>2705</v>
      </c>
      <c r="H5412" s="2514" t="s">
        <v>2706</v>
      </c>
      <c r="I5412" s="3297"/>
      <c r="J5412" s="3742" t="s">
        <v>2709</v>
      </c>
      <c r="K5412" s="2515"/>
      <c r="L5412" s="2456"/>
      <c r="M5412" s="2438" t="s">
        <v>2657</v>
      </c>
      <c r="N5412" s="1904" t="s">
        <v>51</v>
      </c>
      <c r="O5412" s="1515"/>
      <c r="P5412" s="1510"/>
      <c r="Q5412" s="1511"/>
      <c r="R5412" s="1511"/>
      <c r="S5412" s="1511"/>
      <c r="T5412" s="1511"/>
      <c r="U5412" s="1511"/>
      <c r="V5412" s="1511"/>
      <c r="W5412" s="1511"/>
      <c r="X5412" s="1511"/>
      <c r="Y5412" s="1507"/>
      <c r="Z5412" s="1507"/>
      <c r="AA5412" s="2245"/>
      <c r="AB5412" s="581"/>
    </row>
    <row r="5413" spans="2:28" ht="20.25" customHeight="1" x14ac:dyDescent="0.2">
      <c r="B5413" s="3721"/>
      <c r="C5413" s="2450"/>
      <c r="D5413" s="2516"/>
      <c r="E5413" s="3198"/>
      <c r="F5413" s="3721"/>
      <c r="G5413" s="2425"/>
      <c r="H5413" s="2516"/>
      <c r="I5413" s="3299"/>
      <c r="J5413" s="3743"/>
      <c r="K5413" s="2515"/>
      <c r="L5413" s="2456"/>
      <c r="M5413" s="2450"/>
      <c r="N5413" s="1904" t="s">
        <v>1090</v>
      </c>
      <c r="O5413" s="1515"/>
      <c r="P5413" s="1510"/>
      <c r="Q5413" s="1511"/>
      <c r="R5413" s="1511"/>
      <c r="S5413" s="1511"/>
      <c r="T5413" s="1511"/>
      <c r="U5413" s="1511"/>
      <c r="V5413" s="1511"/>
      <c r="W5413" s="1511"/>
      <c r="X5413" s="1511"/>
      <c r="Y5413" s="1507"/>
      <c r="Z5413" s="1507"/>
      <c r="AA5413" s="2245"/>
      <c r="AB5413" s="581"/>
    </row>
    <row r="5414" spans="2:28" ht="12" customHeight="1" x14ac:dyDescent="0.2">
      <c r="B5414" s="3720" t="s">
        <v>3251</v>
      </c>
      <c r="C5414" s="2438" t="s">
        <v>2710</v>
      </c>
      <c r="D5414" s="2514">
        <v>22</v>
      </c>
      <c r="E5414" s="3196" t="s">
        <v>2659</v>
      </c>
      <c r="F5414" s="3720" t="s">
        <v>2711</v>
      </c>
      <c r="G5414" s="2424" t="s">
        <v>2703</v>
      </c>
      <c r="H5414" s="2514" t="s">
        <v>2700</v>
      </c>
      <c r="I5414" s="3297"/>
      <c r="J5414" s="3742">
        <v>998213</v>
      </c>
      <c r="K5414" s="2515"/>
      <c r="L5414" s="2456"/>
      <c r="M5414" s="2438" t="s">
        <v>2657</v>
      </c>
      <c r="N5414" s="1904" t="s">
        <v>51</v>
      </c>
      <c r="O5414" s="1515"/>
      <c r="P5414" s="1510"/>
      <c r="Q5414" s="1511"/>
      <c r="R5414" s="1511"/>
      <c r="S5414" s="1511"/>
      <c r="T5414" s="1511"/>
      <c r="U5414" s="1511"/>
      <c r="V5414" s="1511"/>
      <c r="W5414" s="1511"/>
      <c r="X5414" s="1511"/>
      <c r="Y5414" s="1511"/>
      <c r="Z5414" s="1511"/>
      <c r="AA5414" s="2245"/>
      <c r="AB5414" s="581"/>
    </row>
    <row r="5415" spans="2:28" ht="44.25" customHeight="1" x14ac:dyDescent="0.2">
      <c r="B5415" s="3721"/>
      <c r="C5415" s="2450"/>
      <c r="D5415" s="2516"/>
      <c r="E5415" s="3198"/>
      <c r="F5415" s="3721"/>
      <c r="G5415" s="2425"/>
      <c r="H5415" s="2516"/>
      <c r="I5415" s="3299"/>
      <c r="J5415" s="3743"/>
      <c r="K5415" s="2515"/>
      <c r="L5415" s="2456"/>
      <c r="M5415" s="2450"/>
      <c r="N5415" s="1904" t="s">
        <v>1090</v>
      </c>
      <c r="O5415" s="1515">
        <f>+J5414/12</f>
        <v>83184.416666666672</v>
      </c>
      <c r="P5415" s="1515">
        <v>83184.416666666672</v>
      </c>
      <c r="Q5415" s="1515">
        <v>83184.416666666672</v>
      </c>
      <c r="R5415" s="1515">
        <v>83184.416666666672</v>
      </c>
      <c r="S5415" s="1515">
        <v>83184.416666666672</v>
      </c>
      <c r="T5415" s="1515">
        <v>83184.416666666672</v>
      </c>
      <c r="U5415" s="1515">
        <v>83184.416666666672</v>
      </c>
      <c r="V5415" s="1515">
        <v>83184.416666666672</v>
      </c>
      <c r="W5415" s="1515">
        <v>83184.416666666672</v>
      </c>
      <c r="X5415" s="1515">
        <v>83184.416666666672</v>
      </c>
      <c r="Y5415" s="1515">
        <v>83184.416666666672</v>
      </c>
      <c r="Z5415" s="1515">
        <v>83184.416666666672</v>
      </c>
      <c r="AA5415" s="368">
        <f t="shared" si="905"/>
        <v>998212.99999999988</v>
      </c>
      <c r="AB5415" s="581"/>
    </row>
    <row r="5416" spans="2:28" ht="12" customHeight="1" x14ac:dyDescent="0.2">
      <c r="B5416" s="3720" t="s">
        <v>3251</v>
      </c>
      <c r="C5416" s="2438" t="s">
        <v>2710</v>
      </c>
      <c r="D5416" s="2514">
        <v>22</v>
      </c>
      <c r="E5416" s="3196" t="s">
        <v>2659</v>
      </c>
      <c r="F5416" s="3720" t="s">
        <v>2702</v>
      </c>
      <c r="G5416" s="2424" t="s">
        <v>2703</v>
      </c>
      <c r="H5416" s="2514" t="s">
        <v>2700</v>
      </c>
      <c r="I5416" s="3297"/>
      <c r="J5416" s="3742">
        <v>828115</v>
      </c>
      <c r="K5416" s="2515"/>
      <c r="L5416" s="2456"/>
      <c r="M5416" s="2438" t="s">
        <v>2657</v>
      </c>
      <c r="N5416" s="1904" t="s">
        <v>51</v>
      </c>
      <c r="O5416" s="1515"/>
      <c r="P5416" s="1510"/>
      <c r="Q5416" s="1511"/>
      <c r="R5416" s="1511"/>
      <c r="S5416" s="1511"/>
      <c r="T5416" s="1511"/>
      <c r="U5416" s="1511"/>
      <c r="V5416" s="1511"/>
      <c r="W5416" s="1511"/>
      <c r="X5416" s="1511"/>
      <c r="Y5416" s="1511"/>
      <c r="Z5416" s="1511"/>
      <c r="AA5416" s="368"/>
      <c r="AB5416" s="581"/>
    </row>
    <row r="5417" spans="2:28" ht="31.5" customHeight="1" x14ac:dyDescent="0.2">
      <c r="B5417" s="3721"/>
      <c r="C5417" s="2450"/>
      <c r="D5417" s="2516"/>
      <c r="E5417" s="3198"/>
      <c r="F5417" s="3721"/>
      <c r="G5417" s="2425"/>
      <c r="H5417" s="2516"/>
      <c r="I5417" s="3299"/>
      <c r="J5417" s="3743"/>
      <c r="K5417" s="2515"/>
      <c r="L5417" s="2456"/>
      <c r="M5417" s="2450"/>
      <c r="N5417" s="1904" t="s">
        <v>1090</v>
      </c>
      <c r="O5417" s="1515">
        <f>+J5416/12</f>
        <v>69009.583333333328</v>
      </c>
      <c r="P5417" s="1515">
        <v>69009.583333333328</v>
      </c>
      <c r="Q5417" s="1515">
        <v>69009.583333333328</v>
      </c>
      <c r="R5417" s="1515">
        <v>69009.583333333328</v>
      </c>
      <c r="S5417" s="1515">
        <v>69009.583333333328</v>
      </c>
      <c r="T5417" s="1515">
        <v>69009.583333333328</v>
      </c>
      <c r="U5417" s="1515">
        <v>69009.583333333328</v>
      </c>
      <c r="V5417" s="1515">
        <v>69009.583333333328</v>
      </c>
      <c r="W5417" s="1515">
        <v>69009.583333333328</v>
      </c>
      <c r="X5417" s="1515">
        <v>69009.583333333328</v>
      </c>
      <c r="Y5417" s="1515">
        <v>69009.583333333328</v>
      </c>
      <c r="Z5417" s="1515">
        <v>69009.583333333328</v>
      </c>
      <c r="AA5417" s="368">
        <f t="shared" si="905"/>
        <v>828115.00000000012</v>
      </c>
      <c r="AB5417" s="581"/>
    </row>
    <row r="5418" spans="2:28" ht="12" customHeight="1" x14ac:dyDescent="0.2">
      <c r="B5418" s="3720" t="s">
        <v>3252</v>
      </c>
      <c r="C5418" s="2438" t="s">
        <v>3243</v>
      </c>
      <c r="D5418" s="2514">
        <v>22</v>
      </c>
      <c r="E5418" s="3196" t="s">
        <v>2659</v>
      </c>
      <c r="F5418" s="3720" t="s">
        <v>2711</v>
      </c>
      <c r="G5418" s="2424" t="s">
        <v>2712</v>
      </c>
      <c r="H5418" s="2514" t="s">
        <v>2713</v>
      </c>
      <c r="I5418" s="3297"/>
      <c r="J5418" s="3742">
        <v>54087</v>
      </c>
      <c r="K5418" s="2515"/>
      <c r="L5418" s="2456"/>
      <c r="M5418" s="2438" t="s">
        <v>2657</v>
      </c>
      <c r="N5418" s="1904" t="s">
        <v>51</v>
      </c>
      <c r="O5418" s="1515"/>
      <c r="P5418" s="1510"/>
      <c r="Q5418" s="1511"/>
      <c r="R5418" s="1511"/>
      <c r="S5418" s="1511"/>
      <c r="T5418" s="1511"/>
      <c r="U5418" s="1511"/>
      <c r="V5418" s="1511"/>
      <c r="W5418" s="1511"/>
      <c r="X5418" s="1511"/>
      <c r="Y5418" s="1511"/>
      <c r="Z5418" s="1511"/>
      <c r="AA5418" s="368"/>
      <c r="AB5418" s="581"/>
    </row>
    <row r="5419" spans="2:28" ht="24" customHeight="1" x14ac:dyDescent="0.2">
      <c r="B5419" s="3721"/>
      <c r="C5419" s="2450"/>
      <c r="D5419" s="2516"/>
      <c r="E5419" s="3198"/>
      <c r="F5419" s="3721"/>
      <c r="G5419" s="2425"/>
      <c r="H5419" s="2516"/>
      <c r="I5419" s="3299"/>
      <c r="J5419" s="3743"/>
      <c r="K5419" s="2515"/>
      <c r="L5419" s="2456"/>
      <c r="M5419" s="2450"/>
      <c r="N5419" s="1904" t="s">
        <v>1090</v>
      </c>
      <c r="O5419" s="1515">
        <f>+J5418/12</f>
        <v>4507.25</v>
      </c>
      <c r="P5419" s="1515">
        <v>4507.25</v>
      </c>
      <c r="Q5419" s="1515">
        <v>4507.25</v>
      </c>
      <c r="R5419" s="1515">
        <v>4507.25</v>
      </c>
      <c r="S5419" s="1515">
        <v>4507.25</v>
      </c>
      <c r="T5419" s="1515">
        <v>4507.25</v>
      </c>
      <c r="U5419" s="1515">
        <v>4507.25</v>
      </c>
      <c r="V5419" s="1515">
        <v>4507.25</v>
      </c>
      <c r="W5419" s="1515">
        <v>4507.25</v>
      </c>
      <c r="X5419" s="1515">
        <v>4507.25</v>
      </c>
      <c r="Y5419" s="1515">
        <v>4507.25</v>
      </c>
      <c r="Z5419" s="1515">
        <v>4507.25</v>
      </c>
      <c r="AA5419" s="368">
        <f t="shared" si="905"/>
        <v>54087</v>
      </c>
      <c r="AB5419" s="581"/>
    </row>
    <row r="5420" spans="2:28" ht="12" customHeight="1" x14ac:dyDescent="0.2">
      <c r="B5420" s="3720" t="s">
        <v>3252</v>
      </c>
      <c r="C5420" s="2438" t="s">
        <v>3244</v>
      </c>
      <c r="D5420" s="2514">
        <v>22</v>
      </c>
      <c r="E5420" s="3196" t="s">
        <v>2659</v>
      </c>
      <c r="F5420" s="3720" t="s">
        <v>2702</v>
      </c>
      <c r="G5420" s="2424" t="s">
        <v>2714</v>
      </c>
      <c r="H5420" s="2514" t="s">
        <v>2713</v>
      </c>
      <c r="I5420" s="3297"/>
      <c r="J5420" s="3742">
        <v>6595</v>
      </c>
      <c r="K5420" s="2515"/>
      <c r="L5420" s="2456"/>
      <c r="M5420" s="1909"/>
      <c r="N5420" s="1904" t="s">
        <v>51</v>
      </c>
      <c r="O5420" s="1515"/>
      <c r="P5420" s="1510"/>
      <c r="Q5420" s="1511"/>
      <c r="R5420" s="1511"/>
      <c r="S5420" s="1511"/>
      <c r="T5420" s="1511"/>
      <c r="U5420" s="1511"/>
      <c r="V5420" s="1511"/>
      <c r="W5420" s="1511"/>
      <c r="X5420" s="1511"/>
      <c r="Y5420" s="1507"/>
      <c r="Z5420" s="1507"/>
      <c r="AA5420" s="368"/>
      <c r="AB5420" s="581"/>
    </row>
    <row r="5421" spans="2:28" ht="27" customHeight="1" x14ac:dyDescent="0.2">
      <c r="B5421" s="3721"/>
      <c r="C5421" s="2450"/>
      <c r="D5421" s="2516"/>
      <c r="E5421" s="3198"/>
      <c r="F5421" s="3721"/>
      <c r="G5421" s="2425"/>
      <c r="H5421" s="2516"/>
      <c r="I5421" s="3299"/>
      <c r="J5421" s="3743"/>
      <c r="K5421" s="2515"/>
      <c r="L5421" s="2456"/>
      <c r="M5421" s="1909"/>
      <c r="N5421" s="1904" t="s">
        <v>1090</v>
      </c>
      <c r="O5421" s="1515">
        <f>+J5420/12</f>
        <v>549.58333333333337</v>
      </c>
      <c r="P5421" s="1515">
        <v>549.58333333333337</v>
      </c>
      <c r="Q5421" s="1515">
        <v>549.58333333333337</v>
      </c>
      <c r="R5421" s="1515">
        <v>549.58333333333337</v>
      </c>
      <c r="S5421" s="1515">
        <v>549.58333333333337</v>
      </c>
      <c r="T5421" s="1515">
        <v>549.58333333333337</v>
      </c>
      <c r="U5421" s="1515">
        <v>549.58333333333337</v>
      </c>
      <c r="V5421" s="1515">
        <v>549.58333333333337</v>
      </c>
      <c r="W5421" s="1515">
        <v>549.58333333333337</v>
      </c>
      <c r="X5421" s="1515">
        <v>549.58333333333337</v>
      </c>
      <c r="Y5421" s="1515">
        <v>549.58333333333337</v>
      </c>
      <c r="Z5421" s="1515">
        <v>549.58333333333337</v>
      </c>
      <c r="AA5421" s="368">
        <f t="shared" si="905"/>
        <v>6594.9999999999991</v>
      </c>
      <c r="AB5421" s="581"/>
    </row>
    <row r="5422" spans="2:28" ht="12" customHeight="1" x14ac:dyDescent="0.2">
      <c r="B5422" s="3720" t="s">
        <v>3252</v>
      </c>
      <c r="C5422" s="2438" t="s">
        <v>3245</v>
      </c>
      <c r="D5422" s="2514">
        <v>22</v>
      </c>
      <c r="E5422" s="3196" t="s">
        <v>2659</v>
      </c>
      <c r="F5422" s="3720" t="s">
        <v>2715</v>
      </c>
      <c r="G5422" s="2424" t="s">
        <v>2714</v>
      </c>
      <c r="H5422" s="2514" t="s">
        <v>2713</v>
      </c>
      <c r="I5422" s="3297"/>
      <c r="J5422" s="3742">
        <v>4718</v>
      </c>
      <c r="K5422" s="2515"/>
      <c r="L5422" s="2456"/>
      <c r="M5422" s="2438" t="s">
        <v>2657</v>
      </c>
      <c r="N5422" s="1904" t="s">
        <v>51</v>
      </c>
      <c r="O5422" s="1515"/>
      <c r="P5422" s="1510"/>
      <c r="Q5422" s="1511"/>
      <c r="R5422" s="1511"/>
      <c r="S5422" s="1511"/>
      <c r="T5422" s="1511"/>
      <c r="U5422" s="1511"/>
      <c r="V5422" s="1511"/>
      <c r="W5422" s="1511"/>
      <c r="X5422" s="1511"/>
      <c r="Y5422" s="1511"/>
      <c r="Z5422" s="1511"/>
      <c r="AA5422" s="368"/>
      <c r="AB5422" s="581"/>
    </row>
    <row r="5423" spans="2:28" ht="25.5" customHeight="1" thickBot="1" x14ac:dyDescent="0.25">
      <c r="B5423" s="3721"/>
      <c r="C5423" s="2450"/>
      <c r="D5423" s="2516"/>
      <c r="E5423" s="3198"/>
      <c r="F5423" s="3721"/>
      <c r="G5423" s="2425"/>
      <c r="H5423" s="2516"/>
      <c r="I5423" s="3299"/>
      <c r="J5423" s="3743"/>
      <c r="K5423" s="2516"/>
      <c r="L5423" s="2450"/>
      <c r="M5423" s="2450"/>
      <c r="N5423" s="1904" t="s">
        <v>1090</v>
      </c>
      <c r="O5423" s="1515">
        <f>+J5422/12</f>
        <v>393.16666666666669</v>
      </c>
      <c r="P5423" s="1513">
        <v>393.16666666666669</v>
      </c>
      <c r="Q5423" s="1513">
        <v>393.16666666666669</v>
      </c>
      <c r="R5423" s="1513">
        <v>393.16666666666669</v>
      </c>
      <c r="S5423" s="1513">
        <v>393.16666666666669</v>
      </c>
      <c r="T5423" s="1513">
        <v>393.16666666666669</v>
      </c>
      <c r="U5423" s="1513">
        <v>393.16666666666669</v>
      </c>
      <c r="V5423" s="1513">
        <v>393.16666666666669</v>
      </c>
      <c r="W5423" s="1513">
        <v>393.16666666666669</v>
      </c>
      <c r="X5423" s="1513">
        <v>393.16666666666669</v>
      </c>
      <c r="Y5423" s="1513">
        <v>393.16666666666669</v>
      </c>
      <c r="Z5423" s="1513">
        <v>393.16666666666669</v>
      </c>
      <c r="AA5423" s="2266">
        <f t="shared" si="905"/>
        <v>4718</v>
      </c>
      <c r="AB5423" s="581"/>
    </row>
    <row r="5424" spans="2:28" ht="15" x14ac:dyDescent="0.25">
      <c r="B5424" s="448"/>
      <c r="C5424" s="50"/>
      <c r="D5424" s="50"/>
      <c r="E5424" s="50"/>
      <c r="F5424" s="50"/>
      <c r="G5424" s="50"/>
      <c r="H5424" s="50"/>
      <c r="I5424" s="50"/>
      <c r="J5424" s="1814">
        <f>SUM(J5364:J5423)</f>
        <v>608217011.20000005</v>
      </c>
      <c r="K5424" s="50"/>
      <c r="L5424" s="572"/>
      <c r="M5424" s="50"/>
      <c r="N5424" s="50"/>
      <c r="O5424" s="1815" t="s">
        <v>312</v>
      </c>
      <c r="P5424" s="1816"/>
      <c r="Q5424" s="1816"/>
      <c r="R5424" s="1816"/>
      <c r="S5424" s="1816"/>
      <c r="T5424" s="1816"/>
      <c r="U5424" s="1816"/>
      <c r="V5424" s="1816"/>
      <c r="W5424" s="1816"/>
      <c r="X5424" s="1816"/>
      <c r="Y5424" s="1816"/>
      <c r="Z5424" s="1816"/>
      <c r="AA5424" s="2267">
        <f>SUM(AA5365:AA5423)</f>
        <v>608217066.20000005</v>
      </c>
      <c r="AB5424" s="2"/>
    </row>
    <row r="5425" spans="2:28" ht="7.5" customHeight="1" x14ac:dyDescent="0.2">
      <c r="B5425" s="3744" t="s">
        <v>13</v>
      </c>
      <c r="C5425" s="3747" t="s">
        <v>2716</v>
      </c>
      <c r="D5425" s="3748"/>
      <c r="E5425" s="3748"/>
      <c r="F5425" s="3748"/>
      <c r="G5425" s="3748"/>
      <c r="H5425" s="3748"/>
      <c r="I5425" s="3748"/>
      <c r="J5425" s="3748"/>
      <c r="K5425" s="3748"/>
      <c r="L5425" s="3748"/>
      <c r="M5425" s="3748"/>
      <c r="N5425" s="3748"/>
      <c r="O5425" s="3748"/>
      <c r="P5425" s="3748"/>
      <c r="Q5425" s="3748"/>
      <c r="R5425" s="3748"/>
      <c r="S5425" s="3748"/>
      <c r="T5425" s="3748"/>
      <c r="U5425" s="3748"/>
      <c r="V5425" s="3748"/>
      <c r="W5425" s="3748"/>
      <c r="X5425" s="3748"/>
      <c r="Y5425" s="3748"/>
      <c r="Z5425" s="3748"/>
      <c r="AA5425" s="3749"/>
      <c r="AB5425" s="583"/>
    </row>
    <row r="5426" spans="2:28" ht="6.75" customHeight="1" x14ac:dyDescent="0.2">
      <c r="B5426" s="3745"/>
      <c r="C5426" s="3750"/>
      <c r="D5426" s="3751"/>
      <c r="E5426" s="3751"/>
      <c r="F5426" s="3751"/>
      <c r="G5426" s="3751"/>
      <c r="H5426" s="3751"/>
      <c r="I5426" s="3751"/>
      <c r="J5426" s="3751"/>
      <c r="K5426" s="3751"/>
      <c r="L5426" s="3751"/>
      <c r="M5426" s="3751"/>
      <c r="N5426" s="3751"/>
      <c r="O5426" s="3751"/>
      <c r="P5426" s="3751"/>
      <c r="Q5426" s="3751"/>
      <c r="R5426" s="3751"/>
      <c r="S5426" s="3751"/>
      <c r="T5426" s="3751"/>
      <c r="U5426" s="3751"/>
      <c r="V5426" s="3751"/>
      <c r="W5426" s="3751"/>
      <c r="X5426" s="3751"/>
      <c r="Y5426" s="3751"/>
      <c r="Z5426" s="3751"/>
      <c r="AA5426" s="3752"/>
      <c r="AB5426" s="583"/>
    </row>
    <row r="5427" spans="2:28" ht="9.75" customHeight="1" x14ac:dyDescent="0.2">
      <c r="B5427" s="3746"/>
      <c r="C5427" s="3753"/>
      <c r="D5427" s="3754"/>
      <c r="E5427" s="3754"/>
      <c r="F5427" s="3754"/>
      <c r="G5427" s="3754"/>
      <c r="H5427" s="3754"/>
      <c r="I5427" s="3754"/>
      <c r="J5427" s="3754"/>
      <c r="K5427" s="3754"/>
      <c r="L5427" s="3754"/>
      <c r="M5427" s="3754"/>
      <c r="N5427" s="3754"/>
      <c r="O5427" s="3754"/>
      <c r="P5427" s="3754"/>
      <c r="Q5427" s="3754"/>
      <c r="R5427" s="3754"/>
      <c r="S5427" s="3754"/>
      <c r="T5427" s="3754"/>
      <c r="U5427" s="3754"/>
      <c r="V5427" s="3754"/>
      <c r="W5427" s="3754"/>
      <c r="X5427" s="3754"/>
      <c r="Y5427" s="3754"/>
      <c r="Z5427" s="3754"/>
      <c r="AA5427" s="3755"/>
      <c r="AB5427" s="583"/>
    </row>
    <row r="5428" spans="2:28" ht="12" customHeight="1" x14ac:dyDescent="0.2">
      <c r="B5428" s="3706" t="s">
        <v>2634</v>
      </c>
      <c r="C5428" s="3708" t="s">
        <v>2635</v>
      </c>
      <c r="D5428" s="3708" t="s">
        <v>23</v>
      </c>
      <c r="E5428" s="3708" t="s">
        <v>164</v>
      </c>
      <c r="F5428" s="3708" t="s">
        <v>25</v>
      </c>
      <c r="G5428" s="3708" t="s">
        <v>26</v>
      </c>
      <c r="H5428" s="3708" t="s">
        <v>27</v>
      </c>
      <c r="I5428" s="3725" t="s">
        <v>28</v>
      </c>
      <c r="J5428" s="3726"/>
      <c r="K5428" s="3708" t="s">
        <v>29</v>
      </c>
      <c r="L5428" s="3727" t="s">
        <v>30</v>
      </c>
      <c r="M5428" s="3729"/>
      <c r="N5428" s="3708" t="s">
        <v>2717</v>
      </c>
      <c r="O5428" s="3733" t="s">
        <v>31</v>
      </c>
      <c r="P5428" s="3734"/>
      <c r="Q5428" s="3734"/>
      <c r="R5428" s="3734"/>
      <c r="S5428" s="3734"/>
      <c r="T5428" s="3734"/>
      <c r="U5428" s="3734"/>
      <c r="V5428" s="3734"/>
      <c r="W5428" s="3734"/>
      <c r="X5428" s="3734"/>
      <c r="Y5428" s="3734"/>
      <c r="Z5428" s="3735"/>
      <c r="AA5428" s="3736" t="s">
        <v>32</v>
      </c>
      <c r="AB5428" s="207"/>
    </row>
    <row r="5429" spans="2:28" ht="12" x14ac:dyDescent="0.2">
      <c r="B5429" s="3707"/>
      <c r="C5429" s="3709"/>
      <c r="D5429" s="3709"/>
      <c r="E5429" s="3709"/>
      <c r="F5429" s="3709"/>
      <c r="G5429" s="3709"/>
      <c r="H5429" s="3709"/>
      <c r="I5429" s="743" t="s">
        <v>33</v>
      </c>
      <c r="J5429" s="584" t="s">
        <v>34</v>
      </c>
      <c r="K5429" s="3709"/>
      <c r="L5429" s="3730"/>
      <c r="M5429" s="3732"/>
      <c r="N5429" s="3709"/>
      <c r="O5429" s="742" t="s">
        <v>35</v>
      </c>
      <c r="P5429" s="742" t="s">
        <v>36</v>
      </c>
      <c r="Q5429" s="742" t="s">
        <v>37</v>
      </c>
      <c r="R5429" s="742" t="s">
        <v>38</v>
      </c>
      <c r="S5429" s="742" t="s">
        <v>39</v>
      </c>
      <c r="T5429" s="742" t="s">
        <v>40</v>
      </c>
      <c r="U5429" s="742" t="s">
        <v>41</v>
      </c>
      <c r="V5429" s="742" t="s">
        <v>42</v>
      </c>
      <c r="W5429" s="742" t="s">
        <v>2636</v>
      </c>
      <c r="X5429" s="742" t="s">
        <v>44</v>
      </c>
      <c r="Y5429" s="742" t="s">
        <v>45</v>
      </c>
      <c r="Z5429" s="742" t="s">
        <v>46</v>
      </c>
      <c r="AA5429" s="3737"/>
      <c r="AB5429" s="513"/>
    </row>
    <row r="5430" spans="2:28" ht="11.25" customHeight="1" x14ac:dyDescent="0.2">
      <c r="B5430" s="3718" t="s">
        <v>3253</v>
      </c>
      <c r="C5430" s="2438" t="s">
        <v>2718</v>
      </c>
      <c r="D5430" s="2949">
        <v>22</v>
      </c>
      <c r="E5430" s="3739" t="s">
        <v>2659</v>
      </c>
      <c r="F5430" s="3718" t="s">
        <v>2719</v>
      </c>
      <c r="G5430" s="2732" t="s">
        <v>3265</v>
      </c>
      <c r="H5430" s="3760" t="s">
        <v>2720</v>
      </c>
      <c r="I5430" s="3068"/>
      <c r="J5430" s="3762">
        <v>1051189</v>
      </c>
      <c r="K5430" s="3760" t="s">
        <v>2721</v>
      </c>
      <c r="L5430" s="2438" t="s">
        <v>2722</v>
      </c>
      <c r="M5430" s="2514" t="s">
        <v>2657</v>
      </c>
      <c r="N5430" s="1905" t="s">
        <v>51</v>
      </c>
      <c r="O5430" s="585"/>
      <c r="P5430" s="585"/>
      <c r="Q5430" s="585"/>
      <c r="R5430" s="585"/>
      <c r="S5430" s="585"/>
      <c r="T5430" s="585"/>
      <c r="U5430" s="585"/>
      <c r="V5430" s="585"/>
      <c r="W5430" s="585"/>
      <c r="X5430" s="585"/>
      <c r="Y5430" s="585"/>
      <c r="Z5430" s="585"/>
      <c r="AA5430" s="1524"/>
      <c r="AB5430" s="586"/>
    </row>
    <row r="5431" spans="2:28" ht="60" customHeight="1" x14ac:dyDescent="0.2">
      <c r="B5431" s="3719"/>
      <c r="C5431" s="2450"/>
      <c r="D5431" s="2951"/>
      <c r="E5431" s="3741"/>
      <c r="F5431" s="3719"/>
      <c r="G5431" s="2733"/>
      <c r="H5431" s="3761"/>
      <c r="I5431" s="3070"/>
      <c r="J5431" s="3763"/>
      <c r="K5431" s="3764"/>
      <c r="L5431" s="2450"/>
      <c r="M5431" s="2516"/>
      <c r="N5431" s="1904" t="s">
        <v>1090</v>
      </c>
      <c r="O5431" s="587">
        <f>+J5430/12</f>
        <v>87599.083333333328</v>
      </c>
      <c r="P5431" s="587">
        <v>87599.083333333328</v>
      </c>
      <c r="Q5431" s="587">
        <v>87599.083333333328</v>
      </c>
      <c r="R5431" s="587">
        <v>87599.083333333328</v>
      </c>
      <c r="S5431" s="587">
        <v>87599.083333333328</v>
      </c>
      <c r="T5431" s="587">
        <v>87599.083333333328</v>
      </c>
      <c r="U5431" s="587">
        <v>87599.083333333328</v>
      </c>
      <c r="V5431" s="587">
        <v>87599.083333333328</v>
      </c>
      <c r="W5431" s="587">
        <v>87599.083333333328</v>
      </c>
      <c r="X5431" s="587">
        <v>87599.083333333328</v>
      </c>
      <c r="Y5431" s="588">
        <v>87599.083333333328</v>
      </c>
      <c r="Z5431" s="587">
        <v>87599.083333333328</v>
      </c>
      <c r="AA5431" s="368">
        <f>SUM(O5431:Z5431)</f>
        <v>1051189.0000000002</v>
      </c>
      <c r="AB5431" s="589"/>
    </row>
    <row r="5432" spans="2:28" ht="11.25" customHeight="1" x14ac:dyDescent="0.2">
      <c r="B5432" s="3718" t="s">
        <v>3253</v>
      </c>
      <c r="C5432" s="3718" t="s">
        <v>2723</v>
      </c>
      <c r="D5432" s="3739" t="s">
        <v>2672</v>
      </c>
      <c r="E5432" s="3739" t="s">
        <v>2659</v>
      </c>
      <c r="F5432" s="3718" t="s">
        <v>2715</v>
      </c>
      <c r="G5432" s="2424" t="s">
        <v>2724</v>
      </c>
      <c r="H5432" s="3739" t="s">
        <v>2720</v>
      </c>
      <c r="I5432" s="3068"/>
      <c r="J5432" s="3762">
        <v>22304</v>
      </c>
      <c r="K5432" s="3764"/>
      <c r="L5432" s="2438" t="s">
        <v>184</v>
      </c>
      <c r="M5432" s="2514" t="s">
        <v>2657</v>
      </c>
      <c r="N5432" s="1905" t="s">
        <v>51</v>
      </c>
      <c r="O5432" s="590"/>
      <c r="P5432" s="1528"/>
      <c r="Q5432" s="591"/>
      <c r="R5432" s="591"/>
      <c r="S5432" s="591"/>
      <c r="T5432" s="591"/>
      <c r="U5432" s="591"/>
      <c r="V5432" s="591"/>
      <c r="W5432" s="591"/>
      <c r="X5432" s="591"/>
      <c r="Y5432" s="591"/>
      <c r="Z5432" s="591"/>
      <c r="AA5432" s="368"/>
      <c r="AB5432" s="589"/>
    </row>
    <row r="5433" spans="2:28" x14ac:dyDescent="0.2">
      <c r="B5433" s="3719"/>
      <c r="C5433" s="3719"/>
      <c r="D5433" s="3741"/>
      <c r="E5433" s="3741"/>
      <c r="F5433" s="3719"/>
      <c r="G5433" s="2425"/>
      <c r="H5433" s="3741"/>
      <c r="I5433" s="3070"/>
      <c r="J5433" s="3763"/>
      <c r="K5433" s="3761"/>
      <c r="L5433" s="2450"/>
      <c r="M5433" s="2516"/>
      <c r="N5433" s="1904" t="s">
        <v>1090</v>
      </c>
      <c r="O5433" s="588">
        <f>+J5432/12</f>
        <v>1858.6666666666667</v>
      </c>
      <c r="P5433" s="592">
        <v>1858.6666666666667</v>
      </c>
      <c r="Q5433" s="592">
        <v>1858.6666666666667</v>
      </c>
      <c r="R5433" s="592">
        <v>1858.6666666666667</v>
      </c>
      <c r="S5433" s="592">
        <v>1858.6666666666667</v>
      </c>
      <c r="T5433" s="592">
        <v>1858.6666666666667</v>
      </c>
      <c r="U5433" s="592">
        <v>1858.6666666666667</v>
      </c>
      <c r="V5433" s="592">
        <v>1858.6666666666667</v>
      </c>
      <c r="W5433" s="592">
        <v>1858.6666666666667</v>
      </c>
      <c r="X5433" s="592">
        <v>1858.6666666666667</v>
      </c>
      <c r="Y5433" s="592">
        <v>1858.6666666666667</v>
      </c>
      <c r="Z5433" s="592">
        <v>1858.6666666666667</v>
      </c>
      <c r="AA5433" s="368">
        <f>+J5432</f>
        <v>22304</v>
      </c>
      <c r="AB5433" s="593"/>
    </row>
    <row r="5434" spans="2:28" ht="17.25" x14ac:dyDescent="0.3">
      <c r="B5434" s="738"/>
      <c r="C5434" s="594"/>
      <c r="D5434" s="595"/>
      <c r="E5434" s="595"/>
      <c r="F5434" s="595"/>
      <c r="G5434" s="1817"/>
      <c r="H5434" s="595"/>
      <c r="I5434" s="595"/>
      <c r="J5434" s="2021">
        <f>SUM(J5430:J5433)</f>
        <v>1073493</v>
      </c>
      <c r="K5434" s="596"/>
      <c r="L5434" s="597"/>
      <c r="M5434" s="1527"/>
      <c r="N5434" s="598"/>
      <c r="O5434" s="3363" t="s">
        <v>312</v>
      </c>
      <c r="P5434" s="3363"/>
      <c r="Q5434" s="3363"/>
      <c r="R5434" s="3363"/>
      <c r="S5434" s="3363"/>
      <c r="T5434" s="3363"/>
      <c r="U5434" s="3363"/>
      <c r="V5434" s="3363"/>
      <c r="W5434" s="3363"/>
      <c r="X5434" s="3363"/>
      <c r="Y5434" s="3363"/>
      <c r="Z5434" s="3363"/>
      <c r="AA5434" s="1818">
        <f>SUM(AA5431:AA5433)</f>
        <v>1073493.0000000002</v>
      </c>
      <c r="AB5434" s="599"/>
    </row>
    <row r="5435" spans="2:28" ht="14.25" customHeight="1" x14ac:dyDescent="0.2">
      <c r="B5435" s="3744" t="s">
        <v>13</v>
      </c>
      <c r="C5435" s="3747" t="s">
        <v>2725</v>
      </c>
      <c r="D5435" s="3748"/>
      <c r="E5435" s="3748"/>
      <c r="F5435" s="3748"/>
      <c r="G5435" s="3748"/>
      <c r="H5435" s="3748"/>
      <c r="I5435" s="3748"/>
      <c r="J5435" s="3748"/>
      <c r="K5435" s="3748"/>
      <c r="L5435" s="3748"/>
      <c r="M5435" s="3748"/>
      <c r="N5435" s="3748"/>
      <c r="O5435" s="3748"/>
      <c r="P5435" s="3748"/>
      <c r="Q5435" s="3748"/>
      <c r="R5435" s="3748"/>
      <c r="S5435" s="3748"/>
      <c r="T5435" s="3748"/>
      <c r="U5435" s="3748"/>
      <c r="V5435" s="3748"/>
      <c r="W5435" s="3748"/>
      <c r="X5435" s="3748"/>
      <c r="Y5435" s="3748"/>
      <c r="Z5435" s="3748"/>
      <c r="AA5435" s="3749"/>
      <c r="AB5435" s="583"/>
    </row>
    <row r="5436" spans="2:28" ht="18.75" hidden="1" x14ac:dyDescent="0.2">
      <c r="B5436" s="3745"/>
      <c r="C5436" s="3750"/>
      <c r="D5436" s="3751"/>
      <c r="E5436" s="3751"/>
      <c r="F5436" s="3751"/>
      <c r="G5436" s="3751"/>
      <c r="H5436" s="3751"/>
      <c r="I5436" s="3751"/>
      <c r="J5436" s="3751"/>
      <c r="K5436" s="3751"/>
      <c r="L5436" s="3751"/>
      <c r="M5436" s="3751"/>
      <c r="N5436" s="3751"/>
      <c r="O5436" s="3751"/>
      <c r="P5436" s="3751"/>
      <c r="Q5436" s="3751"/>
      <c r="R5436" s="3751"/>
      <c r="S5436" s="3751"/>
      <c r="T5436" s="3751"/>
      <c r="U5436" s="3751"/>
      <c r="V5436" s="3751"/>
      <c r="W5436" s="3751"/>
      <c r="X5436" s="3751"/>
      <c r="Y5436" s="3751"/>
      <c r="Z5436" s="3751"/>
      <c r="AA5436" s="3752"/>
      <c r="AB5436" s="583"/>
    </row>
    <row r="5437" spans="2:28" ht="6" customHeight="1" x14ac:dyDescent="0.2">
      <c r="B5437" s="3746"/>
      <c r="C5437" s="3753"/>
      <c r="D5437" s="3754"/>
      <c r="E5437" s="3754"/>
      <c r="F5437" s="3754"/>
      <c r="G5437" s="3754"/>
      <c r="H5437" s="3754"/>
      <c r="I5437" s="3754"/>
      <c r="J5437" s="3754"/>
      <c r="K5437" s="3754"/>
      <c r="L5437" s="3754"/>
      <c r="M5437" s="3754"/>
      <c r="N5437" s="3754"/>
      <c r="O5437" s="3754"/>
      <c r="P5437" s="3754"/>
      <c r="Q5437" s="3754"/>
      <c r="R5437" s="3754"/>
      <c r="S5437" s="3754"/>
      <c r="T5437" s="3754"/>
      <c r="U5437" s="3754"/>
      <c r="V5437" s="3754"/>
      <c r="W5437" s="3754"/>
      <c r="X5437" s="3754"/>
      <c r="Y5437" s="3754"/>
      <c r="Z5437" s="3754"/>
      <c r="AA5437" s="3755"/>
      <c r="AB5437" s="583"/>
    </row>
    <row r="5438" spans="2:28" ht="12" customHeight="1" x14ac:dyDescent="0.2">
      <c r="B5438" s="3694" t="s">
        <v>2634</v>
      </c>
      <c r="C5438" s="3696" t="s">
        <v>2635</v>
      </c>
      <c r="D5438" s="3696" t="s">
        <v>23</v>
      </c>
      <c r="E5438" s="3696" t="s">
        <v>164</v>
      </c>
      <c r="F5438" s="3696" t="s">
        <v>25</v>
      </c>
      <c r="G5438" s="3696" t="s">
        <v>26</v>
      </c>
      <c r="H5438" s="3696" t="s">
        <v>27</v>
      </c>
      <c r="I5438" s="3698" t="s">
        <v>28</v>
      </c>
      <c r="J5438" s="3699"/>
      <c r="K5438" s="3696" t="s">
        <v>29</v>
      </c>
      <c r="L5438" s="3696" t="s">
        <v>2726</v>
      </c>
      <c r="M5438" s="3696" t="s">
        <v>530</v>
      </c>
      <c r="N5438" s="3696" t="s">
        <v>2717</v>
      </c>
      <c r="O5438" s="3689" t="s">
        <v>31</v>
      </c>
      <c r="P5438" s="3690"/>
      <c r="Q5438" s="3690"/>
      <c r="R5438" s="3690"/>
      <c r="S5438" s="3690"/>
      <c r="T5438" s="3690"/>
      <c r="U5438" s="3690"/>
      <c r="V5438" s="3690"/>
      <c r="W5438" s="3690"/>
      <c r="X5438" s="3690"/>
      <c r="Y5438" s="3690"/>
      <c r="Z5438" s="3691"/>
      <c r="AA5438" s="3756" t="s">
        <v>32</v>
      </c>
      <c r="AB5438" s="513"/>
    </row>
    <row r="5439" spans="2:28" ht="12" x14ac:dyDescent="0.2">
      <c r="B5439" s="3695"/>
      <c r="C5439" s="3697"/>
      <c r="D5439" s="3697"/>
      <c r="E5439" s="3697"/>
      <c r="F5439" s="3697"/>
      <c r="G5439" s="3697"/>
      <c r="H5439" s="3697"/>
      <c r="I5439" s="1038" t="s">
        <v>33</v>
      </c>
      <c r="J5439" s="600" t="s">
        <v>34</v>
      </c>
      <c r="K5439" s="3697"/>
      <c r="L5439" s="3697"/>
      <c r="M5439" s="3697"/>
      <c r="N5439" s="3697"/>
      <c r="O5439" s="1039" t="s">
        <v>35</v>
      </c>
      <c r="P5439" s="1039" t="s">
        <v>36</v>
      </c>
      <c r="Q5439" s="1039" t="s">
        <v>37</v>
      </c>
      <c r="R5439" s="1039" t="s">
        <v>38</v>
      </c>
      <c r="S5439" s="1039" t="s">
        <v>39</v>
      </c>
      <c r="T5439" s="1039" t="s">
        <v>40</v>
      </c>
      <c r="U5439" s="1039" t="s">
        <v>41</v>
      </c>
      <c r="V5439" s="1039" t="s">
        <v>42</v>
      </c>
      <c r="W5439" s="1039" t="s">
        <v>2636</v>
      </c>
      <c r="X5439" s="1039" t="s">
        <v>44</v>
      </c>
      <c r="Y5439" s="1039" t="s">
        <v>45</v>
      </c>
      <c r="Z5439" s="1039" t="s">
        <v>46</v>
      </c>
      <c r="AA5439" s="3757"/>
      <c r="AB5439" s="513"/>
    </row>
    <row r="5440" spans="2:28" ht="12" customHeight="1" x14ac:dyDescent="0.2">
      <c r="B5440" s="3718" t="s">
        <v>3254</v>
      </c>
      <c r="C5440" s="2438" t="s">
        <v>2727</v>
      </c>
      <c r="D5440" s="2949">
        <v>22</v>
      </c>
      <c r="E5440" s="3739" t="s">
        <v>2659</v>
      </c>
      <c r="F5440" s="3718" t="s">
        <v>2728</v>
      </c>
      <c r="G5440" s="2424" t="s">
        <v>2729</v>
      </c>
      <c r="H5440" s="3196" t="s">
        <v>661</v>
      </c>
      <c r="I5440" s="3758"/>
      <c r="J5440" s="3767">
        <v>2815724</v>
      </c>
      <c r="K5440" s="3758"/>
      <c r="L5440" s="2438" t="s">
        <v>2730</v>
      </c>
      <c r="M5440" s="2438" t="s">
        <v>2657</v>
      </c>
      <c r="N5440" s="1924" t="s">
        <v>51</v>
      </c>
      <c r="O5440" s="1072"/>
      <c r="P5440" s="1072"/>
      <c r="Q5440" s="1072"/>
      <c r="R5440" s="1072"/>
      <c r="S5440" s="1072"/>
      <c r="T5440" s="1072"/>
      <c r="U5440" s="1072"/>
      <c r="V5440" s="1072"/>
      <c r="W5440" s="1072"/>
      <c r="X5440" s="1072"/>
      <c r="Y5440" s="1072"/>
      <c r="Z5440" s="1072"/>
      <c r="AA5440" s="2268"/>
      <c r="AB5440" s="513"/>
    </row>
    <row r="5441" spans="2:28" ht="47.25" customHeight="1" x14ac:dyDescent="0.2">
      <c r="B5441" s="3719"/>
      <c r="C5441" s="2450"/>
      <c r="D5441" s="2951"/>
      <c r="E5441" s="3741"/>
      <c r="F5441" s="3719"/>
      <c r="G5441" s="2425"/>
      <c r="H5441" s="3198"/>
      <c r="I5441" s="3759"/>
      <c r="J5441" s="3768"/>
      <c r="K5441" s="3759"/>
      <c r="L5441" s="2450"/>
      <c r="M5441" s="2450"/>
      <c r="N5441" s="2062" t="s">
        <v>1090</v>
      </c>
      <c r="O5441" s="1077">
        <f>+J5440/12</f>
        <v>234643.66666666666</v>
      </c>
      <c r="P5441" s="1077">
        <v>234643.66666666666</v>
      </c>
      <c r="Q5441" s="1077">
        <v>234643.66666666666</v>
      </c>
      <c r="R5441" s="1077">
        <v>234643.66666666666</v>
      </c>
      <c r="S5441" s="1077">
        <v>234643.66666666666</v>
      </c>
      <c r="T5441" s="1077">
        <v>234643.66666666666</v>
      </c>
      <c r="U5441" s="1077">
        <v>234643.66666666666</v>
      </c>
      <c r="V5441" s="1077">
        <v>234643.66666666666</v>
      </c>
      <c r="W5441" s="1077">
        <v>234643.66666666666</v>
      </c>
      <c r="X5441" s="1077">
        <v>234643.66666666666</v>
      </c>
      <c r="Y5441" s="1077">
        <v>234643.66666666666</v>
      </c>
      <c r="Z5441" s="1077">
        <v>234643.66666666666</v>
      </c>
      <c r="AA5441" s="371">
        <f>SUM(O5441:Z5441)</f>
        <v>2815723.9999999995</v>
      </c>
      <c r="AB5441" s="513"/>
    </row>
    <row r="5442" spans="2:28" ht="11.25" customHeight="1" x14ac:dyDescent="0.2">
      <c r="B5442" s="3718" t="s">
        <v>3255</v>
      </c>
      <c r="C5442" s="2438" t="s">
        <v>3196</v>
      </c>
      <c r="D5442" s="2514">
        <v>22</v>
      </c>
      <c r="E5442" s="2514">
        <v>47</v>
      </c>
      <c r="F5442" s="2969" t="s">
        <v>2728</v>
      </c>
      <c r="G5442" s="2457" t="s">
        <v>2731</v>
      </c>
      <c r="H5442" s="3196" t="s">
        <v>661</v>
      </c>
      <c r="I5442" s="3196"/>
      <c r="J5442" s="3767">
        <v>196448</v>
      </c>
      <c r="K5442" s="3769" t="s">
        <v>2721</v>
      </c>
      <c r="L5442" s="3772" t="s">
        <v>2732</v>
      </c>
      <c r="M5442" s="2438" t="s">
        <v>2657</v>
      </c>
      <c r="N5442" s="1905" t="s">
        <v>51</v>
      </c>
      <c r="O5442" s="1089"/>
      <c r="P5442" s="601"/>
      <c r="Q5442" s="601"/>
      <c r="R5442" s="601"/>
      <c r="S5442" s="601"/>
      <c r="T5442" s="601"/>
      <c r="U5442" s="601"/>
      <c r="V5442" s="601"/>
      <c r="W5442" s="601"/>
      <c r="X5442" s="601"/>
      <c r="Y5442" s="601"/>
      <c r="Z5442" s="601"/>
      <c r="AA5442" s="2269"/>
      <c r="AB5442" s="602"/>
    </row>
    <row r="5443" spans="2:28" ht="45.75" customHeight="1" x14ac:dyDescent="0.2">
      <c r="B5443" s="3719"/>
      <c r="C5443" s="2450"/>
      <c r="D5443" s="2516"/>
      <c r="E5443" s="2516"/>
      <c r="F5443" s="2971"/>
      <c r="G5443" s="2458"/>
      <c r="H5443" s="3198"/>
      <c r="I5443" s="3198"/>
      <c r="J5443" s="3768"/>
      <c r="K5443" s="3770"/>
      <c r="L5443" s="3773"/>
      <c r="M5443" s="2450"/>
      <c r="N5443" s="1904" t="s">
        <v>1090</v>
      </c>
      <c r="O5443" s="1089">
        <f>+J5442/12</f>
        <v>16370.666666666666</v>
      </c>
      <c r="P5443" s="601">
        <v>16370.666666666666</v>
      </c>
      <c r="Q5443" s="601">
        <v>16370.666666666666</v>
      </c>
      <c r="R5443" s="601">
        <v>16370.666666666666</v>
      </c>
      <c r="S5443" s="601">
        <v>16370.666666666666</v>
      </c>
      <c r="T5443" s="601">
        <v>16370.666666666666</v>
      </c>
      <c r="U5443" s="601">
        <v>16370.666666666666</v>
      </c>
      <c r="V5443" s="601">
        <v>16370.666666666666</v>
      </c>
      <c r="W5443" s="601">
        <v>16370.666666666666</v>
      </c>
      <c r="X5443" s="601">
        <v>16370.666666666666</v>
      </c>
      <c r="Y5443" s="601">
        <v>16370.666666666666</v>
      </c>
      <c r="Z5443" s="601">
        <v>16370.666666666666</v>
      </c>
      <c r="AA5443" s="2269">
        <f>SUM(O5443:Z5443)</f>
        <v>196447.99999999997</v>
      </c>
      <c r="AB5443" s="602"/>
    </row>
    <row r="5444" spans="2:28" ht="11.25" customHeight="1" x14ac:dyDescent="0.2">
      <c r="B5444" s="3718" t="s">
        <v>3254</v>
      </c>
      <c r="C5444" s="3718" t="s">
        <v>3197</v>
      </c>
      <c r="D5444" s="3739" t="s">
        <v>2672</v>
      </c>
      <c r="E5444" s="3739" t="s">
        <v>2659</v>
      </c>
      <c r="F5444" s="3718" t="s">
        <v>2728</v>
      </c>
      <c r="G5444" s="3718" t="s">
        <v>2733</v>
      </c>
      <c r="H5444" s="3739" t="s">
        <v>661</v>
      </c>
      <c r="I5444" s="3739"/>
      <c r="J5444" s="3765">
        <v>176188</v>
      </c>
      <c r="K5444" s="3770"/>
      <c r="L5444" s="2438" t="s">
        <v>2734</v>
      </c>
      <c r="M5444" s="2438" t="s">
        <v>2657</v>
      </c>
      <c r="N5444" s="1905" t="s">
        <v>51</v>
      </c>
      <c r="O5444" s="1091"/>
      <c r="P5444" s="601"/>
      <c r="Q5444" s="601"/>
      <c r="R5444" s="601"/>
      <c r="S5444" s="601"/>
      <c r="T5444" s="601"/>
      <c r="U5444" s="601"/>
      <c r="V5444" s="601"/>
      <c r="W5444" s="601"/>
      <c r="X5444" s="601"/>
      <c r="Y5444" s="601"/>
      <c r="Z5444" s="601"/>
      <c r="AA5444" s="2269"/>
      <c r="AB5444" s="602"/>
    </row>
    <row r="5445" spans="2:28" ht="55.5" customHeight="1" x14ac:dyDescent="0.2">
      <c r="B5445" s="3719"/>
      <c r="C5445" s="3719"/>
      <c r="D5445" s="3741"/>
      <c r="E5445" s="3741"/>
      <c r="F5445" s="3719"/>
      <c r="G5445" s="3719"/>
      <c r="H5445" s="3741"/>
      <c r="I5445" s="3741"/>
      <c r="J5445" s="3766"/>
      <c r="K5445" s="3770"/>
      <c r="L5445" s="2450"/>
      <c r="M5445" s="2450"/>
      <c r="N5445" s="1904" t="s">
        <v>1090</v>
      </c>
      <c r="O5445" s="1089">
        <f>+J5444/12</f>
        <v>14682.333333333334</v>
      </c>
      <c r="P5445" s="601">
        <v>14682.333333333334</v>
      </c>
      <c r="Q5445" s="601">
        <v>14682.333333333334</v>
      </c>
      <c r="R5445" s="601">
        <v>14682.333333333334</v>
      </c>
      <c r="S5445" s="601">
        <v>14682.333333333334</v>
      </c>
      <c r="T5445" s="601">
        <v>14682.333333333334</v>
      </c>
      <c r="U5445" s="601">
        <v>14682.333333333334</v>
      </c>
      <c r="V5445" s="601">
        <v>14682.333333333334</v>
      </c>
      <c r="W5445" s="601">
        <v>14682.333333333334</v>
      </c>
      <c r="X5445" s="601">
        <v>14682.333333333334</v>
      </c>
      <c r="Y5445" s="601">
        <v>14682.333333333334</v>
      </c>
      <c r="Z5445" s="601">
        <v>14682.333333333334</v>
      </c>
      <c r="AA5445" s="2269">
        <f>SUM(O5445:Z5445)</f>
        <v>176188.00000000003</v>
      </c>
      <c r="AB5445" s="602"/>
    </row>
    <row r="5446" spans="2:28" ht="11.25" customHeight="1" x14ac:dyDescent="0.2">
      <c r="B5446" s="3718" t="s">
        <v>2735</v>
      </c>
      <c r="C5446" s="3718" t="s">
        <v>3198</v>
      </c>
      <c r="D5446" s="3739" t="s">
        <v>2672</v>
      </c>
      <c r="E5446" s="3739" t="s">
        <v>2659</v>
      </c>
      <c r="F5446" s="3718" t="s">
        <v>2728</v>
      </c>
      <c r="G5446" s="3718" t="s">
        <v>2736</v>
      </c>
      <c r="H5446" s="3739" t="s">
        <v>2737</v>
      </c>
      <c r="I5446" s="3739"/>
      <c r="J5446" s="3765">
        <v>9050</v>
      </c>
      <c r="K5446" s="3770"/>
      <c r="L5446" s="1923" t="s">
        <v>2738</v>
      </c>
      <c r="M5446" s="2438" t="s">
        <v>2657</v>
      </c>
      <c r="N5446" s="1905" t="s">
        <v>51</v>
      </c>
      <c r="O5446" s="1091"/>
      <c r="P5446" s="601"/>
      <c r="Q5446" s="601"/>
      <c r="R5446" s="601"/>
      <c r="S5446" s="601"/>
      <c r="T5446" s="601"/>
      <c r="U5446" s="601"/>
      <c r="V5446" s="601"/>
      <c r="W5446" s="601"/>
      <c r="X5446" s="601"/>
      <c r="Y5446" s="601"/>
      <c r="Z5446" s="601"/>
      <c r="AA5446" s="2269"/>
      <c r="AB5446" s="602"/>
    </row>
    <row r="5447" spans="2:28" ht="60.75" customHeight="1" x14ac:dyDescent="0.2">
      <c r="B5447" s="3719"/>
      <c r="C5447" s="3719"/>
      <c r="D5447" s="3741"/>
      <c r="E5447" s="3741"/>
      <c r="F5447" s="3719"/>
      <c r="G5447" s="3719"/>
      <c r="H5447" s="3741"/>
      <c r="I5447" s="3741"/>
      <c r="J5447" s="3766"/>
      <c r="K5447" s="3771"/>
      <c r="L5447" s="1923" t="s">
        <v>2739</v>
      </c>
      <c r="M5447" s="2450"/>
      <c r="N5447" s="1904" t="s">
        <v>1090</v>
      </c>
      <c r="O5447" s="1089">
        <f>+J5446/12</f>
        <v>754.16666666666663</v>
      </c>
      <c r="P5447" s="1089">
        <v>754.16666666666663</v>
      </c>
      <c r="Q5447" s="1089">
        <v>754.16666666666663</v>
      </c>
      <c r="R5447" s="1089">
        <v>754.16666666666663</v>
      </c>
      <c r="S5447" s="1089">
        <v>754.16666666666663</v>
      </c>
      <c r="T5447" s="1089">
        <v>754.16666666666663</v>
      </c>
      <c r="U5447" s="1089">
        <v>754.16666666666663</v>
      </c>
      <c r="V5447" s="1089">
        <v>754.16666666666663</v>
      </c>
      <c r="W5447" s="1089">
        <v>754.16666666666663</v>
      </c>
      <c r="X5447" s="1089">
        <v>754.16666666666663</v>
      </c>
      <c r="Y5447" s="1089">
        <v>754.16666666666663</v>
      </c>
      <c r="Z5447" s="1089">
        <v>754.16666666666663</v>
      </c>
      <c r="AA5447" s="2269">
        <f>SUM(O5447:Z5447)</f>
        <v>9050</v>
      </c>
      <c r="AB5447" s="602"/>
    </row>
    <row r="5448" spans="2:28" ht="15.75" x14ac:dyDescent="0.2">
      <c r="B5448" s="740"/>
      <c r="C5448" s="1517"/>
      <c r="D5448" s="1517"/>
      <c r="E5448" s="1517"/>
      <c r="F5448" s="1517"/>
      <c r="G5448" s="877"/>
      <c r="H5448" s="1517"/>
      <c r="I5448" s="1517"/>
      <c r="J5448" s="1812">
        <f>SUM(J5440:J5447)</f>
        <v>3197410</v>
      </c>
      <c r="K5448" s="1157"/>
      <c r="L5448" s="604"/>
      <c r="M5448" s="1502"/>
      <c r="N5448" s="588"/>
      <c r="O5448" s="605"/>
      <c r="P5448" s="3779" t="s">
        <v>2649</v>
      </c>
      <c r="Q5448" s="3780"/>
      <c r="R5448" s="3780"/>
      <c r="S5448" s="3780"/>
      <c r="T5448" s="3780"/>
      <c r="U5448" s="3780"/>
      <c r="V5448" s="3780"/>
      <c r="W5448" s="3780"/>
      <c r="X5448" s="3780"/>
      <c r="Y5448" s="3780"/>
      <c r="Z5448" s="3781"/>
      <c r="AA5448" s="2270">
        <f>SUM(AA5441:AA5447)</f>
        <v>3197409.9999999995</v>
      </c>
      <c r="AB5448" s="606"/>
    </row>
    <row r="5449" spans="2:28" ht="4.5" customHeight="1" x14ac:dyDescent="0.2">
      <c r="B5449" s="3744" t="s">
        <v>13</v>
      </c>
      <c r="C5449" s="3747" t="s">
        <v>2740</v>
      </c>
      <c r="D5449" s="3748"/>
      <c r="E5449" s="3748"/>
      <c r="F5449" s="3748"/>
      <c r="G5449" s="3748"/>
      <c r="H5449" s="3748"/>
      <c r="I5449" s="3748"/>
      <c r="J5449" s="3748"/>
      <c r="K5449" s="3748"/>
      <c r="L5449" s="3748"/>
      <c r="M5449" s="3748"/>
      <c r="N5449" s="3748"/>
      <c r="O5449" s="3748"/>
      <c r="P5449" s="3748"/>
      <c r="Q5449" s="3748"/>
      <c r="R5449" s="3748"/>
      <c r="S5449" s="3748"/>
      <c r="T5449" s="3748"/>
      <c r="U5449" s="3748"/>
      <c r="V5449" s="3748"/>
      <c r="W5449" s="3748"/>
      <c r="X5449" s="3748"/>
      <c r="Y5449" s="3748"/>
      <c r="Z5449" s="3748"/>
      <c r="AA5449" s="3749"/>
      <c r="AB5449" s="583"/>
    </row>
    <row r="5450" spans="2:28" ht="12.75" customHeight="1" x14ac:dyDescent="0.2">
      <c r="B5450" s="3745"/>
      <c r="C5450" s="3750"/>
      <c r="D5450" s="3751"/>
      <c r="E5450" s="3751"/>
      <c r="F5450" s="3751"/>
      <c r="G5450" s="3751"/>
      <c r="H5450" s="3751"/>
      <c r="I5450" s="3751"/>
      <c r="J5450" s="3751"/>
      <c r="K5450" s="3751"/>
      <c r="L5450" s="3751"/>
      <c r="M5450" s="3751"/>
      <c r="N5450" s="3751"/>
      <c r="O5450" s="3751"/>
      <c r="P5450" s="3751"/>
      <c r="Q5450" s="3751"/>
      <c r="R5450" s="3751"/>
      <c r="S5450" s="3751"/>
      <c r="T5450" s="3751"/>
      <c r="U5450" s="3751"/>
      <c r="V5450" s="3751"/>
      <c r="W5450" s="3751"/>
      <c r="X5450" s="3751"/>
      <c r="Y5450" s="3751"/>
      <c r="Z5450" s="3751"/>
      <c r="AA5450" s="3752"/>
      <c r="AB5450" s="583"/>
    </row>
    <row r="5451" spans="2:28" ht="9.75" customHeight="1" x14ac:dyDescent="0.2">
      <c r="B5451" s="3746"/>
      <c r="C5451" s="3753"/>
      <c r="D5451" s="3754"/>
      <c r="E5451" s="3754"/>
      <c r="F5451" s="3754"/>
      <c r="G5451" s="3754"/>
      <c r="H5451" s="3754"/>
      <c r="I5451" s="3754"/>
      <c r="J5451" s="3754"/>
      <c r="K5451" s="3754"/>
      <c r="L5451" s="3754"/>
      <c r="M5451" s="3754"/>
      <c r="N5451" s="3754"/>
      <c r="O5451" s="3754"/>
      <c r="P5451" s="3754"/>
      <c r="Q5451" s="3754"/>
      <c r="R5451" s="3754"/>
      <c r="S5451" s="3754"/>
      <c r="T5451" s="3754"/>
      <c r="U5451" s="3754"/>
      <c r="V5451" s="3754"/>
      <c r="W5451" s="3754"/>
      <c r="X5451" s="3754"/>
      <c r="Y5451" s="3754"/>
      <c r="Z5451" s="3754"/>
      <c r="AA5451" s="3755"/>
      <c r="AB5451" s="583"/>
    </row>
    <row r="5452" spans="2:28" ht="12" customHeight="1" x14ac:dyDescent="0.2">
      <c r="B5452" s="3694" t="s">
        <v>2634</v>
      </c>
      <c r="C5452" s="3696" t="s">
        <v>2635</v>
      </c>
      <c r="D5452" s="3696" t="s">
        <v>23</v>
      </c>
      <c r="E5452" s="3696" t="s">
        <v>164</v>
      </c>
      <c r="F5452" s="3696" t="s">
        <v>25</v>
      </c>
      <c r="G5452" s="3696" t="s">
        <v>26</v>
      </c>
      <c r="H5452" s="3696" t="s">
        <v>27</v>
      </c>
      <c r="I5452" s="3698" t="s">
        <v>28</v>
      </c>
      <c r="J5452" s="3699"/>
      <c r="K5452" s="3696" t="s">
        <v>29</v>
      </c>
      <c r="L5452" s="3696" t="s">
        <v>2726</v>
      </c>
      <c r="M5452" s="3696" t="s">
        <v>530</v>
      </c>
      <c r="N5452" s="3696" t="s">
        <v>2717</v>
      </c>
      <c r="O5452" s="3689" t="s">
        <v>31</v>
      </c>
      <c r="P5452" s="3690"/>
      <c r="Q5452" s="3690"/>
      <c r="R5452" s="3690"/>
      <c r="S5452" s="3690"/>
      <c r="T5452" s="3690"/>
      <c r="U5452" s="3690"/>
      <c r="V5452" s="3690"/>
      <c r="W5452" s="3690"/>
      <c r="X5452" s="3690"/>
      <c r="Y5452" s="3690"/>
      <c r="Z5452" s="3691"/>
      <c r="AA5452" s="3756" t="s">
        <v>32</v>
      </c>
      <c r="AB5452" s="513"/>
    </row>
    <row r="5453" spans="2:28" ht="12" x14ac:dyDescent="0.2">
      <c r="B5453" s="3695"/>
      <c r="C5453" s="3697"/>
      <c r="D5453" s="3697"/>
      <c r="E5453" s="3697"/>
      <c r="F5453" s="3697"/>
      <c r="G5453" s="3697"/>
      <c r="H5453" s="3697"/>
      <c r="I5453" s="1508" t="s">
        <v>33</v>
      </c>
      <c r="J5453" s="1508" t="s">
        <v>34</v>
      </c>
      <c r="K5453" s="3697"/>
      <c r="L5453" s="3697"/>
      <c r="M5453" s="3697"/>
      <c r="N5453" s="3697"/>
      <c r="O5453" s="1509" t="s">
        <v>35</v>
      </c>
      <c r="P5453" s="1509" t="s">
        <v>36</v>
      </c>
      <c r="Q5453" s="1509" t="s">
        <v>37</v>
      </c>
      <c r="R5453" s="1509" t="s">
        <v>38</v>
      </c>
      <c r="S5453" s="1509" t="s">
        <v>39</v>
      </c>
      <c r="T5453" s="1509" t="s">
        <v>40</v>
      </c>
      <c r="U5453" s="1509" t="s">
        <v>41</v>
      </c>
      <c r="V5453" s="1509" t="s">
        <v>42</v>
      </c>
      <c r="W5453" s="1509" t="s">
        <v>2636</v>
      </c>
      <c r="X5453" s="1509" t="s">
        <v>44</v>
      </c>
      <c r="Y5453" s="1509" t="s">
        <v>45</v>
      </c>
      <c r="Z5453" s="1509" t="s">
        <v>46</v>
      </c>
      <c r="AA5453" s="3757"/>
      <c r="AB5453" s="513"/>
    </row>
    <row r="5454" spans="2:28" ht="11.25" customHeight="1" x14ac:dyDescent="0.2">
      <c r="B5454" s="3718" t="s">
        <v>3256</v>
      </c>
      <c r="C5454" s="2438" t="s">
        <v>2741</v>
      </c>
      <c r="D5454" s="3253">
        <v>22</v>
      </c>
      <c r="E5454" s="3777" t="s">
        <v>2742</v>
      </c>
      <c r="F5454" s="3718" t="s">
        <v>2743</v>
      </c>
      <c r="G5454" s="2424" t="s">
        <v>3263</v>
      </c>
      <c r="H5454" s="3769" t="s">
        <v>2744</v>
      </c>
      <c r="I5454" s="3068">
        <f>+[3]DRE!K5524</f>
        <v>0</v>
      </c>
      <c r="J5454" s="3762">
        <v>11008369</v>
      </c>
      <c r="K5454" s="3068" t="s">
        <v>2745</v>
      </c>
      <c r="L5454" s="3772" t="s">
        <v>2746</v>
      </c>
      <c r="M5454" s="3247" t="s">
        <v>2657</v>
      </c>
      <c r="N5454" s="1503" t="s">
        <v>51</v>
      </c>
      <c r="O5454" s="588">
        <v>16</v>
      </c>
      <c r="P5454" s="588">
        <v>16</v>
      </c>
      <c r="Q5454" s="588">
        <v>16</v>
      </c>
      <c r="R5454" s="588">
        <v>16</v>
      </c>
      <c r="S5454" s="588">
        <v>16</v>
      </c>
      <c r="T5454" s="588">
        <v>16</v>
      </c>
      <c r="U5454" s="588">
        <v>16</v>
      </c>
      <c r="V5454" s="588">
        <v>16</v>
      </c>
      <c r="W5454" s="588">
        <v>16</v>
      </c>
      <c r="X5454" s="588">
        <v>16</v>
      </c>
      <c r="Y5454" s="588">
        <v>16</v>
      </c>
      <c r="Z5454" s="588">
        <v>16</v>
      </c>
      <c r="AA5454" s="368"/>
      <c r="AB5454" s="607"/>
    </row>
    <row r="5455" spans="2:28" ht="37.5" customHeight="1" x14ac:dyDescent="0.2">
      <c r="B5455" s="3719"/>
      <c r="C5455" s="2450"/>
      <c r="D5455" s="3255"/>
      <c r="E5455" s="3778"/>
      <c r="F5455" s="3719"/>
      <c r="G5455" s="2425"/>
      <c r="H5455" s="3771"/>
      <c r="I5455" s="3070"/>
      <c r="J5455" s="3763"/>
      <c r="K5455" s="3069"/>
      <c r="L5455" s="3773"/>
      <c r="M5455" s="3249"/>
      <c r="N5455" s="1503" t="s">
        <v>1090</v>
      </c>
      <c r="O5455" s="588">
        <f>+J5454/12</f>
        <v>917364.08333333337</v>
      </c>
      <c r="P5455" s="588">
        <v>917364.08333333337</v>
      </c>
      <c r="Q5455" s="588">
        <v>917364.08333333337</v>
      </c>
      <c r="R5455" s="588">
        <v>917364.08333333337</v>
      </c>
      <c r="S5455" s="588">
        <v>917364.08333333337</v>
      </c>
      <c r="T5455" s="588">
        <v>917364.08333333337</v>
      </c>
      <c r="U5455" s="588">
        <v>917364.08333333337</v>
      </c>
      <c r="V5455" s="588">
        <v>917364.08333333337</v>
      </c>
      <c r="W5455" s="588">
        <v>917364.08333333337</v>
      </c>
      <c r="X5455" s="588">
        <v>917364.08333333337</v>
      </c>
      <c r="Y5455" s="588">
        <v>917364.08333333337</v>
      </c>
      <c r="Z5455" s="588">
        <v>917364.08333333337</v>
      </c>
      <c r="AA5455" s="368">
        <f>SUM(O5455:Z5455)</f>
        <v>11008369</v>
      </c>
      <c r="AB5455" s="607"/>
    </row>
    <row r="5456" spans="2:28" ht="11.25" customHeight="1" x14ac:dyDescent="0.2">
      <c r="B5456" s="3718" t="s">
        <v>3257</v>
      </c>
      <c r="C5456" s="2438" t="s">
        <v>2747</v>
      </c>
      <c r="D5456" s="3253">
        <v>22</v>
      </c>
      <c r="E5456" s="3777" t="s">
        <v>2674</v>
      </c>
      <c r="F5456" s="3718" t="s">
        <v>2748</v>
      </c>
      <c r="G5456" s="2424" t="s">
        <v>3264</v>
      </c>
      <c r="H5456" s="3769" t="s">
        <v>2744</v>
      </c>
      <c r="I5456" s="3762">
        <f>+[3]Bca!J5647+[3]DRE!K5533</f>
        <v>0</v>
      </c>
      <c r="J5456" s="3762">
        <v>166466</v>
      </c>
      <c r="K5456" s="3069"/>
      <c r="L5456" s="2438" t="s">
        <v>2749</v>
      </c>
      <c r="M5456" s="3247" t="s">
        <v>2657</v>
      </c>
      <c r="N5456" s="1503" t="s">
        <v>51</v>
      </c>
      <c r="O5456" s="588">
        <v>1</v>
      </c>
      <c r="P5456" s="588">
        <v>1</v>
      </c>
      <c r="Q5456" s="588">
        <v>1</v>
      </c>
      <c r="R5456" s="588">
        <v>1</v>
      </c>
      <c r="S5456" s="588">
        <v>1</v>
      </c>
      <c r="T5456" s="588">
        <v>1</v>
      </c>
      <c r="U5456" s="588">
        <v>1</v>
      </c>
      <c r="V5456" s="588">
        <v>1</v>
      </c>
      <c r="W5456" s="588">
        <v>1</v>
      </c>
      <c r="X5456" s="588">
        <v>1</v>
      </c>
      <c r="Y5456" s="588">
        <v>1</v>
      </c>
      <c r="Z5456" s="588">
        <v>1</v>
      </c>
      <c r="AA5456" s="368"/>
      <c r="AB5456" s="607"/>
    </row>
    <row r="5457" spans="2:28" ht="33" customHeight="1" x14ac:dyDescent="0.2">
      <c r="B5457" s="3719"/>
      <c r="C5457" s="2450"/>
      <c r="D5457" s="3255"/>
      <c r="E5457" s="3778"/>
      <c r="F5457" s="3719"/>
      <c r="G5457" s="2425"/>
      <c r="H5457" s="3771"/>
      <c r="I5457" s="3763"/>
      <c r="J5457" s="3763"/>
      <c r="K5457" s="3070"/>
      <c r="L5457" s="2450"/>
      <c r="M5457" s="3249"/>
      <c r="N5457" s="1503" t="s">
        <v>1090</v>
      </c>
      <c r="O5457" s="588">
        <f>+J5456/12</f>
        <v>13872.166666666666</v>
      </c>
      <c r="P5457" s="588">
        <v>13872.166666666666</v>
      </c>
      <c r="Q5457" s="588">
        <v>13872.166666666666</v>
      </c>
      <c r="R5457" s="588">
        <v>13872.166666666666</v>
      </c>
      <c r="S5457" s="588">
        <v>13872.166666666666</v>
      </c>
      <c r="T5457" s="588">
        <v>13872.166666666666</v>
      </c>
      <c r="U5457" s="588">
        <v>13872.166666666666</v>
      </c>
      <c r="V5457" s="588">
        <v>13872.166666666666</v>
      </c>
      <c r="W5457" s="588">
        <v>13872.166666666666</v>
      </c>
      <c r="X5457" s="588">
        <v>13872.166666666666</v>
      </c>
      <c r="Y5457" s="588">
        <v>13872.166666666666</v>
      </c>
      <c r="Z5457" s="588">
        <v>13872.166666666666</v>
      </c>
      <c r="AA5457" s="368">
        <f>SUM(O5457:Z5457)</f>
        <v>166466</v>
      </c>
      <c r="AB5457" s="607"/>
    </row>
    <row r="5458" spans="2:28" s="774" customFormat="1" ht="16.5" customHeight="1" x14ac:dyDescent="0.2">
      <c r="B5458" s="448"/>
      <c r="C5458" s="1506"/>
      <c r="D5458" s="1506"/>
      <c r="E5458" s="1506"/>
      <c r="F5458" s="1506"/>
      <c r="G5458" s="1506"/>
      <c r="H5458" s="1506"/>
      <c r="I5458" s="1506"/>
      <c r="J5458" s="608"/>
      <c r="K5458" s="1506"/>
      <c r="L5458" s="1968"/>
      <c r="M5458" s="1968"/>
      <c r="N5458" s="1506"/>
      <c r="O5458" s="3774" t="s">
        <v>2649</v>
      </c>
      <c r="P5458" s="3775"/>
      <c r="Q5458" s="3775"/>
      <c r="R5458" s="3775"/>
      <c r="S5458" s="3775"/>
      <c r="T5458" s="3775"/>
      <c r="U5458" s="3775"/>
      <c r="V5458" s="3775"/>
      <c r="W5458" s="3775"/>
      <c r="X5458" s="3775"/>
      <c r="Y5458" s="3775"/>
      <c r="Z5458" s="3776"/>
      <c r="AA5458" s="2271">
        <f>SUM(AA5454:AA5457)</f>
        <v>11174835</v>
      </c>
      <c r="AB5458" s="775"/>
    </row>
    <row r="5459" spans="2:28" ht="12" customHeight="1" x14ac:dyDescent="0.2">
      <c r="B5459" s="3744" t="s">
        <v>13</v>
      </c>
      <c r="C5459" s="3747" t="s">
        <v>2750</v>
      </c>
      <c r="D5459" s="3748"/>
      <c r="E5459" s="3748"/>
      <c r="F5459" s="3748"/>
      <c r="G5459" s="3748"/>
      <c r="H5459" s="3748"/>
      <c r="I5459" s="3748"/>
      <c r="J5459" s="3748"/>
      <c r="K5459" s="3748"/>
      <c r="L5459" s="3748"/>
      <c r="M5459" s="3748"/>
      <c r="N5459" s="3748"/>
      <c r="O5459" s="3748"/>
      <c r="P5459" s="3748"/>
      <c r="Q5459" s="3748"/>
      <c r="R5459" s="3748"/>
      <c r="S5459" s="3748"/>
      <c r="T5459" s="3748"/>
      <c r="U5459" s="3748"/>
      <c r="V5459" s="3748"/>
      <c r="W5459" s="3748"/>
      <c r="X5459" s="3748"/>
      <c r="Y5459" s="3748"/>
      <c r="Z5459" s="3748"/>
      <c r="AA5459" s="3749"/>
      <c r="AB5459" s="583"/>
    </row>
    <row r="5460" spans="2:28" ht="9" customHeight="1" x14ac:dyDescent="0.2">
      <c r="B5460" s="3745"/>
      <c r="C5460" s="3750"/>
      <c r="D5460" s="3751"/>
      <c r="E5460" s="3751"/>
      <c r="F5460" s="3751"/>
      <c r="G5460" s="3751"/>
      <c r="H5460" s="3751"/>
      <c r="I5460" s="3751"/>
      <c r="J5460" s="3751"/>
      <c r="K5460" s="3751"/>
      <c r="L5460" s="3751"/>
      <c r="M5460" s="3751"/>
      <c r="N5460" s="3751"/>
      <c r="O5460" s="3751"/>
      <c r="P5460" s="3751"/>
      <c r="Q5460" s="3751"/>
      <c r="R5460" s="3751"/>
      <c r="S5460" s="3751"/>
      <c r="T5460" s="3751"/>
      <c r="U5460" s="3751"/>
      <c r="V5460" s="3751"/>
      <c r="W5460" s="3751"/>
      <c r="X5460" s="3751"/>
      <c r="Y5460" s="3751"/>
      <c r="Z5460" s="3751"/>
      <c r="AA5460" s="3752"/>
      <c r="AB5460" s="583"/>
    </row>
    <row r="5461" spans="2:28" ht="3.75" customHeight="1" x14ac:dyDescent="0.2">
      <c r="B5461" s="3746"/>
      <c r="C5461" s="3753"/>
      <c r="D5461" s="3754"/>
      <c r="E5461" s="3754"/>
      <c r="F5461" s="3754"/>
      <c r="G5461" s="3754"/>
      <c r="H5461" s="3754"/>
      <c r="I5461" s="3754"/>
      <c r="J5461" s="3754"/>
      <c r="K5461" s="3754"/>
      <c r="L5461" s="3754"/>
      <c r="M5461" s="3754"/>
      <c r="N5461" s="3754"/>
      <c r="O5461" s="3754"/>
      <c r="P5461" s="3754"/>
      <c r="Q5461" s="3754"/>
      <c r="R5461" s="3754"/>
      <c r="S5461" s="3754"/>
      <c r="T5461" s="3754"/>
      <c r="U5461" s="3754"/>
      <c r="V5461" s="3754"/>
      <c r="W5461" s="3754"/>
      <c r="X5461" s="3754"/>
      <c r="Y5461" s="3754"/>
      <c r="Z5461" s="3754"/>
      <c r="AA5461" s="3755"/>
      <c r="AB5461" s="583"/>
    </row>
    <row r="5462" spans="2:28" ht="20.25" customHeight="1" x14ac:dyDescent="0.2">
      <c r="B5462" s="3706" t="s">
        <v>2634</v>
      </c>
      <c r="C5462" s="3708" t="s">
        <v>2635</v>
      </c>
      <c r="D5462" s="3708" t="s">
        <v>23</v>
      </c>
      <c r="E5462" s="3708" t="s">
        <v>164</v>
      </c>
      <c r="F5462" s="3708" t="s">
        <v>25</v>
      </c>
      <c r="G5462" s="3708" t="s">
        <v>26</v>
      </c>
      <c r="H5462" s="3708" t="s">
        <v>27</v>
      </c>
      <c r="I5462" s="3725" t="s">
        <v>28</v>
      </c>
      <c r="J5462" s="3726"/>
      <c r="K5462" s="3708" t="s">
        <v>29</v>
      </c>
      <c r="L5462" s="3708" t="s">
        <v>2726</v>
      </c>
      <c r="M5462" s="3708" t="s">
        <v>530</v>
      </c>
      <c r="N5462" s="743" t="s">
        <v>2717</v>
      </c>
      <c r="O5462" s="3733" t="s">
        <v>31</v>
      </c>
      <c r="P5462" s="3734"/>
      <c r="Q5462" s="3734"/>
      <c r="R5462" s="3734"/>
      <c r="S5462" s="3734"/>
      <c r="T5462" s="3734"/>
      <c r="U5462" s="3734"/>
      <c r="V5462" s="3734"/>
      <c r="W5462" s="3734"/>
      <c r="X5462" s="3734"/>
      <c r="Y5462" s="3734"/>
      <c r="Z5462" s="3735"/>
      <c r="AA5462" s="3736" t="s">
        <v>32</v>
      </c>
      <c r="AB5462" s="513"/>
    </row>
    <row r="5463" spans="2:28" ht="11.25" customHeight="1" x14ac:dyDescent="0.2">
      <c r="B5463" s="3707"/>
      <c r="C5463" s="3709"/>
      <c r="D5463" s="3709"/>
      <c r="E5463" s="3709"/>
      <c r="F5463" s="3709"/>
      <c r="G5463" s="3709"/>
      <c r="H5463" s="3709"/>
      <c r="I5463" s="743" t="s">
        <v>33</v>
      </c>
      <c r="J5463" s="584" t="s">
        <v>34</v>
      </c>
      <c r="K5463" s="3709"/>
      <c r="L5463" s="3709"/>
      <c r="M5463" s="3709"/>
      <c r="N5463" s="743"/>
      <c r="O5463" s="742" t="s">
        <v>35</v>
      </c>
      <c r="P5463" s="742" t="s">
        <v>36</v>
      </c>
      <c r="Q5463" s="742" t="s">
        <v>37</v>
      </c>
      <c r="R5463" s="742" t="s">
        <v>38</v>
      </c>
      <c r="S5463" s="742" t="s">
        <v>39</v>
      </c>
      <c r="T5463" s="742" t="s">
        <v>40</v>
      </c>
      <c r="U5463" s="742" t="s">
        <v>41</v>
      </c>
      <c r="V5463" s="742" t="s">
        <v>42</v>
      </c>
      <c r="W5463" s="742" t="s">
        <v>2636</v>
      </c>
      <c r="X5463" s="742" t="s">
        <v>44</v>
      </c>
      <c r="Y5463" s="742" t="s">
        <v>45</v>
      </c>
      <c r="Z5463" s="742" t="s">
        <v>46</v>
      </c>
      <c r="AA5463" s="3737"/>
      <c r="AB5463" s="513"/>
    </row>
    <row r="5464" spans="2:28" ht="11.25" customHeight="1" x14ac:dyDescent="0.2">
      <c r="B5464" s="3718" t="s">
        <v>1350</v>
      </c>
      <c r="C5464" s="2438" t="s">
        <v>1085</v>
      </c>
      <c r="D5464" s="2949">
        <v>22</v>
      </c>
      <c r="E5464" s="3739" t="s">
        <v>165</v>
      </c>
      <c r="F5464" s="3718" t="s">
        <v>2751</v>
      </c>
      <c r="G5464" s="2732" t="s">
        <v>3266</v>
      </c>
      <c r="H5464" s="3760" t="s">
        <v>661</v>
      </c>
      <c r="I5464" s="3760"/>
      <c r="J5464" s="3765">
        <v>23496447.82</v>
      </c>
      <c r="K5464" s="3760" t="s">
        <v>2752</v>
      </c>
      <c r="L5464" s="3782" t="s">
        <v>2753</v>
      </c>
      <c r="M5464" s="3247" t="s">
        <v>2657</v>
      </c>
      <c r="N5464" s="1504" t="s">
        <v>51</v>
      </c>
      <c r="O5464" s="38"/>
      <c r="P5464" s="38"/>
      <c r="Q5464" s="38"/>
      <c r="R5464" s="38"/>
      <c r="S5464" s="38"/>
      <c r="T5464" s="38"/>
      <c r="U5464" s="38"/>
      <c r="V5464" s="38"/>
      <c r="W5464" s="38"/>
      <c r="X5464" s="38"/>
      <c r="Y5464" s="38"/>
      <c r="Z5464" s="38"/>
      <c r="AA5464" s="38"/>
      <c r="AB5464" s="607"/>
    </row>
    <row r="5465" spans="2:28" x14ac:dyDescent="0.2">
      <c r="B5465" s="3719"/>
      <c r="C5465" s="2450"/>
      <c r="D5465" s="2951"/>
      <c r="E5465" s="3741"/>
      <c r="F5465" s="3719"/>
      <c r="G5465" s="2733"/>
      <c r="H5465" s="3761"/>
      <c r="I5465" s="3761"/>
      <c r="J5465" s="3766"/>
      <c r="K5465" s="3761"/>
      <c r="L5465" s="3783"/>
      <c r="M5465" s="3249"/>
      <c r="N5465" s="1504" t="s">
        <v>111</v>
      </c>
      <c r="O5465" s="355">
        <f>+J5464/12</f>
        <v>1958037.3183333334</v>
      </c>
      <c r="P5465" s="1515">
        <v>1958037.3183333334</v>
      </c>
      <c r="Q5465" s="1515">
        <v>1958037.3183333334</v>
      </c>
      <c r="R5465" s="1515">
        <v>1958037.3183333334</v>
      </c>
      <c r="S5465" s="1515">
        <v>1958037.3183333334</v>
      </c>
      <c r="T5465" s="1515">
        <v>1958037.3183333334</v>
      </c>
      <c r="U5465" s="1515">
        <v>1958037.3183333334</v>
      </c>
      <c r="V5465" s="1515">
        <v>1958037.3183333334</v>
      </c>
      <c r="W5465" s="1515">
        <v>1958037.3183333334</v>
      </c>
      <c r="X5465" s="1515">
        <v>1958037.3183333334</v>
      </c>
      <c r="Y5465" s="1515">
        <v>1958037.3183333334</v>
      </c>
      <c r="Z5465" s="1515">
        <v>1958037.3183333334</v>
      </c>
      <c r="AA5465" s="1514">
        <f>SUM(O5465:Z5465)</f>
        <v>23496447.820000008</v>
      </c>
      <c r="AB5465" s="607"/>
    </row>
    <row r="5466" spans="2:28" ht="15.75" x14ac:dyDescent="0.2">
      <c r="B5466" s="741"/>
      <c r="C5466" s="1500"/>
      <c r="D5466" s="1516"/>
      <c r="E5466" s="1517"/>
      <c r="F5466" s="1517"/>
      <c r="G5466" s="877"/>
      <c r="H5466" s="1521"/>
      <c r="I5466" s="1519"/>
      <c r="J5466" s="38"/>
      <c r="K5466" s="1510"/>
      <c r="L5466" s="1158"/>
      <c r="M5466" s="1502"/>
      <c r="N5466" s="609"/>
      <c r="O5466" s="3779" t="s">
        <v>2649</v>
      </c>
      <c r="P5466" s="3780"/>
      <c r="Q5466" s="3780"/>
      <c r="R5466" s="3780"/>
      <c r="S5466" s="3780"/>
      <c r="T5466" s="3780"/>
      <c r="U5466" s="3780"/>
      <c r="V5466" s="3780"/>
      <c r="W5466" s="3780"/>
      <c r="X5466" s="3780"/>
      <c r="Y5466" s="3780"/>
      <c r="Z5466" s="3781"/>
      <c r="AA5466" s="1813"/>
      <c r="AB5466" s="610"/>
    </row>
    <row r="5467" spans="2:28" ht="7.5" customHeight="1" x14ac:dyDescent="0.2">
      <c r="B5467" s="3744" t="s">
        <v>13</v>
      </c>
      <c r="C5467" s="3747" t="s">
        <v>2754</v>
      </c>
      <c r="D5467" s="3748"/>
      <c r="E5467" s="3748"/>
      <c r="F5467" s="3748"/>
      <c r="G5467" s="3748"/>
      <c r="H5467" s="3748"/>
      <c r="I5467" s="3748"/>
      <c r="J5467" s="3748"/>
      <c r="K5467" s="3748"/>
      <c r="L5467" s="3748"/>
      <c r="M5467" s="3748"/>
      <c r="N5467" s="3748"/>
      <c r="O5467" s="3748"/>
      <c r="P5467" s="3748"/>
      <c r="Q5467" s="3748"/>
      <c r="R5467" s="3748"/>
      <c r="S5467" s="3748"/>
      <c r="T5467" s="3748"/>
      <c r="U5467" s="3748"/>
      <c r="V5467" s="3748"/>
      <c r="W5467" s="3748"/>
      <c r="X5467" s="3748"/>
      <c r="Y5467" s="3748"/>
      <c r="Z5467" s="3748"/>
      <c r="AA5467" s="3749"/>
      <c r="AB5467" s="583"/>
    </row>
    <row r="5468" spans="2:28" ht="7.5" customHeight="1" x14ac:dyDescent="0.2">
      <c r="B5468" s="3745"/>
      <c r="C5468" s="3750"/>
      <c r="D5468" s="3751"/>
      <c r="E5468" s="3751"/>
      <c r="F5468" s="3751"/>
      <c r="G5468" s="3751"/>
      <c r="H5468" s="3751"/>
      <c r="I5468" s="3751"/>
      <c r="J5468" s="3751"/>
      <c r="K5468" s="3751"/>
      <c r="L5468" s="3751"/>
      <c r="M5468" s="3751"/>
      <c r="N5468" s="3751"/>
      <c r="O5468" s="3751"/>
      <c r="P5468" s="3751"/>
      <c r="Q5468" s="3751"/>
      <c r="R5468" s="3751"/>
      <c r="S5468" s="3751"/>
      <c r="T5468" s="3751"/>
      <c r="U5468" s="3751"/>
      <c r="V5468" s="3751"/>
      <c r="W5468" s="3751"/>
      <c r="X5468" s="3751"/>
      <c r="Y5468" s="3751"/>
      <c r="Z5468" s="3751"/>
      <c r="AA5468" s="3752"/>
      <c r="AB5468" s="583"/>
    </row>
    <row r="5469" spans="2:28" ht="6" customHeight="1" x14ac:dyDescent="0.2">
      <c r="B5469" s="3746"/>
      <c r="C5469" s="3753"/>
      <c r="D5469" s="3754"/>
      <c r="E5469" s="3754"/>
      <c r="F5469" s="3754"/>
      <c r="G5469" s="3754"/>
      <c r="H5469" s="3754"/>
      <c r="I5469" s="3754"/>
      <c r="J5469" s="3754"/>
      <c r="K5469" s="3754"/>
      <c r="L5469" s="3754"/>
      <c r="M5469" s="3754"/>
      <c r="N5469" s="3754"/>
      <c r="O5469" s="3754"/>
      <c r="P5469" s="3754"/>
      <c r="Q5469" s="3754"/>
      <c r="R5469" s="3754"/>
      <c r="S5469" s="3754"/>
      <c r="T5469" s="3754"/>
      <c r="U5469" s="3754"/>
      <c r="V5469" s="3754"/>
      <c r="W5469" s="3754"/>
      <c r="X5469" s="3754"/>
      <c r="Y5469" s="3754"/>
      <c r="Z5469" s="3754"/>
      <c r="AA5469" s="3755"/>
      <c r="AB5469" s="611"/>
    </row>
    <row r="5470" spans="2:28" ht="12" customHeight="1" x14ac:dyDescent="0.2">
      <c r="B5470" s="3706" t="s">
        <v>2634</v>
      </c>
      <c r="C5470" s="3708" t="s">
        <v>2635</v>
      </c>
      <c r="D5470" s="3708" t="s">
        <v>23</v>
      </c>
      <c r="E5470" s="3708" t="s">
        <v>164</v>
      </c>
      <c r="F5470" s="3708" t="s">
        <v>25</v>
      </c>
      <c r="G5470" s="3708" t="s">
        <v>26</v>
      </c>
      <c r="H5470" s="3708" t="s">
        <v>27</v>
      </c>
      <c r="I5470" s="3725" t="s">
        <v>28</v>
      </c>
      <c r="J5470" s="3726"/>
      <c r="K5470" s="3708" t="s">
        <v>29</v>
      </c>
      <c r="L5470" s="3708" t="s">
        <v>2726</v>
      </c>
      <c r="M5470" s="3708" t="s">
        <v>530</v>
      </c>
      <c r="N5470" s="3708" t="s">
        <v>2717</v>
      </c>
      <c r="O5470" s="612" t="s">
        <v>31</v>
      </c>
      <c r="P5470" s="613"/>
      <c r="Q5470" s="612"/>
      <c r="R5470" s="612"/>
      <c r="S5470" s="612"/>
      <c r="T5470" s="612"/>
      <c r="U5470" s="612"/>
      <c r="V5470" s="612"/>
      <c r="W5470" s="612"/>
      <c r="X5470" s="612"/>
      <c r="Y5470" s="612"/>
      <c r="Z5470" s="612"/>
      <c r="AA5470" s="3736" t="s">
        <v>32</v>
      </c>
      <c r="AB5470" s="227"/>
    </row>
    <row r="5471" spans="2:28" ht="12" x14ac:dyDescent="0.2">
      <c r="B5471" s="3707"/>
      <c r="C5471" s="3709"/>
      <c r="D5471" s="3709"/>
      <c r="E5471" s="3709"/>
      <c r="F5471" s="3709"/>
      <c r="G5471" s="3709"/>
      <c r="H5471" s="3709"/>
      <c r="I5471" s="743" t="s">
        <v>33</v>
      </c>
      <c r="J5471" s="584" t="s">
        <v>34</v>
      </c>
      <c r="K5471" s="3709"/>
      <c r="L5471" s="3709"/>
      <c r="M5471" s="3709"/>
      <c r="N5471" s="3709"/>
      <c r="O5471" s="742" t="s">
        <v>35</v>
      </c>
      <c r="P5471" s="742" t="s">
        <v>36</v>
      </c>
      <c r="Q5471" s="742" t="s">
        <v>37</v>
      </c>
      <c r="R5471" s="742" t="s">
        <v>38</v>
      </c>
      <c r="S5471" s="742" t="s">
        <v>39</v>
      </c>
      <c r="T5471" s="742" t="s">
        <v>40</v>
      </c>
      <c r="U5471" s="742" t="s">
        <v>41</v>
      </c>
      <c r="V5471" s="742" t="s">
        <v>42</v>
      </c>
      <c r="W5471" s="742" t="s">
        <v>2636</v>
      </c>
      <c r="X5471" s="742" t="s">
        <v>44</v>
      </c>
      <c r="Y5471" s="742" t="s">
        <v>45</v>
      </c>
      <c r="Z5471" s="742" t="s">
        <v>46</v>
      </c>
      <c r="AA5471" s="3737"/>
      <c r="AB5471" s="227"/>
    </row>
    <row r="5472" spans="2:28" ht="11.25" customHeight="1" x14ac:dyDescent="0.2">
      <c r="B5472" s="3718" t="s">
        <v>3259</v>
      </c>
      <c r="C5472" s="2438" t="s">
        <v>2755</v>
      </c>
      <c r="D5472" s="2949">
        <v>22</v>
      </c>
      <c r="E5472" s="3784" t="s">
        <v>2756</v>
      </c>
      <c r="F5472" s="3718" t="s">
        <v>2757</v>
      </c>
      <c r="G5472" s="3584" t="s">
        <v>3267</v>
      </c>
      <c r="H5472" s="3563" t="s">
        <v>2758</v>
      </c>
      <c r="I5472" s="3563"/>
      <c r="J5472" s="3595">
        <v>2587248</v>
      </c>
      <c r="K5472" s="3563" t="s">
        <v>2759</v>
      </c>
      <c r="L5472" s="3222" t="s">
        <v>2760</v>
      </c>
      <c r="M5472" s="2840" t="s">
        <v>2657</v>
      </c>
      <c r="N5472" s="1503" t="s">
        <v>51</v>
      </c>
      <c r="O5472" s="1010"/>
      <c r="P5472" s="1088"/>
      <c r="Q5472" s="1054"/>
      <c r="R5472" s="1054"/>
      <c r="S5472" s="1054"/>
      <c r="T5472" s="1054"/>
      <c r="U5472" s="1054"/>
      <c r="V5472" s="1054"/>
      <c r="W5472" s="1054"/>
      <c r="X5472" s="1054"/>
      <c r="Y5472" s="1054"/>
      <c r="Z5472" s="1054"/>
      <c r="AA5472" s="1054"/>
      <c r="AB5472" s="607"/>
    </row>
    <row r="5473" spans="2:28" ht="45" customHeight="1" x14ac:dyDescent="0.2">
      <c r="B5473" s="3719"/>
      <c r="C5473" s="2450"/>
      <c r="D5473" s="2951"/>
      <c r="E5473" s="3785"/>
      <c r="F5473" s="3719"/>
      <c r="G5473" s="3584"/>
      <c r="H5473" s="3563"/>
      <c r="I5473" s="3563"/>
      <c r="J5473" s="3595"/>
      <c r="K5473" s="3563"/>
      <c r="L5473" s="3222"/>
      <c r="M5473" s="2840"/>
      <c r="N5473" s="1503" t="s">
        <v>111</v>
      </c>
      <c r="O5473" s="355">
        <f>+J5472/12</f>
        <v>215604</v>
      </c>
      <c r="P5473" s="1089">
        <v>215604</v>
      </c>
      <c r="Q5473" s="1089">
        <v>215604</v>
      </c>
      <c r="R5473" s="1089">
        <v>215604</v>
      </c>
      <c r="S5473" s="1089">
        <v>215604</v>
      </c>
      <c r="T5473" s="1089">
        <v>215604</v>
      </c>
      <c r="U5473" s="1089">
        <v>215604</v>
      </c>
      <c r="V5473" s="1089">
        <v>215604</v>
      </c>
      <c r="W5473" s="1089">
        <v>215604</v>
      </c>
      <c r="X5473" s="1089">
        <v>215604</v>
      </c>
      <c r="Y5473" s="1089">
        <v>215604</v>
      </c>
      <c r="Z5473" s="1089">
        <v>215604</v>
      </c>
      <c r="AA5473" s="92">
        <f>SUM(O5473:Z5473)</f>
        <v>2587248</v>
      </c>
      <c r="AB5473" s="614"/>
    </row>
    <row r="5474" spans="2:28" ht="11.25" customHeight="1" x14ac:dyDescent="0.2">
      <c r="B5474" s="3718" t="s">
        <v>2761</v>
      </c>
      <c r="C5474" s="2438" t="s">
        <v>2762</v>
      </c>
      <c r="D5474" s="2949">
        <v>22</v>
      </c>
      <c r="E5474" s="3739" t="s">
        <v>2763</v>
      </c>
      <c r="F5474" s="3718" t="s">
        <v>2764</v>
      </c>
      <c r="G5474" s="3584" t="s">
        <v>3268</v>
      </c>
      <c r="H5474" s="3563" t="s">
        <v>235</v>
      </c>
      <c r="I5474" s="3563">
        <v>1</v>
      </c>
      <c r="J5474" s="3595">
        <v>26167251</v>
      </c>
      <c r="K5474" s="3563"/>
      <c r="L5474" s="3222"/>
      <c r="M5474" s="2840"/>
      <c r="N5474" s="1503" t="s">
        <v>51</v>
      </c>
      <c r="O5474" s="1010"/>
      <c r="P5474" s="1048"/>
      <c r="Q5474" s="1054"/>
      <c r="R5474" s="1054"/>
      <c r="S5474" s="1054"/>
      <c r="T5474" s="1054"/>
      <c r="U5474" s="1054"/>
      <c r="V5474" s="1054"/>
      <c r="W5474" s="1054"/>
      <c r="X5474" s="1054"/>
      <c r="Y5474" s="1054"/>
      <c r="Z5474" s="1054"/>
      <c r="AA5474" s="368"/>
      <c r="AB5474" s="614"/>
    </row>
    <row r="5475" spans="2:28" ht="39" customHeight="1" x14ac:dyDescent="0.2">
      <c r="B5475" s="3719"/>
      <c r="C5475" s="2450"/>
      <c r="D5475" s="2951"/>
      <c r="E5475" s="3741"/>
      <c r="F5475" s="3719"/>
      <c r="G5475" s="3584"/>
      <c r="H5475" s="3563"/>
      <c r="I5475" s="3563"/>
      <c r="J5475" s="3595"/>
      <c r="K5475" s="3563"/>
      <c r="L5475" s="3222"/>
      <c r="M5475" s="2840"/>
      <c r="N5475" s="1503" t="s">
        <v>111</v>
      </c>
      <c r="O5475" s="355">
        <f>+J5474/12</f>
        <v>2180604.25</v>
      </c>
      <c r="P5475" s="1089">
        <v>2180604.25</v>
      </c>
      <c r="Q5475" s="1089">
        <v>2180604.25</v>
      </c>
      <c r="R5475" s="1089">
        <v>2180604.25</v>
      </c>
      <c r="S5475" s="1089">
        <v>2180604.25</v>
      </c>
      <c r="T5475" s="1089">
        <v>2180604.25</v>
      </c>
      <c r="U5475" s="1089">
        <v>2180604.25</v>
      </c>
      <c r="V5475" s="1089">
        <v>2180604.25</v>
      </c>
      <c r="W5475" s="1089">
        <v>2180604.25</v>
      </c>
      <c r="X5475" s="1089">
        <v>2180604.25</v>
      </c>
      <c r="Y5475" s="1089">
        <v>2180604.25</v>
      </c>
      <c r="Z5475" s="1089">
        <v>2180604.25</v>
      </c>
      <c r="AA5475" s="368">
        <f>SUM(O5475:Z5475)</f>
        <v>26167251</v>
      </c>
      <c r="AB5475" s="614"/>
    </row>
    <row r="5476" spans="2:28" ht="11.25" customHeight="1" x14ac:dyDescent="0.2">
      <c r="B5476" s="3718" t="s">
        <v>3258</v>
      </c>
      <c r="C5476" s="2438" t="s">
        <v>3682</v>
      </c>
      <c r="D5476" s="2949">
        <v>22</v>
      </c>
      <c r="E5476" s="3739" t="s">
        <v>2763</v>
      </c>
      <c r="F5476" s="3718" t="s">
        <v>2764</v>
      </c>
      <c r="G5476" s="3584" t="s">
        <v>3269</v>
      </c>
      <c r="H5476" s="3563" t="s">
        <v>2758</v>
      </c>
      <c r="I5476" s="3563"/>
      <c r="J5476" s="3595">
        <v>251871</v>
      </c>
      <c r="K5476" s="3563"/>
      <c r="L5476" s="3222"/>
      <c r="M5476" s="2840"/>
      <c r="N5476" s="1503" t="s">
        <v>51</v>
      </c>
      <c r="O5476" s="1010"/>
      <c r="P5476" s="1048"/>
      <c r="Q5476" s="1054"/>
      <c r="R5476" s="1054"/>
      <c r="S5476" s="1054"/>
      <c r="T5476" s="1054"/>
      <c r="U5476" s="1054"/>
      <c r="V5476" s="1054"/>
      <c r="W5476" s="1054"/>
      <c r="X5476" s="1054"/>
      <c r="Y5476" s="1054"/>
      <c r="Z5476" s="1054"/>
      <c r="AA5476" s="368"/>
      <c r="AB5476" s="614"/>
    </row>
    <row r="5477" spans="2:28" ht="31.5" customHeight="1" x14ac:dyDescent="0.2">
      <c r="B5477" s="3719"/>
      <c r="C5477" s="2450"/>
      <c r="D5477" s="2951"/>
      <c r="E5477" s="3741"/>
      <c r="F5477" s="3719"/>
      <c r="G5477" s="3584"/>
      <c r="H5477" s="3563"/>
      <c r="I5477" s="3563"/>
      <c r="J5477" s="3595"/>
      <c r="K5477" s="3563"/>
      <c r="L5477" s="3222"/>
      <c r="M5477" s="2840"/>
      <c r="N5477" s="1503" t="s">
        <v>111</v>
      </c>
      <c r="O5477" s="355">
        <f>+J5476/12</f>
        <v>20989.25</v>
      </c>
      <c r="P5477" s="1089">
        <v>20989.25</v>
      </c>
      <c r="Q5477" s="1089">
        <v>20989.25</v>
      </c>
      <c r="R5477" s="1089">
        <v>20989.25</v>
      </c>
      <c r="S5477" s="1089">
        <v>20989.25</v>
      </c>
      <c r="T5477" s="1089">
        <v>20989.25</v>
      </c>
      <c r="U5477" s="1089">
        <v>20989.25</v>
      </c>
      <c r="V5477" s="1089">
        <v>20989.25</v>
      </c>
      <c r="W5477" s="1089">
        <v>20989.25</v>
      </c>
      <c r="X5477" s="1089">
        <v>20989.25</v>
      </c>
      <c r="Y5477" s="1089">
        <v>20989.25</v>
      </c>
      <c r="Z5477" s="1089">
        <v>20989.25</v>
      </c>
      <c r="AA5477" s="368">
        <f>SUM(O5477:Z5477)</f>
        <v>251871</v>
      </c>
      <c r="AB5477" s="614"/>
    </row>
    <row r="5478" spans="2:28" ht="11.25" customHeight="1" x14ac:dyDescent="0.2">
      <c r="B5478" s="3718" t="s">
        <v>3258</v>
      </c>
      <c r="C5478" s="2438" t="s">
        <v>3685</v>
      </c>
      <c r="D5478" s="2949">
        <v>22</v>
      </c>
      <c r="E5478" s="3739" t="s">
        <v>2763</v>
      </c>
      <c r="F5478" s="3718" t="s">
        <v>2764</v>
      </c>
      <c r="G5478" s="3584" t="s">
        <v>3271</v>
      </c>
      <c r="H5478" s="3563" t="s">
        <v>2758</v>
      </c>
      <c r="I5478" s="3563"/>
      <c r="J5478" s="3595">
        <v>726588</v>
      </c>
      <c r="K5478" s="3563"/>
      <c r="L5478" s="3222"/>
      <c r="M5478" s="2840"/>
      <c r="N5478" s="1503" t="s">
        <v>51</v>
      </c>
      <c r="O5478" s="1010"/>
      <c r="P5478" s="1048"/>
      <c r="Q5478" s="1086"/>
      <c r="R5478" s="1086"/>
      <c r="S5478" s="1086"/>
      <c r="T5478" s="1086"/>
      <c r="U5478" s="1086"/>
      <c r="V5478" s="1086"/>
      <c r="W5478" s="1086"/>
      <c r="X5478" s="1086"/>
      <c r="Y5478" s="1086"/>
      <c r="Z5478" s="1086"/>
      <c r="AA5478" s="368"/>
      <c r="AB5478" s="614"/>
    </row>
    <row r="5479" spans="2:28" x14ac:dyDescent="0.2">
      <c r="B5479" s="3719"/>
      <c r="C5479" s="2450"/>
      <c r="D5479" s="2951"/>
      <c r="E5479" s="3741"/>
      <c r="F5479" s="3719"/>
      <c r="G5479" s="3584"/>
      <c r="H5479" s="3563"/>
      <c r="I5479" s="3563"/>
      <c r="J5479" s="3595"/>
      <c r="K5479" s="3563"/>
      <c r="L5479" s="3222"/>
      <c r="M5479" s="2840"/>
      <c r="N5479" s="1503" t="s">
        <v>111</v>
      </c>
      <c r="O5479" s="355">
        <f>+J5478/12</f>
        <v>60549</v>
      </c>
      <c r="P5479" s="1089">
        <v>60549</v>
      </c>
      <c r="Q5479" s="1089">
        <v>60549</v>
      </c>
      <c r="R5479" s="1089">
        <v>60549</v>
      </c>
      <c r="S5479" s="1089">
        <v>60549</v>
      </c>
      <c r="T5479" s="1089">
        <v>60549</v>
      </c>
      <c r="U5479" s="1089">
        <v>60549</v>
      </c>
      <c r="V5479" s="1089">
        <v>60549</v>
      </c>
      <c r="W5479" s="1089">
        <v>60549</v>
      </c>
      <c r="X5479" s="1089">
        <v>60549</v>
      </c>
      <c r="Y5479" s="1089">
        <v>60549</v>
      </c>
      <c r="Z5479" s="1089">
        <v>60549</v>
      </c>
      <c r="AA5479" s="368">
        <f>SUM(O5479:Z5479)</f>
        <v>726588</v>
      </c>
      <c r="AB5479" s="614"/>
    </row>
    <row r="5480" spans="2:28" ht="11.25" customHeight="1" x14ac:dyDescent="0.2">
      <c r="B5480" s="3718" t="s">
        <v>2765</v>
      </c>
      <c r="C5480" s="2438" t="s">
        <v>3683</v>
      </c>
      <c r="D5480" s="2949">
        <v>22</v>
      </c>
      <c r="E5480" s="3739" t="s">
        <v>2763</v>
      </c>
      <c r="F5480" s="3718" t="s">
        <v>2764</v>
      </c>
      <c r="G5480" s="3584" t="s">
        <v>2766</v>
      </c>
      <c r="H5480" s="3563" t="s">
        <v>2758</v>
      </c>
      <c r="I5480" s="3563"/>
      <c r="J5480" s="3595">
        <v>2262899</v>
      </c>
      <c r="K5480" s="3563"/>
      <c r="L5480" s="3222"/>
      <c r="M5480" s="2840"/>
      <c r="N5480" s="1503" t="s">
        <v>51</v>
      </c>
      <c r="O5480" s="355"/>
      <c r="P5480" s="1089"/>
      <c r="Q5480" s="1089"/>
      <c r="R5480" s="1089"/>
      <c r="S5480" s="1089"/>
      <c r="T5480" s="1089"/>
      <c r="U5480" s="1089"/>
      <c r="V5480" s="1089"/>
      <c r="W5480" s="1089"/>
      <c r="X5480" s="1089"/>
      <c r="Y5480" s="1089"/>
      <c r="Z5480" s="1089"/>
      <c r="AA5480" s="368"/>
      <c r="AB5480" s="614"/>
    </row>
    <row r="5481" spans="2:28" x14ac:dyDescent="0.2">
      <c r="B5481" s="3719"/>
      <c r="C5481" s="2450"/>
      <c r="D5481" s="2951"/>
      <c r="E5481" s="3741"/>
      <c r="F5481" s="3719"/>
      <c r="G5481" s="3584"/>
      <c r="H5481" s="3563"/>
      <c r="I5481" s="3563"/>
      <c r="J5481" s="3595"/>
      <c r="K5481" s="3563"/>
      <c r="L5481" s="3222"/>
      <c r="M5481" s="2840"/>
      <c r="N5481" s="1503" t="s">
        <v>111</v>
      </c>
      <c r="O5481" s="355">
        <f>+J5480/12</f>
        <v>188574.91666666666</v>
      </c>
      <c r="P5481" s="1089">
        <v>188574.91666666666</v>
      </c>
      <c r="Q5481" s="1089">
        <v>188574.91666666666</v>
      </c>
      <c r="R5481" s="1089">
        <v>188574.91666666666</v>
      </c>
      <c r="S5481" s="1089">
        <v>188574.91666666666</v>
      </c>
      <c r="T5481" s="1089">
        <v>188574.91666666666</v>
      </c>
      <c r="U5481" s="1089">
        <v>188574.91666666666</v>
      </c>
      <c r="V5481" s="1089">
        <v>188574.91666666666</v>
      </c>
      <c r="W5481" s="1089">
        <v>188574.91666666666</v>
      </c>
      <c r="X5481" s="1089">
        <v>188574.91666666666</v>
      </c>
      <c r="Y5481" s="1089">
        <v>188574.91666666666</v>
      </c>
      <c r="Z5481" s="1089">
        <v>188574.91666666666</v>
      </c>
      <c r="AA5481" s="368">
        <f>SUM(O5481:Z5481)</f>
        <v>2262899.0000000005</v>
      </c>
      <c r="AB5481" s="614"/>
    </row>
    <row r="5482" spans="2:28" ht="11.25" customHeight="1" x14ac:dyDescent="0.2">
      <c r="B5482" s="3718" t="s">
        <v>2765</v>
      </c>
      <c r="C5482" s="2438" t="s">
        <v>3684</v>
      </c>
      <c r="D5482" s="2949">
        <v>22</v>
      </c>
      <c r="E5482" s="3739" t="s">
        <v>2763</v>
      </c>
      <c r="F5482" s="3718" t="s">
        <v>2764</v>
      </c>
      <c r="G5482" s="3584" t="s">
        <v>3269</v>
      </c>
      <c r="H5482" s="3563" t="s">
        <v>2758</v>
      </c>
      <c r="I5482" s="3563"/>
      <c r="J5482" s="3595">
        <v>502104</v>
      </c>
      <c r="K5482" s="3563"/>
      <c r="L5482" s="3222"/>
      <c r="M5482" s="2840"/>
      <c r="N5482" s="1503" t="s">
        <v>51</v>
      </c>
      <c r="O5482" s="355"/>
      <c r="P5482" s="1089"/>
      <c r="Q5482" s="1089"/>
      <c r="R5482" s="1089"/>
      <c r="S5482" s="1089"/>
      <c r="T5482" s="1089"/>
      <c r="U5482" s="1089"/>
      <c r="V5482" s="1089"/>
      <c r="W5482" s="1089"/>
      <c r="X5482" s="1089"/>
      <c r="Y5482" s="1089"/>
      <c r="Z5482" s="1089"/>
      <c r="AA5482" s="368"/>
      <c r="AB5482" s="614"/>
    </row>
    <row r="5483" spans="2:28" ht="13.5" customHeight="1" x14ac:dyDescent="0.2">
      <c r="B5483" s="3719"/>
      <c r="C5483" s="2450"/>
      <c r="D5483" s="2951"/>
      <c r="E5483" s="3741"/>
      <c r="F5483" s="3719"/>
      <c r="G5483" s="3584"/>
      <c r="H5483" s="3563"/>
      <c r="I5483" s="3563"/>
      <c r="J5483" s="3595"/>
      <c r="K5483" s="3563"/>
      <c r="L5483" s="3222"/>
      <c r="M5483" s="2840"/>
      <c r="N5483" s="1503" t="s">
        <v>111</v>
      </c>
      <c r="O5483" s="355">
        <f>+J5482/12</f>
        <v>41842</v>
      </c>
      <c r="P5483" s="1089">
        <v>41842</v>
      </c>
      <c r="Q5483" s="1089">
        <v>41842</v>
      </c>
      <c r="R5483" s="1089">
        <v>41842</v>
      </c>
      <c r="S5483" s="1089">
        <v>41842</v>
      </c>
      <c r="T5483" s="1089">
        <v>41842</v>
      </c>
      <c r="U5483" s="1089">
        <v>41842</v>
      </c>
      <c r="V5483" s="1089">
        <v>41842</v>
      </c>
      <c r="W5483" s="1089">
        <v>41842</v>
      </c>
      <c r="X5483" s="1089">
        <v>41842</v>
      </c>
      <c r="Y5483" s="1089">
        <v>41842</v>
      </c>
      <c r="Z5483" s="1089">
        <v>41842</v>
      </c>
      <c r="AA5483" s="368">
        <f>SUM(O5483:Z5483)</f>
        <v>502104</v>
      </c>
      <c r="AB5483" s="614"/>
    </row>
    <row r="5484" spans="2:28" ht="11.25" customHeight="1" x14ac:dyDescent="0.2">
      <c r="B5484" s="3718" t="s">
        <v>2767</v>
      </c>
      <c r="C5484" s="2438" t="s">
        <v>2768</v>
      </c>
      <c r="D5484" s="2949">
        <v>22</v>
      </c>
      <c r="E5484" s="3739" t="s">
        <v>2742</v>
      </c>
      <c r="F5484" s="3718" t="s">
        <v>2769</v>
      </c>
      <c r="G5484" s="3584" t="s">
        <v>3272</v>
      </c>
      <c r="H5484" s="3563" t="s">
        <v>2770</v>
      </c>
      <c r="I5484" s="3563"/>
      <c r="J5484" s="3595">
        <v>7812104</v>
      </c>
      <c r="K5484" s="3563"/>
      <c r="L5484" s="3222"/>
      <c r="M5484" s="2840"/>
      <c r="N5484" s="1503" t="s">
        <v>51</v>
      </c>
      <c r="O5484" s="355"/>
      <c r="P5484" s="1089"/>
      <c r="Q5484" s="1089"/>
      <c r="R5484" s="1089"/>
      <c r="S5484" s="1089"/>
      <c r="T5484" s="1089"/>
      <c r="U5484" s="1089"/>
      <c r="V5484" s="1089"/>
      <c r="W5484" s="1089"/>
      <c r="X5484" s="1089"/>
      <c r="Y5484" s="1089"/>
      <c r="Z5484" s="1089"/>
      <c r="AA5484" s="368"/>
      <c r="AB5484" s="614"/>
    </row>
    <row r="5485" spans="2:28" ht="21" customHeight="1" x14ac:dyDescent="0.2">
      <c r="B5485" s="3719"/>
      <c r="C5485" s="2450"/>
      <c r="D5485" s="2951"/>
      <c r="E5485" s="3741"/>
      <c r="F5485" s="3719"/>
      <c r="G5485" s="3584"/>
      <c r="H5485" s="3563"/>
      <c r="I5485" s="3563"/>
      <c r="J5485" s="3595"/>
      <c r="K5485" s="3563"/>
      <c r="L5485" s="3222"/>
      <c r="M5485" s="2840"/>
      <c r="N5485" s="1503" t="s">
        <v>111</v>
      </c>
      <c r="O5485" s="355">
        <f>+J5484/12</f>
        <v>651008.66666666663</v>
      </c>
      <c r="P5485" s="1089">
        <v>651008.66666666663</v>
      </c>
      <c r="Q5485" s="1089">
        <v>651008.66666666663</v>
      </c>
      <c r="R5485" s="1089">
        <v>651008.66666666663</v>
      </c>
      <c r="S5485" s="1089">
        <v>651008.66666666663</v>
      </c>
      <c r="T5485" s="1089">
        <v>651008.66666666663</v>
      </c>
      <c r="U5485" s="1089">
        <v>651008.66666666663</v>
      </c>
      <c r="V5485" s="1089">
        <v>651008.66666666663</v>
      </c>
      <c r="W5485" s="1089">
        <v>651008.66666666663</v>
      </c>
      <c r="X5485" s="1089">
        <v>651008.66666666663</v>
      </c>
      <c r="Y5485" s="1089">
        <v>651008.66666666663</v>
      </c>
      <c r="Z5485" s="1089">
        <v>651008.66666666663</v>
      </c>
      <c r="AA5485" s="368">
        <f>SUM(O5485:Z5485)</f>
        <v>7812104.0000000009</v>
      </c>
      <c r="AB5485" s="614"/>
    </row>
    <row r="5486" spans="2:28" ht="11.25" customHeight="1" x14ac:dyDescent="0.2">
      <c r="B5486" s="3718" t="s">
        <v>2767</v>
      </c>
      <c r="C5486" s="2438" t="s">
        <v>2771</v>
      </c>
      <c r="D5486" s="2949">
        <v>22</v>
      </c>
      <c r="E5486" s="3739" t="s">
        <v>2742</v>
      </c>
      <c r="F5486" s="3718" t="s">
        <v>2772</v>
      </c>
      <c r="G5486" s="3584" t="s">
        <v>3270</v>
      </c>
      <c r="H5486" s="3563" t="s">
        <v>2758</v>
      </c>
      <c r="I5486" s="3563"/>
      <c r="J5486" s="3595">
        <v>872847</v>
      </c>
      <c r="K5486" s="3563"/>
      <c r="L5486" s="3222"/>
      <c r="M5486" s="2840"/>
      <c r="N5486" s="1503" t="s">
        <v>51</v>
      </c>
      <c r="O5486" s="1010"/>
      <c r="P5486" s="1048"/>
      <c r="Q5486" s="1054"/>
      <c r="R5486" s="1054"/>
      <c r="S5486" s="1054"/>
      <c r="T5486" s="1054"/>
      <c r="U5486" s="1054"/>
      <c r="V5486" s="1054"/>
      <c r="W5486" s="1054"/>
      <c r="X5486" s="1054"/>
      <c r="Y5486" s="1054"/>
      <c r="Z5486" s="1054"/>
      <c r="AA5486" s="368"/>
      <c r="AB5486" s="614"/>
    </row>
    <row r="5487" spans="2:28" ht="18" customHeight="1" x14ac:dyDescent="0.2">
      <c r="B5487" s="3719"/>
      <c r="C5487" s="2450"/>
      <c r="D5487" s="2951"/>
      <c r="E5487" s="3741"/>
      <c r="F5487" s="3719"/>
      <c r="G5487" s="3584"/>
      <c r="H5487" s="3563"/>
      <c r="I5487" s="3563"/>
      <c r="J5487" s="3595"/>
      <c r="K5487" s="3563"/>
      <c r="L5487" s="3222"/>
      <c r="M5487" s="2840"/>
      <c r="N5487" s="1503" t="s">
        <v>111</v>
      </c>
      <c r="O5487" s="355">
        <f>+J5486/12</f>
        <v>72737.25</v>
      </c>
      <c r="P5487" s="1089">
        <v>72737.25</v>
      </c>
      <c r="Q5487" s="1089">
        <v>72737.25</v>
      </c>
      <c r="R5487" s="1089">
        <v>72737.25</v>
      </c>
      <c r="S5487" s="1089">
        <v>72737.25</v>
      </c>
      <c r="T5487" s="1089">
        <v>72737.25</v>
      </c>
      <c r="U5487" s="1089">
        <v>72737.25</v>
      </c>
      <c r="V5487" s="1089">
        <v>72737.25</v>
      </c>
      <c r="W5487" s="1089">
        <v>72737.25</v>
      </c>
      <c r="X5487" s="1089">
        <v>72737.25</v>
      </c>
      <c r="Y5487" s="1089">
        <v>72737.25</v>
      </c>
      <c r="Z5487" s="1089">
        <v>72737.25</v>
      </c>
      <c r="AA5487" s="368">
        <f>SUM(O5487:Z5487)</f>
        <v>872847</v>
      </c>
      <c r="AB5487" s="614"/>
    </row>
    <row r="5488" spans="2:28" ht="11.25" customHeight="1" x14ac:dyDescent="0.2">
      <c r="B5488" s="3718" t="s">
        <v>1669</v>
      </c>
      <c r="C5488" s="2438" t="s">
        <v>2773</v>
      </c>
      <c r="D5488" s="2949">
        <v>24</v>
      </c>
      <c r="E5488" s="3739" t="s">
        <v>137</v>
      </c>
      <c r="F5488" s="3718" t="s">
        <v>2774</v>
      </c>
      <c r="G5488" s="3584" t="s">
        <v>3273</v>
      </c>
      <c r="H5488" s="3563" t="s">
        <v>133</v>
      </c>
      <c r="I5488" s="3563"/>
      <c r="J5488" s="3595">
        <v>37263562</v>
      </c>
      <c r="K5488" s="3563"/>
      <c r="L5488" s="3222"/>
      <c r="M5488" s="2840"/>
      <c r="N5488" s="1503" t="s">
        <v>51</v>
      </c>
      <c r="O5488" s="1010"/>
      <c r="P5488" s="1048"/>
      <c r="Q5488" s="1054"/>
      <c r="R5488" s="1054"/>
      <c r="S5488" s="1054"/>
      <c r="T5488" s="1054"/>
      <c r="U5488" s="1054"/>
      <c r="V5488" s="1054"/>
      <c r="W5488" s="1054"/>
      <c r="X5488" s="1054"/>
      <c r="Y5488" s="1054"/>
      <c r="Z5488" s="1054"/>
      <c r="AA5488" s="368"/>
      <c r="AB5488" s="614"/>
    </row>
    <row r="5489" spans="2:28" ht="23.25" customHeight="1" x14ac:dyDescent="0.2">
      <c r="B5489" s="3719"/>
      <c r="C5489" s="2450"/>
      <c r="D5489" s="2951"/>
      <c r="E5489" s="3741"/>
      <c r="F5489" s="3719"/>
      <c r="G5489" s="3584"/>
      <c r="H5489" s="3563"/>
      <c r="I5489" s="3563"/>
      <c r="J5489" s="3595"/>
      <c r="K5489" s="3563"/>
      <c r="L5489" s="3222"/>
      <c r="M5489" s="2840"/>
      <c r="N5489" s="1503" t="s">
        <v>111</v>
      </c>
      <c r="O5489" s="355">
        <f>+J5488/12</f>
        <v>3105296.8333333335</v>
      </c>
      <c r="P5489" s="1089">
        <v>3105296.8333333335</v>
      </c>
      <c r="Q5489" s="1089">
        <v>3105296.8333333335</v>
      </c>
      <c r="R5489" s="1089">
        <v>3105296.8333333335</v>
      </c>
      <c r="S5489" s="1089">
        <v>3105296.8333333335</v>
      </c>
      <c r="T5489" s="1089">
        <v>3105296.8333333335</v>
      </c>
      <c r="U5489" s="1089">
        <v>3105296.8333333335</v>
      </c>
      <c r="V5489" s="1089">
        <v>3105296.8333333335</v>
      </c>
      <c r="W5489" s="1089">
        <v>3105296.8333333335</v>
      </c>
      <c r="X5489" s="1089">
        <v>3105296.8333333335</v>
      </c>
      <c r="Y5489" s="1089">
        <v>3105296.8333333335</v>
      </c>
      <c r="Z5489" s="1089">
        <v>3105296.8333333335</v>
      </c>
      <c r="AA5489" s="368">
        <f>SUM(O5489:Z5489)</f>
        <v>37263562</v>
      </c>
      <c r="AB5489" s="614"/>
    </row>
    <row r="5490" spans="2:28" ht="15.75" thickBot="1" x14ac:dyDescent="0.3">
      <c r="B5490" s="179"/>
      <c r="C5490" s="50"/>
      <c r="D5490" s="50"/>
      <c r="E5490" s="50"/>
      <c r="F5490" s="50"/>
      <c r="G5490" s="3806"/>
      <c r="H5490" s="3806"/>
      <c r="I5490" s="3806"/>
      <c r="J5490" s="1810"/>
      <c r="K5490" s="102"/>
      <c r="L5490" s="102"/>
      <c r="M5490" s="102"/>
      <c r="N5490" s="102"/>
      <c r="O5490" s="3807" t="s">
        <v>2649</v>
      </c>
      <c r="P5490" s="3807"/>
      <c r="Q5490" s="3807"/>
      <c r="R5490" s="3807"/>
      <c r="S5490" s="3807"/>
      <c r="T5490" s="3807"/>
      <c r="U5490" s="3807"/>
      <c r="V5490" s="3807"/>
      <c r="W5490" s="3807"/>
      <c r="X5490" s="3807"/>
      <c r="Y5490" s="3807"/>
      <c r="Z5490" s="3808"/>
      <c r="AA5490" s="2272">
        <f>SUM(AA5473:AA5489)</f>
        <v>78446474</v>
      </c>
      <c r="AB5490" s="615"/>
    </row>
    <row r="5491" spans="2:28" ht="15.75" thickBot="1" x14ac:dyDescent="0.3">
      <c r="B5491" s="179"/>
      <c r="C5491" s="50"/>
      <c r="D5491" s="50"/>
      <c r="E5491" s="50"/>
      <c r="F5491" s="50"/>
      <c r="G5491" s="50"/>
      <c r="H5491" s="50"/>
      <c r="I5491" s="50"/>
      <c r="J5491" s="572"/>
      <c r="K5491" s="50"/>
      <c r="L5491" s="50"/>
      <c r="M5491" s="50"/>
      <c r="N5491" s="50"/>
      <c r="O5491" s="50"/>
      <c r="P5491" s="50"/>
      <c r="Q5491" s="50"/>
      <c r="R5491" s="50"/>
      <c r="S5491" s="50"/>
      <c r="T5491" s="50"/>
      <c r="U5491" s="50"/>
      <c r="V5491" s="50"/>
      <c r="W5491" s="50"/>
      <c r="X5491" s="50"/>
      <c r="Y5491" s="50"/>
      <c r="Z5491" s="50"/>
      <c r="AA5491" s="616"/>
      <c r="AB5491" s="615"/>
    </row>
    <row r="5492" spans="2:28" ht="15" x14ac:dyDescent="0.25">
      <c r="B5492" s="201"/>
      <c r="C5492" s="50"/>
      <c r="D5492" s="50"/>
      <c r="E5492" s="50"/>
      <c r="F5492" s="50"/>
      <c r="G5492" s="50"/>
      <c r="H5492" s="50"/>
      <c r="I5492" s="50"/>
      <c r="J5492" s="572"/>
      <c r="K5492" s="50"/>
      <c r="L5492" s="50"/>
      <c r="M5492" s="50"/>
      <c r="N5492" s="50"/>
      <c r="O5492" s="50"/>
      <c r="P5492" s="50"/>
      <c r="Q5492" s="50"/>
      <c r="R5492" s="50"/>
      <c r="S5492" s="50"/>
      <c r="T5492" s="50"/>
      <c r="U5492" s="50"/>
      <c r="V5492" s="50"/>
      <c r="X5492" s="1806" t="s">
        <v>312</v>
      </c>
      <c r="Y5492" s="1807"/>
      <c r="Z5492" s="1808"/>
      <c r="AA5492" s="1809">
        <f>+AA5490+AA5465+AA5458+AA5448+AA5434+AA5424+AA5358</f>
        <v>727055894.18000007</v>
      </c>
      <c r="AB5492" s="2"/>
    </row>
    <row r="5493" spans="2:28" ht="15" x14ac:dyDescent="0.25">
      <c r="B5493" s="152" t="s">
        <v>1</v>
      </c>
      <c r="C5493" s="1857" t="s">
        <v>252</v>
      </c>
      <c r="D5493" s="1135"/>
      <c r="E5493" s="1135"/>
      <c r="F5493" s="1135"/>
      <c r="G5493" s="1135"/>
      <c r="H5493" s="1135"/>
      <c r="I5493" s="1135"/>
      <c r="J5493" s="1135"/>
      <c r="K5493" s="1135"/>
      <c r="L5493" s="1135"/>
      <c r="M5493" s="1135"/>
      <c r="N5493" s="1135"/>
      <c r="O5493" s="1135"/>
      <c r="P5493" s="1135"/>
      <c r="Q5493" s="1135"/>
      <c r="R5493" s="1135"/>
      <c r="S5493" s="1135"/>
      <c r="T5493" s="1135"/>
      <c r="U5493" s="1135"/>
      <c r="V5493" s="1135"/>
      <c r="W5493" s="1135"/>
      <c r="X5493" s="1135"/>
      <c r="Y5493" s="1135"/>
      <c r="Z5493" s="1135"/>
      <c r="AA5493" s="1136"/>
      <c r="AB5493" s="615"/>
    </row>
    <row r="5494" spans="2:28" ht="22.5" x14ac:dyDescent="0.25">
      <c r="B5494" s="1116" t="s">
        <v>2</v>
      </c>
      <c r="C5494" s="1134" t="s">
        <v>2775</v>
      </c>
      <c r="D5494" s="1135"/>
      <c r="E5494" s="1135"/>
      <c r="F5494" s="1135"/>
      <c r="G5494" s="1135"/>
      <c r="H5494" s="1135"/>
      <c r="I5494" s="1135"/>
      <c r="J5494" s="1135"/>
      <c r="K5494" s="1135"/>
      <c r="L5494" s="1135"/>
      <c r="M5494" s="1135"/>
      <c r="N5494" s="1135"/>
      <c r="O5494" s="1135"/>
      <c r="P5494" s="1135"/>
      <c r="Q5494" s="1135"/>
      <c r="R5494" s="1135"/>
      <c r="S5494" s="1135"/>
      <c r="T5494" s="1135"/>
      <c r="U5494" s="1135"/>
      <c r="V5494" s="1135"/>
      <c r="W5494" s="1135"/>
      <c r="X5494" s="1135"/>
      <c r="Y5494" s="1135"/>
      <c r="Z5494" s="1135"/>
      <c r="AA5494" s="1136"/>
      <c r="AB5494" s="615"/>
    </row>
    <row r="5495" spans="2:28" ht="34.5" customHeight="1" x14ac:dyDescent="0.2">
      <c r="B5495" s="1116" t="s">
        <v>6</v>
      </c>
      <c r="C5495" s="3792" t="s">
        <v>2776</v>
      </c>
      <c r="D5495" s="3793"/>
      <c r="E5495" s="3794"/>
      <c r="F5495" s="3794"/>
      <c r="G5495" s="3794"/>
      <c r="H5495" s="3794"/>
      <c r="I5495" s="3794"/>
      <c r="J5495" s="3794"/>
      <c r="K5495" s="3794"/>
      <c r="L5495" s="3794"/>
      <c r="M5495" s="3794"/>
      <c r="N5495" s="3794"/>
      <c r="O5495" s="3794"/>
      <c r="P5495" s="3794"/>
      <c r="Q5495" s="3794"/>
      <c r="R5495" s="3794"/>
      <c r="S5495" s="3794"/>
      <c r="T5495" s="3794"/>
      <c r="U5495" s="3794"/>
      <c r="V5495" s="3794"/>
      <c r="W5495" s="3794"/>
      <c r="X5495" s="3794"/>
      <c r="Y5495" s="3794"/>
      <c r="Z5495" s="3794"/>
      <c r="AA5495" s="3795"/>
    </row>
    <row r="5496" spans="2:28" ht="29.25" customHeight="1" x14ac:dyDescent="0.2">
      <c r="B5496" s="2064" t="s">
        <v>8</v>
      </c>
      <c r="C5496" s="2063" t="s">
        <v>2777</v>
      </c>
      <c r="D5496" s="619"/>
      <c r="E5496" s="620"/>
      <c r="F5496" s="620"/>
      <c r="G5496" s="620"/>
      <c r="H5496" s="621"/>
      <c r="I5496" s="621"/>
      <c r="J5496" s="621"/>
      <c r="K5496" s="621"/>
      <c r="L5496" s="621"/>
      <c r="M5496" s="621"/>
      <c r="N5496" s="621"/>
      <c r="O5496" s="621"/>
      <c r="P5496" s="621"/>
      <c r="Q5496" s="621"/>
      <c r="R5496" s="621"/>
      <c r="S5496" s="621"/>
      <c r="T5496" s="621"/>
      <c r="U5496" s="621"/>
      <c r="V5496" s="621"/>
      <c r="W5496" s="621"/>
      <c r="X5496" s="621"/>
      <c r="Y5496" s="621"/>
      <c r="Z5496" s="621"/>
      <c r="AA5496" s="622"/>
    </row>
    <row r="5497" spans="2:28" ht="22.5" x14ac:dyDescent="0.2">
      <c r="B5497" s="1104" t="s">
        <v>84</v>
      </c>
      <c r="C5497" s="3370" t="s">
        <v>2632</v>
      </c>
      <c r="D5497" s="3370"/>
      <c r="E5497" s="3370"/>
      <c r="F5497" s="3370"/>
      <c r="G5497" s="3370"/>
      <c r="H5497" s="3370"/>
      <c r="I5497" s="3370"/>
      <c r="J5497" s="3370"/>
      <c r="K5497" s="3370"/>
      <c r="L5497" s="3370"/>
      <c r="M5497" s="3370"/>
      <c r="N5497" s="3370"/>
      <c r="O5497" s="3370"/>
      <c r="P5497" s="3370"/>
      <c r="Q5497" s="3370"/>
      <c r="R5497" s="3370"/>
      <c r="S5497" s="3370"/>
      <c r="T5497" s="3370"/>
      <c r="U5497" s="3370"/>
      <c r="V5497" s="3370"/>
      <c r="W5497" s="3370"/>
      <c r="X5497" s="3370"/>
      <c r="Y5497" s="3370"/>
      <c r="Z5497" s="3370"/>
      <c r="AA5497" s="3370"/>
    </row>
    <row r="5498" spans="2:28" x14ac:dyDescent="0.2">
      <c r="B5498" s="3744" t="s">
        <v>13</v>
      </c>
      <c r="C5498" s="3747" t="s">
        <v>2633</v>
      </c>
      <c r="D5498" s="3748"/>
      <c r="E5498" s="3748"/>
      <c r="F5498" s="3748"/>
      <c r="G5498" s="3748"/>
      <c r="H5498" s="3748"/>
      <c r="I5498" s="3748"/>
      <c r="J5498" s="3748"/>
      <c r="K5498" s="3748"/>
      <c r="L5498" s="3748"/>
      <c r="M5498" s="3748"/>
      <c r="N5498" s="3748"/>
      <c r="O5498" s="3748"/>
      <c r="P5498" s="3748"/>
      <c r="Q5498" s="3748"/>
      <c r="R5498" s="3748"/>
      <c r="S5498" s="3748"/>
      <c r="T5498" s="3748"/>
      <c r="U5498" s="3749"/>
      <c r="V5498" s="3796" t="s">
        <v>15</v>
      </c>
      <c r="W5498" s="3797"/>
      <c r="X5498" s="3797"/>
      <c r="Y5498" s="3798"/>
      <c r="Z5498" s="3119" t="s">
        <v>16</v>
      </c>
      <c r="AA5498" s="3119"/>
    </row>
    <row r="5499" spans="2:28" x14ac:dyDescent="0.2">
      <c r="B5499" s="3745"/>
      <c r="C5499" s="3750"/>
      <c r="D5499" s="3751"/>
      <c r="E5499" s="3751"/>
      <c r="F5499" s="3751"/>
      <c r="G5499" s="3751"/>
      <c r="H5499" s="3751"/>
      <c r="I5499" s="3751"/>
      <c r="J5499" s="3751"/>
      <c r="K5499" s="3751"/>
      <c r="L5499" s="3751"/>
      <c r="M5499" s="3751"/>
      <c r="N5499" s="3751"/>
      <c r="O5499" s="3751"/>
      <c r="P5499" s="3751"/>
      <c r="Q5499" s="3751"/>
      <c r="R5499" s="3751"/>
      <c r="S5499" s="3751"/>
      <c r="T5499" s="3751"/>
      <c r="U5499" s="3752"/>
      <c r="V5499" s="3799"/>
      <c r="W5499" s="3800"/>
      <c r="X5499" s="3800"/>
      <c r="Y5499" s="3801"/>
      <c r="Z5499" s="3802" t="s">
        <v>17</v>
      </c>
      <c r="AA5499" s="3802"/>
    </row>
    <row r="5500" spans="2:28" x14ac:dyDescent="0.2">
      <c r="B5500" s="3745"/>
      <c r="C5500" s="3750"/>
      <c r="D5500" s="3751"/>
      <c r="E5500" s="3751"/>
      <c r="F5500" s="3751"/>
      <c r="G5500" s="3751"/>
      <c r="H5500" s="3751"/>
      <c r="I5500" s="3751"/>
      <c r="J5500" s="3751"/>
      <c r="K5500" s="3751"/>
      <c r="L5500" s="3751"/>
      <c r="M5500" s="3751"/>
      <c r="N5500" s="3751"/>
      <c r="O5500" s="3751"/>
      <c r="P5500" s="3751"/>
      <c r="Q5500" s="3751"/>
      <c r="R5500" s="3751"/>
      <c r="S5500" s="3751"/>
      <c r="T5500" s="3751"/>
      <c r="U5500" s="3752"/>
      <c r="V5500" s="3796"/>
      <c r="W5500" s="3797"/>
      <c r="X5500" s="3797"/>
      <c r="Y5500" s="3798"/>
      <c r="Z5500" s="3802"/>
      <c r="AA5500" s="3802"/>
    </row>
    <row r="5501" spans="2:28" x14ac:dyDescent="0.2">
      <c r="B5501" s="3746"/>
      <c r="C5501" s="3753"/>
      <c r="D5501" s="3754"/>
      <c r="E5501" s="3754"/>
      <c r="F5501" s="3754"/>
      <c r="G5501" s="3754"/>
      <c r="H5501" s="3754"/>
      <c r="I5501" s="3754"/>
      <c r="J5501" s="3754"/>
      <c r="K5501" s="3754"/>
      <c r="L5501" s="3754"/>
      <c r="M5501" s="3754"/>
      <c r="N5501" s="3754"/>
      <c r="O5501" s="3754"/>
      <c r="P5501" s="3754"/>
      <c r="Q5501" s="3754"/>
      <c r="R5501" s="3754"/>
      <c r="S5501" s="3754"/>
      <c r="T5501" s="3754"/>
      <c r="U5501" s="3755"/>
      <c r="V5501" s="3803" t="s">
        <v>15</v>
      </c>
      <c r="W5501" s="3804"/>
      <c r="X5501" s="3804"/>
      <c r="Y5501" s="3805"/>
      <c r="Z5501" s="3056" t="s">
        <v>16</v>
      </c>
      <c r="AA5501" s="3056"/>
    </row>
    <row r="5502" spans="2:28" x14ac:dyDescent="0.2">
      <c r="B5502" s="160" t="s">
        <v>18</v>
      </c>
      <c r="C5502" s="623" t="s">
        <v>2778</v>
      </c>
      <c r="D5502" s="161"/>
      <c r="E5502" s="624"/>
      <c r="F5502" s="624"/>
      <c r="G5502" s="624"/>
      <c r="H5502" s="624"/>
      <c r="I5502" s="624"/>
      <c r="J5502" s="624"/>
      <c r="K5502" s="624"/>
      <c r="L5502" s="624"/>
      <c r="M5502" s="624"/>
      <c r="N5502" s="624"/>
      <c r="O5502" s="625"/>
      <c r="P5502" s="625"/>
      <c r="Q5502" s="625"/>
      <c r="R5502" s="625"/>
      <c r="S5502" s="625"/>
      <c r="T5502" s="625"/>
      <c r="U5502" s="626"/>
      <c r="V5502" s="3786"/>
      <c r="W5502" s="3787"/>
      <c r="X5502" s="3787"/>
      <c r="Y5502" s="3788"/>
      <c r="Z5502" s="2421"/>
      <c r="AA5502" s="2421"/>
    </row>
    <row r="5503" spans="2:28" x14ac:dyDescent="0.2">
      <c r="B5503" s="3789" t="s">
        <v>2634</v>
      </c>
      <c r="C5503" s="3791" t="s">
        <v>2635</v>
      </c>
      <c r="D5503" s="2847" t="s">
        <v>22</v>
      </c>
      <c r="E5503" s="3791" t="s">
        <v>23</v>
      </c>
      <c r="F5503" s="3791" t="s">
        <v>164</v>
      </c>
      <c r="G5503" s="3791" t="s">
        <v>25</v>
      </c>
      <c r="H5503" s="3791" t="s">
        <v>26</v>
      </c>
      <c r="I5503" s="3791" t="s">
        <v>27</v>
      </c>
      <c r="J5503" s="3791" t="s">
        <v>28</v>
      </c>
      <c r="K5503" s="3791"/>
      <c r="L5503" s="3791" t="s">
        <v>29</v>
      </c>
      <c r="M5503" s="3814" t="s">
        <v>1487</v>
      </c>
      <c r="N5503" s="3815"/>
      <c r="O5503" s="3818" t="s">
        <v>31</v>
      </c>
      <c r="P5503" s="3818"/>
      <c r="Q5503" s="3818"/>
      <c r="R5503" s="3818"/>
      <c r="S5503" s="3818"/>
      <c r="T5503" s="3818"/>
      <c r="U5503" s="3818"/>
      <c r="V5503" s="3818"/>
      <c r="W5503" s="3818"/>
      <c r="X5503" s="3818"/>
      <c r="Y5503" s="3818"/>
      <c r="Z5503" s="3818"/>
      <c r="AA5503" s="3818" t="s">
        <v>32</v>
      </c>
    </row>
    <row r="5504" spans="2:28" x14ac:dyDescent="0.2">
      <c r="B5504" s="3790"/>
      <c r="C5504" s="3791"/>
      <c r="D5504" s="2847"/>
      <c r="E5504" s="3791"/>
      <c r="F5504" s="3791"/>
      <c r="G5504" s="3791"/>
      <c r="H5504" s="3791"/>
      <c r="I5504" s="3791"/>
      <c r="J5504" s="1038" t="s">
        <v>33</v>
      </c>
      <c r="K5504" s="1038" t="s">
        <v>34</v>
      </c>
      <c r="L5504" s="3791"/>
      <c r="M5504" s="3816"/>
      <c r="N5504" s="3817"/>
      <c r="O5504" s="1039" t="s">
        <v>35</v>
      </c>
      <c r="P5504" s="1039" t="s">
        <v>36</v>
      </c>
      <c r="Q5504" s="1039" t="s">
        <v>37</v>
      </c>
      <c r="R5504" s="1039" t="s">
        <v>38</v>
      </c>
      <c r="S5504" s="1039" t="s">
        <v>39</v>
      </c>
      <c r="T5504" s="1039" t="s">
        <v>40</v>
      </c>
      <c r="U5504" s="1039" t="s">
        <v>41</v>
      </c>
      <c r="V5504" s="1039" t="s">
        <v>42</v>
      </c>
      <c r="W5504" s="1039" t="s">
        <v>2636</v>
      </c>
      <c r="X5504" s="1039" t="s">
        <v>44</v>
      </c>
      <c r="Y5504" s="1039" t="s">
        <v>45</v>
      </c>
      <c r="Z5504" s="1039" t="s">
        <v>46</v>
      </c>
      <c r="AA5504" s="3818"/>
    </row>
    <row r="5505" spans="2:27" x14ac:dyDescent="0.2">
      <c r="B5505" s="2945">
        <v>5005580</v>
      </c>
      <c r="C5505" s="2421" t="s">
        <v>2637</v>
      </c>
      <c r="D5505" s="2421"/>
      <c r="E5505" s="2421">
        <v>22</v>
      </c>
      <c r="F5505" s="2421" t="s">
        <v>2779</v>
      </c>
      <c r="G5505" s="2421" t="s">
        <v>2639</v>
      </c>
      <c r="H5505" s="2421" t="s">
        <v>2780</v>
      </c>
      <c r="I5505" s="2421" t="s">
        <v>661</v>
      </c>
      <c r="J5505" s="3497">
        <v>1851</v>
      </c>
      <c r="K5505" s="3497" t="s">
        <v>2781</v>
      </c>
      <c r="L5505" s="3567" t="s">
        <v>2641</v>
      </c>
      <c r="M5505" s="3633" t="s">
        <v>1344</v>
      </c>
      <c r="N5505" s="3633"/>
      <c r="O5505" s="1072"/>
      <c r="P5505" s="1072"/>
      <c r="Q5505" s="1072"/>
      <c r="R5505" s="1101">
        <v>1851</v>
      </c>
      <c r="S5505" s="1072"/>
      <c r="T5505" s="1072"/>
      <c r="U5505" s="1072"/>
      <c r="V5505" s="1072"/>
      <c r="W5505" s="1101">
        <v>1851</v>
      </c>
      <c r="X5505" s="1072"/>
      <c r="Y5505" s="1072"/>
      <c r="Z5505" s="1072"/>
      <c r="AA5505" s="1101">
        <v>1851</v>
      </c>
    </row>
    <row r="5506" spans="2:27" x14ac:dyDescent="0.2">
      <c r="B5506" s="2946"/>
      <c r="C5506" s="2421"/>
      <c r="D5506" s="2421"/>
      <c r="E5506" s="2421"/>
      <c r="F5506" s="2421"/>
      <c r="G5506" s="2421"/>
      <c r="H5506" s="2421"/>
      <c r="I5506" s="2421"/>
      <c r="J5506" s="3497"/>
      <c r="K5506" s="3497"/>
      <c r="L5506" s="3567"/>
      <c r="M5506" s="3633" t="s">
        <v>1340</v>
      </c>
      <c r="N5506" s="3633"/>
      <c r="O5506" s="1072">
        <f>SUM(O5507,O5511,O5515)</f>
        <v>0</v>
      </c>
      <c r="P5506" s="1072">
        <f t="shared" ref="P5506:Z5506" si="906">SUM(P5507,P5511,P5515)</f>
        <v>7000</v>
      </c>
      <c r="Q5506" s="1072">
        <f t="shared" si="906"/>
        <v>7587</v>
      </c>
      <c r="R5506" s="1072">
        <f t="shared" si="906"/>
        <v>714290.58</v>
      </c>
      <c r="S5506" s="1072">
        <f t="shared" si="906"/>
        <v>0</v>
      </c>
      <c r="T5506" s="1072">
        <f t="shared" si="906"/>
        <v>0</v>
      </c>
      <c r="U5506" s="1072">
        <f t="shared" si="906"/>
        <v>0</v>
      </c>
      <c r="V5506" s="1072">
        <f t="shared" si="906"/>
        <v>7000</v>
      </c>
      <c r="W5506" s="1072">
        <f t="shared" si="906"/>
        <v>714290.58</v>
      </c>
      <c r="X5506" s="1072">
        <f t="shared" si="906"/>
        <v>0</v>
      </c>
      <c r="Y5506" s="1072">
        <f t="shared" si="906"/>
        <v>0</v>
      </c>
      <c r="Z5506" s="1072">
        <f t="shared" si="906"/>
        <v>0</v>
      </c>
      <c r="AA5506" s="1069">
        <f>SUM(O5506:Z5506)</f>
        <v>1450168.16</v>
      </c>
    </row>
    <row r="5507" spans="2:27" x14ac:dyDescent="0.2">
      <c r="B5507" s="2946"/>
      <c r="C5507" s="2421"/>
      <c r="D5507" s="2421"/>
      <c r="E5507" s="2421"/>
      <c r="F5507" s="2421"/>
      <c r="G5507" s="2421"/>
      <c r="H5507" s="2421"/>
      <c r="I5507" s="2421"/>
      <c r="J5507" s="3497"/>
      <c r="K5507" s="3497"/>
      <c r="L5507" s="3567"/>
      <c r="M5507" s="3616" t="s">
        <v>2642</v>
      </c>
      <c r="N5507" s="2421" t="s">
        <v>2782</v>
      </c>
      <c r="O5507" s="3482"/>
      <c r="P5507" s="3482"/>
      <c r="Q5507" s="3482"/>
      <c r="R5507" s="3053">
        <f>+AA5507/2</f>
        <v>707290.58</v>
      </c>
      <c r="S5507" s="3482"/>
      <c r="T5507" s="3482"/>
      <c r="U5507" s="3482"/>
      <c r="V5507" s="3482"/>
      <c r="W5507" s="3053">
        <v>707290.58</v>
      </c>
      <c r="X5507" s="3482"/>
      <c r="Y5507" s="3482"/>
      <c r="Z5507" s="3482"/>
      <c r="AA5507" s="3810">
        <v>1414581.16</v>
      </c>
    </row>
    <row r="5508" spans="2:27" x14ac:dyDescent="0.2">
      <c r="B5508" s="2947"/>
      <c r="C5508" s="2421"/>
      <c r="D5508" s="2421"/>
      <c r="E5508" s="2421"/>
      <c r="F5508" s="2421"/>
      <c r="G5508" s="2421"/>
      <c r="H5508" s="2421"/>
      <c r="I5508" s="2421"/>
      <c r="J5508" s="3497"/>
      <c r="K5508" s="3497"/>
      <c r="L5508" s="3567"/>
      <c r="M5508" s="3616"/>
      <c r="N5508" s="2421"/>
      <c r="O5508" s="3482"/>
      <c r="P5508" s="3482"/>
      <c r="Q5508" s="3482"/>
      <c r="R5508" s="3053"/>
      <c r="S5508" s="3482"/>
      <c r="T5508" s="3482"/>
      <c r="U5508" s="3482"/>
      <c r="V5508" s="3482"/>
      <c r="W5508" s="3809"/>
      <c r="X5508" s="3482"/>
      <c r="Y5508" s="3482"/>
      <c r="Z5508" s="3482"/>
      <c r="AA5508" s="3810"/>
    </row>
    <row r="5509" spans="2:27" x14ac:dyDescent="0.2">
      <c r="B5509" s="1147" t="s">
        <v>18</v>
      </c>
      <c r="C5509" s="3811" t="s">
        <v>2783</v>
      </c>
      <c r="D5509" s="3812"/>
      <c r="E5509" s="3812"/>
      <c r="F5509" s="3812"/>
      <c r="G5509" s="3812"/>
      <c r="H5509" s="3812"/>
      <c r="I5509" s="3812"/>
      <c r="J5509" s="3812"/>
      <c r="K5509" s="3812"/>
      <c r="L5509" s="3812"/>
      <c r="M5509" s="3812"/>
      <c r="N5509" s="3812"/>
      <c r="O5509" s="3812"/>
      <c r="P5509" s="3812"/>
      <c r="Q5509" s="3812"/>
      <c r="R5509" s="3812"/>
      <c r="S5509" s="3812"/>
      <c r="T5509" s="3812"/>
      <c r="U5509" s="3812"/>
      <c r="V5509" s="3812"/>
      <c r="W5509" s="3812"/>
      <c r="X5509" s="3812"/>
      <c r="Y5509" s="3812"/>
      <c r="Z5509" s="3812"/>
      <c r="AA5509" s="3813"/>
    </row>
    <row r="5510" spans="2:27" x14ac:dyDescent="0.2">
      <c r="B5510" s="1146"/>
      <c r="C5510" s="623"/>
      <c r="D5510" s="161"/>
      <c r="E5510" s="624"/>
      <c r="F5510" s="624"/>
      <c r="G5510" s="624"/>
      <c r="H5510" s="624"/>
      <c r="I5510" s="624"/>
      <c r="J5510" s="624"/>
      <c r="K5510" s="624"/>
      <c r="L5510" s="1458"/>
      <c r="M5510" s="3633" t="s">
        <v>1344</v>
      </c>
      <c r="N5510" s="3633"/>
      <c r="O5510" s="1101"/>
      <c r="P5510" s="1101">
        <v>1</v>
      </c>
      <c r="Q5510" s="1101">
        <v>1</v>
      </c>
      <c r="R5510" s="1101">
        <v>1</v>
      </c>
      <c r="S5510" s="1101"/>
      <c r="T5510" s="1101"/>
      <c r="U5510" s="1101"/>
      <c r="V5510" s="1101">
        <v>1</v>
      </c>
      <c r="W5510" s="1101">
        <v>1</v>
      </c>
      <c r="X5510" s="1101"/>
      <c r="Y5510" s="132"/>
      <c r="Z5510" s="132"/>
      <c r="AA5510" s="1101">
        <f>SUM(O5510:Z5510)</f>
        <v>5</v>
      </c>
    </row>
    <row r="5511" spans="2:27" x14ac:dyDescent="0.2">
      <c r="B5511" s="1147"/>
      <c r="C5511" s="627"/>
      <c r="D5511" s="198"/>
      <c r="E5511" s="628"/>
      <c r="F5511" s="628"/>
      <c r="G5511" s="628"/>
      <c r="H5511" s="628"/>
      <c r="I5511" s="628"/>
      <c r="J5511" s="628"/>
      <c r="K5511" s="628"/>
      <c r="L5511" s="628"/>
      <c r="M5511" s="3633" t="s">
        <v>1340</v>
      </c>
      <c r="N5511" s="3633"/>
      <c r="O5511" s="286">
        <f>SUM(O5512)</f>
        <v>0</v>
      </c>
      <c r="P5511" s="1070">
        <f t="shared" ref="P5511:Z5511" si="907">SUM(P5512)</f>
        <v>7000</v>
      </c>
      <c r="Q5511" s="1070">
        <f t="shared" si="907"/>
        <v>7000</v>
      </c>
      <c r="R5511" s="1070">
        <f t="shared" si="907"/>
        <v>7000</v>
      </c>
      <c r="S5511" s="1070">
        <f t="shared" si="907"/>
        <v>0</v>
      </c>
      <c r="T5511" s="1070">
        <f t="shared" si="907"/>
        <v>0</v>
      </c>
      <c r="U5511" s="1070">
        <f t="shared" si="907"/>
        <v>0</v>
      </c>
      <c r="V5511" s="1070">
        <f t="shared" si="907"/>
        <v>7000</v>
      </c>
      <c r="W5511" s="1070">
        <f t="shared" si="907"/>
        <v>7000</v>
      </c>
      <c r="X5511" s="1070">
        <f t="shared" si="907"/>
        <v>0</v>
      </c>
      <c r="Y5511" s="1070">
        <f t="shared" si="907"/>
        <v>0</v>
      </c>
      <c r="Z5511" s="1070">
        <f t="shared" si="907"/>
        <v>0</v>
      </c>
      <c r="AA5511" s="1070">
        <f>SUM(O5511:Z5511)</f>
        <v>35000</v>
      </c>
    </row>
    <row r="5512" spans="2:27" ht="68.25" thickBot="1" x14ac:dyDescent="0.3">
      <c r="B5512" s="1080">
        <v>5005581</v>
      </c>
      <c r="C5512" s="1096" t="s">
        <v>2644</v>
      </c>
      <c r="D5512" s="1096"/>
      <c r="E5512" s="1068">
        <v>22</v>
      </c>
      <c r="F5512" s="1073" t="s">
        <v>2779</v>
      </c>
      <c r="G5512" s="1096" t="s">
        <v>2639</v>
      </c>
      <c r="H5512" s="1096" t="s">
        <v>2784</v>
      </c>
      <c r="I5512" s="1068" t="s">
        <v>1042</v>
      </c>
      <c r="J5512" s="1068">
        <v>5</v>
      </c>
      <c r="K5512" s="1054">
        <v>35000</v>
      </c>
      <c r="L5512" s="1079" t="s">
        <v>2641</v>
      </c>
      <c r="M5512" s="1089" t="s">
        <v>2642</v>
      </c>
      <c r="N5512" s="1120" t="s">
        <v>2785</v>
      </c>
      <c r="O5512" s="1457"/>
      <c r="P5512" s="1070">
        <v>7000</v>
      </c>
      <c r="Q5512" s="1070">
        <v>7000</v>
      </c>
      <c r="R5512" s="1070">
        <v>7000</v>
      </c>
      <c r="S5512" s="1070"/>
      <c r="T5512" s="1070"/>
      <c r="U5512" s="1070"/>
      <c r="V5512" s="1070">
        <v>7000</v>
      </c>
      <c r="W5512" s="1070">
        <v>7000</v>
      </c>
      <c r="X5512" s="1070"/>
      <c r="Y5512" s="1070"/>
      <c r="Z5512" s="1070"/>
      <c r="AA5512" s="629">
        <v>35000</v>
      </c>
    </row>
    <row r="5513" spans="2:27" x14ac:dyDescent="0.2">
      <c r="B5513" s="1146" t="s">
        <v>18</v>
      </c>
      <c r="C5513" s="3825" t="s">
        <v>2786</v>
      </c>
      <c r="D5513" s="3348"/>
      <c r="E5513" s="3348"/>
      <c r="F5513" s="3348"/>
      <c r="G5513" s="3348"/>
      <c r="H5513" s="3348"/>
      <c r="I5513" s="3348"/>
      <c r="J5513" s="3348"/>
      <c r="K5513" s="3348"/>
      <c r="L5513" s="3348"/>
      <c r="M5513" s="3348"/>
      <c r="N5513" s="3348"/>
      <c r="O5513" s="3348"/>
      <c r="P5513" s="3348"/>
      <c r="Q5513" s="3348"/>
      <c r="R5513" s="3348"/>
      <c r="S5513" s="3348"/>
      <c r="T5513" s="3348"/>
      <c r="U5513" s="3348"/>
      <c r="V5513" s="3348"/>
      <c r="W5513" s="3348"/>
      <c r="X5513" s="3348"/>
      <c r="Y5513" s="3348"/>
      <c r="Z5513" s="3348"/>
      <c r="AA5513" s="3348"/>
    </row>
    <row r="5514" spans="2:27" ht="15" x14ac:dyDescent="0.25">
      <c r="B5514" s="1459"/>
      <c r="C5514" s="1460"/>
      <c r="D5514" s="1460"/>
      <c r="E5514" s="1460"/>
      <c r="F5514" s="1460"/>
      <c r="G5514" s="1460"/>
      <c r="H5514" s="624"/>
      <c r="I5514" s="624"/>
      <c r="J5514" s="624"/>
      <c r="K5514" s="624"/>
      <c r="L5514" s="624"/>
      <c r="M5514" s="3633" t="s">
        <v>1344</v>
      </c>
      <c r="N5514" s="3633"/>
      <c r="O5514" s="1101"/>
      <c r="P5514" s="1101"/>
      <c r="Q5514" s="1101">
        <v>1</v>
      </c>
      <c r="R5514" s="1101"/>
      <c r="S5514" s="1101"/>
      <c r="T5514" s="1101"/>
      <c r="U5514" s="1101"/>
      <c r="V5514" s="1101"/>
      <c r="W5514" s="1101"/>
      <c r="X5514" s="1101"/>
      <c r="Y5514" s="132"/>
      <c r="Z5514" s="132"/>
      <c r="AA5514" s="1101">
        <v>1</v>
      </c>
    </row>
    <row r="5515" spans="2:27" x14ac:dyDescent="0.2">
      <c r="B5515" s="1146"/>
      <c r="C5515" s="623"/>
      <c r="D5515" s="161"/>
      <c r="E5515" s="624"/>
      <c r="F5515" s="624"/>
      <c r="G5515" s="624"/>
      <c r="H5515" s="624"/>
      <c r="I5515" s="624"/>
      <c r="J5515" s="624"/>
      <c r="K5515" s="624"/>
      <c r="L5515" s="624"/>
      <c r="M5515" s="3633" t="s">
        <v>1340</v>
      </c>
      <c r="N5515" s="3633"/>
      <c r="O5515" s="286">
        <f>SUM(O5516)</f>
        <v>0</v>
      </c>
      <c r="P5515" s="286">
        <f t="shared" ref="P5515:Z5515" si="908">SUM(P5516)</f>
        <v>0</v>
      </c>
      <c r="Q5515" s="286">
        <f t="shared" si="908"/>
        <v>587</v>
      </c>
      <c r="R5515" s="286">
        <f t="shared" si="908"/>
        <v>0</v>
      </c>
      <c r="S5515" s="286">
        <f t="shared" si="908"/>
        <v>0</v>
      </c>
      <c r="T5515" s="286">
        <f t="shared" si="908"/>
        <v>0</v>
      </c>
      <c r="U5515" s="286">
        <f t="shared" si="908"/>
        <v>0</v>
      </c>
      <c r="V5515" s="286">
        <f t="shared" si="908"/>
        <v>0</v>
      </c>
      <c r="W5515" s="286">
        <f t="shared" si="908"/>
        <v>0</v>
      </c>
      <c r="X5515" s="286">
        <f t="shared" si="908"/>
        <v>0</v>
      </c>
      <c r="Y5515" s="286">
        <f t="shared" si="908"/>
        <v>0</v>
      </c>
      <c r="Z5515" s="286">
        <f t="shared" si="908"/>
        <v>0</v>
      </c>
      <c r="AA5515" s="1102">
        <f>SUM(O5515:Z5515)</f>
        <v>587</v>
      </c>
    </row>
    <row r="5516" spans="2:27" ht="56.25" x14ac:dyDescent="0.2">
      <c r="B5516" s="1080">
        <v>50005585</v>
      </c>
      <c r="C5516" s="1096" t="s">
        <v>2647</v>
      </c>
      <c r="D5516" s="1096"/>
      <c r="E5516" s="1068">
        <v>22</v>
      </c>
      <c r="F5516" s="1073" t="s">
        <v>2779</v>
      </c>
      <c r="G5516" s="1096" t="s">
        <v>2639</v>
      </c>
      <c r="H5516" s="1096" t="s">
        <v>2787</v>
      </c>
      <c r="I5516" s="1068" t="s">
        <v>982</v>
      </c>
      <c r="J5516" s="1068">
        <v>1</v>
      </c>
      <c r="K5516" s="1054">
        <v>587</v>
      </c>
      <c r="L5516" s="1079" t="s">
        <v>2641</v>
      </c>
      <c r="M5516" s="1089" t="s">
        <v>2642</v>
      </c>
      <c r="N5516" s="1073" t="s">
        <v>2259</v>
      </c>
      <c r="O5516" s="132"/>
      <c r="P5516" s="132"/>
      <c r="Q5516" s="1098">
        <v>587</v>
      </c>
      <c r="R5516" s="1098"/>
      <c r="S5516" s="1098"/>
      <c r="T5516" s="1098"/>
      <c r="U5516" s="1098"/>
      <c r="V5516" s="1098"/>
      <c r="W5516" s="1098"/>
      <c r="X5516" s="1098"/>
      <c r="Y5516" s="1098"/>
      <c r="Z5516" s="1098"/>
      <c r="AA5516" s="630">
        <v>587</v>
      </c>
    </row>
    <row r="5517" spans="2:27" ht="22.5" x14ac:dyDescent="0.2">
      <c r="B5517" s="1461" t="s">
        <v>11</v>
      </c>
      <c r="C5517" s="631" t="s">
        <v>2632</v>
      </c>
      <c r="D5517" s="155"/>
      <c r="E5517" s="155"/>
      <c r="F5517" s="155"/>
      <c r="G5517" s="155"/>
      <c r="H5517" s="155"/>
      <c r="I5517" s="155"/>
      <c r="J5517" s="155"/>
      <c r="K5517" s="155"/>
      <c r="L5517" s="155"/>
      <c r="M5517" s="155"/>
      <c r="N5517" s="155"/>
      <c r="O5517" s="155"/>
      <c r="P5517" s="155"/>
      <c r="Q5517" s="155"/>
      <c r="R5517" s="155"/>
      <c r="S5517" s="155"/>
      <c r="T5517" s="155"/>
      <c r="U5517" s="155"/>
      <c r="V5517" s="3786" t="s">
        <v>15</v>
      </c>
      <c r="W5517" s="3787"/>
      <c r="X5517" s="3787"/>
      <c r="Y5517" s="3788"/>
      <c r="Z5517" s="2421" t="s">
        <v>16</v>
      </c>
      <c r="AA5517" s="2421"/>
    </row>
    <row r="5518" spans="2:27" x14ac:dyDescent="0.2">
      <c r="B5518" s="3744" t="s">
        <v>13</v>
      </c>
      <c r="C5518" s="3747" t="s">
        <v>2650</v>
      </c>
      <c r="D5518" s="3748"/>
      <c r="E5518" s="3748"/>
      <c r="F5518" s="3748"/>
      <c r="G5518" s="3748"/>
      <c r="H5518" s="3748"/>
      <c r="I5518" s="3748"/>
      <c r="J5518" s="3748"/>
      <c r="K5518" s="3748"/>
      <c r="L5518" s="3748"/>
      <c r="M5518" s="632"/>
      <c r="N5518" s="632"/>
      <c r="O5518" s="632"/>
      <c r="P5518" s="632"/>
      <c r="Q5518" s="632"/>
      <c r="R5518" s="632"/>
      <c r="S5518" s="632"/>
      <c r="T5518" s="632"/>
      <c r="U5518" s="632"/>
      <c r="V5518" s="3786"/>
      <c r="W5518" s="3787"/>
      <c r="X5518" s="3787"/>
      <c r="Y5518" s="3788"/>
      <c r="Z5518" s="3822" t="s">
        <v>17</v>
      </c>
      <c r="AA5518" s="3822"/>
    </row>
    <row r="5519" spans="2:27" x14ac:dyDescent="0.2">
      <c r="B5519" s="3745"/>
      <c r="C5519" s="3750"/>
      <c r="D5519" s="3751"/>
      <c r="E5519" s="3751"/>
      <c r="F5519" s="3751"/>
      <c r="G5519" s="3751"/>
      <c r="H5519" s="3751"/>
      <c r="I5519" s="3751"/>
      <c r="J5519" s="3751"/>
      <c r="K5519" s="3751"/>
      <c r="L5519" s="3751"/>
      <c r="M5519" s="633"/>
      <c r="N5519" s="633"/>
      <c r="O5519" s="633"/>
      <c r="P5519" s="633"/>
      <c r="Q5519" s="633"/>
      <c r="R5519" s="633"/>
      <c r="S5519" s="633"/>
      <c r="T5519" s="633"/>
      <c r="U5519" s="633"/>
      <c r="V5519" s="3786"/>
      <c r="W5519" s="3787"/>
      <c r="X5519" s="3787"/>
      <c r="Y5519" s="3788"/>
      <c r="Z5519" s="3823"/>
      <c r="AA5519" s="3824"/>
    </row>
    <row r="5520" spans="2:27" x14ac:dyDescent="0.2">
      <c r="B5520" s="3745"/>
      <c r="C5520" s="3750"/>
      <c r="D5520" s="3751"/>
      <c r="E5520" s="3751"/>
      <c r="F5520" s="3751"/>
      <c r="G5520" s="3751"/>
      <c r="H5520" s="3751"/>
      <c r="I5520" s="3751"/>
      <c r="J5520" s="3751"/>
      <c r="K5520" s="3751"/>
      <c r="L5520" s="3751"/>
      <c r="M5520" s="633"/>
      <c r="N5520" s="633"/>
      <c r="O5520" s="633"/>
      <c r="P5520" s="633"/>
      <c r="Q5520" s="633"/>
      <c r="R5520" s="633"/>
      <c r="S5520" s="633"/>
      <c r="T5520" s="633"/>
      <c r="U5520" s="633"/>
      <c r="V5520" s="3786" t="s">
        <v>15</v>
      </c>
      <c r="W5520" s="3787"/>
      <c r="X5520" s="3787"/>
      <c r="Y5520" s="3788"/>
      <c r="Z5520" s="2421" t="s">
        <v>16</v>
      </c>
      <c r="AA5520" s="2421"/>
    </row>
    <row r="5521" spans="2:27" x14ac:dyDescent="0.2">
      <c r="B5521" s="1462" t="s">
        <v>18</v>
      </c>
      <c r="C5521" s="3210" t="s">
        <v>2652</v>
      </c>
      <c r="D5521" s="3211"/>
      <c r="E5521" s="3211"/>
      <c r="F5521" s="3211"/>
      <c r="G5521" s="3211"/>
      <c r="H5521" s="3211"/>
      <c r="I5521" s="3211"/>
      <c r="J5521" s="3211"/>
      <c r="K5521" s="3211"/>
      <c r="L5521" s="3211"/>
      <c r="M5521" s="3211"/>
      <c r="N5521" s="3211"/>
      <c r="O5521" s="3211"/>
      <c r="P5521" s="3211"/>
      <c r="Q5521" s="3211"/>
      <c r="R5521" s="3211"/>
      <c r="S5521" s="3211"/>
      <c r="T5521" s="3211"/>
      <c r="U5521" s="3211"/>
      <c r="V5521" s="3211"/>
      <c r="W5521" s="3211"/>
      <c r="X5521" s="3211"/>
      <c r="Y5521" s="3211"/>
      <c r="Z5521" s="3211"/>
      <c r="AA5521" s="3211"/>
    </row>
    <row r="5522" spans="2:27" x14ac:dyDescent="0.2">
      <c r="B5522" s="3694" t="s">
        <v>2634</v>
      </c>
      <c r="C5522" s="3696" t="s">
        <v>2635</v>
      </c>
      <c r="D5522" s="1017" t="s">
        <v>22</v>
      </c>
      <c r="E5522" s="3696" t="s">
        <v>23</v>
      </c>
      <c r="F5522" s="3696" t="s">
        <v>164</v>
      </c>
      <c r="G5522" s="3696" t="s">
        <v>25</v>
      </c>
      <c r="H5522" s="3696" t="s">
        <v>26</v>
      </c>
      <c r="I5522" s="3696" t="s">
        <v>27</v>
      </c>
      <c r="J5522" s="3820" t="s">
        <v>28</v>
      </c>
      <c r="K5522" s="3821"/>
      <c r="L5522" s="3696" t="s">
        <v>29</v>
      </c>
      <c r="M5522" s="3814" t="s">
        <v>1487</v>
      </c>
      <c r="N5522" s="3815"/>
      <c r="O5522" s="3689" t="s">
        <v>31</v>
      </c>
      <c r="P5522" s="3690"/>
      <c r="Q5522" s="3690"/>
      <c r="R5522" s="3690"/>
      <c r="S5522" s="3690"/>
      <c r="T5522" s="3690"/>
      <c r="U5522" s="3690"/>
      <c r="V5522" s="3690"/>
      <c r="W5522" s="3690"/>
      <c r="X5522" s="3690"/>
      <c r="Y5522" s="3690"/>
      <c r="Z5522" s="3691"/>
      <c r="AA5522" s="3692" t="s">
        <v>32</v>
      </c>
    </row>
    <row r="5523" spans="2:27" x14ac:dyDescent="0.2">
      <c r="B5523" s="3695"/>
      <c r="C5523" s="3697"/>
      <c r="D5523" s="1060"/>
      <c r="E5523" s="3697"/>
      <c r="F5523" s="3697"/>
      <c r="G5523" s="3697"/>
      <c r="H5523" s="3697"/>
      <c r="I5523" s="3697"/>
      <c r="J5523" s="1038" t="s">
        <v>33</v>
      </c>
      <c r="K5523" s="1038" t="s">
        <v>34</v>
      </c>
      <c r="L5523" s="3697"/>
      <c r="M5523" s="3816"/>
      <c r="N5523" s="3817"/>
      <c r="O5523" s="1039" t="s">
        <v>35</v>
      </c>
      <c r="P5523" s="1039" t="s">
        <v>36</v>
      </c>
      <c r="Q5523" s="1039" t="s">
        <v>37</v>
      </c>
      <c r="R5523" s="1039" t="s">
        <v>38</v>
      </c>
      <c r="S5523" s="1039" t="s">
        <v>39</v>
      </c>
      <c r="T5523" s="1039" t="s">
        <v>40</v>
      </c>
      <c r="U5523" s="1039" t="s">
        <v>41</v>
      </c>
      <c r="V5523" s="1039" t="s">
        <v>42</v>
      </c>
      <c r="W5523" s="1039" t="s">
        <v>2636</v>
      </c>
      <c r="X5523" s="1039" t="s">
        <v>44</v>
      </c>
      <c r="Y5523" s="1039" t="s">
        <v>45</v>
      </c>
      <c r="Z5523" s="1039" t="s">
        <v>46</v>
      </c>
      <c r="AA5523" s="3693"/>
    </row>
    <row r="5524" spans="2:27" x14ac:dyDescent="0.2">
      <c r="B5524" s="2945">
        <v>5000276</v>
      </c>
      <c r="C5524" s="2431" t="s">
        <v>2788</v>
      </c>
      <c r="D5524" s="3758"/>
      <c r="E5524" s="3199">
        <v>22</v>
      </c>
      <c r="F5524" s="3199" t="s">
        <v>2789</v>
      </c>
      <c r="G5524" s="2431" t="s">
        <v>2790</v>
      </c>
      <c r="H5524" s="2427" t="s">
        <v>1363</v>
      </c>
      <c r="I5524" s="3199" t="s">
        <v>2791</v>
      </c>
      <c r="J5524" s="3199">
        <v>12</v>
      </c>
      <c r="K5524" s="3840">
        <v>241821.99</v>
      </c>
      <c r="L5524" s="2431" t="s">
        <v>2655</v>
      </c>
      <c r="M5524" s="3633" t="s">
        <v>1344</v>
      </c>
      <c r="N5524" s="3633"/>
      <c r="O5524" s="1068">
        <v>1</v>
      </c>
      <c r="P5524" s="1068">
        <v>1</v>
      </c>
      <c r="Q5524" s="1068">
        <v>1</v>
      </c>
      <c r="R5524" s="1068">
        <v>1</v>
      </c>
      <c r="S5524" s="1068">
        <v>1</v>
      </c>
      <c r="T5524" s="1068">
        <v>1</v>
      </c>
      <c r="U5524" s="1068">
        <v>1</v>
      </c>
      <c r="V5524" s="1068">
        <v>1</v>
      </c>
      <c r="W5524" s="1068">
        <v>1</v>
      </c>
      <c r="X5524" s="1068">
        <v>1</v>
      </c>
      <c r="Y5524" s="1068">
        <v>1</v>
      </c>
      <c r="Z5524" s="1068">
        <v>1</v>
      </c>
      <c r="AA5524" s="2273">
        <v>12</v>
      </c>
    </row>
    <row r="5525" spans="2:27" x14ac:dyDescent="0.2">
      <c r="B5525" s="2946"/>
      <c r="C5525" s="2432"/>
      <c r="D5525" s="3819"/>
      <c r="E5525" s="3200"/>
      <c r="F5525" s="3200"/>
      <c r="G5525" s="2432"/>
      <c r="H5525" s="2430"/>
      <c r="I5525" s="3200"/>
      <c r="J5525" s="3200"/>
      <c r="K5525" s="3841"/>
      <c r="L5525" s="2432"/>
      <c r="M5525" s="3633" t="s">
        <v>1340</v>
      </c>
      <c r="N5525" s="3633"/>
      <c r="O5525" s="1074">
        <f>SUM(O5526,O5533,O5537,O5544,O5548,O5552,O5556)</f>
        <v>53373.789999999994</v>
      </c>
      <c r="P5525" s="1074">
        <f t="shared" ref="P5525:Z5525" si="909">SUM(P5526,P5533,P5537,P5544,P5548,P5552,P5556)</f>
        <v>53475.12999999999</v>
      </c>
      <c r="Q5525" s="1074">
        <f t="shared" si="909"/>
        <v>53475.12999999999</v>
      </c>
      <c r="R5525" s="1074">
        <f t="shared" si="909"/>
        <v>53475.12999999999</v>
      </c>
      <c r="S5525" s="1074">
        <f t="shared" si="909"/>
        <v>53035.149999999994</v>
      </c>
      <c r="T5525" s="1074">
        <f t="shared" si="909"/>
        <v>53035.149999999994</v>
      </c>
      <c r="U5525" s="1074">
        <f t="shared" si="909"/>
        <v>55435.149999999994</v>
      </c>
      <c r="V5525" s="1074">
        <f t="shared" si="909"/>
        <v>52587.149999999994</v>
      </c>
      <c r="W5525" s="1074">
        <f t="shared" si="909"/>
        <v>52581.75</v>
      </c>
      <c r="X5525" s="1074">
        <f t="shared" si="909"/>
        <v>52581.75</v>
      </c>
      <c r="Y5525" s="1074">
        <f t="shared" si="909"/>
        <v>52576.53</v>
      </c>
      <c r="Z5525" s="1074">
        <f t="shared" si="909"/>
        <v>54987.369999999995</v>
      </c>
      <c r="AA5525" s="2245">
        <f>SUM(O5525:Z5525)</f>
        <v>640619.18000000005</v>
      </c>
    </row>
    <row r="5526" spans="2:27" x14ac:dyDescent="0.2">
      <c r="B5526" s="2946"/>
      <c r="C5526" s="2432"/>
      <c r="D5526" s="3819"/>
      <c r="E5526" s="3200"/>
      <c r="F5526" s="3200"/>
      <c r="G5526" s="2432"/>
      <c r="H5526" s="2430"/>
      <c r="I5526" s="3200"/>
      <c r="J5526" s="3200"/>
      <c r="K5526" s="3841"/>
      <c r="L5526" s="2432"/>
      <c r="M5526" s="2471" t="s">
        <v>2792</v>
      </c>
      <c r="N5526" s="3843"/>
      <c r="O5526" s="3837">
        <v>20146.3</v>
      </c>
      <c r="P5526" s="3837">
        <v>20196.929999999997</v>
      </c>
      <c r="Q5526" s="3837">
        <v>20196.929999999997</v>
      </c>
      <c r="R5526" s="3837">
        <v>20196.929999999997</v>
      </c>
      <c r="S5526" s="3837">
        <v>19976.939999999999</v>
      </c>
      <c r="T5526" s="3837">
        <v>19976.939999999999</v>
      </c>
      <c r="U5526" s="3837">
        <v>21176.94</v>
      </c>
      <c r="V5526" s="3837">
        <v>19752.939999999999</v>
      </c>
      <c r="W5526" s="3837">
        <v>19750.240000000002</v>
      </c>
      <c r="X5526" s="3837">
        <v>19750.240000000002</v>
      </c>
      <c r="Y5526" s="3627">
        <v>19747.63</v>
      </c>
      <c r="Z5526" s="3627">
        <v>20953.03</v>
      </c>
      <c r="AA5526" s="3826">
        <f>SUM(O5526:Z5526)</f>
        <v>241821.98999999996</v>
      </c>
    </row>
    <row r="5527" spans="2:27" x14ac:dyDescent="0.2">
      <c r="B5527" s="2946"/>
      <c r="C5527" s="2432"/>
      <c r="D5527" s="3819"/>
      <c r="E5527" s="3200"/>
      <c r="F5527" s="3200"/>
      <c r="G5527" s="2432"/>
      <c r="H5527" s="2430"/>
      <c r="I5527" s="3200"/>
      <c r="J5527" s="3200"/>
      <c r="K5527" s="3841"/>
      <c r="L5527" s="2432"/>
      <c r="M5527" s="2892"/>
      <c r="N5527" s="3844"/>
      <c r="O5527" s="3838"/>
      <c r="P5527" s="3838"/>
      <c r="Q5527" s="3838"/>
      <c r="R5527" s="3838"/>
      <c r="S5527" s="3838"/>
      <c r="T5527" s="3838"/>
      <c r="U5527" s="3838"/>
      <c r="V5527" s="3838"/>
      <c r="W5527" s="3838"/>
      <c r="X5527" s="3838"/>
      <c r="Y5527" s="3627"/>
      <c r="Z5527" s="3627"/>
      <c r="AA5527" s="3826"/>
    </row>
    <row r="5528" spans="2:27" x14ac:dyDescent="0.2">
      <c r="B5528" s="2947"/>
      <c r="C5528" s="2437"/>
      <c r="D5528" s="3759"/>
      <c r="E5528" s="3201"/>
      <c r="F5528" s="3201"/>
      <c r="G5528" s="2437"/>
      <c r="H5528" s="2434"/>
      <c r="I5528" s="3201"/>
      <c r="J5528" s="3201"/>
      <c r="K5528" s="3842"/>
      <c r="L5528" s="2437"/>
      <c r="M5528" s="2472"/>
      <c r="N5528" s="3845"/>
      <c r="O5528" s="3839"/>
      <c r="P5528" s="3839"/>
      <c r="Q5528" s="3839"/>
      <c r="R5528" s="3839"/>
      <c r="S5528" s="3839"/>
      <c r="T5528" s="3839"/>
      <c r="U5528" s="3839"/>
      <c r="V5528" s="3839"/>
      <c r="W5528" s="3839"/>
      <c r="X5528" s="3839"/>
      <c r="Y5528" s="3627"/>
      <c r="Z5528" s="3627"/>
      <c r="AA5528" s="3826"/>
    </row>
    <row r="5529" spans="2:27" x14ac:dyDescent="0.2">
      <c r="B5529" s="3831" t="s">
        <v>2793</v>
      </c>
      <c r="C5529" s="3831" t="s">
        <v>2794</v>
      </c>
      <c r="D5529" s="2020"/>
      <c r="E5529" s="634"/>
      <c r="F5529" s="635"/>
      <c r="G5529" s="635"/>
      <c r="H5529" s="635"/>
      <c r="I5529" s="635"/>
      <c r="J5529" s="635"/>
      <c r="K5529" s="635"/>
      <c r="L5529" s="635"/>
      <c r="M5529" s="635"/>
      <c r="N5529" s="635"/>
      <c r="O5529" s="635"/>
      <c r="P5529" s="635"/>
      <c r="Q5529" s="635"/>
      <c r="R5529" s="635"/>
      <c r="S5529" s="635"/>
      <c r="T5529" s="635"/>
      <c r="U5529" s="635"/>
      <c r="V5529" s="635"/>
      <c r="W5529" s="635"/>
      <c r="X5529" s="635"/>
      <c r="Y5529" s="635"/>
      <c r="Z5529" s="635"/>
      <c r="AA5529" s="2274"/>
    </row>
    <row r="5530" spans="2:27" x14ac:dyDescent="0.2">
      <c r="B5530" s="3831"/>
      <c r="C5530" s="3831"/>
      <c r="D5530" s="636"/>
      <c r="E5530" s="636"/>
      <c r="F5530" s="637"/>
      <c r="G5530" s="637"/>
      <c r="H5530" s="637"/>
      <c r="I5530" s="637"/>
      <c r="J5530" s="637"/>
      <c r="K5530" s="637"/>
      <c r="L5530" s="637"/>
      <c r="M5530" s="637"/>
      <c r="N5530" s="637"/>
      <c r="O5530" s="637"/>
      <c r="P5530" s="637"/>
      <c r="Q5530" s="637"/>
      <c r="R5530" s="637"/>
      <c r="S5530" s="637"/>
      <c r="T5530" s="637"/>
      <c r="U5530" s="637"/>
      <c r="V5530" s="637"/>
      <c r="W5530" s="637"/>
      <c r="X5530" s="637"/>
      <c r="Y5530" s="637"/>
      <c r="Z5530" s="637"/>
      <c r="AA5530" s="638"/>
    </row>
    <row r="5531" spans="2:27" x14ac:dyDescent="0.2">
      <c r="B5531" s="3612" t="s">
        <v>2795</v>
      </c>
      <c r="C5531" s="3613"/>
      <c r="D5531" s="3613"/>
      <c r="E5531" s="3613"/>
      <c r="F5531" s="3613"/>
      <c r="G5531" s="3613"/>
      <c r="H5531" s="3613"/>
      <c r="I5531" s="3613"/>
      <c r="J5531" s="3613"/>
      <c r="K5531" s="3613"/>
      <c r="L5531" s="3613"/>
      <c r="M5531" s="3613"/>
      <c r="N5531" s="3613"/>
      <c r="O5531" s="3613"/>
      <c r="P5531" s="3613"/>
      <c r="Q5531" s="3613"/>
      <c r="R5531" s="3613"/>
      <c r="S5531" s="3613"/>
      <c r="T5531" s="3613"/>
      <c r="U5531" s="3613"/>
      <c r="V5531" s="3613"/>
      <c r="W5531" s="3613"/>
      <c r="X5531" s="3613"/>
      <c r="Y5531" s="3613"/>
      <c r="Z5531" s="3613"/>
      <c r="AA5531" s="3614"/>
    </row>
    <row r="5532" spans="2:27" x14ac:dyDescent="0.2">
      <c r="B5532" s="3832"/>
      <c r="C5532" s="3190" t="s">
        <v>2796</v>
      </c>
      <c r="D5532" s="3482"/>
      <c r="E5532" s="2431">
        <v>22</v>
      </c>
      <c r="F5532" s="3483" t="s">
        <v>2789</v>
      </c>
      <c r="G5532" s="2421" t="s">
        <v>2790</v>
      </c>
      <c r="H5532" s="3482"/>
      <c r="I5532" s="3483" t="s">
        <v>2791</v>
      </c>
      <c r="J5532" s="3483">
        <v>12</v>
      </c>
      <c r="K5532" s="3627">
        <f>+AA5534</f>
        <v>3448.9900000000002</v>
      </c>
      <c r="L5532" s="2421" t="s">
        <v>2797</v>
      </c>
      <c r="M5532" s="3633" t="s">
        <v>1344</v>
      </c>
      <c r="N5532" s="3633"/>
      <c r="O5532" s="1068">
        <v>1</v>
      </c>
      <c r="P5532" s="1068">
        <v>1</v>
      </c>
      <c r="Q5532" s="1068">
        <v>1</v>
      </c>
      <c r="R5532" s="1068">
        <v>1</v>
      </c>
      <c r="S5532" s="1068">
        <v>1</v>
      </c>
      <c r="T5532" s="1068">
        <v>1</v>
      </c>
      <c r="U5532" s="1068">
        <v>1</v>
      </c>
      <c r="V5532" s="1068">
        <v>1</v>
      </c>
      <c r="W5532" s="1068">
        <v>1</v>
      </c>
      <c r="X5532" s="1068">
        <v>1</v>
      </c>
      <c r="Y5532" s="1068">
        <v>1</v>
      </c>
      <c r="Z5532" s="1068">
        <v>1</v>
      </c>
      <c r="AA5532" s="2273">
        <v>12</v>
      </c>
    </row>
    <row r="5533" spans="2:27" x14ac:dyDescent="0.2">
      <c r="B5533" s="3833"/>
      <c r="C5533" s="3191"/>
      <c r="D5533" s="3482"/>
      <c r="E5533" s="3835"/>
      <c r="F5533" s="3483"/>
      <c r="G5533" s="2421"/>
      <c r="H5533" s="3482"/>
      <c r="I5533" s="3483"/>
      <c r="J5533" s="3483"/>
      <c r="K5533" s="3627"/>
      <c r="L5533" s="2421"/>
      <c r="M5533" s="3633" t="s">
        <v>1340</v>
      </c>
      <c r="N5533" s="3633"/>
      <c r="O5533" s="639">
        <f>SUM(O5534)</f>
        <v>482</v>
      </c>
      <c r="P5533" s="639">
        <f t="shared" ref="P5533:Z5533" si="910">SUM(P5534)</f>
        <v>532.51</v>
      </c>
      <c r="Q5533" s="639">
        <f t="shared" si="910"/>
        <v>532.51</v>
      </c>
      <c r="R5533" s="639">
        <f t="shared" si="910"/>
        <v>532.51</v>
      </c>
      <c r="S5533" s="639">
        <f t="shared" si="910"/>
        <v>312.51</v>
      </c>
      <c r="T5533" s="639">
        <f t="shared" si="910"/>
        <v>312.51</v>
      </c>
      <c r="U5533" s="639">
        <f t="shared" si="910"/>
        <v>312.51</v>
      </c>
      <c r="V5533" s="639">
        <f t="shared" si="910"/>
        <v>88.51</v>
      </c>
      <c r="W5533" s="639">
        <f t="shared" si="910"/>
        <v>85.81</v>
      </c>
      <c r="X5533" s="639">
        <f t="shared" si="910"/>
        <v>85.81</v>
      </c>
      <c r="Y5533" s="639">
        <f t="shared" si="910"/>
        <v>83.2</v>
      </c>
      <c r="Z5533" s="639">
        <f t="shared" si="910"/>
        <v>88.6</v>
      </c>
      <c r="AA5533" s="2157">
        <f>SUM(O5533:Z5533)</f>
        <v>3448.9900000000002</v>
      </c>
    </row>
    <row r="5534" spans="2:27" x14ac:dyDescent="0.2">
      <c r="B5534" s="3833"/>
      <c r="C5534" s="3191"/>
      <c r="D5534" s="3482"/>
      <c r="E5534" s="3835"/>
      <c r="F5534" s="3483"/>
      <c r="G5534" s="2421"/>
      <c r="H5534" s="3482"/>
      <c r="I5534" s="3483"/>
      <c r="J5534" s="3483"/>
      <c r="K5534" s="3627"/>
      <c r="L5534" s="2421"/>
      <c r="M5534" s="2471" t="s">
        <v>184</v>
      </c>
      <c r="N5534" s="2471" t="s">
        <v>2798</v>
      </c>
      <c r="O5534" s="3830">
        <v>482</v>
      </c>
      <c r="P5534" s="3830">
        <v>532.51</v>
      </c>
      <c r="Q5534" s="3830">
        <v>532.51</v>
      </c>
      <c r="R5534" s="3830">
        <v>532.51</v>
      </c>
      <c r="S5534" s="3830">
        <v>312.51</v>
      </c>
      <c r="T5534" s="3830">
        <v>312.51</v>
      </c>
      <c r="U5534" s="3830">
        <v>312.51</v>
      </c>
      <c r="V5534" s="3830">
        <v>88.51</v>
      </c>
      <c r="W5534" s="3830">
        <v>85.81</v>
      </c>
      <c r="X5534" s="3830">
        <v>85.81</v>
      </c>
      <c r="Y5534" s="3830">
        <v>83.2</v>
      </c>
      <c r="Z5534" s="3830">
        <v>88.6</v>
      </c>
      <c r="AA5534" s="3826">
        <f>SUM(O5534:Z5535)</f>
        <v>3448.9900000000002</v>
      </c>
    </row>
    <row r="5535" spans="2:27" x14ac:dyDescent="0.2">
      <c r="B5535" s="3834"/>
      <c r="C5535" s="2439"/>
      <c r="D5535" s="3482"/>
      <c r="E5535" s="3836"/>
      <c r="F5535" s="3483"/>
      <c r="G5535" s="2421"/>
      <c r="H5535" s="3482"/>
      <c r="I5535" s="3483"/>
      <c r="J5535" s="3483"/>
      <c r="K5535" s="3627"/>
      <c r="L5535" s="2421"/>
      <c r="M5535" s="2472"/>
      <c r="N5535" s="2472"/>
      <c r="O5535" s="3830"/>
      <c r="P5535" s="3830"/>
      <c r="Q5535" s="3830"/>
      <c r="R5535" s="3830"/>
      <c r="S5535" s="3830"/>
      <c r="T5535" s="3830"/>
      <c r="U5535" s="3830"/>
      <c r="V5535" s="3830"/>
      <c r="W5535" s="3830"/>
      <c r="X5535" s="3830"/>
      <c r="Y5535" s="3830"/>
      <c r="Z5535" s="3830"/>
      <c r="AA5535" s="3826"/>
    </row>
    <row r="5536" spans="2:27" x14ac:dyDescent="0.2">
      <c r="B5536" s="3199"/>
      <c r="C5536" s="3190" t="s">
        <v>2799</v>
      </c>
      <c r="D5536" s="3199"/>
      <c r="E5536" s="3199">
        <v>22</v>
      </c>
      <c r="F5536" s="3199" t="s">
        <v>2789</v>
      </c>
      <c r="G5536" s="2431" t="s">
        <v>2790</v>
      </c>
      <c r="H5536" s="3827"/>
      <c r="I5536" s="3199" t="s">
        <v>2791</v>
      </c>
      <c r="J5536" s="3199">
        <v>12</v>
      </c>
      <c r="K5536" s="3840">
        <f>+AA5538</f>
        <v>238372.99999999994</v>
      </c>
      <c r="L5536" s="2431" t="s">
        <v>2797</v>
      </c>
      <c r="M5536" s="3633" t="s">
        <v>1344</v>
      </c>
      <c r="N5536" s="3633"/>
      <c r="O5536" s="1068">
        <v>1</v>
      </c>
      <c r="P5536" s="1068">
        <v>1</v>
      </c>
      <c r="Q5536" s="1068">
        <v>1</v>
      </c>
      <c r="R5536" s="1068">
        <v>1</v>
      </c>
      <c r="S5536" s="1068">
        <v>1</v>
      </c>
      <c r="T5536" s="1068">
        <v>1</v>
      </c>
      <c r="U5536" s="1068">
        <v>1</v>
      </c>
      <c r="V5536" s="1068">
        <v>1</v>
      </c>
      <c r="W5536" s="1068">
        <v>1</v>
      </c>
      <c r="X5536" s="1068">
        <v>1</v>
      </c>
      <c r="Y5536" s="1068">
        <v>1</v>
      </c>
      <c r="Z5536" s="1068">
        <v>1</v>
      </c>
      <c r="AA5536" s="2273">
        <v>12</v>
      </c>
    </row>
    <row r="5537" spans="2:27" x14ac:dyDescent="0.2">
      <c r="B5537" s="3200"/>
      <c r="C5537" s="3191"/>
      <c r="D5537" s="3200"/>
      <c r="E5537" s="3200"/>
      <c r="F5537" s="3200"/>
      <c r="G5537" s="2432"/>
      <c r="H5537" s="3828"/>
      <c r="I5537" s="3200"/>
      <c r="J5537" s="3200"/>
      <c r="K5537" s="3841"/>
      <c r="L5537" s="2432"/>
      <c r="M5537" s="3633" t="s">
        <v>1340</v>
      </c>
      <c r="N5537" s="3633"/>
      <c r="O5537" s="1071">
        <f>SUM(O5538)</f>
        <v>19664.3</v>
      </c>
      <c r="P5537" s="1071">
        <f t="shared" ref="P5537:Z5537" si="911">SUM(P5538)</f>
        <v>19664.419999999998</v>
      </c>
      <c r="Q5537" s="1071">
        <f t="shared" si="911"/>
        <v>19664.419999999998</v>
      </c>
      <c r="R5537" s="1071">
        <f t="shared" si="911"/>
        <v>19664.419999999998</v>
      </c>
      <c r="S5537" s="1071">
        <f t="shared" si="911"/>
        <v>19664.43</v>
      </c>
      <c r="T5537" s="1071">
        <f t="shared" si="911"/>
        <v>19664.43</v>
      </c>
      <c r="U5537" s="1071">
        <f t="shared" si="911"/>
        <v>20864.43</v>
      </c>
      <c r="V5537" s="1071">
        <f t="shared" si="911"/>
        <v>19664.43</v>
      </c>
      <c r="W5537" s="1071">
        <f t="shared" si="911"/>
        <v>19664.43</v>
      </c>
      <c r="X5537" s="1071">
        <f t="shared" si="911"/>
        <v>19664.43</v>
      </c>
      <c r="Y5537" s="1071">
        <f t="shared" si="911"/>
        <v>19664.43</v>
      </c>
      <c r="Z5537" s="1071">
        <f t="shared" si="911"/>
        <v>20864.43</v>
      </c>
      <c r="AA5537" s="2259">
        <f>SUM(O5537:Z5537)</f>
        <v>238372.99999999994</v>
      </c>
    </row>
    <row r="5538" spans="2:27" x14ac:dyDescent="0.2">
      <c r="B5538" s="3200"/>
      <c r="C5538" s="3191"/>
      <c r="D5538" s="3200"/>
      <c r="E5538" s="3200"/>
      <c r="F5538" s="3200"/>
      <c r="G5538" s="2432"/>
      <c r="H5538" s="3828"/>
      <c r="I5538" s="3200"/>
      <c r="J5538" s="3200"/>
      <c r="K5538" s="3841"/>
      <c r="L5538" s="2432"/>
      <c r="M5538" s="2471" t="s">
        <v>2792</v>
      </c>
      <c r="N5538" s="2471"/>
      <c r="O5538" s="3830">
        <v>19664.3</v>
      </c>
      <c r="P5538" s="3830">
        <v>19664.419999999998</v>
      </c>
      <c r="Q5538" s="3830">
        <v>19664.419999999998</v>
      </c>
      <c r="R5538" s="3830">
        <v>19664.419999999998</v>
      </c>
      <c r="S5538" s="3830">
        <v>19664.43</v>
      </c>
      <c r="T5538" s="3830">
        <v>19664.43</v>
      </c>
      <c r="U5538" s="3830">
        <v>20864.43</v>
      </c>
      <c r="V5538" s="3830">
        <v>19664.43</v>
      </c>
      <c r="W5538" s="3830">
        <v>19664.43</v>
      </c>
      <c r="X5538" s="3830">
        <v>19664.43</v>
      </c>
      <c r="Y5538" s="3830">
        <v>19664.43</v>
      </c>
      <c r="Z5538" s="3830">
        <v>20864.43</v>
      </c>
      <c r="AA5538" s="3826">
        <f>SUM(O5538:Z5539)</f>
        <v>238372.99999999994</v>
      </c>
    </row>
    <row r="5539" spans="2:27" x14ac:dyDescent="0.2">
      <c r="B5539" s="3201"/>
      <c r="C5539" s="2439"/>
      <c r="D5539" s="3201"/>
      <c r="E5539" s="3201"/>
      <c r="F5539" s="3201"/>
      <c r="G5539" s="2437"/>
      <c r="H5539" s="3829"/>
      <c r="I5539" s="3201"/>
      <c r="J5539" s="3201"/>
      <c r="K5539" s="3842"/>
      <c r="L5539" s="2437"/>
      <c r="M5539" s="2472"/>
      <c r="N5539" s="2472"/>
      <c r="O5539" s="3830"/>
      <c r="P5539" s="3830"/>
      <c r="Q5539" s="3830"/>
      <c r="R5539" s="3830"/>
      <c r="S5539" s="3809"/>
      <c r="T5539" s="3830"/>
      <c r="U5539" s="3830"/>
      <c r="V5539" s="3830"/>
      <c r="W5539" s="3830"/>
      <c r="X5539" s="3830"/>
      <c r="Y5539" s="3830"/>
      <c r="Z5539" s="3830"/>
      <c r="AA5539" s="3826"/>
    </row>
    <row r="5540" spans="2:27" x14ac:dyDescent="0.2">
      <c r="B5540" s="640" t="s">
        <v>18</v>
      </c>
      <c r="C5540" s="3850" t="s">
        <v>2800</v>
      </c>
      <c r="D5540" s="3851"/>
      <c r="E5540" s="3851"/>
      <c r="F5540" s="3851"/>
      <c r="G5540" s="3851"/>
      <c r="H5540" s="3851"/>
      <c r="I5540" s="3851"/>
      <c r="J5540" s="3851"/>
      <c r="K5540" s="3851"/>
      <c r="L5540" s="3851"/>
      <c r="M5540" s="641"/>
      <c r="N5540" s="641"/>
      <c r="O5540" s="641"/>
      <c r="P5540" s="641"/>
      <c r="Q5540" s="641"/>
      <c r="R5540" s="641"/>
      <c r="S5540" s="641"/>
      <c r="T5540" s="641"/>
      <c r="U5540" s="641"/>
      <c r="V5540" s="641"/>
      <c r="W5540" s="641"/>
      <c r="X5540" s="641"/>
      <c r="Y5540" s="641"/>
      <c r="Z5540" s="641"/>
      <c r="AA5540" s="642"/>
    </row>
    <row r="5541" spans="2:27" x14ac:dyDescent="0.2">
      <c r="B5541" s="3696" t="s">
        <v>2634</v>
      </c>
      <c r="C5541" s="3696" t="s">
        <v>2635</v>
      </c>
      <c r="D5541" s="3696" t="s">
        <v>22</v>
      </c>
      <c r="E5541" s="3696" t="s">
        <v>23</v>
      </c>
      <c r="F5541" s="3696" t="s">
        <v>164</v>
      </c>
      <c r="G5541" s="3696" t="s">
        <v>25</v>
      </c>
      <c r="H5541" s="3696" t="s">
        <v>26</v>
      </c>
      <c r="I5541" s="3696" t="s">
        <v>27</v>
      </c>
      <c r="J5541" s="3820" t="s">
        <v>28</v>
      </c>
      <c r="K5541" s="3821"/>
      <c r="L5541" s="3696" t="s">
        <v>29</v>
      </c>
      <c r="M5541" s="3814" t="s">
        <v>1487</v>
      </c>
      <c r="N5541" s="3815"/>
      <c r="O5541" s="3818" t="s">
        <v>31</v>
      </c>
      <c r="P5541" s="3818"/>
      <c r="Q5541" s="3818"/>
      <c r="R5541" s="3818"/>
      <c r="S5541" s="3818"/>
      <c r="T5541" s="3818"/>
      <c r="U5541" s="3818"/>
      <c r="V5541" s="3818"/>
      <c r="W5541" s="3818"/>
      <c r="X5541" s="3818"/>
      <c r="Y5541" s="3818"/>
      <c r="Z5541" s="3818"/>
      <c r="AA5541" s="3692" t="s">
        <v>32</v>
      </c>
    </row>
    <row r="5542" spans="2:27" x14ac:dyDescent="0.2">
      <c r="B5542" s="3848"/>
      <c r="C5542" s="3848"/>
      <c r="D5542" s="3848"/>
      <c r="E5542" s="3848"/>
      <c r="F5542" s="3848"/>
      <c r="G5542" s="3848"/>
      <c r="H5542" s="3848"/>
      <c r="I5542" s="3848"/>
      <c r="J5542" s="3846"/>
      <c r="K5542" s="3847"/>
      <c r="L5542" s="3848"/>
      <c r="M5542" s="3816"/>
      <c r="N5542" s="3817"/>
      <c r="O5542" s="1039" t="s">
        <v>35</v>
      </c>
      <c r="P5542" s="1039" t="s">
        <v>36</v>
      </c>
      <c r="Q5542" s="1039" t="s">
        <v>37</v>
      </c>
      <c r="R5542" s="1039" t="s">
        <v>38</v>
      </c>
      <c r="S5542" s="1039" t="s">
        <v>39</v>
      </c>
      <c r="T5542" s="1039" t="s">
        <v>40</v>
      </c>
      <c r="U5542" s="1039" t="s">
        <v>41</v>
      </c>
      <c r="V5542" s="1039" t="s">
        <v>42</v>
      </c>
      <c r="W5542" s="1039" t="s">
        <v>2636</v>
      </c>
      <c r="X5542" s="1039" t="s">
        <v>44</v>
      </c>
      <c r="Y5542" s="1039" t="s">
        <v>45</v>
      </c>
      <c r="Z5542" s="1039" t="s">
        <v>46</v>
      </c>
      <c r="AA5542" s="3849"/>
    </row>
    <row r="5543" spans="2:27" x14ac:dyDescent="0.2">
      <c r="B5543" s="2177"/>
      <c r="C5543" s="2177"/>
      <c r="D5543" s="2154"/>
      <c r="E5543" s="2177"/>
      <c r="F5543" s="2177"/>
      <c r="G5543" s="2177"/>
      <c r="H5543" s="2177"/>
      <c r="I5543" s="2177"/>
      <c r="J5543" s="2176" t="s">
        <v>33</v>
      </c>
      <c r="K5543" s="1038" t="s">
        <v>34</v>
      </c>
      <c r="L5543" s="643"/>
      <c r="M5543" s="3633" t="s">
        <v>1344</v>
      </c>
      <c r="N5543" s="3633"/>
      <c r="O5543" s="1068">
        <v>68</v>
      </c>
      <c r="P5543" s="1068">
        <v>66</v>
      </c>
      <c r="Q5543" s="1068">
        <v>66</v>
      </c>
      <c r="R5543" s="1068">
        <v>66</v>
      </c>
      <c r="S5543" s="1068">
        <v>66</v>
      </c>
      <c r="T5543" s="1068">
        <v>66</v>
      </c>
      <c r="U5543" s="1068">
        <v>66</v>
      </c>
      <c r="V5543" s="1068">
        <v>66</v>
      </c>
      <c r="W5543" s="1068">
        <v>66</v>
      </c>
      <c r="X5543" s="1068">
        <v>66</v>
      </c>
      <c r="Y5543" s="1068">
        <v>66</v>
      </c>
      <c r="Z5543" s="1068">
        <v>66</v>
      </c>
      <c r="AA5543" s="2273">
        <f>SUM(O5543:Z5543)</f>
        <v>794</v>
      </c>
    </row>
    <row r="5544" spans="2:27" x14ac:dyDescent="0.2">
      <c r="B5544" s="2945">
        <v>5003108</v>
      </c>
      <c r="C5544" s="3190" t="s">
        <v>2801</v>
      </c>
      <c r="D5544" s="3068"/>
      <c r="E5544" s="3199">
        <v>22</v>
      </c>
      <c r="F5544" s="2431" t="s">
        <v>2802</v>
      </c>
      <c r="G5544" s="2431" t="s">
        <v>2803</v>
      </c>
      <c r="H5544" s="2431" t="s">
        <v>2804</v>
      </c>
      <c r="I5544" s="3199" t="s">
        <v>2805</v>
      </c>
      <c r="J5544" s="3199">
        <v>794</v>
      </c>
      <c r="K5544" s="3199">
        <f>+AA5545</f>
        <v>24799.999999999993</v>
      </c>
      <c r="L5544" s="2431" t="s">
        <v>2797</v>
      </c>
      <c r="M5544" s="3633" t="s">
        <v>1340</v>
      </c>
      <c r="N5544" s="3633"/>
      <c r="O5544" s="1097">
        <f>SUM(O5545)</f>
        <v>2066.63</v>
      </c>
      <c r="P5544" s="1097">
        <f t="shared" ref="P5544:Z5544" si="912">SUM(P5545)</f>
        <v>2066.67</v>
      </c>
      <c r="Q5544" s="1097">
        <f t="shared" si="912"/>
        <v>2066.67</v>
      </c>
      <c r="R5544" s="1097">
        <f t="shared" si="912"/>
        <v>2066.67</v>
      </c>
      <c r="S5544" s="1097">
        <f t="shared" si="912"/>
        <v>2066.67</v>
      </c>
      <c r="T5544" s="1097">
        <f t="shared" si="912"/>
        <v>2066.67</v>
      </c>
      <c r="U5544" s="1097">
        <f t="shared" si="912"/>
        <v>2066.67</v>
      </c>
      <c r="V5544" s="1097">
        <f t="shared" si="912"/>
        <v>2066.67</v>
      </c>
      <c r="W5544" s="1097">
        <f t="shared" si="912"/>
        <v>2066.67</v>
      </c>
      <c r="X5544" s="1097">
        <f t="shared" si="912"/>
        <v>2066.67</v>
      </c>
      <c r="Y5544" s="1097">
        <f t="shared" si="912"/>
        <v>2066.67</v>
      </c>
      <c r="Z5544" s="1097">
        <f t="shared" si="912"/>
        <v>2066.67</v>
      </c>
      <c r="AA5544" s="2275">
        <f>SUM(O5544:Z5544)</f>
        <v>24799.999999999993</v>
      </c>
    </row>
    <row r="5545" spans="2:27" x14ac:dyDescent="0.2">
      <c r="B5545" s="2946"/>
      <c r="C5545" s="3191"/>
      <c r="D5545" s="3069"/>
      <c r="E5545" s="3200"/>
      <c r="F5545" s="2432"/>
      <c r="G5545" s="2432"/>
      <c r="H5545" s="2432"/>
      <c r="I5545" s="3200"/>
      <c r="J5545" s="3200"/>
      <c r="K5545" s="3200"/>
      <c r="L5545" s="2432"/>
      <c r="M5545" s="2431" t="s">
        <v>1492</v>
      </c>
      <c r="N5545" s="2431" t="s">
        <v>1262</v>
      </c>
      <c r="O5545" s="3627">
        <v>2066.63</v>
      </c>
      <c r="P5545" s="3627">
        <v>2066.67</v>
      </c>
      <c r="Q5545" s="3627">
        <v>2066.67</v>
      </c>
      <c r="R5545" s="3627">
        <v>2066.67</v>
      </c>
      <c r="S5545" s="3627">
        <v>2066.67</v>
      </c>
      <c r="T5545" s="3627">
        <v>2066.67</v>
      </c>
      <c r="U5545" s="3627">
        <v>2066.67</v>
      </c>
      <c r="V5545" s="3627">
        <v>2066.67</v>
      </c>
      <c r="W5545" s="3627">
        <v>2066.67</v>
      </c>
      <c r="X5545" s="3627">
        <v>2066.67</v>
      </c>
      <c r="Y5545" s="3627">
        <v>2066.67</v>
      </c>
      <c r="Z5545" s="3627">
        <v>2066.67</v>
      </c>
      <c r="AA5545" s="3611">
        <f>SUM(O5545:Z5546)</f>
        <v>24799.999999999993</v>
      </c>
    </row>
    <row r="5546" spans="2:27" x14ac:dyDescent="0.2">
      <c r="B5546" s="2947"/>
      <c r="C5546" s="2439"/>
      <c r="D5546" s="3070"/>
      <c r="E5546" s="3201"/>
      <c r="F5546" s="2437"/>
      <c r="G5546" s="2437"/>
      <c r="H5546" s="2437"/>
      <c r="I5546" s="3201"/>
      <c r="J5546" s="3201"/>
      <c r="K5546" s="3201"/>
      <c r="L5546" s="2437"/>
      <c r="M5546" s="2437"/>
      <c r="N5546" s="2437"/>
      <c r="O5546" s="3627"/>
      <c r="P5546" s="3627"/>
      <c r="Q5546" s="3809"/>
      <c r="R5546" s="3627"/>
      <c r="S5546" s="3627"/>
      <c r="T5546" s="3627"/>
      <c r="U5546" s="3627"/>
      <c r="V5546" s="3627"/>
      <c r="W5546" s="3627"/>
      <c r="X5546" s="3627"/>
      <c r="Y5546" s="3627"/>
      <c r="Z5546" s="3627"/>
      <c r="AA5546" s="3611"/>
    </row>
    <row r="5547" spans="2:27" x14ac:dyDescent="0.2">
      <c r="B5547" s="2945">
        <v>5003108</v>
      </c>
      <c r="C5547" s="3190" t="s">
        <v>2801</v>
      </c>
      <c r="D5547" s="2431"/>
      <c r="E5547" s="3199">
        <v>22</v>
      </c>
      <c r="F5547" s="2431" t="s">
        <v>2802</v>
      </c>
      <c r="G5547" s="2431" t="s">
        <v>2806</v>
      </c>
      <c r="H5547" s="2431" t="s">
        <v>2804</v>
      </c>
      <c r="I5547" s="3199" t="s">
        <v>2805</v>
      </c>
      <c r="J5547" s="3199">
        <v>1100</v>
      </c>
      <c r="K5547" s="3199">
        <f>+AA5549</f>
        <v>34399.999999999993</v>
      </c>
      <c r="L5547" s="2431" t="s">
        <v>2797</v>
      </c>
      <c r="M5547" s="3633" t="s">
        <v>1344</v>
      </c>
      <c r="N5547" s="3633"/>
      <c r="O5547" s="1074">
        <v>99</v>
      </c>
      <c r="P5547" s="1074">
        <v>91</v>
      </c>
      <c r="Q5547" s="1074">
        <v>91</v>
      </c>
      <c r="R5547" s="1074">
        <v>91</v>
      </c>
      <c r="S5547" s="1074">
        <v>91</v>
      </c>
      <c r="T5547" s="1074">
        <v>91</v>
      </c>
      <c r="U5547" s="1074">
        <v>91</v>
      </c>
      <c r="V5547" s="1074">
        <v>91</v>
      </c>
      <c r="W5547" s="1074">
        <v>91</v>
      </c>
      <c r="X5547" s="1074">
        <v>91</v>
      </c>
      <c r="Y5547" s="1074">
        <v>91</v>
      </c>
      <c r="Z5547" s="1074">
        <v>91</v>
      </c>
      <c r="AA5547" s="2273">
        <f>SUM(O5547:Z5547)</f>
        <v>1100</v>
      </c>
    </row>
    <row r="5548" spans="2:27" x14ac:dyDescent="0.2">
      <c r="B5548" s="2946"/>
      <c r="C5548" s="3191"/>
      <c r="D5548" s="2432"/>
      <c r="E5548" s="3200"/>
      <c r="F5548" s="2432"/>
      <c r="G5548" s="2432"/>
      <c r="H5548" s="2432"/>
      <c r="I5548" s="3200"/>
      <c r="J5548" s="3200"/>
      <c r="K5548" s="3200"/>
      <c r="L5548" s="2432"/>
      <c r="M5548" s="3633" t="s">
        <v>1340</v>
      </c>
      <c r="N5548" s="3633"/>
      <c r="O5548" s="1074">
        <f>SUM(O5549)</f>
        <v>2866.63</v>
      </c>
      <c r="P5548" s="1074">
        <f t="shared" ref="P5548:Z5548" si="913">SUM(P5549)</f>
        <v>2866.67</v>
      </c>
      <c r="Q5548" s="1074">
        <f t="shared" si="913"/>
        <v>2866.67</v>
      </c>
      <c r="R5548" s="1074">
        <f t="shared" si="913"/>
        <v>2866.67</v>
      </c>
      <c r="S5548" s="1074">
        <f t="shared" si="913"/>
        <v>2866.67</v>
      </c>
      <c r="T5548" s="1074">
        <f t="shared" si="913"/>
        <v>2866.67</v>
      </c>
      <c r="U5548" s="1074">
        <f t="shared" si="913"/>
        <v>2866.67</v>
      </c>
      <c r="V5548" s="1074">
        <f t="shared" si="913"/>
        <v>2866.67</v>
      </c>
      <c r="W5548" s="1074">
        <f t="shared" si="913"/>
        <v>2866.67</v>
      </c>
      <c r="X5548" s="1074">
        <f t="shared" si="913"/>
        <v>2866.67</v>
      </c>
      <c r="Y5548" s="1074">
        <f t="shared" si="913"/>
        <v>2866.67</v>
      </c>
      <c r="Z5548" s="1074">
        <f t="shared" si="913"/>
        <v>2866.67</v>
      </c>
      <c r="AA5548" s="2245">
        <f>SUM(O5548:Z5548)</f>
        <v>34399.999999999993</v>
      </c>
    </row>
    <row r="5549" spans="2:27" x14ac:dyDescent="0.2">
      <c r="B5549" s="2946"/>
      <c r="C5549" s="3191"/>
      <c r="D5549" s="2432"/>
      <c r="E5549" s="3200"/>
      <c r="F5549" s="2432"/>
      <c r="G5549" s="2432"/>
      <c r="H5549" s="2432"/>
      <c r="I5549" s="3200"/>
      <c r="J5549" s="3200"/>
      <c r="K5549" s="3200"/>
      <c r="L5549" s="2432"/>
      <c r="M5549" s="2431" t="s">
        <v>1492</v>
      </c>
      <c r="N5549" s="2431" t="s">
        <v>1262</v>
      </c>
      <c r="O5549" s="3199">
        <v>2866.63</v>
      </c>
      <c r="P5549" s="3199">
        <v>2866.67</v>
      </c>
      <c r="Q5549" s="3199">
        <v>2866.67</v>
      </c>
      <c r="R5549" s="3199">
        <v>2866.67</v>
      </c>
      <c r="S5549" s="3199">
        <v>2866.67</v>
      </c>
      <c r="T5549" s="3199">
        <v>2866.67</v>
      </c>
      <c r="U5549" s="3199">
        <v>2866.67</v>
      </c>
      <c r="V5549" s="3199">
        <v>2866.67</v>
      </c>
      <c r="W5549" s="3199">
        <v>2866.67</v>
      </c>
      <c r="X5549" s="3199">
        <v>2866.67</v>
      </c>
      <c r="Y5549" s="3199">
        <v>2866.67</v>
      </c>
      <c r="Z5549" s="3199">
        <v>2866.67</v>
      </c>
      <c r="AA5549" s="3611">
        <f>SUM(O5549:Z5550)</f>
        <v>34399.999999999993</v>
      </c>
    </row>
    <row r="5550" spans="2:27" x14ac:dyDescent="0.2">
      <c r="B5550" s="2947"/>
      <c r="C5550" s="2439"/>
      <c r="D5550" s="2437"/>
      <c r="E5550" s="3201"/>
      <c r="F5550" s="2437"/>
      <c r="G5550" s="2437"/>
      <c r="H5550" s="2437"/>
      <c r="I5550" s="3201"/>
      <c r="J5550" s="3201"/>
      <c r="K5550" s="3201"/>
      <c r="L5550" s="2437"/>
      <c r="M5550" s="2437"/>
      <c r="N5550" s="2437"/>
      <c r="O5550" s="3201"/>
      <c r="P5550" s="3201"/>
      <c r="Q5550" s="3201"/>
      <c r="R5550" s="3201"/>
      <c r="S5550" s="3201"/>
      <c r="T5550" s="3201"/>
      <c r="U5550" s="3201"/>
      <c r="V5550" s="3201"/>
      <c r="W5550" s="3201"/>
      <c r="X5550" s="3201"/>
      <c r="Y5550" s="3201"/>
      <c r="Z5550" s="3201"/>
      <c r="AA5550" s="3611"/>
    </row>
    <row r="5551" spans="2:27" x14ac:dyDescent="0.2">
      <c r="B5551" s="2945">
        <v>5003108</v>
      </c>
      <c r="C5551" s="3190" t="s">
        <v>2801</v>
      </c>
      <c r="D5551" s="2431"/>
      <c r="E5551" s="3199">
        <v>22</v>
      </c>
      <c r="F5551" s="2431" t="s">
        <v>2802</v>
      </c>
      <c r="G5551" s="2431" t="s">
        <v>2807</v>
      </c>
      <c r="H5551" s="2431" t="s">
        <v>2804</v>
      </c>
      <c r="I5551" s="3199" t="s">
        <v>2805</v>
      </c>
      <c r="J5551" s="3199">
        <v>666</v>
      </c>
      <c r="K5551" s="3199">
        <f>+AA5553</f>
        <v>20799.999999999996</v>
      </c>
      <c r="L5551" s="2431" t="s">
        <v>2797</v>
      </c>
      <c r="M5551" s="3633" t="s">
        <v>1344</v>
      </c>
      <c r="N5551" s="3633"/>
      <c r="O5551" s="1068">
        <v>61</v>
      </c>
      <c r="P5551" s="1068">
        <v>55</v>
      </c>
      <c r="Q5551" s="1068">
        <v>55</v>
      </c>
      <c r="R5551" s="1068">
        <v>55</v>
      </c>
      <c r="S5551" s="1068">
        <v>55</v>
      </c>
      <c r="T5551" s="1068">
        <v>55</v>
      </c>
      <c r="U5551" s="1068">
        <v>55</v>
      </c>
      <c r="V5551" s="1068">
        <v>55</v>
      </c>
      <c r="W5551" s="1068">
        <v>55</v>
      </c>
      <c r="X5551" s="1068">
        <v>55</v>
      </c>
      <c r="Y5551" s="1068">
        <v>55</v>
      </c>
      <c r="Z5551" s="1068">
        <v>55</v>
      </c>
      <c r="AA5551" s="2273">
        <f t="shared" ref="AA5551" si="914">SUM(O5551:Z5551)</f>
        <v>666</v>
      </c>
    </row>
    <row r="5552" spans="2:27" x14ac:dyDescent="0.2">
      <c r="B5552" s="2946"/>
      <c r="C5552" s="3191"/>
      <c r="D5552" s="2432"/>
      <c r="E5552" s="3200"/>
      <c r="F5552" s="2432"/>
      <c r="G5552" s="2432"/>
      <c r="H5552" s="2432"/>
      <c r="I5552" s="3200"/>
      <c r="J5552" s="3200"/>
      <c r="K5552" s="3200"/>
      <c r="L5552" s="2432"/>
      <c r="M5552" s="3633" t="s">
        <v>1340</v>
      </c>
      <c r="N5552" s="3633"/>
      <c r="O5552" s="1068">
        <f>SUM(O5553)</f>
        <v>1733.33</v>
      </c>
      <c r="P5552" s="1068">
        <f t="shared" ref="P5552:Y5552" si="915">SUM(P5553)</f>
        <v>1733.33</v>
      </c>
      <c r="Q5552" s="1068">
        <f t="shared" si="915"/>
        <v>1733.33</v>
      </c>
      <c r="R5552" s="1068">
        <f t="shared" si="915"/>
        <v>1733.33</v>
      </c>
      <c r="S5552" s="1068">
        <f t="shared" si="915"/>
        <v>1733.33</v>
      </c>
      <c r="T5552" s="1068">
        <f t="shared" si="915"/>
        <v>1733.33</v>
      </c>
      <c r="U5552" s="1068">
        <f t="shared" si="915"/>
        <v>1733.33</v>
      </c>
      <c r="V5552" s="1068">
        <f t="shared" si="915"/>
        <v>1733.33</v>
      </c>
      <c r="W5552" s="1068">
        <f t="shared" si="915"/>
        <v>1733.33</v>
      </c>
      <c r="X5552" s="1068">
        <f t="shared" si="915"/>
        <v>1733.33</v>
      </c>
      <c r="Y5552" s="1068">
        <f t="shared" si="915"/>
        <v>1733.33</v>
      </c>
      <c r="Z5552" s="1068">
        <f>SUM(Z5553)</f>
        <v>1733.37</v>
      </c>
      <c r="AA5552" s="2245">
        <f>SUM(O5552:Z5552)</f>
        <v>20799.999999999996</v>
      </c>
    </row>
    <row r="5553" spans="2:27" x14ac:dyDescent="0.2">
      <c r="B5553" s="2946"/>
      <c r="C5553" s="3191"/>
      <c r="D5553" s="2432"/>
      <c r="E5553" s="3200"/>
      <c r="F5553" s="2432"/>
      <c r="G5553" s="2432"/>
      <c r="H5553" s="2432"/>
      <c r="I5553" s="3200"/>
      <c r="J5553" s="3200"/>
      <c r="K5553" s="3200"/>
      <c r="L5553" s="2432"/>
      <c r="M5553" s="2431" t="s">
        <v>1492</v>
      </c>
      <c r="N5553" s="2431" t="s">
        <v>1262</v>
      </c>
      <c r="O5553" s="3483">
        <v>1733.33</v>
      </c>
      <c r="P5553" s="3483">
        <v>1733.33</v>
      </c>
      <c r="Q5553" s="3483">
        <v>1733.33</v>
      </c>
      <c r="R5553" s="3483">
        <v>1733.33</v>
      </c>
      <c r="S5553" s="3483">
        <v>1733.33</v>
      </c>
      <c r="T5553" s="3483">
        <v>1733.33</v>
      </c>
      <c r="U5553" s="3483">
        <v>1733.33</v>
      </c>
      <c r="V5553" s="3483">
        <v>1733.33</v>
      </c>
      <c r="W5553" s="3483">
        <v>1733.33</v>
      </c>
      <c r="X5553" s="3483">
        <v>1733.33</v>
      </c>
      <c r="Y5553" s="3483">
        <v>1733.33</v>
      </c>
      <c r="Z5553" s="3483">
        <v>1733.37</v>
      </c>
      <c r="AA5553" s="3611">
        <f>SUM(O5553:Z5554)</f>
        <v>20799.999999999996</v>
      </c>
    </row>
    <row r="5554" spans="2:27" x14ac:dyDescent="0.2">
      <c r="B5554" s="2947"/>
      <c r="C5554" s="2439"/>
      <c r="D5554" s="2437"/>
      <c r="E5554" s="3201"/>
      <c r="F5554" s="2437"/>
      <c r="G5554" s="2437"/>
      <c r="H5554" s="2437"/>
      <c r="I5554" s="3201"/>
      <c r="J5554" s="3201"/>
      <c r="K5554" s="3201"/>
      <c r="L5554" s="2437"/>
      <c r="M5554" s="2437"/>
      <c r="N5554" s="2437"/>
      <c r="O5554" s="3483"/>
      <c r="P5554" s="3483"/>
      <c r="Q5554" s="3483"/>
      <c r="R5554" s="3483"/>
      <c r="S5554" s="3483"/>
      <c r="T5554" s="3483"/>
      <c r="U5554" s="3483"/>
      <c r="V5554" s="3483"/>
      <c r="W5554" s="3483"/>
      <c r="X5554" s="3483"/>
      <c r="Y5554" s="3483"/>
      <c r="Z5554" s="3483"/>
      <c r="AA5554" s="3611"/>
    </row>
    <row r="5555" spans="2:27" x14ac:dyDescent="0.2">
      <c r="B5555" s="2945">
        <v>5005629</v>
      </c>
      <c r="C5555" s="3190" t="s">
        <v>2808</v>
      </c>
      <c r="D5555" s="2431"/>
      <c r="E5555" s="3199">
        <v>22</v>
      </c>
      <c r="F5555" s="2431" t="s">
        <v>2802</v>
      </c>
      <c r="G5555" s="2431" t="s">
        <v>2806</v>
      </c>
      <c r="H5555" s="2431" t="s">
        <v>2804</v>
      </c>
      <c r="I5555" s="3199" t="s">
        <v>2805</v>
      </c>
      <c r="J5555" s="3199">
        <v>2</v>
      </c>
      <c r="K5555" s="3199">
        <f>+AA5557</f>
        <v>76975.199999999997</v>
      </c>
      <c r="L5555" s="2431" t="s">
        <v>2797</v>
      </c>
      <c r="M5555" s="3633" t="s">
        <v>1344</v>
      </c>
      <c r="N5555" s="3633"/>
      <c r="O5555" s="1068">
        <v>0.24</v>
      </c>
      <c r="P5555" s="1068">
        <v>0.16</v>
      </c>
      <c r="Q5555" s="1068">
        <v>0.16</v>
      </c>
      <c r="R5555" s="1068">
        <v>0.16</v>
      </c>
      <c r="S5555" s="1068">
        <v>0.16</v>
      </c>
      <c r="T5555" s="1068">
        <v>0.16</v>
      </c>
      <c r="U5555" s="1068">
        <v>0.16</v>
      </c>
      <c r="V5555" s="1068">
        <v>0.16</v>
      </c>
      <c r="W5555" s="1068">
        <v>0.16</v>
      </c>
      <c r="X5555" s="1068">
        <v>0.16</v>
      </c>
      <c r="Y5555" s="1068">
        <v>0.16</v>
      </c>
      <c r="Z5555" s="1068">
        <v>0.16</v>
      </c>
      <c r="AA5555" s="2273">
        <f t="shared" ref="AA5555" si="916">SUM(O5555:Z5555)</f>
        <v>1.9999999999999996</v>
      </c>
    </row>
    <row r="5556" spans="2:27" x14ac:dyDescent="0.2">
      <c r="B5556" s="2946"/>
      <c r="C5556" s="3191"/>
      <c r="D5556" s="2432"/>
      <c r="E5556" s="3200"/>
      <c r="F5556" s="2432"/>
      <c r="G5556" s="2432"/>
      <c r="H5556" s="2432"/>
      <c r="I5556" s="3200"/>
      <c r="J5556" s="3200"/>
      <c r="K5556" s="3200"/>
      <c r="L5556" s="2432"/>
      <c r="M5556" s="3633" t="s">
        <v>1340</v>
      </c>
      <c r="N5556" s="3633"/>
      <c r="O5556" s="1068">
        <f>SUM(O5557)</f>
        <v>6414.6</v>
      </c>
      <c r="P5556" s="1068">
        <f t="shared" ref="P5556:Z5556" si="917">SUM(P5557)</f>
        <v>6414.6</v>
      </c>
      <c r="Q5556" s="1068">
        <f t="shared" si="917"/>
        <v>6414.6</v>
      </c>
      <c r="R5556" s="1068">
        <f t="shared" si="917"/>
        <v>6414.6</v>
      </c>
      <c r="S5556" s="1068">
        <f t="shared" si="917"/>
        <v>6414.6</v>
      </c>
      <c r="T5556" s="1068">
        <f t="shared" si="917"/>
        <v>6414.6</v>
      </c>
      <c r="U5556" s="1068">
        <f t="shared" si="917"/>
        <v>6414.6</v>
      </c>
      <c r="V5556" s="1068">
        <f t="shared" si="917"/>
        <v>6414.6</v>
      </c>
      <c r="W5556" s="1068">
        <f t="shared" si="917"/>
        <v>6414.6</v>
      </c>
      <c r="X5556" s="1068">
        <f t="shared" si="917"/>
        <v>6414.6</v>
      </c>
      <c r="Y5556" s="1068">
        <f t="shared" si="917"/>
        <v>6414.6</v>
      </c>
      <c r="Z5556" s="1068">
        <f t="shared" si="917"/>
        <v>6414.6</v>
      </c>
      <c r="AA5556" s="2245">
        <f>SUM(O5556:Z5556)</f>
        <v>76975.199999999997</v>
      </c>
    </row>
    <row r="5557" spans="2:27" x14ac:dyDescent="0.2">
      <c r="B5557" s="2946"/>
      <c r="C5557" s="3191"/>
      <c r="D5557" s="2432"/>
      <c r="E5557" s="3200"/>
      <c r="F5557" s="2432"/>
      <c r="G5557" s="2432"/>
      <c r="H5557" s="2432"/>
      <c r="I5557" s="3200"/>
      <c r="J5557" s="3200"/>
      <c r="K5557" s="3200"/>
      <c r="L5557" s="2432"/>
      <c r="M5557" s="2431" t="s">
        <v>2809</v>
      </c>
      <c r="N5557" s="2431" t="s">
        <v>1262</v>
      </c>
      <c r="O5557" s="3483">
        <v>6414.6</v>
      </c>
      <c r="P5557" s="3483">
        <v>6414.6</v>
      </c>
      <c r="Q5557" s="3483">
        <v>6414.6</v>
      </c>
      <c r="R5557" s="3483">
        <v>6414.6</v>
      </c>
      <c r="S5557" s="3483">
        <v>6414.6</v>
      </c>
      <c r="T5557" s="3483">
        <v>6414.6</v>
      </c>
      <c r="U5557" s="3483">
        <v>6414.6</v>
      </c>
      <c r="V5557" s="3483">
        <v>6414.6</v>
      </c>
      <c r="W5557" s="3483">
        <v>6414.6</v>
      </c>
      <c r="X5557" s="3483">
        <v>6414.6</v>
      </c>
      <c r="Y5557" s="3483">
        <v>6414.6</v>
      </c>
      <c r="Z5557" s="3483">
        <v>6414.6</v>
      </c>
      <c r="AA5557" s="3857">
        <f>SUM(O5557:Z5558)</f>
        <v>76975.199999999997</v>
      </c>
    </row>
    <row r="5558" spans="2:27" x14ac:dyDescent="0.2">
      <c r="B5558" s="2947"/>
      <c r="C5558" s="2439"/>
      <c r="D5558" s="2437"/>
      <c r="E5558" s="3201"/>
      <c r="F5558" s="2437"/>
      <c r="G5558" s="2437"/>
      <c r="H5558" s="2437"/>
      <c r="I5558" s="3201"/>
      <c r="J5558" s="3201"/>
      <c r="K5558" s="3201"/>
      <c r="L5558" s="2437"/>
      <c r="M5558" s="2437"/>
      <c r="N5558" s="2437"/>
      <c r="O5558" s="3483"/>
      <c r="P5558" s="3483"/>
      <c r="Q5558" s="3483"/>
      <c r="R5558" s="3809"/>
      <c r="S5558" s="3809"/>
      <c r="T5558" s="3809"/>
      <c r="U5558" s="3483"/>
      <c r="V5558" s="3483"/>
      <c r="W5558" s="3483"/>
      <c r="X5558" s="3483"/>
      <c r="Y5558" s="3483"/>
      <c r="Z5558" s="3483"/>
      <c r="AA5558" s="3857"/>
    </row>
    <row r="5559" spans="2:27" x14ac:dyDescent="0.2">
      <c r="B5559" s="1062"/>
      <c r="C5559" s="644"/>
      <c r="D5559" s="644"/>
      <c r="E5559" s="110"/>
      <c r="F5559" s="645"/>
      <c r="G5559" s="644"/>
      <c r="H5559" s="645"/>
      <c r="I5559" s="110"/>
      <c r="J5559" s="110"/>
      <c r="K5559" s="110"/>
      <c r="L5559" s="645"/>
      <c r="M5559" s="645"/>
      <c r="N5559" s="645"/>
      <c r="O5559" s="110"/>
      <c r="P5559" s="110"/>
      <c r="Q5559" s="110"/>
      <c r="R5559" s="110"/>
      <c r="S5559" s="110"/>
      <c r="T5559" s="110"/>
      <c r="U5559" s="110"/>
      <c r="V5559" s="110"/>
      <c r="W5559" s="110"/>
      <c r="X5559" s="110"/>
      <c r="Y5559" s="110"/>
      <c r="Z5559" s="110"/>
      <c r="AA5559" s="1125"/>
    </row>
    <row r="5560" spans="2:27" x14ac:dyDescent="0.2">
      <c r="B5560" s="3744" t="s">
        <v>13</v>
      </c>
      <c r="C5560" s="3747" t="s">
        <v>2810</v>
      </c>
      <c r="D5560" s="3748"/>
      <c r="E5560" s="3748"/>
      <c r="F5560" s="3748"/>
      <c r="G5560" s="3748"/>
      <c r="H5560" s="3748"/>
      <c r="I5560" s="3748"/>
      <c r="J5560" s="3748"/>
      <c r="K5560" s="3748"/>
      <c r="L5560" s="3748"/>
      <c r="M5560" s="3748"/>
      <c r="N5560" s="3748"/>
      <c r="O5560" s="3748"/>
      <c r="P5560" s="3748"/>
      <c r="Q5560" s="3748"/>
      <c r="R5560" s="3748"/>
      <c r="S5560" s="3748"/>
      <c r="T5560" s="3748"/>
      <c r="U5560" s="3749"/>
      <c r="V5560" s="3291" t="s">
        <v>15</v>
      </c>
      <c r="W5560" s="3292"/>
      <c r="X5560" s="3292"/>
      <c r="Y5560" s="3293"/>
      <c r="Z5560" s="3277" t="s">
        <v>16</v>
      </c>
      <c r="AA5560" s="3279"/>
    </row>
    <row r="5561" spans="2:27" x14ac:dyDescent="0.2">
      <c r="B5561" s="3745"/>
      <c r="C5561" s="3750"/>
      <c r="D5561" s="3751"/>
      <c r="E5561" s="3751"/>
      <c r="F5561" s="3751"/>
      <c r="G5561" s="3751"/>
      <c r="H5561" s="3751"/>
      <c r="I5561" s="3751"/>
      <c r="J5561" s="3751"/>
      <c r="K5561" s="3751"/>
      <c r="L5561" s="3751"/>
      <c r="M5561" s="3751"/>
      <c r="N5561" s="3751"/>
      <c r="O5561" s="3751"/>
      <c r="P5561" s="3751"/>
      <c r="Q5561" s="3751"/>
      <c r="R5561" s="3751"/>
      <c r="S5561" s="3751"/>
      <c r="T5561" s="3751"/>
      <c r="U5561" s="3752"/>
      <c r="V5561" s="3786"/>
      <c r="W5561" s="3787"/>
      <c r="X5561" s="3787"/>
      <c r="Y5561" s="3788"/>
      <c r="Z5561" s="3823" t="s">
        <v>17</v>
      </c>
      <c r="AA5561" s="3824"/>
    </row>
    <row r="5562" spans="2:27" x14ac:dyDescent="0.2">
      <c r="B5562" s="3745"/>
      <c r="C5562" s="3750"/>
      <c r="D5562" s="3751"/>
      <c r="E5562" s="3751"/>
      <c r="F5562" s="3751"/>
      <c r="G5562" s="3751"/>
      <c r="H5562" s="3751"/>
      <c r="I5562" s="3751"/>
      <c r="J5562" s="3751"/>
      <c r="K5562" s="3751"/>
      <c r="L5562" s="3751"/>
      <c r="M5562" s="3751"/>
      <c r="N5562" s="3751"/>
      <c r="O5562" s="3751"/>
      <c r="P5562" s="3751"/>
      <c r="Q5562" s="3751"/>
      <c r="R5562" s="3751"/>
      <c r="S5562" s="3751"/>
      <c r="T5562" s="3751"/>
      <c r="U5562" s="3752"/>
      <c r="V5562" s="1063"/>
      <c r="W5562" s="1064"/>
      <c r="X5562" s="1064"/>
      <c r="Y5562" s="1065"/>
      <c r="Z5562" s="1066"/>
      <c r="AA5562" s="1067"/>
    </row>
    <row r="5563" spans="2:27" x14ac:dyDescent="0.2">
      <c r="B5563" s="3746"/>
      <c r="C5563" s="3753"/>
      <c r="D5563" s="3754"/>
      <c r="E5563" s="3754"/>
      <c r="F5563" s="3754"/>
      <c r="G5563" s="3754"/>
      <c r="H5563" s="3754"/>
      <c r="I5563" s="3754"/>
      <c r="J5563" s="3754"/>
      <c r="K5563" s="3754"/>
      <c r="L5563" s="3754"/>
      <c r="M5563" s="3754"/>
      <c r="N5563" s="3754"/>
      <c r="O5563" s="3754"/>
      <c r="P5563" s="3754"/>
      <c r="Q5563" s="3754"/>
      <c r="R5563" s="3754"/>
      <c r="S5563" s="3754"/>
      <c r="T5563" s="3754"/>
      <c r="U5563" s="3755"/>
      <c r="V5563" s="3786"/>
      <c r="W5563" s="3787"/>
      <c r="X5563" s="3787"/>
      <c r="Y5563" s="3788"/>
      <c r="Z5563" s="3786"/>
      <c r="AA5563" s="3788"/>
    </row>
    <row r="5564" spans="2:27" x14ac:dyDescent="0.2">
      <c r="B5564" s="3852" t="s">
        <v>18</v>
      </c>
      <c r="C5564" s="3702" t="s">
        <v>2811</v>
      </c>
      <c r="D5564" s="3703"/>
      <c r="E5564" s="3703"/>
      <c r="F5564" s="3703"/>
      <c r="G5564" s="3703"/>
      <c r="H5564" s="3703"/>
      <c r="I5564" s="3703"/>
      <c r="J5564" s="3703"/>
      <c r="K5564" s="3703"/>
      <c r="L5564" s="3703"/>
      <c r="M5564" s="3703"/>
      <c r="N5564" s="3703"/>
      <c r="O5564" s="3703"/>
      <c r="P5564" s="3703"/>
      <c r="Q5564" s="3703"/>
      <c r="R5564" s="3703"/>
      <c r="S5564" s="3703"/>
      <c r="T5564" s="3703"/>
      <c r="U5564" s="3704"/>
      <c r="V5564" s="3291" t="s">
        <v>15</v>
      </c>
      <c r="W5564" s="3292"/>
      <c r="X5564" s="3292"/>
      <c r="Y5564" s="3293"/>
      <c r="Z5564" s="3277" t="s">
        <v>16</v>
      </c>
      <c r="AA5564" s="3279"/>
    </row>
    <row r="5565" spans="2:27" x14ac:dyDescent="0.2">
      <c r="B5565" s="3853"/>
      <c r="C5565" s="3855"/>
      <c r="D5565" s="3356"/>
      <c r="E5565" s="3356"/>
      <c r="F5565" s="3356"/>
      <c r="G5565" s="3356"/>
      <c r="H5565" s="3356"/>
      <c r="I5565" s="3356"/>
      <c r="J5565" s="3356"/>
      <c r="K5565" s="3356"/>
      <c r="L5565" s="3356"/>
      <c r="M5565" s="3356"/>
      <c r="N5565" s="3356"/>
      <c r="O5565" s="3356"/>
      <c r="P5565" s="3356"/>
      <c r="Q5565" s="3356"/>
      <c r="R5565" s="3356"/>
      <c r="S5565" s="3356"/>
      <c r="T5565" s="3356"/>
      <c r="U5565" s="3357"/>
      <c r="V5565" s="1040"/>
      <c r="W5565" s="1041"/>
      <c r="X5565" s="1041"/>
      <c r="Y5565" s="1042"/>
      <c r="Z5565" s="1130"/>
      <c r="AA5565" s="1043"/>
    </row>
    <row r="5566" spans="2:27" x14ac:dyDescent="0.2">
      <c r="B5566" s="3854"/>
      <c r="C5566" s="3289"/>
      <c r="D5566" s="3705"/>
      <c r="E5566" s="3705"/>
      <c r="F5566" s="3705"/>
      <c r="G5566" s="3705"/>
      <c r="H5566" s="3705"/>
      <c r="I5566" s="3705"/>
      <c r="J5566" s="3705"/>
      <c r="K5566" s="3705"/>
      <c r="L5566" s="3705"/>
      <c r="M5566" s="3705"/>
      <c r="N5566" s="3705"/>
      <c r="O5566" s="3705"/>
      <c r="P5566" s="3705"/>
      <c r="Q5566" s="3705"/>
      <c r="R5566" s="3705"/>
      <c r="S5566" s="3705"/>
      <c r="T5566" s="3705"/>
      <c r="U5566" s="3290"/>
      <c r="V5566" s="2941"/>
      <c r="W5566" s="2941"/>
      <c r="X5566" s="2941"/>
      <c r="Y5566" s="2941"/>
      <c r="Z5566" s="3856"/>
      <c r="AA5566" s="3372"/>
    </row>
    <row r="5567" spans="2:27" x14ac:dyDescent="0.2">
      <c r="B5567" s="3694" t="s">
        <v>2634</v>
      </c>
      <c r="C5567" s="3696" t="s">
        <v>2635</v>
      </c>
      <c r="D5567" s="2988" t="s">
        <v>22</v>
      </c>
      <c r="E5567" s="3696" t="s">
        <v>23</v>
      </c>
      <c r="F5567" s="3696" t="s">
        <v>164</v>
      </c>
      <c r="G5567" s="3696" t="s">
        <v>25</v>
      </c>
      <c r="H5567" s="3696" t="s">
        <v>26</v>
      </c>
      <c r="I5567" s="3696" t="s">
        <v>27</v>
      </c>
      <c r="J5567" s="3820" t="s">
        <v>28</v>
      </c>
      <c r="K5567" s="3821"/>
      <c r="L5567" s="3696" t="s">
        <v>29</v>
      </c>
      <c r="M5567" s="3814" t="s">
        <v>1487</v>
      </c>
      <c r="N5567" s="3815"/>
      <c r="O5567" s="3818" t="s">
        <v>31</v>
      </c>
      <c r="P5567" s="3818"/>
      <c r="Q5567" s="3818"/>
      <c r="R5567" s="3818"/>
      <c r="S5567" s="3818"/>
      <c r="T5567" s="3818"/>
      <c r="U5567" s="3818"/>
      <c r="V5567" s="3818"/>
      <c r="W5567" s="3818"/>
      <c r="X5567" s="3818"/>
      <c r="Y5567" s="3818"/>
      <c r="Z5567" s="3818"/>
      <c r="AA5567" s="3692" t="s">
        <v>32</v>
      </c>
    </row>
    <row r="5568" spans="2:27" x14ac:dyDescent="0.2">
      <c r="B5568" s="3867"/>
      <c r="C5568" s="3848"/>
      <c r="D5568" s="3186"/>
      <c r="E5568" s="3848"/>
      <c r="F5568" s="3848"/>
      <c r="G5568" s="3848"/>
      <c r="H5568" s="3848"/>
      <c r="I5568" s="3848"/>
      <c r="J5568" s="3866"/>
      <c r="K5568" s="3847"/>
      <c r="L5568" s="3848"/>
      <c r="M5568" s="3816"/>
      <c r="N5568" s="3817"/>
      <c r="O5568" s="1039" t="s">
        <v>35</v>
      </c>
      <c r="P5568" s="1039" t="s">
        <v>36</v>
      </c>
      <c r="Q5568" s="1039" t="s">
        <v>37</v>
      </c>
      <c r="R5568" s="1039" t="s">
        <v>38</v>
      </c>
      <c r="S5568" s="1039" t="s">
        <v>39</v>
      </c>
      <c r="T5568" s="1039" t="s">
        <v>40</v>
      </c>
      <c r="U5568" s="1039" t="s">
        <v>41</v>
      </c>
      <c r="V5568" s="1039" t="s">
        <v>42</v>
      </c>
      <c r="W5568" s="1039" t="s">
        <v>2636</v>
      </c>
      <c r="X5568" s="1039" t="s">
        <v>44</v>
      </c>
      <c r="Y5568" s="1039" t="s">
        <v>45</v>
      </c>
      <c r="Z5568" s="1039" t="s">
        <v>46</v>
      </c>
      <c r="AA5568" s="3849"/>
    </row>
    <row r="5569" spans="2:27" x14ac:dyDescent="0.2">
      <c r="B5569" s="3695"/>
      <c r="C5569" s="3697"/>
      <c r="D5569" s="2989"/>
      <c r="E5569" s="3697"/>
      <c r="F5569" s="3697"/>
      <c r="G5569" s="3697"/>
      <c r="H5569" s="3697"/>
      <c r="I5569" s="3697"/>
      <c r="J5569" s="1038" t="s">
        <v>33</v>
      </c>
      <c r="K5569" s="1038" t="s">
        <v>34</v>
      </c>
      <c r="L5569" s="3697"/>
      <c r="M5569" s="3633" t="s">
        <v>1344</v>
      </c>
      <c r="N5569" s="3633"/>
      <c r="O5569" s="1068">
        <v>1</v>
      </c>
      <c r="P5569" s="1068">
        <v>1</v>
      </c>
      <c r="Q5569" s="1068">
        <v>1</v>
      </c>
      <c r="R5569" s="1068">
        <v>2</v>
      </c>
      <c r="S5569" s="1068">
        <v>1</v>
      </c>
      <c r="T5569" s="1068">
        <v>1</v>
      </c>
      <c r="U5569" s="1068">
        <v>1</v>
      </c>
      <c r="V5569" s="1068">
        <v>1</v>
      </c>
      <c r="W5569" s="1068">
        <v>1</v>
      </c>
      <c r="X5569" s="1068">
        <v>1</v>
      </c>
      <c r="Y5569" s="1068">
        <v>1</v>
      </c>
      <c r="Z5569" s="1068">
        <v>1</v>
      </c>
      <c r="AA5569" s="368">
        <f>SUM(O5569:Z5569)</f>
        <v>13</v>
      </c>
    </row>
    <row r="5570" spans="2:27" x14ac:dyDescent="0.2">
      <c r="B5570" s="2945">
        <v>5002779</v>
      </c>
      <c r="C5570" s="3190" t="s">
        <v>2812</v>
      </c>
      <c r="D5570" s="177"/>
      <c r="E5570" s="2431">
        <v>22</v>
      </c>
      <c r="F5570" s="2431" t="s">
        <v>2813</v>
      </c>
      <c r="G5570" s="2431" t="s">
        <v>2814</v>
      </c>
      <c r="H5570" s="3760" t="s">
        <v>2815</v>
      </c>
      <c r="I5570" s="2431" t="s">
        <v>2816</v>
      </c>
      <c r="J5570" s="3199" t="s">
        <v>2817</v>
      </c>
      <c r="K5570" s="3861">
        <v>344375</v>
      </c>
      <c r="L5570" s="2431" t="s">
        <v>2818</v>
      </c>
      <c r="M5570" s="3633" t="s">
        <v>1340</v>
      </c>
      <c r="N5570" s="3633"/>
      <c r="O5570" s="1103">
        <f>SUM(O5571)</f>
        <v>28697.916666666668</v>
      </c>
      <c r="P5570" s="1103">
        <f t="shared" ref="P5570:Z5570" si="918">SUM(P5571)</f>
        <v>28698</v>
      </c>
      <c r="Q5570" s="1103">
        <f t="shared" si="918"/>
        <v>28698</v>
      </c>
      <c r="R5570" s="1103">
        <f t="shared" si="918"/>
        <v>28698</v>
      </c>
      <c r="S5570" s="1103">
        <f t="shared" si="918"/>
        <v>28698</v>
      </c>
      <c r="T5570" s="1103">
        <f t="shared" si="918"/>
        <v>28698</v>
      </c>
      <c r="U5570" s="1103">
        <f t="shared" si="918"/>
        <v>28698</v>
      </c>
      <c r="V5570" s="1103">
        <f t="shared" si="918"/>
        <v>28698</v>
      </c>
      <c r="W5570" s="1103">
        <f t="shared" si="918"/>
        <v>28698</v>
      </c>
      <c r="X5570" s="1103">
        <f t="shared" si="918"/>
        <v>28698</v>
      </c>
      <c r="Y5570" s="1103">
        <f t="shared" si="918"/>
        <v>28698</v>
      </c>
      <c r="Z5570" s="1103">
        <f t="shared" si="918"/>
        <v>28697</v>
      </c>
      <c r="AA5570" s="2276">
        <f>SUM(O5570:Z5570)</f>
        <v>344374.91666666669</v>
      </c>
    </row>
    <row r="5571" spans="2:27" x14ac:dyDescent="0.2">
      <c r="B5571" s="2946"/>
      <c r="C5571" s="3191"/>
      <c r="D5571" s="171"/>
      <c r="E5571" s="2432"/>
      <c r="F5571" s="2432"/>
      <c r="G5571" s="2432"/>
      <c r="H5571" s="3764"/>
      <c r="I5571" s="2432"/>
      <c r="J5571" s="3200"/>
      <c r="K5571" s="3862"/>
      <c r="L5571" s="2432"/>
      <c r="M5571" s="2471" t="s">
        <v>2399</v>
      </c>
      <c r="N5571" s="3864" t="s">
        <v>2819</v>
      </c>
      <c r="O5571" s="3858">
        <f>+AA5571/12</f>
        <v>28697.916666666668</v>
      </c>
      <c r="P5571" s="3497">
        <v>28698</v>
      </c>
      <c r="Q5571" s="3497">
        <v>28698</v>
      </c>
      <c r="R5571" s="3497">
        <v>28698</v>
      </c>
      <c r="S5571" s="3497">
        <v>28698</v>
      </c>
      <c r="T5571" s="3497">
        <v>28698</v>
      </c>
      <c r="U5571" s="3497">
        <v>28698</v>
      </c>
      <c r="V5571" s="3497">
        <v>28698</v>
      </c>
      <c r="W5571" s="3497">
        <v>28698</v>
      </c>
      <c r="X5571" s="3497">
        <v>28698</v>
      </c>
      <c r="Y5571" s="3497">
        <v>28698</v>
      </c>
      <c r="Z5571" s="3858">
        <v>28697</v>
      </c>
      <c r="AA5571" s="3860">
        <v>344375</v>
      </c>
    </row>
    <row r="5572" spans="2:27" x14ac:dyDescent="0.2">
      <c r="B5572" s="2947"/>
      <c r="C5572" s="2439"/>
      <c r="D5572" s="172"/>
      <c r="E5572" s="2437"/>
      <c r="F5572" s="2437"/>
      <c r="G5572" s="2437"/>
      <c r="H5572" s="3761"/>
      <c r="I5572" s="2437"/>
      <c r="J5572" s="3201"/>
      <c r="K5572" s="3863"/>
      <c r="L5572" s="2437"/>
      <c r="M5572" s="2472"/>
      <c r="N5572" s="3865"/>
      <c r="O5572" s="3859"/>
      <c r="P5572" s="3497"/>
      <c r="Q5572" s="3497"/>
      <c r="R5572" s="3497"/>
      <c r="S5572" s="3497"/>
      <c r="T5572" s="3497"/>
      <c r="U5572" s="3497"/>
      <c r="V5572" s="3497"/>
      <c r="W5572" s="3497"/>
      <c r="X5572" s="3497"/>
      <c r="Y5572" s="3497"/>
      <c r="Z5572" s="3859"/>
      <c r="AA5572" s="3860"/>
    </row>
    <row r="5573" spans="2:27" x14ac:dyDescent="0.2">
      <c r="B5573" s="1057"/>
      <c r="C5573" s="1058"/>
      <c r="D5573" s="1058"/>
      <c r="E5573" s="1037"/>
      <c r="F5573" s="1037"/>
      <c r="G5573" s="1037"/>
      <c r="H5573" s="3760" t="s">
        <v>2815</v>
      </c>
      <c r="I5573" s="2431" t="s">
        <v>2816</v>
      </c>
      <c r="J5573" s="3199" t="s">
        <v>2817</v>
      </c>
      <c r="K5573" s="3485">
        <v>118080</v>
      </c>
      <c r="L5573" s="2431" t="s">
        <v>2818</v>
      </c>
      <c r="M5573" s="3633" t="s">
        <v>1344</v>
      </c>
      <c r="N5573" s="3633"/>
      <c r="O5573" s="1068">
        <v>1</v>
      </c>
      <c r="P5573" s="1068">
        <v>1</v>
      </c>
      <c r="Q5573" s="1068">
        <v>1</v>
      </c>
      <c r="R5573" s="1068">
        <v>2</v>
      </c>
      <c r="S5573" s="1068">
        <v>1</v>
      </c>
      <c r="T5573" s="1068">
        <v>1</v>
      </c>
      <c r="U5573" s="1068">
        <v>1</v>
      </c>
      <c r="V5573" s="1068">
        <v>1</v>
      </c>
      <c r="W5573" s="1068">
        <v>1</v>
      </c>
      <c r="X5573" s="1068">
        <v>1</v>
      </c>
      <c r="Y5573" s="1068">
        <v>1</v>
      </c>
      <c r="Z5573" s="1068">
        <v>1</v>
      </c>
      <c r="AA5573" s="368">
        <f>SUM(O5573:Z5573)</f>
        <v>13</v>
      </c>
    </row>
    <row r="5574" spans="2:27" x14ac:dyDescent="0.2">
      <c r="B5574" s="1057"/>
      <c r="C5574" s="1058"/>
      <c r="D5574" s="1058"/>
      <c r="E5574" s="1037"/>
      <c r="F5574" s="1037"/>
      <c r="G5574" s="1037"/>
      <c r="H5574" s="3764"/>
      <c r="I5574" s="3835"/>
      <c r="J5574" s="3200"/>
      <c r="K5574" s="3486"/>
      <c r="L5574" s="2432"/>
      <c r="M5574" s="3633" t="s">
        <v>1340</v>
      </c>
      <c r="N5574" s="3633"/>
      <c r="O5574" s="1054"/>
      <c r="P5574" s="1054"/>
      <c r="Q5574" s="1054"/>
      <c r="R5574" s="1054"/>
      <c r="S5574" s="1054"/>
      <c r="T5574" s="1054"/>
      <c r="U5574" s="1054"/>
      <c r="V5574" s="1054"/>
      <c r="W5574" s="1054"/>
      <c r="X5574" s="1054"/>
      <c r="Y5574" s="1054"/>
      <c r="Z5574" s="1054"/>
      <c r="AA5574" s="2277"/>
    </row>
    <row r="5575" spans="2:27" x14ac:dyDescent="0.2">
      <c r="B5575" s="2945">
        <v>5002780</v>
      </c>
      <c r="C5575" s="3190" t="s">
        <v>2820</v>
      </c>
      <c r="D5575" s="1034"/>
      <c r="E5575" s="2431">
        <v>22</v>
      </c>
      <c r="F5575" s="2431" t="s">
        <v>2813</v>
      </c>
      <c r="G5575" s="2431" t="s">
        <v>2821</v>
      </c>
      <c r="H5575" s="3764"/>
      <c r="I5575" s="3835"/>
      <c r="J5575" s="3200"/>
      <c r="K5575" s="3486"/>
      <c r="L5575" s="2432"/>
      <c r="M5575" s="2471" t="s">
        <v>2399</v>
      </c>
      <c r="N5575" s="3864" t="s">
        <v>1262</v>
      </c>
      <c r="O5575" s="3497">
        <f>+AA5575/12</f>
        <v>9840</v>
      </c>
      <c r="P5575" s="3497">
        <v>9840</v>
      </c>
      <c r="Q5575" s="3497">
        <v>9840</v>
      </c>
      <c r="R5575" s="3497">
        <v>9840</v>
      </c>
      <c r="S5575" s="3497">
        <v>9840</v>
      </c>
      <c r="T5575" s="3497">
        <v>9840</v>
      </c>
      <c r="U5575" s="3497">
        <v>9840</v>
      </c>
      <c r="V5575" s="3497">
        <v>9840</v>
      </c>
      <c r="W5575" s="3497">
        <v>9840</v>
      </c>
      <c r="X5575" s="3497">
        <v>9840</v>
      </c>
      <c r="Y5575" s="3497">
        <v>9840</v>
      </c>
      <c r="Z5575" s="3497">
        <v>9840</v>
      </c>
      <c r="AA5575" s="3860">
        <v>118080</v>
      </c>
    </row>
    <row r="5576" spans="2:27" ht="33.75" customHeight="1" x14ac:dyDescent="0.2">
      <c r="B5576" s="2947"/>
      <c r="C5576" s="2439"/>
      <c r="D5576" s="1035"/>
      <c r="E5576" s="2437"/>
      <c r="F5576" s="2437"/>
      <c r="G5576" s="2437"/>
      <c r="H5576" s="3761"/>
      <c r="I5576" s="3836"/>
      <c r="J5576" s="3201"/>
      <c r="K5576" s="3487"/>
      <c r="L5576" s="2437"/>
      <c r="M5576" s="2472"/>
      <c r="N5576" s="3865"/>
      <c r="O5576" s="3497"/>
      <c r="P5576" s="3497"/>
      <c r="Q5576" s="3497"/>
      <c r="R5576" s="3497"/>
      <c r="S5576" s="3497"/>
      <c r="T5576" s="3497"/>
      <c r="U5576" s="3497"/>
      <c r="V5576" s="3497"/>
      <c r="W5576" s="3497"/>
      <c r="X5576" s="3497"/>
      <c r="Y5576" s="3497"/>
      <c r="Z5576" s="3497"/>
      <c r="AA5576" s="3860"/>
    </row>
    <row r="5577" spans="2:27" x14ac:dyDescent="0.2">
      <c r="B5577" s="1057"/>
      <c r="C5577" s="1058"/>
      <c r="D5577" s="1058"/>
      <c r="E5577" s="1037"/>
      <c r="F5577" s="1037"/>
      <c r="G5577" s="1037"/>
      <c r="H5577" s="1934"/>
      <c r="I5577" s="1037"/>
      <c r="J5577" s="1036"/>
      <c r="K5577" s="1056"/>
      <c r="L5577" s="1037"/>
      <c r="M5577" s="3633" t="s">
        <v>1344</v>
      </c>
      <c r="N5577" s="3633"/>
      <c r="O5577" s="1068">
        <v>20</v>
      </c>
      <c r="P5577" s="1068">
        <v>23</v>
      </c>
      <c r="Q5577" s="1068">
        <v>18</v>
      </c>
      <c r="R5577" s="1068"/>
      <c r="S5577" s="1068"/>
      <c r="T5577" s="1068"/>
      <c r="U5577" s="1068"/>
      <c r="V5577" s="1068"/>
      <c r="W5577" s="1068"/>
      <c r="X5577" s="1068"/>
      <c r="Y5577" s="1068"/>
      <c r="Z5577" s="1068"/>
      <c r="AA5577" s="368">
        <f>SUM(O5577:Z5577)</f>
        <v>61</v>
      </c>
    </row>
    <row r="5578" spans="2:27" x14ac:dyDescent="0.2">
      <c r="B5578" s="1057"/>
      <c r="C5578" s="1058"/>
      <c r="D5578" s="1058"/>
      <c r="E5578" s="1037"/>
      <c r="F5578" s="1037"/>
      <c r="G5578" s="1037"/>
      <c r="H5578" s="1935"/>
      <c r="I5578" s="1037"/>
      <c r="J5578" s="1036"/>
      <c r="K5578" s="1056"/>
      <c r="L5578" s="1037"/>
      <c r="M5578" s="3633" t="s">
        <v>1340</v>
      </c>
      <c r="N5578" s="3633"/>
      <c r="O5578" s="1054"/>
      <c r="P5578" s="1054"/>
      <c r="Q5578" s="1054"/>
      <c r="R5578" s="1054"/>
      <c r="S5578" s="1054"/>
      <c r="T5578" s="1054"/>
      <c r="U5578" s="1054"/>
      <c r="V5578" s="1054"/>
      <c r="W5578" s="1054"/>
      <c r="X5578" s="1054"/>
      <c r="Y5578" s="1054"/>
      <c r="Z5578" s="1054"/>
      <c r="AA5578" s="2277"/>
    </row>
    <row r="5579" spans="2:27" x14ac:dyDescent="0.2">
      <c r="B5579" s="2945">
        <v>5002783</v>
      </c>
      <c r="C5579" s="3190" t="s">
        <v>2822</v>
      </c>
      <c r="D5579" s="1034"/>
      <c r="E5579" s="2431">
        <v>22</v>
      </c>
      <c r="F5579" s="2431" t="s">
        <v>2813</v>
      </c>
      <c r="G5579" s="2431" t="s">
        <v>2814</v>
      </c>
      <c r="H5579" s="3600" t="s">
        <v>2823</v>
      </c>
      <c r="I5579" s="2431" t="s">
        <v>2824</v>
      </c>
      <c r="J5579" s="3199">
        <v>61</v>
      </c>
      <c r="K5579" s="3485">
        <v>283425</v>
      </c>
      <c r="L5579" s="2431" t="s">
        <v>2818</v>
      </c>
      <c r="M5579" s="2471" t="s">
        <v>2399</v>
      </c>
      <c r="N5579" s="3864" t="s">
        <v>1262</v>
      </c>
      <c r="O5579" s="3497">
        <f>+AA5579/3</f>
        <v>94475</v>
      </c>
      <c r="P5579" s="3497">
        <v>94475</v>
      </c>
      <c r="Q5579" s="3497">
        <v>94475</v>
      </c>
      <c r="R5579" s="3868"/>
      <c r="S5579" s="3868"/>
      <c r="T5579" s="3868"/>
      <c r="U5579" s="3868"/>
      <c r="V5579" s="3868"/>
      <c r="W5579" s="3868"/>
      <c r="X5579" s="3868"/>
      <c r="Y5579" s="3868"/>
      <c r="Z5579" s="3868"/>
      <c r="AA5579" s="3860">
        <v>283425</v>
      </c>
    </row>
    <row r="5580" spans="2:27" ht="41.25" customHeight="1" x14ac:dyDescent="0.2">
      <c r="B5580" s="2947"/>
      <c r="C5580" s="2439"/>
      <c r="D5580" s="1035"/>
      <c r="E5580" s="2437"/>
      <c r="F5580" s="2437"/>
      <c r="G5580" s="2437"/>
      <c r="H5580" s="3600"/>
      <c r="I5580" s="2437"/>
      <c r="J5580" s="3201"/>
      <c r="K5580" s="3487"/>
      <c r="L5580" s="2437"/>
      <c r="M5580" s="2472"/>
      <c r="N5580" s="3865"/>
      <c r="O5580" s="3497"/>
      <c r="P5580" s="3497"/>
      <c r="Q5580" s="3497"/>
      <c r="R5580" s="3868"/>
      <c r="S5580" s="3868"/>
      <c r="T5580" s="3868"/>
      <c r="U5580" s="3868"/>
      <c r="V5580" s="3868"/>
      <c r="W5580" s="3868"/>
      <c r="X5580" s="3868"/>
      <c r="Y5580" s="3868"/>
      <c r="Z5580" s="3868"/>
      <c r="AA5580" s="3860"/>
    </row>
    <row r="5581" spans="2:27" x14ac:dyDescent="0.2">
      <c r="B5581" s="1057"/>
      <c r="C5581" s="1058"/>
      <c r="D5581" s="1058"/>
      <c r="E5581" s="1037"/>
      <c r="F5581" s="1037"/>
      <c r="G5581" s="1037"/>
      <c r="H5581" s="1934"/>
      <c r="I5581" s="1037"/>
      <c r="J5581" s="1036"/>
      <c r="K5581" s="1056"/>
      <c r="L5581" s="1037"/>
      <c r="M5581" s="3633" t="s">
        <v>1344</v>
      </c>
      <c r="N5581" s="3633"/>
      <c r="O5581" s="1054"/>
      <c r="P5581" s="1068">
        <v>3</v>
      </c>
      <c r="Q5581" s="1068"/>
      <c r="R5581" s="1068"/>
      <c r="S5581" s="1068"/>
      <c r="T5581" s="1068"/>
      <c r="U5581" s="1068"/>
      <c r="V5581" s="1068"/>
      <c r="W5581" s="1068"/>
      <c r="X5581" s="1068"/>
      <c r="Y5581" s="1068"/>
      <c r="Z5581" s="1068"/>
      <c r="AA5581" s="368">
        <f>SUM(P5581:Z5581)</f>
        <v>3</v>
      </c>
    </row>
    <row r="5582" spans="2:27" x14ac:dyDescent="0.2">
      <c r="B5582" s="1057"/>
      <c r="C5582" s="1058"/>
      <c r="D5582" s="1058"/>
      <c r="E5582" s="1037"/>
      <c r="F5582" s="1037"/>
      <c r="G5582" s="1037"/>
      <c r="H5582" s="1935"/>
      <c r="I5582" s="1037"/>
      <c r="J5582" s="1036"/>
      <c r="K5582" s="1056"/>
      <c r="L5582" s="1037"/>
      <c r="M5582" s="3633" t="s">
        <v>1340</v>
      </c>
      <c r="N5582" s="3633"/>
      <c r="O5582" s="1054"/>
      <c r="P5582" s="1054"/>
      <c r="Q5582" s="1054"/>
      <c r="R5582" s="1054"/>
      <c r="S5582" s="1054"/>
      <c r="T5582" s="1054"/>
      <c r="U5582" s="1054"/>
      <c r="V5582" s="1054"/>
      <c r="W5582" s="1054"/>
      <c r="X5582" s="1054"/>
      <c r="Y5582" s="1054"/>
      <c r="Z5582" s="1054"/>
      <c r="AA5582" s="2277"/>
    </row>
    <row r="5583" spans="2:27" x14ac:dyDescent="0.2">
      <c r="B5583" s="2945">
        <v>5002784</v>
      </c>
      <c r="C5583" s="3190" t="s">
        <v>2825</v>
      </c>
      <c r="D5583" s="1034"/>
      <c r="E5583" s="2431">
        <v>22</v>
      </c>
      <c r="F5583" s="2431" t="s">
        <v>2813</v>
      </c>
      <c r="G5583" s="2431" t="s">
        <v>2821</v>
      </c>
      <c r="H5583" s="3600" t="s">
        <v>2823</v>
      </c>
      <c r="I5583" s="2431" t="s">
        <v>2824</v>
      </c>
      <c r="J5583" s="3199">
        <v>3</v>
      </c>
      <c r="K5583" s="3485">
        <v>11160</v>
      </c>
      <c r="L5583" s="2431" t="s">
        <v>2818</v>
      </c>
      <c r="M5583" s="2471" t="s">
        <v>2399</v>
      </c>
      <c r="N5583" s="3864" t="s">
        <v>1262</v>
      </c>
      <c r="O5583" s="2941"/>
      <c r="P5583" s="3497">
        <v>11160</v>
      </c>
      <c r="Q5583" s="3868"/>
      <c r="R5583" s="3868"/>
      <c r="S5583" s="3868"/>
      <c r="T5583" s="3868"/>
      <c r="U5583" s="3868"/>
      <c r="V5583" s="3868"/>
      <c r="W5583" s="3868"/>
      <c r="X5583" s="3868"/>
      <c r="Y5583" s="3868"/>
      <c r="Z5583" s="3868"/>
      <c r="AA5583" s="3860">
        <v>11160</v>
      </c>
    </row>
    <row r="5584" spans="2:27" ht="34.5" customHeight="1" x14ac:dyDescent="0.2">
      <c r="B5584" s="2947"/>
      <c r="C5584" s="2439"/>
      <c r="D5584" s="1035"/>
      <c r="E5584" s="2437"/>
      <c r="F5584" s="2437"/>
      <c r="G5584" s="2437"/>
      <c r="H5584" s="3600"/>
      <c r="I5584" s="2437"/>
      <c r="J5584" s="3201"/>
      <c r="K5584" s="3487"/>
      <c r="L5584" s="2437"/>
      <c r="M5584" s="2472"/>
      <c r="N5584" s="3865"/>
      <c r="O5584" s="2941"/>
      <c r="P5584" s="3497"/>
      <c r="Q5584" s="3868"/>
      <c r="R5584" s="3868"/>
      <c r="S5584" s="3868"/>
      <c r="T5584" s="3868"/>
      <c r="U5584" s="3868"/>
      <c r="V5584" s="3868"/>
      <c r="W5584" s="3868"/>
      <c r="X5584" s="3868"/>
      <c r="Y5584" s="3868"/>
      <c r="Z5584" s="3868"/>
      <c r="AA5584" s="3860"/>
    </row>
    <row r="5585" spans="2:27" x14ac:dyDescent="0.2">
      <c r="B5585" s="1057"/>
      <c r="C5585" s="1058"/>
      <c r="D5585" s="1058"/>
      <c r="E5585" s="1037"/>
      <c r="F5585" s="1037"/>
      <c r="G5585" s="1037"/>
      <c r="H5585" s="1934"/>
      <c r="I5585" s="1037"/>
      <c r="J5585" s="1036"/>
      <c r="K5585" s="1056"/>
      <c r="L5585" s="1037"/>
      <c r="M5585" s="3633" t="s">
        <v>1344</v>
      </c>
      <c r="N5585" s="3633"/>
      <c r="O5585" s="1068">
        <v>1850</v>
      </c>
      <c r="P5585" s="1068">
        <f>2727-O5585</f>
        <v>877</v>
      </c>
      <c r="Q5585" s="1068"/>
      <c r="R5585" s="1068"/>
      <c r="S5585" s="1068"/>
      <c r="T5585" s="1068"/>
      <c r="U5585" s="1068"/>
      <c r="V5585" s="1068"/>
      <c r="W5585" s="1068"/>
      <c r="X5585" s="1068"/>
      <c r="Y5585" s="1068"/>
      <c r="Z5585" s="1068"/>
      <c r="AA5585" s="368">
        <f>SUM(O5585:Z5585)</f>
        <v>2727</v>
      </c>
    </row>
    <row r="5586" spans="2:27" ht="15" x14ac:dyDescent="0.25">
      <c r="B5586" s="1057"/>
      <c r="C5586" s="1058"/>
      <c r="D5586" s="1058"/>
      <c r="E5586" s="1037"/>
      <c r="F5586" s="1037"/>
      <c r="G5586" s="1037"/>
      <c r="H5586" s="1935"/>
      <c r="I5586" s="1037"/>
      <c r="J5586" s="1036"/>
      <c r="K5586" s="1056"/>
      <c r="L5586" s="1037"/>
      <c r="M5586" s="3633" t="s">
        <v>1340</v>
      </c>
      <c r="N5586" s="3633"/>
      <c r="O5586" s="118">
        <f>SUM(O5587)</f>
        <v>67215</v>
      </c>
      <c r="P5586" s="118">
        <f t="shared" ref="P5586:Z5586" si="919">SUM(P5587)</f>
        <v>67215</v>
      </c>
      <c r="Q5586" s="118">
        <f t="shared" si="919"/>
        <v>0</v>
      </c>
      <c r="R5586" s="118">
        <f t="shared" si="919"/>
        <v>0</v>
      </c>
      <c r="S5586" s="118">
        <f t="shared" si="919"/>
        <v>0</v>
      </c>
      <c r="T5586" s="118">
        <f t="shared" si="919"/>
        <v>0</v>
      </c>
      <c r="U5586" s="118">
        <f t="shared" si="919"/>
        <v>0</v>
      </c>
      <c r="V5586" s="118">
        <f t="shared" si="919"/>
        <v>0</v>
      </c>
      <c r="W5586" s="118">
        <f t="shared" si="919"/>
        <v>0</v>
      </c>
      <c r="X5586" s="118">
        <f t="shared" si="919"/>
        <v>0</v>
      </c>
      <c r="Y5586" s="118">
        <f t="shared" si="919"/>
        <v>0</v>
      </c>
      <c r="Z5586" s="118">
        <f t="shared" si="919"/>
        <v>0</v>
      </c>
      <c r="AA5586" s="2278">
        <f>SUM(O5586:Z5586)</f>
        <v>134430</v>
      </c>
    </row>
    <row r="5587" spans="2:27" x14ac:dyDescent="0.2">
      <c r="B5587" s="2945">
        <v>5002785</v>
      </c>
      <c r="C5587" s="3190" t="s">
        <v>2826</v>
      </c>
      <c r="D5587" s="1034"/>
      <c r="E5587" s="2431">
        <v>22</v>
      </c>
      <c r="F5587" s="2431" t="s">
        <v>2813</v>
      </c>
      <c r="G5587" s="2431" t="s">
        <v>2814</v>
      </c>
      <c r="H5587" s="3600" t="s">
        <v>2827</v>
      </c>
      <c r="I5587" s="2431" t="s">
        <v>2828</v>
      </c>
      <c r="J5587" s="3871">
        <v>2727</v>
      </c>
      <c r="K5587" s="3485">
        <v>134430</v>
      </c>
      <c r="L5587" s="2431" t="s">
        <v>2818</v>
      </c>
      <c r="M5587" s="2471" t="s">
        <v>2399</v>
      </c>
      <c r="N5587" s="3864" t="s">
        <v>1262</v>
      </c>
      <c r="O5587" s="3497">
        <f>134430/2</f>
        <v>67215</v>
      </c>
      <c r="P5587" s="3497">
        <v>67215</v>
      </c>
      <c r="Q5587" s="3868"/>
      <c r="R5587" s="3868"/>
      <c r="S5587" s="3868"/>
      <c r="T5587" s="3868"/>
      <c r="U5587" s="3868"/>
      <c r="V5587" s="3868"/>
      <c r="W5587" s="3868"/>
      <c r="X5587" s="3868"/>
      <c r="Y5587" s="3868"/>
      <c r="Z5587" s="3868"/>
      <c r="AA5587" s="3869">
        <f>+O5587+P5587</f>
        <v>134430</v>
      </c>
    </row>
    <row r="5588" spans="2:27" x14ac:dyDescent="0.2">
      <c r="B5588" s="2947"/>
      <c r="C5588" s="2439"/>
      <c r="D5588" s="1035"/>
      <c r="E5588" s="2437"/>
      <c r="F5588" s="2437"/>
      <c r="G5588" s="2437"/>
      <c r="H5588" s="3600"/>
      <c r="I5588" s="2437"/>
      <c r="J5588" s="3872"/>
      <c r="K5588" s="3487"/>
      <c r="L5588" s="2437"/>
      <c r="M5588" s="2472"/>
      <c r="N5588" s="3865"/>
      <c r="O5588" s="3497"/>
      <c r="P5588" s="3497"/>
      <c r="Q5588" s="3868"/>
      <c r="R5588" s="3868"/>
      <c r="S5588" s="3868"/>
      <c r="T5588" s="3868"/>
      <c r="U5588" s="3868"/>
      <c r="V5588" s="3868"/>
      <c r="W5588" s="3868"/>
      <c r="X5588" s="3868"/>
      <c r="Y5588" s="3868"/>
      <c r="Z5588" s="3868"/>
      <c r="AA5588" s="3870"/>
    </row>
    <row r="5589" spans="2:27" x14ac:dyDescent="0.2">
      <c r="B5589" s="1057"/>
      <c r="C5589" s="1058"/>
      <c r="D5589" s="1058"/>
      <c r="E5589" s="1037"/>
      <c r="F5589" s="1037"/>
      <c r="G5589" s="1037"/>
      <c r="H5589" s="1934"/>
      <c r="I5589" s="1037"/>
      <c r="J5589" s="1055"/>
      <c r="K5589" s="1056"/>
      <c r="L5589" s="1037"/>
      <c r="M5589" s="3633" t="s">
        <v>1344</v>
      </c>
      <c r="N5589" s="3633"/>
      <c r="O5589" s="1068">
        <v>850</v>
      </c>
      <c r="P5589" s="1068">
        <v>350</v>
      </c>
      <c r="Q5589" s="1068"/>
      <c r="R5589" s="1068"/>
      <c r="S5589" s="1068"/>
      <c r="T5589" s="1068"/>
      <c r="U5589" s="1068"/>
      <c r="V5589" s="1068"/>
      <c r="W5589" s="1068"/>
      <c r="X5589" s="1068"/>
      <c r="Y5589" s="1068"/>
      <c r="Z5589" s="1068"/>
      <c r="AA5589" s="368">
        <f>SUM(O5589:Z5589)</f>
        <v>1200</v>
      </c>
    </row>
    <row r="5590" spans="2:27" x14ac:dyDescent="0.2">
      <c r="B5590" s="1057"/>
      <c r="C5590" s="1058"/>
      <c r="D5590" s="1058"/>
      <c r="E5590" s="1037"/>
      <c r="F5590" s="1037"/>
      <c r="G5590" s="1037"/>
      <c r="H5590" s="1935"/>
      <c r="I5590" s="1037"/>
      <c r="J5590" s="1055"/>
      <c r="K5590" s="1056"/>
      <c r="L5590" s="1037"/>
      <c r="M5590" s="3633" t="s">
        <v>1340</v>
      </c>
      <c r="N5590" s="3633"/>
      <c r="O5590" s="1054"/>
      <c r="P5590" s="1054"/>
      <c r="Q5590" s="1054"/>
      <c r="R5590" s="1054"/>
      <c r="S5590" s="1054"/>
      <c r="T5590" s="1054"/>
      <c r="U5590" s="1054"/>
      <c r="V5590" s="1054"/>
      <c r="W5590" s="1054"/>
      <c r="X5590" s="1054"/>
      <c r="Y5590" s="1054"/>
      <c r="Z5590" s="1054"/>
      <c r="AA5590" s="2277"/>
    </row>
    <row r="5591" spans="2:27" ht="15" x14ac:dyDescent="0.25">
      <c r="B5591" s="2945">
        <v>5002786</v>
      </c>
      <c r="C5591" s="3190" t="s">
        <v>2829</v>
      </c>
      <c r="D5591" s="1034"/>
      <c r="E5591" s="2431">
        <v>22</v>
      </c>
      <c r="F5591" s="2431" t="s">
        <v>2813</v>
      </c>
      <c r="G5591" s="2431" t="s">
        <v>2821</v>
      </c>
      <c r="H5591" s="3600" t="s">
        <v>2827</v>
      </c>
      <c r="I5591" s="2431" t="s">
        <v>2828</v>
      </c>
      <c r="J5591" s="3871">
        <v>1200</v>
      </c>
      <c r="K5591" s="3485">
        <v>56280</v>
      </c>
      <c r="L5591" s="2431" t="s">
        <v>2818</v>
      </c>
      <c r="M5591" s="2471" t="s">
        <v>2399</v>
      </c>
      <c r="N5591" s="3864" t="s">
        <v>1262</v>
      </c>
      <c r="O5591" s="3497">
        <v>42550</v>
      </c>
      <c r="P5591" s="3497">
        <v>13730</v>
      </c>
      <c r="Q5591" s="230"/>
      <c r="R5591" s="230"/>
      <c r="S5591" s="230"/>
      <c r="T5591" s="230"/>
      <c r="U5591" s="230"/>
      <c r="V5591" s="230"/>
      <c r="W5591" s="230"/>
      <c r="X5591" s="230"/>
      <c r="Y5591" s="230"/>
      <c r="Z5591" s="230"/>
      <c r="AA5591" s="2278"/>
    </row>
    <row r="5592" spans="2:27" x14ac:dyDescent="0.2">
      <c r="B5592" s="2946"/>
      <c r="C5592" s="3191"/>
      <c r="D5592" s="1058"/>
      <c r="E5592" s="2432"/>
      <c r="F5592" s="2432"/>
      <c r="G5592" s="2432"/>
      <c r="H5592" s="3600"/>
      <c r="I5592" s="2432"/>
      <c r="J5592" s="3875"/>
      <c r="K5592" s="3486"/>
      <c r="L5592" s="2432"/>
      <c r="M5592" s="2892"/>
      <c r="N5592" s="3876"/>
      <c r="O5592" s="3497"/>
      <c r="P5592" s="3497"/>
      <c r="Q5592" s="1068"/>
      <c r="R5592" s="1068"/>
      <c r="S5592" s="1068"/>
      <c r="T5592" s="1068"/>
      <c r="U5592" s="1068"/>
      <c r="V5592" s="1068"/>
      <c r="W5592" s="1068"/>
      <c r="X5592" s="1068"/>
      <c r="Y5592" s="1068"/>
      <c r="Z5592" s="1068"/>
      <c r="AA5592" s="368"/>
    </row>
    <row r="5593" spans="2:27" ht="30" customHeight="1" x14ac:dyDescent="0.2">
      <c r="B5593" s="2947"/>
      <c r="C5593" s="2439"/>
      <c r="D5593" s="1035"/>
      <c r="E5593" s="2437"/>
      <c r="F5593" s="2437"/>
      <c r="G5593" s="2437"/>
      <c r="H5593" s="3600"/>
      <c r="I5593" s="2437"/>
      <c r="J5593" s="3872"/>
      <c r="K5593" s="3487"/>
      <c r="L5593" s="2437"/>
      <c r="M5593" s="2472"/>
      <c r="N5593" s="3865"/>
      <c r="O5593" s="3497"/>
      <c r="P5593" s="3497"/>
      <c r="Q5593" s="1054"/>
      <c r="R5593" s="1054"/>
      <c r="S5593" s="1054"/>
      <c r="T5593" s="1054"/>
      <c r="U5593" s="1054"/>
      <c r="V5593" s="1054"/>
      <c r="W5593" s="1054"/>
      <c r="X5593" s="1054"/>
      <c r="Y5593" s="1054"/>
      <c r="Z5593" s="1054"/>
      <c r="AA5593" s="2277">
        <f>SUM(O5593:Z5593)</f>
        <v>0</v>
      </c>
    </row>
    <row r="5594" spans="2:27" x14ac:dyDescent="0.2">
      <c r="B5594" s="1057"/>
      <c r="C5594" s="1058"/>
      <c r="D5594" s="1058"/>
      <c r="E5594" s="1037"/>
      <c r="F5594" s="1037"/>
      <c r="G5594" s="1037"/>
      <c r="H5594" s="1934"/>
      <c r="I5594" s="1037"/>
      <c r="J5594" s="1055"/>
      <c r="K5594" s="1056"/>
      <c r="L5594" s="1037"/>
      <c r="M5594" s="3633" t="s">
        <v>1344</v>
      </c>
      <c r="N5594" s="3633"/>
      <c r="O5594" s="1068">
        <v>1</v>
      </c>
      <c r="P5594" s="1068"/>
      <c r="Q5594" s="1068"/>
      <c r="R5594" s="1068"/>
      <c r="S5594" s="1068"/>
      <c r="T5594" s="1068"/>
      <c r="U5594" s="1068"/>
      <c r="V5594" s="1068"/>
      <c r="W5594" s="1068"/>
      <c r="X5594" s="1068"/>
      <c r="Y5594" s="1068"/>
      <c r="Z5594" s="1068"/>
      <c r="AA5594" s="368">
        <v>1</v>
      </c>
    </row>
    <row r="5595" spans="2:27" x14ac:dyDescent="0.2">
      <c r="B5595" s="1057"/>
      <c r="C5595" s="1058"/>
      <c r="D5595" s="1058"/>
      <c r="E5595" s="1037"/>
      <c r="F5595" s="1037"/>
      <c r="G5595" s="1037"/>
      <c r="H5595" s="1935"/>
      <c r="I5595" s="1037"/>
      <c r="J5595" s="1055"/>
      <c r="K5595" s="1056"/>
      <c r="L5595" s="1037"/>
      <c r="M5595" s="3633" t="s">
        <v>1340</v>
      </c>
      <c r="N5595" s="3633"/>
      <c r="O5595" s="1054"/>
      <c r="P5595" s="1054"/>
      <c r="Q5595" s="1054"/>
      <c r="R5595" s="1054"/>
      <c r="S5595" s="1054"/>
      <c r="T5595" s="1054"/>
      <c r="U5595" s="1054"/>
      <c r="V5595" s="1054"/>
      <c r="W5595" s="1054"/>
      <c r="X5595" s="1054"/>
      <c r="Y5595" s="1054"/>
      <c r="Z5595" s="1054"/>
      <c r="AA5595" s="2277"/>
    </row>
    <row r="5596" spans="2:27" x14ac:dyDescent="0.2">
      <c r="B5596" s="2945">
        <v>5005659</v>
      </c>
      <c r="C5596" s="3190" t="s">
        <v>2830</v>
      </c>
      <c r="D5596" s="1034"/>
      <c r="E5596" s="2431">
        <v>22</v>
      </c>
      <c r="F5596" s="2431" t="s">
        <v>2813</v>
      </c>
      <c r="G5596" s="2431" t="s">
        <v>2814</v>
      </c>
      <c r="H5596" s="2732" t="s">
        <v>2831</v>
      </c>
      <c r="I5596" s="2431" t="s">
        <v>2832</v>
      </c>
      <c r="J5596" s="3871">
        <v>1</v>
      </c>
      <c r="K5596" s="3873">
        <v>2500</v>
      </c>
      <c r="L5596" s="2431" t="s">
        <v>2818</v>
      </c>
      <c r="M5596" s="2471" t="s">
        <v>2399</v>
      </c>
      <c r="N5596" s="3864" t="s">
        <v>1262</v>
      </c>
      <c r="O5596" s="3497">
        <v>2500</v>
      </c>
      <c r="P5596" s="3868"/>
      <c r="Q5596" s="3868"/>
      <c r="R5596" s="3868"/>
      <c r="S5596" s="3868"/>
      <c r="T5596" s="3868"/>
      <c r="U5596" s="3868"/>
      <c r="V5596" s="3868"/>
      <c r="W5596" s="3868"/>
      <c r="X5596" s="3868"/>
      <c r="Y5596" s="3868"/>
      <c r="Z5596" s="3868"/>
      <c r="AA5596" s="3860">
        <f>+O5596+P5597</f>
        <v>2500</v>
      </c>
    </row>
    <row r="5597" spans="2:27" ht="44.25" customHeight="1" x14ac:dyDescent="0.2">
      <c r="B5597" s="2947"/>
      <c r="C5597" s="2439"/>
      <c r="D5597" s="1035"/>
      <c r="E5597" s="2437"/>
      <c r="F5597" s="2437"/>
      <c r="G5597" s="2437"/>
      <c r="H5597" s="2733"/>
      <c r="I5597" s="2437"/>
      <c r="J5597" s="3872"/>
      <c r="K5597" s="3874"/>
      <c r="L5597" s="2437"/>
      <c r="M5597" s="2472"/>
      <c r="N5597" s="3865"/>
      <c r="O5597" s="3497"/>
      <c r="P5597" s="3868"/>
      <c r="Q5597" s="3868"/>
      <c r="R5597" s="3868"/>
      <c r="S5597" s="3868"/>
      <c r="T5597" s="3868"/>
      <c r="U5597" s="3868"/>
      <c r="V5597" s="3868"/>
      <c r="W5597" s="3868"/>
      <c r="X5597" s="3868"/>
      <c r="Y5597" s="3868"/>
      <c r="Z5597" s="3868"/>
      <c r="AA5597" s="3860"/>
    </row>
    <row r="5598" spans="2:27" x14ac:dyDescent="0.2">
      <c r="B5598" s="1057"/>
      <c r="C5598" s="1058"/>
      <c r="D5598" s="1058"/>
      <c r="E5598" s="1037"/>
      <c r="F5598" s="1037"/>
      <c r="G5598" s="1037"/>
      <c r="H5598" s="1934"/>
      <c r="I5598" s="1037"/>
      <c r="J5598" s="1055"/>
      <c r="K5598" s="646"/>
      <c r="L5598" s="1037"/>
      <c r="M5598" s="3633" t="s">
        <v>1344</v>
      </c>
      <c r="N5598" s="3633"/>
      <c r="O5598" s="1068">
        <v>1</v>
      </c>
      <c r="P5598" s="1068"/>
      <c r="Q5598" s="1068"/>
      <c r="R5598" s="1068"/>
      <c r="S5598" s="1068"/>
      <c r="T5598" s="1068"/>
      <c r="U5598" s="1068"/>
      <c r="V5598" s="1068"/>
      <c r="W5598" s="1068"/>
      <c r="X5598" s="1068"/>
      <c r="Y5598" s="1068"/>
      <c r="Z5598" s="1068"/>
      <c r="AA5598" s="368">
        <v>1</v>
      </c>
    </row>
    <row r="5599" spans="2:27" x14ac:dyDescent="0.2">
      <c r="B5599" s="1057"/>
      <c r="C5599" s="1058"/>
      <c r="D5599" s="1058"/>
      <c r="E5599" s="1037"/>
      <c r="F5599" s="1037"/>
      <c r="G5599" s="1037"/>
      <c r="H5599" s="1935"/>
      <c r="I5599" s="1037"/>
      <c r="J5599" s="1055"/>
      <c r="K5599" s="646"/>
      <c r="L5599" s="1037"/>
      <c r="M5599" s="3633" t="s">
        <v>1340</v>
      </c>
      <c r="N5599" s="3633"/>
      <c r="O5599" s="1054"/>
      <c r="P5599" s="1054"/>
      <c r="Q5599" s="1054"/>
      <c r="R5599" s="1054"/>
      <c r="S5599" s="1054"/>
      <c r="T5599" s="1054"/>
      <c r="U5599" s="1054"/>
      <c r="V5599" s="1054"/>
      <c r="W5599" s="1054"/>
      <c r="X5599" s="1054"/>
      <c r="Y5599" s="1054"/>
      <c r="Z5599" s="1054"/>
      <c r="AA5599" s="2277">
        <f>AA5600</f>
        <v>2500</v>
      </c>
    </row>
    <row r="5600" spans="2:27" x14ac:dyDescent="0.2">
      <c r="B5600" s="2945">
        <v>5005660</v>
      </c>
      <c r="C5600" s="3190" t="s">
        <v>2833</v>
      </c>
      <c r="D5600" s="1034"/>
      <c r="E5600" s="2431">
        <v>22</v>
      </c>
      <c r="F5600" s="2431" t="s">
        <v>2813</v>
      </c>
      <c r="G5600" s="2431" t="s">
        <v>2821</v>
      </c>
      <c r="H5600" s="3600" t="s">
        <v>2834</v>
      </c>
      <c r="I5600" s="2431" t="s">
        <v>2832</v>
      </c>
      <c r="J5600" s="3871">
        <v>1</v>
      </c>
      <c r="K5600" s="3873">
        <v>2500</v>
      </c>
      <c r="L5600" s="2431" t="s">
        <v>2818</v>
      </c>
      <c r="M5600" s="2471" t="s">
        <v>2399</v>
      </c>
      <c r="N5600" s="3864" t="s">
        <v>1262</v>
      </c>
      <c r="O5600" s="3497">
        <v>2500</v>
      </c>
      <c r="P5600" s="3868"/>
      <c r="Q5600" s="3868"/>
      <c r="R5600" s="3868"/>
      <c r="S5600" s="3868"/>
      <c r="T5600" s="3868"/>
      <c r="U5600" s="3868"/>
      <c r="V5600" s="3868"/>
      <c r="W5600" s="3868"/>
      <c r="X5600" s="3868"/>
      <c r="Y5600" s="3868"/>
      <c r="Z5600" s="3868"/>
      <c r="AA5600" s="3860">
        <f>+O5600+P5601</f>
        <v>2500</v>
      </c>
    </row>
    <row r="5601" spans="2:27" ht="46.5" customHeight="1" x14ac:dyDescent="0.2">
      <c r="B5601" s="2947"/>
      <c r="C5601" s="2439"/>
      <c r="D5601" s="1035"/>
      <c r="E5601" s="2437"/>
      <c r="F5601" s="2437"/>
      <c r="G5601" s="2437"/>
      <c r="H5601" s="3600"/>
      <c r="I5601" s="2437"/>
      <c r="J5601" s="3872"/>
      <c r="K5601" s="3874"/>
      <c r="L5601" s="2437"/>
      <c r="M5601" s="2472"/>
      <c r="N5601" s="3865"/>
      <c r="O5601" s="3497"/>
      <c r="P5601" s="3868"/>
      <c r="Q5601" s="3868"/>
      <c r="R5601" s="3868"/>
      <c r="S5601" s="3868"/>
      <c r="T5601" s="3868"/>
      <c r="U5601" s="3868"/>
      <c r="V5601" s="3868"/>
      <c r="W5601" s="3868"/>
      <c r="X5601" s="3868"/>
      <c r="Y5601" s="3868"/>
      <c r="Z5601" s="3868"/>
      <c r="AA5601" s="3860"/>
    </row>
    <row r="5602" spans="2:27" ht="12" thickBot="1" x14ac:dyDescent="0.25">
      <c r="B5602" s="179"/>
      <c r="C5602" s="102"/>
      <c r="D5602" s="102"/>
      <c r="E5602" s="102"/>
      <c r="F5602" s="102"/>
      <c r="G5602" s="102"/>
      <c r="H5602" s="102"/>
      <c r="I5602" s="102"/>
      <c r="J5602" s="102"/>
      <c r="K5602" s="647"/>
      <c r="L5602" s="102"/>
      <c r="M5602" s="102"/>
      <c r="N5602" s="102"/>
      <c r="O5602" s="3885" t="s">
        <v>2649</v>
      </c>
      <c r="P5602" s="3886"/>
      <c r="Q5602" s="3886"/>
      <c r="R5602" s="3886"/>
      <c r="S5602" s="3886"/>
      <c r="T5602" s="3886"/>
      <c r="U5602" s="3886"/>
      <c r="V5602" s="3886"/>
      <c r="W5602" s="3886"/>
      <c r="X5602" s="3886"/>
      <c r="Y5602" s="3886"/>
      <c r="Z5602" s="3887"/>
      <c r="AA5602" s="1811">
        <f>+AA5600+AA5596+AA5593+AA5587+AA5583+AA5579+AA5575+AA5571</f>
        <v>896470</v>
      </c>
    </row>
    <row r="5603" spans="2:27" x14ac:dyDescent="0.2">
      <c r="B5603" s="201"/>
      <c r="C5603" s="102"/>
      <c r="D5603" s="102"/>
      <c r="E5603" s="102"/>
      <c r="F5603" s="102"/>
      <c r="G5603" s="102"/>
      <c r="H5603" s="102"/>
      <c r="I5603" s="102"/>
      <c r="J5603" s="102"/>
      <c r="K5603" s="647"/>
      <c r="L5603" s="102"/>
      <c r="M5603" s="102"/>
      <c r="N5603" s="102"/>
      <c r="O5603" s="102"/>
      <c r="P5603" s="102"/>
      <c r="Q5603" s="102"/>
      <c r="R5603" s="102"/>
      <c r="S5603" s="102"/>
      <c r="T5603" s="102"/>
      <c r="U5603" s="102"/>
      <c r="V5603" s="102"/>
      <c r="W5603" s="102"/>
      <c r="X5603" s="102"/>
      <c r="Y5603" s="102"/>
      <c r="Z5603" s="102"/>
      <c r="AA5603" s="1465"/>
    </row>
    <row r="5604" spans="2:27" ht="7.5" customHeight="1" x14ac:dyDescent="0.2">
      <c r="B5604" s="3877" t="s">
        <v>13</v>
      </c>
      <c r="C5604" s="3747" t="s">
        <v>2835</v>
      </c>
      <c r="D5604" s="3748"/>
      <c r="E5604" s="3748"/>
      <c r="F5604" s="3748"/>
      <c r="G5604" s="3748"/>
      <c r="H5604" s="3748"/>
      <c r="I5604" s="3748"/>
      <c r="J5604" s="3748"/>
      <c r="K5604" s="3748"/>
      <c r="L5604" s="3748"/>
      <c r="M5604" s="3748"/>
      <c r="N5604" s="3748"/>
      <c r="O5604" s="3748"/>
      <c r="P5604" s="3748"/>
      <c r="Q5604" s="3748"/>
      <c r="R5604" s="3748"/>
      <c r="S5604" s="3748"/>
      <c r="T5604" s="3748"/>
      <c r="U5604" s="3749"/>
      <c r="V5604" s="3291" t="s">
        <v>15</v>
      </c>
      <c r="W5604" s="3292"/>
      <c r="X5604" s="3292"/>
      <c r="Y5604" s="3293"/>
      <c r="Z5604" s="3277" t="s">
        <v>16</v>
      </c>
      <c r="AA5604" s="3279"/>
    </row>
    <row r="5605" spans="2:27" ht="10.5" customHeight="1" x14ac:dyDescent="0.2">
      <c r="B5605" s="3888"/>
      <c r="C5605" s="3750"/>
      <c r="D5605" s="3751"/>
      <c r="E5605" s="3751"/>
      <c r="F5605" s="3751"/>
      <c r="G5605" s="3751"/>
      <c r="H5605" s="3751"/>
      <c r="I5605" s="3751"/>
      <c r="J5605" s="3751"/>
      <c r="K5605" s="3751"/>
      <c r="L5605" s="3751"/>
      <c r="M5605" s="3751"/>
      <c r="N5605" s="3751"/>
      <c r="O5605" s="3751"/>
      <c r="P5605" s="3751"/>
      <c r="Q5605" s="3751"/>
      <c r="R5605" s="3751"/>
      <c r="S5605" s="3751"/>
      <c r="T5605" s="3751"/>
      <c r="U5605" s="3752"/>
      <c r="V5605" s="3291"/>
      <c r="W5605" s="3292"/>
      <c r="X5605" s="3292"/>
      <c r="Y5605" s="3293"/>
      <c r="Z5605" s="3889" t="s">
        <v>17</v>
      </c>
      <c r="AA5605" s="3890"/>
    </row>
    <row r="5606" spans="2:27" ht="7.5" customHeight="1" x14ac:dyDescent="0.2">
      <c r="B5606" s="3878"/>
      <c r="C5606" s="3753"/>
      <c r="D5606" s="3754"/>
      <c r="E5606" s="3754"/>
      <c r="F5606" s="3754"/>
      <c r="G5606" s="3754"/>
      <c r="H5606" s="3754"/>
      <c r="I5606" s="3754"/>
      <c r="J5606" s="3754"/>
      <c r="K5606" s="3754"/>
      <c r="L5606" s="3754"/>
      <c r="M5606" s="3754"/>
      <c r="N5606" s="3754"/>
      <c r="O5606" s="3754"/>
      <c r="P5606" s="3754"/>
      <c r="Q5606" s="3754"/>
      <c r="R5606" s="3754"/>
      <c r="S5606" s="3754"/>
      <c r="T5606" s="3754"/>
      <c r="U5606" s="3755"/>
      <c r="V5606" s="3291"/>
      <c r="W5606" s="3292"/>
      <c r="X5606" s="3292"/>
      <c r="Y5606" s="3293"/>
      <c r="Z5606" s="3291"/>
      <c r="AA5606" s="3293"/>
    </row>
    <row r="5607" spans="2:27" x14ac:dyDescent="0.2">
      <c r="B5607" s="3877" t="s">
        <v>18</v>
      </c>
      <c r="C5607" s="3879" t="s">
        <v>2836</v>
      </c>
      <c r="D5607" s="3880"/>
      <c r="E5607" s="3880"/>
      <c r="F5607" s="3880"/>
      <c r="G5607" s="3880"/>
      <c r="H5607" s="3880"/>
      <c r="I5607" s="3880"/>
      <c r="J5607" s="3880"/>
      <c r="K5607" s="3880"/>
      <c r="L5607" s="3880"/>
      <c r="M5607" s="3880"/>
      <c r="N5607" s="3880"/>
      <c r="O5607" s="3880"/>
      <c r="P5607" s="3880"/>
      <c r="Q5607" s="3880"/>
      <c r="R5607" s="3880"/>
      <c r="S5607" s="3880"/>
      <c r="T5607" s="3880"/>
      <c r="U5607" s="3881"/>
      <c r="V5607" s="3291" t="s">
        <v>15</v>
      </c>
      <c r="W5607" s="3292"/>
      <c r="X5607" s="3292"/>
      <c r="Y5607" s="3293"/>
      <c r="Z5607" s="3277" t="s">
        <v>16</v>
      </c>
      <c r="AA5607" s="3279"/>
    </row>
    <row r="5608" spans="2:27" x14ac:dyDescent="0.2">
      <c r="B5608" s="3878"/>
      <c r="C5608" s="3882"/>
      <c r="D5608" s="3883"/>
      <c r="E5608" s="3883"/>
      <c r="F5608" s="3883"/>
      <c r="G5608" s="3883"/>
      <c r="H5608" s="3883"/>
      <c r="I5608" s="3883"/>
      <c r="J5608" s="3883"/>
      <c r="K5608" s="3883"/>
      <c r="L5608" s="3883"/>
      <c r="M5608" s="3883"/>
      <c r="N5608" s="3883"/>
      <c r="O5608" s="3883"/>
      <c r="P5608" s="3883"/>
      <c r="Q5608" s="3883"/>
      <c r="R5608" s="3883"/>
      <c r="S5608" s="3883"/>
      <c r="T5608" s="3883"/>
      <c r="U5608" s="3884"/>
      <c r="V5608" s="2941"/>
      <c r="W5608" s="2941"/>
      <c r="X5608" s="2941"/>
      <c r="Y5608" s="2941"/>
      <c r="Z5608" s="3856"/>
      <c r="AA5608" s="3372"/>
    </row>
    <row r="5609" spans="2:27" x14ac:dyDescent="0.2">
      <c r="B5609" s="3791" t="s">
        <v>2634</v>
      </c>
      <c r="C5609" s="3791" t="s">
        <v>2635</v>
      </c>
      <c r="D5609" s="2988" t="s">
        <v>22</v>
      </c>
      <c r="E5609" s="3791" t="s">
        <v>23</v>
      </c>
      <c r="F5609" s="3791" t="s">
        <v>164</v>
      </c>
      <c r="G5609" s="3791" t="s">
        <v>25</v>
      </c>
      <c r="H5609" s="3791" t="s">
        <v>26</v>
      </c>
      <c r="I5609" s="3791" t="s">
        <v>27</v>
      </c>
      <c r="J5609" s="3791" t="s">
        <v>28</v>
      </c>
      <c r="K5609" s="3791"/>
      <c r="L5609" s="3791" t="s">
        <v>2837</v>
      </c>
      <c r="M5609" s="3814" t="s">
        <v>1487</v>
      </c>
      <c r="N5609" s="3815"/>
      <c r="O5609" s="3818" t="s">
        <v>31</v>
      </c>
      <c r="P5609" s="3818"/>
      <c r="Q5609" s="3818"/>
      <c r="R5609" s="3818"/>
      <c r="S5609" s="3818"/>
      <c r="T5609" s="3818"/>
      <c r="U5609" s="3818"/>
      <c r="V5609" s="3818"/>
      <c r="W5609" s="3818"/>
      <c r="X5609" s="3818"/>
      <c r="Y5609" s="3818"/>
      <c r="Z5609" s="3818"/>
      <c r="AA5609" s="3818" t="s">
        <v>32</v>
      </c>
    </row>
    <row r="5610" spans="2:27" x14ac:dyDescent="0.2">
      <c r="B5610" s="3791"/>
      <c r="C5610" s="3791"/>
      <c r="D5610" s="2989"/>
      <c r="E5610" s="3791"/>
      <c r="F5610" s="3791"/>
      <c r="G5610" s="3791"/>
      <c r="H5610" s="3791"/>
      <c r="I5610" s="3791"/>
      <c r="J5610" s="1038" t="s">
        <v>33</v>
      </c>
      <c r="K5610" s="1038" t="s">
        <v>34</v>
      </c>
      <c r="L5610" s="3791"/>
      <c r="M5610" s="3816"/>
      <c r="N5610" s="3817"/>
      <c r="O5610" s="1039" t="s">
        <v>35</v>
      </c>
      <c r="P5610" s="1039" t="s">
        <v>36</v>
      </c>
      <c r="Q5610" s="1039" t="s">
        <v>37</v>
      </c>
      <c r="R5610" s="1039" t="s">
        <v>38</v>
      </c>
      <c r="S5610" s="1039" t="s">
        <v>39</v>
      </c>
      <c r="T5610" s="1039" t="s">
        <v>40</v>
      </c>
      <c r="U5610" s="1039" t="s">
        <v>41</v>
      </c>
      <c r="V5610" s="1039" t="s">
        <v>42</v>
      </c>
      <c r="W5610" s="1039" t="s">
        <v>2636</v>
      </c>
      <c r="X5610" s="1039" t="s">
        <v>44</v>
      </c>
      <c r="Y5610" s="1039" t="s">
        <v>45</v>
      </c>
      <c r="Z5610" s="1039" t="s">
        <v>46</v>
      </c>
      <c r="AA5610" s="3818"/>
    </row>
    <row r="5611" spans="2:27" x14ac:dyDescent="0.2">
      <c r="B5611" s="1059"/>
      <c r="C5611" s="1059"/>
      <c r="D5611" s="1061"/>
      <c r="E5611" s="1059"/>
      <c r="F5611" s="1059"/>
      <c r="G5611" s="1059"/>
      <c r="H5611" s="1059"/>
      <c r="I5611" s="1059"/>
      <c r="J5611" s="1059"/>
      <c r="K5611" s="1059"/>
      <c r="L5611" s="1059"/>
      <c r="M5611" s="3633" t="s">
        <v>1344</v>
      </c>
      <c r="N5611" s="3633"/>
      <c r="O5611" s="1068">
        <v>16</v>
      </c>
      <c r="P5611" s="2163">
        <v>16</v>
      </c>
      <c r="Q5611" s="2163">
        <v>16</v>
      </c>
      <c r="R5611" s="2163">
        <v>16</v>
      </c>
      <c r="S5611" s="2163">
        <v>16</v>
      </c>
      <c r="T5611" s="2163">
        <v>16</v>
      </c>
      <c r="U5611" s="2163">
        <v>16</v>
      </c>
      <c r="V5611" s="2163">
        <v>16</v>
      </c>
      <c r="W5611" s="2163">
        <v>16</v>
      </c>
      <c r="X5611" s="2163">
        <v>16</v>
      </c>
      <c r="Y5611" s="2163">
        <v>16</v>
      </c>
      <c r="Z5611" s="2163">
        <v>16</v>
      </c>
      <c r="AA5611" s="2281">
        <v>16</v>
      </c>
    </row>
    <row r="5612" spans="2:27" ht="12.75" x14ac:dyDescent="0.2">
      <c r="B5612" s="3907" t="s">
        <v>2838</v>
      </c>
      <c r="C5612" s="3782" t="s">
        <v>2839</v>
      </c>
      <c r="D5612" s="1049"/>
      <c r="E5612" s="3199">
        <v>22</v>
      </c>
      <c r="F5612" s="3199">
        <v>48</v>
      </c>
      <c r="G5612" s="2431">
        <v>108</v>
      </c>
      <c r="H5612" s="3760" t="s">
        <v>2840</v>
      </c>
      <c r="I5612" s="3199" t="s">
        <v>2805</v>
      </c>
      <c r="J5612" s="3199">
        <v>16</v>
      </c>
      <c r="K5612" s="3500">
        <v>11008369</v>
      </c>
      <c r="L5612" s="2431"/>
      <c r="M5612" s="3633" t="s">
        <v>1340</v>
      </c>
      <c r="N5612" s="3633"/>
      <c r="O5612" s="2279">
        <f t="shared" ref="O5612:Z5612" si="920">SUM(O5613:O5624)</f>
        <v>981378.91666666674</v>
      </c>
      <c r="P5612" s="2280">
        <f t="shared" si="920"/>
        <v>909778.91666666674</v>
      </c>
      <c r="Q5612" s="2280">
        <f t="shared" si="920"/>
        <v>909778.91666666674</v>
      </c>
      <c r="R5612" s="2280">
        <f t="shared" si="920"/>
        <v>909778.91666666674</v>
      </c>
      <c r="S5612" s="2280">
        <f t="shared" si="920"/>
        <v>909778.91666666674</v>
      </c>
      <c r="T5612" s="2280">
        <f t="shared" si="920"/>
        <v>909778.91666666674</v>
      </c>
      <c r="U5612" s="2280">
        <f t="shared" si="920"/>
        <v>999778.91666666674</v>
      </c>
      <c r="V5612" s="2280">
        <f t="shared" si="920"/>
        <v>909778.91666666674</v>
      </c>
      <c r="W5612" s="2280">
        <f t="shared" si="920"/>
        <v>909778.91666666674</v>
      </c>
      <c r="X5612" s="2280">
        <f t="shared" si="920"/>
        <v>909778.91666666674</v>
      </c>
      <c r="Y5612" s="2280">
        <f t="shared" si="920"/>
        <v>909778.91666666674</v>
      </c>
      <c r="Z5612" s="2280">
        <f t="shared" si="920"/>
        <v>999778.91666666674</v>
      </c>
      <c r="AA5612" s="2282">
        <f>SUM(O5612:Z5612)</f>
        <v>11168947</v>
      </c>
    </row>
    <row r="5613" spans="2:27" ht="45" x14ac:dyDescent="0.2">
      <c r="B5613" s="3908"/>
      <c r="C5613" s="3899"/>
      <c r="D5613" s="1050"/>
      <c r="E5613" s="3200"/>
      <c r="F5613" s="3200"/>
      <c r="G5613" s="2432"/>
      <c r="H5613" s="3764"/>
      <c r="I5613" s="3200"/>
      <c r="J5613" s="3200"/>
      <c r="K5613" s="3501"/>
      <c r="L5613" s="2432"/>
      <c r="M5613" s="1080" t="s">
        <v>2841</v>
      </c>
      <c r="N5613" s="776" t="s">
        <v>2842</v>
      </c>
      <c r="O5613" s="32">
        <v>54573.333333333336</v>
      </c>
      <c r="P5613" s="2220">
        <v>54573.333333333336</v>
      </c>
      <c r="Q5613" s="2220">
        <v>54573.333333333336</v>
      </c>
      <c r="R5613" s="2220">
        <v>54573.333333333336</v>
      </c>
      <c r="S5613" s="2220">
        <v>54573.333333333336</v>
      </c>
      <c r="T5613" s="2220">
        <v>54573.333333333336</v>
      </c>
      <c r="U5613" s="2220">
        <v>54573.333333333336</v>
      </c>
      <c r="V5613" s="2220">
        <v>54573.333333333336</v>
      </c>
      <c r="W5613" s="2220">
        <v>54573.333333333336</v>
      </c>
      <c r="X5613" s="2220">
        <v>54573.333333333336</v>
      </c>
      <c r="Y5613" s="2220">
        <v>54573.333333333336</v>
      </c>
      <c r="Z5613" s="2220">
        <v>54573.333333333336</v>
      </c>
      <c r="AA5613" s="2217">
        <f>SUM(O5613:Z5613)</f>
        <v>654880</v>
      </c>
    </row>
    <row r="5614" spans="2:27" x14ac:dyDescent="0.2">
      <c r="B5614" s="3908"/>
      <c r="C5614" s="3899"/>
      <c r="D5614" s="1050"/>
      <c r="E5614" s="3200"/>
      <c r="F5614" s="3200"/>
      <c r="G5614" s="2432"/>
      <c r="H5614" s="3764"/>
      <c r="I5614" s="3200"/>
      <c r="J5614" s="3200"/>
      <c r="K5614" s="3501"/>
      <c r="L5614" s="2432"/>
      <c r="M5614" s="1096" t="s">
        <v>2843</v>
      </c>
      <c r="N5614" s="38" t="s">
        <v>1317</v>
      </c>
      <c r="O5614" s="118">
        <v>4308</v>
      </c>
      <c r="P5614" s="2235">
        <v>4308</v>
      </c>
      <c r="Q5614" s="2235">
        <v>4308</v>
      </c>
      <c r="R5614" s="2235">
        <v>4308</v>
      </c>
      <c r="S5614" s="2235">
        <v>4308</v>
      </c>
      <c r="T5614" s="2235">
        <v>4308</v>
      </c>
      <c r="U5614" s="2235">
        <v>4308</v>
      </c>
      <c r="V5614" s="2235">
        <v>4308</v>
      </c>
      <c r="W5614" s="2235">
        <v>4308</v>
      </c>
      <c r="X5614" s="2235">
        <v>4308</v>
      </c>
      <c r="Y5614" s="2235">
        <v>4308</v>
      </c>
      <c r="Z5614" s="2235">
        <v>4308</v>
      </c>
      <c r="AA5614" s="2257">
        <f t="shared" ref="AA5614:AA5624" si="921">SUM(O5614:Z5614)</f>
        <v>51696</v>
      </c>
    </row>
    <row r="5615" spans="2:27" ht="33.75" x14ac:dyDescent="0.2">
      <c r="B5615" s="3908"/>
      <c r="C5615" s="3899"/>
      <c r="D5615" s="1050"/>
      <c r="E5615" s="3200"/>
      <c r="F5615" s="3200"/>
      <c r="G5615" s="2432"/>
      <c r="H5615" s="3764"/>
      <c r="I5615" s="3200"/>
      <c r="J5615" s="3200"/>
      <c r="K5615" s="3501"/>
      <c r="L5615" s="2432"/>
      <c r="M5615" s="1096" t="s">
        <v>2844</v>
      </c>
      <c r="N5615" s="104" t="s">
        <v>1319</v>
      </c>
      <c r="O5615" s="118">
        <v>35628</v>
      </c>
      <c r="P5615" s="2235">
        <v>35628</v>
      </c>
      <c r="Q5615" s="2235">
        <v>35628</v>
      </c>
      <c r="R5615" s="2235">
        <v>35628</v>
      </c>
      <c r="S5615" s="2235">
        <v>35628</v>
      </c>
      <c r="T5615" s="2235">
        <v>35628</v>
      </c>
      <c r="U5615" s="2235">
        <v>35628</v>
      </c>
      <c r="V5615" s="2235">
        <v>35628</v>
      </c>
      <c r="W5615" s="2235">
        <v>35628</v>
      </c>
      <c r="X5615" s="2235">
        <v>35628</v>
      </c>
      <c r="Y5615" s="2235">
        <v>35628</v>
      </c>
      <c r="Z5615" s="2235">
        <v>35628</v>
      </c>
      <c r="AA5615" s="2257">
        <f t="shared" si="921"/>
        <v>427536</v>
      </c>
    </row>
    <row r="5616" spans="2:27" ht="22.5" x14ac:dyDescent="0.2">
      <c r="B5616" s="3908"/>
      <c r="C5616" s="3899"/>
      <c r="D5616" s="1050"/>
      <c r="E5616" s="3200"/>
      <c r="F5616" s="3200"/>
      <c r="G5616" s="2432"/>
      <c r="H5616" s="3764"/>
      <c r="I5616" s="3200"/>
      <c r="J5616" s="3200"/>
      <c r="K5616" s="3501"/>
      <c r="L5616" s="2432"/>
      <c r="M5616" s="1096" t="s">
        <v>2845</v>
      </c>
      <c r="N5616" s="104" t="s">
        <v>1535</v>
      </c>
      <c r="O5616" s="118">
        <v>591341.58333333337</v>
      </c>
      <c r="P5616" s="2235">
        <v>591341.58333333337</v>
      </c>
      <c r="Q5616" s="2235">
        <v>591341.58333333337</v>
      </c>
      <c r="R5616" s="2235">
        <v>591341.58333333337</v>
      </c>
      <c r="S5616" s="2235">
        <v>591341.58333333337</v>
      </c>
      <c r="T5616" s="2235">
        <v>591341.58333333337</v>
      </c>
      <c r="U5616" s="2235">
        <v>591341.58333333337</v>
      </c>
      <c r="V5616" s="2235">
        <v>591341.58333333337</v>
      </c>
      <c r="W5616" s="2235">
        <v>591341.58333333337</v>
      </c>
      <c r="X5616" s="2235">
        <v>591341.58333333337</v>
      </c>
      <c r="Y5616" s="2235">
        <v>591341.58333333337</v>
      </c>
      <c r="Z5616" s="2235">
        <v>591341.58333333337</v>
      </c>
      <c r="AA5616" s="2257">
        <f t="shared" si="921"/>
        <v>7096098.9999999991</v>
      </c>
    </row>
    <row r="5617" spans="2:27" ht="22.5" x14ac:dyDescent="0.2">
      <c r="B5617" s="3908"/>
      <c r="C5617" s="3899"/>
      <c r="D5617" s="1050"/>
      <c r="E5617" s="3200"/>
      <c r="F5617" s="3200"/>
      <c r="G5617" s="2432"/>
      <c r="H5617" s="3764"/>
      <c r="I5617" s="3200"/>
      <c r="J5617" s="3200"/>
      <c r="K5617" s="3501"/>
      <c r="L5617" s="2432"/>
      <c r="M5617" s="913" t="s">
        <v>2846</v>
      </c>
      <c r="N5617" s="104" t="s">
        <v>1641</v>
      </c>
      <c r="O5617" s="118">
        <v>162077.66666666666</v>
      </c>
      <c r="P5617" s="2235">
        <v>162077.66666666666</v>
      </c>
      <c r="Q5617" s="2235">
        <v>162077.66666666666</v>
      </c>
      <c r="R5617" s="2235">
        <v>162077.66666666666</v>
      </c>
      <c r="S5617" s="2235">
        <v>162077.66666666666</v>
      </c>
      <c r="T5617" s="2235">
        <v>162077.66666666666</v>
      </c>
      <c r="U5617" s="2235">
        <v>162077.66666666666</v>
      </c>
      <c r="V5617" s="2235">
        <v>162077.66666666666</v>
      </c>
      <c r="W5617" s="2235">
        <v>162077.66666666666</v>
      </c>
      <c r="X5617" s="2235">
        <v>162077.66666666666</v>
      </c>
      <c r="Y5617" s="2235">
        <v>162077.66666666666</v>
      </c>
      <c r="Z5617" s="2235">
        <v>162077.66666666666</v>
      </c>
      <c r="AA5617" s="2257">
        <f t="shared" si="921"/>
        <v>1944932.0000000002</v>
      </c>
    </row>
    <row r="5618" spans="2:27" x14ac:dyDescent="0.2">
      <c r="B5618" s="3908"/>
      <c r="C5618" s="3899"/>
      <c r="D5618" s="1050"/>
      <c r="E5618" s="3200"/>
      <c r="F5618" s="3200"/>
      <c r="G5618" s="2432"/>
      <c r="H5618" s="3764"/>
      <c r="I5618" s="3200"/>
      <c r="J5618" s="3200"/>
      <c r="K5618" s="3501"/>
      <c r="L5618" s="2432"/>
      <c r="M5618" s="913" t="s">
        <v>2847</v>
      </c>
      <c r="N5618" s="104" t="s">
        <v>1321</v>
      </c>
      <c r="O5618" s="118"/>
      <c r="P5618" s="2235"/>
      <c r="Q5618" s="2235"/>
      <c r="R5618" s="2235"/>
      <c r="S5618" s="2235"/>
      <c r="T5618" s="2235"/>
      <c r="U5618" s="2235">
        <v>90000</v>
      </c>
      <c r="V5618" s="2235"/>
      <c r="W5618" s="2235"/>
      <c r="X5618" s="2235"/>
      <c r="Y5618" s="2235"/>
      <c r="Z5618" s="2235">
        <v>90000</v>
      </c>
      <c r="AA5618" s="2257">
        <f t="shared" si="921"/>
        <v>180000</v>
      </c>
    </row>
    <row r="5619" spans="2:27" ht="22.5" x14ac:dyDescent="0.2">
      <c r="B5619" s="3908"/>
      <c r="C5619" s="3899"/>
      <c r="D5619" s="1050"/>
      <c r="E5619" s="3200"/>
      <c r="F5619" s="3200"/>
      <c r="G5619" s="2432"/>
      <c r="H5619" s="3764"/>
      <c r="I5619" s="3200"/>
      <c r="J5619" s="3200"/>
      <c r="K5619" s="3501"/>
      <c r="L5619" s="2432"/>
      <c r="M5619" s="913" t="s">
        <v>2848</v>
      </c>
      <c r="N5619" s="104" t="s">
        <v>1323</v>
      </c>
      <c r="O5619" s="118">
        <v>71600</v>
      </c>
      <c r="P5619" s="2235"/>
      <c r="Q5619" s="2235"/>
      <c r="R5619" s="2235"/>
      <c r="S5619" s="2235"/>
      <c r="T5619" s="2235"/>
      <c r="U5619" s="2235"/>
      <c r="V5619" s="2235"/>
      <c r="W5619" s="2235"/>
      <c r="X5619" s="2235"/>
      <c r="Y5619" s="2235"/>
      <c r="Z5619" s="2235"/>
      <c r="AA5619" s="2257">
        <f t="shared" si="921"/>
        <v>71600</v>
      </c>
    </row>
    <row r="5620" spans="2:27" ht="21" customHeight="1" x14ac:dyDescent="0.2">
      <c r="B5620" s="3908"/>
      <c r="C5620" s="3899"/>
      <c r="D5620" s="1050"/>
      <c r="E5620" s="3200"/>
      <c r="F5620" s="3200"/>
      <c r="G5620" s="2432"/>
      <c r="H5620" s="3764"/>
      <c r="I5620" s="3200"/>
      <c r="J5620" s="3200"/>
      <c r="K5620" s="3501"/>
      <c r="L5620" s="2432"/>
      <c r="M5620" s="913" t="s">
        <v>2849</v>
      </c>
      <c r="N5620" s="104" t="s">
        <v>1329</v>
      </c>
      <c r="O5620" s="118">
        <v>48468.833333333336</v>
      </c>
      <c r="P5620" s="2235">
        <v>48468.833333333336</v>
      </c>
      <c r="Q5620" s="2235">
        <v>48468.833333333336</v>
      </c>
      <c r="R5620" s="2235">
        <v>48468.833333333336</v>
      </c>
      <c r="S5620" s="2235">
        <v>48468.833333333336</v>
      </c>
      <c r="T5620" s="2235">
        <v>48468.833333333336</v>
      </c>
      <c r="U5620" s="2235">
        <v>48468.833333333336</v>
      </c>
      <c r="V5620" s="2235">
        <v>48468.833333333336</v>
      </c>
      <c r="W5620" s="2235">
        <v>48468.833333333336</v>
      </c>
      <c r="X5620" s="2235">
        <v>48468.833333333336</v>
      </c>
      <c r="Y5620" s="2235">
        <v>48468.833333333336</v>
      </c>
      <c r="Z5620" s="2235">
        <v>48468.833333333336</v>
      </c>
      <c r="AA5620" s="2257">
        <f t="shared" si="921"/>
        <v>581626</v>
      </c>
    </row>
    <row r="5621" spans="2:27" ht="33.75" x14ac:dyDescent="0.2">
      <c r="B5621" s="3782" t="s">
        <v>2850</v>
      </c>
      <c r="C5621" s="3901" t="s">
        <v>2851</v>
      </c>
      <c r="D5621" s="1049"/>
      <c r="E5621" s="3199">
        <v>22</v>
      </c>
      <c r="F5621" s="3199">
        <v>48</v>
      </c>
      <c r="G5621" s="2431">
        <v>108</v>
      </c>
      <c r="H5621" s="3904" t="s">
        <v>2852</v>
      </c>
      <c r="I5621" s="3199" t="s">
        <v>2805</v>
      </c>
      <c r="J5621" s="3199">
        <v>16</v>
      </c>
      <c r="K5621" s="3891">
        <v>160578</v>
      </c>
      <c r="L5621" s="3827"/>
      <c r="M5621" s="913" t="s">
        <v>2853</v>
      </c>
      <c r="N5621" s="104" t="s">
        <v>1281</v>
      </c>
      <c r="O5621" s="118">
        <v>7471.166666666667</v>
      </c>
      <c r="P5621" s="2235">
        <v>7471.166666666667</v>
      </c>
      <c r="Q5621" s="2235">
        <v>7471.166666666667</v>
      </c>
      <c r="R5621" s="2235">
        <v>7471.166666666667</v>
      </c>
      <c r="S5621" s="2235">
        <v>7471.166666666667</v>
      </c>
      <c r="T5621" s="2235">
        <v>7471.166666666667</v>
      </c>
      <c r="U5621" s="2235">
        <v>7471.166666666667</v>
      </c>
      <c r="V5621" s="2235">
        <v>7471.166666666667</v>
      </c>
      <c r="W5621" s="2235">
        <v>7471.166666666667</v>
      </c>
      <c r="X5621" s="2235">
        <v>7471.166666666667</v>
      </c>
      <c r="Y5621" s="2235">
        <v>7471.166666666667</v>
      </c>
      <c r="Z5621" s="2235">
        <v>7471.166666666667</v>
      </c>
      <c r="AA5621" s="2257">
        <f t="shared" si="921"/>
        <v>89654.000000000015</v>
      </c>
    </row>
    <row r="5622" spans="2:27" x14ac:dyDescent="0.2">
      <c r="B5622" s="3899"/>
      <c r="C5622" s="3902"/>
      <c r="D5622" s="1052"/>
      <c r="E5622" s="3200"/>
      <c r="F5622" s="3200"/>
      <c r="G5622" s="2432"/>
      <c r="H5622" s="3905"/>
      <c r="I5622" s="3200"/>
      <c r="J5622" s="3200"/>
      <c r="K5622" s="3892"/>
      <c r="L5622" s="3828"/>
      <c r="M5622" s="38" t="s">
        <v>2854</v>
      </c>
      <c r="N5622" s="38" t="s">
        <v>1283</v>
      </c>
      <c r="O5622" s="118">
        <v>978.66666666666663</v>
      </c>
      <c r="P5622" s="2235">
        <v>978.66666666666663</v>
      </c>
      <c r="Q5622" s="2235">
        <v>978.66666666666663</v>
      </c>
      <c r="R5622" s="2235">
        <v>978.66666666666663</v>
      </c>
      <c r="S5622" s="2235">
        <v>978.66666666666663</v>
      </c>
      <c r="T5622" s="2235">
        <v>978.66666666666663</v>
      </c>
      <c r="U5622" s="2235">
        <v>978.66666666666663</v>
      </c>
      <c r="V5622" s="2235">
        <v>978.66666666666663</v>
      </c>
      <c r="W5622" s="2235">
        <v>978.66666666666663</v>
      </c>
      <c r="X5622" s="2235">
        <v>978.66666666666663</v>
      </c>
      <c r="Y5622" s="2235">
        <v>978.66666666666663</v>
      </c>
      <c r="Z5622" s="2235">
        <v>978.66666666666663</v>
      </c>
      <c r="AA5622" s="2257">
        <f t="shared" si="921"/>
        <v>11743.999999999998</v>
      </c>
    </row>
    <row r="5623" spans="2:27" x14ac:dyDescent="0.2">
      <c r="B5623" s="3899"/>
      <c r="C5623" s="3902"/>
      <c r="D5623" s="1052"/>
      <c r="E5623" s="3200"/>
      <c r="F5623" s="3200"/>
      <c r="G5623" s="2432"/>
      <c r="H5623" s="3905"/>
      <c r="I5623" s="3200"/>
      <c r="J5623" s="3200"/>
      <c r="K5623" s="3892"/>
      <c r="L5623" s="3828"/>
      <c r="M5623" s="38" t="s">
        <v>2855</v>
      </c>
      <c r="N5623" s="38" t="s">
        <v>1287</v>
      </c>
      <c r="O5623" s="118">
        <v>2462.3333333333335</v>
      </c>
      <c r="P5623" s="2235">
        <v>2462.3333333333335</v>
      </c>
      <c r="Q5623" s="2235">
        <v>2462.3333333333335</v>
      </c>
      <c r="R5623" s="2235">
        <v>2462.3333333333335</v>
      </c>
      <c r="S5623" s="2235">
        <v>2462.3333333333335</v>
      </c>
      <c r="T5623" s="2235">
        <v>2462.3333333333335</v>
      </c>
      <c r="U5623" s="2235">
        <v>2462.3333333333335</v>
      </c>
      <c r="V5623" s="2235">
        <v>2462.3333333333335</v>
      </c>
      <c r="W5623" s="2235">
        <v>2462.3333333333335</v>
      </c>
      <c r="X5623" s="2235">
        <v>2462.3333333333335</v>
      </c>
      <c r="Y5623" s="2235">
        <v>2462.3333333333335</v>
      </c>
      <c r="Z5623" s="2235">
        <v>2462.3333333333335</v>
      </c>
      <c r="AA5623" s="2257">
        <f t="shared" si="921"/>
        <v>29547.999999999996</v>
      </c>
    </row>
    <row r="5624" spans="2:27" x14ac:dyDescent="0.2">
      <c r="B5624" s="3900"/>
      <c r="C5624" s="3903"/>
      <c r="D5624" s="1053"/>
      <c r="E5624" s="3201"/>
      <c r="F5624" s="3201"/>
      <c r="G5624" s="2437"/>
      <c r="H5624" s="3906"/>
      <c r="I5624" s="3201"/>
      <c r="J5624" s="3201"/>
      <c r="K5624" s="3893"/>
      <c r="L5624" s="3829"/>
      <c r="M5624" s="38" t="s">
        <v>2856</v>
      </c>
      <c r="N5624" s="38" t="s">
        <v>1289</v>
      </c>
      <c r="O5624" s="118">
        <v>2469.3333333333335</v>
      </c>
      <c r="P5624" s="2235">
        <v>2469.3333333333335</v>
      </c>
      <c r="Q5624" s="2235">
        <v>2469.3333333333335</v>
      </c>
      <c r="R5624" s="2235">
        <v>2469.3333333333335</v>
      </c>
      <c r="S5624" s="2235">
        <v>2469.3333333333335</v>
      </c>
      <c r="T5624" s="2235">
        <v>2469.3333333333335</v>
      </c>
      <c r="U5624" s="2235">
        <v>2469.3333333333335</v>
      </c>
      <c r="V5624" s="2235">
        <v>2469.3333333333335</v>
      </c>
      <c r="W5624" s="2235">
        <v>2469.3333333333335</v>
      </c>
      <c r="X5624" s="2235">
        <v>2469.3333333333335</v>
      </c>
      <c r="Y5624" s="2235">
        <v>2469.3333333333335</v>
      </c>
      <c r="Z5624" s="2235">
        <v>2469.3333333333335</v>
      </c>
      <c r="AA5624" s="2257">
        <f t="shared" si="921"/>
        <v>29631.999999999996</v>
      </c>
    </row>
    <row r="5625" spans="2:27" x14ac:dyDescent="0.2">
      <c r="B5625" s="201"/>
      <c r="C5625" s="102"/>
      <c r="D5625" s="102"/>
      <c r="E5625" s="102"/>
      <c r="F5625" s="102"/>
      <c r="G5625" s="102"/>
      <c r="H5625" s="102"/>
      <c r="I5625" s="102"/>
      <c r="J5625" s="102"/>
      <c r="K5625" s="647"/>
      <c r="L5625" s="102"/>
      <c r="M5625" s="102"/>
      <c r="N5625" s="102"/>
      <c r="O5625" s="648"/>
      <c r="P5625" s="648"/>
      <c r="Q5625" s="648"/>
      <c r="R5625" s="648"/>
      <c r="S5625" s="648"/>
      <c r="T5625" s="648"/>
      <c r="U5625" s="648"/>
      <c r="V5625" s="648"/>
      <c r="W5625" s="648"/>
      <c r="X5625" s="648"/>
      <c r="Y5625" s="648"/>
      <c r="Z5625" s="648"/>
      <c r="AA5625" s="649"/>
    </row>
    <row r="5626" spans="2:27" x14ac:dyDescent="0.2">
      <c r="B5626" s="3092" t="s">
        <v>13</v>
      </c>
      <c r="C5626" s="3102" t="s">
        <v>2857</v>
      </c>
      <c r="D5626" s="3103"/>
      <c r="E5626" s="3103"/>
      <c r="F5626" s="3103"/>
      <c r="G5626" s="3103"/>
      <c r="H5626" s="3103"/>
      <c r="I5626" s="3103"/>
      <c r="J5626" s="3103"/>
      <c r="K5626" s="3103"/>
      <c r="L5626" s="3103"/>
      <c r="M5626" s="3103"/>
      <c r="N5626" s="3103"/>
      <c r="O5626" s="3103"/>
      <c r="P5626" s="3103"/>
      <c r="Q5626" s="3103"/>
      <c r="R5626" s="3103"/>
      <c r="S5626" s="3103"/>
      <c r="T5626" s="3103"/>
      <c r="U5626" s="3103"/>
      <c r="V5626" s="3103"/>
      <c r="W5626" s="3894"/>
      <c r="X5626" s="2922" t="s">
        <v>15</v>
      </c>
      <c r="Y5626" s="2922"/>
      <c r="Z5626" s="2922"/>
      <c r="AA5626" s="2922"/>
    </row>
    <row r="5627" spans="2:27" x14ac:dyDescent="0.2">
      <c r="B5627" s="3092"/>
      <c r="C5627" s="3895"/>
      <c r="D5627" s="3896"/>
      <c r="E5627" s="3896"/>
      <c r="F5627" s="3896"/>
      <c r="G5627" s="3896"/>
      <c r="H5627" s="3896"/>
      <c r="I5627" s="3896"/>
      <c r="J5627" s="3896"/>
      <c r="K5627" s="3896"/>
      <c r="L5627" s="3896"/>
      <c r="M5627" s="3896"/>
      <c r="N5627" s="3896"/>
      <c r="O5627" s="3896"/>
      <c r="P5627" s="3896"/>
      <c r="Q5627" s="3896"/>
      <c r="R5627" s="3896"/>
      <c r="S5627" s="3896"/>
      <c r="T5627" s="3896"/>
      <c r="U5627" s="3896"/>
      <c r="V5627" s="3896"/>
      <c r="W5627" s="3897"/>
      <c r="X5627" s="3019"/>
      <c r="Y5627" s="3328"/>
      <c r="Z5627" s="3328"/>
      <c r="AA5627" s="3020"/>
    </row>
    <row r="5628" spans="2:27" x14ac:dyDescent="0.2">
      <c r="B5628" s="3092"/>
      <c r="C5628" s="3104"/>
      <c r="D5628" s="3105"/>
      <c r="E5628" s="3105"/>
      <c r="F5628" s="3105"/>
      <c r="G5628" s="3105"/>
      <c r="H5628" s="3105"/>
      <c r="I5628" s="3105"/>
      <c r="J5628" s="3105"/>
      <c r="K5628" s="3105"/>
      <c r="L5628" s="3105"/>
      <c r="M5628" s="3105"/>
      <c r="N5628" s="3105"/>
      <c r="O5628" s="3105"/>
      <c r="P5628" s="3105"/>
      <c r="Q5628" s="3105"/>
      <c r="R5628" s="3105"/>
      <c r="S5628" s="3105"/>
      <c r="T5628" s="3105"/>
      <c r="U5628" s="3105"/>
      <c r="V5628" s="3105"/>
      <c r="W5628" s="3898"/>
      <c r="X5628" s="3023"/>
      <c r="Y5628" s="3337"/>
      <c r="Z5628" s="3337"/>
      <c r="AA5628" s="3338"/>
    </row>
    <row r="5629" spans="2:27" ht="15" x14ac:dyDescent="0.25">
      <c r="B5629" s="3436" t="s">
        <v>18</v>
      </c>
      <c r="C5629" s="2993">
        <v>3.9999989999999999</v>
      </c>
      <c r="D5629" s="1047"/>
      <c r="E5629" s="233"/>
      <c r="F5629" s="233"/>
      <c r="G5629" s="233"/>
      <c r="H5629" s="233"/>
      <c r="I5629" s="233"/>
      <c r="J5629" s="233"/>
      <c r="K5629" s="233"/>
      <c r="L5629" s="233"/>
      <c r="M5629" s="233"/>
      <c r="N5629" s="233"/>
      <c r="O5629" s="233"/>
      <c r="P5629" s="233"/>
      <c r="Q5629" s="233"/>
      <c r="R5629" s="233"/>
      <c r="S5629" s="233"/>
      <c r="T5629" s="233"/>
      <c r="U5629" s="233"/>
      <c r="V5629" s="233"/>
      <c r="W5629" s="233"/>
      <c r="X5629" s="233"/>
      <c r="Y5629" s="233"/>
      <c r="Z5629" s="233"/>
      <c r="AA5629" s="233"/>
    </row>
    <row r="5630" spans="2:27" ht="22.5" x14ac:dyDescent="0.2">
      <c r="B5630" s="3436"/>
      <c r="C5630" s="2994"/>
      <c r="D5630" s="1013" t="s">
        <v>163</v>
      </c>
      <c r="E5630" s="1013"/>
      <c r="F5630" s="244"/>
      <c r="G5630" s="244"/>
      <c r="H5630" s="244"/>
      <c r="I5630" s="244"/>
      <c r="J5630" s="244"/>
      <c r="K5630" s="244"/>
      <c r="L5630" s="244"/>
      <c r="M5630" s="244"/>
      <c r="N5630" s="244"/>
      <c r="O5630" s="244"/>
      <c r="P5630" s="244"/>
      <c r="Q5630" s="244"/>
      <c r="R5630" s="28"/>
      <c r="S5630" s="28"/>
      <c r="T5630" s="28"/>
      <c r="U5630" s="28"/>
      <c r="V5630" s="29"/>
      <c r="W5630" s="1013" t="s">
        <v>15</v>
      </c>
      <c r="X5630" s="1013"/>
      <c r="Y5630" s="1013"/>
      <c r="Z5630" s="1013"/>
      <c r="AA5630" s="1048" t="s">
        <v>16</v>
      </c>
    </row>
    <row r="5631" spans="2:27" ht="45" customHeight="1" x14ac:dyDescent="0.25">
      <c r="B5631" s="2988" t="s">
        <v>20</v>
      </c>
      <c r="C5631" s="2847" t="s">
        <v>21</v>
      </c>
      <c r="D5631" s="2988" t="s">
        <v>22</v>
      </c>
      <c r="E5631" s="2988" t="s">
        <v>23</v>
      </c>
      <c r="F5631" s="2988" t="s">
        <v>24</v>
      </c>
      <c r="G5631" s="2988" t="s">
        <v>25</v>
      </c>
      <c r="H5631" s="2988" t="s">
        <v>26</v>
      </c>
      <c r="I5631" s="2988" t="s">
        <v>27</v>
      </c>
      <c r="J5631" s="3206" t="s">
        <v>28</v>
      </c>
      <c r="K5631" s="3207"/>
      <c r="L5631" s="2149" t="s">
        <v>29</v>
      </c>
      <c r="M5631" s="3912" t="s">
        <v>1487</v>
      </c>
      <c r="N5631" s="3913"/>
      <c r="O5631" s="3911" t="s">
        <v>31</v>
      </c>
      <c r="P5631" s="2991"/>
      <c r="Q5631" s="2991"/>
      <c r="R5631" s="2991"/>
      <c r="S5631" s="2991"/>
      <c r="T5631" s="2991"/>
      <c r="U5631" s="2991"/>
      <c r="V5631" s="2991"/>
      <c r="W5631" s="2991"/>
      <c r="X5631" s="2991"/>
      <c r="Y5631" s="2991"/>
      <c r="Z5631" s="2992"/>
      <c r="AA5631" s="1464" t="s">
        <v>32</v>
      </c>
    </row>
    <row r="5632" spans="2:27" ht="11.25" customHeight="1" x14ac:dyDescent="0.2">
      <c r="B5632" s="2989"/>
      <c r="C5632" s="2847"/>
      <c r="D5632" s="2989"/>
      <c r="E5632" s="2989"/>
      <c r="F5632" s="2989"/>
      <c r="G5632" s="2989"/>
      <c r="H5632" s="2989"/>
      <c r="I5632" s="2989"/>
      <c r="J5632" s="2149" t="s">
        <v>33</v>
      </c>
      <c r="K5632" s="2149" t="s">
        <v>34</v>
      </c>
      <c r="L5632" s="2149"/>
      <c r="M5632" s="2161"/>
      <c r="N5632" s="2162"/>
      <c r="O5632" s="2146" t="s">
        <v>35</v>
      </c>
      <c r="P5632" s="2146" t="s">
        <v>36</v>
      </c>
      <c r="Q5632" s="2146" t="s">
        <v>37</v>
      </c>
      <c r="R5632" s="2146" t="s">
        <v>38</v>
      </c>
      <c r="S5632" s="2146" t="s">
        <v>39</v>
      </c>
      <c r="T5632" s="2146" t="s">
        <v>40</v>
      </c>
      <c r="U5632" s="2146" t="s">
        <v>41</v>
      </c>
      <c r="V5632" s="2146" t="s">
        <v>42</v>
      </c>
      <c r="W5632" s="2146" t="s">
        <v>43</v>
      </c>
      <c r="X5632" s="2146" t="s">
        <v>44</v>
      </c>
      <c r="Y5632" s="2146" t="s">
        <v>45</v>
      </c>
      <c r="Z5632" s="2146" t="s">
        <v>46</v>
      </c>
      <c r="AA5632" s="2284"/>
    </row>
    <row r="5633" spans="2:27" ht="11.25" customHeight="1" x14ac:dyDescent="0.2">
      <c r="B5633" s="3244" t="s">
        <v>2767</v>
      </c>
      <c r="C5633" s="2514" t="s">
        <v>2858</v>
      </c>
      <c r="D5633" s="3914" t="s">
        <v>1350</v>
      </c>
      <c r="E5633" s="3917" t="s">
        <v>2672</v>
      </c>
      <c r="F5633" s="3918" t="s">
        <v>165</v>
      </c>
      <c r="G5633" s="3918" t="s">
        <v>166</v>
      </c>
      <c r="H5633" s="3919" t="s">
        <v>2859</v>
      </c>
      <c r="I5633" s="3600" t="s">
        <v>2860</v>
      </c>
      <c r="J5633" s="3600">
        <v>120</v>
      </c>
      <c r="K5633" s="3055">
        <v>4132780</v>
      </c>
      <c r="L5633" s="2941"/>
      <c r="M5633" s="2168" t="s">
        <v>1344</v>
      </c>
      <c r="N5633" s="2168"/>
      <c r="O5633" s="2169">
        <v>120</v>
      </c>
      <c r="P5633" s="2169">
        <v>120</v>
      </c>
      <c r="Q5633" s="2169">
        <v>120</v>
      </c>
      <c r="R5633" s="2169">
        <v>120</v>
      </c>
      <c r="S5633" s="2169">
        <v>120</v>
      </c>
      <c r="T5633" s="2169">
        <v>120</v>
      </c>
      <c r="U5633" s="2169">
        <v>120</v>
      </c>
      <c r="V5633" s="2169">
        <v>120</v>
      </c>
      <c r="W5633" s="2169">
        <v>120</v>
      </c>
      <c r="X5633" s="2169">
        <v>120</v>
      </c>
      <c r="Y5633" s="2169">
        <v>120</v>
      </c>
      <c r="Z5633" s="2169">
        <v>120</v>
      </c>
      <c r="AA5633" s="1828">
        <f>SUM(O5633:Z5633)</f>
        <v>1440</v>
      </c>
    </row>
    <row r="5634" spans="2:27" ht="15" customHeight="1" x14ac:dyDescent="0.2">
      <c r="B5634" s="3245"/>
      <c r="C5634" s="2515"/>
      <c r="D5634" s="3915"/>
      <c r="E5634" s="3917"/>
      <c r="F5634" s="3918"/>
      <c r="G5634" s="3918"/>
      <c r="H5634" s="3920"/>
      <c r="I5634" s="3600"/>
      <c r="J5634" s="3600"/>
      <c r="K5634" s="3055"/>
      <c r="L5634" s="2941"/>
      <c r="M5634" s="3791" t="s">
        <v>1340</v>
      </c>
      <c r="N5634" s="3791"/>
      <c r="O5634" s="2169">
        <f t="shared" ref="O5634:Y5634" si="922">SUM(O5636:O5693)</f>
        <v>361731.66666666686</v>
      </c>
      <c r="P5634" s="2169">
        <f t="shared" si="922"/>
        <v>339331.66666666686</v>
      </c>
      <c r="Q5634" s="2169">
        <f t="shared" si="922"/>
        <v>339331.66666666686</v>
      </c>
      <c r="R5634" s="2169">
        <f t="shared" si="922"/>
        <v>339331.66666666686</v>
      </c>
      <c r="S5634" s="2169">
        <f t="shared" si="922"/>
        <v>339331.66666666686</v>
      </c>
      <c r="T5634" s="2169">
        <f t="shared" si="922"/>
        <v>339331.66666666686</v>
      </c>
      <c r="U5634" s="2169">
        <f t="shared" si="922"/>
        <v>358531.66666666686</v>
      </c>
      <c r="V5634" s="2169">
        <f t="shared" si="922"/>
        <v>339331.66666666686</v>
      </c>
      <c r="W5634" s="2169">
        <f t="shared" si="922"/>
        <v>339331.66666666686</v>
      </c>
      <c r="X5634" s="2169">
        <f t="shared" si="922"/>
        <v>339331.66666666686</v>
      </c>
      <c r="Y5634" s="2169">
        <f t="shared" si="922"/>
        <v>339331.66666666686</v>
      </c>
      <c r="Z5634" s="2169">
        <f>SUM(O5634:Y5634)</f>
        <v>3774248.3333333363</v>
      </c>
      <c r="AA5634" s="1828">
        <f>SUM(O5634:Z5634)</f>
        <v>7548496.6666666726</v>
      </c>
    </row>
    <row r="5635" spans="2:27" ht="12" x14ac:dyDescent="0.2">
      <c r="B5635" s="3245"/>
      <c r="C5635" s="2515"/>
      <c r="D5635" s="3915"/>
      <c r="E5635" s="3917"/>
      <c r="F5635" s="3918"/>
      <c r="G5635" s="3918"/>
      <c r="H5635" s="3920"/>
      <c r="I5635" s="3600"/>
      <c r="J5635" s="3600"/>
      <c r="K5635" s="3055"/>
      <c r="L5635" s="2941"/>
      <c r="M5635" s="50"/>
      <c r="N5635" s="50"/>
      <c r="O5635" s="2283"/>
      <c r="P5635" s="2283"/>
      <c r="Q5635" s="2283"/>
      <c r="R5635" s="2283"/>
      <c r="S5635" s="2283"/>
      <c r="T5635" s="2283"/>
      <c r="U5635" s="2283"/>
      <c r="V5635" s="2283"/>
      <c r="W5635" s="2283"/>
      <c r="X5635" s="2283"/>
      <c r="Y5635" s="2283"/>
      <c r="Z5635" s="2283"/>
      <c r="AA5635" s="2188"/>
    </row>
    <row r="5636" spans="2:27" ht="36" x14ac:dyDescent="0.2">
      <c r="B5636" s="3245"/>
      <c r="C5636" s="2515"/>
      <c r="D5636" s="3915"/>
      <c r="E5636" s="3917"/>
      <c r="F5636" s="3918"/>
      <c r="G5636" s="3918"/>
      <c r="H5636" s="3920"/>
      <c r="I5636" s="3600"/>
      <c r="J5636" s="3600"/>
      <c r="K5636" s="3055"/>
      <c r="L5636" s="2941"/>
      <c r="M5636" s="2285" t="s">
        <v>2861</v>
      </c>
      <c r="N5636" s="2286" t="s">
        <v>2862</v>
      </c>
      <c r="O5636" s="2169">
        <v>35117.666666666664</v>
      </c>
      <c r="P5636" s="2169">
        <v>35117.666666666664</v>
      </c>
      <c r="Q5636" s="2169">
        <v>35117.666666666664</v>
      </c>
      <c r="R5636" s="2169">
        <v>35117.666666666664</v>
      </c>
      <c r="S5636" s="2169">
        <v>35117.666666666664</v>
      </c>
      <c r="T5636" s="2169">
        <v>35117.666666666664</v>
      </c>
      <c r="U5636" s="2169">
        <v>35117.666666666664</v>
      </c>
      <c r="V5636" s="2169">
        <v>35117.666666666664</v>
      </c>
      <c r="W5636" s="2169">
        <v>35117.666666666664</v>
      </c>
      <c r="X5636" s="2169">
        <v>35117.666666666664</v>
      </c>
      <c r="Y5636" s="2169">
        <v>35117.666666666664</v>
      </c>
      <c r="Z5636" s="2169">
        <v>35117.666666666664</v>
      </c>
      <c r="AA5636" s="1828">
        <f t="shared" ref="AA5636:AA5693" si="923">SUM(O5636:Z5636)</f>
        <v>421412.00000000006</v>
      </c>
    </row>
    <row r="5637" spans="2:27" ht="45" x14ac:dyDescent="0.2">
      <c r="B5637" s="3245"/>
      <c r="C5637" s="2515"/>
      <c r="D5637" s="3915"/>
      <c r="E5637" s="3917"/>
      <c r="F5637" s="3918"/>
      <c r="G5637" s="3918"/>
      <c r="H5637" s="3920"/>
      <c r="I5637" s="3600"/>
      <c r="J5637" s="3600"/>
      <c r="K5637" s="3055"/>
      <c r="L5637" s="2941"/>
      <c r="M5637" s="2285" t="s">
        <v>2863</v>
      </c>
      <c r="N5637" s="2286" t="s">
        <v>2864</v>
      </c>
      <c r="O5637" s="2169">
        <v>894.58333333333337</v>
      </c>
      <c r="P5637" s="2169">
        <v>894.58333333333337</v>
      </c>
      <c r="Q5637" s="2169">
        <v>894.58333333333337</v>
      </c>
      <c r="R5637" s="2169">
        <v>894.58333333333337</v>
      </c>
      <c r="S5637" s="2169">
        <v>894.58333333333337</v>
      </c>
      <c r="T5637" s="2169">
        <v>894.58333333333337</v>
      </c>
      <c r="U5637" s="2169">
        <v>894.58333333333337</v>
      </c>
      <c r="V5637" s="2169">
        <v>894.58333333333337</v>
      </c>
      <c r="W5637" s="2169">
        <v>894.58333333333337</v>
      </c>
      <c r="X5637" s="2169">
        <v>894.58333333333337</v>
      </c>
      <c r="Y5637" s="2169">
        <v>894.58333333333337</v>
      </c>
      <c r="Z5637" s="2169">
        <v>894.58333333333337</v>
      </c>
      <c r="AA5637" s="1828">
        <f t="shared" si="923"/>
        <v>10735</v>
      </c>
    </row>
    <row r="5638" spans="2:27" ht="12" x14ac:dyDescent="0.2">
      <c r="B5638" s="3245"/>
      <c r="C5638" s="2515"/>
      <c r="D5638" s="3915"/>
      <c r="E5638" s="3917"/>
      <c r="F5638" s="3918"/>
      <c r="G5638" s="3918"/>
      <c r="H5638" s="3920"/>
      <c r="I5638" s="3600"/>
      <c r="J5638" s="3600"/>
      <c r="K5638" s="3055"/>
      <c r="L5638" s="2941"/>
      <c r="M5638" s="2285" t="s">
        <v>2865</v>
      </c>
      <c r="N5638" s="2285" t="s">
        <v>1319</v>
      </c>
      <c r="O5638" s="2169">
        <v>97799.916666666672</v>
      </c>
      <c r="P5638" s="2169">
        <v>97799.916666666672</v>
      </c>
      <c r="Q5638" s="2169">
        <v>97799.916666666672</v>
      </c>
      <c r="R5638" s="2169">
        <v>97799.916666666672</v>
      </c>
      <c r="S5638" s="2169">
        <v>97799.916666666672</v>
      </c>
      <c r="T5638" s="2169">
        <v>97799.916666666672</v>
      </c>
      <c r="U5638" s="2169">
        <v>97799.916666666672</v>
      </c>
      <c r="V5638" s="2169">
        <v>97799.916666666672</v>
      </c>
      <c r="W5638" s="2169">
        <v>97799.916666666672</v>
      </c>
      <c r="X5638" s="2169">
        <v>97799.916666666672</v>
      </c>
      <c r="Y5638" s="2169">
        <v>97799.916666666672</v>
      </c>
      <c r="Z5638" s="2169">
        <v>97799.916666666672</v>
      </c>
      <c r="AA5638" s="1828">
        <f t="shared" si="923"/>
        <v>1173599</v>
      </c>
    </row>
    <row r="5639" spans="2:27" ht="18" x14ac:dyDescent="0.2">
      <c r="B5639" s="3245"/>
      <c r="C5639" s="2515"/>
      <c r="D5639" s="3915"/>
      <c r="E5639" s="3917"/>
      <c r="F5639" s="3918"/>
      <c r="G5639" s="3918"/>
      <c r="H5639" s="3920"/>
      <c r="I5639" s="3600"/>
      <c r="J5639" s="3600"/>
      <c r="K5639" s="3055"/>
      <c r="L5639" s="2941"/>
      <c r="M5639" s="2285" t="s">
        <v>2866</v>
      </c>
      <c r="N5639" s="2286" t="s">
        <v>1535</v>
      </c>
      <c r="O5639" s="2169">
        <v>54594.666666666664</v>
      </c>
      <c r="P5639" s="2169">
        <v>54594.666666666664</v>
      </c>
      <c r="Q5639" s="2169">
        <v>54594.666666666664</v>
      </c>
      <c r="R5639" s="2169">
        <v>54594.666666666664</v>
      </c>
      <c r="S5639" s="2169">
        <v>54594.666666666664</v>
      </c>
      <c r="T5639" s="2169">
        <v>54594.666666666664</v>
      </c>
      <c r="U5639" s="2169">
        <v>54594.666666666664</v>
      </c>
      <c r="V5639" s="2169">
        <v>54594.666666666664</v>
      </c>
      <c r="W5639" s="2169">
        <v>54594.666666666664</v>
      </c>
      <c r="X5639" s="2169">
        <v>54594.666666666664</v>
      </c>
      <c r="Y5639" s="2169">
        <v>54594.666666666664</v>
      </c>
      <c r="Z5639" s="2169">
        <v>54594.666666666664</v>
      </c>
      <c r="AA5639" s="1828">
        <f t="shared" si="923"/>
        <v>655136</v>
      </c>
    </row>
    <row r="5640" spans="2:27" ht="12" x14ac:dyDescent="0.2">
      <c r="B5640" s="3245"/>
      <c r="C5640" s="2515"/>
      <c r="D5640" s="3915"/>
      <c r="E5640" s="3917"/>
      <c r="F5640" s="3918"/>
      <c r="G5640" s="3918"/>
      <c r="H5640" s="3920"/>
      <c r="I5640" s="3600"/>
      <c r="J5640" s="3600"/>
      <c r="K5640" s="3055"/>
      <c r="L5640" s="2941"/>
      <c r="M5640" s="2285" t="s">
        <v>2867</v>
      </c>
      <c r="N5640" s="2286" t="s">
        <v>1321</v>
      </c>
      <c r="O5640" s="2169"/>
      <c r="P5640" s="2169"/>
      <c r="Q5640" s="2169"/>
      <c r="R5640" s="2169"/>
      <c r="S5640" s="2169"/>
      <c r="T5640" s="2169"/>
      <c r="U5640" s="2169">
        <v>19200</v>
      </c>
      <c r="V5640" s="2169"/>
      <c r="W5640" s="2169"/>
      <c r="X5640" s="2169"/>
      <c r="Y5640" s="2169"/>
      <c r="Z5640" s="2169">
        <v>19200</v>
      </c>
      <c r="AA5640" s="1828">
        <f t="shared" si="923"/>
        <v>38400</v>
      </c>
    </row>
    <row r="5641" spans="2:27" ht="18" x14ac:dyDescent="0.2">
      <c r="B5641" s="3245"/>
      <c r="C5641" s="2515"/>
      <c r="D5641" s="3915"/>
      <c r="E5641" s="3917"/>
      <c r="F5641" s="3918"/>
      <c r="G5641" s="3918"/>
      <c r="H5641" s="3920"/>
      <c r="I5641" s="3600"/>
      <c r="J5641" s="3600"/>
      <c r="K5641" s="3055"/>
      <c r="L5641" s="2941"/>
      <c r="M5641" s="2285" t="s">
        <v>2868</v>
      </c>
      <c r="N5641" s="2286" t="s">
        <v>1323</v>
      </c>
      <c r="O5641" s="2169">
        <v>22400</v>
      </c>
      <c r="P5641" s="2169"/>
      <c r="Q5641" s="2169"/>
      <c r="R5641" s="2169"/>
      <c r="S5641" s="2169"/>
      <c r="T5641" s="2169"/>
      <c r="U5641" s="2169"/>
      <c r="V5641" s="2169"/>
      <c r="W5641" s="2169"/>
      <c r="X5641" s="2169"/>
      <c r="Y5641" s="2169"/>
      <c r="Z5641" s="2169"/>
      <c r="AA5641" s="1828">
        <f t="shared" si="923"/>
        <v>22400</v>
      </c>
    </row>
    <row r="5642" spans="2:27" ht="18" x14ac:dyDescent="0.2">
      <c r="B5642" s="3245"/>
      <c r="C5642" s="2515"/>
      <c r="D5642" s="3915"/>
      <c r="E5642" s="3917"/>
      <c r="F5642" s="3918"/>
      <c r="G5642" s="3918"/>
      <c r="H5642" s="3920"/>
      <c r="I5642" s="3600"/>
      <c r="J5642" s="3600"/>
      <c r="K5642" s="3055"/>
      <c r="L5642" s="2941"/>
      <c r="M5642" s="2285" t="s">
        <v>2869</v>
      </c>
      <c r="N5642" s="2286" t="s">
        <v>1329</v>
      </c>
      <c r="O5642" s="2169">
        <v>4854.333333333333</v>
      </c>
      <c r="P5642" s="2169">
        <v>4854.333333333333</v>
      </c>
      <c r="Q5642" s="2169">
        <v>4854.333333333333</v>
      </c>
      <c r="R5642" s="2169">
        <v>4854.333333333333</v>
      </c>
      <c r="S5642" s="2169">
        <v>4854.333333333333</v>
      </c>
      <c r="T5642" s="2169">
        <v>4854.333333333333</v>
      </c>
      <c r="U5642" s="2169">
        <v>4854.333333333333</v>
      </c>
      <c r="V5642" s="2169">
        <v>4854.333333333333</v>
      </c>
      <c r="W5642" s="2169">
        <v>4854.333333333333</v>
      </c>
      <c r="X5642" s="2169">
        <v>4854.333333333333</v>
      </c>
      <c r="Y5642" s="2169">
        <v>4854.333333333333</v>
      </c>
      <c r="Z5642" s="2169">
        <v>4854.333333333333</v>
      </c>
      <c r="AA5642" s="1828">
        <f t="shared" si="923"/>
        <v>58252.000000000007</v>
      </c>
    </row>
    <row r="5643" spans="2:27" ht="27" x14ac:dyDescent="0.2">
      <c r="B5643" s="3245"/>
      <c r="C5643" s="2515"/>
      <c r="D5643" s="3915"/>
      <c r="E5643" s="3917"/>
      <c r="F5643" s="3918"/>
      <c r="G5643" s="3918"/>
      <c r="H5643" s="3920"/>
      <c r="I5643" s="3600"/>
      <c r="J5643" s="3600"/>
      <c r="K5643" s="3055"/>
      <c r="L5643" s="2941"/>
      <c r="M5643" s="2285" t="s">
        <v>2870</v>
      </c>
      <c r="N5643" s="2286" t="s">
        <v>1306</v>
      </c>
      <c r="O5643" s="2169">
        <v>833.33333333333337</v>
      </c>
      <c r="P5643" s="2169">
        <v>833.33333333333337</v>
      </c>
      <c r="Q5643" s="2169">
        <v>833.33333333333337</v>
      </c>
      <c r="R5643" s="2169">
        <v>833.33333333333337</v>
      </c>
      <c r="S5643" s="2169">
        <v>833.33333333333337</v>
      </c>
      <c r="T5643" s="2169">
        <v>833.33333333333337</v>
      </c>
      <c r="U5643" s="2169">
        <v>833.33333333333337</v>
      </c>
      <c r="V5643" s="2169">
        <v>833.33333333333337</v>
      </c>
      <c r="W5643" s="2169">
        <v>833.33333333333337</v>
      </c>
      <c r="X5643" s="2169">
        <v>833.33333333333337</v>
      </c>
      <c r="Y5643" s="2169">
        <v>833.33333333333337</v>
      </c>
      <c r="Z5643" s="2169">
        <v>833.33333333333337</v>
      </c>
      <c r="AA5643" s="1828">
        <f t="shared" si="923"/>
        <v>10000</v>
      </c>
    </row>
    <row r="5644" spans="2:27" ht="18" x14ac:dyDescent="0.2">
      <c r="B5644" s="3245"/>
      <c r="C5644" s="2515"/>
      <c r="D5644" s="3915"/>
      <c r="E5644" s="3917"/>
      <c r="F5644" s="3918"/>
      <c r="G5644" s="3918"/>
      <c r="H5644" s="3920"/>
      <c r="I5644" s="3600"/>
      <c r="J5644" s="3600"/>
      <c r="K5644" s="3055"/>
      <c r="L5644" s="2941"/>
      <c r="M5644" s="2285" t="s">
        <v>2871</v>
      </c>
      <c r="N5644" s="2286" t="s">
        <v>1220</v>
      </c>
      <c r="O5644" s="2169">
        <v>1666.6666666666667</v>
      </c>
      <c r="P5644" s="2169">
        <v>1666.6666666666667</v>
      </c>
      <c r="Q5644" s="2169">
        <v>1666.6666666666667</v>
      </c>
      <c r="R5644" s="2169">
        <v>1666.6666666666667</v>
      </c>
      <c r="S5644" s="2169">
        <v>1666.6666666666667</v>
      </c>
      <c r="T5644" s="2169">
        <v>1666.6666666666667</v>
      </c>
      <c r="U5644" s="2169">
        <v>1666.6666666666667</v>
      </c>
      <c r="V5644" s="2169">
        <v>1666.6666666666667</v>
      </c>
      <c r="W5644" s="2169">
        <v>1666.6666666666667</v>
      </c>
      <c r="X5644" s="2169">
        <v>1666.6666666666667</v>
      </c>
      <c r="Y5644" s="2169">
        <v>1666.6666666666667</v>
      </c>
      <c r="Z5644" s="2169">
        <v>1666.6666666666667</v>
      </c>
      <c r="AA5644" s="1828">
        <f t="shared" si="923"/>
        <v>20000</v>
      </c>
    </row>
    <row r="5645" spans="2:27" ht="18" x14ac:dyDescent="0.2">
      <c r="B5645" s="3245"/>
      <c r="C5645" s="2515"/>
      <c r="D5645" s="3915"/>
      <c r="E5645" s="3917"/>
      <c r="F5645" s="3918"/>
      <c r="G5645" s="3918"/>
      <c r="H5645" s="3920"/>
      <c r="I5645" s="3600"/>
      <c r="J5645" s="3600"/>
      <c r="K5645" s="3055"/>
      <c r="L5645" s="2941"/>
      <c r="M5645" s="2285" t="s">
        <v>2872</v>
      </c>
      <c r="N5645" s="2286" t="s">
        <v>1222</v>
      </c>
      <c r="O5645" s="2169">
        <v>833.33333333333337</v>
      </c>
      <c r="P5645" s="2169">
        <v>833.33333333333337</v>
      </c>
      <c r="Q5645" s="2169">
        <v>833.33333333333337</v>
      </c>
      <c r="R5645" s="2169">
        <v>833.33333333333337</v>
      </c>
      <c r="S5645" s="2169">
        <v>833.33333333333337</v>
      </c>
      <c r="T5645" s="2169">
        <v>833.33333333333337</v>
      </c>
      <c r="U5645" s="2169">
        <v>833.33333333333337</v>
      </c>
      <c r="V5645" s="2169">
        <v>833.33333333333337</v>
      </c>
      <c r="W5645" s="2169">
        <v>833.33333333333337</v>
      </c>
      <c r="X5645" s="2169">
        <v>833.33333333333337</v>
      </c>
      <c r="Y5645" s="2169">
        <v>833.33333333333337</v>
      </c>
      <c r="Z5645" s="2169">
        <v>833.33333333333337</v>
      </c>
      <c r="AA5645" s="1828">
        <f t="shared" si="923"/>
        <v>10000</v>
      </c>
    </row>
    <row r="5646" spans="2:27" ht="18" x14ac:dyDescent="0.2">
      <c r="B5646" s="3245"/>
      <c r="C5646" s="2515"/>
      <c r="D5646" s="3915"/>
      <c r="E5646" s="3917"/>
      <c r="F5646" s="3918"/>
      <c r="G5646" s="3918"/>
      <c r="H5646" s="3920"/>
      <c r="I5646" s="3600"/>
      <c r="J5646" s="3600"/>
      <c r="K5646" s="3055"/>
      <c r="L5646" s="2941"/>
      <c r="M5646" s="2285" t="s">
        <v>2873</v>
      </c>
      <c r="N5646" s="2286" t="s">
        <v>1246</v>
      </c>
      <c r="O5646" s="2169">
        <v>583.33333333333337</v>
      </c>
      <c r="P5646" s="2169">
        <v>583.33333333333337</v>
      </c>
      <c r="Q5646" s="2169">
        <v>583.33333333333337</v>
      </c>
      <c r="R5646" s="2169">
        <v>583.33333333333337</v>
      </c>
      <c r="S5646" s="2169">
        <v>583.33333333333337</v>
      </c>
      <c r="T5646" s="2169">
        <v>583.33333333333337</v>
      </c>
      <c r="U5646" s="2169">
        <v>583.33333333333337</v>
      </c>
      <c r="V5646" s="2169">
        <v>583.33333333333337</v>
      </c>
      <c r="W5646" s="2169">
        <v>583.33333333333337</v>
      </c>
      <c r="X5646" s="2169">
        <v>583.33333333333337</v>
      </c>
      <c r="Y5646" s="2169">
        <v>583.33333333333337</v>
      </c>
      <c r="Z5646" s="2169">
        <v>583.33333333333337</v>
      </c>
      <c r="AA5646" s="1828">
        <f t="shared" si="923"/>
        <v>6999.9999999999991</v>
      </c>
    </row>
    <row r="5647" spans="2:27" ht="36" x14ac:dyDescent="0.2">
      <c r="B5647" s="3245"/>
      <c r="C5647" s="2515"/>
      <c r="D5647" s="3915"/>
      <c r="E5647" s="3917"/>
      <c r="F5647" s="3918"/>
      <c r="G5647" s="3918"/>
      <c r="H5647" s="3920"/>
      <c r="I5647" s="3600"/>
      <c r="J5647" s="3600"/>
      <c r="K5647" s="3055"/>
      <c r="L5647" s="2941"/>
      <c r="M5647" s="2285" t="s">
        <v>2874</v>
      </c>
      <c r="N5647" s="2286" t="s">
        <v>1236</v>
      </c>
      <c r="O5647" s="2169">
        <v>2500</v>
      </c>
      <c r="P5647" s="2169">
        <v>2500</v>
      </c>
      <c r="Q5647" s="2169">
        <v>2500</v>
      </c>
      <c r="R5647" s="2169">
        <v>2500</v>
      </c>
      <c r="S5647" s="2169">
        <v>2500</v>
      </c>
      <c r="T5647" s="2169">
        <v>2500</v>
      </c>
      <c r="U5647" s="2169">
        <v>2500</v>
      </c>
      <c r="V5647" s="2169">
        <v>2500</v>
      </c>
      <c r="W5647" s="2169">
        <v>2500</v>
      </c>
      <c r="X5647" s="2169">
        <v>2500</v>
      </c>
      <c r="Y5647" s="2169">
        <v>2500</v>
      </c>
      <c r="Z5647" s="2169">
        <v>2500</v>
      </c>
      <c r="AA5647" s="1828">
        <f t="shared" si="923"/>
        <v>30000</v>
      </c>
    </row>
    <row r="5648" spans="2:27" ht="18" x14ac:dyDescent="0.2">
      <c r="B5648" s="3245"/>
      <c r="C5648" s="2515"/>
      <c r="D5648" s="3915"/>
      <c r="E5648" s="3917"/>
      <c r="F5648" s="3918"/>
      <c r="G5648" s="3918"/>
      <c r="H5648" s="3920"/>
      <c r="I5648" s="3600"/>
      <c r="J5648" s="3600"/>
      <c r="K5648" s="3055"/>
      <c r="L5648" s="2941"/>
      <c r="M5648" s="2285" t="s">
        <v>2875</v>
      </c>
      <c r="N5648" s="2286" t="s">
        <v>1268</v>
      </c>
      <c r="O5648" s="2169">
        <v>416.66666666666669</v>
      </c>
      <c r="P5648" s="2169">
        <v>416.66666666666669</v>
      </c>
      <c r="Q5648" s="2169">
        <v>416.66666666666669</v>
      </c>
      <c r="R5648" s="2169">
        <v>416.66666666666669</v>
      </c>
      <c r="S5648" s="2169">
        <v>416.66666666666669</v>
      </c>
      <c r="T5648" s="2169">
        <v>416.66666666666669</v>
      </c>
      <c r="U5648" s="2169">
        <v>416.66666666666669</v>
      </c>
      <c r="V5648" s="2169">
        <v>416.66666666666669</v>
      </c>
      <c r="W5648" s="2169">
        <v>416.66666666666669</v>
      </c>
      <c r="X5648" s="2169">
        <v>416.66666666666669</v>
      </c>
      <c r="Y5648" s="2169">
        <v>416.66666666666669</v>
      </c>
      <c r="Z5648" s="2169">
        <v>416.66666666666669</v>
      </c>
      <c r="AA5648" s="1828">
        <f t="shared" si="923"/>
        <v>5000</v>
      </c>
    </row>
    <row r="5649" spans="2:27" ht="27" x14ac:dyDescent="0.2">
      <c r="B5649" s="3245"/>
      <c r="C5649" s="2515"/>
      <c r="D5649" s="3915"/>
      <c r="E5649" s="3917"/>
      <c r="F5649" s="3918"/>
      <c r="G5649" s="3918"/>
      <c r="H5649" s="3920"/>
      <c r="I5649" s="3600"/>
      <c r="J5649" s="3600"/>
      <c r="K5649" s="3055"/>
      <c r="L5649" s="2941"/>
      <c r="M5649" s="2285" t="s">
        <v>2876</v>
      </c>
      <c r="N5649" s="2286" t="s">
        <v>1270</v>
      </c>
      <c r="O5649" s="2169">
        <v>416.66666666666669</v>
      </c>
      <c r="P5649" s="2169">
        <v>416.66666666666669</v>
      </c>
      <c r="Q5649" s="2169">
        <v>416.66666666666669</v>
      </c>
      <c r="R5649" s="2169">
        <v>416.66666666666669</v>
      </c>
      <c r="S5649" s="2169">
        <v>416.66666666666669</v>
      </c>
      <c r="T5649" s="2169">
        <v>416.66666666666669</v>
      </c>
      <c r="U5649" s="2169">
        <v>416.66666666666669</v>
      </c>
      <c r="V5649" s="2169">
        <v>416.66666666666669</v>
      </c>
      <c r="W5649" s="2169">
        <v>416.66666666666669</v>
      </c>
      <c r="X5649" s="2169">
        <v>416.66666666666669</v>
      </c>
      <c r="Y5649" s="2169">
        <v>416.66666666666669</v>
      </c>
      <c r="Z5649" s="2169">
        <v>416.66666666666669</v>
      </c>
      <c r="AA5649" s="1828">
        <f t="shared" si="923"/>
        <v>5000</v>
      </c>
    </row>
    <row r="5650" spans="2:27" ht="12" x14ac:dyDescent="0.2">
      <c r="B5650" s="3245"/>
      <c r="C5650" s="2515"/>
      <c r="D5650" s="3915"/>
      <c r="E5650" s="3917"/>
      <c r="F5650" s="3918"/>
      <c r="G5650" s="3918"/>
      <c r="H5650" s="3920"/>
      <c r="I5650" s="3600"/>
      <c r="J5650" s="3600"/>
      <c r="K5650" s="3055"/>
      <c r="L5650" s="2941"/>
      <c r="M5650" s="2285" t="s">
        <v>2877</v>
      </c>
      <c r="N5650" s="2286" t="s">
        <v>1717</v>
      </c>
      <c r="O5650" s="2169">
        <v>833.33333333333337</v>
      </c>
      <c r="P5650" s="2169">
        <v>833.33333333333337</v>
      </c>
      <c r="Q5650" s="2169">
        <v>833.33333333333337</v>
      </c>
      <c r="R5650" s="2169">
        <v>833.33333333333337</v>
      </c>
      <c r="S5650" s="2169">
        <v>833.33333333333337</v>
      </c>
      <c r="T5650" s="2169">
        <v>833.33333333333337</v>
      </c>
      <c r="U5650" s="2169">
        <v>833.33333333333337</v>
      </c>
      <c r="V5650" s="2169">
        <v>833.33333333333337</v>
      </c>
      <c r="W5650" s="2169">
        <v>833.33333333333337</v>
      </c>
      <c r="X5650" s="2169">
        <v>833.33333333333337</v>
      </c>
      <c r="Y5650" s="2169">
        <v>833.33333333333337</v>
      </c>
      <c r="Z5650" s="2169">
        <v>833.33333333333337</v>
      </c>
      <c r="AA5650" s="1828">
        <f t="shared" si="923"/>
        <v>10000</v>
      </c>
    </row>
    <row r="5651" spans="2:27" ht="12" x14ac:dyDescent="0.2">
      <c r="B5651" s="3245"/>
      <c r="C5651" s="2515"/>
      <c r="D5651" s="3915"/>
      <c r="E5651" s="3917"/>
      <c r="F5651" s="3918"/>
      <c r="G5651" s="3918"/>
      <c r="H5651" s="3920"/>
      <c r="I5651" s="3600"/>
      <c r="J5651" s="3600"/>
      <c r="K5651" s="3055"/>
      <c r="L5651" s="2941"/>
      <c r="M5651" s="2285" t="s">
        <v>2878</v>
      </c>
      <c r="N5651" s="2286" t="s">
        <v>1224</v>
      </c>
      <c r="O5651" s="2169">
        <v>833.33333333333337</v>
      </c>
      <c r="P5651" s="2169">
        <v>833.33333333333337</v>
      </c>
      <c r="Q5651" s="2169">
        <v>833.33333333333337</v>
      </c>
      <c r="R5651" s="2169">
        <v>833.33333333333337</v>
      </c>
      <c r="S5651" s="2169">
        <v>833.33333333333337</v>
      </c>
      <c r="T5651" s="2169">
        <v>833.33333333333337</v>
      </c>
      <c r="U5651" s="2169">
        <v>833.33333333333337</v>
      </c>
      <c r="V5651" s="2169">
        <v>833.33333333333337</v>
      </c>
      <c r="W5651" s="2169">
        <v>833.33333333333337</v>
      </c>
      <c r="X5651" s="2169">
        <v>833.33333333333337</v>
      </c>
      <c r="Y5651" s="2169">
        <v>833.33333333333337</v>
      </c>
      <c r="Z5651" s="2169">
        <v>833.33333333333337</v>
      </c>
      <c r="AA5651" s="1828">
        <f t="shared" si="923"/>
        <v>10000</v>
      </c>
    </row>
    <row r="5652" spans="2:27" ht="18" x14ac:dyDescent="0.2">
      <c r="B5652" s="3245"/>
      <c r="C5652" s="2515"/>
      <c r="D5652" s="3915"/>
      <c r="E5652" s="3917"/>
      <c r="F5652" s="3918"/>
      <c r="G5652" s="3918"/>
      <c r="H5652" s="3920"/>
      <c r="I5652" s="3600"/>
      <c r="J5652" s="3600"/>
      <c r="K5652" s="3055"/>
      <c r="L5652" s="2941"/>
      <c r="M5652" s="2285" t="s">
        <v>2879</v>
      </c>
      <c r="N5652" s="2286" t="s">
        <v>1562</v>
      </c>
      <c r="O5652" s="2169">
        <v>666.66666666666663</v>
      </c>
      <c r="P5652" s="2169">
        <v>666.66666666666663</v>
      </c>
      <c r="Q5652" s="2169">
        <v>666.66666666666663</v>
      </c>
      <c r="R5652" s="2169">
        <v>666.66666666666663</v>
      </c>
      <c r="S5652" s="2169">
        <v>666.66666666666663</v>
      </c>
      <c r="T5652" s="2169">
        <v>666.66666666666663</v>
      </c>
      <c r="U5652" s="2169">
        <v>666.66666666666663</v>
      </c>
      <c r="V5652" s="2169">
        <v>666.66666666666663</v>
      </c>
      <c r="W5652" s="2169">
        <v>666.66666666666663</v>
      </c>
      <c r="X5652" s="2169">
        <v>666.66666666666663</v>
      </c>
      <c r="Y5652" s="2169">
        <v>666.66666666666663</v>
      </c>
      <c r="Z5652" s="2169">
        <v>666.66666666666663</v>
      </c>
      <c r="AA5652" s="1828">
        <f t="shared" si="923"/>
        <v>8000.0000000000009</v>
      </c>
    </row>
    <row r="5653" spans="2:27" ht="12" x14ac:dyDescent="0.2">
      <c r="B5653" s="3245"/>
      <c r="C5653" s="2515"/>
      <c r="D5653" s="3915"/>
      <c r="E5653" s="3917"/>
      <c r="F5653" s="3918"/>
      <c r="G5653" s="3918"/>
      <c r="H5653" s="3920"/>
      <c r="I5653" s="3600"/>
      <c r="J5653" s="3600"/>
      <c r="K5653" s="3055"/>
      <c r="L5653" s="2941"/>
      <c r="M5653" s="2285" t="s">
        <v>2880</v>
      </c>
      <c r="N5653" s="2287" t="s">
        <v>1275</v>
      </c>
      <c r="O5653" s="2169">
        <v>1250</v>
      </c>
      <c r="P5653" s="2169">
        <v>1250</v>
      </c>
      <c r="Q5653" s="2169">
        <v>1250</v>
      </c>
      <c r="R5653" s="2169">
        <v>1250</v>
      </c>
      <c r="S5653" s="2169">
        <v>1250</v>
      </c>
      <c r="T5653" s="2169">
        <v>1250</v>
      </c>
      <c r="U5653" s="2169">
        <v>1250</v>
      </c>
      <c r="V5653" s="2169">
        <v>1250</v>
      </c>
      <c r="W5653" s="2169">
        <v>1250</v>
      </c>
      <c r="X5653" s="2169">
        <v>1250</v>
      </c>
      <c r="Y5653" s="2169">
        <v>1250</v>
      </c>
      <c r="Z5653" s="2169">
        <v>1250</v>
      </c>
      <c r="AA5653" s="1828">
        <f t="shared" si="923"/>
        <v>15000</v>
      </c>
    </row>
    <row r="5654" spans="2:27" ht="12" x14ac:dyDescent="0.2">
      <c r="B5654" s="3245"/>
      <c r="C5654" s="2515"/>
      <c r="D5654" s="3915"/>
      <c r="E5654" s="3917"/>
      <c r="F5654" s="3918"/>
      <c r="G5654" s="3918"/>
      <c r="H5654" s="3920"/>
      <c r="I5654" s="3600"/>
      <c r="J5654" s="3600"/>
      <c r="K5654" s="3055"/>
      <c r="L5654" s="2941"/>
      <c r="M5654" s="2285" t="s">
        <v>2881</v>
      </c>
      <c r="N5654" s="2286" t="s">
        <v>1564</v>
      </c>
      <c r="O5654" s="2169">
        <v>200</v>
      </c>
      <c r="P5654" s="2169">
        <v>200</v>
      </c>
      <c r="Q5654" s="2169">
        <v>200</v>
      </c>
      <c r="R5654" s="2169">
        <v>200</v>
      </c>
      <c r="S5654" s="2169">
        <v>200</v>
      </c>
      <c r="T5654" s="2169">
        <v>200</v>
      </c>
      <c r="U5654" s="2169">
        <v>200</v>
      </c>
      <c r="V5654" s="2169">
        <v>200</v>
      </c>
      <c r="W5654" s="2169">
        <v>200</v>
      </c>
      <c r="X5654" s="2169">
        <v>200</v>
      </c>
      <c r="Y5654" s="2169">
        <v>200</v>
      </c>
      <c r="Z5654" s="2169">
        <v>200</v>
      </c>
      <c r="AA5654" s="1828">
        <f t="shared" si="923"/>
        <v>2400</v>
      </c>
    </row>
    <row r="5655" spans="2:27" ht="27" x14ac:dyDescent="0.2">
      <c r="B5655" s="3245"/>
      <c r="C5655" s="2515"/>
      <c r="D5655" s="3915"/>
      <c r="E5655" s="3917"/>
      <c r="F5655" s="3918"/>
      <c r="G5655" s="3918"/>
      <c r="H5655" s="3920"/>
      <c r="I5655" s="3600"/>
      <c r="J5655" s="3600"/>
      <c r="K5655" s="3055"/>
      <c r="L5655" s="2941"/>
      <c r="M5655" s="2285" t="s">
        <v>2882</v>
      </c>
      <c r="N5655" s="2286" t="s">
        <v>1570</v>
      </c>
      <c r="O5655" s="2169">
        <v>100</v>
      </c>
      <c r="P5655" s="2169">
        <v>100</v>
      </c>
      <c r="Q5655" s="2169">
        <v>100</v>
      </c>
      <c r="R5655" s="2169">
        <v>100</v>
      </c>
      <c r="S5655" s="2169">
        <v>100</v>
      </c>
      <c r="T5655" s="2169">
        <v>100</v>
      </c>
      <c r="U5655" s="2169">
        <v>100</v>
      </c>
      <c r="V5655" s="2169">
        <v>100</v>
      </c>
      <c r="W5655" s="2169">
        <v>100</v>
      </c>
      <c r="X5655" s="2169">
        <v>100</v>
      </c>
      <c r="Y5655" s="2169">
        <v>100</v>
      </c>
      <c r="Z5655" s="2169">
        <v>100</v>
      </c>
      <c r="AA5655" s="1828">
        <f t="shared" si="923"/>
        <v>1200</v>
      </c>
    </row>
    <row r="5656" spans="2:27" ht="18" x14ac:dyDescent="0.2">
      <c r="B5656" s="3245"/>
      <c r="C5656" s="2515"/>
      <c r="D5656" s="3915"/>
      <c r="E5656" s="3917"/>
      <c r="F5656" s="3918"/>
      <c r="G5656" s="3918"/>
      <c r="H5656" s="3920"/>
      <c r="I5656" s="3600"/>
      <c r="J5656" s="3600"/>
      <c r="K5656" s="3055"/>
      <c r="L5656" s="2941"/>
      <c r="M5656" s="2285" t="s">
        <v>2883</v>
      </c>
      <c r="N5656" s="2286" t="s">
        <v>1238</v>
      </c>
      <c r="O5656" s="2169">
        <v>2910.3333333333335</v>
      </c>
      <c r="P5656" s="2169">
        <v>2910.3333333333335</v>
      </c>
      <c r="Q5656" s="2169">
        <v>2910.3333333333335</v>
      </c>
      <c r="R5656" s="2169">
        <v>2910.3333333333335</v>
      </c>
      <c r="S5656" s="2169">
        <v>2910.3333333333335</v>
      </c>
      <c r="T5656" s="2169">
        <v>2910.3333333333335</v>
      </c>
      <c r="U5656" s="2169">
        <v>2910.3333333333335</v>
      </c>
      <c r="V5656" s="2169">
        <v>2910.3333333333335</v>
      </c>
      <c r="W5656" s="2169">
        <v>2910.3333333333335</v>
      </c>
      <c r="X5656" s="2169">
        <v>2910.3333333333335</v>
      </c>
      <c r="Y5656" s="2169">
        <v>2910.3333333333335</v>
      </c>
      <c r="Z5656" s="2169">
        <v>2910.3333333333335</v>
      </c>
      <c r="AA5656" s="1828">
        <f t="shared" si="923"/>
        <v>34923.999999999993</v>
      </c>
    </row>
    <row r="5657" spans="2:27" ht="36" x14ac:dyDescent="0.2">
      <c r="B5657" s="3245"/>
      <c r="C5657" s="2515"/>
      <c r="D5657" s="3915"/>
      <c r="E5657" s="3917"/>
      <c r="F5657" s="3918"/>
      <c r="G5657" s="3918"/>
      <c r="H5657" s="3920"/>
      <c r="I5657" s="3600"/>
      <c r="J5657" s="3600"/>
      <c r="K5657" s="3055"/>
      <c r="L5657" s="2941"/>
      <c r="M5657" s="2285" t="s">
        <v>2884</v>
      </c>
      <c r="N5657" s="2286" t="s">
        <v>1240</v>
      </c>
      <c r="O5657" s="2169">
        <v>6887.583333333333</v>
      </c>
      <c r="P5657" s="2169">
        <v>6887.583333333333</v>
      </c>
      <c r="Q5657" s="2169">
        <v>6887.583333333333</v>
      </c>
      <c r="R5657" s="2169">
        <v>6887.583333333333</v>
      </c>
      <c r="S5657" s="2169">
        <v>6887.583333333333</v>
      </c>
      <c r="T5657" s="2169">
        <v>6887.583333333333</v>
      </c>
      <c r="U5657" s="2169">
        <v>6887.583333333333</v>
      </c>
      <c r="V5657" s="2169">
        <v>6887.583333333333</v>
      </c>
      <c r="W5657" s="2169">
        <v>6887.583333333333</v>
      </c>
      <c r="X5657" s="2169">
        <v>6887.583333333333</v>
      </c>
      <c r="Y5657" s="2169">
        <v>6887.583333333333</v>
      </c>
      <c r="Z5657" s="2169">
        <v>6887.583333333333</v>
      </c>
      <c r="AA5657" s="1828">
        <f t="shared" si="923"/>
        <v>82651</v>
      </c>
    </row>
    <row r="5658" spans="2:27" ht="27" x14ac:dyDescent="0.2">
      <c r="B5658" s="3245"/>
      <c r="C5658" s="2515"/>
      <c r="D5658" s="3915"/>
      <c r="E5658" s="3917"/>
      <c r="F5658" s="3918"/>
      <c r="G5658" s="3918"/>
      <c r="H5658" s="3920"/>
      <c r="I5658" s="3600"/>
      <c r="J5658" s="3600"/>
      <c r="K5658" s="3055"/>
      <c r="L5658" s="2941"/>
      <c r="M5658" s="2285" t="s">
        <v>2885</v>
      </c>
      <c r="N5658" s="2286" t="s">
        <v>1281</v>
      </c>
      <c r="O5658" s="2169">
        <v>2083.3333333333335</v>
      </c>
      <c r="P5658" s="2169">
        <v>2083.3333333333335</v>
      </c>
      <c r="Q5658" s="2169">
        <v>2083.3333333333335</v>
      </c>
      <c r="R5658" s="2169">
        <v>2083.3333333333335</v>
      </c>
      <c r="S5658" s="2169">
        <v>2083.3333333333335</v>
      </c>
      <c r="T5658" s="2169">
        <v>2083.3333333333335</v>
      </c>
      <c r="U5658" s="2169">
        <v>2083.3333333333335</v>
      </c>
      <c r="V5658" s="2169">
        <v>2083.3333333333335</v>
      </c>
      <c r="W5658" s="2169">
        <v>2083.3333333333335</v>
      </c>
      <c r="X5658" s="2169">
        <v>2083.3333333333335</v>
      </c>
      <c r="Y5658" s="2169">
        <v>2083.3333333333335</v>
      </c>
      <c r="Z5658" s="2169">
        <v>2083.3333333333335</v>
      </c>
      <c r="AA5658" s="1828">
        <f t="shared" si="923"/>
        <v>24999.999999999996</v>
      </c>
    </row>
    <row r="5659" spans="2:27" ht="18" x14ac:dyDescent="0.2">
      <c r="B5659" s="3245"/>
      <c r="C5659" s="2515"/>
      <c r="D5659" s="3915"/>
      <c r="E5659" s="3917"/>
      <c r="F5659" s="3918"/>
      <c r="G5659" s="3918"/>
      <c r="H5659" s="3920"/>
      <c r="I5659" s="3600"/>
      <c r="J5659" s="3600"/>
      <c r="K5659" s="3055"/>
      <c r="L5659" s="2941"/>
      <c r="M5659" s="2285" t="s">
        <v>2886</v>
      </c>
      <c r="N5659" s="2286" t="s">
        <v>1283</v>
      </c>
      <c r="O5659" s="2169">
        <v>833.33333333333337</v>
      </c>
      <c r="P5659" s="2169">
        <v>833.33333333333337</v>
      </c>
      <c r="Q5659" s="2169">
        <v>833.33333333333337</v>
      </c>
      <c r="R5659" s="2169">
        <v>833.33333333333337</v>
      </c>
      <c r="S5659" s="2169">
        <v>833.33333333333337</v>
      </c>
      <c r="T5659" s="2169">
        <v>833.33333333333337</v>
      </c>
      <c r="U5659" s="2169">
        <v>833.33333333333337</v>
      </c>
      <c r="V5659" s="2169">
        <v>833.33333333333337</v>
      </c>
      <c r="W5659" s="2169">
        <v>833.33333333333337</v>
      </c>
      <c r="X5659" s="2169">
        <v>833.33333333333337</v>
      </c>
      <c r="Y5659" s="2169">
        <v>833.33333333333337</v>
      </c>
      <c r="Z5659" s="2169">
        <v>833.33333333333337</v>
      </c>
      <c r="AA5659" s="1828">
        <f t="shared" si="923"/>
        <v>10000</v>
      </c>
    </row>
    <row r="5660" spans="2:27" ht="18" x14ac:dyDescent="0.2">
      <c r="B5660" s="3245"/>
      <c r="C5660" s="2515"/>
      <c r="D5660" s="3915"/>
      <c r="E5660" s="3917"/>
      <c r="F5660" s="3918"/>
      <c r="G5660" s="3918"/>
      <c r="H5660" s="3920"/>
      <c r="I5660" s="3600"/>
      <c r="J5660" s="3600"/>
      <c r="K5660" s="3055"/>
      <c r="L5660" s="2941"/>
      <c r="M5660" s="2288" t="s">
        <v>2887</v>
      </c>
      <c r="N5660" s="2286" t="s">
        <v>1285</v>
      </c>
      <c r="O5660" s="2169">
        <v>948.33333333333337</v>
      </c>
      <c r="P5660" s="2169">
        <v>948.33333333333337</v>
      </c>
      <c r="Q5660" s="2169">
        <v>948.33333333333337</v>
      </c>
      <c r="R5660" s="2169">
        <v>948.33333333333337</v>
      </c>
      <c r="S5660" s="2169">
        <v>948.33333333333337</v>
      </c>
      <c r="T5660" s="2169">
        <v>948.33333333333337</v>
      </c>
      <c r="U5660" s="2169">
        <v>948.33333333333337</v>
      </c>
      <c r="V5660" s="2169">
        <v>948.33333333333337</v>
      </c>
      <c r="W5660" s="2169">
        <v>948.33333333333337</v>
      </c>
      <c r="X5660" s="2169">
        <v>948.33333333333337</v>
      </c>
      <c r="Y5660" s="2169">
        <v>948.33333333333337</v>
      </c>
      <c r="Z5660" s="2169">
        <v>948.33333333333337</v>
      </c>
      <c r="AA5660" s="1828">
        <f t="shared" si="923"/>
        <v>11380.000000000002</v>
      </c>
    </row>
    <row r="5661" spans="2:27" ht="18" x14ac:dyDescent="0.2">
      <c r="B5661" s="3245"/>
      <c r="C5661" s="2515"/>
      <c r="D5661" s="3915"/>
      <c r="E5661" s="3917"/>
      <c r="F5661" s="3918"/>
      <c r="G5661" s="3918"/>
      <c r="H5661" s="3920"/>
      <c r="I5661" s="3600"/>
      <c r="J5661" s="3600"/>
      <c r="K5661" s="3055"/>
      <c r="L5661" s="2941"/>
      <c r="M5661" s="2288" t="s">
        <v>2888</v>
      </c>
      <c r="N5661" s="2286" t="s">
        <v>1287</v>
      </c>
      <c r="O5661" s="2169">
        <v>1658.3333333333333</v>
      </c>
      <c r="P5661" s="2169">
        <v>1658.3333333333333</v>
      </c>
      <c r="Q5661" s="2169">
        <v>1658.3333333333333</v>
      </c>
      <c r="R5661" s="2169">
        <v>1658.3333333333333</v>
      </c>
      <c r="S5661" s="2169">
        <v>1658.3333333333333</v>
      </c>
      <c r="T5661" s="2169">
        <v>1658.3333333333333</v>
      </c>
      <c r="U5661" s="2169">
        <v>1658.3333333333333</v>
      </c>
      <c r="V5661" s="2169">
        <v>1658.3333333333333</v>
      </c>
      <c r="W5661" s="2169">
        <v>1658.3333333333333</v>
      </c>
      <c r="X5661" s="2169">
        <v>1658.3333333333333</v>
      </c>
      <c r="Y5661" s="2169">
        <v>1658.3333333333333</v>
      </c>
      <c r="Z5661" s="2169">
        <v>1658.3333333333333</v>
      </c>
      <c r="AA5661" s="1828">
        <f t="shared" si="923"/>
        <v>19900</v>
      </c>
    </row>
    <row r="5662" spans="2:27" ht="18" x14ac:dyDescent="0.2">
      <c r="B5662" s="3245"/>
      <c r="C5662" s="2515"/>
      <c r="D5662" s="3915"/>
      <c r="E5662" s="3917"/>
      <c r="F5662" s="3918"/>
      <c r="G5662" s="3918"/>
      <c r="H5662" s="3920"/>
      <c r="I5662" s="3600"/>
      <c r="J5662" s="3600"/>
      <c r="K5662" s="3055"/>
      <c r="L5662" s="2941"/>
      <c r="M5662" s="2288" t="s">
        <v>2889</v>
      </c>
      <c r="N5662" s="2286" t="s">
        <v>1289</v>
      </c>
      <c r="O5662" s="2169">
        <v>706.66666666666663</v>
      </c>
      <c r="P5662" s="2169">
        <v>706.66666666666663</v>
      </c>
      <c r="Q5662" s="2169">
        <v>706.66666666666663</v>
      </c>
      <c r="R5662" s="2169">
        <v>706.66666666666663</v>
      </c>
      <c r="S5662" s="2169">
        <v>706.66666666666663</v>
      </c>
      <c r="T5662" s="2169">
        <v>706.66666666666663</v>
      </c>
      <c r="U5662" s="2169">
        <v>706.66666666666663</v>
      </c>
      <c r="V5662" s="2169">
        <v>706.66666666666663</v>
      </c>
      <c r="W5662" s="2169">
        <v>706.66666666666663</v>
      </c>
      <c r="X5662" s="2169">
        <v>706.66666666666663</v>
      </c>
      <c r="Y5662" s="2169">
        <v>706.66666666666663</v>
      </c>
      <c r="Z5662" s="2169">
        <v>706.66666666666663</v>
      </c>
      <c r="AA5662" s="1828">
        <f t="shared" si="923"/>
        <v>8480.0000000000018</v>
      </c>
    </row>
    <row r="5663" spans="2:27" ht="27" x14ac:dyDescent="0.2">
      <c r="B5663" s="3245"/>
      <c r="C5663" s="2515"/>
      <c r="D5663" s="3915"/>
      <c r="E5663" s="3917"/>
      <c r="F5663" s="3918"/>
      <c r="G5663" s="3918"/>
      <c r="H5663" s="3920"/>
      <c r="I5663" s="3600"/>
      <c r="J5663" s="3600"/>
      <c r="K5663" s="3055"/>
      <c r="L5663" s="2941"/>
      <c r="M5663" s="2285" t="s">
        <v>2890</v>
      </c>
      <c r="N5663" s="2286" t="s">
        <v>1291</v>
      </c>
      <c r="O5663" s="2169">
        <v>1666.6666666666667</v>
      </c>
      <c r="P5663" s="2169">
        <v>1666.6666666666667</v>
      </c>
      <c r="Q5663" s="2169">
        <v>1666.6666666666667</v>
      </c>
      <c r="R5663" s="2169">
        <v>1666.6666666666667</v>
      </c>
      <c r="S5663" s="2169">
        <v>1666.6666666666667</v>
      </c>
      <c r="T5663" s="2169">
        <v>1666.6666666666667</v>
      </c>
      <c r="U5663" s="2169">
        <v>1666.6666666666667</v>
      </c>
      <c r="V5663" s="2169">
        <v>1666.6666666666667</v>
      </c>
      <c r="W5663" s="2169">
        <v>1666.6666666666667</v>
      </c>
      <c r="X5663" s="2169">
        <v>1666.6666666666667</v>
      </c>
      <c r="Y5663" s="2169">
        <v>1666.6666666666667</v>
      </c>
      <c r="Z5663" s="2169">
        <v>1666.6666666666667</v>
      </c>
      <c r="AA5663" s="1828">
        <f t="shared" si="923"/>
        <v>20000</v>
      </c>
    </row>
    <row r="5664" spans="2:27" ht="18" x14ac:dyDescent="0.2">
      <c r="B5664" s="3245"/>
      <c r="C5664" s="2515"/>
      <c r="D5664" s="3915"/>
      <c r="E5664" s="3917"/>
      <c r="F5664" s="3918"/>
      <c r="G5664" s="3918"/>
      <c r="H5664" s="3920"/>
      <c r="I5664" s="3600"/>
      <c r="J5664" s="3600"/>
      <c r="K5664" s="3055"/>
      <c r="L5664" s="2941"/>
      <c r="M5664" s="2288" t="s">
        <v>2891</v>
      </c>
      <c r="N5664" s="2286" t="s">
        <v>1252</v>
      </c>
      <c r="O5664" s="2169">
        <v>1666.6666666666667</v>
      </c>
      <c r="P5664" s="2169">
        <v>1666.6666666666667</v>
      </c>
      <c r="Q5664" s="2169">
        <v>1666.6666666666667</v>
      </c>
      <c r="R5664" s="2169">
        <v>1666.6666666666667</v>
      </c>
      <c r="S5664" s="2169">
        <v>1666.6666666666667</v>
      </c>
      <c r="T5664" s="2169">
        <v>1666.6666666666667</v>
      </c>
      <c r="U5664" s="2169">
        <v>1666.6666666666667</v>
      </c>
      <c r="V5664" s="2169">
        <v>1666.6666666666667</v>
      </c>
      <c r="W5664" s="2169">
        <v>1666.6666666666667</v>
      </c>
      <c r="X5664" s="2169">
        <v>1666.6666666666667</v>
      </c>
      <c r="Y5664" s="2169">
        <v>1666.6666666666667</v>
      </c>
      <c r="Z5664" s="2169">
        <v>1666.6666666666667</v>
      </c>
      <c r="AA5664" s="1828">
        <f t="shared" si="923"/>
        <v>20000</v>
      </c>
    </row>
    <row r="5665" spans="2:27" ht="36" x14ac:dyDescent="0.2">
      <c r="B5665" s="3245"/>
      <c r="C5665" s="2515"/>
      <c r="D5665" s="3915"/>
      <c r="E5665" s="3917"/>
      <c r="F5665" s="3918"/>
      <c r="G5665" s="3918"/>
      <c r="H5665" s="3920"/>
      <c r="I5665" s="3600"/>
      <c r="J5665" s="3600"/>
      <c r="K5665" s="3055"/>
      <c r="L5665" s="2941"/>
      <c r="M5665" s="2285" t="s">
        <v>2892</v>
      </c>
      <c r="N5665" s="2286" t="s">
        <v>1242</v>
      </c>
      <c r="O5665" s="2169">
        <v>2500</v>
      </c>
      <c r="P5665" s="2169">
        <v>2500</v>
      </c>
      <c r="Q5665" s="2169">
        <v>2500</v>
      </c>
      <c r="R5665" s="2169">
        <v>2500</v>
      </c>
      <c r="S5665" s="2169">
        <v>2500</v>
      </c>
      <c r="T5665" s="2169">
        <v>2500</v>
      </c>
      <c r="U5665" s="2169">
        <v>2500</v>
      </c>
      <c r="V5665" s="2169">
        <v>2500</v>
      </c>
      <c r="W5665" s="2169">
        <v>2500</v>
      </c>
      <c r="X5665" s="2169">
        <v>2500</v>
      </c>
      <c r="Y5665" s="2169">
        <v>2500</v>
      </c>
      <c r="Z5665" s="2169">
        <v>2500</v>
      </c>
      <c r="AA5665" s="1828">
        <f t="shared" si="923"/>
        <v>30000</v>
      </c>
    </row>
    <row r="5666" spans="2:27" ht="27.75" x14ac:dyDescent="0.2">
      <c r="B5666" s="3245"/>
      <c r="C5666" s="2515"/>
      <c r="D5666" s="3915"/>
      <c r="E5666" s="3917"/>
      <c r="F5666" s="3918"/>
      <c r="G5666" s="3918"/>
      <c r="H5666" s="3920"/>
      <c r="I5666" s="3600"/>
      <c r="J5666" s="3600"/>
      <c r="K5666" s="3055"/>
      <c r="L5666" s="2941"/>
      <c r="M5666" s="2285" t="s">
        <v>2893</v>
      </c>
      <c r="N5666" s="2287" t="s">
        <v>1580</v>
      </c>
      <c r="O5666" s="2169">
        <v>575</v>
      </c>
      <c r="P5666" s="2169">
        <v>575</v>
      </c>
      <c r="Q5666" s="2169">
        <v>575</v>
      </c>
      <c r="R5666" s="2169">
        <v>575</v>
      </c>
      <c r="S5666" s="2169">
        <v>575</v>
      </c>
      <c r="T5666" s="2169">
        <v>575</v>
      </c>
      <c r="U5666" s="2169">
        <v>575</v>
      </c>
      <c r="V5666" s="2169">
        <v>575</v>
      </c>
      <c r="W5666" s="2169">
        <v>575</v>
      </c>
      <c r="X5666" s="2169">
        <v>575</v>
      </c>
      <c r="Y5666" s="2169">
        <v>575</v>
      </c>
      <c r="Z5666" s="2169">
        <v>575</v>
      </c>
      <c r="AA5666" s="1828">
        <f t="shared" si="923"/>
        <v>6900</v>
      </c>
    </row>
    <row r="5667" spans="2:27" ht="12" x14ac:dyDescent="0.2">
      <c r="B5667" s="3245"/>
      <c r="C5667" s="2515"/>
      <c r="D5667" s="3915"/>
      <c r="E5667" s="3917"/>
      <c r="F5667" s="3918"/>
      <c r="G5667" s="3918"/>
      <c r="H5667" s="3920"/>
      <c r="I5667" s="3600"/>
      <c r="J5667" s="3600"/>
      <c r="K5667" s="3055"/>
      <c r="L5667" s="2941"/>
      <c r="M5667" s="2288" t="s">
        <v>2894</v>
      </c>
      <c r="N5667" s="2286" t="s">
        <v>1224</v>
      </c>
      <c r="O5667" s="2169">
        <v>1000</v>
      </c>
      <c r="P5667" s="2169">
        <v>1000</v>
      </c>
      <c r="Q5667" s="2169">
        <v>1000</v>
      </c>
      <c r="R5667" s="2169">
        <v>1000</v>
      </c>
      <c r="S5667" s="2169">
        <v>1000</v>
      </c>
      <c r="T5667" s="2169">
        <v>1000</v>
      </c>
      <c r="U5667" s="2169">
        <v>1000</v>
      </c>
      <c r="V5667" s="2169">
        <v>1000</v>
      </c>
      <c r="W5667" s="2169">
        <v>1000</v>
      </c>
      <c r="X5667" s="2169">
        <v>1000</v>
      </c>
      <c r="Y5667" s="2169">
        <v>1000</v>
      </c>
      <c r="Z5667" s="2169">
        <v>1000</v>
      </c>
      <c r="AA5667" s="1828">
        <f t="shared" si="923"/>
        <v>12000</v>
      </c>
    </row>
    <row r="5668" spans="2:27" ht="18" x14ac:dyDescent="0.2">
      <c r="B5668" s="3245"/>
      <c r="C5668" s="2515"/>
      <c r="D5668" s="3915"/>
      <c r="E5668" s="3917"/>
      <c r="F5668" s="3918"/>
      <c r="G5668" s="3918"/>
      <c r="H5668" s="3920"/>
      <c r="I5668" s="3600"/>
      <c r="J5668" s="3600"/>
      <c r="K5668" s="3055"/>
      <c r="L5668" s="2941"/>
      <c r="M5668" s="2288" t="s">
        <v>2895</v>
      </c>
      <c r="N5668" s="2286" t="s">
        <v>1254</v>
      </c>
      <c r="O5668" s="2169">
        <v>833.33333333333337</v>
      </c>
      <c r="P5668" s="2169">
        <v>833.33333333333337</v>
      </c>
      <c r="Q5668" s="2169">
        <v>833.33333333333337</v>
      </c>
      <c r="R5668" s="2169">
        <v>833.33333333333337</v>
      </c>
      <c r="S5668" s="2169">
        <v>833.33333333333337</v>
      </c>
      <c r="T5668" s="2169">
        <v>833.33333333333337</v>
      </c>
      <c r="U5668" s="2169">
        <v>833.33333333333337</v>
      </c>
      <c r="V5668" s="2169">
        <v>833.33333333333337</v>
      </c>
      <c r="W5668" s="2169">
        <v>833.33333333333337</v>
      </c>
      <c r="X5668" s="2169">
        <v>833.33333333333337</v>
      </c>
      <c r="Y5668" s="2169">
        <v>833.33333333333337</v>
      </c>
      <c r="Z5668" s="2169">
        <v>833.33333333333337</v>
      </c>
      <c r="AA5668" s="1828">
        <f t="shared" si="923"/>
        <v>10000</v>
      </c>
    </row>
    <row r="5669" spans="2:27" ht="18" x14ac:dyDescent="0.2">
      <c r="B5669" s="3245"/>
      <c r="C5669" s="2515"/>
      <c r="D5669" s="3915"/>
      <c r="E5669" s="3917"/>
      <c r="F5669" s="3918"/>
      <c r="G5669" s="3918"/>
      <c r="H5669" s="3920"/>
      <c r="I5669" s="3600"/>
      <c r="J5669" s="3600"/>
      <c r="K5669" s="3055"/>
      <c r="L5669" s="2941"/>
      <c r="M5669" s="2288" t="s">
        <v>2896</v>
      </c>
      <c r="N5669" s="2286" t="s">
        <v>1229</v>
      </c>
      <c r="O5669" s="2169">
        <v>833.33333333333337</v>
      </c>
      <c r="P5669" s="2169">
        <v>833.33333333333337</v>
      </c>
      <c r="Q5669" s="2169">
        <v>833.33333333333337</v>
      </c>
      <c r="R5669" s="2169">
        <v>833.33333333333337</v>
      </c>
      <c r="S5669" s="2169">
        <v>833.33333333333337</v>
      </c>
      <c r="T5669" s="2169">
        <v>833.33333333333337</v>
      </c>
      <c r="U5669" s="2169">
        <v>833.33333333333337</v>
      </c>
      <c r="V5669" s="2169">
        <v>833.33333333333337</v>
      </c>
      <c r="W5669" s="2169">
        <v>833.33333333333337</v>
      </c>
      <c r="X5669" s="2169">
        <v>833.33333333333337</v>
      </c>
      <c r="Y5669" s="2169">
        <v>833.33333333333337</v>
      </c>
      <c r="Z5669" s="2169">
        <v>833.33333333333337</v>
      </c>
      <c r="AA5669" s="1828">
        <f t="shared" si="923"/>
        <v>10000</v>
      </c>
    </row>
    <row r="5670" spans="2:27" ht="18" x14ac:dyDescent="0.2">
      <c r="B5670" s="3245"/>
      <c r="C5670" s="2515"/>
      <c r="D5670" s="3915"/>
      <c r="E5670" s="3917"/>
      <c r="F5670" s="3918"/>
      <c r="G5670" s="3918"/>
      <c r="H5670" s="3920"/>
      <c r="I5670" s="3600"/>
      <c r="J5670" s="3600"/>
      <c r="K5670" s="3055"/>
      <c r="L5670" s="2941"/>
      <c r="M5670" s="2288" t="s">
        <v>2897</v>
      </c>
      <c r="N5670" s="2286" t="s">
        <v>1258</v>
      </c>
      <c r="O5670" s="2169">
        <v>1250</v>
      </c>
      <c r="P5670" s="2169">
        <v>1250</v>
      </c>
      <c r="Q5670" s="2169">
        <v>1250</v>
      </c>
      <c r="R5670" s="2169">
        <v>1250</v>
      </c>
      <c r="S5670" s="2169">
        <v>1250</v>
      </c>
      <c r="T5670" s="2169">
        <v>1250</v>
      </c>
      <c r="U5670" s="2169">
        <v>1250</v>
      </c>
      <c r="V5670" s="2169">
        <v>1250</v>
      </c>
      <c r="W5670" s="2169">
        <v>1250</v>
      </c>
      <c r="X5670" s="2169">
        <v>1250</v>
      </c>
      <c r="Y5670" s="2169">
        <v>1250</v>
      </c>
      <c r="Z5670" s="2169">
        <v>1250</v>
      </c>
      <c r="AA5670" s="1828">
        <f t="shared" si="923"/>
        <v>15000</v>
      </c>
    </row>
    <row r="5671" spans="2:27" ht="12" x14ac:dyDescent="0.2">
      <c r="B5671" s="3245"/>
      <c r="C5671" s="2515"/>
      <c r="D5671" s="3915"/>
      <c r="E5671" s="3917"/>
      <c r="F5671" s="3918"/>
      <c r="G5671" s="3918"/>
      <c r="H5671" s="3920"/>
      <c r="I5671" s="3600"/>
      <c r="J5671" s="3600"/>
      <c r="K5671" s="3055"/>
      <c r="L5671" s="2941"/>
      <c r="M5671" s="2288" t="s">
        <v>2898</v>
      </c>
      <c r="N5671" s="2286" t="s">
        <v>1262</v>
      </c>
      <c r="O5671" s="2169">
        <v>2500</v>
      </c>
      <c r="P5671" s="2169">
        <v>2500</v>
      </c>
      <c r="Q5671" s="2169">
        <v>2500</v>
      </c>
      <c r="R5671" s="2169">
        <v>2500</v>
      </c>
      <c r="S5671" s="2169">
        <v>2500</v>
      </c>
      <c r="T5671" s="2169">
        <v>2500</v>
      </c>
      <c r="U5671" s="2169">
        <v>2500</v>
      </c>
      <c r="V5671" s="2169">
        <v>2500</v>
      </c>
      <c r="W5671" s="2169">
        <v>2500</v>
      </c>
      <c r="X5671" s="2169">
        <v>2500</v>
      </c>
      <c r="Y5671" s="2169">
        <v>2500</v>
      </c>
      <c r="Z5671" s="2169">
        <v>2500</v>
      </c>
      <c r="AA5671" s="1828">
        <f t="shared" si="923"/>
        <v>30000</v>
      </c>
    </row>
    <row r="5672" spans="2:27" ht="27" x14ac:dyDescent="0.2">
      <c r="B5672" s="3245"/>
      <c r="C5672" s="2515"/>
      <c r="D5672" s="3915"/>
      <c r="E5672" s="3917"/>
      <c r="F5672" s="3918"/>
      <c r="G5672" s="3918"/>
      <c r="H5672" s="3920"/>
      <c r="I5672" s="3600"/>
      <c r="J5672" s="3600"/>
      <c r="K5672" s="3055"/>
      <c r="L5672" s="2941"/>
      <c r="M5672" s="2285" t="s">
        <v>2899</v>
      </c>
      <c r="N5672" s="2286" t="s">
        <v>1331</v>
      </c>
      <c r="O5672" s="2169">
        <v>80013.75</v>
      </c>
      <c r="P5672" s="2169">
        <v>80013.75</v>
      </c>
      <c r="Q5672" s="2169">
        <v>80013.75</v>
      </c>
      <c r="R5672" s="2169">
        <v>80013.75</v>
      </c>
      <c r="S5672" s="2169">
        <v>80013.75</v>
      </c>
      <c r="T5672" s="2169">
        <v>80013.75</v>
      </c>
      <c r="U5672" s="2169">
        <v>80013.75</v>
      </c>
      <c r="V5672" s="2169">
        <v>80013.75</v>
      </c>
      <c r="W5672" s="2169">
        <v>80013.75</v>
      </c>
      <c r="X5672" s="2169">
        <v>80013.75</v>
      </c>
      <c r="Y5672" s="2169">
        <v>80013.75</v>
      </c>
      <c r="Z5672" s="2169">
        <v>80013.75</v>
      </c>
      <c r="AA5672" s="1828">
        <f t="shared" si="923"/>
        <v>960165</v>
      </c>
    </row>
    <row r="5673" spans="2:27" ht="18" x14ac:dyDescent="0.2">
      <c r="B5673" s="3245"/>
      <c r="C5673" s="2515"/>
      <c r="D5673" s="3915"/>
      <c r="E5673" s="3917"/>
      <c r="F5673" s="3918"/>
      <c r="G5673" s="3918"/>
      <c r="H5673" s="3920"/>
      <c r="I5673" s="3600"/>
      <c r="J5673" s="3600"/>
      <c r="K5673" s="3055"/>
      <c r="L5673" s="2941"/>
      <c r="M5673" s="2288" t="s">
        <v>2900</v>
      </c>
      <c r="N5673" s="2286" t="s">
        <v>1333</v>
      </c>
      <c r="O5673" s="2169">
        <v>5000</v>
      </c>
      <c r="P5673" s="2169">
        <v>5000</v>
      </c>
      <c r="Q5673" s="2169">
        <v>5000</v>
      </c>
      <c r="R5673" s="2169">
        <v>5000</v>
      </c>
      <c r="S5673" s="2169">
        <v>5000</v>
      </c>
      <c r="T5673" s="2169">
        <v>5000</v>
      </c>
      <c r="U5673" s="2169">
        <v>5000</v>
      </c>
      <c r="V5673" s="2169">
        <v>5000</v>
      </c>
      <c r="W5673" s="2169">
        <v>5000</v>
      </c>
      <c r="X5673" s="2169">
        <v>5000</v>
      </c>
      <c r="Y5673" s="2169">
        <v>5000</v>
      </c>
      <c r="Z5673" s="2169">
        <v>5000</v>
      </c>
      <c r="AA5673" s="1828">
        <f t="shared" si="923"/>
        <v>60000</v>
      </c>
    </row>
    <row r="5674" spans="2:27" ht="27" x14ac:dyDescent="0.2">
      <c r="B5674" s="3245"/>
      <c r="C5674" s="2515"/>
      <c r="D5674" s="3915"/>
      <c r="E5674" s="3917"/>
      <c r="F5674" s="3918"/>
      <c r="G5674" s="3918"/>
      <c r="H5674" s="3920"/>
      <c r="I5674" s="3600"/>
      <c r="J5674" s="3600"/>
      <c r="K5674" s="3055"/>
      <c r="L5674" s="2941"/>
      <c r="M5674" s="2285" t="s">
        <v>2870</v>
      </c>
      <c r="N5674" s="2286" t="s">
        <v>1306</v>
      </c>
      <c r="O5674" s="2169">
        <v>2083.3333333333335</v>
      </c>
      <c r="P5674" s="2169">
        <v>2083.3333333333335</v>
      </c>
      <c r="Q5674" s="2169">
        <v>2083.3333333333335</v>
      </c>
      <c r="R5674" s="2169">
        <v>2083.3333333333335</v>
      </c>
      <c r="S5674" s="2169">
        <v>2083.3333333333335</v>
      </c>
      <c r="T5674" s="2169">
        <v>2083.3333333333335</v>
      </c>
      <c r="U5674" s="2169">
        <v>2083.3333333333335</v>
      </c>
      <c r="V5674" s="2169">
        <v>2083.3333333333335</v>
      </c>
      <c r="W5674" s="2169">
        <v>2083.3333333333335</v>
      </c>
      <c r="X5674" s="2169">
        <v>2083.3333333333335</v>
      </c>
      <c r="Y5674" s="2169">
        <v>2083.3333333333335</v>
      </c>
      <c r="Z5674" s="2169">
        <v>2083.3333333333335</v>
      </c>
      <c r="AA5674" s="1828">
        <f t="shared" si="923"/>
        <v>24999.999999999996</v>
      </c>
    </row>
    <row r="5675" spans="2:27" ht="18" x14ac:dyDescent="0.2">
      <c r="B5675" s="3245"/>
      <c r="C5675" s="2515"/>
      <c r="D5675" s="3915"/>
      <c r="E5675" s="3917"/>
      <c r="F5675" s="3918"/>
      <c r="G5675" s="3918"/>
      <c r="H5675" s="3920"/>
      <c r="I5675" s="3600"/>
      <c r="J5675" s="3600"/>
      <c r="K5675" s="3055"/>
      <c r="L5675" s="2941"/>
      <c r="M5675" s="2288" t="s">
        <v>2871</v>
      </c>
      <c r="N5675" s="2286" t="s">
        <v>1220</v>
      </c>
      <c r="O5675" s="2169">
        <v>1250</v>
      </c>
      <c r="P5675" s="2169">
        <v>1250</v>
      </c>
      <c r="Q5675" s="2169">
        <v>1250</v>
      </c>
      <c r="R5675" s="2169">
        <v>1250</v>
      </c>
      <c r="S5675" s="2169">
        <v>1250</v>
      </c>
      <c r="T5675" s="2169">
        <v>1250</v>
      </c>
      <c r="U5675" s="2169">
        <v>1250</v>
      </c>
      <c r="V5675" s="2169">
        <v>1250</v>
      </c>
      <c r="W5675" s="2169">
        <v>1250</v>
      </c>
      <c r="X5675" s="2169">
        <v>1250</v>
      </c>
      <c r="Y5675" s="2169">
        <v>1250</v>
      </c>
      <c r="Z5675" s="2169">
        <v>1250</v>
      </c>
      <c r="AA5675" s="1828">
        <f t="shared" si="923"/>
        <v>15000</v>
      </c>
    </row>
    <row r="5676" spans="2:27" ht="18" x14ac:dyDescent="0.2">
      <c r="B5676" s="3245"/>
      <c r="C5676" s="2515"/>
      <c r="D5676" s="3915"/>
      <c r="E5676" s="3917"/>
      <c r="F5676" s="3918"/>
      <c r="G5676" s="3918"/>
      <c r="H5676" s="3920"/>
      <c r="I5676" s="3600"/>
      <c r="J5676" s="3600"/>
      <c r="K5676" s="3055"/>
      <c r="L5676" s="2941"/>
      <c r="M5676" s="2288" t="s">
        <v>2872</v>
      </c>
      <c r="N5676" s="2286" t="s">
        <v>1222</v>
      </c>
      <c r="O5676" s="2169">
        <v>416.66666666666669</v>
      </c>
      <c r="P5676" s="2169">
        <v>416.66666666666669</v>
      </c>
      <c r="Q5676" s="2169">
        <v>416.66666666666669</v>
      </c>
      <c r="R5676" s="2169">
        <v>416.66666666666669</v>
      </c>
      <c r="S5676" s="2169">
        <v>416.66666666666669</v>
      </c>
      <c r="T5676" s="2169">
        <v>416.66666666666669</v>
      </c>
      <c r="U5676" s="2169">
        <v>416.66666666666669</v>
      </c>
      <c r="V5676" s="2169">
        <v>416.66666666666669</v>
      </c>
      <c r="W5676" s="2169">
        <v>416.66666666666669</v>
      </c>
      <c r="X5676" s="2169">
        <v>416.66666666666669</v>
      </c>
      <c r="Y5676" s="2169">
        <v>416.66666666666669</v>
      </c>
      <c r="Z5676" s="2169">
        <v>416.66666666666669</v>
      </c>
      <c r="AA5676" s="1828">
        <f t="shared" si="923"/>
        <v>5000</v>
      </c>
    </row>
    <row r="5677" spans="2:27" ht="36" x14ac:dyDescent="0.2">
      <c r="B5677" s="3245"/>
      <c r="C5677" s="2515"/>
      <c r="D5677" s="3915"/>
      <c r="E5677" s="3917"/>
      <c r="F5677" s="3918"/>
      <c r="G5677" s="3918"/>
      <c r="H5677" s="3920"/>
      <c r="I5677" s="3600"/>
      <c r="J5677" s="3600"/>
      <c r="K5677" s="3055"/>
      <c r="L5677" s="2941"/>
      <c r="M5677" s="2285" t="s">
        <v>2874</v>
      </c>
      <c r="N5677" s="2286" t="s">
        <v>1236</v>
      </c>
      <c r="O5677" s="2169">
        <v>1905.5</v>
      </c>
      <c r="P5677" s="2169">
        <v>1905.5</v>
      </c>
      <c r="Q5677" s="2169">
        <v>1905.5</v>
      </c>
      <c r="R5677" s="2169">
        <v>1905.5</v>
      </c>
      <c r="S5677" s="2169">
        <v>1905.5</v>
      </c>
      <c r="T5677" s="2169">
        <v>1905.5</v>
      </c>
      <c r="U5677" s="2169">
        <v>1905.5</v>
      </c>
      <c r="V5677" s="2169">
        <v>1905.5</v>
      </c>
      <c r="W5677" s="2169">
        <v>1905.5</v>
      </c>
      <c r="X5677" s="2169">
        <v>1905.5</v>
      </c>
      <c r="Y5677" s="2169">
        <v>1905.5</v>
      </c>
      <c r="Z5677" s="2169">
        <v>1905.5</v>
      </c>
      <c r="AA5677" s="1828">
        <f t="shared" si="923"/>
        <v>22866</v>
      </c>
    </row>
    <row r="5678" spans="2:27" ht="12" x14ac:dyDescent="0.2">
      <c r="B5678" s="3245"/>
      <c r="C5678" s="2515"/>
      <c r="D5678" s="3915"/>
      <c r="E5678" s="3917"/>
      <c r="F5678" s="3918"/>
      <c r="G5678" s="3918"/>
      <c r="H5678" s="3920"/>
      <c r="I5678" s="3600"/>
      <c r="J5678" s="3600"/>
      <c r="K5678" s="3055"/>
      <c r="L5678" s="2941"/>
      <c r="M5678" s="2288" t="s">
        <v>2880</v>
      </c>
      <c r="N5678" s="2286" t="s">
        <v>1275</v>
      </c>
      <c r="O5678" s="2169">
        <v>250</v>
      </c>
      <c r="P5678" s="2169">
        <v>250</v>
      </c>
      <c r="Q5678" s="2169">
        <v>250</v>
      </c>
      <c r="R5678" s="2169">
        <v>250</v>
      </c>
      <c r="S5678" s="2169">
        <v>250</v>
      </c>
      <c r="T5678" s="2169">
        <v>250</v>
      </c>
      <c r="U5678" s="2169">
        <v>250</v>
      </c>
      <c r="V5678" s="2169">
        <v>250</v>
      </c>
      <c r="W5678" s="2169">
        <v>250</v>
      </c>
      <c r="X5678" s="2169">
        <v>250</v>
      </c>
      <c r="Y5678" s="2169">
        <v>250</v>
      </c>
      <c r="Z5678" s="2169">
        <v>250</v>
      </c>
      <c r="AA5678" s="1828">
        <f t="shared" si="923"/>
        <v>3000</v>
      </c>
    </row>
    <row r="5679" spans="2:27" ht="12" x14ac:dyDescent="0.2">
      <c r="B5679" s="3245"/>
      <c r="C5679" s="2515"/>
      <c r="D5679" s="3915"/>
      <c r="E5679" s="3917"/>
      <c r="F5679" s="3918"/>
      <c r="G5679" s="3918"/>
      <c r="H5679" s="3920"/>
      <c r="I5679" s="3600"/>
      <c r="J5679" s="3600"/>
      <c r="K5679" s="3055"/>
      <c r="L5679" s="2941"/>
      <c r="M5679" s="2288" t="s">
        <v>2881</v>
      </c>
      <c r="N5679" s="2286" t="s">
        <v>1564</v>
      </c>
      <c r="O5679" s="2169">
        <v>250</v>
      </c>
      <c r="P5679" s="2169">
        <v>250</v>
      </c>
      <c r="Q5679" s="2169">
        <v>250</v>
      </c>
      <c r="R5679" s="2169">
        <v>250</v>
      </c>
      <c r="S5679" s="2169">
        <v>250</v>
      </c>
      <c r="T5679" s="2169">
        <v>250</v>
      </c>
      <c r="U5679" s="2169">
        <v>250</v>
      </c>
      <c r="V5679" s="2169">
        <v>250</v>
      </c>
      <c r="W5679" s="2169">
        <v>250</v>
      </c>
      <c r="X5679" s="2169">
        <v>250</v>
      </c>
      <c r="Y5679" s="2169">
        <v>250</v>
      </c>
      <c r="Z5679" s="2169">
        <v>250</v>
      </c>
      <c r="AA5679" s="1828">
        <f t="shared" si="923"/>
        <v>3000</v>
      </c>
    </row>
    <row r="5680" spans="2:27" ht="12" x14ac:dyDescent="0.2">
      <c r="B5680" s="3245"/>
      <c r="C5680" s="2515"/>
      <c r="D5680" s="3915"/>
      <c r="E5680" s="3917"/>
      <c r="F5680" s="3918"/>
      <c r="G5680" s="3918"/>
      <c r="H5680" s="3920"/>
      <c r="I5680" s="3600"/>
      <c r="J5680" s="3600"/>
      <c r="K5680" s="3055"/>
      <c r="L5680" s="2941"/>
      <c r="M5680" s="2288" t="s">
        <v>2901</v>
      </c>
      <c r="N5680" s="2286" t="s">
        <v>1277</v>
      </c>
      <c r="O5680" s="2169">
        <v>833.33333333333337</v>
      </c>
      <c r="P5680" s="2169">
        <v>833.33333333333337</v>
      </c>
      <c r="Q5680" s="2169">
        <v>833.33333333333337</v>
      </c>
      <c r="R5680" s="2169">
        <v>833.33333333333337</v>
      </c>
      <c r="S5680" s="2169">
        <v>833.33333333333337</v>
      </c>
      <c r="T5680" s="2169">
        <v>833.33333333333337</v>
      </c>
      <c r="U5680" s="2169">
        <v>833.33333333333337</v>
      </c>
      <c r="V5680" s="2169">
        <v>833.33333333333337</v>
      </c>
      <c r="W5680" s="2169">
        <v>833.33333333333337</v>
      </c>
      <c r="X5680" s="2169">
        <v>833.33333333333337</v>
      </c>
      <c r="Y5680" s="2169">
        <v>833.33333333333337</v>
      </c>
      <c r="Z5680" s="2169">
        <v>833.33333333333337</v>
      </c>
      <c r="AA5680" s="1828">
        <f t="shared" si="923"/>
        <v>10000</v>
      </c>
    </row>
    <row r="5681" spans="2:27" ht="27" x14ac:dyDescent="0.2">
      <c r="B5681" s="3245"/>
      <c r="C5681" s="2515"/>
      <c r="D5681" s="3915"/>
      <c r="E5681" s="3917"/>
      <c r="F5681" s="3918"/>
      <c r="G5681" s="3918"/>
      <c r="H5681" s="3920"/>
      <c r="I5681" s="3600"/>
      <c r="J5681" s="3600"/>
      <c r="K5681" s="3055"/>
      <c r="L5681" s="2941"/>
      <c r="M5681" s="2285" t="s">
        <v>2885</v>
      </c>
      <c r="N5681" s="2286" t="s">
        <v>1281</v>
      </c>
      <c r="O5681" s="2169">
        <v>291.66666666666669</v>
      </c>
      <c r="P5681" s="2169">
        <v>291.66666666666669</v>
      </c>
      <c r="Q5681" s="2169">
        <v>291.66666666666669</v>
      </c>
      <c r="R5681" s="2169">
        <v>291.66666666666669</v>
      </c>
      <c r="S5681" s="2169">
        <v>291.66666666666669</v>
      </c>
      <c r="T5681" s="2169">
        <v>291.66666666666669</v>
      </c>
      <c r="U5681" s="2169">
        <v>291.66666666666669</v>
      </c>
      <c r="V5681" s="2169">
        <v>291.66666666666669</v>
      </c>
      <c r="W5681" s="2169">
        <v>291.66666666666669</v>
      </c>
      <c r="X5681" s="2169">
        <v>291.66666666666669</v>
      </c>
      <c r="Y5681" s="2169">
        <v>291.66666666666669</v>
      </c>
      <c r="Z5681" s="2169">
        <v>291.66666666666669</v>
      </c>
      <c r="AA5681" s="1828">
        <f t="shared" si="923"/>
        <v>3499.9999999999995</v>
      </c>
    </row>
    <row r="5682" spans="2:27" ht="18" x14ac:dyDescent="0.2">
      <c r="B5682" s="3245"/>
      <c r="C5682" s="2515"/>
      <c r="D5682" s="3915"/>
      <c r="E5682" s="3917"/>
      <c r="F5682" s="3918"/>
      <c r="G5682" s="3918"/>
      <c r="H5682" s="3920"/>
      <c r="I5682" s="3600"/>
      <c r="J5682" s="3600"/>
      <c r="K5682" s="3055"/>
      <c r="L5682" s="2941"/>
      <c r="M5682" s="2288" t="s">
        <v>2886</v>
      </c>
      <c r="N5682" s="2286" t="s">
        <v>1283</v>
      </c>
      <c r="O5682" s="2169">
        <v>125</v>
      </c>
      <c r="P5682" s="2169">
        <v>125</v>
      </c>
      <c r="Q5682" s="2169">
        <v>125</v>
      </c>
      <c r="R5682" s="2169">
        <v>125</v>
      </c>
      <c r="S5682" s="2169">
        <v>125</v>
      </c>
      <c r="T5682" s="2169">
        <v>125</v>
      </c>
      <c r="U5682" s="2169">
        <v>125</v>
      </c>
      <c r="V5682" s="2169">
        <v>125</v>
      </c>
      <c r="W5682" s="2169">
        <v>125</v>
      </c>
      <c r="X5682" s="2169">
        <v>125</v>
      </c>
      <c r="Y5682" s="2169">
        <v>125</v>
      </c>
      <c r="Z5682" s="2169">
        <v>125</v>
      </c>
      <c r="AA5682" s="1828">
        <f t="shared" si="923"/>
        <v>1500</v>
      </c>
    </row>
    <row r="5683" spans="2:27" ht="21.75" customHeight="1" x14ac:dyDescent="0.2">
      <c r="B5683" s="3245"/>
      <c r="C5683" s="2515"/>
      <c r="D5683" s="3915"/>
      <c r="E5683" s="3917"/>
      <c r="F5683" s="3918"/>
      <c r="G5683" s="3918"/>
      <c r="H5683" s="3920"/>
      <c r="I5683" s="3600"/>
      <c r="J5683" s="3600"/>
      <c r="K5683" s="3055"/>
      <c r="L5683" s="2941"/>
      <c r="M5683" s="2288" t="s">
        <v>2888</v>
      </c>
      <c r="N5683" s="2287" t="s">
        <v>1287</v>
      </c>
      <c r="O5683" s="2169">
        <v>416.66666666666669</v>
      </c>
      <c r="P5683" s="2169">
        <v>416.66666666666669</v>
      </c>
      <c r="Q5683" s="2169">
        <v>416.66666666666669</v>
      </c>
      <c r="R5683" s="2169">
        <v>416.66666666666669</v>
      </c>
      <c r="S5683" s="2169">
        <v>416.66666666666669</v>
      </c>
      <c r="T5683" s="2169">
        <v>416.66666666666669</v>
      </c>
      <c r="U5683" s="2169">
        <v>416.66666666666669</v>
      </c>
      <c r="V5683" s="2169">
        <v>416.66666666666669</v>
      </c>
      <c r="W5683" s="2169">
        <v>416.66666666666669</v>
      </c>
      <c r="X5683" s="2169">
        <v>416.66666666666669</v>
      </c>
      <c r="Y5683" s="2169">
        <v>416.66666666666669</v>
      </c>
      <c r="Z5683" s="2169">
        <v>416.66666666666669</v>
      </c>
      <c r="AA5683" s="1828">
        <f t="shared" si="923"/>
        <v>5000</v>
      </c>
    </row>
    <row r="5684" spans="2:27" ht="30" customHeight="1" x14ac:dyDescent="0.2">
      <c r="B5684" s="3245"/>
      <c r="C5684" s="2515"/>
      <c r="D5684" s="3915"/>
      <c r="E5684" s="3917"/>
      <c r="F5684" s="3918"/>
      <c r="G5684" s="3918"/>
      <c r="H5684" s="3920"/>
      <c r="I5684" s="3600"/>
      <c r="J5684" s="3600"/>
      <c r="K5684" s="3055"/>
      <c r="L5684" s="2941"/>
      <c r="M5684" s="2288" t="s">
        <v>2890</v>
      </c>
      <c r="N5684" s="2287" t="s">
        <v>1291</v>
      </c>
      <c r="O5684" s="2169">
        <v>416.66666666666669</v>
      </c>
      <c r="P5684" s="2169">
        <v>416.66666666666669</v>
      </c>
      <c r="Q5684" s="2169">
        <v>416.66666666666669</v>
      </c>
      <c r="R5684" s="2169">
        <v>416.66666666666669</v>
      </c>
      <c r="S5684" s="2169">
        <v>416.66666666666669</v>
      </c>
      <c r="T5684" s="2169">
        <v>416.66666666666669</v>
      </c>
      <c r="U5684" s="2169">
        <v>416.66666666666669</v>
      </c>
      <c r="V5684" s="2169">
        <v>416.66666666666669</v>
      </c>
      <c r="W5684" s="2169">
        <v>416.66666666666669</v>
      </c>
      <c r="X5684" s="2169">
        <v>416.66666666666669</v>
      </c>
      <c r="Y5684" s="2169">
        <v>416.66666666666669</v>
      </c>
      <c r="Z5684" s="2169">
        <v>416.66666666666669</v>
      </c>
      <c r="AA5684" s="1828">
        <f t="shared" si="923"/>
        <v>5000</v>
      </c>
    </row>
    <row r="5685" spans="2:27" ht="12" x14ac:dyDescent="0.2">
      <c r="B5685" s="3245"/>
      <c r="C5685" s="2515"/>
      <c r="D5685" s="3915"/>
      <c r="E5685" s="3917"/>
      <c r="F5685" s="3918"/>
      <c r="G5685" s="3918"/>
      <c r="H5685" s="3920"/>
      <c r="I5685" s="3600"/>
      <c r="J5685" s="3600"/>
      <c r="K5685" s="3055"/>
      <c r="L5685" s="2941"/>
      <c r="M5685" s="2288"/>
      <c r="N5685" s="2287"/>
      <c r="O5685" s="2169"/>
      <c r="P5685" s="2169"/>
      <c r="Q5685" s="2169"/>
      <c r="R5685" s="2169"/>
      <c r="S5685" s="2169"/>
      <c r="T5685" s="2169"/>
      <c r="U5685" s="2169"/>
      <c r="V5685" s="2169"/>
      <c r="W5685" s="2169"/>
      <c r="X5685" s="2169"/>
      <c r="Y5685" s="2169"/>
      <c r="Z5685" s="2169"/>
      <c r="AA5685" s="1828">
        <f t="shared" si="923"/>
        <v>0</v>
      </c>
    </row>
    <row r="5686" spans="2:27" ht="18.75" x14ac:dyDescent="0.2">
      <c r="B5686" s="3245"/>
      <c r="C5686" s="2515"/>
      <c r="D5686" s="3915"/>
      <c r="E5686" s="3917"/>
      <c r="F5686" s="3918"/>
      <c r="G5686" s="3918"/>
      <c r="H5686" s="3920"/>
      <c r="I5686" s="3600"/>
      <c r="J5686" s="3600"/>
      <c r="K5686" s="3055"/>
      <c r="L5686" s="2941"/>
      <c r="M5686" s="2288" t="s">
        <v>2891</v>
      </c>
      <c r="N5686" s="2287" t="s">
        <v>1252</v>
      </c>
      <c r="O5686" s="2169">
        <v>416.66666666666669</v>
      </c>
      <c r="P5686" s="2169">
        <v>416.66666666666669</v>
      </c>
      <c r="Q5686" s="2169">
        <v>416.66666666666669</v>
      </c>
      <c r="R5686" s="2169">
        <v>416.66666666666669</v>
      </c>
      <c r="S5686" s="2169">
        <v>416.66666666666669</v>
      </c>
      <c r="T5686" s="2169">
        <v>416.66666666666669</v>
      </c>
      <c r="U5686" s="2169">
        <v>416.66666666666669</v>
      </c>
      <c r="V5686" s="2169">
        <v>416.66666666666669</v>
      </c>
      <c r="W5686" s="2169">
        <v>416.66666666666669</v>
      </c>
      <c r="X5686" s="2169">
        <v>416.66666666666669</v>
      </c>
      <c r="Y5686" s="2169">
        <v>416.66666666666669</v>
      </c>
      <c r="Z5686" s="2169">
        <v>416.66666666666669</v>
      </c>
      <c r="AA5686" s="1828">
        <f t="shared" si="923"/>
        <v>5000</v>
      </c>
    </row>
    <row r="5687" spans="2:27" ht="36.75" x14ac:dyDescent="0.2">
      <c r="B5687" s="3245"/>
      <c r="C5687" s="2515"/>
      <c r="D5687" s="3915"/>
      <c r="E5687" s="3917"/>
      <c r="F5687" s="3918"/>
      <c r="G5687" s="3918"/>
      <c r="H5687" s="3920"/>
      <c r="I5687" s="3600"/>
      <c r="J5687" s="3600"/>
      <c r="K5687" s="3055"/>
      <c r="L5687" s="2941"/>
      <c r="M5687" s="2288" t="s">
        <v>2892</v>
      </c>
      <c r="N5687" s="2287" t="s">
        <v>1242</v>
      </c>
      <c r="O5687" s="2169">
        <v>416.66666666666669</v>
      </c>
      <c r="P5687" s="2169">
        <v>416.66666666666669</v>
      </c>
      <c r="Q5687" s="2169">
        <v>416.66666666666669</v>
      </c>
      <c r="R5687" s="2169">
        <v>416.66666666666669</v>
      </c>
      <c r="S5687" s="2169">
        <v>416.66666666666669</v>
      </c>
      <c r="T5687" s="2169">
        <v>416.66666666666669</v>
      </c>
      <c r="U5687" s="2169">
        <v>416.66666666666669</v>
      </c>
      <c r="V5687" s="2169">
        <v>416.66666666666669</v>
      </c>
      <c r="W5687" s="2169">
        <v>416.66666666666669</v>
      </c>
      <c r="X5687" s="2169">
        <v>416.66666666666669</v>
      </c>
      <c r="Y5687" s="2169">
        <v>416.66666666666669</v>
      </c>
      <c r="Z5687" s="2169">
        <v>416.66666666666669</v>
      </c>
      <c r="AA5687" s="1828">
        <f t="shared" si="923"/>
        <v>5000</v>
      </c>
    </row>
    <row r="5688" spans="2:27" ht="27.75" x14ac:dyDescent="0.2">
      <c r="B5688" s="3245"/>
      <c r="C5688" s="2515"/>
      <c r="D5688" s="3915"/>
      <c r="E5688" s="3917"/>
      <c r="F5688" s="3918"/>
      <c r="G5688" s="3918"/>
      <c r="H5688" s="3920"/>
      <c r="I5688" s="3600"/>
      <c r="J5688" s="3600"/>
      <c r="K5688" s="3055"/>
      <c r="L5688" s="2941"/>
      <c r="M5688" s="2288" t="s">
        <v>2902</v>
      </c>
      <c r="N5688" s="2287" t="s">
        <v>1295</v>
      </c>
      <c r="O5688" s="2169">
        <v>331.66666666666669</v>
      </c>
      <c r="P5688" s="2169">
        <v>331.66666666666669</v>
      </c>
      <c r="Q5688" s="2169">
        <v>331.66666666666669</v>
      </c>
      <c r="R5688" s="2169">
        <v>331.66666666666669</v>
      </c>
      <c r="S5688" s="2169">
        <v>331.66666666666669</v>
      </c>
      <c r="T5688" s="2169">
        <v>331.66666666666669</v>
      </c>
      <c r="U5688" s="2169">
        <v>331.66666666666669</v>
      </c>
      <c r="V5688" s="2169">
        <v>331.66666666666669</v>
      </c>
      <c r="W5688" s="2169">
        <v>331.66666666666669</v>
      </c>
      <c r="X5688" s="2169">
        <v>331.66666666666669</v>
      </c>
      <c r="Y5688" s="2169">
        <v>331.66666666666669</v>
      </c>
      <c r="Z5688" s="2169">
        <v>331.66666666666669</v>
      </c>
      <c r="AA5688" s="1828">
        <f t="shared" si="923"/>
        <v>3979.9999999999995</v>
      </c>
    </row>
    <row r="5689" spans="2:27" ht="12" x14ac:dyDescent="0.2">
      <c r="B5689" s="3245"/>
      <c r="C5689" s="2515"/>
      <c r="D5689" s="3915"/>
      <c r="E5689" s="3917"/>
      <c r="F5689" s="3918"/>
      <c r="G5689" s="3918"/>
      <c r="H5689" s="3920"/>
      <c r="I5689" s="3600"/>
      <c r="J5689" s="3600"/>
      <c r="K5689" s="3055"/>
      <c r="L5689" s="2941"/>
      <c r="M5689" s="2288" t="s">
        <v>2903</v>
      </c>
      <c r="N5689" s="2287" t="s">
        <v>1260</v>
      </c>
      <c r="O5689" s="2169">
        <v>416.66666666666669</v>
      </c>
      <c r="P5689" s="2169">
        <v>416.66666666666669</v>
      </c>
      <c r="Q5689" s="2169">
        <v>416.66666666666669</v>
      </c>
      <c r="R5689" s="2169">
        <v>416.66666666666669</v>
      </c>
      <c r="S5689" s="2169">
        <v>416.66666666666669</v>
      </c>
      <c r="T5689" s="2169">
        <v>416.66666666666669</v>
      </c>
      <c r="U5689" s="2169">
        <v>416.66666666666669</v>
      </c>
      <c r="V5689" s="2169">
        <v>416.66666666666669</v>
      </c>
      <c r="W5689" s="2169">
        <v>416.66666666666669</v>
      </c>
      <c r="X5689" s="2169">
        <v>416.66666666666669</v>
      </c>
      <c r="Y5689" s="2169">
        <v>416.66666666666669</v>
      </c>
      <c r="Z5689" s="2169">
        <v>416.66666666666669</v>
      </c>
      <c r="AA5689" s="1828">
        <f t="shared" si="923"/>
        <v>5000</v>
      </c>
    </row>
    <row r="5690" spans="2:27" ht="54.75" x14ac:dyDescent="0.2">
      <c r="B5690" s="3245"/>
      <c r="C5690" s="2515"/>
      <c r="D5690" s="3915"/>
      <c r="E5690" s="3917"/>
      <c r="F5690" s="3918"/>
      <c r="G5690" s="3918"/>
      <c r="H5690" s="3920"/>
      <c r="I5690" s="3600"/>
      <c r="J5690" s="3600"/>
      <c r="K5690" s="3055"/>
      <c r="L5690" s="2941"/>
      <c r="M5690" s="2285" t="s">
        <v>2904</v>
      </c>
      <c r="N5690" s="2287" t="s">
        <v>2905</v>
      </c>
      <c r="O5690" s="2169">
        <v>583.33333333333337</v>
      </c>
      <c r="P5690" s="2169">
        <v>583.33333333333337</v>
      </c>
      <c r="Q5690" s="2169">
        <v>583.33333333333337</v>
      </c>
      <c r="R5690" s="2169">
        <v>583.33333333333337</v>
      </c>
      <c r="S5690" s="2169">
        <v>583.33333333333337</v>
      </c>
      <c r="T5690" s="2169">
        <v>583.33333333333337</v>
      </c>
      <c r="U5690" s="2169">
        <v>583.33333333333337</v>
      </c>
      <c r="V5690" s="2169">
        <v>583.33333333333337</v>
      </c>
      <c r="W5690" s="2169">
        <v>583.33333333333337</v>
      </c>
      <c r="X5690" s="2169">
        <v>583.33333333333337</v>
      </c>
      <c r="Y5690" s="2169">
        <v>583.33333333333337</v>
      </c>
      <c r="Z5690" s="2169">
        <v>583.33333333333337</v>
      </c>
      <c r="AA5690" s="1828">
        <f t="shared" si="923"/>
        <v>6999.9999999999991</v>
      </c>
    </row>
    <row r="5691" spans="2:27" ht="36.75" x14ac:dyDescent="0.2">
      <c r="B5691" s="3245"/>
      <c r="C5691" s="2515"/>
      <c r="D5691" s="3915"/>
      <c r="E5691" s="3917"/>
      <c r="F5691" s="3918"/>
      <c r="G5691" s="3918"/>
      <c r="H5691" s="3920"/>
      <c r="I5691" s="3600"/>
      <c r="J5691" s="3600"/>
      <c r="K5691" s="3055"/>
      <c r="L5691" s="2941"/>
      <c r="M5691" s="2288" t="s">
        <v>2906</v>
      </c>
      <c r="N5691" s="2287" t="s">
        <v>1298</v>
      </c>
      <c r="O5691" s="2169">
        <v>833.33333333333337</v>
      </c>
      <c r="P5691" s="2169">
        <v>833.33333333333337</v>
      </c>
      <c r="Q5691" s="2169">
        <v>833.33333333333337</v>
      </c>
      <c r="R5691" s="2169">
        <v>833.33333333333337</v>
      </c>
      <c r="S5691" s="2169">
        <v>833.33333333333337</v>
      </c>
      <c r="T5691" s="2169">
        <v>833.33333333333337</v>
      </c>
      <c r="U5691" s="2169">
        <v>833.33333333333337</v>
      </c>
      <c r="V5691" s="2169">
        <v>833.33333333333337</v>
      </c>
      <c r="W5691" s="2169">
        <v>833.33333333333337</v>
      </c>
      <c r="X5691" s="2169">
        <v>833.33333333333337</v>
      </c>
      <c r="Y5691" s="2169">
        <v>833.33333333333337</v>
      </c>
      <c r="Z5691" s="2169">
        <v>833.33333333333337</v>
      </c>
      <c r="AA5691" s="1828">
        <f t="shared" si="923"/>
        <v>10000</v>
      </c>
    </row>
    <row r="5692" spans="2:27" ht="18.75" x14ac:dyDescent="0.2">
      <c r="B5692" s="3245"/>
      <c r="C5692" s="2515"/>
      <c r="D5692" s="3915"/>
      <c r="E5692" s="3917"/>
      <c r="F5692" s="3918"/>
      <c r="G5692" s="3918"/>
      <c r="H5692" s="3920"/>
      <c r="I5692" s="3600"/>
      <c r="J5692" s="3600"/>
      <c r="K5692" s="3055"/>
      <c r="L5692" s="2941"/>
      <c r="M5692" s="2288" t="s">
        <v>2897</v>
      </c>
      <c r="N5692" s="2287" t="s">
        <v>1258</v>
      </c>
      <c r="O5692" s="2169">
        <v>666.66666666666663</v>
      </c>
      <c r="P5692" s="2169">
        <v>666.66666666666663</v>
      </c>
      <c r="Q5692" s="2169">
        <v>666.66666666666663</v>
      </c>
      <c r="R5692" s="2169">
        <v>666.66666666666663</v>
      </c>
      <c r="S5692" s="2169">
        <v>666.66666666666663</v>
      </c>
      <c r="T5692" s="2169">
        <v>666.66666666666663</v>
      </c>
      <c r="U5692" s="2169">
        <v>666.66666666666663</v>
      </c>
      <c r="V5692" s="2169">
        <v>666.66666666666663</v>
      </c>
      <c r="W5692" s="2169">
        <v>666.66666666666663</v>
      </c>
      <c r="X5692" s="2169">
        <v>666.66666666666663</v>
      </c>
      <c r="Y5692" s="2169">
        <v>666.66666666666663</v>
      </c>
      <c r="Z5692" s="2169">
        <v>666.66666666666663</v>
      </c>
      <c r="AA5692" s="1828">
        <f t="shared" si="923"/>
        <v>8000.0000000000009</v>
      </c>
    </row>
    <row r="5693" spans="2:27" ht="27.75" x14ac:dyDescent="0.2">
      <c r="B5693" s="3246"/>
      <c r="C5693" s="2516"/>
      <c r="D5693" s="3916"/>
      <c r="E5693" s="3917"/>
      <c r="F5693" s="3918"/>
      <c r="G5693" s="3918"/>
      <c r="H5693" s="3921"/>
      <c r="I5693" s="3600"/>
      <c r="J5693" s="3600"/>
      <c r="K5693" s="3055"/>
      <c r="L5693" s="2941"/>
      <c r="M5693" s="2288" t="s">
        <v>2907</v>
      </c>
      <c r="N5693" s="2287" t="s">
        <v>1645</v>
      </c>
      <c r="O5693" s="2169">
        <v>9166.6666666666661</v>
      </c>
      <c r="P5693" s="2169">
        <v>9166.6666666666661</v>
      </c>
      <c r="Q5693" s="2169">
        <v>9166.6666666666661</v>
      </c>
      <c r="R5693" s="2169">
        <v>9166.6666666666661</v>
      </c>
      <c r="S5693" s="2169">
        <v>9166.6666666666661</v>
      </c>
      <c r="T5693" s="2169">
        <v>9166.6666666666661</v>
      </c>
      <c r="U5693" s="2169">
        <v>9166.6666666666661</v>
      </c>
      <c r="V5693" s="2169">
        <v>9166.6666666666661</v>
      </c>
      <c r="W5693" s="2169">
        <v>9166.6666666666661</v>
      </c>
      <c r="X5693" s="2169">
        <v>9166.6666666666661</v>
      </c>
      <c r="Y5693" s="2169">
        <v>9166.6666666666661</v>
      </c>
      <c r="Z5693" s="2169">
        <v>9166.6666666666661</v>
      </c>
      <c r="AA5693" s="1828">
        <f t="shared" si="923"/>
        <v>110000.00000000001</v>
      </c>
    </row>
    <row r="5694" spans="2:27" x14ac:dyDescent="0.2">
      <c r="B5694" s="201"/>
      <c r="C5694" s="50"/>
      <c r="D5694" s="50"/>
      <c r="E5694" s="50"/>
      <c r="F5694" s="50"/>
      <c r="G5694" s="50"/>
      <c r="H5694" s="50"/>
      <c r="I5694" s="50"/>
      <c r="J5694" s="50"/>
      <c r="K5694" s="572"/>
      <c r="L5694" s="50"/>
      <c r="M5694" s="50"/>
      <c r="N5694" s="50"/>
      <c r="O5694" s="50"/>
      <c r="P5694" s="50"/>
      <c r="Q5694" s="50"/>
      <c r="R5694" s="50"/>
      <c r="S5694" s="50"/>
      <c r="T5694" s="50"/>
      <c r="U5694" s="50"/>
      <c r="V5694" s="50"/>
      <c r="W5694" s="50"/>
      <c r="X5694" s="50"/>
      <c r="Y5694" s="50"/>
      <c r="Z5694" s="50"/>
    </row>
    <row r="5695" spans="2:27" x14ac:dyDescent="0.2">
      <c r="B5695" s="3744" t="s">
        <v>13</v>
      </c>
      <c r="C5695" s="3747" t="s">
        <v>2908</v>
      </c>
      <c r="D5695" s="3748"/>
      <c r="E5695" s="3748"/>
      <c r="F5695" s="3748"/>
      <c r="G5695" s="3748"/>
      <c r="H5695" s="3748"/>
      <c r="I5695" s="3748"/>
      <c r="J5695" s="3748"/>
      <c r="K5695" s="3748"/>
      <c r="L5695" s="3748"/>
      <c r="M5695" s="3748"/>
      <c r="N5695" s="3748"/>
      <c r="O5695" s="3748"/>
      <c r="P5695" s="3748"/>
      <c r="Q5695" s="3748"/>
      <c r="R5695" s="3748"/>
      <c r="S5695" s="3748"/>
      <c r="T5695" s="3748"/>
      <c r="U5695" s="3749"/>
      <c r="V5695" s="3291" t="s">
        <v>15</v>
      </c>
      <c r="W5695" s="3292"/>
      <c r="X5695" s="3292"/>
      <c r="Y5695" s="3293"/>
      <c r="Z5695" s="3277" t="s">
        <v>16</v>
      </c>
      <c r="AA5695" s="3279"/>
    </row>
    <row r="5696" spans="2:27" x14ac:dyDescent="0.2">
      <c r="B5696" s="3745"/>
      <c r="C5696" s="3750"/>
      <c r="D5696" s="3751"/>
      <c r="E5696" s="3751"/>
      <c r="F5696" s="3751"/>
      <c r="G5696" s="3751"/>
      <c r="H5696" s="3751"/>
      <c r="I5696" s="3751"/>
      <c r="J5696" s="3751"/>
      <c r="K5696" s="3751"/>
      <c r="L5696" s="3751"/>
      <c r="M5696" s="3751"/>
      <c r="N5696" s="3751"/>
      <c r="O5696" s="3751"/>
      <c r="P5696" s="3751"/>
      <c r="Q5696" s="3751"/>
      <c r="R5696" s="3751"/>
      <c r="S5696" s="3751"/>
      <c r="T5696" s="3751"/>
      <c r="U5696" s="3752"/>
      <c r="V5696" s="3291"/>
      <c r="W5696" s="3292"/>
      <c r="X5696" s="3292"/>
      <c r="Y5696" s="3293"/>
      <c r="Z5696" s="3889" t="s">
        <v>17</v>
      </c>
      <c r="AA5696" s="3890"/>
    </row>
    <row r="5697" spans="2:27" x14ac:dyDescent="0.2">
      <c r="B5697" s="3746"/>
      <c r="C5697" s="3753"/>
      <c r="D5697" s="3754"/>
      <c r="E5697" s="3754"/>
      <c r="F5697" s="3754"/>
      <c r="G5697" s="3754"/>
      <c r="H5697" s="3754"/>
      <c r="I5697" s="3754"/>
      <c r="J5697" s="3754"/>
      <c r="K5697" s="3754"/>
      <c r="L5697" s="3754"/>
      <c r="M5697" s="3754"/>
      <c r="N5697" s="3754"/>
      <c r="O5697" s="3754"/>
      <c r="P5697" s="3754"/>
      <c r="Q5697" s="3754"/>
      <c r="R5697" s="3754"/>
      <c r="S5697" s="3754"/>
      <c r="T5697" s="3754"/>
      <c r="U5697" s="3755"/>
      <c r="V5697" s="3291"/>
      <c r="W5697" s="3292"/>
      <c r="X5697" s="3292"/>
      <c r="Y5697" s="3293"/>
      <c r="Z5697" s="3291"/>
      <c r="AA5697" s="3293"/>
    </row>
    <row r="5698" spans="2:27" x14ac:dyDescent="0.2">
      <c r="B5698" s="3700" t="s">
        <v>18</v>
      </c>
      <c r="C5698" s="3702" t="s">
        <v>2836</v>
      </c>
      <c r="D5698" s="3703"/>
      <c r="E5698" s="3703"/>
      <c r="F5698" s="3703"/>
      <c r="G5698" s="3703"/>
      <c r="H5698" s="3703"/>
      <c r="I5698" s="3703"/>
      <c r="J5698" s="3703"/>
      <c r="K5698" s="3703"/>
      <c r="L5698" s="3703"/>
      <c r="M5698" s="3703"/>
      <c r="N5698" s="3703"/>
      <c r="O5698" s="3703"/>
      <c r="P5698" s="3703"/>
      <c r="Q5698" s="3703"/>
      <c r="R5698" s="3703"/>
      <c r="S5698" s="3703"/>
      <c r="T5698" s="3703"/>
      <c r="U5698" s="3704"/>
      <c r="V5698" s="3291" t="s">
        <v>15</v>
      </c>
      <c r="W5698" s="3292"/>
      <c r="X5698" s="3292"/>
      <c r="Y5698" s="3293"/>
      <c r="Z5698" s="3277" t="s">
        <v>16</v>
      </c>
      <c r="AA5698" s="3279"/>
    </row>
    <row r="5699" spans="2:27" x14ac:dyDescent="0.2">
      <c r="B5699" s="3701"/>
      <c r="C5699" s="3289"/>
      <c r="D5699" s="3705"/>
      <c r="E5699" s="3705"/>
      <c r="F5699" s="3705"/>
      <c r="G5699" s="3705"/>
      <c r="H5699" s="3705"/>
      <c r="I5699" s="3705"/>
      <c r="J5699" s="3705"/>
      <c r="K5699" s="3705"/>
      <c r="L5699" s="3705"/>
      <c r="M5699" s="3705"/>
      <c r="N5699" s="3705"/>
      <c r="O5699" s="3705"/>
      <c r="P5699" s="3705"/>
      <c r="Q5699" s="3705"/>
      <c r="R5699" s="3705"/>
      <c r="S5699" s="3705"/>
      <c r="T5699" s="3705"/>
      <c r="U5699" s="3290"/>
      <c r="V5699" s="2941"/>
      <c r="W5699" s="2941"/>
      <c r="X5699" s="2941"/>
      <c r="Y5699" s="2941"/>
      <c r="Z5699" s="3856"/>
      <c r="AA5699" s="3372"/>
    </row>
    <row r="5700" spans="2:27" x14ac:dyDescent="0.2">
      <c r="B5700" s="3909" t="s">
        <v>2634</v>
      </c>
      <c r="C5700" s="3791" t="s">
        <v>2635</v>
      </c>
      <c r="D5700" s="1038"/>
      <c r="E5700" s="3791" t="s">
        <v>23</v>
      </c>
      <c r="F5700" s="3791" t="s">
        <v>164</v>
      </c>
      <c r="G5700" s="3791" t="s">
        <v>25</v>
      </c>
      <c r="H5700" s="3791" t="s">
        <v>26</v>
      </c>
      <c r="I5700" s="3791" t="s">
        <v>27</v>
      </c>
      <c r="J5700" s="3791" t="s">
        <v>28</v>
      </c>
      <c r="K5700" s="3791"/>
      <c r="L5700" s="3791" t="s">
        <v>29</v>
      </c>
      <c r="M5700" s="3814" t="s">
        <v>1487</v>
      </c>
      <c r="N5700" s="3815"/>
      <c r="O5700" s="650" t="s">
        <v>31</v>
      </c>
      <c r="P5700" s="651"/>
      <c r="Q5700" s="651"/>
      <c r="R5700" s="651"/>
      <c r="S5700" s="651"/>
      <c r="T5700" s="651"/>
      <c r="U5700" s="651"/>
      <c r="V5700" s="651"/>
      <c r="W5700" s="651"/>
      <c r="X5700" s="651"/>
      <c r="Y5700" s="651"/>
      <c r="Z5700" s="652"/>
      <c r="AA5700" s="3818" t="s">
        <v>32</v>
      </c>
    </row>
    <row r="5701" spans="2:27" x14ac:dyDescent="0.2">
      <c r="B5701" s="3910"/>
      <c r="C5701" s="3791"/>
      <c r="D5701" s="1038"/>
      <c r="E5701" s="3791"/>
      <c r="F5701" s="3791"/>
      <c r="G5701" s="3791"/>
      <c r="H5701" s="3791"/>
      <c r="I5701" s="3791"/>
      <c r="J5701" s="1038" t="s">
        <v>33</v>
      </c>
      <c r="K5701" s="1038" t="s">
        <v>34</v>
      </c>
      <c r="L5701" s="3791"/>
      <c r="M5701" s="3816"/>
      <c r="N5701" s="3817"/>
      <c r="O5701" s="1039" t="s">
        <v>35</v>
      </c>
      <c r="P5701" s="1039" t="s">
        <v>36</v>
      </c>
      <c r="Q5701" s="1039" t="s">
        <v>37</v>
      </c>
      <c r="R5701" s="1039" t="s">
        <v>38</v>
      </c>
      <c r="S5701" s="1039" t="s">
        <v>39</v>
      </c>
      <c r="T5701" s="1039" t="s">
        <v>40</v>
      </c>
      <c r="U5701" s="1039" t="s">
        <v>41</v>
      </c>
      <c r="V5701" s="1039" t="s">
        <v>42</v>
      </c>
      <c r="W5701" s="1039" t="s">
        <v>2636</v>
      </c>
      <c r="X5701" s="1039" t="s">
        <v>44</v>
      </c>
      <c r="Y5701" s="1039" t="s">
        <v>45</v>
      </c>
      <c r="Z5701" s="1039" t="s">
        <v>46</v>
      </c>
      <c r="AA5701" s="3818"/>
    </row>
    <row r="5702" spans="2:27" x14ac:dyDescent="0.2">
      <c r="B5702" s="2945">
        <v>3999999</v>
      </c>
      <c r="C5702" s="3199" t="s">
        <v>2909</v>
      </c>
      <c r="D5702" s="1032"/>
      <c r="E5702" s="3199" t="s">
        <v>2672</v>
      </c>
      <c r="F5702" s="3199" t="s">
        <v>2674</v>
      </c>
      <c r="G5702" s="3199" t="s">
        <v>2910</v>
      </c>
      <c r="H5702" s="2431" t="s">
        <v>2911</v>
      </c>
      <c r="I5702" s="3199" t="s">
        <v>2912</v>
      </c>
      <c r="J5702" s="3199">
        <v>1</v>
      </c>
      <c r="K5702" s="3500">
        <v>7812104</v>
      </c>
      <c r="L5702" s="2431"/>
      <c r="M5702" s="3633" t="s">
        <v>1344</v>
      </c>
      <c r="N5702" s="3633"/>
      <c r="O5702" s="1068"/>
      <c r="P5702" s="1068"/>
      <c r="Q5702" s="1068">
        <v>1</v>
      </c>
      <c r="R5702" s="1068"/>
      <c r="S5702" s="1068"/>
      <c r="T5702" s="1068"/>
      <c r="U5702" s="1068"/>
      <c r="V5702" s="1068"/>
      <c r="W5702" s="1068"/>
      <c r="X5702" s="1068"/>
      <c r="Y5702" s="1068"/>
      <c r="Z5702" s="1068"/>
      <c r="AA5702" s="1068"/>
    </row>
    <row r="5703" spans="2:27" x14ac:dyDescent="0.2">
      <c r="B5703" s="2946"/>
      <c r="C5703" s="3200"/>
      <c r="D5703" s="1036"/>
      <c r="E5703" s="3200"/>
      <c r="F5703" s="3200"/>
      <c r="G5703" s="3200"/>
      <c r="H5703" s="2432"/>
      <c r="I5703" s="3200"/>
      <c r="J5703" s="3200"/>
      <c r="K5703" s="3501"/>
      <c r="L5703" s="2432"/>
      <c r="M5703" s="3633" t="s">
        <v>1340</v>
      </c>
      <c r="N5703" s="3633"/>
      <c r="O5703" s="154">
        <f t="shared" ref="O5703:Z5703" si="924">SUM(O5704:O5729)</f>
        <v>961842.08333333349</v>
      </c>
      <c r="P5703" s="154">
        <f t="shared" si="924"/>
        <v>808646.08333333349</v>
      </c>
      <c r="Q5703" s="154">
        <f t="shared" si="924"/>
        <v>808646.08333333349</v>
      </c>
      <c r="R5703" s="154">
        <f t="shared" si="924"/>
        <v>808646.08333333349</v>
      </c>
      <c r="S5703" s="154">
        <f t="shared" si="924"/>
        <v>808646.08333333349</v>
      </c>
      <c r="T5703" s="154">
        <f t="shared" si="924"/>
        <v>808646.08333333349</v>
      </c>
      <c r="U5703" s="154">
        <f t="shared" si="924"/>
        <v>956248.08333333349</v>
      </c>
      <c r="V5703" s="154">
        <f t="shared" si="924"/>
        <v>808646.08333333349</v>
      </c>
      <c r="W5703" s="154">
        <f t="shared" si="924"/>
        <v>808646.08333333349</v>
      </c>
      <c r="X5703" s="154">
        <f t="shared" si="924"/>
        <v>808646.08333333349</v>
      </c>
      <c r="Y5703" s="154">
        <f t="shared" si="924"/>
        <v>808646.08333333349</v>
      </c>
      <c r="Z5703" s="154">
        <f t="shared" si="924"/>
        <v>956248.08333333349</v>
      </c>
      <c r="AA5703" s="154">
        <f>SUM(O5703:Z5703)</f>
        <v>10152153.000000006</v>
      </c>
    </row>
    <row r="5704" spans="2:27" ht="45" x14ac:dyDescent="0.2">
      <c r="B5704" s="2946"/>
      <c r="C5704" s="3200"/>
      <c r="D5704" s="1036"/>
      <c r="E5704" s="3200"/>
      <c r="F5704" s="3200"/>
      <c r="G5704" s="3200"/>
      <c r="H5704" s="3200"/>
      <c r="I5704" s="3200"/>
      <c r="J5704" s="3200"/>
      <c r="K5704" s="3501"/>
      <c r="L5704" s="2432"/>
      <c r="M5704" s="1080" t="s">
        <v>2861</v>
      </c>
      <c r="N5704" s="1096" t="s">
        <v>1315</v>
      </c>
      <c r="O5704" s="37">
        <v>33551.833333333336</v>
      </c>
      <c r="P5704" s="37">
        <v>33551.833333333336</v>
      </c>
      <c r="Q5704" s="37">
        <v>33551.833333333336</v>
      </c>
      <c r="R5704" s="37">
        <v>33551.833333333336</v>
      </c>
      <c r="S5704" s="37">
        <v>33551.833333333336</v>
      </c>
      <c r="T5704" s="37">
        <v>33551.833333333336</v>
      </c>
      <c r="U5704" s="37">
        <v>33551.833333333336</v>
      </c>
      <c r="V5704" s="37">
        <v>33551.833333333336</v>
      </c>
      <c r="W5704" s="37">
        <v>33551.833333333336</v>
      </c>
      <c r="X5704" s="37">
        <v>33551.833333333336</v>
      </c>
      <c r="Y5704" s="37">
        <v>33551.833333333336</v>
      </c>
      <c r="Z5704" s="37">
        <v>33551.833333333336</v>
      </c>
      <c r="AA5704" s="1129">
        <f>SUM(O5704:Z5704)</f>
        <v>402621.99999999994</v>
      </c>
    </row>
    <row r="5705" spans="2:27" ht="45" x14ac:dyDescent="0.2">
      <c r="B5705" s="2946"/>
      <c r="C5705" s="3200"/>
      <c r="D5705" s="1036"/>
      <c r="E5705" s="3200"/>
      <c r="F5705" s="3200"/>
      <c r="G5705" s="3200"/>
      <c r="H5705" s="3200"/>
      <c r="I5705" s="3200"/>
      <c r="J5705" s="3200"/>
      <c r="K5705" s="3501"/>
      <c r="L5705" s="2432"/>
      <c r="M5705" s="1080" t="s">
        <v>2863</v>
      </c>
      <c r="N5705" s="1096" t="s">
        <v>1317</v>
      </c>
      <c r="O5705" s="37">
        <v>10344.5</v>
      </c>
      <c r="P5705" s="37">
        <v>10344.5</v>
      </c>
      <c r="Q5705" s="37">
        <v>10344.5</v>
      </c>
      <c r="R5705" s="37">
        <v>10344.5</v>
      </c>
      <c r="S5705" s="37">
        <v>10344.5</v>
      </c>
      <c r="T5705" s="37">
        <v>10344.5</v>
      </c>
      <c r="U5705" s="37">
        <v>10344.5</v>
      </c>
      <c r="V5705" s="37">
        <v>10344.5</v>
      </c>
      <c r="W5705" s="37">
        <v>10344.5</v>
      </c>
      <c r="X5705" s="37">
        <v>10344.5</v>
      </c>
      <c r="Y5705" s="37">
        <v>10344.5</v>
      </c>
      <c r="Z5705" s="37">
        <v>10344.5</v>
      </c>
      <c r="AA5705" s="1129">
        <f t="shared" ref="AA5705:AA5729" si="925">SUM(O5705:Z5705)</f>
        <v>124134</v>
      </c>
    </row>
    <row r="5706" spans="2:27" ht="33.75" x14ac:dyDescent="0.2">
      <c r="B5706" s="2946"/>
      <c r="C5706" s="3200"/>
      <c r="D5706" s="1036"/>
      <c r="E5706" s="3200"/>
      <c r="F5706" s="3200"/>
      <c r="G5706" s="3200"/>
      <c r="H5706" s="3200"/>
      <c r="I5706" s="3200"/>
      <c r="J5706" s="3200"/>
      <c r="K5706" s="3501"/>
      <c r="L5706" s="2432"/>
      <c r="M5706" s="1080" t="s">
        <v>2865</v>
      </c>
      <c r="N5706" s="1096" t="s">
        <v>1319</v>
      </c>
      <c r="O5706" s="37">
        <v>22128</v>
      </c>
      <c r="P5706" s="37">
        <v>22128</v>
      </c>
      <c r="Q5706" s="37">
        <v>22128</v>
      </c>
      <c r="R5706" s="37">
        <v>22128</v>
      </c>
      <c r="S5706" s="37">
        <v>22128</v>
      </c>
      <c r="T5706" s="37">
        <v>22128</v>
      </c>
      <c r="U5706" s="37">
        <v>22128</v>
      </c>
      <c r="V5706" s="37">
        <v>22128</v>
      </c>
      <c r="W5706" s="37">
        <v>22128</v>
      </c>
      <c r="X5706" s="37">
        <v>22128</v>
      </c>
      <c r="Y5706" s="37">
        <v>22128</v>
      </c>
      <c r="Z5706" s="37">
        <v>22128</v>
      </c>
      <c r="AA5706" s="1129">
        <f t="shared" si="925"/>
        <v>265536</v>
      </c>
    </row>
    <row r="5707" spans="2:27" ht="22.5" x14ac:dyDescent="0.2">
      <c r="B5707" s="2946"/>
      <c r="C5707" s="3200"/>
      <c r="D5707" s="1036"/>
      <c r="E5707" s="3200"/>
      <c r="F5707" s="3200"/>
      <c r="G5707" s="3200"/>
      <c r="H5707" s="3200"/>
      <c r="I5707" s="3200"/>
      <c r="J5707" s="3200"/>
      <c r="K5707" s="3501"/>
      <c r="L5707" s="2432"/>
      <c r="M5707" s="1080" t="s">
        <v>2866</v>
      </c>
      <c r="N5707" s="1096" t="s">
        <v>1535</v>
      </c>
      <c r="O5707" s="37">
        <v>371599.58333333331</v>
      </c>
      <c r="P5707" s="37">
        <v>371599.58333333331</v>
      </c>
      <c r="Q5707" s="37">
        <v>371599.58333333331</v>
      </c>
      <c r="R5707" s="37">
        <v>371599.58333333331</v>
      </c>
      <c r="S5707" s="37">
        <v>371599.58333333331</v>
      </c>
      <c r="T5707" s="37">
        <v>371599.58333333331</v>
      </c>
      <c r="U5707" s="37">
        <v>371599.58333333331</v>
      </c>
      <c r="V5707" s="37">
        <v>371599.58333333331</v>
      </c>
      <c r="W5707" s="37">
        <v>371599.58333333331</v>
      </c>
      <c r="X5707" s="37">
        <v>371599.58333333331</v>
      </c>
      <c r="Y5707" s="37">
        <v>371599.58333333331</v>
      </c>
      <c r="Z5707" s="37">
        <v>371599.58333333331</v>
      </c>
      <c r="AA5707" s="1129">
        <f t="shared" si="925"/>
        <v>4459195.0000000009</v>
      </c>
    </row>
    <row r="5708" spans="2:27" ht="22.5" x14ac:dyDescent="0.2">
      <c r="B5708" s="2946"/>
      <c r="C5708" s="3200"/>
      <c r="D5708" s="1036"/>
      <c r="E5708" s="3200"/>
      <c r="F5708" s="3200"/>
      <c r="G5708" s="3200"/>
      <c r="H5708" s="3200"/>
      <c r="I5708" s="3200"/>
      <c r="J5708" s="3200"/>
      <c r="K5708" s="3501"/>
      <c r="L5708" s="2432"/>
      <c r="M5708" s="1080" t="s">
        <v>2913</v>
      </c>
      <c r="N5708" s="1096" t="s">
        <v>1641</v>
      </c>
      <c r="O5708" s="37">
        <v>142233.5</v>
      </c>
      <c r="P5708" s="37">
        <v>142233.5</v>
      </c>
      <c r="Q5708" s="37">
        <v>142233.5</v>
      </c>
      <c r="R5708" s="37">
        <v>142233.5</v>
      </c>
      <c r="S5708" s="37">
        <v>142233.5</v>
      </c>
      <c r="T5708" s="37">
        <v>142233.5</v>
      </c>
      <c r="U5708" s="37">
        <v>142233.5</v>
      </c>
      <c r="V5708" s="37">
        <v>142233.5</v>
      </c>
      <c r="W5708" s="37">
        <v>142233.5</v>
      </c>
      <c r="X5708" s="37">
        <v>142233.5</v>
      </c>
      <c r="Y5708" s="37">
        <v>142233.5</v>
      </c>
      <c r="Z5708" s="37">
        <v>142233.5</v>
      </c>
      <c r="AA5708" s="1129">
        <f t="shared" si="925"/>
        <v>1706802</v>
      </c>
    </row>
    <row r="5709" spans="2:27" x14ac:dyDescent="0.2">
      <c r="B5709" s="2946"/>
      <c r="C5709" s="3200"/>
      <c r="D5709" s="1036"/>
      <c r="E5709" s="3200"/>
      <c r="F5709" s="3200"/>
      <c r="G5709" s="3200"/>
      <c r="H5709" s="3200"/>
      <c r="I5709" s="3200"/>
      <c r="J5709" s="3200"/>
      <c r="K5709" s="3501"/>
      <c r="L5709" s="2432"/>
      <c r="M5709" s="1080" t="s">
        <v>2867</v>
      </c>
      <c r="N5709" s="1096" t="s">
        <v>1321</v>
      </c>
      <c r="O5709" s="37"/>
      <c r="P5709" s="37"/>
      <c r="Q5709" s="37"/>
      <c r="R5709" s="37"/>
      <c r="S5709" s="37"/>
      <c r="T5709" s="37"/>
      <c r="U5709" s="37">
        <v>115202</v>
      </c>
      <c r="V5709" s="37"/>
      <c r="W5709" s="37"/>
      <c r="X5709" s="37"/>
      <c r="Y5709" s="37"/>
      <c r="Z5709" s="37">
        <v>115202</v>
      </c>
      <c r="AA5709" s="1129">
        <f t="shared" si="925"/>
        <v>230404</v>
      </c>
    </row>
    <row r="5710" spans="2:27" ht="22.5" x14ac:dyDescent="0.2">
      <c r="B5710" s="2946"/>
      <c r="C5710" s="3200"/>
      <c r="D5710" s="1036"/>
      <c r="E5710" s="3200"/>
      <c r="F5710" s="3200"/>
      <c r="G5710" s="3200"/>
      <c r="H5710" s="3200"/>
      <c r="I5710" s="3200"/>
      <c r="J5710" s="3200"/>
      <c r="K5710" s="3501"/>
      <c r="L5710" s="2432"/>
      <c r="M5710" s="1080" t="s">
        <v>2868</v>
      </c>
      <c r="N5710" s="1096" t="s">
        <v>1323</v>
      </c>
      <c r="O5710" s="37">
        <v>115600</v>
      </c>
      <c r="P5710" s="37"/>
      <c r="Q5710" s="37"/>
      <c r="R5710" s="37"/>
      <c r="S5710" s="37"/>
      <c r="T5710" s="37"/>
      <c r="U5710" s="37"/>
      <c r="V5710" s="37"/>
      <c r="W5710" s="37"/>
      <c r="X5710" s="37"/>
      <c r="Y5710" s="37"/>
      <c r="Z5710" s="37"/>
      <c r="AA5710" s="1129">
        <f t="shared" si="925"/>
        <v>115600</v>
      </c>
    </row>
    <row r="5711" spans="2:27" ht="22.5" x14ac:dyDescent="0.2">
      <c r="B5711" s="2946"/>
      <c r="C5711" s="3200"/>
      <c r="D5711" s="1036"/>
      <c r="E5711" s="3200"/>
      <c r="F5711" s="3200"/>
      <c r="G5711" s="3200"/>
      <c r="H5711" s="3200"/>
      <c r="I5711" s="3200"/>
      <c r="J5711" s="3200"/>
      <c r="K5711" s="3501"/>
      <c r="L5711" s="2432"/>
      <c r="M5711" s="1080" t="s">
        <v>2869</v>
      </c>
      <c r="N5711" s="1096" t="s">
        <v>1329</v>
      </c>
      <c r="O5711" s="37">
        <v>36245.583333333336</v>
      </c>
      <c r="P5711" s="37">
        <v>36245.583333333336</v>
      </c>
      <c r="Q5711" s="37">
        <v>36245.583333333336</v>
      </c>
      <c r="R5711" s="37">
        <v>36245.583333333336</v>
      </c>
      <c r="S5711" s="37">
        <v>36245.583333333336</v>
      </c>
      <c r="T5711" s="37">
        <v>36245.583333333336</v>
      </c>
      <c r="U5711" s="37">
        <v>36245.583333333336</v>
      </c>
      <c r="V5711" s="37">
        <v>36245.583333333336</v>
      </c>
      <c r="W5711" s="37">
        <v>36245.583333333336</v>
      </c>
      <c r="X5711" s="37">
        <v>36245.583333333336</v>
      </c>
      <c r="Y5711" s="37">
        <v>36245.583333333336</v>
      </c>
      <c r="Z5711" s="37">
        <v>36245.583333333336</v>
      </c>
      <c r="AA5711" s="1129">
        <f t="shared" si="925"/>
        <v>434946.99999999994</v>
      </c>
    </row>
    <row r="5712" spans="2:27" ht="45" x14ac:dyDescent="0.2">
      <c r="B5712" s="2946"/>
      <c r="C5712" s="3200"/>
      <c r="D5712" s="1036"/>
      <c r="E5712" s="3200"/>
      <c r="F5712" s="3200"/>
      <c r="G5712" s="3200"/>
      <c r="H5712" s="3200"/>
      <c r="I5712" s="3200"/>
      <c r="J5712" s="3200"/>
      <c r="K5712" s="3501"/>
      <c r="L5712" s="2432"/>
      <c r="M5712" s="1080" t="s">
        <v>2874</v>
      </c>
      <c r="N5712" s="1096" t="s">
        <v>1236</v>
      </c>
      <c r="O5712" s="37">
        <v>2730.5</v>
      </c>
      <c r="P5712" s="37">
        <v>2730.5</v>
      </c>
      <c r="Q5712" s="37">
        <v>2730.5</v>
      </c>
      <c r="R5712" s="37">
        <v>2730.5</v>
      </c>
      <c r="S5712" s="37">
        <v>2730.5</v>
      </c>
      <c r="T5712" s="37">
        <v>2730.5</v>
      </c>
      <c r="U5712" s="37">
        <v>2730.5</v>
      </c>
      <c r="V5712" s="37">
        <v>2730.5</v>
      </c>
      <c r="W5712" s="37">
        <v>2730.5</v>
      </c>
      <c r="X5712" s="37">
        <v>2730.5</v>
      </c>
      <c r="Y5712" s="37">
        <v>2730.5</v>
      </c>
      <c r="Z5712" s="37">
        <v>2730.5</v>
      </c>
      <c r="AA5712" s="1129">
        <f t="shared" si="925"/>
        <v>32766</v>
      </c>
    </row>
    <row r="5713" spans="2:27" ht="33.75" x14ac:dyDescent="0.2">
      <c r="B5713" s="2946"/>
      <c r="C5713" s="3200"/>
      <c r="D5713" s="1036"/>
      <c r="E5713" s="3200"/>
      <c r="F5713" s="3200"/>
      <c r="G5713" s="3200"/>
      <c r="H5713" s="3200"/>
      <c r="I5713" s="3200"/>
      <c r="J5713" s="3200"/>
      <c r="K5713" s="3501"/>
      <c r="L5713" s="2432"/>
      <c r="M5713" s="1080" t="s">
        <v>2885</v>
      </c>
      <c r="N5713" s="1096" t="s">
        <v>1281</v>
      </c>
      <c r="O5713" s="37">
        <v>2105</v>
      </c>
      <c r="P5713" s="37">
        <v>2105</v>
      </c>
      <c r="Q5713" s="37">
        <v>2105</v>
      </c>
      <c r="R5713" s="37">
        <v>2105</v>
      </c>
      <c r="S5713" s="37">
        <v>2105</v>
      </c>
      <c r="T5713" s="37">
        <v>2105</v>
      </c>
      <c r="U5713" s="37">
        <v>2105</v>
      </c>
      <c r="V5713" s="37">
        <v>2105</v>
      </c>
      <c r="W5713" s="37">
        <v>2105</v>
      </c>
      <c r="X5713" s="37">
        <v>2105</v>
      </c>
      <c r="Y5713" s="37">
        <v>2105</v>
      </c>
      <c r="Z5713" s="37">
        <v>2105</v>
      </c>
      <c r="AA5713" s="1129">
        <f t="shared" si="925"/>
        <v>25260</v>
      </c>
    </row>
    <row r="5714" spans="2:27" ht="22.5" x14ac:dyDescent="0.2">
      <c r="B5714" s="2946"/>
      <c r="C5714" s="3200"/>
      <c r="D5714" s="1036"/>
      <c r="E5714" s="3200"/>
      <c r="F5714" s="3200"/>
      <c r="G5714" s="3200"/>
      <c r="H5714" s="3200"/>
      <c r="I5714" s="3200"/>
      <c r="J5714" s="3200"/>
      <c r="K5714" s="3501"/>
      <c r="L5714" s="2432"/>
      <c r="M5714" s="1080" t="s">
        <v>2886</v>
      </c>
      <c r="N5714" s="1096" t="s">
        <v>1283</v>
      </c>
      <c r="O5714" s="37">
        <v>1236.8333333333333</v>
      </c>
      <c r="P5714" s="37">
        <v>1236.8333333333333</v>
      </c>
      <c r="Q5714" s="37">
        <v>1236.8333333333333</v>
      </c>
      <c r="R5714" s="37">
        <v>1236.8333333333333</v>
      </c>
      <c r="S5714" s="37">
        <v>1236.8333333333333</v>
      </c>
      <c r="T5714" s="37">
        <v>1236.8333333333333</v>
      </c>
      <c r="U5714" s="37">
        <v>1236.8333333333333</v>
      </c>
      <c r="V5714" s="37">
        <v>1236.8333333333333</v>
      </c>
      <c r="W5714" s="37">
        <v>1236.8333333333333</v>
      </c>
      <c r="X5714" s="37">
        <v>1236.8333333333333</v>
      </c>
      <c r="Y5714" s="37">
        <v>1236.8333333333333</v>
      </c>
      <c r="Z5714" s="37">
        <v>1236.8333333333333</v>
      </c>
      <c r="AA5714" s="1129">
        <f t="shared" si="925"/>
        <v>14842.000000000002</v>
      </c>
    </row>
    <row r="5715" spans="2:27" x14ac:dyDescent="0.2">
      <c r="B5715" s="2947"/>
      <c r="C5715" s="3201"/>
      <c r="D5715" s="1033"/>
      <c r="E5715" s="3201"/>
      <c r="F5715" s="3201"/>
      <c r="G5715" s="3201"/>
      <c r="H5715" s="3201"/>
      <c r="I5715" s="3201"/>
      <c r="J5715" s="3201"/>
      <c r="K5715" s="3492"/>
      <c r="L5715" s="2437"/>
      <c r="M5715" s="1080"/>
      <c r="N5715" s="1096"/>
      <c r="O5715" s="37"/>
      <c r="P5715" s="37"/>
      <c r="Q5715" s="37"/>
      <c r="R5715" s="37"/>
      <c r="S5715" s="37"/>
      <c r="T5715" s="37"/>
      <c r="U5715" s="37"/>
      <c r="V5715" s="37"/>
      <c r="W5715" s="37"/>
      <c r="X5715" s="37"/>
      <c r="Y5715" s="37"/>
      <c r="Z5715" s="37"/>
      <c r="AA5715" s="653">
        <f>SUM(AA5704:AA5714)</f>
        <v>7812108.0000000009</v>
      </c>
    </row>
    <row r="5716" spans="2:27" ht="45" x14ac:dyDescent="0.2">
      <c r="B5716" s="2945" t="s">
        <v>2767</v>
      </c>
      <c r="C5716" s="3199" t="s">
        <v>2909</v>
      </c>
      <c r="D5716" s="1032"/>
      <c r="E5716" s="3199" t="s">
        <v>2672</v>
      </c>
      <c r="F5716" s="3199" t="s">
        <v>2674</v>
      </c>
      <c r="G5716" s="3199" t="s">
        <v>2910</v>
      </c>
      <c r="H5716" s="3760" t="s">
        <v>2914</v>
      </c>
      <c r="I5716" s="3199" t="s">
        <v>2915</v>
      </c>
      <c r="J5716" s="3199">
        <v>1</v>
      </c>
      <c r="K5716" s="3199">
        <v>872847</v>
      </c>
      <c r="L5716" s="3827"/>
      <c r="M5716" s="1080" t="s">
        <v>2861</v>
      </c>
      <c r="N5716" s="1096" t="s">
        <v>1315</v>
      </c>
      <c r="O5716" s="37">
        <v>3762.1666666666665</v>
      </c>
      <c r="P5716" s="37">
        <v>3762.1666666666665</v>
      </c>
      <c r="Q5716" s="37">
        <v>3762.1666666666665</v>
      </c>
      <c r="R5716" s="37">
        <v>3762.1666666666665</v>
      </c>
      <c r="S5716" s="37">
        <v>3762.1666666666665</v>
      </c>
      <c r="T5716" s="37">
        <v>3762.1666666666665</v>
      </c>
      <c r="U5716" s="37">
        <v>3762.1666666666665</v>
      </c>
      <c r="V5716" s="37">
        <v>3762.1666666666665</v>
      </c>
      <c r="W5716" s="37">
        <v>3762.1666666666665</v>
      </c>
      <c r="X5716" s="37">
        <v>3762.1666666666665</v>
      </c>
      <c r="Y5716" s="37">
        <v>3762.1666666666665</v>
      </c>
      <c r="Z5716" s="37">
        <v>3762.1666666666665</v>
      </c>
      <c r="AA5716" s="1129">
        <f t="shared" si="925"/>
        <v>45145.999999999993</v>
      </c>
    </row>
    <row r="5717" spans="2:27" ht="33.75" x14ac:dyDescent="0.2">
      <c r="B5717" s="2946"/>
      <c r="C5717" s="3200"/>
      <c r="D5717" s="1036"/>
      <c r="E5717" s="3200"/>
      <c r="F5717" s="3200"/>
      <c r="G5717" s="3200"/>
      <c r="H5717" s="3764"/>
      <c r="I5717" s="3200"/>
      <c r="J5717" s="3200"/>
      <c r="K5717" s="3200"/>
      <c r="L5717" s="3828"/>
      <c r="M5717" s="1080" t="s">
        <v>2865</v>
      </c>
      <c r="N5717" s="1096" t="s">
        <v>1319</v>
      </c>
      <c r="O5717" s="37">
        <v>2250</v>
      </c>
      <c r="P5717" s="37">
        <v>2250</v>
      </c>
      <c r="Q5717" s="37">
        <v>2250</v>
      </c>
      <c r="R5717" s="37">
        <v>2250</v>
      </c>
      <c r="S5717" s="37">
        <v>2250</v>
      </c>
      <c r="T5717" s="37">
        <v>2250</v>
      </c>
      <c r="U5717" s="37">
        <v>2250</v>
      </c>
      <c r="V5717" s="37">
        <v>2250</v>
      </c>
      <c r="W5717" s="37">
        <v>2250</v>
      </c>
      <c r="X5717" s="37">
        <v>2250</v>
      </c>
      <c r="Y5717" s="37">
        <v>2250</v>
      </c>
      <c r="Z5717" s="37">
        <v>2250</v>
      </c>
      <c r="AA5717" s="1129">
        <f t="shared" si="925"/>
        <v>27000</v>
      </c>
    </row>
    <row r="5718" spans="2:27" ht="22.5" x14ac:dyDescent="0.2">
      <c r="B5718" s="2946"/>
      <c r="C5718" s="3200"/>
      <c r="D5718" s="1036"/>
      <c r="E5718" s="3200"/>
      <c r="F5718" s="3200"/>
      <c r="G5718" s="3200"/>
      <c r="H5718" s="3764"/>
      <c r="I5718" s="3200"/>
      <c r="J5718" s="3200"/>
      <c r="K5718" s="3200"/>
      <c r="L5718" s="3828"/>
      <c r="M5718" s="1080" t="s">
        <v>2866</v>
      </c>
      <c r="N5718" s="1096" t="s">
        <v>1535</v>
      </c>
      <c r="O5718" s="37">
        <v>43007.083333333336</v>
      </c>
      <c r="P5718" s="37">
        <v>43007.083333333336</v>
      </c>
      <c r="Q5718" s="37">
        <v>43007.083333333336</v>
      </c>
      <c r="R5718" s="37">
        <v>43007.083333333336</v>
      </c>
      <c r="S5718" s="37">
        <v>43007.083333333336</v>
      </c>
      <c r="T5718" s="37">
        <v>43007.083333333336</v>
      </c>
      <c r="U5718" s="37">
        <v>43007.083333333336</v>
      </c>
      <c r="V5718" s="37">
        <v>43007.083333333336</v>
      </c>
      <c r="W5718" s="37">
        <v>43007.083333333336</v>
      </c>
      <c r="X5718" s="37">
        <v>43007.083333333336</v>
      </c>
      <c r="Y5718" s="37">
        <v>43007.083333333336</v>
      </c>
      <c r="Z5718" s="37">
        <v>43007.083333333336</v>
      </c>
      <c r="AA5718" s="1129">
        <f t="shared" si="925"/>
        <v>516084.99999999994</v>
      </c>
    </row>
    <row r="5719" spans="2:27" ht="22.5" x14ac:dyDescent="0.2">
      <c r="B5719" s="2946"/>
      <c r="C5719" s="3200"/>
      <c r="D5719" s="1036"/>
      <c r="E5719" s="3200"/>
      <c r="F5719" s="3200"/>
      <c r="G5719" s="3200"/>
      <c r="H5719" s="3764"/>
      <c r="I5719" s="3200"/>
      <c r="J5719" s="3200"/>
      <c r="K5719" s="3200"/>
      <c r="L5719" s="3828"/>
      <c r="M5719" s="1080" t="s">
        <v>2913</v>
      </c>
      <c r="N5719" s="1096" t="s">
        <v>1641</v>
      </c>
      <c r="O5719" s="37">
        <v>12859.833333333334</v>
      </c>
      <c r="P5719" s="37">
        <v>12859.833333333334</v>
      </c>
      <c r="Q5719" s="37">
        <v>12859.833333333334</v>
      </c>
      <c r="R5719" s="37">
        <v>12859.833333333334</v>
      </c>
      <c r="S5719" s="37">
        <v>12859.833333333334</v>
      </c>
      <c r="T5719" s="37">
        <v>12859.833333333334</v>
      </c>
      <c r="U5719" s="37">
        <v>12859.833333333334</v>
      </c>
      <c r="V5719" s="37">
        <v>12859.833333333334</v>
      </c>
      <c r="W5719" s="37">
        <v>12859.833333333334</v>
      </c>
      <c r="X5719" s="37">
        <v>12859.833333333334</v>
      </c>
      <c r="Y5719" s="37">
        <v>12859.833333333334</v>
      </c>
      <c r="Z5719" s="37">
        <v>12859.833333333334</v>
      </c>
      <c r="AA5719" s="1129">
        <f t="shared" si="925"/>
        <v>154318</v>
      </c>
    </row>
    <row r="5720" spans="2:27" x14ac:dyDescent="0.2">
      <c r="B5720" s="2946"/>
      <c r="C5720" s="3200"/>
      <c r="D5720" s="1036"/>
      <c r="E5720" s="3200"/>
      <c r="F5720" s="3200"/>
      <c r="G5720" s="3200"/>
      <c r="H5720" s="3764"/>
      <c r="I5720" s="3200"/>
      <c r="J5720" s="3200"/>
      <c r="K5720" s="3200"/>
      <c r="L5720" s="3828"/>
      <c r="M5720" s="1080" t="s">
        <v>2867</v>
      </c>
      <c r="N5720" s="1096" t="s">
        <v>1321</v>
      </c>
      <c r="O5720" s="37"/>
      <c r="P5720" s="37"/>
      <c r="Q5720" s="37"/>
      <c r="R5720" s="37"/>
      <c r="S5720" s="37"/>
      <c r="T5720" s="37"/>
      <c r="U5720" s="37">
        <v>10200</v>
      </c>
      <c r="V5720" s="37"/>
      <c r="W5720" s="37"/>
      <c r="X5720" s="37"/>
      <c r="Y5720" s="37"/>
      <c r="Z5720" s="37">
        <v>10200</v>
      </c>
      <c r="AA5720" s="1129">
        <f t="shared" si="925"/>
        <v>20400</v>
      </c>
    </row>
    <row r="5721" spans="2:27" ht="22.5" x14ac:dyDescent="0.2">
      <c r="B5721" s="2946"/>
      <c r="C5721" s="3200"/>
      <c r="D5721" s="1036"/>
      <c r="E5721" s="3200"/>
      <c r="F5721" s="3200"/>
      <c r="G5721" s="3200"/>
      <c r="H5721" s="3764"/>
      <c r="I5721" s="3200"/>
      <c r="J5721" s="3200"/>
      <c r="K5721" s="3200"/>
      <c r="L5721" s="3828"/>
      <c r="M5721" s="1080" t="s">
        <v>2868</v>
      </c>
      <c r="N5721" s="1096" t="s">
        <v>1323</v>
      </c>
      <c r="O5721" s="37">
        <f>833*12</f>
        <v>9996</v>
      </c>
      <c r="P5721" s="37"/>
      <c r="Q5721" s="37"/>
      <c r="R5721" s="37"/>
      <c r="S5721" s="37"/>
      <c r="T5721" s="37"/>
      <c r="U5721" s="37"/>
      <c r="V5721" s="37"/>
      <c r="W5721" s="37"/>
      <c r="X5721" s="37"/>
      <c r="Y5721" s="37"/>
      <c r="Z5721" s="37"/>
      <c r="AA5721" s="1129">
        <f t="shared" si="925"/>
        <v>9996</v>
      </c>
    </row>
    <row r="5722" spans="2:27" ht="22.5" x14ac:dyDescent="0.2">
      <c r="B5722" s="2946"/>
      <c r="C5722" s="3200"/>
      <c r="D5722" s="1036"/>
      <c r="E5722" s="3200"/>
      <c r="F5722" s="3200"/>
      <c r="G5722" s="3200"/>
      <c r="H5722" s="3764"/>
      <c r="I5722" s="3200"/>
      <c r="J5722" s="3200"/>
      <c r="K5722" s="3200"/>
      <c r="L5722" s="3828"/>
      <c r="M5722" s="1080" t="s">
        <v>2869</v>
      </c>
      <c r="N5722" s="1096" t="s">
        <v>1329</v>
      </c>
      <c r="O5722" s="37">
        <v>3935.5</v>
      </c>
      <c r="P5722" s="37">
        <v>3935.5</v>
      </c>
      <c r="Q5722" s="37">
        <v>3935.5</v>
      </c>
      <c r="R5722" s="37">
        <v>3935.5</v>
      </c>
      <c r="S5722" s="37">
        <v>3935.5</v>
      </c>
      <c r="T5722" s="37">
        <v>3935.5</v>
      </c>
      <c r="U5722" s="37">
        <v>3935.5</v>
      </c>
      <c r="V5722" s="37">
        <v>3935.5</v>
      </c>
      <c r="W5722" s="37">
        <v>3935.5</v>
      </c>
      <c r="X5722" s="37">
        <v>3935.5</v>
      </c>
      <c r="Y5722" s="37">
        <v>3935.5</v>
      </c>
      <c r="Z5722" s="37">
        <v>3935.5</v>
      </c>
      <c r="AA5722" s="1129">
        <f t="shared" si="925"/>
        <v>47226</v>
      </c>
    </row>
    <row r="5723" spans="2:27" ht="45" x14ac:dyDescent="0.2">
      <c r="B5723" s="2946"/>
      <c r="C5723" s="3200"/>
      <c r="D5723" s="1036"/>
      <c r="E5723" s="3200"/>
      <c r="F5723" s="3200"/>
      <c r="G5723" s="3200"/>
      <c r="H5723" s="3764"/>
      <c r="I5723" s="3200"/>
      <c r="J5723" s="3200"/>
      <c r="K5723" s="3200"/>
      <c r="L5723" s="3828"/>
      <c r="M5723" s="1080" t="s">
        <v>2874</v>
      </c>
      <c r="N5723" s="1096" t="s">
        <v>1236</v>
      </c>
      <c r="O5723" s="37">
        <v>2389.3333333333335</v>
      </c>
      <c r="P5723" s="37">
        <v>2389.3333333333335</v>
      </c>
      <c r="Q5723" s="37">
        <v>2389.3333333333335</v>
      </c>
      <c r="R5723" s="37">
        <v>2389.3333333333335</v>
      </c>
      <c r="S5723" s="37">
        <v>2389.3333333333335</v>
      </c>
      <c r="T5723" s="37">
        <v>2389.3333333333335</v>
      </c>
      <c r="U5723" s="37">
        <v>2389.3333333333335</v>
      </c>
      <c r="V5723" s="37">
        <v>2389.3333333333335</v>
      </c>
      <c r="W5723" s="37">
        <v>2389.3333333333335</v>
      </c>
      <c r="X5723" s="37">
        <v>2389.3333333333335</v>
      </c>
      <c r="Y5723" s="37">
        <v>2389.3333333333335</v>
      </c>
      <c r="Z5723" s="37">
        <v>2389.3333333333335</v>
      </c>
      <c r="AA5723" s="1129">
        <f t="shared" si="925"/>
        <v>28671.999999999996</v>
      </c>
    </row>
    <row r="5724" spans="2:27" ht="33.75" x14ac:dyDescent="0.2">
      <c r="B5724" s="2946"/>
      <c r="C5724" s="3200"/>
      <c r="D5724" s="1036"/>
      <c r="E5724" s="3200"/>
      <c r="F5724" s="3200"/>
      <c r="G5724" s="3200"/>
      <c r="H5724" s="3764"/>
      <c r="I5724" s="3200"/>
      <c r="J5724" s="3200"/>
      <c r="K5724" s="3200"/>
      <c r="L5724" s="3828"/>
      <c r="M5724" s="1080" t="s">
        <v>2885</v>
      </c>
      <c r="N5724" s="1096" t="s">
        <v>1281</v>
      </c>
      <c r="O5724" s="37">
        <v>1250</v>
      </c>
      <c r="P5724" s="37">
        <v>1250</v>
      </c>
      <c r="Q5724" s="37">
        <v>1250</v>
      </c>
      <c r="R5724" s="37">
        <v>1250</v>
      </c>
      <c r="S5724" s="37">
        <v>1250</v>
      </c>
      <c r="T5724" s="37">
        <v>1250</v>
      </c>
      <c r="U5724" s="37">
        <v>1250</v>
      </c>
      <c r="V5724" s="37">
        <v>1250</v>
      </c>
      <c r="W5724" s="37">
        <v>1250</v>
      </c>
      <c r="X5724" s="37">
        <v>1250</v>
      </c>
      <c r="Y5724" s="37">
        <v>1250</v>
      </c>
      <c r="Z5724" s="37">
        <v>1250</v>
      </c>
      <c r="AA5724" s="1129">
        <f t="shared" si="925"/>
        <v>15000</v>
      </c>
    </row>
    <row r="5725" spans="2:27" ht="22.5" x14ac:dyDescent="0.2">
      <c r="B5725" s="2947"/>
      <c r="C5725" s="3201"/>
      <c r="D5725" s="1033"/>
      <c r="E5725" s="3201"/>
      <c r="F5725" s="3201"/>
      <c r="G5725" s="3201"/>
      <c r="H5725" s="3761"/>
      <c r="I5725" s="3201"/>
      <c r="J5725" s="3201"/>
      <c r="K5725" s="3201"/>
      <c r="L5725" s="3829"/>
      <c r="M5725" s="1080" t="s">
        <v>2886</v>
      </c>
      <c r="N5725" s="1096" t="s">
        <v>2916</v>
      </c>
      <c r="O5725" s="37">
        <v>750</v>
      </c>
      <c r="P5725" s="37">
        <v>750</v>
      </c>
      <c r="Q5725" s="37">
        <v>750</v>
      </c>
      <c r="R5725" s="37">
        <v>750</v>
      </c>
      <c r="S5725" s="37">
        <v>750</v>
      </c>
      <c r="T5725" s="37">
        <v>750</v>
      </c>
      <c r="U5725" s="37">
        <v>750</v>
      </c>
      <c r="V5725" s="37">
        <v>750</v>
      </c>
      <c r="W5725" s="37">
        <v>750</v>
      </c>
      <c r="X5725" s="37">
        <v>750</v>
      </c>
      <c r="Y5725" s="37">
        <v>750</v>
      </c>
      <c r="Z5725" s="37">
        <v>750</v>
      </c>
      <c r="AA5725" s="1129">
        <f t="shared" si="925"/>
        <v>9000</v>
      </c>
    </row>
    <row r="5726" spans="2:27" x14ac:dyDescent="0.2">
      <c r="B5726" s="2945" t="s">
        <v>2767</v>
      </c>
      <c r="C5726" s="3199" t="s">
        <v>2909</v>
      </c>
      <c r="D5726" s="1032"/>
      <c r="E5726" s="3199" t="s">
        <v>2672</v>
      </c>
      <c r="F5726" s="3199" t="s">
        <v>2674</v>
      </c>
      <c r="G5726" s="3199">
        <v>106</v>
      </c>
      <c r="H5726" s="3600" t="s">
        <v>2917</v>
      </c>
      <c r="I5726" s="3199" t="s">
        <v>2690</v>
      </c>
      <c r="J5726" s="3199">
        <v>1</v>
      </c>
      <c r="K5726" s="3199">
        <v>10534</v>
      </c>
      <c r="L5726" s="3827"/>
      <c r="M5726" s="2945" t="s">
        <v>2866</v>
      </c>
      <c r="N5726" s="3190" t="s">
        <v>1535</v>
      </c>
      <c r="O5726" s="38"/>
      <c r="P5726" s="38"/>
      <c r="Q5726" s="38"/>
      <c r="R5726" s="38"/>
      <c r="S5726" s="38"/>
      <c r="T5726" s="38"/>
      <c r="U5726" s="38"/>
      <c r="V5726" s="38"/>
      <c r="W5726" s="38"/>
      <c r="X5726" s="38"/>
      <c r="Y5726" s="38"/>
      <c r="Z5726" s="38"/>
      <c r="AA5726" s="1044"/>
    </row>
    <row r="5727" spans="2:27" x14ac:dyDescent="0.2">
      <c r="B5727" s="2947"/>
      <c r="C5727" s="3201"/>
      <c r="D5727" s="1033"/>
      <c r="E5727" s="3201"/>
      <c r="F5727" s="3201"/>
      <c r="G5727" s="3201"/>
      <c r="H5727" s="3600"/>
      <c r="I5727" s="3201"/>
      <c r="J5727" s="3201"/>
      <c r="K5727" s="3201"/>
      <c r="L5727" s="3829"/>
      <c r="M5727" s="2947"/>
      <c r="N5727" s="2439"/>
      <c r="O5727" s="37">
        <v>877.83333333333337</v>
      </c>
      <c r="P5727" s="37">
        <v>877.83333333333337</v>
      </c>
      <c r="Q5727" s="37">
        <v>877.83333333333337</v>
      </c>
      <c r="R5727" s="37">
        <v>877.83333333333337</v>
      </c>
      <c r="S5727" s="37">
        <v>877.83333333333337</v>
      </c>
      <c r="T5727" s="37">
        <v>877.83333333333337</v>
      </c>
      <c r="U5727" s="37">
        <v>877.83333333333337</v>
      </c>
      <c r="V5727" s="37">
        <v>877.83333333333337</v>
      </c>
      <c r="W5727" s="37">
        <v>877.83333333333337</v>
      </c>
      <c r="X5727" s="37">
        <v>877.83333333333337</v>
      </c>
      <c r="Y5727" s="37">
        <v>877.83333333333337</v>
      </c>
      <c r="Z5727" s="37">
        <v>877.83333333333337</v>
      </c>
      <c r="AA5727" s="1129">
        <f t="shared" si="925"/>
        <v>10534</v>
      </c>
    </row>
    <row r="5728" spans="2:27" ht="22.5" x14ac:dyDescent="0.2">
      <c r="B5728" s="2945" t="s">
        <v>2767</v>
      </c>
      <c r="C5728" s="3199" t="s">
        <v>2909</v>
      </c>
      <c r="D5728" s="1032"/>
      <c r="E5728" s="3199">
        <v>24</v>
      </c>
      <c r="F5728" s="3199">
        <v>52</v>
      </c>
      <c r="G5728" s="3199">
        <v>116</v>
      </c>
      <c r="H5728" s="3600" t="s">
        <v>2918</v>
      </c>
      <c r="I5728" s="3199" t="s">
        <v>133</v>
      </c>
      <c r="J5728" s="3199">
        <v>12</v>
      </c>
      <c r="K5728" s="3199">
        <v>1456668</v>
      </c>
      <c r="L5728" s="3827"/>
      <c r="M5728" s="1080" t="s">
        <v>2919</v>
      </c>
      <c r="N5728" s="1096" t="s">
        <v>1673</v>
      </c>
      <c r="O5728" s="37">
        <v>115389</v>
      </c>
      <c r="P5728" s="37">
        <v>115389</v>
      </c>
      <c r="Q5728" s="37">
        <v>115389</v>
      </c>
      <c r="R5728" s="37">
        <v>115389</v>
      </c>
      <c r="S5728" s="37">
        <v>115389</v>
      </c>
      <c r="T5728" s="37">
        <v>115389</v>
      </c>
      <c r="U5728" s="37">
        <v>115389</v>
      </c>
      <c r="V5728" s="37">
        <v>115389</v>
      </c>
      <c r="W5728" s="37">
        <v>115389</v>
      </c>
      <c r="X5728" s="37">
        <v>115389</v>
      </c>
      <c r="Y5728" s="37">
        <v>115389</v>
      </c>
      <c r="Z5728" s="37">
        <v>115389</v>
      </c>
      <c r="AA5728" s="1129">
        <f t="shared" si="925"/>
        <v>1384668</v>
      </c>
    </row>
    <row r="5729" spans="1:28" ht="33.75" x14ac:dyDescent="0.2">
      <c r="B5729" s="2947"/>
      <c r="C5729" s="3201"/>
      <c r="D5729" s="1033"/>
      <c r="E5729" s="3201"/>
      <c r="F5729" s="3201"/>
      <c r="G5729" s="3201"/>
      <c r="H5729" s="3600"/>
      <c r="I5729" s="3201"/>
      <c r="J5729" s="3201"/>
      <c r="K5729" s="3201"/>
      <c r="L5729" s="3829"/>
      <c r="M5729" s="1080" t="s">
        <v>2920</v>
      </c>
      <c r="N5729" s="1096" t="s">
        <v>1674</v>
      </c>
      <c r="O5729" s="1463">
        <v>27600</v>
      </c>
      <c r="P5729" s="1463"/>
      <c r="Q5729" s="1463"/>
      <c r="R5729" s="1463"/>
      <c r="S5729" s="1463"/>
      <c r="T5729" s="1463"/>
      <c r="U5729" s="1463">
        <v>22200</v>
      </c>
      <c r="V5729" s="37"/>
      <c r="W5729" s="37"/>
      <c r="X5729" s="37"/>
      <c r="Y5729" s="37"/>
      <c r="Z5729" s="37">
        <v>22200</v>
      </c>
      <c r="AA5729" s="1129">
        <f t="shared" si="925"/>
        <v>72000</v>
      </c>
    </row>
    <row r="5730" spans="1:28" ht="15.75" x14ac:dyDescent="0.2">
      <c r="B5730" s="3047" t="s">
        <v>3421</v>
      </c>
      <c r="C5730" s="3047"/>
      <c r="D5730" s="3047"/>
      <c r="E5730" s="3047"/>
      <c r="F5730" s="3047"/>
      <c r="G5730" s="3047"/>
      <c r="H5730" s="3047"/>
      <c r="I5730" s="3047"/>
      <c r="J5730" s="3047"/>
      <c r="K5730" s="3047"/>
      <c r="L5730" s="3047"/>
      <c r="M5730" s="3047"/>
      <c r="N5730" s="3047"/>
      <c r="O5730" s="3047"/>
      <c r="P5730" s="3047"/>
      <c r="Q5730" s="3047"/>
      <c r="R5730" s="3047"/>
      <c r="S5730" s="3047"/>
      <c r="T5730" s="3047"/>
      <c r="U5730" s="3047"/>
      <c r="V5730" s="3047"/>
      <c r="W5730" s="3047"/>
      <c r="X5730" s="3047"/>
      <c r="Y5730" s="3047"/>
      <c r="Z5730" s="3047"/>
      <c r="AA5730" s="3047"/>
      <c r="AB5730" s="2289"/>
    </row>
    <row r="5731" spans="1:28" ht="12" customHeight="1" x14ac:dyDescent="0.2">
      <c r="A5731" s="2902" t="s">
        <v>251</v>
      </c>
      <c r="B5731" s="449" t="s">
        <v>1</v>
      </c>
      <c r="C5731" s="1727" t="s">
        <v>3408</v>
      </c>
      <c r="D5731" s="1744"/>
      <c r="E5731" s="1744"/>
      <c r="F5731" s="1744"/>
      <c r="G5731" s="1738"/>
      <c r="H5731" s="1738"/>
      <c r="I5731" s="1738"/>
      <c r="J5731" s="1738"/>
      <c r="K5731" s="1738"/>
      <c r="L5731" s="1738"/>
      <c r="M5731" s="1738"/>
      <c r="N5731" s="1738"/>
      <c r="O5731" s="1738"/>
      <c r="P5731" s="1738"/>
      <c r="Q5731" s="1738"/>
      <c r="R5731" s="1738"/>
      <c r="S5731" s="1738"/>
      <c r="T5731" s="1738"/>
      <c r="U5731" s="1738"/>
      <c r="V5731" s="1738"/>
      <c r="W5731" s="1738"/>
      <c r="X5731" s="1738"/>
      <c r="Y5731" s="1738"/>
      <c r="Z5731" s="1738"/>
      <c r="AA5731" s="1722"/>
      <c r="AB5731" s="35"/>
    </row>
    <row r="5732" spans="1:28" ht="24" customHeight="1" x14ac:dyDescent="0.2">
      <c r="A5732" s="2903"/>
      <c r="B5732" s="1352" t="s">
        <v>2</v>
      </c>
      <c r="C5732" s="2294" t="s">
        <v>3409</v>
      </c>
      <c r="D5732" s="2295"/>
      <c r="E5732" s="2295"/>
      <c r="F5732" s="2295"/>
      <c r="G5732" s="2295"/>
      <c r="H5732" s="2295"/>
      <c r="I5732" s="2295"/>
      <c r="J5732" s="1358"/>
      <c r="K5732" s="1358"/>
      <c r="L5732" s="1358"/>
      <c r="M5732" s="1358"/>
      <c r="N5732" s="1358"/>
      <c r="O5732" s="1358"/>
      <c r="P5732" s="1358"/>
      <c r="Q5732" s="1358"/>
      <c r="R5732" s="1358"/>
      <c r="S5732" s="1358"/>
      <c r="T5732" s="1358"/>
      <c r="U5732" s="1358"/>
      <c r="V5732" s="1358"/>
      <c r="W5732" s="1358"/>
      <c r="X5732" s="1358"/>
      <c r="Y5732" s="1358"/>
      <c r="Z5732" s="1358"/>
      <c r="AA5732" s="1359"/>
    </row>
    <row r="5733" spans="1:28" ht="21" customHeight="1" x14ac:dyDescent="0.2">
      <c r="A5733" s="2903"/>
      <c r="B5733" s="1352" t="s">
        <v>4</v>
      </c>
      <c r="C5733" s="2294" t="s">
        <v>3410</v>
      </c>
      <c r="D5733" s="2295"/>
      <c r="E5733" s="2295"/>
      <c r="F5733" s="2295"/>
      <c r="G5733" s="2295"/>
      <c r="H5733" s="2295"/>
      <c r="I5733" s="2295"/>
      <c r="J5733" s="2295"/>
      <c r="K5733" s="2295"/>
      <c r="L5733" s="2295"/>
      <c r="M5733" s="2295"/>
      <c r="N5733" s="2295"/>
      <c r="O5733" s="1358"/>
      <c r="P5733" s="1358"/>
      <c r="Q5733" s="1358"/>
      <c r="R5733" s="1358"/>
      <c r="S5733" s="1358"/>
      <c r="T5733" s="1358"/>
      <c r="U5733" s="1358"/>
      <c r="V5733" s="1358"/>
      <c r="W5733" s="1358"/>
      <c r="X5733" s="1358"/>
      <c r="Y5733" s="1358"/>
      <c r="Z5733" s="1358"/>
      <c r="AA5733" s="1359"/>
    </row>
    <row r="5734" spans="1:28" ht="24" customHeight="1" x14ac:dyDescent="0.2">
      <c r="A5734" s="2903"/>
      <c r="B5734" s="1352" t="s">
        <v>6</v>
      </c>
      <c r="C5734" s="2294" t="s">
        <v>3411</v>
      </c>
      <c r="D5734" s="2295"/>
      <c r="E5734" s="2295"/>
      <c r="F5734" s="2295"/>
      <c r="G5734" s="2295"/>
      <c r="H5734" s="2295"/>
      <c r="I5734" s="2295"/>
      <c r="J5734" s="2295"/>
      <c r="K5734" s="1358"/>
      <c r="L5734" s="1358"/>
      <c r="M5734" s="1358"/>
      <c r="N5734" s="1358"/>
      <c r="O5734" s="1358"/>
      <c r="P5734" s="1358"/>
      <c r="Q5734" s="1358"/>
      <c r="R5734" s="1358"/>
      <c r="S5734" s="1358"/>
      <c r="T5734" s="1358"/>
      <c r="U5734" s="1358"/>
      <c r="V5734" s="1358"/>
      <c r="W5734" s="1358"/>
      <c r="X5734" s="1358"/>
      <c r="Y5734" s="1358"/>
      <c r="Z5734" s="1358"/>
      <c r="AA5734" s="1359"/>
    </row>
    <row r="5735" spans="1:28" ht="25.5" customHeight="1" x14ac:dyDescent="0.2">
      <c r="A5735" s="2904"/>
      <c r="B5735" s="705" t="s">
        <v>8</v>
      </c>
      <c r="C5735" s="1365" t="s">
        <v>3412</v>
      </c>
      <c r="D5735" s="1366"/>
      <c r="E5735" s="1366"/>
      <c r="F5735" s="1366"/>
      <c r="G5735" s="1366"/>
      <c r="H5735" s="1366"/>
      <c r="I5735" s="363"/>
      <c r="J5735" s="363"/>
      <c r="K5735" s="363"/>
      <c r="L5735" s="363"/>
      <c r="M5735" s="363"/>
      <c r="N5735" s="363"/>
      <c r="O5735" s="363"/>
      <c r="P5735" s="363"/>
      <c r="Q5735" s="363"/>
      <c r="R5735" s="363"/>
      <c r="S5735" s="363"/>
      <c r="T5735" s="363"/>
      <c r="U5735" s="363"/>
      <c r="V5735" s="363"/>
      <c r="W5735" s="363"/>
      <c r="X5735" s="363"/>
      <c r="Y5735" s="363"/>
      <c r="Z5735" s="363"/>
      <c r="AA5735" s="366"/>
    </row>
    <row r="5736" spans="1:28" ht="12" customHeight="1" x14ac:dyDescent="0.2">
      <c r="A5736" s="2902" t="s">
        <v>256</v>
      </c>
      <c r="B5736" s="1352" t="s">
        <v>11</v>
      </c>
      <c r="C5736" s="1767" t="s">
        <v>3413</v>
      </c>
      <c r="D5736" s="1740"/>
      <c r="E5736" s="1741"/>
      <c r="F5736" s="1741"/>
      <c r="G5736" s="1741"/>
      <c r="H5736" s="1740"/>
      <c r="I5736" s="1741"/>
      <c r="J5736" s="1741"/>
      <c r="K5736" s="1741"/>
      <c r="L5736" s="1741"/>
      <c r="M5736" s="1741"/>
      <c r="N5736" s="1741"/>
      <c r="O5736" s="1741"/>
      <c r="P5736" s="1741"/>
      <c r="Q5736" s="1741"/>
      <c r="R5736" s="1741"/>
      <c r="S5736" s="1741"/>
      <c r="T5736" s="1741"/>
      <c r="U5736" s="1740"/>
      <c r="V5736" s="1740"/>
      <c r="W5736" s="1740"/>
      <c r="X5736" s="1740"/>
      <c r="Y5736" s="1740"/>
      <c r="Z5736" s="1740"/>
      <c r="AA5736" s="1742"/>
    </row>
    <row r="5737" spans="1:28" ht="11.25" customHeight="1" x14ac:dyDescent="0.2">
      <c r="A5737" s="2903"/>
      <c r="B5737" s="1602" t="s">
        <v>13</v>
      </c>
      <c r="C5737" s="1768">
        <v>9002</v>
      </c>
      <c r="D5737" s="1745" t="s">
        <v>3413</v>
      </c>
      <c r="E5737" s="1746"/>
      <c r="F5737" s="1746"/>
      <c r="G5737" s="1746"/>
      <c r="H5737" s="1746"/>
      <c r="I5737" s="1746"/>
      <c r="J5737" s="1746"/>
      <c r="K5737" s="1746"/>
      <c r="L5737" s="1746"/>
      <c r="M5737" s="1746"/>
      <c r="N5737" s="1746"/>
      <c r="O5737" s="1746"/>
      <c r="P5737" s="1746"/>
      <c r="Q5737" s="1746"/>
      <c r="R5737" s="1746"/>
      <c r="S5737" s="1746"/>
      <c r="T5737" s="1746"/>
      <c r="U5737" s="1746"/>
      <c r="V5737" s="1746"/>
      <c r="W5737" s="1746"/>
      <c r="X5737" s="1746"/>
      <c r="Y5737" s="1746"/>
      <c r="Z5737" s="1746"/>
      <c r="AA5737" s="1747"/>
    </row>
    <row r="5738" spans="1:28" ht="11.25" customHeight="1" x14ac:dyDescent="0.2">
      <c r="A5738" s="2903"/>
      <c r="B5738" s="1603"/>
      <c r="C5738" s="1769"/>
      <c r="D5738" s="1748"/>
      <c r="E5738" s="1749"/>
      <c r="F5738" s="1749"/>
      <c r="G5738" s="1749"/>
      <c r="H5738" s="1749"/>
      <c r="I5738" s="1749"/>
      <c r="J5738" s="1749"/>
      <c r="K5738" s="1749"/>
      <c r="L5738" s="1749"/>
      <c r="M5738" s="1749"/>
      <c r="N5738" s="1749"/>
      <c r="O5738" s="1749"/>
      <c r="P5738" s="1749"/>
      <c r="Q5738" s="1749"/>
      <c r="R5738" s="1749"/>
      <c r="S5738" s="1749"/>
      <c r="T5738" s="1749"/>
      <c r="U5738" s="1749"/>
      <c r="V5738" s="1749"/>
      <c r="W5738" s="1749"/>
      <c r="X5738" s="1749"/>
      <c r="Y5738" s="1749"/>
      <c r="Z5738" s="1749"/>
      <c r="AA5738" s="1750"/>
    </row>
    <row r="5739" spans="1:28" ht="11.25" customHeight="1" x14ac:dyDescent="0.2">
      <c r="A5739" s="2903"/>
      <c r="B5739" s="1602" t="s">
        <v>18</v>
      </c>
      <c r="C5739" s="1770">
        <v>2234235</v>
      </c>
      <c r="D5739" s="1745" t="s">
        <v>3414</v>
      </c>
      <c r="E5739" s="1746"/>
      <c r="F5739" s="1746"/>
      <c r="G5739" s="1746"/>
      <c r="H5739" s="1746"/>
      <c r="I5739" s="1746"/>
      <c r="J5739" s="1746"/>
      <c r="K5739" s="1746"/>
      <c r="L5739" s="1746"/>
      <c r="M5739" s="1746"/>
      <c r="N5739" s="1746"/>
      <c r="O5739" s="1746"/>
      <c r="P5739" s="1746"/>
      <c r="Q5739" s="1746"/>
      <c r="R5739" s="1746"/>
      <c r="S5739" s="1746"/>
      <c r="T5739" s="1746"/>
      <c r="U5739" s="1746"/>
      <c r="V5739" s="1746"/>
      <c r="W5739" s="1746"/>
      <c r="X5739" s="1746"/>
      <c r="Y5739" s="1746"/>
      <c r="Z5739" s="1746"/>
      <c r="AA5739" s="1747"/>
    </row>
    <row r="5740" spans="1:28" ht="11.25" customHeight="1" x14ac:dyDescent="0.2">
      <c r="A5740" s="2903"/>
      <c r="B5740" s="1603"/>
      <c r="C5740" s="1771"/>
      <c r="D5740" s="1748"/>
      <c r="E5740" s="1749"/>
      <c r="F5740" s="1749"/>
      <c r="G5740" s="1749"/>
      <c r="H5740" s="1749"/>
      <c r="I5740" s="1749"/>
      <c r="J5740" s="1749"/>
      <c r="K5740" s="1749"/>
      <c r="L5740" s="1749"/>
      <c r="M5740" s="1749"/>
      <c r="N5740" s="1749"/>
      <c r="O5740" s="1749"/>
      <c r="P5740" s="1749"/>
      <c r="Q5740" s="1749"/>
      <c r="R5740" s="1749"/>
      <c r="S5740" s="1749"/>
      <c r="T5740" s="1749"/>
      <c r="U5740" s="1749"/>
      <c r="V5740" s="1749"/>
      <c r="W5740" s="1749"/>
      <c r="X5740" s="1749"/>
      <c r="Y5740" s="1749"/>
      <c r="Z5740" s="1749"/>
      <c r="AA5740" s="1750"/>
    </row>
    <row r="5741" spans="1:28" ht="12" customHeight="1" x14ac:dyDescent="0.2">
      <c r="A5741" s="2903"/>
      <c r="B5741" s="1363" t="s">
        <v>20</v>
      </c>
      <c r="C5741" s="1772" t="s">
        <v>21</v>
      </c>
      <c r="D5741" s="1760" t="s">
        <v>22</v>
      </c>
      <c r="E5741" s="1760" t="s">
        <v>23</v>
      </c>
      <c r="F5741" s="1760" t="s">
        <v>24</v>
      </c>
      <c r="G5741" s="1760" t="s">
        <v>25</v>
      </c>
      <c r="H5741" s="1760" t="s">
        <v>26</v>
      </c>
      <c r="I5741" s="1760" t="s">
        <v>27</v>
      </c>
      <c r="J5741" s="1761" t="s">
        <v>28</v>
      </c>
      <c r="K5741" s="1762"/>
      <c r="L5741" s="1760" t="s">
        <v>29</v>
      </c>
      <c r="M5741" s="1751" t="s">
        <v>30</v>
      </c>
      <c r="N5741" s="1752"/>
      <c r="O5741" s="1753" t="s">
        <v>31</v>
      </c>
      <c r="P5741" s="1754"/>
      <c r="Q5741" s="1754"/>
      <c r="R5741" s="1754"/>
      <c r="S5741" s="1754"/>
      <c r="T5741" s="1754"/>
      <c r="U5741" s="1754"/>
      <c r="V5741" s="1754"/>
      <c r="W5741" s="1754"/>
      <c r="X5741" s="1754"/>
      <c r="Y5741" s="1754"/>
      <c r="Z5741" s="1755"/>
      <c r="AA5741" s="1763" t="s">
        <v>32</v>
      </c>
    </row>
    <row r="5742" spans="1:28" ht="12" x14ac:dyDescent="0.2">
      <c r="A5742" s="2903"/>
      <c r="B5742" s="1756"/>
      <c r="C5742" s="1773"/>
      <c r="D5742" s="1764"/>
      <c r="E5742" s="1764"/>
      <c r="F5742" s="1764"/>
      <c r="G5742" s="1764"/>
      <c r="H5742" s="1764"/>
      <c r="I5742" s="1764"/>
      <c r="J5742" s="1652" t="s">
        <v>33</v>
      </c>
      <c r="K5742" s="1652" t="s">
        <v>34</v>
      </c>
      <c r="L5742" s="1764"/>
      <c r="M5742" s="1757"/>
      <c r="N5742" s="1758"/>
      <c r="O5742" s="1653" t="s">
        <v>35</v>
      </c>
      <c r="P5742" s="1653" t="s">
        <v>36</v>
      </c>
      <c r="Q5742" s="1653" t="s">
        <v>37</v>
      </c>
      <c r="R5742" s="1653" t="s">
        <v>38</v>
      </c>
      <c r="S5742" s="1653" t="s">
        <v>39</v>
      </c>
      <c r="T5742" s="1653" t="s">
        <v>40</v>
      </c>
      <c r="U5742" s="1653" t="s">
        <v>41</v>
      </c>
      <c r="V5742" s="1653" t="s">
        <v>42</v>
      </c>
      <c r="W5742" s="1653" t="s">
        <v>43</v>
      </c>
      <c r="X5742" s="1653" t="s">
        <v>44</v>
      </c>
      <c r="Y5742" s="1653" t="s">
        <v>45</v>
      </c>
      <c r="Z5742" s="1653" t="s">
        <v>46</v>
      </c>
      <c r="AA5742" s="1765"/>
    </row>
    <row r="5743" spans="1:28" ht="12" customHeight="1" x14ac:dyDescent="0.2">
      <c r="A5743" s="2903"/>
      <c r="B5743" s="3155" t="s">
        <v>3415</v>
      </c>
      <c r="C5743" s="3181" t="s">
        <v>3416</v>
      </c>
      <c r="D5743" s="3178" t="s">
        <v>3417</v>
      </c>
      <c r="E5743" s="2382">
        <v>22</v>
      </c>
      <c r="F5743" s="3174">
        <v>47</v>
      </c>
      <c r="G5743" s="3174">
        <v>103</v>
      </c>
      <c r="H5743" s="3171" t="s">
        <v>3418</v>
      </c>
      <c r="I5743" s="3171" t="s">
        <v>121</v>
      </c>
      <c r="J5743" s="3168">
        <v>100</v>
      </c>
      <c r="K5743" s="3168">
        <v>328303</v>
      </c>
      <c r="L5743" s="3165" t="s">
        <v>3422</v>
      </c>
      <c r="M5743" s="1759" t="s">
        <v>51</v>
      </c>
      <c r="N5743" s="1766"/>
      <c r="O5743" s="763"/>
      <c r="P5743" s="763"/>
      <c r="Q5743" s="763"/>
      <c r="R5743" s="763"/>
      <c r="S5743" s="763">
        <v>20</v>
      </c>
      <c r="T5743" s="763">
        <v>40</v>
      </c>
      <c r="U5743" s="763">
        <v>40</v>
      </c>
      <c r="V5743" s="763"/>
      <c r="W5743" s="763"/>
      <c r="X5743" s="763"/>
      <c r="Y5743" s="763"/>
      <c r="Z5743" s="763"/>
      <c r="AA5743" s="767">
        <f>SUM(O5743:Z5743)</f>
        <v>100</v>
      </c>
    </row>
    <row r="5744" spans="1:28" ht="12" x14ac:dyDescent="0.2">
      <c r="A5744" s="2903"/>
      <c r="B5744" s="3156"/>
      <c r="C5744" s="3182"/>
      <c r="D5744" s="3179"/>
      <c r="E5744" s="3177"/>
      <c r="F5744" s="3175"/>
      <c r="G5744" s="3175"/>
      <c r="H5744" s="3172"/>
      <c r="I5744" s="3172"/>
      <c r="J5744" s="3169"/>
      <c r="K5744" s="3169"/>
      <c r="L5744" s="3166"/>
      <c r="M5744" s="1759" t="s">
        <v>111</v>
      </c>
      <c r="N5744" s="1766"/>
      <c r="O5744" s="1499">
        <f t="shared" ref="O5744:Z5744" si="926">SUM(O5745:O5745)</f>
        <v>0</v>
      </c>
      <c r="P5744" s="1499">
        <f t="shared" si="926"/>
        <v>0</v>
      </c>
      <c r="Q5744" s="1499">
        <f t="shared" si="926"/>
        <v>0</v>
      </c>
      <c r="R5744" s="1499">
        <f t="shared" si="926"/>
        <v>0</v>
      </c>
      <c r="S5744" s="1499">
        <f t="shared" si="926"/>
        <v>65660.600000000006</v>
      </c>
      <c r="T5744" s="1499">
        <f t="shared" si="926"/>
        <v>131321.20000000001</v>
      </c>
      <c r="U5744" s="1499">
        <f t="shared" si="926"/>
        <v>131321.20000000001</v>
      </c>
      <c r="V5744" s="1499">
        <f t="shared" si="926"/>
        <v>0</v>
      </c>
      <c r="W5744" s="1499">
        <f t="shared" si="926"/>
        <v>0</v>
      </c>
      <c r="X5744" s="1499">
        <f t="shared" si="926"/>
        <v>0</v>
      </c>
      <c r="Y5744" s="1499">
        <f t="shared" si="926"/>
        <v>0</v>
      </c>
      <c r="Z5744" s="1499">
        <f t="shared" si="926"/>
        <v>0</v>
      </c>
      <c r="AA5744" s="767">
        <f>SUM(O5744:Z5744)</f>
        <v>328303</v>
      </c>
    </row>
    <row r="5745" spans="1:28" ht="120.75" customHeight="1" x14ac:dyDescent="0.2">
      <c r="A5745" s="2904"/>
      <c r="B5745" s="3157"/>
      <c r="C5745" s="3183"/>
      <c r="D5745" s="3180"/>
      <c r="E5745" s="2383"/>
      <c r="F5745" s="3176"/>
      <c r="G5745" s="3176"/>
      <c r="H5745" s="3173"/>
      <c r="I5745" s="3173"/>
      <c r="J5745" s="3170"/>
      <c r="K5745" s="3170"/>
      <c r="L5745" s="3167"/>
      <c r="M5745" s="1743" t="s">
        <v>3419</v>
      </c>
      <c r="N5745" s="1497" t="s">
        <v>3420</v>
      </c>
      <c r="O5745" s="763">
        <v>0</v>
      </c>
      <c r="P5745" s="763">
        <v>0</v>
      </c>
      <c r="Q5745" s="763">
        <v>0</v>
      </c>
      <c r="R5745" s="763">
        <v>0</v>
      </c>
      <c r="S5745" s="763">
        <f>+K5743*0.2</f>
        <v>65660.600000000006</v>
      </c>
      <c r="T5745" s="763">
        <f>+K5743*0.4</f>
        <v>131321.20000000001</v>
      </c>
      <c r="U5745" s="763">
        <f>+T5745</f>
        <v>131321.20000000001</v>
      </c>
      <c r="V5745" s="763">
        <v>0</v>
      </c>
      <c r="W5745" s="763">
        <v>0</v>
      </c>
      <c r="X5745" s="763">
        <v>0</v>
      </c>
      <c r="Y5745" s="763">
        <v>0</v>
      </c>
      <c r="Z5745" s="763">
        <v>0</v>
      </c>
      <c r="AA5745" s="767">
        <f>SUM(O5745:Z5745)</f>
        <v>328303</v>
      </c>
    </row>
    <row r="5746" spans="1:28" ht="15.75" x14ac:dyDescent="0.25">
      <c r="A5746" s="3152" t="s">
        <v>3681</v>
      </c>
      <c r="B5746" s="3152"/>
      <c r="C5746" s="3152"/>
      <c r="D5746" s="3152"/>
      <c r="E5746" s="3152"/>
      <c r="F5746" s="3152"/>
      <c r="G5746" s="3152"/>
      <c r="H5746" s="3152"/>
      <c r="I5746" s="3152"/>
      <c r="J5746" s="3152"/>
      <c r="K5746" s="3152"/>
      <c r="L5746" s="3152"/>
      <c r="M5746" s="3152"/>
      <c r="N5746" s="3152"/>
      <c r="O5746" s="3152"/>
      <c r="P5746" s="3152"/>
      <c r="Q5746" s="3152"/>
      <c r="R5746" s="3152"/>
      <c r="S5746" s="3152"/>
      <c r="T5746" s="3152"/>
      <c r="U5746" s="3152"/>
      <c r="V5746" s="3152"/>
      <c r="W5746" s="3152"/>
      <c r="X5746" s="3152"/>
      <c r="Y5746" s="3152"/>
      <c r="Z5746" s="3152"/>
      <c r="AA5746" s="3152"/>
    </row>
    <row r="5747" spans="1:28" ht="12" x14ac:dyDescent="0.2">
      <c r="A5747" s="2291" t="s">
        <v>251</v>
      </c>
      <c r="B5747" s="449" t="s">
        <v>1</v>
      </c>
      <c r="C5747" s="3153" t="s">
        <v>252</v>
      </c>
      <c r="D5747" s="3153"/>
      <c r="E5747" s="3153"/>
      <c r="F5747" s="3153"/>
      <c r="G5747" s="1738"/>
      <c r="H5747" s="1738"/>
      <c r="I5747" s="1738"/>
      <c r="J5747" s="1738"/>
      <c r="K5747" s="1738"/>
      <c r="L5747" s="1738"/>
      <c r="M5747" s="1738"/>
      <c r="N5747" s="1738"/>
      <c r="O5747" s="1738"/>
      <c r="P5747" s="1738"/>
      <c r="Q5747" s="1738"/>
      <c r="R5747" s="1738"/>
      <c r="S5747" s="1738"/>
      <c r="T5747" s="1738"/>
      <c r="U5747" s="1738"/>
      <c r="V5747" s="1738"/>
      <c r="W5747" s="1738"/>
      <c r="X5747" s="1738"/>
      <c r="Y5747" s="1738"/>
      <c r="Z5747" s="1738"/>
      <c r="AA5747" s="1723"/>
    </row>
    <row r="5748" spans="1:28" ht="24" x14ac:dyDescent="0.2">
      <c r="A5748" s="2291"/>
      <c r="B5748" s="1352" t="s">
        <v>2</v>
      </c>
      <c r="C5748" s="2293" t="s">
        <v>3409</v>
      </c>
      <c r="D5748" s="2293"/>
      <c r="E5748" s="2293"/>
      <c r="F5748" s="2293"/>
      <c r="G5748" s="2293"/>
      <c r="H5748" s="2293"/>
      <c r="I5748" s="2293"/>
      <c r="J5748" s="2293"/>
      <c r="K5748" s="2293"/>
      <c r="L5748" s="2293"/>
      <c r="M5748" s="2293"/>
      <c r="N5748" s="2293"/>
      <c r="O5748" s="2293"/>
      <c r="P5748" s="2293"/>
      <c r="Q5748" s="2293"/>
      <c r="R5748" s="2293"/>
      <c r="S5748" s="2293"/>
      <c r="T5748" s="2293"/>
      <c r="U5748" s="2293"/>
      <c r="V5748" s="2293"/>
      <c r="W5748" s="2293"/>
      <c r="X5748" s="2293"/>
      <c r="Y5748" s="2293"/>
      <c r="Z5748" s="2293"/>
      <c r="AA5748" s="2293"/>
    </row>
    <row r="5749" spans="1:28" ht="12" x14ac:dyDescent="0.2">
      <c r="A5749" s="2291"/>
      <c r="B5749" s="1352" t="s">
        <v>4</v>
      </c>
      <c r="C5749" s="2294" t="s">
        <v>3410</v>
      </c>
      <c r="D5749" s="2295"/>
      <c r="E5749" s="2295"/>
      <c r="F5749" s="2295"/>
      <c r="G5749" s="2295"/>
      <c r="H5749" s="2295"/>
      <c r="I5749" s="2295"/>
      <c r="J5749" s="2295"/>
      <c r="K5749" s="2295"/>
      <c r="L5749" s="2295"/>
      <c r="M5749" s="2295"/>
      <c r="N5749" s="2295"/>
      <c r="O5749" s="1358"/>
      <c r="P5749" s="1358"/>
      <c r="Q5749" s="1358"/>
      <c r="R5749" s="1358"/>
      <c r="S5749" s="1358"/>
      <c r="T5749" s="1358"/>
      <c r="U5749" s="1358"/>
      <c r="V5749" s="1358"/>
      <c r="W5749" s="1358"/>
      <c r="X5749" s="1358"/>
      <c r="Y5749" s="1358"/>
      <c r="Z5749" s="1358"/>
      <c r="AA5749" s="1359"/>
    </row>
    <row r="5750" spans="1:28" ht="24" x14ac:dyDescent="0.2">
      <c r="A5750" s="2291"/>
      <c r="B5750" s="1352" t="s">
        <v>6</v>
      </c>
      <c r="C5750" s="3154" t="s">
        <v>3470</v>
      </c>
      <c r="D5750" s="3154"/>
      <c r="E5750" s="3154"/>
      <c r="F5750" s="3154"/>
      <c r="G5750" s="3154"/>
      <c r="H5750" s="3154"/>
      <c r="I5750" s="3154"/>
      <c r="J5750" s="3154"/>
      <c r="K5750" s="3154"/>
      <c r="L5750" s="3154"/>
      <c r="M5750" s="3154"/>
      <c r="N5750" s="3154"/>
      <c r="O5750" s="3154"/>
      <c r="P5750" s="3154"/>
      <c r="Q5750" s="3154"/>
      <c r="R5750" s="3154"/>
      <c r="S5750" s="3154"/>
      <c r="T5750" s="3154"/>
      <c r="U5750" s="3154"/>
      <c r="V5750" s="3154"/>
      <c r="W5750" s="3154"/>
      <c r="X5750" s="3154"/>
      <c r="Y5750" s="3154"/>
      <c r="Z5750" s="3154"/>
      <c r="AA5750" s="3154"/>
      <c r="AB5750" s="1805"/>
    </row>
    <row r="5751" spans="1:28" ht="27" customHeight="1" x14ac:dyDescent="0.2">
      <c r="A5751" s="2291"/>
      <c r="B5751" s="705" t="s">
        <v>8</v>
      </c>
      <c r="C5751" s="2296" t="s">
        <v>3457</v>
      </c>
      <c r="D5751" s="2297"/>
      <c r="E5751" s="2297"/>
      <c r="F5751" s="2297"/>
      <c r="G5751" s="2297"/>
      <c r="H5751" s="2297"/>
      <c r="I5751" s="363"/>
      <c r="J5751" s="363"/>
      <c r="K5751" s="363"/>
      <c r="L5751" s="363"/>
      <c r="M5751" s="363"/>
      <c r="N5751" s="363"/>
      <c r="O5751" s="363"/>
      <c r="P5751" s="363"/>
      <c r="Q5751" s="363"/>
      <c r="R5751" s="363"/>
      <c r="S5751" s="363"/>
      <c r="T5751" s="363"/>
      <c r="U5751" s="363"/>
      <c r="V5751" s="363"/>
      <c r="W5751" s="363"/>
      <c r="X5751" s="363"/>
      <c r="Y5751" s="363"/>
      <c r="Z5751" s="363"/>
      <c r="AA5751" s="366"/>
    </row>
    <row r="5752" spans="1:28" ht="24" x14ac:dyDescent="0.2">
      <c r="A5752" s="2291" t="s">
        <v>256</v>
      </c>
      <c r="B5752" s="1352" t="s">
        <v>11</v>
      </c>
      <c r="C5752" s="1788" t="s">
        <v>84</v>
      </c>
      <c r="D5752" s="202"/>
      <c r="E5752" s="1739"/>
      <c r="F5752" s="1739"/>
      <c r="G5752" s="1739"/>
      <c r="H5752" s="202"/>
      <c r="I5752" s="1739"/>
      <c r="J5752" s="1739"/>
      <c r="K5752" s="1739"/>
      <c r="L5752" s="1739"/>
      <c r="M5752" s="1739"/>
      <c r="N5752" s="1739"/>
      <c r="O5752" s="1739"/>
      <c r="P5752" s="1739"/>
      <c r="Q5752" s="1739"/>
      <c r="R5752" s="1739"/>
      <c r="S5752" s="1739"/>
      <c r="T5752" s="1739"/>
      <c r="U5752" s="202"/>
      <c r="V5752" s="202"/>
      <c r="W5752" s="202"/>
      <c r="X5752" s="202"/>
      <c r="Y5752" s="202"/>
      <c r="Z5752" s="202"/>
      <c r="AA5752" s="224"/>
    </row>
    <row r="5753" spans="1:28" ht="12" x14ac:dyDescent="0.2">
      <c r="A5753" s="2291"/>
      <c r="B5753" s="2298" t="s">
        <v>13</v>
      </c>
      <c r="C5753" s="2329" t="s">
        <v>3471</v>
      </c>
      <c r="D5753" s="2299" t="s">
        <v>3472</v>
      </c>
      <c r="E5753" s="2300"/>
      <c r="F5753" s="2300"/>
      <c r="G5753" s="2300"/>
      <c r="H5753" s="2300"/>
      <c r="I5753" s="2300"/>
      <c r="J5753" s="2300"/>
      <c r="K5753" s="2300"/>
      <c r="L5753" s="2300"/>
      <c r="M5753" s="2300"/>
      <c r="N5753" s="2300"/>
      <c r="O5753" s="2300"/>
      <c r="P5753" s="2300"/>
      <c r="Q5753" s="2300"/>
      <c r="R5753" s="2300"/>
      <c r="S5753" s="2300"/>
      <c r="T5753" s="2300"/>
      <c r="U5753" s="2301"/>
      <c r="V5753" s="2305" t="s">
        <v>15</v>
      </c>
      <c r="W5753" s="2305"/>
      <c r="X5753" s="2305"/>
      <c r="Y5753" s="2305"/>
      <c r="Z5753" s="2305" t="s">
        <v>16</v>
      </c>
      <c r="AA5753" s="2305"/>
    </row>
    <row r="5754" spans="1:28" ht="12" x14ac:dyDescent="0.2">
      <c r="A5754" s="2291"/>
      <c r="B5754" s="2298"/>
      <c r="C5754" s="2330"/>
      <c r="D5754" s="2302"/>
      <c r="E5754" s="2303"/>
      <c r="F5754" s="2303"/>
      <c r="G5754" s="2303"/>
      <c r="H5754" s="2303"/>
      <c r="I5754" s="2303"/>
      <c r="J5754" s="2303"/>
      <c r="K5754" s="2303"/>
      <c r="L5754" s="2303"/>
      <c r="M5754" s="2303"/>
      <c r="N5754" s="2303"/>
      <c r="O5754" s="2303"/>
      <c r="P5754" s="2303"/>
      <c r="Q5754" s="2303"/>
      <c r="R5754" s="2303"/>
      <c r="S5754" s="2303"/>
      <c r="T5754" s="2303"/>
      <c r="U5754" s="2304"/>
      <c r="V5754" s="2299"/>
      <c r="W5754" s="2300"/>
      <c r="X5754" s="2300"/>
      <c r="Y5754" s="2301"/>
      <c r="Z5754" s="2306"/>
      <c r="AA5754" s="2307"/>
    </row>
    <row r="5755" spans="1:28" ht="12" x14ac:dyDescent="0.2">
      <c r="A5755" s="2291"/>
      <c r="B5755" s="2298" t="s">
        <v>18</v>
      </c>
      <c r="C5755" s="2331">
        <v>2191135</v>
      </c>
      <c r="D5755" s="3158" t="s">
        <v>3473</v>
      </c>
      <c r="E5755" s="3159"/>
      <c r="F5755" s="3159"/>
      <c r="G5755" s="3159"/>
      <c r="H5755" s="3159"/>
      <c r="I5755" s="3159"/>
      <c r="J5755" s="3159"/>
      <c r="K5755" s="3159"/>
      <c r="L5755" s="3159"/>
      <c r="M5755" s="3159"/>
      <c r="N5755" s="3159"/>
      <c r="O5755" s="3159"/>
      <c r="P5755" s="3159"/>
      <c r="Q5755" s="3159"/>
      <c r="R5755" s="3159"/>
      <c r="S5755" s="3159"/>
      <c r="T5755" s="3159"/>
      <c r="U5755" s="3160"/>
      <c r="V5755" s="2314" t="s">
        <v>15</v>
      </c>
      <c r="W5755" s="2315"/>
      <c r="X5755" s="2315"/>
      <c r="Y5755" s="2316"/>
      <c r="Z5755" s="2305" t="s">
        <v>16</v>
      </c>
      <c r="AA5755" s="2305"/>
    </row>
    <row r="5756" spans="1:28" ht="12" x14ac:dyDescent="0.2">
      <c r="A5756" s="2291"/>
      <c r="B5756" s="2298"/>
      <c r="C5756" s="2332"/>
      <c r="D5756" s="3161"/>
      <c r="E5756" s="3162"/>
      <c r="F5756" s="3162"/>
      <c r="G5756" s="3162"/>
      <c r="H5756" s="3162"/>
      <c r="I5756" s="3162"/>
      <c r="J5756" s="3162"/>
      <c r="K5756" s="3162"/>
      <c r="L5756" s="3162"/>
      <c r="M5756" s="3162"/>
      <c r="N5756" s="3162"/>
      <c r="O5756" s="3162"/>
      <c r="P5756" s="3162"/>
      <c r="Q5756" s="3162"/>
      <c r="R5756" s="3162"/>
      <c r="S5756" s="3162"/>
      <c r="T5756" s="3162"/>
      <c r="U5756" s="3163"/>
      <c r="V5756" s="2317"/>
      <c r="W5756" s="2318"/>
      <c r="X5756" s="2318"/>
      <c r="Y5756" s="2319"/>
      <c r="Z5756" s="3164"/>
      <c r="AA5756" s="3164"/>
    </row>
    <row r="5757" spans="1:28" ht="12" x14ac:dyDescent="0.2">
      <c r="A5757" s="2291"/>
      <c r="B5757" s="2320" t="s">
        <v>20</v>
      </c>
      <c r="C5757" s="2324" t="s">
        <v>21</v>
      </c>
      <c r="D5757" s="2324" t="s">
        <v>22</v>
      </c>
      <c r="E5757" s="2324" t="s">
        <v>23</v>
      </c>
      <c r="F5757" s="2324" t="s">
        <v>24</v>
      </c>
      <c r="G5757" s="2324" t="s">
        <v>25</v>
      </c>
      <c r="H5757" s="2324" t="s">
        <v>26</v>
      </c>
      <c r="I5757" s="2324" t="s">
        <v>27</v>
      </c>
      <c r="J5757" s="2322" t="s">
        <v>28</v>
      </c>
      <c r="K5757" s="2323"/>
      <c r="L5757" s="2324" t="s">
        <v>29</v>
      </c>
      <c r="M5757" s="2322" t="s">
        <v>30</v>
      </c>
      <c r="N5757" s="2323"/>
      <c r="O5757" s="2343" t="s">
        <v>31</v>
      </c>
      <c r="P5757" s="2344"/>
      <c r="Q5757" s="2344"/>
      <c r="R5757" s="2344"/>
      <c r="S5757" s="2344"/>
      <c r="T5757" s="2344"/>
      <c r="U5757" s="2344"/>
      <c r="V5757" s="2344"/>
      <c r="W5757" s="2344"/>
      <c r="X5757" s="2344"/>
      <c r="Y5757" s="2344"/>
      <c r="Z5757" s="2345"/>
      <c r="AA5757" s="2346" t="s">
        <v>32</v>
      </c>
    </row>
    <row r="5758" spans="1:28" ht="12" x14ac:dyDescent="0.2">
      <c r="A5758" s="2291"/>
      <c r="B5758" s="2321"/>
      <c r="C5758" s="2324"/>
      <c r="D5758" s="2324"/>
      <c r="E5758" s="2324"/>
      <c r="F5758" s="2324"/>
      <c r="G5758" s="2324"/>
      <c r="H5758" s="2324"/>
      <c r="I5758" s="2324"/>
      <c r="J5758" s="1355" t="s">
        <v>33</v>
      </c>
      <c r="K5758" s="1355" t="s">
        <v>34</v>
      </c>
      <c r="L5758" s="2324"/>
      <c r="M5758" s="2325"/>
      <c r="N5758" s="2326"/>
      <c r="O5758" s="1354" t="s">
        <v>35</v>
      </c>
      <c r="P5758" s="1354" t="s">
        <v>36</v>
      </c>
      <c r="Q5758" s="1354" t="s">
        <v>37</v>
      </c>
      <c r="R5758" s="1354" t="s">
        <v>38</v>
      </c>
      <c r="S5758" s="1354" t="s">
        <v>39</v>
      </c>
      <c r="T5758" s="1354" t="s">
        <v>40</v>
      </c>
      <c r="U5758" s="1354" t="s">
        <v>41</v>
      </c>
      <c r="V5758" s="1354" t="s">
        <v>42</v>
      </c>
      <c r="W5758" s="1354" t="s">
        <v>43</v>
      </c>
      <c r="X5758" s="1354" t="s">
        <v>44</v>
      </c>
      <c r="Y5758" s="1354" t="s">
        <v>45</v>
      </c>
      <c r="Z5758" s="1354" t="s">
        <v>46</v>
      </c>
      <c r="AA5758" s="2346"/>
    </row>
    <row r="5759" spans="1:28" ht="19.5" customHeight="1" x14ac:dyDescent="0.2">
      <c r="A5759" s="2291"/>
      <c r="B5759" s="2327">
        <v>4000035</v>
      </c>
      <c r="C5759" s="2347" t="s">
        <v>3484</v>
      </c>
      <c r="D5759" s="3144" t="s">
        <v>3483</v>
      </c>
      <c r="E5759" s="3146" t="s">
        <v>2672</v>
      </c>
      <c r="F5759" s="3148" t="s">
        <v>2659</v>
      </c>
      <c r="G5759" s="3148" t="s">
        <v>3474</v>
      </c>
      <c r="H5759" s="2347" t="s">
        <v>3475</v>
      </c>
      <c r="I5759" s="2353" t="s">
        <v>3469</v>
      </c>
      <c r="J5759" s="3150">
        <v>1</v>
      </c>
      <c r="K5759" s="3150">
        <v>3500000</v>
      </c>
      <c r="L5759" s="2357" t="s">
        <v>3463</v>
      </c>
      <c r="M5759" s="2294" t="s">
        <v>51</v>
      </c>
      <c r="N5759" s="2295"/>
      <c r="O5759" s="1785">
        <v>6.3658218254524793E-2</v>
      </c>
      <c r="P5759" s="1785">
        <v>2.8467967802938175E-2</v>
      </c>
      <c r="Q5759" s="1785">
        <v>0.13236769770768458</v>
      </c>
      <c r="R5759" s="1785">
        <v>0.11962057874898804</v>
      </c>
      <c r="S5759" s="1785">
        <v>0.17942781305187638</v>
      </c>
      <c r="T5759" s="1785">
        <v>0.15514616135015435</v>
      </c>
      <c r="U5759" s="1785">
        <v>0.13629276579000477</v>
      </c>
      <c r="V5759" s="1785">
        <v>0.1850187972938292</v>
      </c>
      <c r="W5759" s="1785"/>
      <c r="X5759" s="1785"/>
      <c r="Y5759" s="1785"/>
      <c r="Z5759" s="1785"/>
      <c r="AA5759" s="1786">
        <f>SUM(O5759:Z5759)</f>
        <v>1.0000000000000004</v>
      </c>
    </row>
    <row r="5760" spans="1:28" ht="130.5" customHeight="1" x14ac:dyDescent="0.2">
      <c r="A5760" s="2291"/>
      <c r="B5760" s="2328"/>
      <c r="C5760" s="2348"/>
      <c r="D5760" s="3145"/>
      <c r="E5760" s="3147"/>
      <c r="F5760" s="3149"/>
      <c r="G5760" s="3149"/>
      <c r="H5760" s="2348"/>
      <c r="I5760" s="2354"/>
      <c r="J5760" s="3151"/>
      <c r="K5760" s="3151"/>
      <c r="L5760" s="2358"/>
      <c r="M5760" s="2294" t="s">
        <v>111</v>
      </c>
      <c r="N5760" s="2295"/>
      <c r="O5760" s="481">
        <f>+K5759*O5759</f>
        <v>222803.76389083677</v>
      </c>
      <c r="P5760" s="481">
        <f>+K5759*P5759</f>
        <v>99637.887310283608</v>
      </c>
      <c r="Q5760" s="481">
        <f>+K5759*Q5759</f>
        <v>463286.94197689602</v>
      </c>
      <c r="R5760" s="481">
        <f>+K5759*R5759</f>
        <v>418672.02562145813</v>
      </c>
      <c r="S5760" s="481">
        <f>+K5759*S5759</f>
        <v>627997.34568156733</v>
      </c>
      <c r="T5760" s="481">
        <f>+K5759*T5759</f>
        <v>543011.56472554023</v>
      </c>
      <c r="U5760" s="481">
        <f>+K5759*U5759</f>
        <v>477024.68026501668</v>
      </c>
      <c r="V5760" s="481">
        <f>+K5759*V5759</f>
        <v>647565.7905284022</v>
      </c>
      <c r="W5760" s="481"/>
      <c r="X5760" s="481"/>
      <c r="Y5760" s="481"/>
      <c r="Z5760" s="481"/>
      <c r="AA5760" s="229">
        <f>SUM(O5760:Z5760)</f>
        <v>3500000.0000000009</v>
      </c>
    </row>
    <row r="5761" spans="1:27" ht="24" x14ac:dyDescent="0.2">
      <c r="A5761" s="2291" t="s">
        <v>256</v>
      </c>
      <c r="B5761" s="1352" t="s">
        <v>11</v>
      </c>
      <c r="C5761" s="1730" t="s">
        <v>84</v>
      </c>
      <c r="D5761" s="202"/>
      <c r="E5761" s="1739"/>
      <c r="F5761" s="1739"/>
      <c r="G5761" s="1739"/>
      <c r="H5761" s="202"/>
      <c r="I5761" s="1739"/>
      <c r="J5761" s="1739"/>
      <c r="K5761" s="1739"/>
      <c r="L5761" s="1739"/>
      <c r="M5761" s="1739"/>
      <c r="N5761" s="1739"/>
      <c r="O5761" s="1739"/>
      <c r="P5761" s="1739"/>
      <c r="Q5761" s="1739"/>
      <c r="R5761" s="1739"/>
      <c r="S5761" s="1739"/>
      <c r="T5761" s="1739"/>
      <c r="U5761" s="202"/>
      <c r="V5761" s="202"/>
      <c r="W5761" s="202"/>
      <c r="X5761" s="202"/>
      <c r="Y5761" s="202"/>
      <c r="Z5761" s="202"/>
      <c r="AA5761" s="224"/>
    </row>
    <row r="5762" spans="1:27" ht="12" x14ac:dyDescent="0.2">
      <c r="A5762" s="2291"/>
      <c r="B5762" s="2298" t="s">
        <v>13</v>
      </c>
      <c r="C5762" s="2329" t="s">
        <v>3471</v>
      </c>
      <c r="D5762" s="2299" t="s">
        <v>3482</v>
      </c>
      <c r="E5762" s="2300"/>
      <c r="F5762" s="2300"/>
      <c r="G5762" s="2300"/>
      <c r="H5762" s="2300"/>
      <c r="I5762" s="2300"/>
      <c r="J5762" s="2300"/>
      <c r="K5762" s="2300"/>
      <c r="L5762" s="2300"/>
      <c r="M5762" s="2300"/>
      <c r="N5762" s="2300"/>
      <c r="O5762" s="2300"/>
      <c r="P5762" s="2300"/>
      <c r="Q5762" s="2300"/>
      <c r="R5762" s="2300"/>
      <c r="S5762" s="2300"/>
      <c r="T5762" s="2300"/>
      <c r="U5762" s="2301"/>
      <c r="V5762" s="2305" t="s">
        <v>15</v>
      </c>
      <c r="W5762" s="2305"/>
      <c r="X5762" s="2305"/>
      <c r="Y5762" s="2305"/>
      <c r="Z5762" s="2305" t="s">
        <v>16</v>
      </c>
      <c r="AA5762" s="2305"/>
    </row>
    <row r="5763" spans="1:27" ht="12" x14ac:dyDescent="0.2">
      <c r="A5763" s="2291"/>
      <c r="B5763" s="2298"/>
      <c r="C5763" s="2330"/>
      <c r="D5763" s="2302"/>
      <c r="E5763" s="2303"/>
      <c r="F5763" s="2303"/>
      <c r="G5763" s="2303"/>
      <c r="H5763" s="2303"/>
      <c r="I5763" s="2303"/>
      <c r="J5763" s="2303"/>
      <c r="K5763" s="2303"/>
      <c r="L5763" s="2303"/>
      <c r="M5763" s="2303"/>
      <c r="N5763" s="2303"/>
      <c r="O5763" s="2303"/>
      <c r="P5763" s="2303"/>
      <c r="Q5763" s="2303"/>
      <c r="R5763" s="2303"/>
      <c r="S5763" s="2303"/>
      <c r="T5763" s="2303"/>
      <c r="U5763" s="2304"/>
      <c r="V5763" s="2299"/>
      <c r="W5763" s="2300"/>
      <c r="X5763" s="2300"/>
      <c r="Y5763" s="2301"/>
      <c r="Z5763" s="2306"/>
      <c r="AA5763" s="2307"/>
    </row>
    <row r="5764" spans="1:27" ht="12" x14ac:dyDescent="0.2">
      <c r="A5764" s="2291"/>
      <c r="B5764" s="2298" t="s">
        <v>18</v>
      </c>
      <c r="C5764" s="2331">
        <v>2250368</v>
      </c>
      <c r="D5764" s="3158" t="s">
        <v>3476</v>
      </c>
      <c r="E5764" s="3159"/>
      <c r="F5764" s="3159"/>
      <c r="G5764" s="3159"/>
      <c r="H5764" s="3159"/>
      <c r="I5764" s="3159"/>
      <c r="J5764" s="3159"/>
      <c r="K5764" s="3159"/>
      <c r="L5764" s="3159"/>
      <c r="M5764" s="3159"/>
      <c r="N5764" s="3159"/>
      <c r="O5764" s="3159"/>
      <c r="P5764" s="3159"/>
      <c r="Q5764" s="3159"/>
      <c r="R5764" s="3159"/>
      <c r="S5764" s="3159"/>
      <c r="T5764" s="3159"/>
      <c r="U5764" s="3160"/>
      <c r="V5764" s="2314" t="s">
        <v>15</v>
      </c>
      <c r="W5764" s="2315"/>
      <c r="X5764" s="2315"/>
      <c r="Y5764" s="2316"/>
      <c r="Z5764" s="2305" t="s">
        <v>16</v>
      </c>
      <c r="AA5764" s="2305"/>
    </row>
    <row r="5765" spans="1:27" ht="12" x14ac:dyDescent="0.2">
      <c r="A5765" s="2291"/>
      <c r="B5765" s="2298"/>
      <c r="C5765" s="2332"/>
      <c r="D5765" s="3161"/>
      <c r="E5765" s="3162"/>
      <c r="F5765" s="3162"/>
      <c r="G5765" s="3162"/>
      <c r="H5765" s="3162"/>
      <c r="I5765" s="3162"/>
      <c r="J5765" s="3162"/>
      <c r="K5765" s="3162"/>
      <c r="L5765" s="3162"/>
      <c r="M5765" s="3162"/>
      <c r="N5765" s="3162"/>
      <c r="O5765" s="3162"/>
      <c r="P5765" s="3162"/>
      <c r="Q5765" s="3162"/>
      <c r="R5765" s="3162"/>
      <c r="S5765" s="3162"/>
      <c r="T5765" s="3162"/>
      <c r="U5765" s="3163"/>
      <c r="V5765" s="2317"/>
      <c r="W5765" s="2318"/>
      <c r="X5765" s="2318"/>
      <c r="Y5765" s="2319"/>
      <c r="Z5765" s="3164"/>
      <c r="AA5765" s="3164"/>
    </row>
    <row r="5766" spans="1:27" ht="12" x14ac:dyDescent="0.2">
      <c r="A5766" s="2291"/>
      <c r="B5766" s="2320" t="s">
        <v>20</v>
      </c>
      <c r="C5766" s="2324" t="s">
        <v>21</v>
      </c>
      <c r="D5766" s="2324" t="s">
        <v>22</v>
      </c>
      <c r="E5766" s="2324" t="s">
        <v>23</v>
      </c>
      <c r="F5766" s="2324" t="s">
        <v>24</v>
      </c>
      <c r="G5766" s="2324" t="s">
        <v>25</v>
      </c>
      <c r="H5766" s="2324" t="s">
        <v>26</v>
      </c>
      <c r="I5766" s="2324" t="s">
        <v>27</v>
      </c>
      <c r="J5766" s="2322" t="s">
        <v>28</v>
      </c>
      <c r="K5766" s="2323"/>
      <c r="L5766" s="2324" t="s">
        <v>29</v>
      </c>
      <c r="M5766" s="2322" t="s">
        <v>30</v>
      </c>
      <c r="N5766" s="2323"/>
      <c r="O5766" s="2343" t="s">
        <v>31</v>
      </c>
      <c r="P5766" s="2344"/>
      <c r="Q5766" s="2344"/>
      <c r="R5766" s="2344"/>
      <c r="S5766" s="2344"/>
      <c r="T5766" s="2344"/>
      <c r="U5766" s="2344"/>
      <c r="V5766" s="2344"/>
      <c r="W5766" s="2344"/>
      <c r="X5766" s="2344"/>
      <c r="Y5766" s="2344"/>
      <c r="Z5766" s="2345"/>
      <c r="AA5766" s="2346" t="s">
        <v>32</v>
      </c>
    </row>
    <row r="5767" spans="1:27" ht="12" x14ac:dyDescent="0.2">
      <c r="A5767" s="2291"/>
      <c r="B5767" s="2321"/>
      <c r="C5767" s="2324"/>
      <c r="D5767" s="2324"/>
      <c r="E5767" s="2324"/>
      <c r="F5767" s="2324"/>
      <c r="G5767" s="2324"/>
      <c r="H5767" s="2324"/>
      <c r="I5767" s="2324"/>
      <c r="J5767" s="1355" t="s">
        <v>33</v>
      </c>
      <c r="K5767" s="1355" t="s">
        <v>34</v>
      </c>
      <c r="L5767" s="2324"/>
      <c r="M5767" s="2325"/>
      <c r="N5767" s="2326"/>
      <c r="O5767" s="1354" t="s">
        <v>35</v>
      </c>
      <c r="P5767" s="1354" t="s">
        <v>36</v>
      </c>
      <c r="Q5767" s="1354" t="s">
        <v>37</v>
      </c>
      <c r="R5767" s="1354" t="s">
        <v>38</v>
      </c>
      <c r="S5767" s="1354" t="s">
        <v>39</v>
      </c>
      <c r="T5767" s="1354" t="s">
        <v>40</v>
      </c>
      <c r="U5767" s="1354" t="s">
        <v>41</v>
      </c>
      <c r="V5767" s="1354" t="s">
        <v>42</v>
      </c>
      <c r="W5767" s="1354" t="s">
        <v>43</v>
      </c>
      <c r="X5767" s="1354" t="s">
        <v>44</v>
      </c>
      <c r="Y5767" s="1354" t="s">
        <v>45</v>
      </c>
      <c r="Z5767" s="1354" t="s">
        <v>46</v>
      </c>
      <c r="AA5767" s="2346"/>
    </row>
    <row r="5768" spans="1:27" ht="12" x14ac:dyDescent="0.2">
      <c r="A5768" s="2291"/>
      <c r="B5768" s="2327">
        <v>4000036</v>
      </c>
      <c r="C5768" s="2347" t="s">
        <v>3477</v>
      </c>
      <c r="D5768" s="3144" t="s">
        <v>3478</v>
      </c>
      <c r="E5768" s="3146" t="s">
        <v>2672</v>
      </c>
      <c r="F5768" s="3148" t="s">
        <v>2659</v>
      </c>
      <c r="G5768" s="3148" t="s">
        <v>3479</v>
      </c>
      <c r="H5768" s="2333" t="s">
        <v>3480</v>
      </c>
      <c r="I5768" s="2353" t="s">
        <v>3469</v>
      </c>
      <c r="J5768" s="3150">
        <v>1</v>
      </c>
      <c r="K5768" s="3150">
        <v>6877272</v>
      </c>
      <c r="L5768" s="2357" t="s">
        <v>3463</v>
      </c>
      <c r="M5768" s="2294" t="s">
        <v>51</v>
      </c>
      <c r="N5768" s="2295"/>
      <c r="O5768" s="1785">
        <v>0.10902212451287856</v>
      </c>
      <c r="P5768" s="1785">
        <f>O5768+0.0525</f>
        <v>0.16152212451287856</v>
      </c>
      <c r="Q5768" s="1785">
        <f>P5768+0.0525</f>
        <v>0.21402212451287855</v>
      </c>
      <c r="R5768" s="1785">
        <v>0.1835</v>
      </c>
      <c r="S5768" s="1785">
        <f>(100-81.16)/100</f>
        <v>0.18840000000000004</v>
      </c>
      <c r="T5768" s="1785">
        <v>0.14349999999999999</v>
      </c>
      <c r="U5768" s="1785"/>
      <c r="V5768" s="1785"/>
      <c r="W5768" s="1785"/>
      <c r="X5768" s="1785"/>
      <c r="Y5768" s="1785"/>
      <c r="Z5768" s="1785"/>
      <c r="AA5768" s="1786">
        <f>SUM(O5768:Z5768)</f>
        <v>0.9999663735386356</v>
      </c>
    </row>
    <row r="5769" spans="1:27" ht="58.5" customHeight="1" x14ac:dyDescent="0.2">
      <c r="A5769" s="2291"/>
      <c r="B5769" s="2328"/>
      <c r="C5769" s="2348"/>
      <c r="D5769" s="3145"/>
      <c r="E5769" s="3147"/>
      <c r="F5769" s="3149"/>
      <c r="G5769" s="3149"/>
      <c r="H5769" s="2334"/>
      <c r="I5769" s="2354"/>
      <c r="J5769" s="3151"/>
      <c r="K5769" s="3151"/>
      <c r="L5769" s="2358"/>
      <c r="M5769" s="2294" t="s">
        <v>111</v>
      </c>
      <c r="N5769" s="2295"/>
      <c r="O5769" s="481">
        <f>+K5768*O5768</f>
        <v>749774.80429293332</v>
      </c>
      <c r="P5769" s="481">
        <f>+K5768*P5768</f>
        <v>1110831.5842929333</v>
      </c>
      <c r="Q5769" s="481">
        <f>+K5768*Q5768</f>
        <v>1471888.3642929334</v>
      </c>
      <c r="R5769" s="481">
        <f>+K5768*R5768</f>
        <v>1261979.412</v>
      </c>
      <c r="S5769" s="481">
        <f>+K5768*S5768</f>
        <v>1295678.0448000003</v>
      </c>
      <c r="T5769" s="481">
        <f>+K5768*T5768+231</f>
        <v>987119.53199999989</v>
      </c>
      <c r="U5769" s="481"/>
      <c r="V5769" s="481"/>
      <c r="W5769" s="481"/>
      <c r="X5769" s="481"/>
      <c r="Y5769" s="481"/>
      <c r="Z5769" s="481"/>
      <c r="AA5769" s="229">
        <f>SUM(O5769:Z5769)</f>
        <v>6877271.7416788004</v>
      </c>
    </row>
    <row r="5770" spans="1:27" ht="6" customHeight="1" x14ac:dyDescent="0.2"/>
    <row r="5771" spans="1:27" ht="17.25" customHeight="1" x14ac:dyDescent="0.2">
      <c r="A5771" s="3996" t="s">
        <v>2582</v>
      </c>
      <c r="B5771" s="3996"/>
      <c r="C5771" s="3996"/>
      <c r="D5771" s="3996"/>
      <c r="E5771" s="3996"/>
      <c r="F5771" s="3996"/>
      <c r="G5771" s="3996"/>
      <c r="H5771" s="3996"/>
      <c r="I5771" s="3996"/>
      <c r="J5771" s="3996"/>
      <c r="K5771" s="3996"/>
      <c r="L5771" s="3996"/>
      <c r="M5771" s="3996"/>
      <c r="N5771" s="3996"/>
      <c r="O5771" s="3996"/>
      <c r="P5771" s="3996"/>
      <c r="Q5771" s="3996"/>
      <c r="R5771" s="3996"/>
      <c r="S5771" s="3996"/>
      <c r="T5771" s="3996"/>
      <c r="U5771" s="3996"/>
      <c r="V5771" s="3996"/>
      <c r="W5771" s="1609"/>
      <c r="X5771" s="1609"/>
      <c r="Y5771" s="1609"/>
      <c r="Z5771" s="1609"/>
      <c r="AA5771" s="1609"/>
    </row>
    <row r="5772" spans="1:27" ht="20.25" customHeight="1" x14ac:dyDescent="0.2">
      <c r="A5772" s="3997" t="s">
        <v>0</v>
      </c>
      <c r="B5772" s="1865" t="s">
        <v>1</v>
      </c>
      <c r="C5772" s="4000" t="s">
        <v>1850</v>
      </c>
      <c r="D5772" s="4000"/>
      <c r="E5772" s="4001"/>
      <c r="F5772" s="1738"/>
      <c r="G5772" s="1738"/>
      <c r="H5772" s="1738"/>
      <c r="I5772" s="1738"/>
      <c r="J5772" s="1738"/>
      <c r="K5772" s="1738"/>
      <c r="L5772" s="1738"/>
      <c r="M5772" s="1738"/>
      <c r="N5772" s="1738"/>
      <c r="O5772" s="1738"/>
      <c r="P5772" s="1738"/>
      <c r="Q5772" s="1738"/>
      <c r="R5772" s="1738"/>
      <c r="S5772" s="1738"/>
      <c r="T5772" s="1738"/>
      <c r="U5772" s="1738"/>
      <c r="V5772" s="1738"/>
      <c r="W5772" s="1738"/>
      <c r="X5772" s="1738"/>
      <c r="Y5772" s="1738"/>
      <c r="Z5772" s="1738"/>
      <c r="AA5772" s="1866"/>
    </row>
    <row r="5773" spans="1:27" ht="24" x14ac:dyDescent="0.2">
      <c r="A5773" s="3998"/>
      <c r="B5773" s="1867" t="s">
        <v>2</v>
      </c>
      <c r="C5773" s="4002" t="s">
        <v>1851</v>
      </c>
      <c r="D5773" s="4003"/>
      <c r="E5773" s="4003"/>
      <c r="F5773" s="4003"/>
      <c r="G5773" s="4003"/>
      <c r="H5773" s="4003"/>
      <c r="I5773" s="4003"/>
      <c r="J5773" s="4003"/>
      <c r="K5773" s="4003"/>
      <c r="L5773" s="4003"/>
      <c r="M5773" s="4003"/>
      <c r="N5773" s="4003"/>
      <c r="O5773" s="4003"/>
      <c r="P5773" s="4003"/>
      <c r="Q5773" s="4003"/>
      <c r="R5773" s="4003"/>
      <c r="S5773" s="4003"/>
      <c r="T5773" s="4003"/>
      <c r="U5773" s="4003"/>
      <c r="V5773" s="4003"/>
      <c r="W5773" s="1868"/>
      <c r="X5773" s="1868"/>
      <c r="Y5773" s="1868"/>
      <c r="Z5773" s="1868"/>
      <c r="AA5773" s="1869"/>
    </row>
    <row r="5774" spans="1:27" ht="18.75" customHeight="1" x14ac:dyDescent="0.2">
      <c r="A5774" s="3998"/>
      <c r="B5774" s="705" t="s">
        <v>4</v>
      </c>
      <c r="C5774" s="4004" t="s">
        <v>3403</v>
      </c>
      <c r="D5774" s="4005"/>
      <c r="E5774" s="4005"/>
      <c r="F5774" s="4005"/>
      <c r="G5774" s="4005"/>
      <c r="H5774" s="4005"/>
      <c r="I5774" s="4005"/>
      <c r="J5774" s="4005"/>
      <c r="K5774" s="4005"/>
      <c r="L5774" s="4005"/>
      <c r="M5774" s="4005"/>
      <c r="N5774" s="1716"/>
      <c r="O5774" s="1716"/>
      <c r="P5774" s="1716"/>
      <c r="Q5774" s="1898"/>
      <c r="R5774" s="1898"/>
      <c r="S5774" s="1898"/>
      <c r="T5774" s="1898"/>
      <c r="U5774" s="1898"/>
      <c r="V5774" s="1716"/>
      <c r="W5774" s="1899"/>
      <c r="X5774" s="1899"/>
      <c r="Y5774" s="1899"/>
      <c r="Z5774" s="1899"/>
      <c r="AA5774" s="1900"/>
    </row>
    <row r="5775" spans="1:27" ht="24" x14ac:dyDescent="0.2">
      <c r="A5775" s="3998"/>
      <c r="B5775" s="1867" t="s">
        <v>6</v>
      </c>
      <c r="C5775" s="4002" t="s">
        <v>3404</v>
      </c>
      <c r="D5775" s="4003"/>
      <c r="E5775" s="4003"/>
      <c r="F5775" s="4003"/>
      <c r="G5775" s="4003"/>
      <c r="H5775" s="4003"/>
      <c r="I5775" s="4003"/>
      <c r="J5775" s="4003"/>
      <c r="K5775" s="4003"/>
      <c r="L5775" s="4003"/>
      <c r="M5775" s="4003"/>
      <c r="N5775" s="4003"/>
      <c r="O5775" s="4003"/>
      <c r="P5775" s="4003"/>
      <c r="Q5775" s="4003"/>
      <c r="R5775" s="4003"/>
      <c r="S5775" s="4003"/>
      <c r="T5775" s="4003"/>
      <c r="U5775" s="4003"/>
      <c r="V5775" s="4003"/>
      <c r="W5775" s="1868"/>
      <c r="X5775" s="1868"/>
      <c r="Y5775" s="1868"/>
      <c r="Z5775" s="1868"/>
      <c r="AA5775" s="1869"/>
    </row>
    <row r="5776" spans="1:27" ht="25.5" x14ac:dyDescent="0.2">
      <c r="A5776" s="3999"/>
      <c r="B5776" s="1859" t="s">
        <v>8</v>
      </c>
      <c r="C5776" s="1901" t="s">
        <v>2158</v>
      </c>
      <c r="D5776" s="1902"/>
      <c r="E5776" s="1860"/>
      <c r="F5776" s="1860"/>
      <c r="G5776" s="1860"/>
      <c r="H5776" s="1860"/>
      <c r="I5776" s="1860"/>
      <c r="J5776" s="1860"/>
      <c r="K5776" s="1860"/>
      <c r="L5776" s="1860"/>
      <c r="M5776" s="1860"/>
      <c r="N5776" s="1860"/>
      <c r="O5776" s="1860"/>
      <c r="P5776" s="1860"/>
      <c r="Q5776" s="1903"/>
      <c r="R5776" s="1903"/>
      <c r="S5776" s="1903"/>
      <c r="T5776" s="1903"/>
      <c r="U5776" s="1903"/>
      <c r="V5776" s="1860"/>
      <c r="W5776" s="1860"/>
      <c r="X5776" s="1860"/>
      <c r="Y5776" s="1860"/>
      <c r="Z5776" s="1860"/>
      <c r="AA5776" s="1861"/>
    </row>
    <row r="5777" spans="1:27" ht="24" x14ac:dyDescent="0.2">
      <c r="A5777" s="4006" t="s">
        <v>256</v>
      </c>
      <c r="B5777" s="1867" t="s">
        <v>11</v>
      </c>
      <c r="C5777" s="1870" t="s">
        <v>230</v>
      </c>
      <c r="D5777" s="1739"/>
      <c r="E5777" s="1739"/>
      <c r="F5777" s="1739"/>
      <c r="G5777" s="1739"/>
      <c r="H5777" s="1739"/>
      <c r="I5777" s="1739"/>
      <c r="J5777" s="1739"/>
      <c r="K5777" s="1739"/>
      <c r="L5777" s="1739"/>
      <c r="M5777" s="1739"/>
      <c r="N5777" s="1739"/>
      <c r="O5777" s="1739"/>
      <c r="P5777" s="1739"/>
      <c r="Q5777" s="1871"/>
      <c r="R5777" s="1871"/>
      <c r="S5777" s="1871"/>
      <c r="T5777" s="1871"/>
      <c r="U5777" s="1871"/>
      <c r="V5777" s="1739"/>
      <c r="W5777" s="1739"/>
      <c r="X5777" s="1739"/>
      <c r="Y5777" s="1739"/>
      <c r="Z5777" s="1739"/>
      <c r="AA5777" s="1872"/>
    </row>
    <row r="5778" spans="1:27" ht="12" x14ac:dyDescent="0.2">
      <c r="A5778" s="4006"/>
      <c r="B5778" s="4007" t="s">
        <v>13</v>
      </c>
      <c r="C5778" s="3991">
        <v>9001</v>
      </c>
      <c r="D5778" s="4008" t="s">
        <v>160</v>
      </c>
      <c r="E5778" s="4008"/>
      <c r="F5778" s="204"/>
      <c r="G5778" s="204"/>
      <c r="H5778" s="204"/>
      <c r="I5778" s="204"/>
      <c r="J5778" s="204"/>
      <c r="K5778" s="204"/>
      <c r="L5778" s="204"/>
      <c r="M5778" s="204"/>
      <c r="N5778" s="204"/>
      <c r="O5778" s="204"/>
      <c r="P5778" s="204"/>
      <c r="Q5778" s="205"/>
      <c r="R5778" s="205"/>
      <c r="S5778" s="205"/>
      <c r="T5778" s="205"/>
      <c r="U5778" s="205"/>
      <c r="V5778" s="3164" t="s">
        <v>15</v>
      </c>
      <c r="W5778" s="3164"/>
      <c r="X5778" s="3164"/>
      <c r="Y5778" s="3164"/>
      <c r="Z5778" s="2703" t="s">
        <v>16</v>
      </c>
      <c r="AA5778" s="2705"/>
    </row>
    <row r="5779" spans="1:27" ht="12" x14ac:dyDescent="0.2">
      <c r="A5779" s="4006"/>
      <c r="B5779" s="4007"/>
      <c r="C5779" s="3992"/>
      <c r="D5779" s="4008"/>
      <c r="E5779" s="4008"/>
      <c r="F5779" s="206"/>
      <c r="G5779" s="206"/>
      <c r="H5779" s="206"/>
      <c r="I5779" s="206"/>
      <c r="J5779" s="206"/>
      <c r="K5779" s="206"/>
      <c r="L5779" s="206"/>
      <c r="M5779" s="206"/>
      <c r="N5779" s="206"/>
      <c r="O5779" s="206"/>
      <c r="P5779" s="206"/>
      <c r="Q5779" s="207"/>
      <c r="R5779" s="207"/>
      <c r="S5779" s="207"/>
      <c r="T5779" s="207"/>
      <c r="U5779" s="207"/>
      <c r="V5779" s="4009" t="s">
        <v>1213</v>
      </c>
      <c r="W5779" s="4010"/>
      <c r="X5779" s="4010"/>
      <c r="Y5779" s="4011"/>
      <c r="Z5779" s="4009" t="s">
        <v>1213</v>
      </c>
      <c r="AA5779" s="4011"/>
    </row>
    <row r="5780" spans="1:27" ht="12" x14ac:dyDescent="0.2">
      <c r="A5780" s="4006"/>
      <c r="B5780" s="4007"/>
      <c r="C5780" s="3993"/>
      <c r="D5780" s="4008"/>
      <c r="E5780" s="4008"/>
      <c r="F5780" s="208"/>
      <c r="G5780" s="208"/>
      <c r="H5780" s="208"/>
      <c r="I5780" s="208"/>
      <c r="J5780" s="208"/>
      <c r="K5780" s="208"/>
      <c r="L5780" s="208"/>
      <c r="M5780" s="208"/>
      <c r="N5780" s="208"/>
      <c r="O5780" s="208"/>
      <c r="P5780" s="208"/>
      <c r="Q5780" s="209"/>
      <c r="R5780" s="209"/>
      <c r="S5780" s="209"/>
      <c r="T5780" s="209"/>
      <c r="U5780" s="209"/>
      <c r="V5780" s="4012"/>
      <c r="W5780" s="4013"/>
      <c r="X5780" s="4013"/>
      <c r="Y5780" s="4014"/>
      <c r="Z5780" s="4012"/>
      <c r="AA5780" s="4014"/>
    </row>
    <row r="5781" spans="1:27" ht="12" x14ac:dyDescent="0.2">
      <c r="A5781" s="4006"/>
      <c r="B5781" s="4007" t="s">
        <v>18</v>
      </c>
      <c r="C5781" s="3991">
        <v>3.9999989999999999</v>
      </c>
      <c r="D5781" s="4015" t="s">
        <v>163</v>
      </c>
      <c r="E5781" s="4015"/>
      <c r="F5781" s="210"/>
      <c r="G5781" s="210"/>
      <c r="H5781" s="210"/>
      <c r="I5781" s="210"/>
      <c r="J5781" s="210"/>
      <c r="K5781" s="210"/>
      <c r="L5781" s="210"/>
      <c r="M5781" s="210"/>
      <c r="N5781" s="210"/>
      <c r="O5781" s="210"/>
      <c r="P5781" s="210"/>
      <c r="Q5781" s="204"/>
      <c r="R5781" s="204"/>
      <c r="S5781" s="204"/>
      <c r="T5781" s="204"/>
      <c r="U5781" s="211"/>
      <c r="V5781" s="4015" t="s">
        <v>15</v>
      </c>
      <c r="W5781" s="4015"/>
      <c r="X5781" s="4015"/>
      <c r="Y5781" s="4015"/>
      <c r="Z5781" s="3164" t="s">
        <v>16</v>
      </c>
      <c r="AA5781" s="3164"/>
    </row>
    <row r="5782" spans="1:27" ht="12" x14ac:dyDescent="0.2">
      <c r="A5782" s="4006"/>
      <c r="B5782" s="4007"/>
      <c r="C5782" s="3993"/>
      <c r="D5782" s="4015"/>
      <c r="E5782" s="4015"/>
      <c r="F5782" s="212"/>
      <c r="G5782" s="212"/>
      <c r="H5782" s="212"/>
      <c r="I5782" s="212"/>
      <c r="J5782" s="212"/>
      <c r="K5782" s="212"/>
      <c r="L5782" s="212"/>
      <c r="M5782" s="212"/>
      <c r="N5782" s="212"/>
      <c r="O5782" s="212"/>
      <c r="P5782" s="212"/>
      <c r="Q5782" s="208"/>
      <c r="R5782" s="208"/>
      <c r="S5782" s="208"/>
      <c r="T5782" s="208"/>
      <c r="U5782" s="213"/>
      <c r="V5782" s="2317" t="s">
        <v>1213</v>
      </c>
      <c r="W5782" s="2318"/>
      <c r="X5782" s="2318"/>
      <c r="Y5782" s="2319"/>
      <c r="Z5782" s="3164" t="s">
        <v>1213</v>
      </c>
      <c r="AA5782" s="3164"/>
    </row>
    <row r="5783" spans="1:27" ht="12" x14ac:dyDescent="0.2">
      <c r="A5783" s="4006"/>
      <c r="B5783" s="4007" t="s">
        <v>20</v>
      </c>
      <c r="C5783" s="3164" t="s">
        <v>21</v>
      </c>
      <c r="D5783" s="3164" t="s">
        <v>22</v>
      </c>
      <c r="E5783" s="3164" t="s">
        <v>23</v>
      </c>
      <c r="F5783" s="3164" t="s">
        <v>164</v>
      </c>
      <c r="G5783" s="3164" t="s">
        <v>25</v>
      </c>
      <c r="H5783" s="3164" t="s">
        <v>26</v>
      </c>
      <c r="I5783" s="3164" t="s">
        <v>27</v>
      </c>
      <c r="J5783" s="4009" t="s">
        <v>28</v>
      </c>
      <c r="K5783" s="4011"/>
      <c r="L5783" s="3164" t="s">
        <v>279</v>
      </c>
      <c r="M5783" s="4009" t="s">
        <v>30</v>
      </c>
      <c r="N5783" s="4011"/>
      <c r="O5783" s="4016" t="s">
        <v>31</v>
      </c>
      <c r="P5783" s="4017"/>
      <c r="Q5783" s="4017"/>
      <c r="R5783" s="4017"/>
      <c r="S5783" s="4017"/>
      <c r="T5783" s="4017"/>
      <c r="U5783" s="4017"/>
      <c r="V5783" s="4017"/>
      <c r="W5783" s="4017"/>
      <c r="X5783" s="4017"/>
      <c r="Y5783" s="4017"/>
      <c r="Z5783" s="4018"/>
      <c r="AA5783" s="4019" t="s">
        <v>32</v>
      </c>
    </row>
    <row r="5784" spans="1:27" ht="12" x14ac:dyDescent="0.2">
      <c r="A5784" s="4006"/>
      <c r="B5784" s="4007"/>
      <c r="C5784" s="3164"/>
      <c r="D5784" s="3164"/>
      <c r="E5784" s="3164"/>
      <c r="F5784" s="3164"/>
      <c r="G5784" s="3164"/>
      <c r="H5784" s="3164"/>
      <c r="I5784" s="3164"/>
      <c r="J5784" s="1829" t="s">
        <v>33</v>
      </c>
      <c r="K5784" s="1829" t="s">
        <v>34</v>
      </c>
      <c r="L5784" s="3164"/>
      <c r="M5784" s="4012"/>
      <c r="N5784" s="4014"/>
      <c r="O5784" s="1873" t="s">
        <v>35</v>
      </c>
      <c r="P5784" s="1873" t="s">
        <v>36</v>
      </c>
      <c r="Q5784" s="1873" t="s">
        <v>37</v>
      </c>
      <c r="R5784" s="1873" t="s">
        <v>38</v>
      </c>
      <c r="S5784" s="1873" t="s">
        <v>39</v>
      </c>
      <c r="T5784" s="1873" t="s">
        <v>40</v>
      </c>
      <c r="U5784" s="1873" t="s">
        <v>41</v>
      </c>
      <c r="V5784" s="1873" t="s">
        <v>42</v>
      </c>
      <c r="W5784" s="1873" t="s">
        <v>43</v>
      </c>
      <c r="X5784" s="1873" t="s">
        <v>44</v>
      </c>
      <c r="Y5784" s="1873" t="s">
        <v>45</v>
      </c>
      <c r="Z5784" s="1873" t="s">
        <v>46</v>
      </c>
      <c r="AA5784" s="4019"/>
    </row>
    <row r="5785" spans="1:27" ht="12" x14ac:dyDescent="0.2">
      <c r="A5785" s="4006"/>
      <c r="B5785" s="4020" t="s">
        <v>1350</v>
      </c>
      <c r="C5785" s="4024" t="s">
        <v>1805</v>
      </c>
      <c r="D5785" s="2406" t="s">
        <v>1085</v>
      </c>
      <c r="E5785" s="2406" t="s">
        <v>2159</v>
      </c>
      <c r="F5785" s="2406" t="s">
        <v>2160</v>
      </c>
      <c r="G5785" s="2406" t="s">
        <v>2161</v>
      </c>
      <c r="H5785" s="2406" t="s">
        <v>1352</v>
      </c>
      <c r="I5785" s="2406"/>
      <c r="J5785" s="3989"/>
      <c r="K5785" s="3989">
        <v>1932452</v>
      </c>
      <c r="L5785" s="2406" t="s">
        <v>2162</v>
      </c>
      <c r="M5785" s="4022" t="s">
        <v>51</v>
      </c>
      <c r="N5785" s="4023"/>
      <c r="O5785" s="1874"/>
      <c r="P5785" s="1683"/>
      <c r="Q5785" s="1683"/>
      <c r="R5785" s="1683"/>
      <c r="S5785" s="1683"/>
      <c r="T5785" s="1683"/>
      <c r="U5785" s="1683"/>
      <c r="V5785" s="1683"/>
      <c r="W5785" s="1683"/>
      <c r="X5785" s="1683"/>
      <c r="Y5785" s="1683"/>
      <c r="Z5785" s="1683"/>
      <c r="AA5785" s="1874"/>
    </row>
    <row r="5786" spans="1:27" ht="12" x14ac:dyDescent="0.2">
      <c r="A5786" s="4006"/>
      <c r="B5786" s="4021"/>
      <c r="C5786" s="4025"/>
      <c r="D5786" s="3988"/>
      <c r="E5786" s="3988"/>
      <c r="F5786" s="3988"/>
      <c r="G5786" s="3988"/>
      <c r="H5786" s="3988"/>
      <c r="I5786" s="3988"/>
      <c r="J5786" s="3990"/>
      <c r="K5786" s="3990"/>
      <c r="L5786" s="3988"/>
      <c r="M5786" s="4022" t="s">
        <v>2163</v>
      </c>
      <c r="N5786" s="4023"/>
      <c r="O5786" s="1874">
        <f t="shared" ref="O5786:Z5786" si="927">SUM(O5791:O5798)</f>
        <v>18862.309999999998</v>
      </c>
      <c r="P5786" s="1874">
        <f t="shared" si="927"/>
        <v>18862.309999999998</v>
      </c>
      <c r="Q5786" s="1874">
        <f t="shared" si="927"/>
        <v>18862.309999999998</v>
      </c>
      <c r="R5786" s="1874">
        <f t="shared" si="927"/>
        <v>18862.309999999998</v>
      </c>
      <c r="S5786" s="1874">
        <f t="shared" si="927"/>
        <v>18862.309999999998</v>
      </c>
      <c r="T5786" s="1874">
        <f t="shared" si="927"/>
        <v>18862.309999999998</v>
      </c>
      <c r="U5786" s="1874">
        <f t="shared" si="927"/>
        <v>18862.309999999998</v>
      </c>
      <c r="V5786" s="1874">
        <f t="shared" si="927"/>
        <v>18862.309999999998</v>
      </c>
      <c r="W5786" s="1874">
        <f t="shared" si="927"/>
        <v>18862.309999999998</v>
      </c>
      <c r="X5786" s="1874">
        <f t="shared" si="927"/>
        <v>18862.309999999998</v>
      </c>
      <c r="Y5786" s="1874">
        <f t="shared" si="927"/>
        <v>18862.309999999998</v>
      </c>
      <c r="Z5786" s="1874">
        <f t="shared" si="927"/>
        <v>18862.309999999998</v>
      </c>
      <c r="AA5786" s="1874">
        <f>SUM(O5786:Z5786)</f>
        <v>226347.71999999997</v>
      </c>
    </row>
    <row r="5787" spans="1:27" ht="12" x14ac:dyDescent="0.2">
      <c r="A5787" s="4006"/>
      <c r="B5787" s="4021"/>
      <c r="C5787" s="4025"/>
      <c r="D5787" s="3988"/>
      <c r="E5787" s="3988"/>
      <c r="F5787" s="3988"/>
      <c r="G5787" s="3988"/>
      <c r="H5787" s="3988"/>
      <c r="I5787" s="3988"/>
      <c r="J5787" s="3990"/>
      <c r="K5787" s="3990"/>
      <c r="L5787" s="3988"/>
      <c r="M5787" s="4022" t="s">
        <v>2164</v>
      </c>
      <c r="N5787" s="4023"/>
      <c r="O5787" s="1874">
        <f t="shared" ref="O5787:Z5787" si="928">SUM(O5800:O5803)</f>
        <v>9795.5</v>
      </c>
      <c r="P5787" s="1874">
        <f t="shared" si="928"/>
        <v>9794.7000000000007</v>
      </c>
      <c r="Q5787" s="1874">
        <f t="shared" si="928"/>
        <v>9794.7000000000007</v>
      </c>
      <c r="R5787" s="1874">
        <f t="shared" si="928"/>
        <v>9794.7000000000007</v>
      </c>
      <c r="S5787" s="1874">
        <f t="shared" si="928"/>
        <v>9794.7000000000007</v>
      </c>
      <c r="T5787" s="1874">
        <f t="shared" si="928"/>
        <v>9794.7000000000007</v>
      </c>
      <c r="U5787" s="1874">
        <f t="shared" si="928"/>
        <v>9794.7000000000007</v>
      </c>
      <c r="V5787" s="1874">
        <f t="shared" si="928"/>
        <v>9794.7000000000007</v>
      </c>
      <c r="W5787" s="1874">
        <f t="shared" si="928"/>
        <v>9794.7000000000007</v>
      </c>
      <c r="X5787" s="1874">
        <f t="shared" si="928"/>
        <v>9794.7000000000007</v>
      </c>
      <c r="Y5787" s="1874">
        <f t="shared" si="928"/>
        <v>9794.7000000000007</v>
      </c>
      <c r="Z5787" s="1874">
        <f t="shared" si="928"/>
        <v>9794.7000000000007</v>
      </c>
      <c r="AA5787" s="1874">
        <f>SUM(O5787:Z5787)</f>
        <v>117537.19999999998</v>
      </c>
    </row>
    <row r="5788" spans="1:27" ht="12" x14ac:dyDescent="0.2">
      <c r="A5788" s="1875"/>
      <c r="B5788" s="1876" t="s">
        <v>2165</v>
      </c>
      <c r="C5788" s="1877"/>
      <c r="D5788" s="1877"/>
      <c r="E5788" s="1877"/>
      <c r="F5788" s="1877"/>
      <c r="G5788" s="1877"/>
      <c r="H5788" s="1877"/>
      <c r="I5788" s="1877"/>
      <c r="J5788" s="1877"/>
      <c r="K5788" s="1877"/>
      <c r="L5788" s="1877"/>
      <c r="M5788" s="1877"/>
      <c r="N5788" s="1877"/>
      <c r="O5788" s="1877"/>
      <c r="P5788" s="1877"/>
      <c r="Q5788" s="1877"/>
      <c r="R5788" s="1877"/>
      <c r="S5788" s="1877"/>
      <c r="T5788" s="1877"/>
      <c r="U5788" s="1877"/>
      <c r="V5788" s="1877"/>
      <c r="W5788" s="1877"/>
      <c r="X5788" s="1877"/>
      <c r="Y5788" s="1877"/>
      <c r="Z5788" s="1877"/>
      <c r="AA5788" s="1878"/>
    </row>
    <row r="5789" spans="1:27" ht="12" x14ac:dyDescent="0.2">
      <c r="A5789" s="3995"/>
      <c r="B5789" s="3994"/>
      <c r="C5789" s="3974" t="s">
        <v>2166</v>
      </c>
      <c r="D5789" s="3972"/>
      <c r="E5789" s="2361"/>
      <c r="F5789" s="2361"/>
      <c r="G5789" s="2361"/>
      <c r="H5789" s="3966" t="s">
        <v>1352</v>
      </c>
      <c r="I5789" s="3968" t="s">
        <v>942</v>
      </c>
      <c r="J5789" s="3968">
        <v>500</v>
      </c>
      <c r="K5789" s="3970"/>
      <c r="L5789" s="3972" t="s">
        <v>2167</v>
      </c>
      <c r="M5789" s="4026" t="s">
        <v>51</v>
      </c>
      <c r="N5789" s="4026"/>
      <c r="O5789" s="1616">
        <v>50</v>
      </c>
      <c r="P5789" s="1616">
        <v>50</v>
      </c>
      <c r="Q5789" s="1616">
        <v>50</v>
      </c>
      <c r="R5789" s="1616">
        <v>50</v>
      </c>
      <c r="S5789" s="1616">
        <v>50</v>
      </c>
      <c r="T5789" s="1616">
        <v>50</v>
      </c>
      <c r="U5789" s="1616">
        <v>50</v>
      </c>
      <c r="V5789" s="1616">
        <v>50</v>
      </c>
      <c r="W5789" s="1616">
        <v>50</v>
      </c>
      <c r="X5789" s="1616">
        <v>50</v>
      </c>
      <c r="Y5789" s="1616">
        <v>50</v>
      </c>
      <c r="Z5789" s="1616">
        <v>50</v>
      </c>
      <c r="AA5789" s="1617">
        <f>SUM(O5789:Z5789)</f>
        <v>600</v>
      </c>
    </row>
    <row r="5790" spans="1:27" ht="12" x14ac:dyDescent="0.2">
      <c r="A5790" s="3995"/>
      <c r="B5790" s="3995"/>
      <c r="C5790" s="3975"/>
      <c r="D5790" s="3973"/>
      <c r="E5790" s="3965"/>
      <c r="F5790" s="3965"/>
      <c r="G5790" s="3965"/>
      <c r="H5790" s="3967"/>
      <c r="I5790" s="3969"/>
      <c r="J5790" s="3969"/>
      <c r="K5790" s="3971"/>
      <c r="L5790" s="3973"/>
      <c r="M5790" s="4026" t="s">
        <v>111</v>
      </c>
      <c r="N5790" s="4026"/>
      <c r="O5790" s="1616"/>
      <c r="P5790" s="1616"/>
      <c r="Q5790" s="1616"/>
      <c r="R5790" s="1616"/>
      <c r="S5790" s="1616"/>
      <c r="T5790" s="1616"/>
      <c r="U5790" s="1616"/>
      <c r="V5790" s="1616"/>
      <c r="W5790" s="1616"/>
      <c r="X5790" s="1616"/>
      <c r="Y5790" s="1616"/>
      <c r="Z5790" s="1616"/>
      <c r="AA5790" s="1617"/>
    </row>
    <row r="5791" spans="1:27" ht="45" x14ac:dyDescent="0.2">
      <c r="A5791" s="3995"/>
      <c r="B5791" s="3995"/>
      <c r="C5791" s="3975"/>
      <c r="D5791" s="3973"/>
      <c r="E5791" s="3965"/>
      <c r="F5791" s="3965"/>
      <c r="G5791" s="3965"/>
      <c r="H5791" s="3967"/>
      <c r="I5791" s="3969"/>
      <c r="J5791" s="3969"/>
      <c r="K5791" s="3971"/>
      <c r="L5791" s="3973"/>
      <c r="M5791" s="1827" t="s">
        <v>2168</v>
      </c>
      <c r="N5791" s="1879" t="s">
        <v>2169</v>
      </c>
      <c r="O5791" s="1616">
        <v>1168.9000000000001</v>
      </c>
      <c r="P5791" s="1616">
        <v>1168.9000000000001</v>
      </c>
      <c r="Q5791" s="1616">
        <v>1168.9000000000001</v>
      </c>
      <c r="R5791" s="1616">
        <v>1168.9000000000001</v>
      </c>
      <c r="S5791" s="1616">
        <v>1168.9000000000001</v>
      </c>
      <c r="T5791" s="1616">
        <v>1168.9000000000001</v>
      </c>
      <c r="U5791" s="1616">
        <v>1168.9000000000001</v>
      </c>
      <c r="V5791" s="1616">
        <v>1168.9000000000001</v>
      </c>
      <c r="W5791" s="1616">
        <v>1168.9000000000001</v>
      </c>
      <c r="X5791" s="1616">
        <v>1168.9000000000001</v>
      </c>
      <c r="Y5791" s="1616">
        <v>1168.9000000000001</v>
      </c>
      <c r="Z5791" s="1616">
        <v>1168.9000000000001</v>
      </c>
      <c r="AA5791" s="1635">
        <f t="shared" ref="AA5791:AA5804" si="929">SUM(O5791:Z5791)</f>
        <v>14026.799999999997</v>
      </c>
    </row>
    <row r="5792" spans="1:27" ht="45" x14ac:dyDescent="0.2">
      <c r="A5792" s="3995"/>
      <c r="B5792" s="3995"/>
      <c r="C5792" s="3975"/>
      <c r="D5792" s="3973"/>
      <c r="E5792" s="3965"/>
      <c r="F5792" s="3965"/>
      <c r="G5792" s="3965"/>
      <c r="H5792" s="3967"/>
      <c r="I5792" s="3969"/>
      <c r="J5792" s="3969"/>
      <c r="K5792" s="3971"/>
      <c r="L5792" s="3973"/>
      <c r="M5792" s="1827" t="s">
        <v>2170</v>
      </c>
      <c r="N5792" s="1879" t="s">
        <v>2171</v>
      </c>
      <c r="O5792" s="1616">
        <v>1048.5999999999999</v>
      </c>
      <c r="P5792" s="1616">
        <v>1048.5999999999999</v>
      </c>
      <c r="Q5792" s="1616">
        <v>1048.5999999999999</v>
      </c>
      <c r="R5792" s="1616">
        <v>1048.5999999999999</v>
      </c>
      <c r="S5792" s="1616">
        <v>1048.5999999999999</v>
      </c>
      <c r="T5792" s="1616">
        <v>1048.5999999999999</v>
      </c>
      <c r="U5792" s="1616">
        <v>1048.5999999999999</v>
      </c>
      <c r="V5792" s="1616">
        <v>1048.5999999999999</v>
      </c>
      <c r="W5792" s="1616">
        <v>1048.5999999999999</v>
      </c>
      <c r="X5792" s="1616">
        <v>1048.5999999999999</v>
      </c>
      <c r="Y5792" s="1616">
        <v>1048.5999999999999</v>
      </c>
      <c r="Z5792" s="1616">
        <v>1048.5999999999999</v>
      </c>
      <c r="AA5792" s="1635">
        <f t="shared" si="929"/>
        <v>12583.200000000003</v>
      </c>
    </row>
    <row r="5793" spans="1:27" ht="33.75" x14ac:dyDescent="0.2">
      <c r="A5793" s="3995"/>
      <c r="B5793" s="3995"/>
      <c r="C5793" s="3975"/>
      <c r="D5793" s="3973"/>
      <c r="E5793" s="3965"/>
      <c r="F5793" s="3965"/>
      <c r="G5793" s="3965"/>
      <c r="H5793" s="3967"/>
      <c r="I5793" s="3969"/>
      <c r="J5793" s="3969"/>
      <c r="K5793" s="3971"/>
      <c r="L5793" s="3973"/>
      <c r="M5793" s="1827" t="s">
        <v>2172</v>
      </c>
      <c r="N5793" s="1879" t="s">
        <v>1319</v>
      </c>
      <c r="O5793" s="1616">
        <v>9423.4</v>
      </c>
      <c r="P5793" s="1616">
        <v>9423.4</v>
      </c>
      <c r="Q5793" s="1616">
        <v>9423.4</v>
      </c>
      <c r="R5793" s="1616">
        <v>9423.4</v>
      </c>
      <c r="S5793" s="1616">
        <v>9423.4</v>
      </c>
      <c r="T5793" s="1616">
        <v>9423.4</v>
      </c>
      <c r="U5793" s="1616">
        <v>9423.4</v>
      </c>
      <c r="V5793" s="1616">
        <v>9423.4</v>
      </c>
      <c r="W5793" s="1616">
        <v>9423.4</v>
      </c>
      <c r="X5793" s="1616">
        <v>9423.4</v>
      </c>
      <c r="Y5793" s="1616">
        <v>9423.4</v>
      </c>
      <c r="Z5793" s="1616">
        <v>9423.4</v>
      </c>
      <c r="AA5793" s="1635">
        <f t="shared" si="929"/>
        <v>113080.79999999997</v>
      </c>
    </row>
    <row r="5794" spans="1:27" ht="12" x14ac:dyDescent="0.2">
      <c r="A5794" s="3995"/>
      <c r="B5794" s="3995"/>
      <c r="C5794" s="3975"/>
      <c r="D5794" s="3973"/>
      <c r="E5794" s="3965"/>
      <c r="F5794" s="3965"/>
      <c r="G5794" s="3965"/>
      <c r="H5794" s="3967"/>
      <c r="I5794" s="3969"/>
      <c r="J5794" s="3969"/>
      <c r="K5794" s="3971"/>
      <c r="L5794" s="3973"/>
      <c r="M5794" s="1827" t="s">
        <v>2173</v>
      </c>
      <c r="N5794" s="1879" t="s">
        <v>1321</v>
      </c>
      <c r="O5794" s="1616">
        <v>150</v>
      </c>
      <c r="P5794" s="1616">
        <v>150</v>
      </c>
      <c r="Q5794" s="1616">
        <v>150</v>
      </c>
      <c r="R5794" s="1616">
        <v>150</v>
      </c>
      <c r="S5794" s="1616">
        <v>150</v>
      </c>
      <c r="T5794" s="1616">
        <v>150</v>
      </c>
      <c r="U5794" s="1616">
        <v>150</v>
      </c>
      <c r="V5794" s="1616">
        <v>150</v>
      </c>
      <c r="W5794" s="1616">
        <v>150</v>
      </c>
      <c r="X5794" s="1616">
        <v>150</v>
      </c>
      <c r="Y5794" s="1616">
        <v>150</v>
      </c>
      <c r="Z5794" s="1616">
        <v>150</v>
      </c>
      <c r="AA5794" s="1635">
        <f t="shared" si="929"/>
        <v>1800</v>
      </c>
    </row>
    <row r="5795" spans="1:27" ht="22.5" x14ac:dyDescent="0.2">
      <c r="A5795" s="3995"/>
      <c r="B5795" s="3995"/>
      <c r="C5795" s="3975"/>
      <c r="D5795" s="3973"/>
      <c r="E5795" s="3965"/>
      <c r="F5795" s="3965"/>
      <c r="G5795" s="3965"/>
      <c r="H5795" s="3967"/>
      <c r="I5795" s="3969"/>
      <c r="J5795" s="3969"/>
      <c r="K5795" s="3971"/>
      <c r="L5795" s="3973"/>
      <c r="M5795" s="1827" t="s">
        <v>2174</v>
      </c>
      <c r="N5795" s="1879" t="s">
        <v>1323</v>
      </c>
      <c r="O5795" s="1616">
        <v>100</v>
      </c>
      <c r="P5795" s="1616">
        <v>100</v>
      </c>
      <c r="Q5795" s="1616">
        <v>100</v>
      </c>
      <c r="R5795" s="1616">
        <v>100</v>
      </c>
      <c r="S5795" s="1616">
        <v>100</v>
      </c>
      <c r="T5795" s="1616">
        <v>100</v>
      </c>
      <c r="U5795" s="1616">
        <v>100</v>
      </c>
      <c r="V5795" s="1616">
        <v>100</v>
      </c>
      <c r="W5795" s="1616">
        <v>100</v>
      </c>
      <c r="X5795" s="1616">
        <v>100</v>
      </c>
      <c r="Y5795" s="1616">
        <v>100</v>
      </c>
      <c r="Z5795" s="1616">
        <v>100</v>
      </c>
      <c r="AA5795" s="1635">
        <f t="shared" si="929"/>
        <v>1200</v>
      </c>
    </row>
    <row r="5796" spans="1:27" ht="22.5" x14ac:dyDescent="0.2">
      <c r="A5796" s="3995"/>
      <c r="B5796" s="3995"/>
      <c r="C5796" s="3975"/>
      <c r="D5796" s="3973"/>
      <c r="E5796" s="3965"/>
      <c r="F5796" s="3965"/>
      <c r="G5796" s="3965"/>
      <c r="H5796" s="3967"/>
      <c r="I5796" s="3969"/>
      <c r="J5796" s="3969"/>
      <c r="K5796" s="3971"/>
      <c r="L5796" s="3973"/>
      <c r="M5796" s="1827" t="s">
        <v>2175</v>
      </c>
      <c r="N5796" s="1880" t="s">
        <v>1329</v>
      </c>
      <c r="O5796" s="1616">
        <v>248.5</v>
      </c>
      <c r="P5796" s="1616">
        <v>248.5</v>
      </c>
      <c r="Q5796" s="1616">
        <v>248.5</v>
      </c>
      <c r="R5796" s="1616">
        <v>248.5</v>
      </c>
      <c r="S5796" s="1616">
        <v>248.5</v>
      </c>
      <c r="T5796" s="1616">
        <v>248.5</v>
      </c>
      <c r="U5796" s="1616">
        <v>248.5</v>
      </c>
      <c r="V5796" s="1616">
        <v>248.5</v>
      </c>
      <c r="W5796" s="1616">
        <v>248.5</v>
      </c>
      <c r="X5796" s="1616">
        <v>248.5</v>
      </c>
      <c r="Y5796" s="1616">
        <v>248.5</v>
      </c>
      <c r="Z5796" s="1616">
        <v>248.5</v>
      </c>
      <c r="AA5796" s="1635">
        <f t="shared" si="929"/>
        <v>2982</v>
      </c>
    </row>
    <row r="5797" spans="1:27" ht="33.75" x14ac:dyDescent="0.2">
      <c r="A5797" s="3995"/>
      <c r="B5797" s="3995"/>
      <c r="C5797" s="3975"/>
      <c r="D5797" s="3973"/>
      <c r="E5797" s="3965"/>
      <c r="F5797" s="3965"/>
      <c r="G5797" s="3965"/>
      <c r="H5797" s="3967"/>
      <c r="I5797" s="3969"/>
      <c r="J5797" s="3969"/>
      <c r="K5797" s="3971"/>
      <c r="L5797" s="3973"/>
      <c r="M5797" s="286" t="s">
        <v>2176</v>
      </c>
      <c r="N5797" s="566" t="s">
        <v>1331</v>
      </c>
      <c r="O5797" s="1616">
        <v>6284.16</v>
      </c>
      <c r="P5797" s="1616">
        <v>6284.16</v>
      </c>
      <c r="Q5797" s="1616">
        <v>6284.16</v>
      </c>
      <c r="R5797" s="1616">
        <v>6284.16</v>
      </c>
      <c r="S5797" s="1616">
        <v>6284.16</v>
      </c>
      <c r="T5797" s="1616">
        <v>6284.16</v>
      </c>
      <c r="U5797" s="1616">
        <v>6284.16</v>
      </c>
      <c r="V5797" s="1616">
        <v>6284.16</v>
      </c>
      <c r="W5797" s="1616">
        <v>6284.16</v>
      </c>
      <c r="X5797" s="1616">
        <v>6284.16</v>
      </c>
      <c r="Y5797" s="1616">
        <v>6284.16</v>
      </c>
      <c r="Z5797" s="1616">
        <v>6284.16</v>
      </c>
      <c r="AA5797" s="1635">
        <f t="shared" si="929"/>
        <v>75409.920000000013</v>
      </c>
    </row>
    <row r="5798" spans="1:27" ht="22.5" x14ac:dyDescent="0.2">
      <c r="A5798" s="3995"/>
      <c r="B5798" s="3995"/>
      <c r="C5798" s="3975"/>
      <c r="D5798" s="3973"/>
      <c r="E5798" s="3965"/>
      <c r="F5798" s="3965"/>
      <c r="G5798" s="3965"/>
      <c r="H5798" s="3967"/>
      <c r="I5798" s="3969"/>
      <c r="J5798" s="3969"/>
      <c r="K5798" s="3971"/>
      <c r="L5798" s="3973"/>
      <c r="M5798" s="1881" t="s">
        <v>2177</v>
      </c>
      <c r="N5798" s="1724" t="s">
        <v>1333</v>
      </c>
      <c r="O5798" s="1731">
        <v>438.75</v>
      </c>
      <c r="P5798" s="1731">
        <v>438.75</v>
      </c>
      <c r="Q5798" s="1731">
        <v>438.75</v>
      </c>
      <c r="R5798" s="1731">
        <v>438.75</v>
      </c>
      <c r="S5798" s="1731">
        <v>438.75</v>
      </c>
      <c r="T5798" s="1731">
        <v>438.75</v>
      </c>
      <c r="U5798" s="1731">
        <v>438.75</v>
      </c>
      <c r="V5798" s="1731">
        <v>438.75</v>
      </c>
      <c r="W5798" s="1731">
        <v>438.75</v>
      </c>
      <c r="X5798" s="1731">
        <v>438.75</v>
      </c>
      <c r="Y5798" s="1731">
        <v>438.75</v>
      </c>
      <c r="Z5798" s="1731">
        <v>438.75</v>
      </c>
      <c r="AA5798" s="1618">
        <f t="shared" si="929"/>
        <v>5265</v>
      </c>
    </row>
    <row r="5799" spans="1:27" ht="22.5" x14ac:dyDescent="0.2">
      <c r="A5799" s="3995"/>
      <c r="B5799" s="3995"/>
      <c r="C5799" s="3975"/>
      <c r="D5799" s="3973"/>
      <c r="E5799" s="3965"/>
      <c r="F5799" s="3965"/>
      <c r="G5799" s="3965"/>
      <c r="H5799" s="3967"/>
      <c r="I5799" s="3969"/>
      <c r="J5799" s="3969"/>
      <c r="K5799" s="3971"/>
      <c r="L5799" s="3973"/>
      <c r="M5799" s="286" t="s">
        <v>184</v>
      </c>
      <c r="N5799" s="566" t="s">
        <v>2178</v>
      </c>
      <c r="O5799" s="1616">
        <v>12.8</v>
      </c>
      <c r="P5799" s="1616">
        <v>12.8</v>
      </c>
      <c r="Q5799" s="1616">
        <v>12.8</v>
      </c>
      <c r="R5799" s="1616">
        <v>12.8</v>
      </c>
      <c r="S5799" s="1616">
        <v>12.8</v>
      </c>
      <c r="T5799" s="1616">
        <v>12.8</v>
      </c>
      <c r="U5799" s="1616">
        <v>12.8</v>
      </c>
      <c r="V5799" s="1616">
        <v>12.8</v>
      </c>
      <c r="W5799" s="1616">
        <v>12.8</v>
      </c>
      <c r="X5799" s="1616">
        <v>12.8</v>
      </c>
      <c r="Y5799" s="1616">
        <v>12.8</v>
      </c>
      <c r="Z5799" s="1616">
        <v>12.8</v>
      </c>
      <c r="AA5799" s="1635">
        <f t="shared" si="929"/>
        <v>153.6</v>
      </c>
    </row>
    <row r="5800" spans="1:27" ht="22.5" x14ac:dyDescent="0.2">
      <c r="A5800" s="3995"/>
      <c r="B5800" s="3995"/>
      <c r="C5800" s="3975"/>
      <c r="D5800" s="3973"/>
      <c r="E5800" s="3965"/>
      <c r="F5800" s="3965"/>
      <c r="G5800" s="3965"/>
      <c r="H5800" s="3967"/>
      <c r="I5800" s="3969"/>
      <c r="J5800" s="3969"/>
      <c r="K5800" s="3971"/>
      <c r="L5800" s="3973"/>
      <c r="M5800" s="286" t="s">
        <v>2179</v>
      </c>
      <c r="N5800" s="1827" t="s">
        <v>1586</v>
      </c>
      <c r="O5800" s="1616">
        <v>4583.3</v>
      </c>
      <c r="P5800" s="1616">
        <v>4583.3</v>
      </c>
      <c r="Q5800" s="1616">
        <v>4583.3</v>
      </c>
      <c r="R5800" s="1616">
        <v>4583.3</v>
      </c>
      <c r="S5800" s="1616">
        <v>4583.3</v>
      </c>
      <c r="T5800" s="1616">
        <v>4583.3</v>
      </c>
      <c r="U5800" s="1616">
        <v>4583.3</v>
      </c>
      <c r="V5800" s="1616">
        <v>4583.3</v>
      </c>
      <c r="W5800" s="1616">
        <v>4583.3</v>
      </c>
      <c r="X5800" s="1616">
        <v>4583.3</v>
      </c>
      <c r="Y5800" s="1616">
        <v>4583.3</v>
      </c>
      <c r="Z5800" s="1616">
        <v>4583.3</v>
      </c>
      <c r="AA5800" s="1635">
        <f t="shared" si="929"/>
        <v>54999.600000000013</v>
      </c>
    </row>
    <row r="5801" spans="1:27" ht="12" x14ac:dyDescent="0.2">
      <c r="A5801" s="3995"/>
      <c r="B5801" s="3995"/>
      <c r="C5801" s="3975"/>
      <c r="D5801" s="3973"/>
      <c r="E5801" s="3965"/>
      <c r="F5801" s="3965"/>
      <c r="G5801" s="3965"/>
      <c r="H5801" s="3967"/>
      <c r="I5801" s="3969"/>
      <c r="J5801" s="3969"/>
      <c r="K5801" s="3971"/>
      <c r="L5801" s="3973"/>
      <c r="M5801" s="286" t="s">
        <v>2103</v>
      </c>
      <c r="N5801" s="358" t="s">
        <v>1262</v>
      </c>
      <c r="O5801" s="1616">
        <v>128.19999999999999</v>
      </c>
      <c r="P5801" s="1616">
        <v>128.19999999999999</v>
      </c>
      <c r="Q5801" s="1616">
        <v>128.19999999999999</v>
      </c>
      <c r="R5801" s="1616">
        <v>128.19999999999999</v>
      </c>
      <c r="S5801" s="1616">
        <v>128.19999999999999</v>
      </c>
      <c r="T5801" s="1616">
        <v>128.19999999999999</v>
      </c>
      <c r="U5801" s="1616">
        <v>128.19999999999999</v>
      </c>
      <c r="V5801" s="1616">
        <v>128.19999999999999</v>
      </c>
      <c r="W5801" s="1616">
        <v>128.19999999999999</v>
      </c>
      <c r="X5801" s="1616">
        <v>128.19999999999999</v>
      </c>
      <c r="Y5801" s="1616">
        <v>128.19999999999999</v>
      </c>
      <c r="Z5801" s="1616">
        <v>128.19999999999999</v>
      </c>
      <c r="AA5801" s="1635">
        <f t="shared" si="929"/>
        <v>1538.4000000000003</v>
      </c>
    </row>
    <row r="5802" spans="1:27" ht="22.5" x14ac:dyDescent="0.2">
      <c r="A5802" s="3995"/>
      <c r="B5802" s="3995"/>
      <c r="C5802" s="3975"/>
      <c r="D5802" s="3973"/>
      <c r="E5802" s="3965"/>
      <c r="F5802" s="3965"/>
      <c r="G5802" s="3965"/>
      <c r="H5802" s="3967"/>
      <c r="I5802" s="3969"/>
      <c r="J5802" s="3969"/>
      <c r="K5802" s="3971"/>
      <c r="L5802" s="3973"/>
      <c r="M5802" s="286" t="s">
        <v>2180</v>
      </c>
      <c r="N5802" s="566" t="s">
        <v>2181</v>
      </c>
      <c r="O5802" s="1616">
        <v>417</v>
      </c>
      <c r="P5802" s="1616">
        <v>416.6</v>
      </c>
      <c r="Q5802" s="1616">
        <v>416.6</v>
      </c>
      <c r="R5802" s="1616">
        <v>416.6</v>
      </c>
      <c r="S5802" s="1616">
        <v>416.6</v>
      </c>
      <c r="T5802" s="1616">
        <v>416.6</v>
      </c>
      <c r="U5802" s="1616">
        <v>416.6</v>
      </c>
      <c r="V5802" s="1616">
        <v>416.6</v>
      </c>
      <c r="W5802" s="1616">
        <v>416.6</v>
      </c>
      <c r="X5802" s="1616">
        <v>416.6</v>
      </c>
      <c r="Y5802" s="1616">
        <v>416.6</v>
      </c>
      <c r="Z5802" s="1616">
        <v>416.6</v>
      </c>
      <c r="AA5802" s="1635">
        <f t="shared" si="929"/>
        <v>4999.6000000000004</v>
      </c>
    </row>
    <row r="5803" spans="1:27" ht="22.5" x14ac:dyDescent="0.2">
      <c r="A5803" s="3995"/>
      <c r="B5803" s="3995"/>
      <c r="C5803" s="3972"/>
      <c r="D5803" s="3973"/>
      <c r="E5803" s="2362"/>
      <c r="F5803" s="2362"/>
      <c r="G5803" s="2362"/>
      <c r="H5803" s="3967"/>
      <c r="I5803" s="3969"/>
      <c r="J5803" s="3969"/>
      <c r="K5803" s="3971"/>
      <c r="L5803" s="3973"/>
      <c r="M5803" s="286" t="s">
        <v>2182</v>
      </c>
      <c r="N5803" s="558" t="s">
        <v>2183</v>
      </c>
      <c r="O5803" s="1616">
        <v>4667</v>
      </c>
      <c r="P5803" s="1616">
        <v>4666.6000000000004</v>
      </c>
      <c r="Q5803" s="1616">
        <v>4666.6000000000004</v>
      </c>
      <c r="R5803" s="1616">
        <v>4666.6000000000004</v>
      </c>
      <c r="S5803" s="1616">
        <v>4666.6000000000004</v>
      </c>
      <c r="T5803" s="1616">
        <v>4666.6000000000004</v>
      </c>
      <c r="U5803" s="1616">
        <v>4666.6000000000004</v>
      </c>
      <c r="V5803" s="1616">
        <v>4666.6000000000004</v>
      </c>
      <c r="W5803" s="1616">
        <v>4666.6000000000004</v>
      </c>
      <c r="X5803" s="1616">
        <v>4666.6000000000004</v>
      </c>
      <c r="Y5803" s="1616">
        <v>4666.6000000000004</v>
      </c>
      <c r="Z5803" s="1616">
        <v>4666.6000000000004</v>
      </c>
      <c r="AA5803" s="1635">
        <f t="shared" si="929"/>
        <v>55999.599999999991</v>
      </c>
    </row>
    <row r="5804" spans="1:27" ht="12" x14ac:dyDescent="0.2">
      <c r="A5804" s="1882"/>
      <c r="B5804" s="3974"/>
      <c r="C5804" s="3974" t="s">
        <v>2184</v>
      </c>
      <c r="D5804" s="3976"/>
      <c r="E5804" s="3977"/>
      <c r="F5804" s="3977"/>
      <c r="G5804" s="3977"/>
      <c r="H5804" s="3976"/>
      <c r="I5804" s="3977" t="s">
        <v>2185</v>
      </c>
      <c r="J5804" s="3977">
        <v>700</v>
      </c>
      <c r="K5804" s="3971"/>
      <c r="L5804" s="3976" t="s">
        <v>2186</v>
      </c>
      <c r="M5804" s="4027" t="s">
        <v>51</v>
      </c>
      <c r="N5804" s="4027"/>
      <c r="O5804" s="1616">
        <v>60</v>
      </c>
      <c r="P5804" s="1616">
        <v>60</v>
      </c>
      <c r="Q5804" s="1616">
        <v>58</v>
      </c>
      <c r="R5804" s="1616">
        <v>58</v>
      </c>
      <c r="S5804" s="1616">
        <v>58</v>
      </c>
      <c r="T5804" s="1616">
        <v>58</v>
      </c>
      <c r="U5804" s="1616">
        <v>58</v>
      </c>
      <c r="V5804" s="1616">
        <v>58</v>
      </c>
      <c r="W5804" s="1616">
        <v>58</v>
      </c>
      <c r="X5804" s="1616">
        <v>58</v>
      </c>
      <c r="Y5804" s="1616">
        <v>58</v>
      </c>
      <c r="Z5804" s="1616">
        <v>58</v>
      </c>
      <c r="AA5804" s="1635">
        <f t="shared" si="929"/>
        <v>700</v>
      </c>
    </row>
    <row r="5805" spans="1:27" ht="12" x14ac:dyDescent="0.2">
      <c r="A5805" s="3995"/>
      <c r="B5805" s="3975"/>
      <c r="C5805" s="3975"/>
      <c r="D5805" s="3976"/>
      <c r="E5805" s="3977"/>
      <c r="F5805" s="3977"/>
      <c r="G5805" s="3977"/>
      <c r="H5805" s="3976"/>
      <c r="I5805" s="3977"/>
      <c r="J5805" s="3977"/>
      <c r="K5805" s="3971"/>
      <c r="L5805" s="3976"/>
      <c r="M5805" s="4027" t="s">
        <v>111</v>
      </c>
      <c r="N5805" s="4027"/>
      <c r="O5805" s="1616">
        <f t="shared" ref="O5805:AA5805" si="930">SUM(O5806:O5807)</f>
        <v>141</v>
      </c>
      <c r="P5805" s="1616">
        <f t="shared" si="930"/>
        <v>141</v>
      </c>
      <c r="Q5805" s="1616">
        <f t="shared" si="930"/>
        <v>141</v>
      </c>
      <c r="R5805" s="1616">
        <f t="shared" si="930"/>
        <v>141</v>
      </c>
      <c r="S5805" s="1616">
        <f t="shared" si="930"/>
        <v>141</v>
      </c>
      <c r="T5805" s="1616">
        <f t="shared" si="930"/>
        <v>141</v>
      </c>
      <c r="U5805" s="1616">
        <f t="shared" si="930"/>
        <v>141</v>
      </c>
      <c r="V5805" s="1616">
        <f t="shared" si="930"/>
        <v>141</v>
      </c>
      <c r="W5805" s="1616">
        <f t="shared" si="930"/>
        <v>141</v>
      </c>
      <c r="X5805" s="1616">
        <f t="shared" si="930"/>
        <v>141</v>
      </c>
      <c r="Y5805" s="1616">
        <f t="shared" si="930"/>
        <v>141</v>
      </c>
      <c r="Z5805" s="1616">
        <f t="shared" si="930"/>
        <v>141</v>
      </c>
      <c r="AA5805" s="1622">
        <f t="shared" si="930"/>
        <v>1692.0000000000002</v>
      </c>
    </row>
    <row r="5806" spans="1:27" ht="22.5" x14ac:dyDescent="0.2">
      <c r="A5806" s="3995"/>
      <c r="B5806" s="3975"/>
      <c r="C5806" s="3975"/>
      <c r="D5806" s="3976"/>
      <c r="E5806" s="3977"/>
      <c r="F5806" s="3977"/>
      <c r="G5806" s="3977"/>
      <c r="H5806" s="3976"/>
      <c r="I5806" s="3977"/>
      <c r="J5806" s="3977"/>
      <c r="K5806" s="3971"/>
      <c r="L5806" s="3976"/>
      <c r="M5806" s="286" t="s">
        <v>184</v>
      </c>
      <c r="N5806" s="1725" t="s">
        <v>2178</v>
      </c>
      <c r="O5806" s="1883">
        <v>12.8</v>
      </c>
      <c r="P5806" s="1883">
        <v>12.8</v>
      </c>
      <c r="Q5806" s="1883">
        <v>12.8</v>
      </c>
      <c r="R5806" s="1883">
        <v>12.8</v>
      </c>
      <c r="S5806" s="1883">
        <v>12.8</v>
      </c>
      <c r="T5806" s="1883">
        <v>12.8</v>
      </c>
      <c r="U5806" s="1883">
        <v>12.8</v>
      </c>
      <c r="V5806" s="1883">
        <v>12.8</v>
      </c>
      <c r="W5806" s="1883">
        <v>12.8</v>
      </c>
      <c r="X5806" s="1883">
        <v>12.8</v>
      </c>
      <c r="Y5806" s="1883">
        <v>12.8</v>
      </c>
      <c r="Z5806" s="1883">
        <v>12.8</v>
      </c>
      <c r="AA5806" s="1884">
        <f>SUM(O5806:Z5806)</f>
        <v>153.6</v>
      </c>
    </row>
    <row r="5807" spans="1:27" ht="12" x14ac:dyDescent="0.2">
      <c r="A5807" s="3995"/>
      <c r="B5807" s="3972"/>
      <c r="C5807" s="3972"/>
      <c r="D5807" s="3976"/>
      <c r="E5807" s="3977"/>
      <c r="F5807" s="3977"/>
      <c r="G5807" s="3977"/>
      <c r="H5807" s="3976"/>
      <c r="I5807" s="3977"/>
      <c r="J5807" s="3977"/>
      <c r="K5807" s="3971"/>
      <c r="L5807" s="3976"/>
      <c r="M5807" s="286" t="s">
        <v>2103</v>
      </c>
      <c r="N5807" s="358" t="s">
        <v>1262</v>
      </c>
      <c r="O5807" s="1616">
        <v>128.19999999999999</v>
      </c>
      <c r="P5807" s="1616">
        <v>128.19999999999999</v>
      </c>
      <c r="Q5807" s="1616">
        <v>128.19999999999999</v>
      </c>
      <c r="R5807" s="1616">
        <v>128.19999999999999</v>
      </c>
      <c r="S5807" s="1616">
        <v>128.19999999999999</v>
      </c>
      <c r="T5807" s="1616">
        <v>128.19999999999999</v>
      </c>
      <c r="U5807" s="1616">
        <v>128.19999999999999</v>
      </c>
      <c r="V5807" s="1616">
        <v>128.19999999999999</v>
      </c>
      <c r="W5807" s="1616">
        <v>128.19999999999999</v>
      </c>
      <c r="X5807" s="1616">
        <v>128.19999999999999</v>
      </c>
      <c r="Y5807" s="1616">
        <v>128.19999999999999</v>
      </c>
      <c r="Z5807" s="1616">
        <v>128.19999999999999</v>
      </c>
      <c r="AA5807" s="1635">
        <f>SUM(O5807:Z5807)</f>
        <v>1538.4000000000003</v>
      </c>
    </row>
    <row r="5808" spans="1:27" ht="12" x14ac:dyDescent="0.2">
      <c r="A5808" s="1885"/>
      <c r="B5808" s="2700"/>
      <c r="C5808" s="4028" t="s">
        <v>2187</v>
      </c>
      <c r="D5808" s="3983"/>
      <c r="E5808" s="3980"/>
      <c r="F5808" s="3980"/>
      <c r="G5808" s="3980"/>
      <c r="H5808" s="3983"/>
      <c r="I5808" s="3980" t="s">
        <v>2188</v>
      </c>
      <c r="J5808" s="3980">
        <v>1000</v>
      </c>
      <c r="K5808" s="3986"/>
      <c r="L5808" s="3983" t="s">
        <v>2189</v>
      </c>
      <c r="M5808" s="4027" t="s">
        <v>51</v>
      </c>
      <c r="N5808" s="4027"/>
      <c r="O5808" s="1616">
        <v>85</v>
      </c>
      <c r="P5808" s="1616">
        <v>85</v>
      </c>
      <c r="Q5808" s="1616">
        <v>83</v>
      </c>
      <c r="R5808" s="1616">
        <v>83</v>
      </c>
      <c r="S5808" s="1616">
        <v>83</v>
      </c>
      <c r="T5808" s="1616">
        <v>83</v>
      </c>
      <c r="U5808" s="1616">
        <v>83</v>
      </c>
      <c r="V5808" s="1616">
        <v>83</v>
      </c>
      <c r="W5808" s="1616">
        <v>83</v>
      </c>
      <c r="X5808" s="1616">
        <v>83</v>
      </c>
      <c r="Y5808" s="1616">
        <v>83</v>
      </c>
      <c r="Z5808" s="1616">
        <v>83</v>
      </c>
      <c r="AA5808" s="1635">
        <f>SUM(O5808:Z5808)</f>
        <v>1000</v>
      </c>
    </row>
    <row r="5809" spans="1:27" ht="12" x14ac:dyDescent="0.2">
      <c r="A5809" s="1887"/>
      <c r="B5809" s="2701"/>
      <c r="C5809" s="4029"/>
      <c r="D5809" s="3984"/>
      <c r="E5809" s="3981"/>
      <c r="F5809" s="3981"/>
      <c r="G5809" s="3981"/>
      <c r="H5809" s="3984"/>
      <c r="I5809" s="3981"/>
      <c r="J5809" s="3981"/>
      <c r="K5809" s="3987"/>
      <c r="L5809" s="3984"/>
      <c r="M5809" s="4027" t="s">
        <v>111</v>
      </c>
      <c r="N5809" s="4027"/>
      <c r="O5809" s="1616">
        <f t="shared" ref="O5809:AA5809" si="931">SUM(O5810:O5811)</f>
        <v>141</v>
      </c>
      <c r="P5809" s="1616">
        <f t="shared" si="931"/>
        <v>141</v>
      </c>
      <c r="Q5809" s="1616">
        <f t="shared" si="931"/>
        <v>141</v>
      </c>
      <c r="R5809" s="1616">
        <f t="shared" si="931"/>
        <v>141</v>
      </c>
      <c r="S5809" s="1616">
        <f t="shared" si="931"/>
        <v>141</v>
      </c>
      <c r="T5809" s="1616">
        <f t="shared" si="931"/>
        <v>141</v>
      </c>
      <c r="U5809" s="1616">
        <f t="shared" si="931"/>
        <v>141</v>
      </c>
      <c r="V5809" s="1616">
        <f t="shared" si="931"/>
        <v>141</v>
      </c>
      <c r="W5809" s="1616">
        <f t="shared" si="931"/>
        <v>141</v>
      </c>
      <c r="X5809" s="1616">
        <f t="shared" si="931"/>
        <v>141</v>
      </c>
      <c r="Y5809" s="1616">
        <f t="shared" si="931"/>
        <v>141</v>
      </c>
      <c r="Z5809" s="1616">
        <f t="shared" si="931"/>
        <v>141</v>
      </c>
      <c r="AA5809" s="1622">
        <f t="shared" si="931"/>
        <v>1692.0000000000002</v>
      </c>
    </row>
    <row r="5810" spans="1:27" ht="22.5" x14ac:dyDescent="0.2">
      <c r="A5810" s="1887"/>
      <c r="B5810" s="2701"/>
      <c r="C5810" s="4029"/>
      <c r="D5810" s="3984"/>
      <c r="E5810" s="3981"/>
      <c r="F5810" s="3981"/>
      <c r="G5810" s="3981"/>
      <c r="H5810" s="3984"/>
      <c r="I5810" s="3981"/>
      <c r="J5810" s="3981"/>
      <c r="K5810" s="3987"/>
      <c r="L5810" s="3984"/>
      <c r="M5810" s="286" t="s">
        <v>184</v>
      </c>
      <c r="N5810" s="1725" t="s">
        <v>2178</v>
      </c>
      <c r="O5810" s="1883">
        <v>12.8</v>
      </c>
      <c r="P5810" s="1883">
        <v>12.8</v>
      </c>
      <c r="Q5810" s="1883">
        <v>12.8</v>
      </c>
      <c r="R5810" s="1883">
        <v>12.8</v>
      </c>
      <c r="S5810" s="1883">
        <v>12.8</v>
      </c>
      <c r="T5810" s="1883">
        <v>12.8</v>
      </c>
      <c r="U5810" s="1883">
        <v>12.8</v>
      </c>
      <c r="V5810" s="1883">
        <v>12.8</v>
      </c>
      <c r="W5810" s="1883">
        <v>12.8</v>
      </c>
      <c r="X5810" s="1883">
        <v>12.8</v>
      </c>
      <c r="Y5810" s="1883">
        <v>12.8</v>
      </c>
      <c r="Z5810" s="1883">
        <v>12.8</v>
      </c>
      <c r="AA5810" s="1884">
        <f t="shared" ref="AA5810:AA5816" si="932">SUM(O5810:Z5810)</f>
        <v>153.6</v>
      </c>
    </row>
    <row r="5811" spans="1:27" ht="12" x14ac:dyDescent="0.2">
      <c r="A5811" s="1888"/>
      <c r="B5811" s="2701"/>
      <c r="C5811" s="4029"/>
      <c r="D5811" s="3984"/>
      <c r="E5811" s="3981"/>
      <c r="F5811" s="3981"/>
      <c r="G5811" s="3981"/>
      <c r="H5811" s="3984"/>
      <c r="I5811" s="3981"/>
      <c r="J5811" s="3981"/>
      <c r="K5811" s="3987"/>
      <c r="L5811" s="3984"/>
      <c r="M5811" s="286" t="s">
        <v>2103</v>
      </c>
      <c r="N5811" s="358" t="s">
        <v>1262</v>
      </c>
      <c r="O5811" s="1616">
        <v>128.19999999999999</v>
      </c>
      <c r="P5811" s="1616">
        <v>128.19999999999999</v>
      </c>
      <c r="Q5811" s="1616">
        <v>128.19999999999999</v>
      </c>
      <c r="R5811" s="1616">
        <v>128.19999999999999</v>
      </c>
      <c r="S5811" s="1616">
        <v>128.19999999999999</v>
      </c>
      <c r="T5811" s="1616">
        <v>128.19999999999999</v>
      </c>
      <c r="U5811" s="1616">
        <v>128.19999999999999</v>
      </c>
      <c r="V5811" s="1616">
        <v>128.19999999999999</v>
      </c>
      <c r="W5811" s="1616">
        <v>128.19999999999999</v>
      </c>
      <c r="X5811" s="1616">
        <v>128.19999999999999</v>
      </c>
      <c r="Y5811" s="1616">
        <v>128.19999999999999</v>
      </c>
      <c r="Z5811" s="1616">
        <v>128.19999999999999</v>
      </c>
      <c r="AA5811" s="1635">
        <f t="shared" si="932"/>
        <v>1538.4000000000003</v>
      </c>
    </row>
    <row r="5812" spans="1:27" ht="12" x14ac:dyDescent="0.2">
      <c r="A5812" s="1889"/>
      <c r="B5812" s="2700"/>
      <c r="C5812" s="4028" t="s">
        <v>2190</v>
      </c>
      <c r="D5812" s="3983"/>
      <c r="E5812" s="3980"/>
      <c r="F5812" s="3980"/>
      <c r="G5812" s="3980"/>
      <c r="H5812" s="3983"/>
      <c r="I5812" s="3980" t="s">
        <v>2191</v>
      </c>
      <c r="J5812" s="3980">
        <v>400</v>
      </c>
      <c r="K5812" s="3986"/>
      <c r="L5812" s="3983" t="s">
        <v>2189</v>
      </c>
      <c r="M5812" s="4027" t="s">
        <v>51</v>
      </c>
      <c r="N5812" s="4027"/>
      <c r="O5812" s="1889">
        <v>35</v>
      </c>
      <c r="P5812" s="1889">
        <v>35</v>
      </c>
      <c r="Q5812" s="1889">
        <v>33</v>
      </c>
      <c r="R5812" s="1889">
        <v>33</v>
      </c>
      <c r="S5812" s="1889">
        <v>33</v>
      </c>
      <c r="T5812" s="1889">
        <v>33</v>
      </c>
      <c r="U5812" s="1889">
        <v>33</v>
      </c>
      <c r="V5812" s="1889">
        <v>33</v>
      </c>
      <c r="W5812" s="1889">
        <v>33</v>
      </c>
      <c r="X5812" s="1889">
        <v>33</v>
      </c>
      <c r="Y5812" s="1889">
        <v>33</v>
      </c>
      <c r="Z5812" s="1889">
        <v>33</v>
      </c>
      <c r="AA5812" s="1890">
        <f t="shared" si="932"/>
        <v>400</v>
      </c>
    </row>
    <row r="5813" spans="1:27" ht="12" x14ac:dyDescent="0.2">
      <c r="A5813" s="1887"/>
      <c r="B5813" s="2701"/>
      <c r="C5813" s="4029"/>
      <c r="D5813" s="3984"/>
      <c r="E5813" s="3981"/>
      <c r="F5813" s="3981"/>
      <c r="G5813" s="3981"/>
      <c r="H5813" s="3984"/>
      <c r="I5813" s="3981"/>
      <c r="J5813" s="3981"/>
      <c r="K5813" s="3987"/>
      <c r="L5813" s="3984"/>
      <c r="M5813" s="4027" t="s">
        <v>111</v>
      </c>
      <c r="N5813" s="4027"/>
      <c r="O5813" s="1616">
        <f t="shared" ref="O5813:Z5813" si="933">SUM(O5814:O5815)</f>
        <v>141</v>
      </c>
      <c r="P5813" s="1616">
        <f t="shared" si="933"/>
        <v>141</v>
      </c>
      <c r="Q5813" s="1616">
        <f t="shared" si="933"/>
        <v>141</v>
      </c>
      <c r="R5813" s="1616">
        <f t="shared" si="933"/>
        <v>141</v>
      </c>
      <c r="S5813" s="1616">
        <f t="shared" si="933"/>
        <v>141</v>
      </c>
      <c r="T5813" s="1616">
        <f t="shared" si="933"/>
        <v>141</v>
      </c>
      <c r="U5813" s="1616">
        <f t="shared" si="933"/>
        <v>141</v>
      </c>
      <c r="V5813" s="1616">
        <f t="shared" si="933"/>
        <v>141</v>
      </c>
      <c r="W5813" s="1616">
        <f t="shared" si="933"/>
        <v>141</v>
      </c>
      <c r="X5813" s="1616">
        <f t="shared" si="933"/>
        <v>141</v>
      </c>
      <c r="Y5813" s="1616">
        <f t="shared" si="933"/>
        <v>141</v>
      </c>
      <c r="Z5813" s="1616">
        <f t="shared" si="933"/>
        <v>141</v>
      </c>
      <c r="AA5813" s="1622">
        <f t="shared" si="932"/>
        <v>1692</v>
      </c>
    </row>
    <row r="5814" spans="1:27" ht="22.5" x14ac:dyDescent="0.2">
      <c r="A5814" s="1887"/>
      <c r="B5814" s="2701"/>
      <c r="C5814" s="4029"/>
      <c r="D5814" s="3984"/>
      <c r="E5814" s="3981"/>
      <c r="F5814" s="3981"/>
      <c r="G5814" s="3981"/>
      <c r="H5814" s="3984"/>
      <c r="I5814" s="3981"/>
      <c r="J5814" s="3981"/>
      <c r="K5814" s="3987"/>
      <c r="L5814" s="3984"/>
      <c r="M5814" s="286" t="s">
        <v>184</v>
      </c>
      <c r="N5814" s="1725" t="s">
        <v>2178</v>
      </c>
      <c r="O5814" s="1883">
        <v>12.8</v>
      </c>
      <c r="P5814" s="1883">
        <v>12.8</v>
      </c>
      <c r="Q5814" s="1883">
        <v>12.8</v>
      </c>
      <c r="R5814" s="1883">
        <v>12.8</v>
      </c>
      <c r="S5814" s="1883">
        <v>12.8</v>
      </c>
      <c r="T5814" s="1883">
        <v>12.8</v>
      </c>
      <c r="U5814" s="1883">
        <v>12.8</v>
      </c>
      <c r="V5814" s="1883">
        <v>12.8</v>
      </c>
      <c r="W5814" s="1883">
        <v>12.8</v>
      </c>
      <c r="X5814" s="1883">
        <v>12.8</v>
      </c>
      <c r="Y5814" s="1883">
        <v>12.8</v>
      </c>
      <c r="Z5814" s="1883">
        <v>12.8</v>
      </c>
      <c r="AA5814" s="1884">
        <f t="shared" si="932"/>
        <v>153.6</v>
      </c>
    </row>
    <row r="5815" spans="1:27" ht="12" x14ac:dyDescent="0.2">
      <c r="A5815" s="1891"/>
      <c r="B5815" s="2702"/>
      <c r="C5815" s="4030"/>
      <c r="D5815" s="3985"/>
      <c r="E5815" s="3982"/>
      <c r="F5815" s="3982"/>
      <c r="G5815" s="3982"/>
      <c r="H5815" s="3985"/>
      <c r="I5815" s="3982"/>
      <c r="J5815" s="3982"/>
      <c r="K5815" s="3970"/>
      <c r="L5815" s="3984"/>
      <c r="M5815" s="286" t="s">
        <v>2103</v>
      </c>
      <c r="N5815" s="358" t="s">
        <v>1262</v>
      </c>
      <c r="O5815" s="1616">
        <v>128.19999999999999</v>
      </c>
      <c r="P5815" s="1616">
        <v>128.19999999999999</v>
      </c>
      <c r="Q5815" s="1616">
        <v>128.19999999999999</v>
      </c>
      <c r="R5815" s="1616">
        <v>128.19999999999999</v>
      </c>
      <c r="S5815" s="1616">
        <v>128.19999999999999</v>
      </c>
      <c r="T5815" s="1616">
        <v>128.19999999999999</v>
      </c>
      <c r="U5815" s="1616">
        <v>128.19999999999999</v>
      </c>
      <c r="V5815" s="1616">
        <v>128.19999999999999</v>
      </c>
      <c r="W5815" s="1616">
        <v>128.19999999999999</v>
      </c>
      <c r="X5815" s="1616">
        <v>128.19999999999999</v>
      </c>
      <c r="Y5815" s="1616">
        <v>128.19999999999999</v>
      </c>
      <c r="Z5815" s="1616">
        <v>128.19999999999999</v>
      </c>
      <c r="AA5815" s="1635">
        <f t="shared" si="932"/>
        <v>1538.4000000000003</v>
      </c>
    </row>
    <row r="5816" spans="1:27" ht="12" x14ac:dyDescent="0.2">
      <c r="A5816" s="1889"/>
      <c r="B5816" s="2701"/>
      <c r="C5816" s="4029" t="s">
        <v>2192</v>
      </c>
      <c r="D5816" s="3983"/>
      <c r="E5816" s="3980"/>
      <c r="F5816" s="3980"/>
      <c r="G5816" s="3980"/>
      <c r="H5816" s="3983"/>
      <c r="I5816" s="3980" t="s">
        <v>950</v>
      </c>
      <c r="J5816" s="3980">
        <v>1100</v>
      </c>
      <c r="K5816" s="3986"/>
      <c r="L5816" s="3983" t="s">
        <v>2193</v>
      </c>
      <c r="M5816" s="4027" t="s">
        <v>51</v>
      </c>
      <c r="N5816" s="4027"/>
      <c r="O5816" s="1889">
        <v>99</v>
      </c>
      <c r="P5816" s="1889">
        <v>91</v>
      </c>
      <c r="Q5816" s="1889">
        <v>91</v>
      </c>
      <c r="R5816" s="1889">
        <v>91</v>
      </c>
      <c r="S5816" s="1889">
        <v>91</v>
      </c>
      <c r="T5816" s="1889">
        <v>91</v>
      </c>
      <c r="U5816" s="1889">
        <v>91</v>
      </c>
      <c r="V5816" s="1889">
        <v>91</v>
      </c>
      <c r="W5816" s="1889">
        <v>91</v>
      </c>
      <c r="X5816" s="1889">
        <v>91</v>
      </c>
      <c r="Y5816" s="1889">
        <v>91</v>
      </c>
      <c r="Z5816" s="1889">
        <v>91</v>
      </c>
      <c r="AA5816" s="1890">
        <f t="shared" si="932"/>
        <v>1100</v>
      </c>
    </row>
    <row r="5817" spans="1:27" ht="12" x14ac:dyDescent="0.2">
      <c r="A5817" s="1889"/>
      <c r="B5817" s="2701"/>
      <c r="C5817" s="4029"/>
      <c r="D5817" s="3984"/>
      <c r="E5817" s="3981"/>
      <c r="F5817" s="3981"/>
      <c r="G5817" s="3981"/>
      <c r="H5817" s="3984"/>
      <c r="I5817" s="3981"/>
      <c r="J5817" s="3981"/>
      <c r="K5817" s="3987"/>
      <c r="L5817" s="3984"/>
      <c r="M5817" s="4027" t="s">
        <v>111</v>
      </c>
      <c r="N5817" s="4027"/>
      <c r="O5817" s="1616">
        <f t="shared" ref="O5817:Z5817" si="934">SUM(O5818:O5819)</f>
        <v>141</v>
      </c>
      <c r="P5817" s="1616">
        <f t="shared" si="934"/>
        <v>141</v>
      </c>
      <c r="Q5817" s="1616">
        <f t="shared" si="934"/>
        <v>141</v>
      </c>
      <c r="R5817" s="1616">
        <f t="shared" si="934"/>
        <v>141</v>
      </c>
      <c r="S5817" s="1616">
        <f t="shared" si="934"/>
        <v>141</v>
      </c>
      <c r="T5817" s="1616">
        <f t="shared" si="934"/>
        <v>141</v>
      </c>
      <c r="U5817" s="1616">
        <f t="shared" si="934"/>
        <v>141</v>
      </c>
      <c r="V5817" s="1616">
        <f t="shared" si="934"/>
        <v>141</v>
      </c>
      <c r="W5817" s="1616">
        <f t="shared" si="934"/>
        <v>141</v>
      </c>
      <c r="X5817" s="1616">
        <f t="shared" si="934"/>
        <v>141</v>
      </c>
      <c r="Y5817" s="1616">
        <f t="shared" si="934"/>
        <v>141</v>
      </c>
      <c r="Z5817" s="1616">
        <f t="shared" si="934"/>
        <v>141</v>
      </c>
      <c r="AA5817" s="1890"/>
    </row>
    <row r="5818" spans="1:27" ht="22.5" x14ac:dyDescent="0.2">
      <c r="A5818" s="1889"/>
      <c r="B5818" s="2701"/>
      <c r="C5818" s="4029"/>
      <c r="D5818" s="3984"/>
      <c r="E5818" s="3981"/>
      <c r="F5818" s="3981"/>
      <c r="G5818" s="3981"/>
      <c r="H5818" s="3984"/>
      <c r="I5818" s="3981"/>
      <c r="J5818" s="3981"/>
      <c r="K5818" s="3987"/>
      <c r="L5818" s="3984"/>
      <c r="M5818" s="286" t="s">
        <v>184</v>
      </c>
      <c r="N5818" s="1725" t="s">
        <v>2178</v>
      </c>
      <c r="O5818" s="1883">
        <v>12.8</v>
      </c>
      <c r="P5818" s="1883">
        <v>12.8</v>
      </c>
      <c r="Q5818" s="1883">
        <v>12.8</v>
      </c>
      <c r="R5818" s="1883">
        <v>12.8</v>
      </c>
      <c r="S5818" s="1883">
        <v>12.8</v>
      </c>
      <c r="T5818" s="1883">
        <v>12.8</v>
      </c>
      <c r="U5818" s="1883">
        <v>12.8</v>
      </c>
      <c r="V5818" s="1883">
        <v>12.8</v>
      </c>
      <c r="W5818" s="1883">
        <v>12.8</v>
      </c>
      <c r="X5818" s="1883">
        <v>12.8</v>
      </c>
      <c r="Y5818" s="1883">
        <v>12.8</v>
      </c>
      <c r="Z5818" s="1883">
        <v>12.8</v>
      </c>
      <c r="AA5818" s="1884">
        <f>SUM(O5818:Z5818)</f>
        <v>153.6</v>
      </c>
    </row>
    <row r="5819" spans="1:27" ht="12" x14ac:dyDescent="0.2">
      <c r="A5819" s="1889"/>
      <c r="B5819" s="2702"/>
      <c r="C5819" s="4030"/>
      <c r="D5819" s="3985"/>
      <c r="E5819" s="3982"/>
      <c r="F5819" s="3982"/>
      <c r="G5819" s="3982"/>
      <c r="H5819" s="3985"/>
      <c r="I5819" s="3982"/>
      <c r="J5819" s="3982"/>
      <c r="K5819" s="3970"/>
      <c r="L5819" s="3985"/>
      <c r="M5819" s="286" t="s">
        <v>2103</v>
      </c>
      <c r="N5819" s="358" t="s">
        <v>1262</v>
      </c>
      <c r="O5819" s="1616">
        <v>128.19999999999999</v>
      </c>
      <c r="P5819" s="1616">
        <v>128.19999999999999</v>
      </c>
      <c r="Q5819" s="1616">
        <v>128.19999999999999</v>
      </c>
      <c r="R5819" s="1616">
        <v>128.19999999999999</v>
      </c>
      <c r="S5819" s="1616">
        <v>128.19999999999999</v>
      </c>
      <c r="T5819" s="1616">
        <v>128.19999999999999</v>
      </c>
      <c r="U5819" s="1616">
        <v>128.19999999999999</v>
      </c>
      <c r="V5819" s="1616">
        <v>128.19999999999999</v>
      </c>
      <c r="W5819" s="1616">
        <v>128.19999999999999</v>
      </c>
      <c r="X5819" s="1616">
        <v>128.19999999999999</v>
      </c>
      <c r="Y5819" s="1616">
        <v>128.19999999999999</v>
      </c>
      <c r="Z5819" s="1616">
        <v>128.19999999999999</v>
      </c>
      <c r="AA5819" s="1635">
        <f>SUM(O5819:Z5819)</f>
        <v>1538.4000000000003</v>
      </c>
    </row>
    <row r="5820" spans="1:27" ht="12" x14ac:dyDescent="0.2">
      <c r="A5820" s="1889"/>
      <c r="B5820" s="2700"/>
      <c r="C5820" s="4028" t="s">
        <v>2194</v>
      </c>
      <c r="D5820" s="3983"/>
      <c r="E5820" s="3980"/>
      <c r="F5820" s="3980"/>
      <c r="G5820" s="3980"/>
      <c r="H5820" s="3983"/>
      <c r="I5820" s="3980" t="s">
        <v>2195</v>
      </c>
      <c r="J5820" s="3980">
        <v>1100</v>
      </c>
      <c r="K5820" s="3986"/>
      <c r="L5820" s="3983" t="s">
        <v>2196</v>
      </c>
      <c r="M5820" s="4027" t="s">
        <v>51</v>
      </c>
      <c r="N5820" s="4027"/>
      <c r="O5820" s="1889">
        <v>99</v>
      </c>
      <c r="P5820" s="1889">
        <v>91</v>
      </c>
      <c r="Q5820" s="1889">
        <v>91</v>
      </c>
      <c r="R5820" s="1889">
        <v>91</v>
      </c>
      <c r="S5820" s="1889">
        <v>91</v>
      </c>
      <c r="T5820" s="1889">
        <v>91</v>
      </c>
      <c r="U5820" s="1889">
        <v>91</v>
      </c>
      <c r="V5820" s="1889">
        <v>91</v>
      </c>
      <c r="W5820" s="1889">
        <v>91</v>
      </c>
      <c r="X5820" s="1889">
        <v>91</v>
      </c>
      <c r="Y5820" s="1889">
        <v>91</v>
      </c>
      <c r="Z5820" s="1889">
        <v>91</v>
      </c>
      <c r="AA5820" s="1890">
        <f>SUM(O5820:Z5820)</f>
        <v>1100</v>
      </c>
    </row>
    <row r="5821" spans="1:27" ht="12" x14ac:dyDescent="0.2">
      <c r="A5821" s="1889"/>
      <c r="B5821" s="2701"/>
      <c r="C5821" s="4029"/>
      <c r="D5821" s="3984"/>
      <c r="E5821" s="3981"/>
      <c r="F5821" s="3981"/>
      <c r="G5821" s="3981"/>
      <c r="H5821" s="3984"/>
      <c r="I5821" s="3981"/>
      <c r="J5821" s="3981"/>
      <c r="K5821" s="3987"/>
      <c r="L5821" s="3984"/>
      <c r="M5821" s="4027" t="s">
        <v>111</v>
      </c>
      <c r="N5821" s="4027"/>
      <c r="O5821" s="1616">
        <f t="shared" ref="O5821:Z5821" si="935">SUM(O5822:O5823)</f>
        <v>141</v>
      </c>
      <c r="P5821" s="1616">
        <f t="shared" si="935"/>
        <v>141</v>
      </c>
      <c r="Q5821" s="1616">
        <f t="shared" si="935"/>
        <v>141</v>
      </c>
      <c r="R5821" s="1616">
        <f t="shared" si="935"/>
        <v>141</v>
      </c>
      <c r="S5821" s="1616">
        <f t="shared" si="935"/>
        <v>141</v>
      </c>
      <c r="T5821" s="1616">
        <f t="shared" si="935"/>
        <v>141</v>
      </c>
      <c r="U5821" s="1616">
        <f t="shared" si="935"/>
        <v>141</v>
      </c>
      <c r="V5821" s="1616">
        <f t="shared" si="935"/>
        <v>141</v>
      </c>
      <c r="W5821" s="1616">
        <f t="shared" si="935"/>
        <v>141</v>
      </c>
      <c r="X5821" s="1616">
        <f t="shared" si="935"/>
        <v>141</v>
      </c>
      <c r="Y5821" s="1616">
        <f t="shared" si="935"/>
        <v>141</v>
      </c>
      <c r="Z5821" s="1616">
        <f t="shared" si="935"/>
        <v>141</v>
      </c>
      <c r="AA5821" s="1890"/>
    </row>
    <row r="5822" spans="1:27" ht="22.5" x14ac:dyDescent="0.2">
      <c r="A5822" s="1889"/>
      <c r="B5822" s="2701"/>
      <c r="C5822" s="4029"/>
      <c r="D5822" s="3984"/>
      <c r="E5822" s="3981"/>
      <c r="F5822" s="3981"/>
      <c r="G5822" s="3981"/>
      <c r="H5822" s="3984"/>
      <c r="I5822" s="3981"/>
      <c r="J5822" s="3981"/>
      <c r="K5822" s="3987"/>
      <c r="L5822" s="3984"/>
      <c r="M5822" s="286" t="s">
        <v>184</v>
      </c>
      <c r="N5822" s="1725" t="s">
        <v>2178</v>
      </c>
      <c r="O5822" s="1883">
        <v>12.8</v>
      </c>
      <c r="P5822" s="1883">
        <v>12.8</v>
      </c>
      <c r="Q5822" s="1883">
        <v>12.8</v>
      </c>
      <c r="R5822" s="1883">
        <v>12.8</v>
      </c>
      <c r="S5822" s="1883">
        <v>12.8</v>
      </c>
      <c r="T5822" s="1883">
        <v>12.8</v>
      </c>
      <c r="U5822" s="1883">
        <v>12.8</v>
      </c>
      <c r="V5822" s="1883">
        <v>12.8</v>
      </c>
      <c r="W5822" s="1883">
        <v>12.8</v>
      </c>
      <c r="X5822" s="1883">
        <v>12.8</v>
      </c>
      <c r="Y5822" s="1883">
        <v>12.8</v>
      </c>
      <c r="Z5822" s="1883">
        <v>12.8</v>
      </c>
      <c r="AA5822" s="1884">
        <f>SUM(O5822:Z5822)</f>
        <v>153.6</v>
      </c>
    </row>
    <row r="5823" spans="1:27" ht="12" x14ac:dyDescent="0.2">
      <c r="A5823" s="1889"/>
      <c r="B5823" s="2702"/>
      <c r="C5823" s="4030"/>
      <c r="D5823" s="3985"/>
      <c r="E5823" s="3982"/>
      <c r="F5823" s="3982"/>
      <c r="G5823" s="3982"/>
      <c r="H5823" s="3985"/>
      <c r="I5823" s="3982"/>
      <c r="J5823" s="3982"/>
      <c r="K5823" s="3970"/>
      <c r="L5823" s="3985"/>
      <c r="M5823" s="286" t="s">
        <v>2103</v>
      </c>
      <c r="N5823" s="358" t="s">
        <v>1262</v>
      </c>
      <c r="O5823" s="1616">
        <v>128.19999999999999</v>
      </c>
      <c r="P5823" s="1616">
        <v>128.19999999999999</v>
      </c>
      <c r="Q5823" s="1616">
        <v>128.19999999999999</v>
      </c>
      <c r="R5823" s="1616">
        <v>128.19999999999999</v>
      </c>
      <c r="S5823" s="1616">
        <v>128.19999999999999</v>
      </c>
      <c r="T5823" s="1616">
        <v>128.19999999999999</v>
      </c>
      <c r="U5823" s="1616">
        <v>128.19999999999999</v>
      </c>
      <c r="V5823" s="1616">
        <v>128.19999999999999</v>
      </c>
      <c r="W5823" s="1616">
        <v>128.19999999999999</v>
      </c>
      <c r="X5823" s="1616">
        <v>128.19999999999999</v>
      </c>
      <c r="Y5823" s="1616">
        <v>128.19999999999999</v>
      </c>
      <c r="Z5823" s="1616">
        <v>128.19999999999999</v>
      </c>
      <c r="AA5823" s="1635">
        <f>SUM(O5823:Z5823)</f>
        <v>1538.4000000000003</v>
      </c>
    </row>
    <row r="5824" spans="1:27" ht="12" x14ac:dyDescent="0.2">
      <c r="A5824" s="1889"/>
      <c r="B5824" s="2700"/>
      <c r="C5824" s="4028" t="s">
        <v>2197</v>
      </c>
      <c r="D5824" s="3983"/>
      <c r="E5824" s="3980"/>
      <c r="F5824" s="3980"/>
      <c r="G5824" s="3980"/>
      <c r="H5824" s="3983"/>
      <c r="I5824" s="3980" t="s">
        <v>2198</v>
      </c>
      <c r="J5824" s="3980">
        <v>3900</v>
      </c>
      <c r="K5824" s="3986"/>
      <c r="L5824" s="3983" t="s">
        <v>2199</v>
      </c>
      <c r="M5824" s="4027" t="s">
        <v>51</v>
      </c>
      <c r="N5824" s="4027"/>
      <c r="O5824" s="1889">
        <v>325</v>
      </c>
      <c r="P5824" s="1889">
        <v>325</v>
      </c>
      <c r="Q5824" s="1889">
        <v>325</v>
      </c>
      <c r="R5824" s="1889">
        <v>325</v>
      </c>
      <c r="S5824" s="1889">
        <v>325</v>
      </c>
      <c r="T5824" s="1889">
        <v>325</v>
      </c>
      <c r="U5824" s="1889">
        <v>325</v>
      </c>
      <c r="V5824" s="1889">
        <v>325</v>
      </c>
      <c r="W5824" s="1889">
        <v>325</v>
      </c>
      <c r="X5824" s="1889">
        <v>325</v>
      </c>
      <c r="Y5824" s="1889">
        <v>325</v>
      </c>
      <c r="Z5824" s="1889">
        <v>325</v>
      </c>
      <c r="AA5824" s="1890">
        <f>SUM(O5824:Z5824)</f>
        <v>3900</v>
      </c>
    </row>
    <row r="5825" spans="1:27" ht="12" x14ac:dyDescent="0.2">
      <c r="A5825" s="1889"/>
      <c r="B5825" s="2701"/>
      <c r="C5825" s="4029"/>
      <c r="D5825" s="3984"/>
      <c r="E5825" s="3981"/>
      <c r="F5825" s="3981"/>
      <c r="G5825" s="3981"/>
      <c r="H5825" s="3984"/>
      <c r="I5825" s="3981"/>
      <c r="J5825" s="3981"/>
      <c r="K5825" s="3987"/>
      <c r="L5825" s="3984"/>
      <c r="M5825" s="4027" t="s">
        <v>111</v>
      </c>
      <c r="N5825" s="4027"/>
      <c r="O5825" s="1616">
        <f t="shared" ref="O5825:Z5825" si="936">SUM(O5826:O5827)</f>
        <v>141</v>
      </c>
      <c r="P5825" s="1616">
        <f t="shared" si="936"/>
        <v>141</v>
      </c>
      <c r="Q5825" s="1616">
        <f t="shared" si="936"/>
        <v>141</v>
      </c>
      <c r="R5825" s="1616">
        <f t="shared" si="936"/>
        <v>141</v>
      </c>
      <c r="S5825" s="1616">
        <f t="shared" si="936"/>
        <v>141</v>
      </c>
      <c r="T5825" s="1616">
        <f t="shared" si="936"/>
        <v>141</v>
      </c>
      <c r="U5825" s="1616">
        <f t="shared" si="936"/>
        <v>141</v>
      </c>
      <c r="V5825" s="1616">
        <f t="shared" si="936"/>
        <v>141</v>
      </c>
      <c r="W5825" s="1616">
        <f t="shared" si="936"/>
        <v>141</v>
      </c>
      <c r="X5825" s="1616">
        <f t="shared" si="936"/>
        <v>141</v>
      </c>
      <c r="Y5825" s="1616">
        <f t="shared" si="936"/>
        <v>141</v>
      </c>
      <c r="Z5825" s="1616">
        <f t="shared" si="936"/>
        <v>141</v>
      </c>
      <c r="AA5825" s="1890"/>
    </row>
    <row r="5826" spans="1:27" ht="22.5" x14ac:dyDescent="0.2">
      <c r="A5826" s="1889"/>
      <c r="B5826" s="2701"/>
      <c r="C5826" s="4029"/>
      <c r="D5826" s="3984"/>
      <c r="E5826" s="3981"/>
      <c r="F5826" s="3981"/>
      <c r="G5826" s="3981"/>
      <c r="H5826" s="3984"/>
      <c r="I5826" s="3981"/>
      <c r="J5826" s="3981"/>
      <c r="K5826" s="3987"/>
      <c r="L5826" s="3984"/>
      <c r="M5826" s="286" t="s">
        <v>184</v>
      </c>
      <c r="N5826" s="1725" t="s">
        <v>2178</v>
      </c>
      <c r="O5826" s="1883">
        <v>12.8</v>
      </c>
      <c r="P5826" s="1883">
        <v>12.8</v>
      </c>
      <c r="Q5826" s="1883">
        <v>12.8</v>
      </c>
      <c r="R5826" s="1883">
        <v>12.8</v>
      </c>
      <c r="S5826" s="1883">
        <v>12.8</v>
      </c>
      <c r="T5826" s="1883">
        <v>12.8</v>
      </c>
      <c r="U5826" s="1883">
        <v>12.8</v>
      </c>
      <c r="V5826" s="1883">
        <v>12.8</v>
      </c>
      <c r="W5826" s="1883">
        <v>12.8</v>
      </c>
      <c r="X5826" s="1883">
        <v>12.8</v>
      </c>
      <c r="Y5826" s="1883">
        <v>12.8</v>
      </c>
      <c r="Z5826" s="1883">
        <v>12.8</v>
      </c>
      <c r="AA5826" s="1884">
        <f>SUM(O5826:Z5826)</f>
        <v>153.6</v>
      </c>
    </row>
    <row r="5827" spans="1:27" ht="12" x14ac:dyDescent="0.2">
      <c r="A5827" s="1889"/>
      <c r="B5827" s="2702"/>
      <c r="C5827" s="4030"/>
      <c r="D5827" s="3985"/>
      <c r="E5827" s="3982"/>
      <c r="F5827" s="3982"/>
      <c r="G5827" s="3982"/>
      <c r="H5827" s="3985"/>
      <c r="I5827" s="3982"/>
      <c r="J5827" s="3982"/>
      <c r="K5827" s="3970"/>
      <c r="L5827" s="3985"/>
      <c r="M5827" s="286" t="s">
        <v>2103</v>
      </c>
      <c r="N5827" s="358" t="s">
        <v>1262</v>
      </c>
      <c r="O5827" s="1616">
        <v>128.19999999999999</v>
      </c>
      <c r="P5827" s="1616">
        <v>128.19999999999999</v>
      </c>
      <c r="Q5827" s="1616">
        <v>128.19999999999999</v>
      </c>
      <c r="R5827" s="1616">
        <v>128.19999999999999</v>
      </c>
      <c r="S5827" s="1616">
        <v>128.19999999999999</v>
      </c>
      <c r="T5827" s="1616">
        <v>128.19999999999999</v>
      </c>
      <c r="U5827" s="1616">
        <v>128.19999999999999</v>
      </c>
      <c r="V5827" s="1616">
        <v>128.19999999999999</v>
      </c>
      <c r="W5827" s="1616">
        <v>128.19999999999999</v>
      </c>
      <c r="X5827" s="1616">
        <v>128.19999999999999</v>
      </c>
      <c r="Y5827" s="1616">
        <v>128.19999999999999</v>
      </c>
      <c r="Z5827" s="1616">
        <v>128.19999999999999</v>
      </c>
      <c r="AA5827" s="1635">
        <f>SUM(O5827:Z5827)</f>
        <v>1538.4000000000003</v>
      </c>
    </row>
    <row r="5828" spans="1:27" ht="12" x14ac:dyDescent="0.2">
      <c r="A5828" s="1889"/>
      <c r="B5828" s="2700"/>
      <c r="C5828" s="4028" t="s">
        <v>2200</v>
      </c>
      <c r="D5828" s="3983"/>
      <c r="E5828" s="3980"/>
      <c r="F5828" s="3980"/>
      <c r="G5828" s="3980"/>
      <c r="H5828" s="3983"/>
      <c r="I5828" s="3980" t="s">
        <v>2201</v>
      </c>
      <c r="J5828" s="3980">
        <v>100</v>
      </c>
      <c r="K5828" s="3986"/>
      <c r="L5828" s="3983" t="s">
        <v>2199</v>
      </c>
      <c r="M5828" s="4027" t="s">
        <v>51</v>
      </c>
      <c r="N5828" s="4027"/>
      <c r="O5828" s="1889">
        <v>8</v>
      </c>
      <c r="P5828" s="1889">
        <v>8</v>
      </c>
      <c r="Q5828" s="1889">
        <v>8</v>
      </c>
      <c r="R5828" s="1889">
        <v>8</v>
      </c>
      <c r="S5828" s="1889">
        <v>8</v>
      </c>
      <c r="T5828" s="1889">
        <v>10</v>
      </c>
      <c r="U5828" s="1889">
        <v>10</v>
      </c>
      <c r="V5828" s="1889">
        <v>8</v>
      </c>
      <c r="W5828" s="1889">
        <v>8</v>
      </c>
      <c r="X5828" s="1889">
        <v>8</v>
      </c>
      <c r="Y5828" s="1889">
        <v>8</v>
      </c>
      <c r="Z5828" s="1889">
        <v>8</v>
      </c>
      <c r="AA5828" s="1890">
        <f>SUM(O5828:Z5828)</f>
        <v>100</v>
      </c>
    </row>
    <row r="5829" spans="1:27" ht="12" x14ac:dyDescent="0.2">
      <c r="A5829" s="1889"/>
      <c r="B5829" s="2701"/>
      <c r="C5829" s="4029"/>
      <c r="D5829" s="3984"/>
      <c r="E5829" s="3981"/>
      <c r="F5829" s="3981"/>
      <c r="G5829" s="3981"/>
      <c r="H5829" s="3984"/>
      <c r="I5829" s="3981"/>
      <c r="J5829" s="3981"/>
      <c r="K5829" s="3987"/>
      <c r="L5829" s="3984"/>
      <c r="M5829" s="4027" t="s">
        <v>111</v>
      </c>
      <c r="N5829" s="4027"/>
      <c r="O5829" s="1616">
        <f t="shared" ref="O5829:Z5829" si="937">SUM(O5830:O5831)</f>
        <v>141</v>
      </c>
      <c r="P5829" s="1616">
        <f t="shared" si="937"/>
        <v>141</v>
      </c>
      <c r="Q5829" s="1616">
        <f t="shared" si="937"/>
        <v>141</v>
      </c>
      <c r="R5829" s="1616">
        <f t="shared" si="937"/>
        <v>141</v>
      </c>
      <c r="S5829" s="1616">
        <f t="shared" si="937"/>
        <v>141</v>
      </c>
      <c r="T5829" s="1616">
        <f t="shared" si="937"/>
        <v>141</v>
      </c>
      <c r="U5829" s="1616">
        <f t="shared" si="937"/>
        <v>141</v>
      </c>
      <c r="V5829" s="1616">
        <f t="shared" si="937"/>
        <v>141</v>
      </c>
      <c r="W5829" s="1616">
        <f t="shared" si="937"/>
        <v>141</v>
      </c>
      <c r="X5829" s="1616">
        <f t="shared" si="937"/>
        <v>141</v>
      </c>
      <c r="Y5829" s="1616">
        <f t="shared" si="937"/>
        <v>141</v>
      </c>
      <c r="Z5829" s="1616">
        <f t="shared" si="937"/>
        <v>141</v>
      </c>
      <c r="AA5829" s="1890"/>
    </row>
    <row r="5830" spans="1:27" ht="22.5" x14ac:dyDescent="0.2">
      <c r="A5830" s="1889"/>
      <c r="B5830" s="2701"/>
      <c r="C5830" s="4029"/>
      <c r="D5830" s="3984"/>
      <c r="E5830" s="3981"/>
      <c r="F5830" s="3981"/>
      <c r="G5830" s="3981"/>
      <c r="H5830" s="3984"/>
      <c r="I5830" s="3981"/>
      <c r="J5830" s="3981"/>
      <c r="K5830" s="3987"/>
      <c r="L5830" s="3984"/>
      <c r="M5830" s="286" t="s">
        <v>184</v>
      </c>
      <c r="N5830" s="1725" t="s">
        <v>2178</v>
      </c>
      <c r="O5830" s="1883">
        <v>12.8</v>
      </c>
      <c r="P5830" s="1883">
        <v>12.8</v>
      </c>
      <c r="Q5830" s="1883">
        <v>12.8</v>
      </c>
      <c r="R5830" s="1883">
        <v>12.8</v>
      </c>
      <c r="S5830" s="1883">
        <v>12.8</v>
      </c>
      <c r="T5830" s="1883">
        <v>12.8</v>
      </c>
      <c r="U5830" s="1883">
        <v>12.8</v>
      </c>
      <c r="V5830" s="1883">
        <v>12.8</v>
      </c>
      <c r="W5830" s="1883">
        <v>12.8</v>
      </c>
      <c r="X5830" s="1883">
        <v>12.8</v>
      </c>
      <c r="Y5830" s="1883">
        <v>12.8</v>
      </c>
      <c r="Z5830" s="1883">
        <v>12.8</v>
      </c>
      <c r="AA5830" s="1884">
        <f>SUM(O5830:Z5830)</f>
        <v>153.6</v>
      </c>
    </row>
    <row r="5831" spans="1:27" ht="12" x14ac:dyDescent="0.2">
      <c r="A5831" s="1889"/>
      <c r="B5831" s="2702"/>
      <c r="C5831" s="4030"/>
      <c r="D5831" s="3985"/>
      <c r="E5831" s="3982"/>
      <c r="F5831" s="3982"/>
      <c r="G5831" s="3982"/>
      <c r="H5831" s="3985"/>
      <c r="I5831" s="3982"/>
      <c r="J5831" s="3982"/>
      <c r="K5831" s="3970"/>
      <c r="L5831" s="3985"/>
      <c r="M5831" s="286" t="s">
        <v>2103</v>
      </c>
      <c r="N5831" s="358" t="s">
        <v>1262</v>
      </c>
      <c r="O5831" s="1616">
        <v>128.19999999999999</v>
      </c>
      <c r="P5831" s="1616">
        <v>128.19999999999999</v>
      </c>
      <c r="Q5831" s="1616">
        <v>128.19999999999999</v>
      </c>
      <c r="R5831" s="1616">
        <v>128.19999999999999</v>
      </c>
      <c r="S5831" s="1616">
        <v>128.19999999999999</v>
      </c>
      <c r="T5831" s="1616">
        <v>128.19999999999999</v>
      </c>
      <c r="U5831" s="1616">
        <v>128.19999999999999</v>
      </c>
      <c r="V5831" s="1616">
        <v>128.19999999999999</v>
      </c>
      <c r="W5831" s="1616">
        <v>128.19999999999999</v>
      </c>
      <c r="X5831" s="1616">
        <v>128.19999999999999</v>
      </c>
      <c r="Y5831" s="1616">
        <v>128.19999999999999</v>
      </c>
      <c r="Z5831" s="1616">
        <v>128.19999999999999</v>
      </c>
      <c r="AA5831" s="1635">
        <f>SUM(O5831:Z5831)</f>
        <v>1538.4000000000003</v>
      </c>
    </row>
    <row r="5832" spans="1:27" ht="12" x14ac:dyDescent="0.2">
      <c r="A5832" s="1889"/>
      <c r="B5832" s="2700"/>
      <c r="C5832" s="4028" t="s">
        <v>2202</v>
      </c>
      <c r="D5832" s="3983"/>
      <c r="E5832" s="3980"/>
      <c r="F5832" s="3980"/>
      <c r="G5832" s="3980"/>
      <c r="H5832" s="3983"/>
      <c r="I5832" s="3980" t="s">
        <v>2203</v>
      </c>
      <c r="J5832" s="3980">
        <v>1300</v>
      </c>
      <c r="K5832" s="3986"/>
      <c r="L5832" s="3983" t="s">
        <v>2199</v>
      </c>
      <c r="M5832" s="4027" t="s">
        <v>51</v>
      </c>
      <c r="N5832" s="4027"/>
      <c r="O5832" s="1889">
        <v>108</v>
      </c>
      <c r="P5832" s="1889">
        <v>108</v>
      </c>
      <c r="Q5832" s="1889">
        <v>108</v>
      </c>
      <c r="R5832" s="1889">
        <v>108</v>
      </c>
      <c r="S5832" s="1889">
        <v>110</v>
      </c>
      <c r="T5832" s="1889">
        <v>110</v>
      </c>
      <c r="U5832" s="1889">
        <v>108</v>
      </c>
      <c r="V5832" s="1889">
        <v>108</v>
      </c>
      <c r="W5832" s="1889">
        <v>108</v>
      </c>
      <c r="X5832" s="1889">
        <v>108</v>
      </c>
      <c r="Y5832" s="1889">
        <v>108</v>
      </c>
      <c r="Z5832" s="1889">
        <v>108</v>
      </c>
      <c r="AA5832" s="1890">
        <f>SUM(O5832:Z5832)</f>
        <v>1300</v>
      </c>
    </row>
    <row r="5833" spans="1:27" ht="12" x14ac:dyDescent="0.2">
      <c r="A5833" s="1889"/>
      <c r="B5833" s="2701"/>
      <c r="C5833" s="4029"/>
      <c r="D5833" s="3984"/>
      <c r="E5833" s="3981"/>
      <c r="F5833" s="3981"/>
      <c r="G5833" s="3981"/>
      <c r="H5833" s="3984"/>
      <c r="I5833" s="3981"/>
      <c r="J5833" s="3981"/>
      <c r="K5833" s="3987"/>
      <c r="L5833" s="3984"/>
      <c r="M5833" s="4027" t="s">
        <v>111</v>
      </c>
      <c r="N5833" s="4027"/>
      <c r="O5833" s="1616">
        <f t="shared" ref="O5833:Z5833" si="938">SUM(O5834:O5835)</f>
        <v>141</v>
      </c>
      <c r="P5833" s="1616">
        <f t="shared" si="938"/>
        <v>141</v>
      </c>
      <c r="Q5833" s="1616">
        <f t="shared" si="938"/>
        <v>141</v>
      </c>
      <c r="R5833" s="1616">
        <f t="shared" si="938"/>
        <v>141</v>
      </c>
      <c r="S5833" s="1616">
        <f t="shared" si="938"/>
        <v>141</v>
      </c>
      <c r="T5833" s="1616">
        <f t="shared" si="938"/>
        <v>141</v>
      </c>
      <c r="U5833" s="1616">
        <f t="shared" si="938"/>
        <v>141</v>
      </c>
      <c r="V5833" s="1616">
        <f t="shared" si="938"/>
        <v>141</v>
      </c>
      <c r="W5833" s="1616">
        <f t="shared" si="938"/>
        <v>141</v>
      </c>
      <c r="X5833" s="1616">
        <f t="shared" si="938"/>
        <v>141</v>
      </c>
      <c r="Y5833" s="1616">
        <f t="shared" si="938"/>
        <v>141</v>
      </c>
      <c r="Z5833" s="1616">
        <f t="shared" si="938"/>
        <v>141</v>
      </c>
      <c r="AA5833" s="1890"/>
    </row>
    <row r="5834" spans="1:27" ht="22.5" x14ac:dyDescent="0.2">
      <c r="A5834" s="1889"/>
      <c r="B5834" s="2701"/>
      <c r="C5834" s="4029"/>
      <c r="D5834" s="3984"/>
      <c r="E5834" s="3981"/>
      <c r="F5834" s="3981"/>
      <c r="G5834" s="3981"/>
      <c r="H5834" s="3984"/>
      <c r="I5834" s="3981"/>
      <c r="J5834" s="3981"/>
      <c r="K5834" s="3987"/>
      <c r="L5834" s="3984"/>
      <c r="M5834" s="286" t="s">
        <v>184</v>
      </c>
      <c r="N5834" s="1725" t="s">
        <v>2178</v>
      </c>
      <c r="O5834" s="1883">
        <v>12.8</v>
      </c>
      <c r="P5834" s="1883">
        <v>12.8</v>
      </c>
      <c r="Q5834" s="1883">
        <v>12.8</v>
      </c>
      <c r="R5834" s="1883">
        <v>12.8</v>
      </c>
      <c r="S5834" s="1883">
        <v>12.8</v>
      </c>
      <c r="T5834" s="1883">
        <v>12.8</v>
      </c>
      <c r="U5834" s="1883">
        <v>12.8</v>
      </c>
      <c r="V5834" s="1883">
        <v>12.8</v>
      </c>
      <c r="W5834" s="1883">
        <v>12.8</v>
      </c>
      <c r="X5834" s="1883">
        <v>12.8</v>
      </c>
      <c r="Y5834" s="1883">
        <v>12.8</v>
      </c>
      <c r="Z5834" s="1883">
        <v>12.8</v>
      </c>
      <c r="AA5834" s="1884">
        <f>SUM(O5834:Z5834)</f>
        <v>153.6</v>
      </c>
    </row>
    <row r="5835" spans="1:27" ht="12" x14ac:dyDescent="0.2">
      <c r="A5835" s="1889"/>
      <c r="B5835" s="2702"/>
      <c r="C5835" s="4030"/>
      <c r="D5835" s="3985"/>
      <c r="E5835" s="3982"/>
      <c r="F5835" s="3982"/>
      <c r="G5835" s="3982"/>
      <c r="H5835" s="3985"/>
      <c r="I5835" s="3982"/>
      <c r="J5835" s="3982"/>
      <c r="K5835" s="3970"/>
      <c r="L5835" s="3985"/>
      <c r="M5835" s="286" t="s">
        <v>2103</v>
      </c>
      <c r="N5835" s="358" t="s">
        <v>1262</v>
      </c>
      <c r="O5835" s="1616">
        <v>128.19999999999999</v>
      </c>
      <c r="P5835" s="1616">
        <v>128.19999999999999</v>
      </c>
      <c r="Q5835" s="1616">
        <v>128.19999999999999</v>
      </c>
      <c r="R5835" s="1616">
        <v>128.19999999999999</v>
      </c>
      <c r="S5835" s="1616">
        <v>128.19999999999999</v>
      </c>
      <c r="T5835" s="1616">
        <v>128.19999999999999</v>
      </c>
      <c r="U5835" s="1616">
        <v>128.19999999999999</v>
      </c>
      <c r="V5835" s="1616">
        <v>128.19999999999999</v>
      </c>
      <c r="W5835" s="1616">
        <v>128.19999999999999</v>
      </c>
      <c r="X5835" s="1616">
        <v>128.19999999999999</v>
      </c>
      <c r="Y5835" s="1616">
        <v>128.19999999999999</v>
      </c>
      <c r="Z5835" s="1616">
        <v>128.19999999999999</v>
      </c>
      <c r="AA5835" s="1635">
        <f>SUM(O5835:Z5835)</f>
        <v>1538.4000000000003</v>
      </c>
    </row>
    <row r="5836" spans="1:27" ht="12" x14ac:dyDescent="0.2">
      <c r="A5836" s="1889"/>
      <c r="B5836" s="4041"/>
      <c r="C5836" s="4031" t="s">
        <v>2204</v>
      </c>
      <c r="D5836" s="3983"/>
      <c r="E5836" s="3980"/>
      <c r="F5836" s="3980"/>
      <c r="G5836" s="3980"/>
      <c r="H5836" s="3983"/>
      <c r="I5836" s="3980" t="s">
        <v>2191</v>
      </c>
      <c r="J5836" s="3980">
        <v>9</v>
      </c>
      <c r="K5836" s="3986"/>
      <c r="L5836" s="3983" t="s">
        <v>2167</v>
      </c>
      <c r="M5836" s="4027" t="s">
        <v>51</v>
      </c>
      <c r="N5836" s="4027"/>
      <c r="O5836" s="1889"/>
      <c r="P5836" s="1889"/>
      <c r="Q5836" s="1889">
        <v>1</v>
      </c>
      <c r="R5836" s="1889">
        <v>1</v>
      </c>
      <c r="S5836" s="1889">
        <v>1</v>
      </c>
      <c r="T5836" s="1889">
        <v>1</v>
      </c>
      <c r="U5836" s="1889">
        <v>1</v>
      </c>
      <c r="V5836" s="1889">
        <v>1</v>
      </c>
      <c r="W5836" s="1889">
        <v>1</v>
      </c>
      <c r="X5836" s="1889">
        <v>1</v>
      </c>
      <c r="Y5836" s="1889">
        <v>1</v>
      </c>
      <c r="Z5836" s="1889"/>
      <c r="AA5836" s="1890">
        <f>SUM(O5836:Z5836)</f>
        <v>9</v>
      </c>
    </row>
    <row r="5837" spans="1:27" ht="12" x14ac:dyDescent="0.2">
      <c r="A5837" s="1889"/>
      <c r="B5837" s="4042"/>
      <c r="C5837" s="4032"/>
      <c r="D5837" s="3984"/>
      <c r="E5837" s="3981"/>
      <c r="F5837" s="3981"/>
      <c r="G5837" s="3981"/>
      <c r="H5837" s="3984"/>
      <c r="I5837" s="3981"/>
      <c r="J5837" s="3981"/>
      <c r="K5837" s="3987"/>
      <c r="L5837" s="3984"/>
      <c r="M5837" s="4027" t="s">
        <v>111</v>
      </c>
      <c r="N5837" s="4027"/>
      <c r="O5837" s="1616">
        <f t="shared" ref="O5837:Z5837" si="939">SUM(O5838:O5839)</f>
        <v>141</v>
      </c>
      <c r="P5837" s="1616">
        <f t="shared" si="939"/>
        <v>141</v>
      </c>
      <c r="Q5837" s="1616">
        <f t="shared" si="939"/>
        <v>141</v>
      </c>
      <c r="R5837" s="1616">
        <f t="shared" si="939"/>
        <v>141</v>
      </c>
      <c r="S5837" s="1616">
        <f t="shared" si="939"/>
        <v>141</v>
      </c>
      <c r="T5837" s="1616">
        <f t="shared" si="939"/>
        <v>141</v>
      </c>
      <c r="U5837" s="1616">
        <f t="shared" si="939"/>
        <v>141</v>
      </c>
      <c r="V5837" s="1616">
        <f t="shared" si="939"/>
        <v>141</v>
      </c>
      <c r="W5837" s="1616">
        <f t="shared" si="939"/>
        <v>141</v>
      </c>
      <c r="X5837" s="1616">
        <f t="shared" si="939"/>
        <v>141</v>
      </c>
      <c r="Y5837" s="1616">
        <f t="shared" si="939"/>
        <v>141</v>
      </c>
      <c r="Z5837" s="1616">
        <f t="shared" si="939"/>
        <v>141</v>
      </c>
      <c r="AA5837" s="1890"/>
    </row>
    <row r="5838" spans="1:27" ht="22.5" x14ac:dyDescent="0.2">
      <c r="A5838" s="1889"/>
      <c r="B5838" s="4042"/>
      <c r="C5838" s="4032"/>
      <c r="D5838" s="3984"/>
      <c r="E5838" s="3981"/>
      <c r="F5838" s="3981"/>
      <c r="G5838" s="3981"/>
      <c r="H5838" s="3984"/>
      <c r="I5838" s="3981"/>
      <c r="J5838" s="3981"/>
      <c r="K5838" s="3987"/>
      <c r="L5838" s="3984"/>
      <c r="M5838" s="286" t="s">
        <v>184</v>
      </c>
      <c r="N5838" s="1725" t="s">
        <v>2178</v>
      </c>
      <c r="O5838" s="1883">
        <v>12.8</v>
      </c>
      <c r="P5838" s="1883">
        <v>12.8</v>
      </c>
      <c r="Q5838" s="1883">
        <v>12.8</v>
      </c>
      <c r="R5838" s="1883">
        <v>12.8</v>
      </c>
      <c r="S5838" s="1883">
        <v>12.8</v>
      </c>
      <c r="T5838" s="1883">
        <v>12.8</v>
      </c>
      <c r="U5838" s="1883">
        <v>12.8</v>
      </c>
      <c r="V5838" s="1883">
        <v>12.8</v>
      </c>
      <c r="W5838" s="1883">
        <v>12.8</v>
      </c>
      <c r="X5838" s="1883">
        <v>12.8</v>
      </c>
      <c r="Y5838" s="1883">
        <v>12.8</v>
      </c>
      <c r="Z5838" s="1883">
        <v>12.8</v>
      </c>
      <c r="AA5838" s="1884">
        <f>SUM(O5838:Z5838)</f>
        <v>153.6</v>
      </c>
    </row>
    <row r="5839" spans="1:27" ht="12" x14ac:dyDescent="0.2">
      <c r="A5839" s="1889"/>
      <c r="B5839" s="4043"/>
      <c r="C5839" s="4033"/>
      <c r="D5839" s="3985"/>
      <c r="E5839" s="3982"/>
      <c r="F5839" s="3982"/>
      <c r="G5839" s="3982"/>
      <c r="H5839" s="3985"/>
      <c r="I5839" s="3982"/>
      <c r="J5839" s="3982"/>
      <c r="K5839" s="3970"/>
      <c r="L5839" s="3985"/>
      <c r="M5839" s="286" t="s">
        <v>2103</v>
      </c>
      <c r="N5839" s="358" t="s">
        <v>1262</v>
      </c>
      <c r="O5839" s="1616">
        <v>128.19999999999999</v>
      </c>
      <c r="P5839" s="1616">
        <v>128.19999999999999</v>
      </c>
      <c r="Q5839" s="1616">
        <v>128.19999999999999</v>
      </c>
      <c r="R5839" s="1616">
        <v>128.19999999999999</v>
      </c>
      <c r="S5839" s="1616">
        <v>128.19999999999999</v>
      </c>
      <c r="T5839" s="1616">
        <v>128.19999999999999</v>
      </c>
      <c r="U5839" s="1616">
        <v>128.19999999999999</v>
      </c>
      <c r="V5839" s="1616">
        <v>128.19999999999999</v>
      </c>
      <c r="W5839" s="1616">
        <v>128.19999999999999</v>
      </c>
      <c r="X5839" s="1616">
        <v>128.19999999999999</v>
      </c>
      <c r="Y5839" s="1616">
        <v>128.19999999999999</v>
      </c>
      <c r="Z5839" s="1616">
        <v>128.19999999999999</v>
      </c>
      <c r="AA5839" s="1635">
        <f>SUM(O5839:Z5839)</f>
        <v>1538.4000000000003</v>
      </c>
    </row>
    <row r="5840" spans="1:27" ht="12" x14ac:dyDescent="0.2">
      <c r="A5840" s="1889"/>
      <c r="B5840" s="2700"/>
      <c r="C5840" s="4028" t="s">
        <v>2205</v>
      </c>
      <c r="D5840" s="3983"/>
      <c r="E5840" s="3980"/>
      <c r="F5840" s="3980"/>
      <c r="G5840" s="3980"/>
      <c r="H5840" s="3983"/>
      <c r="I5840" s="3980" t="s">
        <v>2201</v>
      </c>
      <c r="J5840" s="3980">
        <v>12</v>
      </c>
      <c r="K5840" s="3986"/>
      <c r="L5840" s="3983" t="s">
        <v>2206</v>
      </c>
      <c r="M5840" s="4027" t="s">
        <v>51</v>
      </c>
      <c r="N5840" s="4027"/>
      <c r="O5840" s="1889">
        <v>1</v>
      </c>
      <c r="P5840" s="1889">
        <v>1</v>
      </c>
      <c r="Q5840" s="1889">
        <v>1</v>
      </c>
      <c r="R5840" s="1889">
        <v>1</v>
      </c>
      <c r="S5840" s="1889">
        <v>1</v>
      </c>
      <c r="T5840" s="1889">
        <v>1</v>
      </c>
      <c r="U5840" s="1889">
        <v>1</v>
      </c>
      <c r="V5840" s="1889">
        <v>1</v>
      </c>
      <c r="W5840" s="1889">
        <v>1</v>
      </c>
      <c r="X5840" s="1889">
        <v>1</v>
      </c>
      <c r="Y5840" s="1889">
        <v>1</v>
      </c>
      <c r="Z5840" s="1889">
        <v>1</v>
      </c>
      <c r="AA5840" s="1890">
        <f>SUM(O5840:Z5840)</f>
        <v>12</v>
      </c>
    </row>
    <row r="5841" spans="1:27" ht="12" x14ac:dyDescent="0.2">
      <c r="A5841" s="1889"/>
      <c r="B5841" s="2701"/>
      <c r="C5841" s="4029"/>
      <c r="D5841" s="3984"/>
      <c r="E5841" s="3981"/>
      <c r="F5841" s="3981"/>
      <c r="G5841" s="3981"/>
      <c r="H5841" s="3984"/>
      <c r="I5841" s="3981"/>
      <c r="J5841" s="3981"/>
      <c r="K5841" s="3987"/>
      <c r="L5841" s="3984"/>
      <c r="M5841" s="4027" t="s">
        <v>111</v>
      </c>
      <c r="N5841" s="4027"/>
      <c r="O5841" s="1616">
        <f t="shared" ref="O5841:Z5841" si="940">SUM(O5842:O5843)</f>
        <v>141</v>
      </c>
      <c r="P5841" s="1616">
        <f t="shared" si="940"/>
        <v>141</v>
      </c>
      <c r="Q5841" s="1616">
        <f t="shared" si="940"/>
        <v>141</v>
      </c>
      <c r="R5841" s="1616">
        <f t="shared" si="940"/>
        <v>141</v>
      </c>
      <c r="S5841" s="1616">
        <f t="shared" si="940"/>
        <v>141</v>
      </c>
      <c r="T5841" s="1616">
        <f t="shared" si="940"/>
        <v>141</v>
      </c>
      <c r="U5841" s="1616">
        <f t="shared" si="940"/>
        <v>141</v>
      </c>
      <c r="V5841" s="1616">
        <f t="shared" si="940"/>
        <v>141</v>
      </c>
      <c r="W5841" s="1616">
        <f t="shared" si="940"/>
        <v>141</v>
      </c>
      <c r="X5841" s="1616">
        <f t="shared" si="940"/>
        <v>141</v>
      </c>
      <c r="Y5841" s="1616">
        <f t="shared" si="940"/>
        <v>141</v>
      </c>
      <c r="Z5841" s="1616">
        <f t="shared" si="940"/>
        <v>141</v>
      </c>
      <c r="AA5841" s="1890"/>
    </row>
    <row r="5842" spans="1:27" ht="22.5" x14ac:dyDescent="0.2">
      <c r="A5842" s="1889"/>
      <c r="B5842" s="2701"/>
      <c r="C5842" s="4029"/>
      <c r="D5842" s="3984"/>
      <c r="E5842" s="3981"/>
      <c r="F5842" s="3981"/>
      <c r="G5842" s="3981"/>
      <c r="H5842" s="3984"/>
      <c r="I5842" s="3981"/>
      <c r="J5842" s="3981"/>
      <c r="K5842" s="3987"/>
      <c r="L5842" s="3984"/>
      <c r="M5842" s="286" t="s">
        <v>184</v>
      </c>
      <c r="N5842" s="1725" t="s">
        <v>2178</v>
      </c>
      <c r="O5842" s="1883">
        <v>12.8</v>
      </c>
      <c r="P5842" s="1883">
        <v>12.8</v>
      </c>
      <c r="Q5842" s="1883">
        <v>12.8</v>
      </c>
      <c r="R5842" s="1883">
        <v>12.8</v>
      </c>
      <c r="S5842" s="1883">
        <v>12.8</v>
      </c>
      <c r="T5842" s="1883">
        <v>12.8</v>
      </c>
      <c r="U5842" s="1883">
        <v>12.8</v>
      </c>
      <c r="V5842" s="1883">
        <v>12.8</v>
      </c>
      <c r="W5842" s="1883">
        <v>12.8</v>
      </c>
      <c r="X5842" s="1883">
        <v>12.8</v>
      </c>
      <c r="Y5842" s="1883">
        <v>12.8</v>
      </c>
      <c r="Z5842" s="1883">
        <v>12.8</v>
      </c>
      <c r="AA5842" s="1884">
        <f>SUM(O5842:Z5842)</f>
        <v>153.6</v>
      </c>
    </row>
    <row r="5843" spans="1:27" ht="12" x14ac:dyDescent="0.2">
      <c r="A5843" s="1889"/>
      <c r="B5843" s="2702"/>
      <c r="C5843" s="4030"/>
      <c r="D5843" s="3985"/>
      <c r="E5843" s="3982"/>
      <c r="F5843" s="3982"/>
      <c r="G5843" s="3982"/>
      <c r="H5843" s="3985"/>
      <c r="I5843" s="3982"/>
      <c r="J5843" s="3982"/>
      <c r="K5843" s="3970"/>
      <c r="L5843" s="3985"/>
      <c r="M5843" s="286" t="s">
        <v>2103</v>
      </c>
      <c r="N5843" s="358" t="s">
        <v>1262</v>
      </c>
      <c r="O5843" s="1616">
        <v>128.19999999999999</v>
      </c>
      <c r="P5843" s="1616">
        <v>128.19999999999999</v>
      </c>
      <c r="Q5843" s="1616">
        <v>128.19999999999999</v>
      </c>
      <c r="R5843" s="1616">
        <v>128.19999999999999</v>
      </c>
      <c r="S5843" s="1616">
        <v>128.19999999999999</v>
      </c>
      <c r="T5843" s="1616">
        <v>128.19999999999999</v>
      </c>
      <c r="U5843" s="1616">
        <v>128.19999999999999</v>
      </c>
      <c r="V5843" s="1616">
        <v>128.19999999999999</v>
      </c>
      <c r="W5843" s="1616">
        <v>128.19999999999999</v>
      </c>
      <c r="X5843" s="1616">
        <v>128.19999999999999</v>
      </c>
      <c r="Y5843" s="1616">
        <v>128.19999999999999</v>
      </c>
      <c r="Z5843" s="1616">
        <v>128.19999999999999</v>
      </c>
      <c r="AA5843" s="1635">
        <f>SUM(O5843:Z5843)</f>
        <v>1538.4000000000003</v>
      </c>
    </row>
    <row r="5844" spans="1:27" ht="12" x14ac:dyDescent="0.2">
      <c r="A5844" s="1889"/>
      <c r="B5844" s="2700"/>
      <c r="C5844" s="4028" t="s">
        <v>2207</v>
      </c>
      <c r="D5844" s="3983"/>
      <c r="E5844" s="3980"/>
      <c r="F5844" s="3980"/>
      <c r="G5844" s="3980"/>
      <c r="H5844" s="3983"/>
      <c r="I5844" s="3980" t="s">
        <v>2208</v>
      </c>
      <c r="J5844" s="3980">
        <v>2</v>
      </c>
      <c r="K5844" s="3986"/>
      <c r="L5844" s="3983" t="s">
        <v>2206</v>
      </c>
      <c r="M5844" s="4027" t="s">
        <v>51</v>
      </c>
      <c r="N5844" s="4027"/>
      <c r="O5844" s="1889"/>
      <c r="P5844" s="1889"/>
      <c r="Q5844" s="1889"/>
      <c r="R5844" s="1889">
        <v>1</v>
      </c>
      <c r="S5844" s="1889"/>
      <c r="T5844" s="1889"/>
      <c r="U5844" s="1889"/>
      <c r="V5844" s="1889"/>
      <c r="W5844" s="1889"/>
      <c r="X5844" s="1889">
        <v>1</v>
      </c>
      <c r="Y5844" s="1889"/>
      <c r="Z5844" s="1889"/>
      <c r="AA5844" s="1890">
        <f>SUM(O5844:Z5844)</f>
        <v>2</v>
      </c>
    </row>
    <row r="5845" spans="1:27" ht="12" x14ac:dyDescent="0.2">
      <c r="A5845" s="1889"/>
      <c r="B5845" s="2701"/>
      <c r="C5845" s="4029"/>
      <c r="D5845" s="3984"/>
      <c r="E5845" s="3981"/>
      <c r="F5845" s="3981"/>
      <c r="G5845" s="3981"/>
      <c r="H5845" s="3984"/>
      <c r="I5845" s="3981"/>
      <c r="J5845" s="3981"/>
      <c r="K5845" s="3987"/>
      <c r="L5845" s="3984"/>
      <c r="M5845" s="4027" t="s">
        <v>111</v>
      </c>
      <c r="N5845" s="4027"/>
      <c r="O5845" s="1616">
        <f t="shared" ref="O5845:Z5845" si="941">SUM(O5846:O5847)</f>
        <v>141</v>
      </c>
      <c r="P5845" s="1616">
        <f t="shared" si="941"/>
        <v>141</v>
      </c>
      <c r="Q5845" s="1616">
        <f t="shared" si="941"/>
        <v>141</v>
      </c>
      <c r="R5845" s="1616">
        <f t="shared" si="941"/>
        <v>141</v>
      </c>
      <c r="S5845" s="1616">
        <f t="shared" si="941"/>
        <v>141</v>
      </c>
      <c r="T5845" s="1616">
        <f t="shared" si="941"/>
        <v>141</v>
      </c>
      <c r="U5845" s="1616">
        <f t="shared" si="941"/>
        <v>141</v>
      </c>
      <c r="V5845" s="1616">
        <f t="shared" si="941"/>
        <v>141</v>
      </c>
      <c r="W5845" s="1616">
        <f t="shared" si="941"/>
        <v>141</v>
      </c>
      <c r="X5845" s="1616">
        <f t="shared" si="941"/>
        <v>141</v>
      </c>
      <c r="Y5845" s="1616">
        <f t="shared" si="941"/>
        <v>141</v>
      </c>
      <c r="Z5845" s="1616">
        <f t="shared" si="941"/>
        <v>141</v>
      </c>
      <c r="AA5845" s="1890"/>
    </row>
    <row r="5846" spans="1:27" ht="22.5" x14ac:dyDescent="0.2">
      <c r="A5846" s="1889"/>
      <c r="B5846" s="2701"/>
      <c r="C5846" s="4029"/>
      <c r="D5846" s="3984"/>
      <c r="E5846" s="3981"/>
      <c r="F5846" s="3981"/>
      <c r="G5846" s="3981"/>
      <c r="H5846" s="3984"/>
      <c r="I5846" s="3981"/>
      <c r="J5846" s="3981"/>
      <c r="K5846" s="3987"/>
      <c r="L5846" s="3984"/>
      <c r="M5846" s="286" t="s">
        <v>184</v>
      </c>
      <c r="N5846" s="1725" t="s">
        <v>2178</v>
      </c>
      <c r="O5846" s="1883">
        <v>12.8</v>
      </c>
      <c r="P5846" s="1883">
        <v>12.8</v>
      </c>
      <c r="Q5846" s="1883">
        <v>12.8</v>
      </c>
      <c r="R5846" s="1883">
        <v>12.8</v>
      </c>
      <c r="S5846" s="1883">
        <v>12.8</v>
      </c>
      <c r="T5846" s="1883">
        <v>12.8</v>
      </c>
      <c r="U5846" s="1883">
        <v>12.8</v>
      </c>
      <c r="V5846" s="1883">
        <v>12.8</v>
      </c>
      <c r="W5846" s="1883">
        <v>12.8</v>
      </c>
      <c r="X5846" s="1883">
        <v>12.8</v>
      </c>
      <c r="Y5846" s="1883">
        <v>12.8</v>
      </c>
      <c r="Z5846" s="1883">
        <v>12.8</v>
      </c>
      <c r="AA5846" s="1884">
        <f>SUM(O5846:Z5846)</f>
        <v>153.6</v>
      </c>
    </row>
    <row r="5847" spans="1:27" ht="12" x14ac:dyDescent="0.2">
      <c r="A5847" s="1889"/>
      <c r="B5847" s="2702"/>
      <c r="C5847" s="4030"/>
      <c r="D5847" s="3985"/>
      <c r="E5847" s="3982"/>
      <c r="F5847" s="3982"/>
      <c r="G5847" s="3982"/>
      <c r="H5847" s="3985"/>
      <c r="I5847" s="3982"/>
      <c r="J5847" s="3982"/>
      <c r="K5847" s="3970"/>
      <c r="L5847" s="3985"/>
      <c r="M5847" s="286" t="s">
        <v>2103</v>
      </c>
      <c r="N5847" s="358" t="s">
        <v>1262</v>
      </c>
      <c r="O5847" s="1616">
        <v>128.19999999999999</v>
      </c>
      <c r="P5847" s="1616">
        <v>128.19999999999999</v>
      </c>
      <c r="Q5847" s="1616">
        <v>128.19999999999999</v>
      </c>
      <c r="R5847" s="1616">
        <v>128.19999999999999</v>
      </c>
      <c r="S5847" s="1616">
        <v>128.19999999999999</v>
      </c>
      <c r="T5847" s="1616">
        <v>128.19999999999999</v>
      </c>
      <c r="U5847" s="1616">
        <v>128.19999999999999</v>
      </c>
      <c r="V5847" s="1616">
        <v>128.19999999999999</v>
      </c>
      <c r="W5847" s="1616">
        <v>128.19999999999999</v>
      </c>
      <c r="X5847" s="1616">
        <v>128.19999999999999</v>
      </c>
      <c r="Y5847" s="1616">
        <v>128.19999999999999</v>
      </c>
      <c r="Z5847" s="1616">
        <v>128.19999999999999</v>
      </c>
      <c r="AA5847" s="1635">
        <f>SUM(O5847:Z5847)</f>
        <v>1538.4000000000003</v>
      </c>
    </row>
    <row r="5848" spans="1:27" ht="12" x14ac:dyDescent="0.2">
      <c r="A5848" s="1889"/>
      <c r="B5848" s="2700"/>
      <c r="C5848" s="4028" t="s">
        <v>2209</v>
      </c>
      <c r="D5848" s="3983"/>
      <c r="E5848" s="3980"/>
      <c r="F5848" s="3980"/>
      <c r="G5848" s="3980"/>
      <c r="H5848" s="3983"/>
      <c r="I5848" s="3980" t="s">
        <v>2208</v>
      </c>
      <c r="J5848" s="3980">
        <v>3</v>
      </c>
      <c r="K5848" s="3986"/>
      <c r="L5848" s="3983" t="s">
        <v>2167</v>
      </c>
      <c r="M5848" s="4027" t="s">
        <v>51</v>
      </c>
      <c r="N5848" s="4027"/>
      <c r="O5848" s="1889"/>
      <c r="P5848" s="1889"/>
      <c r="Q5848" s="1889">
        <v>1</v>
      </c>
      <c r="R5848" s="1889"/>
      <c r="S5848" s="1889"/>
      <c r="T5848" s="1889">
        <v>1</v>
      </c>
      <c r="U5848" s="1889"/>
      <c r="V5848" s="1889"/>
      <c r="W5848" s="1889">
        <v>1</v>
      </c>
      <c r="X5848" s="1889"/>
      <c r="Y5848" s="1889"/>
      <c r="Z5848" s="1889"/>
      <c r="AA5848" s="1890">
        <f>SUM(O5848:Z5848)</f>
        <v>3</v>
      </c>
    </row>
    <row r="5849" spans="1:27" ht="12" x14ac:dyDescent="0.2">
      <c r="A5849" s="1889"/>
      <c r="B5849" s="2701"/>
      <c r="C5849" s="4029"/>
      <c r="D5849" s="3984"/>
      <c r="E5849" s="3981"/>
      <c r="F5849" s="3981"/>
      <c r="G5849" s="3981"/>
      <c r="H5849" s="3984"/>
      <c r="I5849" s="3981"/>
      <c r="J5849" s="3981"/>
      <c r="K5849" s="3987"/>
      <c r="L5849" s="3984"/>
      <c r="M5849" s="4027" t="s">
        <v>111</v>
      </c>
      <c r="N5849" s="4027"/>
      <c r="O5849" s="1616">
        <f t="shared" ref="O5849:Z5849" si="942">SUM(O5850:O5851)</f>
        <v>141</v>
      </c>
      <c r="P5849" s="1616">
        <f t="shared" si="942"/>
        <v>141</v>
      </c>
      <c r="Q5849" s="1616">
        <f t="shared" si="942"/>
        <v>141</v>
      </c>
      <c r="R5849" s="1616">
        <f t="shared" si="942"/>
        <v>141</v>
      </c>
      <c r="S5849" s="1616">
        <f t="shared" si="942"/>
        <v>141</v>
      </c>
      <c r="T5849" s="1616">
        <f t="shared" si="942"/>
        <v>141</v>
      </c>
      <c r="U5849" s="1616">
        <f t="shared" si="942"/>
        <v>141</v>
      </c>
      <c r="V5849" s="1616">
        <f t="shared" si="942"/>
        <v>141</v>
      </c>
      <c r="W5849" s="1616">
        <f t="shared" si="942"/>
        <v>141</v>
      </c>
      <c r="X5849" s="1616">
        <f t="shared" si="942"/>
        <v>141</v>
      </c>
      <c r="Y5849" s="1616">
        <f t="shared" si="942"/>
        <v>141</v>
      </c>
      <c r="Z5849" s="1616">
        <f t="shared" si="942"/>
        <v>141</v>
      </c>
      <c r="AA5849" s="1890"/>
    </row>
    <row r="5850" spans="1:27" ht="22.5" x14ac:dyDescent="0.2">
      <c r="A5850" s="1889"/>
      <c r="B5850" s="2701"/>
      <c r="C5850" s="4029"/>
      <c r="D5850" s="3984"/>
      <c r="E5850" s="3981"/>
      <c r="F5850" s="3981"/>
      <c r="G5850" s="3981"/>
      <c r="H5850" s="3984"/>
      <c r="I5850" s="3981"/>
      <c r="J5850" s="3981"/>
      <c r="K5850" s="3987"/>
      <c r="L5850" s="3984"/>
      <c r="M5850" s="286" t="s">
        <v>184</v>
      </c>
      <c r="N5850" s="1725" t="s">
        <v>2178</v>
      </c>
      <c r="O5850" s="1883">
        <v>12.8</v>
      </c>
      <c r="P5850" s="1883">
        <v>12.8</v>
      </c>
      <c r="Q5850" s="1883">
        <v>12.8</v>
      </c>
      <c r="R5850" s="1883">
        <v>12.8</v>
      </c>
      <c r="S5850" s="1883">
        <v>12.8</v>
      </c>
      <c r="T5850" s="1883">
        <v>12.8</v>
      </c>
      <c r="U5850" s="1883">
        <v>12.8</v>
      </c>
      <c r="V5850" s="1883">
        <v>12.8</v>
      </c>
      <c r="W5850" s="1883">
        <v>12.8</v>
      </c>
      <c r="X5850" s="1883">
        <v>12.8</v>
      </c>
      <c r="Y5850" s="1883">
        <v>12.8</v>
      </c>
      <c r="Z5850" s="1883">
        <v>12.8</v>
      </c>
      <c r="AA5850" s="1884">
        <f>SUM(O5850:Z5850)</f>
        <v>153.6</v>
      </c>
    </row>
    <row r="5851" spans="1:27" ht="12" x14ac:dyDescent="0.2">
      <c r="A5851" s="1889"/>
      <c r="B5851" s="2702"/>
      <c r="C5851" s="4030"/>
      <c r="D5851" s="3985"/>
      <c r="E5851" s="3982"/>
      <c r="F5851" s="3982"/>
      <c r="G5851" s="3982"/>
      <c r="H5851" s="3985"/>
      <c r="I5851" s="3982"/>
      <c r="J5851" s="3982"/>
      <c r="K5851" s="3970"/>
      <c r="L5851" s="3985"/>
      <c r="M5851" s="286" t="s">
        <v>2103</v>
      </c>
      <c r="N5851" s="358" t="s">
        <v>1262</v>
      </c>
      <c r="O5851" s="1616">
        <v>128.19999999999999</v>
      </c>
      <c r="P5851" s="1616">
        <v>128.19999999999999</v>
      </c>
      <c r="Q5851" s="1616">
        <v>128.19999999999999</v>
      </c>
      <c r="R5851" s="1616">
        <v>128.19999999999999</v>
      </c>
      <c r="S5851" s="1616">
        <v>128.19999999999999</v>
      </c>
      <c r="T5851" s="1616">
        <v>128.19999999999999</v>
      </c>
      <c r="U5851" s="1616">
        <v>128.19999999999999</v>
      </c>
      <c r="V5851" s="1616">
        <v>128.19999999999999</v>
      </c>
      <c r="W5851" s="1616">
        <v>128.19999999999999</v>
      </c>
      <c r="X5851" s="1616">
        <v>128.19999999999999</v>
      </c>
      <c r="Y5851" s="1616">
        <v>128.19999999999999</v>
      </c>
      <c r="Z5851" s="1616">
        <v>128.19999999999999</v>
      </c>
      <c r="AA5851" s="1635">
        <f>SUM(O5851:Z5851)</f>
        <v>1538.4000000000003</v>
      </c>
    </row>
    <row r="5852" spans="1:27" ht="12" x14ac:dyDescent="0.2">
      <c r="A5852" s="1889"/>
      <c r="B5852" s="2700"/>
      <c r="C5852" s="4028" t="s">
        <v>2210</v>
      </c>
      <c r="D5852" s="3983"/>
      <c r="E5852" s="3980"/>
      <c r="F5852" s="3980"/>
      <c r="G5852" s="3980"/>
      <c r="H5852" s="3983"/>
      <c r="I5852" s="3980" t="s">
        <v>2211</v>
      </c>
      <c r="J5852" s="3980">
        <v>12</v>
      </c>
      <c r="K5852" s="3986"/>
      <c r="L5852" s="3983" t="s">
        <v>2212</v>
      </c>
      <c r="M5852" s="4027" t="s">
        <v>51</v>
      </c>
      <c r="N5852" s="4027"/>
      <c r="O5852" s="1889">
        <v>1</v>
      </c>
      <c r="P5852" s="1889">
        <v>1</v>
      </c>
      <c r="Q5852" s="1889">
        <v>1</v>
      </c>
      <c r="R5852" s="1889">
        <v>1</v>
      </c>
      <c r="S5852" s="1889">
        <v>1</v>
      </c>
      <c r="T5852" s="1889">
        <v>1</v>
      </c>
      <c r="U5852" s="1889">
        <v>1</v>
      </c>
      <c r="V5852" s="1889">
        <v>1</v>
      </c>
      <c r="W5852" s="1889">
        <v>1</v>
      </c>
      <c r="X5852" s="1889">
        <v>1</v>
      </c>
      <c r="Y5852" s="1889">
        <v>1</v>
      </c>
      <c r="Z5852" s="1889">
        <v>1</v>
      </c>
      <c r="AA5852" s="1890">
        <f>SUM(O5852:Z5852)</f>
        <v>12</v>
      </c>
    </row>
    <row r="5853" spans="1:27" ht="12" x14ac:dyDescent="0.2">
      <c r="A5853" s="1889"/>
      <c r="B5853" s="2701"/>
      <c r="C5853" s="4029"/>
      <c r="D5853" s="3984"/>
      <c r="E5853" s="3981"/>
      <c r="F5853" s="3981"/>
      <c r="G5853" s="3981"/>
      <c r="H5853" s="3984"/>
      <c r="I5853" s="3981"/>
      <c r="J5853" s="3981"/>
      <c r="K5853" s="3987"/>
      <c r="L5853" s="3984"/>
      <c r="M5853" s="4027" t="s">
        <v>111</v>
      </c>
      <c r="N5853" s="4027"/>
      <c r="O5853" s="1616">
        <f t="shared" ref="O5853:Z5853" si="943">SUM(O5854:O5855)</f>
        <v>141</v>
      </c>
      <c r="P5853" s="1616">
        <f t="shared" si="943"/>
        <v>141</v>
      </c>
      <c r="Q5853" s="1616">
        <f t="shared" si="943"/>
        <v>141</v>
      </c>
      <c r="R5853" s="1616">
        <f t="shared" si="943"/>
        <v>141</v>
      </c>
      <c r="S5853" s="1616">
        <f t="shared" si="943"/>
        <v>141</v>
      </c>
      <c r="T5853" s="1616">
        <f t="shared" si="943"/>
        <v>141</v>
      </c>
      <c r="U5853" s="1616">
        <f t="shared" si="943"/>
        <v>141</v>
      </c>
      <c r="V5853" s="1616">
        <f t="shared" si="943"/>
        <v>141</v>
      </c>
      <c r="W5853" s="1616">
        <f t="shared" si="943"/>
        <v>141</v>
      </c>
      <c r="X5853" s="1616">
        <f t="shared" si="943"/>
        <v>141</v>
      </c>
      <c r="Y5853" s="1616">
        <f t="shared" si="943"/>
        <v>141</v>
      </c>
      <c r="Z5853" s="1616">
        <f t="shared" si="943"/>
        <v>141</v>
      </c>
      <c r="AA5853" s="1890"/>
    </row>
    <row r="5854" spans="1:27" ht="22.5" x14ac:dyDescent="0.2">
      <c r="A5854" s="1889"/>
      <c r="B5854" s="2701"/>
      <c r="C5854" s="4029"/>
      <c r="D5854" s="3984"/>
      <c r="E5854" s="3981"/>
      <c r="F5854" s="3981"/>
      <c r="G5854" s="3981"/>
      <c r="H5854" s="3984"/>
      <c r="I5854" s="3981"/>
      <c r="J5854" s="3981"/>
      <c r="K5854" s="3987"/>
      <c r="L5854" s="3984"/>
      <c r="M5854" s="286" t="s">
        <v>184</v>
      </c>
      <c r="N5854" s="1725" t="s">
        <v>2178</v>
      </c>
      <c r="O5854" s="1883">
        <v>12.8</v>
      </c>
      <c r="P5854" s="1883">
        <v>12.8</v>
      </c>
      <c r="Q5854" s="1883">
        <v>12.8</v>
      </c>
      <c r="R5854" s="1883">
        <v>12.8</v>
      </c>
      <c r="S5854" s="1883">
        <v>12.8</v>
      </c>
      <c r="T5854" s="1883">
        <v>12.8</v>
      </c>
      <c r="U5854" s="1883">
        <v>12.8</v>
      </c>
      <c r="V5854" s="1883">
        <v>12.8</v>
      </c>
      <c r="W5854" s="1883">
        <v>12.8</v>
      </c>
      <c r="X5854" s="1883">
        <v>12.8</v>
      </c>
      <c r="Y5854" s="1883">
        <v>12.8</v>
      </c>
      <c r="Z5854" s="1883">
        <v>12.8</v>
      </c>
      <c r="AA5854" s="1884">
        <f>SUM(O5854:Z5854)</f>
        <v>153.6</v>
      </c>
    </row>
    <row r="5855" spans="1:27" ht="12" x14ac:dyDescent="0.2">
      <c r="A5855" s="1889"/>
      <c r="B5855" s="2702"/>
      <c r="C5855" s="4030"/>
      <c r="D5855" s="3985"/>
      <c r="E5855" s="3982"/>
      <c r="F5855" s="3982"/>
      <c r="G5855" s="3982"/>
      <c r="H5855" s="3985"/>
      <c r="I5855" s="3982"/>
      <c r="J5855" s="3982"/>
      <c r="K5855" s="3970"/>
      <c r="L5855" s="3985"/>
      <c r="M5855" s="286" t="s">
        <v>2103</v>
      </c>
      <c r="N5855" s="358" t="s">
        <v>1262</v>
      </c>
      <c r="O5855" s="1616">
        <v>128.19999999999999</v>
      </c>
      <c r="P5855" s="1616">
        <v>128.19999999999999</v>
      </c>
      <c r="Q5855" s="1616">
        <v>128.19999999999999</v>
      </c>
      <c r="R5855" s="1616">
        <v>128.19999999999999</v>
      </c>
      <c r="S5855" s="1616">
        <v>128.19999999999999</v>
      </c>
      <c r="T5855" s="1616">
        <v>128.19999999999999</v>
      </c>
      <c r="U5855" s="1616">
        <v>128.19999999999999</v>
      </c>
      <c r="V5855" s="1616">
        <v>128.19999999999999</v>
      </c>
      <c r="W5855" s="1616">
        <v>128.19999999999999</v>
      </c>
      <c r="X5855" s="1616">
        <v>128.19999999999999</v>
      </c>
      <c r="Y5855" s="1616">
        <v>128.19999999999999</v>
      </c>
      <c r="Z5855" s="1616">
        <v>128.19999999999999</v>
      </c>
      <c r="AA5855" s="1635">
        <f>SUM(O5855:Z5855)</f>
        <v>1538.4000000000003</v>
      </c>
    </row>
    <row r="5856" spans="1:27" ht="12" x14ac:dyDescent="0.2">
      <c r="A5856" s="1889"/>
      <c r="B5856" s="2700"/>
      <c r="C5856" s="4028" t="s">
        <v>2213</v>
      </c>
      <c r="D5856" s="3983"/>
      <c r="E5856" s="3980"/>
      <c r="F5856" s="3980"/>
      <c r="G5856" s="3980"/>
      <c r="H5856" s="3983"/>
      <c r="I5856" s="3980" t="s">
        <v>2214</v>
      </c>
      <c r="J5856" s="3980">
        <v>4</v>
      </c>
      <c r="K5856" s="3986"/>
      <c r="L5856" s="3983" t="s">
        <v>2206</v>
      </c>
      <c r="M5856" s="4027" t="s">
        <v>51</v>
      </c>
      <c r="N5856" s="4027"/>
      <c r="O5856" s="1889"/>
      <c r="P5856" s="1889"/>
      <c r="Q5856" s="1889">
        <v>1</v>
      </c>
      <c r="R5856" s="1889"/>
      <c r="S5856" s="1889"/>
      <c r="T5856" s="1889">
        <v>1</v>
      </c>
      <c r="U5856" s="1889"/>
      <c r="V5856" s="1889"/>
      <c r="W5856" s="1889">
        <v>1</v>
      </c>
      <c r="X5856" s="1889"/>
      <c r="Y5856" s="1889"/>
      <c r="Z5856" s="1889">
        <v>1</v>
      </c>
      <c r="AA5856" s="1890">
        <f>SUM(O5856:Z5856)</f>
        <v>4</v>
      </c>
    </row>
    <row r="5857" spans="1:27" ht="12" x14ac:dyDescent="0.2">
      <c r="A5857" s="1889"/>
      <c r="B5857" s="2701"/>
      <c r="C5857" s="4029"/>
      <c r="D5857" s="3984"/>
      <c r="E5857" s="3981"/>
      <c r="F5857" s="3981"/>
      <c r="G5857" s="3981"/>
      <c r="H5857" s="3984"/>
      <c r="I5857" s="3981"/>
      <c r="J5857" s="3981"/>
      <c r="K5857" s="3987"/>
      <c r="L5857" s="3984"/>
      <c r="M5857" s="4027" t="s">
        <v>111</v>
      </c>
      <c r="N5857" s="4027"/>
      <c r="O5857" s="1616">
        <f t="shared" ref="O5857:Z5857" si="944">SUM(O5858:O5859)</f>
        <v>141</v>
      </c>
      <c r="P5857" s="1616">
        <f t="shared" si="944"/>
        <v>141</v>
      </c>
      <c r="Q5857" s="1616">
        <f t="shared" si="944"/>
        <v>141</v>
      </c>
      <c r="R5857" s="1616">
        <f t="shared" si="944"/>
        <v>141</v>
      </c>
      <c r="S5857" s="1616">
        <f t="shared" si="944"/>
        <v>141</v>
      </c>
      <c r="T5857" s="1616">
        <f t="shared" si="944"/>
        <v>141</v>
      </c>
      <c r="U5857" s="1616">
        <f t="shared" si="944"/>
        <v>141</v>
      </c>
      <c r="V5857" s="1616">
        <f t="shared" si="944"/>
        <v>141</v>
      </c>
      <c r="W5857" s="1616">
        <f t="shared" si="944"/>
        <v>141</v>
      </c>
      <c r="X5857" s="1616">
        <f t="shared" si="944"/>
        <v>141</v>
      </c>
      <c r="Y5857" s="1616">
        <f t="shared" si="944"/>
        <v>141</v>
      </c>
      <c r="Z5857" s="1616">
        <f t="shared" si="944"/>
        <v>141</v>
      </c>
      <c r="AA5857" s="1890"/>
    </row>
    <row r="5858" spans="1:27" ht="22.5" x14ac:dyDescent="0.2">
      <c r="A5858" s="1889"/>
      <c r="B5858" s="2701"/>
      <c r="C5858" s="4029"/>
      <c r="D5858" s="3984"/>
      <c r="E5858" s="3981"/>
      <c r="F5858" s="3981"/>
      <c r="G5858" s="3981"/>
      <c r="H5858" s="3984"/>
      <c r="I5858" s="3981"/>
      <c r="J5858" s="3981"/>
      <c r="K5858" s="3987"/>
      <c r="L5858" s="3984"/>
      <c r="M5858" s="286" t="s">
        <v>184</v>
      </c>
      <c r="N5858" s="1725" t="s">
        <v>2178</v>
      </c>
      <c r="O5858" s="1883">
        <v>12.8</v>
      </c>
      <c r="P5858" s="1883">
        <v>12.8</v>
      </c>
      <c r="Q5858" s="1883">
        <v>12.8</v>
      </c>
      <c r="R5858" s="1883">
        <v>12.8</v>
      </c>
      <c r="S5858" s="1883">
        <v>12.8</v>
      </c>
      <c r="T5858" s="1883">
        <v>12.8</v>
      </c>
      <c r="U5858" s="1883">
        <v>12.8</v>
      </c>
      <c r="V5858" s="1883">
        <v>12.8</v>
      </c>
      <c r="W5858" s="1883">
        <v>12.8</v>
      </c>
      <c r="X5858" s="1883">
        <v>12.8</v>
      </c>
      <c r="Y5858" s="1883">
        <v>12.8</v>
      </c>
      <c r="Z5858" s="1883">
        <v>12.8</v>
      </c>
      <c r="AA5858" s="1884">
        <f>SUM(O5858:Z5858)</f>
        <v>153.6</v>
      </c>
    </row>
    <row r="5859" spans="1:27" ht="12" x14ac:dyDescent="0.2">
      <c r="A5859" s="1889"/>
      <c r="B5859" s="2702"/>
      <c r="C5859" s="4030"/>
      <c r="D5859" s="3985"/>
      <c r="E5859" s="3982"/>
      <c r="F5859" s="3982"/>
      <c r="G5859" s="3982"/>
      <c r="H5859" s="3985"/>
      <c r="I5859" s="3982"/>
      <c r="J5859" s="3982"/>
      <c r="K5859" s="3970"/>
      <c r="L5859" s="3985"/>
      <c r="M5859" s="286" t="s">
        <v>2103</v>
      </c>
      <c r="N5859" s="358" t="s">
        <v>1262</v>
      </c>
      <c r="O5859" s="1616">
        <v>128.19999999999999</v>
      </c>
      <c r="P5859" s="1616">
        <v>128.19999999999999</v>
      </c>
      <c r="Q5859" s="1616">
        <v>128.19999999999999</v>
      </c>
      <c r="R5859" s="1616">
        <v>128.19999999999999</v>
      </c>
      <c r="S5859" s="1616">
        <v>128.19999999999999</v>
      </c>
      <c r="T5859" s="1616">
        <v>128.19999999999999</v>
      </c>
      <c r="U5859" s="1616">
        <v>128.19999999999999</v>
      </c>
      <c r="V5859" s="1616">
        <v>128.19999999999999</v>
      </c>
      <c r="W5859" s="1616">
        <v>128.19999999999999</v>
      </c>
      <c r="X5859" s="1616">
        <v>128.19999999999999</v>
      </c>
      <c r="Y5859" s="1616">
        <v>128.19999999999999</v>
      </c>
      <c r="Z5859" s="1616">
        <v>128.19999999999999</v>
      </c>
      <c r="AA5859" s="1635">
        <f>SUM(O5859:Z5859)</f>
        <v>1538.4000000000003</v>
      </c>
    </row>
    <row r="5860" spans="1:27" ht="12" x14ac:dyDescent="0.2">
      <c r="A5860" s="1889"/>
      <c r="B5860" s="2700"/>
      <c r="C5860" s="4028" t="s">
        <v>2215</v>
      </c>
      <c r="D5860" s="3983"/>
      <c r="E5860" s="3980"/>
      <c r="F5860" s="3980"/>
      <c r="G5860" s="3980"/>
      <c r="H5860" s="3983"/>
      <c r="I5860" s="3980" t="s">
        <v>2216</v>
      </c>
      <c r="J5860" s="3980">
        <v>15</v>
      </c>
      <c r="K5860" s="3986"/>
      <c r="L5860" s="3983" t="s">
        <v>2206</v>
      </c>
      <c r="M5860" s="4027" t="s">
        <v>51</v>
      </c>
      <c r="N5860" s="4027"/>
      <c r="O5860" s="1889">
        <v>1</v>
      </c>
      <c r="P5860" s="1889">
        <v>1</v>
      </c>
      <c r="Q5860" s="1889">
        <v>1</v>
      </c>
      <c r="R5860" s="1889">
        <v>1</v>
      </c>
      <c r="S5860" s="1889">
        <v>2</v>
      </c>
      <c r="T5860" s="1889">
        <v>1</v>
      </c>
      <c r="U5860" s="1889">
        <v>1</v>
      </c>
      <c r="V5860" s="1889">
        <v>3</v>
      </c>
      <c r="W5860" s="1889">
        <v>1</v>
      </c>
      <c r="X5860" s="1889">
        <v>1</v>
      </c>
      <c r="Y5860" s="1889">
        <v>1</v>
      </c>
      <c r="Z5860" s="1889">
        <v>1</v>
      </c>
      <c r="AA5860" s="1890">
        <f>SUM(O5860:Z5860)</f>
        <v>15</v>
      </c>
    </row>
    <row r="5861" spans="1:27" ht="12" x14ac:dyDescent="0.2">
      <c r="A5861" s="1889"/>
      <c r="B5861" s="2701"/>
      <c r="C5861" s="4029"/>
      <c r="D5861" s="3984"/>
      <c r="E5861" s="3981"/>
      <c r="F5861" s="3981"/>
      <c r="G5861" s="3981"/>
      <c r="H5861" s="3984"/>
      <c r="I5861" s="3981"/>
      <c r="J5861" s="3981"/>
      <c r="K5861" s="3987"/>
      <c r="L5861" s="3984"/>
      <c r="M5861" s="4027" t="s">
        <v>111</v>
      </c>
      <c r="N5861" s="4027"/>
      <c r="O5861" s="1616">
        <f t="shared" ref="O5861:Z5861" si="945">SUM(O5862:O5863)</f>
        <v>141</v>
      </c>
      <c r="P5861" s="1616">
        <f t="shared" si="945"/>
        <v>141</v>
      </c>
      <c r="Q5861" s="1616">
        <f t="shared" si="945"/>
        <v>141</v>
      </c>
      <c r="R5861" s="1616">
        <f t="shared" si="945"/>
        <v>141</v>
      </c>
      <c r="S5861" s="1616">
        <f t="shared" si="945"/>
        <v>141</v>
      </c>
      <c r="T5861" s="1616">
        <f t="shared" si="945"/>
        <v>141</v>
      </c>
      <c r="U5861" s="1616">
        <f t="shared" si="945"/>
        <v>141</v>
      </c>
      <c r="V5861" s="1616">
        <f t="shared" si="945"/>
        <v>141</v>
      </c>
      <c r="W5861" s="1616">
        <f t="shared" si="945"/>
        <v>141</v>
      </c>
      <c r="X5861" s="1616">
        <f t="shared" si="945"/>
        <v>141</v>
      </c>
      <c r="Y5861" s="1616">
        <f t="shared" si="945"/>
        <v>141</v>
      </c>
      <c r="Z5861" s="1616">
        <f t="shared" si="945"/>
        <v>141</v>
      </c>
      <c r="AA5861" s="1890"/>
    </row>
    <row r="5862" spans="1:27" ht="22.5" x14ac:dyDescent="0.2">
      <c r="A5862" s="1889"/>
      <c r="B5862" s="2701"/>
      <c r="C5862" s="4029"/>
      <c r="D5862" s="3984"/>
      <c r="E5862" s="3981"/>
      <c r="F5862" s="3981"/>
      <c r="G5862" s="3981"/>
      <c r="H5862" s="3984"/>
      <c r="I5862" s="3981"/>
      <c r="J5862" s="3981"/>
      <c r="K5862" s="3987"/>
      <c r="L5862" s="3984"/>
      <c r="M5862" s="286" t="s">
        <v>184</v>
      </c>
      <c r="N5862" s="1725" t="s">
        <v>2178</v>
      </c>
      <c r="O5862" s="1883">
        <v>12.8</v>
      </c>
      <c r="P5862" s="1883">
        <v>12.8</v>
      </c>
      <c r="Q5862" s="1883">
        <v>12.8</v>
      </c>
      <c r="R5862" s="1883">
        <v>12.8</v>
      </c>
      <c r="S5862" s="1883">
        <v>12.8</v>
      </c>
      <c r="T5862" s="1883">
        <v>12.8</v>
      </c>
      <c r="U5862" s="1883">
        <v>12.8</v>
      </c>
      <c r="V5862" s="1883">
        <v>12.8</v>
      </c>
      <c r="W5862" s="1883">
        <v>12.8</v>
      </c>
      <c r="X5862" s="1883">
        <v>12.8</v>
      </c>
      <c r="Y5862" s="1883">
        <v>12.8</v>
      </c>
      <c r="Z5862" s="1883">
        <v>12.8</v>
      </c>
      <c r="AA5862" s="1884">
        <f>SUM(O5862:Z5862)</f>
        <v>153.6</v>
      </c>
    </row>
    <row r="5863" spans="1:27" ht="12" x14ac:dyDescent="0.2">
      <c r="A5863" s="1889"/>
      <c r="B5863" s="2702"/>
      <c r="C5863" s="4030"/>
      <c r="D5863" s="3985"/>
      <c r="E5863" s="3982"/>
      <c r="F5863" s="3982"/>
      <c r="G5863" s="3982"/>
      <c r="H5863" s="3985"/>
      <c r="I5863" s="3982"/>
      <c r="J5863" s="3982"/>
      <c r="K5863" s="3970"/>
      <c r="L5863" s="3985"/>
      <c r="M5863" s="286" t="s">
        <v>2103</v>
      </c>
      <c r="N5863" s="358" t="s">
        <v>1262</v>
      </c>
      <c r="O5863" s="1616">
        <v>128.19999999999999</v>
      </c>
      <c r="P5863" s="1616">
        <v>128.19999999999999</v>
      </c>
      <c r="Q5863" s="1616">
        <v>128.19999999999999</v>
      </c>
      <c r="R5863" s="1616">
        <v>128.19999999999999</v>
      </c>
      <c r="S5863" s="1616">
        <v>128.19999999999999</v>
      </c>
      <c r="T5863" s="1616">
        <v>128.19999999999999</v>
      </c>
      <c r="U5863" s="1616">
        <v>128.19999999999999</v>
      </c>
      <c r="V5863" s="1616">
        <v>128.19999999999999</v>
      </c>
      <c r="W5863" s="1616">
        <v>128.19999999999999</v>
      </c>
      <c r="X5863" s="1616">
        <v>128.19999999999999</v>
      </c>
      <c r="Y5863" s="1616">
        <v>128.19999999999999</v>
      </c>
      <c r="Z5863" s="1616">
        <v>128.19999999999999</v>
      </c>
      <c r="AA5863" s="1635">
        <f>SUM(O5863:Z5863)</f>
        <v>1538.4000000000003</v>
      </c>
    </row>
    <row r="5864" spans="1:27" ht="12" x14ac:dyDescent="0.2">
      <c r="A5864" s="1889"/>
      <c r="B5864" s="2700"/>
      <c r="C5864" s="4028" t="s">
        <v>2217</v>
      </c>
      <c r="D5864" s="3983"/>
      <c r="E5864" s="3980"/>
      <c r="F5864" s="3980"/>
      <c r="G5864" s="3980"/>
      <c r="H5864" s="3983"/>
      <c r="I5864" s="3980" t="s">
        <v>2216</v>
      </c>
      <c r="J5864" s="3980">
        <v>15</v>
      </c>
      <c r="K5864" s="3986"/>
      <c r="L5864" s="3983" t="s">
        <v>2206</v>
      </c>
      <c r="M5864" s="4027" t="s">
        <v>51</v>
      </c>
      <c r="N5864" s="4027"/>
      <c r="O5864" s="1889">
        <v>1</v>
      </c>
      <c r="P5864" s="1889">
        <v>1</v>
      </c>
      <c r="Q5864" s="1889">
        <v>1</v>
      </c>
      <c r="R5864" s="1889">
        <v>1</v>
      </c>
      <c r="S5864" s="1889">
        <v>2</v>
      </c>
      <c r="T5864" s="1889">
        <v>1</v>
      </c>
      <c r="U5864" s="1889">
        <v>1</v>
      </c>
      <c r="V5864" s="1889">
        <v>3</v>
      </c>
      <c r="W5864" s="1889">
        <v>1</v>
      </c>
      <c r="X5864" s="1889">
        <v>1</v>
      </c>
      <c r="Y5864" s="1889">
        <v>1</v>
      </c>
      <c r="Z5864" s="1889">
        <v>1</v>
      </c>
      <c r="AA5864" s="1890">
        <f>SUM(O5864:Z5864)</f>
        <v>15</v>
      </c>
    </row>
    <row r="5865" spans="1:27" ht="12" x14ac:dyDescent="0.2">
      <c r="A5865" s="1889"/>
      <c r="B5865" s="2701"/>
      <c r="C5865" s="4029"/>
      <c r="D5865" s="3984"/>
      <c r="E5865" s="3981"/>
      <c r="F5865" s="3981"/>
      <c r="G5865" s="3981"/>
      <c r="H5865" s="3984"/>
      <c r="I5865" s="3981"/>
      <c r="J5865" s="3981"/>
      <c r="K5865" s="3987"/>
      <c r="L5865" s="3984"/>
      <c r="M5865" s="4027" t="s">
        <v>111</v>
      </c>
      <c r="N5865" s="4027"/>
      <c r="O5865" s="1616">
        <f t="shared" ref="O5865:Z5865" si="946">SUM(O5866:O5867)</f>
        <v>141</v>
      </c>
      <c r="P5865" s="1616">
        <f t="shared" si="946"/>
        <v>141</v>
      </c>
      <c r="Q5865" s="1616">
        <f t="shared" si="946"/>
        <v>141</v>
      </c>
      <c r="R5865" s="1616">
        <f t="shared" si="946"/>
        <v>141</v>
      </c>
      <c r="S5865" s="1616">
        <f t="shared" si="946"/>
        <v>141</v>
      </c>
      <c r="T5865" s="1616">
        <f t="shared" si="946"/>
        <v>141</v>
      </c>
      <c r="U5865" s="1616">
        <f t="shared" si="946"/>
        <v>141</v>
      </c>
      <c r="V5865" s="1616">
        <f t="shared" si="946"/>
        <v>141</v>
      </c>
      <c r="W5865" s="1616">
        <f t="shared" si="946"/>
        <v>141</v>
      </c>
      <c r="X5865" s="1616">
        <f t="shared" si="946"/>
        <v>141</v>
      </c>
      <c r="Y5865" s="1616">
        <f t="shared" si="946"/>
        <v>141</v>
      </c>
      <c r="Z5865" s="1616">
        <f t="shared" si="946"/>
        <v>141</v>
      </c>
      <c r="AA5865" s="1890"/>
    </row>
    <row r="5866" spans="1:27" ht="22.5" x14ac:dyDescent="0.2">
      <c r="A5866" s="1889"/>
      <c r="B5866" s="2701"/>
      <c r="C5866" s="4029"/>
      <c r="D5866" s="3984"/>
      <c r="E5866" s="3981"/>
      <c r="F5866" s="3981"/>
      <c r="G5866" s="3981"/>
      <c r="H5866" s="3984"/>
      <c r="I5866" s="3981"/>
      <c r="J5866" s="3981"/>
      <c r="K5866" s="3987"/>
      <c r="L5866" s="3984"/>
      <c r="M5866" s="286" t="s">
        <v>184</v>
      </c>
      <c r="N5866" s="1725" t="s">
        <v>2178</v>
      </c>
      <c r="O5866" s="1883">
        <v>12.8</v>
      </c>
      <c r="P5866" s="1883">
        <v>12.8</v>
      </c>
      <c r="Q5866" s="1883">
        <v>12.8</v>
      </c>
      <c r="R5866" s="1883">
        <v>12.8</v>
      </c>
      <c r="S5866" s="1883">
        <v>12.8</v>
      </c>
      <c r="T5866" s="1883">
        <v>12.8</v>
      </c>
      <c r="U5866" s="1883">
        <v>12.8</v>
      </c>
      <c r="V5866" s="1883">
        <v>12.8</v>
      </c>
      <c r="W5866" s="1883">
        <v>12.8</v>
      </c>
      <c r="X5866" s="1883">
        <v>12.8</v>
      </c>
      <c r="Y5866" s="1883">
        <v>12.8</v>
      </c>
      <c r="Z5866" s="1883">
        <v>12.8</v>
      </c>
      <c r="AA5866" s="1884">
        <f>SUM(O5866:Z5866)</f>
        <v>153.6</v>
      </c>
    </row>
    <row r="5867" spans="1:27" ht="12" x14ac:dyDescent="0.2">
      <c r="A5867" s="1889"/>
      <c r="B5867" s="2702"/>
      <c r="C5867" s="4030"/>
      <c r="D5867" s="3985"/>
      <c r="E5867" s="3982"/>
      <c r="F5867" s="3982"/>
      <c r="G5867" s="3982"/>
      <c r="H5867" s="3985"/>
      <c r="I5867" s="3982"/>
      <c r="J5867" s="3982"/>
      <c r="K5867" s="3970"/>
      <c r="L5867" s="3985"/>
      <c r="M5867" s="286" t="s">
        <v>2103</v>
      </c>
      <c r="N5867" s="358" t="s">
        <v>1262</v>
      </c>
      <c r="O5867" s="1616">
        <v>128.19999999999999</v>
      </c>
      <c r="P5867" s="1616">
        <v>128.19999999999999</v>
      </c>
      <c r="Q5867" s="1616">
        <v>128.19999999999999</v>
      </c>
      <c r="R5867" s="1616">
        <v>128.19999999999999</v>
      </c>
      <c r="S5867" s="1616">
        <v>128.19999999999999</v>
      </c>
      <c r="T5867" s="1616">
        <v>128.19999999999999</v>
      </c>
      <c r="U5867" s="1616">
        <v>128.19999999999999</v>
      </c>
      <c r="V5867" s="1616">
        <v>128.19999999999999</v>
      </c>
      <c r="W5867" s="1616">
        <v>128.19999999999999</v>
      </c>
      <c r="X5867" s="1616">
        <v>128.19999999999999</v>
      </c>
      <c r="Y5867" s="1616">
        <v>128.19999999999999</v>
      </c>
      <c r="Z5867" s="1616">
        <v>128.19999999999999</v>
      </c>
      <c r="AA5867" s="1635">
        <f>SUM(O5867:Z5867)</f>
        <v>1538.4000000000003</v>
      </c>
    </row>
    <row r="5868" spans="1:27" ht="12" x14ac:dyDescent="0.2">
      <c r="A5868" s="1889"/>
      <c r="B5868" s="2700"/>
      <c r="C5868" s="4028" t="s">
        <v>2218</v>
      </c>
      <c r="D5868" s="3983"/>
      <c r="E5868" s="3980"/>
      <c r="F5868" s="3980"/>
      <c r="G5868" s="3980"/>
      <c r="H5868" s="3983"/>
      <c r="I5868" s="3980" t="s">
        <v>2219</v>
      </c>
      <c r="J5868" s="3980">
        <v>350</v>
      </c>
      <c r="K5868" s="3986"/>
      <c r="L5868" s="3983" t="s">
        <v>2206</v>
      </c>
      <c r="M5868" s="4027" t="s">
        <v>51</v>
      </c>
      <c r="N5868" s="4027"/>
      <c r="O5868" s="1889">
        <v>29</v>
      </c>
      <c r="P5868" s="1889">
        <v>29</v>
      </c>
      <c r="Q5868" s="1889">
        <v>29</v>
      </c>
      <c r="R5868" s="1889">
        <v>29</v>
      </c>
      <c r="S5868" s="1889">
        <v>29</v>
      </c>
      <c r="T5868" s="1889">
        <v>31</v>
      </c>
      <c r="U5868" s="1889">
        <v>29</v>
      </c>
      <c r="V5868" s="1889">
        <v>29</v>
      </c>
      <c r="W5868" s="1889">
        <v>29</v>
      </c>
      <c r="X5868" s="1889">
        <v>29</v>
      </c>
      <c r="Y5868" s="1889">
        <v>29</v>
      </c>
      <c r="Z5868" s="1889">
        <v>29</v>
      </c>
      <c r="AA5868" s="1890">
        <f>SUM(O5868:Z5868)</f>
        <v>350</v>
      </c>
    </row>
    <row r="5869" spans="1:27" ht="12" x14ac:dyDescent="0.2">
      <c r="A5869" s="1889"/>
      <c r="B5869" s="2701"/>
      <c r="C5869" s="4029"/>
      <c r="D5869" s="3984"/>
      <c r="E5869" s="3981"/>
      <c r="F5869" s="3981"/>
      <c r="G5869" s="3981"/>
      <c r="H5869" s="3984"/>
      <c r="I5869" s="3981"/>
      <c r="J5869" s="3981"/>
      <c r="K5869" s="3987"/>
      <c r="L5869" s="3984"/>
      <c r="M5869" s="4027" t="s">
        <v>111</v>
      </c>
      <c r="N5869" s="4027"/>
      <c r="O5869" s="1616">
        <f t="shared" ref="O5869:Z5869" si="947">SUM(O5870:O5871)</f>
        <v>141</v>
      </c>
      <c r="P5869" s="1616">
        <f t="shared" si="947"/>
        <v>141</v>
      </c>
      <c r="Q5869" s="1616">
        <f t="shared" si="947"/>
        <v>141</v>
      </c>
      <c r="R5869" s="1616">
        <f t="shared" si="947"/>
        <v>141</v>
      </c>
      <c r="S5869" s="1616">
        <f t="shared" si="947"/>
        <v>141</v>
      </c>
      <c r="T5869" s="1616">
        <f t="shared" si="947"/>
        <v>141</v>
      </c>
      <c r="U5869" s="1616">
        <f t="shared" si="947"/>
        <v>141</v>
      </c>
      <c r="V5869" s="1616">
        <f t="shared" si="947"/>
        <v>141</v>
      </c>
      <c r="W5869" s="1616">
        <f t="shared" si="947"/>
        <v>141</v>
      </c>
      <c r="X5869" s="1616">
        <f t="shared" si="947"/>
        <v>141</v>
      </c>
      <c r="Y5869" s="1616">
        <f t="shared" si="947"/>
        <v>141</v>
      </c>
      <c r="Z5869" s="1616">
        <f t="shared" si="947"/>
        <v>141</v>
      </c>
      <c r="AA5869" s="1890"/>
    </row>
    <row r="5870" spans="1:27" ht="22.5" x14ac:dyDescent="0.2">
      <c r="A5870" s="1889"/>
      <c r="B5870" s="2701"/>
      <c r="C5870" s="4029"/>
      <c r="D5870" s="3984"/>
      <c r="E5870" s="3981"/>
      <c r="F5870" s="3981"/>
      <c r="G5870" s="3981"/>
      <c r="H5870" s="3984"/>
      <c r="I5870" s="3981"/>
      <c r="J5870" s="3981"/>
      <c r="K5870" s="3987"/>
      <c r="L5870" s="3984"/>
      <c r="M5870" s="286" t="s">
        <v>184</v>
      </c>
      <c r="N5870" s="1725" t="s">
        <v>2178</v>
      </c>
      <c r="O5870" s="1883">
        <v>12.8</v>
      </c>
      <c r="P5870" s="1883">
        <v>12.8</v>
      </c>
      <c r="Q5870" s="1883">
        <v>12.8</v>
      </c>
      <c r="R5870" s="1883">
        <v>12.8</v>
      </c>
      <c r="S5870" s="1883">
        <v>12.8</v>
      </c>
      <c r="T5870" s="1883">
        <v>12.8</v>
      </c>
      <c r="U5870" s="1883">
        <v>12.8</v>
      </c>
      <c r="V5870" s="1883">
        <v>12.8</v>
      </c>
      <c r="W5870" s="1883">
        <v>12.8</v>
      </c>
      <c r="X5870" s="1883">
        <v>12.8</v>
      </c>
      <c r="Y5870" s="1883">
        <v>12.8</v>
      </c>
      <c r="Z5870" s="1883">
        <v>12.8</v>
      </c>
      <c r="AA5870" s="1884">
        <f>SUM(O5870:Z5870)</f>
        <v>153.6</v>
      </c>
    </row>
    <row r="5871" spans="1:27" ht="12" x14ac:dyDescent="0.2">
      <c r="A5871" s="1889"/>
      <c r="B5871" s="2702"/>
      <c r="C5871" s="4030"/>
      <c r="D5871" s="3985"/>
      <c r="E5871" s="3982"/>
      <c r="F5871" s="3982"/>
      <c r="G5871" s="3982"/>
      <c r="H5871" s="3985"/>
      <c r="I5871" s="3982"/>
      <c r="J5871" s="3982"/>
      <c r="K5871" s="3970"/>
      <c r="L5871" s="3985"/>
      <c r="M5871" s="286" t="s">
        <v>2103</v>
      </c>
      <c r="N5871" s="358" t="s">
        <v>1262</v>
      </c>
      <c r="O5871" s="1616">
        <v>128.19999999999999</v>
      </c>
      <c r="P5871" s="1616">
        <v>128.19999999999999</v>
      </c>
      <c r="Q5871" s="1616">
        <v>128.19999999999999</v>
      </c>
      <c r="R5871" s="1616">
        <v>128.19999999999999</v>
      </c>
      <c r="S5871" s="1616">
        <v>128.19999999999999</v>
      </c>
      <c r="T5871" s="1616">
        <v>128.19999999999999</v>
      </c>
      <c r="U5871" s="1616">
        <v>128.19999999999999</v>
      </c>
      <c r="V5871" s="1616">
        <v>128.19999999999999</v>
      </c>
      <c r="W5871" s="1616">
        <v>128.19999999999999</v>
      </c>
      <c r="X5871" s="1616">
        <v>128.19999999999999</v>
      </c>
      <c r="Y5871" s="1616">
        <v>128.19999999999999</v>
      </c>
      <c r="Z5871" s="1616">
        <v>128.19999999999999</v>
      </c>
      <c r="AA5871" s="1635">
        <f>SUM(O5871:Z5871)</f>
        <v>1538.4000000000003</v>
      </c>
    </row>
    <row r="5872" spans="1:27" ht="12" x14ac:dyDescent="0.2">
      <c r="A5872" s="1889"/>
      <c r="B5872" s="2700"/>
      <c r="C5872" s="4028" t="s">
        <v>2220</v>
      </c>
      <c r="D5872" s="3983"/>
      <c r="E5872" s="3980"/>
      <c r="F5872" s="3980"/>
      <c r="G5872" s="3980"/>
      <c r="H5872" s="3983"/>
      <c r="I5872" s="3980" t="s">
        <v>2221</v>
      </c>
      <c r="J5872" s="3980">
        <v>2</v>
      </c>
      <c r="K5872" s="3986"/>
      <c r="L5872" s="3983" t="s">
        <v>2222</v>
      </c>
      <c r="M5872" s="4027" t="s">
        <v>51</v>
      </c>
      <c r="N5872" s="4027"/>
      <c r="O5872" s="1889"/>
      <c r="P5872" s="1889"/>
      <c r="Q5872" s="1889"/>
      <c r="R5872" s="1889"/>
      <c r="S5872" s="1889"/>
      <c r="T5872" s="1889"/>
      <c r="U5872" s="1889">
        <v>1</v>
      </c>
      <c r="V5872" s="1889"/>
      <c r="W5872" s="1889"/>
      <c r="X5872" s="1889"/>
      <c r="Y5872" s="1889">
        <v>1</v>
      </c>
      <c r="Z5872" s="1889"/>
      <c r="AA5872" s="1890">
        <f>SUM(O5872:Z5872)</f>
        <v>2</v>
      </c>
    </row>
    <row r="5873" spans="1:27" ht="12" x14ac:dyDescent="0.2">
      <c r="A5873" s="1889"/>
      <c r="B5873" s="2701"/>
      <c r="C5873" s="4029"/>
      <c r="D5873" s="3984"/>
      <c r="E5873" s="3981"/>
      <c r="F5873" s="3981"/>
      <c r="G5873" s="3981"/>
      <c r="H5873" s="3984"/>
      <c r="I5873" s="3981"/>
      <c r="J5873" s="3981"/>
      <c r="K5873" s="3987"/>
      <c r="L5873" s="3984"/>
      <c r="M5873" s="4027" t="s">
        <v>111</v>
      </c>
      <c r="N5873" s="4027"/>
      <c r="O5873" s="1616">
        <f t="shared" ref="O5873:Z5873" si="948">SUM(O5874:O5875)</f>
        <v>141</v>
      </c>
      <c r="P5873" s="1616">
        <f t="shared" si="948"/>
        <v>141</v>
      </c>
      <c r="Q5873" s="1616">
        <f t="shared" si="948"/>
        <v>141</v>
      </c>
      <c r="R5873" s="1616">
        <f t="shared" si="948"/>
        <v>141</v>
      </c>
      <c r="S5873" s="1616">
        <f t="shared" si="948"/>
        <v>141</v>
      </c>
      <c r="T5873" s="1616">
        <f t="shared" si="948"/>
        <v>141</v>
      </c>
      <c r="U5873" s="1616">
        <f t="shared" si="948"/>
        <v>141</v>
      </c>
      <c r="V5873" s="1616">
        <f t="shared" si="948"/>
        <v>141</v>
      </c>
      <c r="W5873" s="1616">
        <f t="shared" si="948"/>
        <v>141</v>
      </c>
      <c r="X5873" s="1616">
        <f t="shared" si="948"/>
        <v>141</v>
      </c>
      <c r="Y5873" s="1616">
        <f t="shared" si="948"/>
        <v>141</v>
      </c>
      <c r="Z5873" s="1616">
        <f t="shared" si="948"/>
        <v>141</v>
      </c>
      <c r="AA5873" s="1890"/>
    </row>
    <row r="5874" spans="1:27" ht="22.5" x14ac:dyDescent="0.2">
      <c r="A5874" s="1889"/>
      <c r="B5874" s="2701"/>
      <c r="C5874" s="4029"/>
      <c r="D5874" s="3984"/>
      <c r="E5874" s="3981"/>
      <c r="F5874" s="3981"/>
      <c r="G5874" s="3981"/>
      <c r="H5874" s="3984"/>
      <c r="I5874" s="3981"/>
      <c r="J5874" s="3981"/>
      <c r="K5874" s="3987"/>
      <c r="L5874" s="3984"/>
      <c r="M5874" s="286" t="s">
        <v>184</v>
      </c>
      <c r="N5874" s="1725" t="s">
        <v>2178</v>
      </c>
      <c r="O5874" s="1883">
        <v>12.8</v>
      </c>
      <c r="P5874" s="1883">
        <v>12.8</v>
      </c>
      <c r="Q5874" s="1883">
        <v>12.8</v>
      </c>
      <c r="R5874" s="1883">
        <v>12.8</v>
      </c>
      <c r="S5874" s="1883">
        <v>12.8</v>
      </c>
      <c r="T5874" s="1883">
        <v>12.8</v>
      </c>
      <c r="U5874" s="1883">
        <v>12.8</v>
      </c>
      <c r="V5874" s="1883">
        <v>12.8</v>
      </c>
      <c r="W5874" s="1883">
        <v>12.8</v>
      </c>
      <c r="X5874" s="1883">
        <v>12.8</v>
      </c>
      <c r="Y5874" s="1883">
        <v>12.8</v>
      </c>
      <c r="Z5874" s="1883">
        <v>12.8</v>
      </c>
      <c r="AA5874" s="1884">
        <f>SUM(O5874:Z5874)</f>
        <v>153.6</v>
      </c>
    </row>
    <row r="5875" spans="1:27" ht="12" x14ac:dyDescent="0.2">
      <c r="A5875" s="1889"/>
      <c r="B5875" s="2702"/>
      <c r="C5875" s="4030"/>
      <c r="D5875" s="3985"/>
      <c r="E5875" s="3982"/>
      <c r="F5875" s="3982"/>
      <c r="G5875" s="3982"/>
      <c r="H5875" s="3985"/>
      <c r="I5875" s="3982"/>
      <c r="J5875" s="3982"/>
      <c r="K5875" s="3970"/>
      <c r="L5875" s="3985"/>
      <c r="M5875" s="286" t="s">
        <v>2103</v>
      </c>
      <c r="N5875" s="358" t="s">
        <v>1262</v>
      </c>
      <c r="O5875" s="1616">
        <v>128.19999999999999</v>
      </c>
      <c r="P5875" s="1616">
        <v>128.19999999999999</v>
      </c>
      <c r="Q5875" s="1616">
        <v>128.19999999999999</v>
      </c>
      <c r="R5875" s="1616">
        <v>128.19999999999999</v>
      </c>
      <c r="S5875" s="1616">
        <v>128.19999999999999</v>
      </c>
      <c r="T5875" s="1616">
        <v>128.19999999999999</v>
      </c>
      <c r="U5875" s="1616">
        <v>128.19999999999999</v>
      </c>
      <c r="V5875" s="1616">
        <v>128.19999999999999</v>
      </c>
      <c r="W5875" s="1616">
        <v>128.19999999999999</v>
      </c>
      <c r="X5875" s="1616">
        <v>128.19999999999999</v>
      </c>
      <c r="Y5875" s="1616">
        <v>128.19999999999999</v>
      </c>
      <c r="Z5875" s="1616">
        <v>128.19999999999999</v>
      </c>
      <c r="AA5875" s="1635">
        <f>SUM(O5875:Z5875)</f>
        <v>1538.4000000000003</v>
      </c>
    </row>
    <row r="5876" spans="1:27" ht="12" x14ac:dyDescent="0.2">
      <c r="A5876" s="1889"/>
      <c r="B5876" s="2700"/>
      <c r="C5876" s="4028" t="s">
        <v>2223</v>
      </c>
      <c r="D5876" s="3983"/>
      <c r="E5876" s="3980"/>
      <c r="F5876" s="3980"/>
      <c r="G5876" s="3980"/>
      <c r="H5876" s="3983"/>
      <c r="I5876" s="3980" t="s">
        <v>2216</v>
      </c>
      <c r="J5876" s="3980">
        <v>2</v>
      </c>
      <c r="K5876" s="3986"/>
      <c r="L5876" s="3983" t="s">
        <v>2186</v>
      </c>
      <c r="M5876" s="4027" t="s">
        <v>51</v>
      </c>
      <c r="N5876" s="4027"/>
      <c r="O5876" s="1889"/>
      <c r="P5876" s="1889"/>
      <c r="Q5876" s="1889"/>
      <c r="R5876" s="1889"/>
      <c r="S5876" s="1889"/>
      <c r="T5876" s="1889"/>
      <c r="U5876" s="1889">
        <v>1</v>
      </c>
      <c r="V5876" s="1889"/>
      <c r="W5876" s="1889"/>
      <c r="X5876" s="1889"/>
      <c r="Y5876" s="1889">
        <v>1</v>
      </c>
      <c r="Z5876" s="1889"/>
      <c r="AA5876" s="1890">
        <f>SUM(O5876:Z5876)</f>
        <v>2</v>
      </c>
    </row>
    <row r="5877" spans="1:27" ht="12" x14ac:dyDescent="0.2">
      <c r="A5877" s="1889"/>
      <c r="B5877" s="2701"/>
      <c r="C5877" s="4029"/>
      <c r="D5877" s="3984"/>
      <c r="E5877" s="3981"/>
      <c r="F5877" s="3981"/>
      <c r="G5877" s="3981"/>
      <c r="H5877" s="3984"/>
      <c r="I5877" s="3981"/>
      <c r="J5877" s="3981"/>
      <c r="K5877" s="3987"/>
      <c r="L5877" s="3984"/>
      <c r="M5877" s="4027" t="s">
        <v>111</v>
      </c>
      <c r="N5877" s="4027"/>
      <c r="O5877" s="1616">
        <f t="shared" ref="O5877:Z5877" si="949">SUM(O5878:O5879)</f>
        <v>141</v>
      </c>
      <c r="P5877" s="1616">
        <f t="shared" si="949"/>
        <v>141</v>
      </c>
      <c r="Q5877" s="1616">
        <f t="shared" si="949"/>
        <v>141</v>
      </c>
      <c r="R5877" s="1616">
        <f t="shared" si="949"/>
        <v>141</v>
      </c>
      <c r="S5877" s="1616">
        <f t="shared" si="949"/>
        <v>141</v>
      </c>
      <c r="T5877" s="1616">
        <f t="shared" si="949"/>
        <v>141</v>
      </c>
      <c r="U5877" s="1616">
        <f t="shared" si="949"/>
        <v>141</v>
      </c>
      <c r="V5877" s="1616">
        <f t="shared" si="949"/>
        <v>141</v>
      </c>
      <c r="W5877" s="1616">
        <f t="shared" si="949"/>
        <v>141</v>
      </c>
      <c r="X5877" s="1616">
        <f t="shared" si="949"/>
        <v>141</v>
      </c>
      <c r="Y5877" s="1616">
        <f t="shared" si="949"/>
        <v>141</v>
      </c>
      <c r="Z5877" s="1616">
        <f t="shared" si="949"/>
        <v>141</v>
      </c>
      <c r="AA5877" s="1890"/>
    </row>
    <row r="5878" spans="1:27" ht="22.5" x14ac:dyDescent="0.2">
      <c r="A5878" s="1889"/>
      <c r="B5878" s="2701"/>
      <c r="C5878" s="4029"/>
      <c r="D5878" s="3984"/>
      <c r="E5878" s="3981"/>
      <c r="F5878" s="3981"/>
      <c r="G5878" s="3981"/>
      <c r="H5878" s="3984"/>
      <c r="I5878" s="3981"/>
      <c r="J5878" s="3981"/>
      <c r="K5878" s="3987"/>
      <c r="L5878" s="3984"/>
      <c r="M5878" s="286" t="s">
        <v>184</v>
      </c>
      <c r="N5878" s="1725" t="s">
        <v>2178</v>
      </c>
      <c r="O5878" s="1883">
        <v>12.8</v>
      </c>
      <c r="P5878" s="1883">
        <v>12.8</v>
      </c>
      <c r="Q5878" s="1883">
        <v>12.8</v>
      </c>
      <c r="R5878" s="1883">
        <v>12.8</v>
      </c>
      <c r="S5878" s="1883">
        <v>12.8</v>
      </c>
      <c r="T5878" s="1883">
        <v>12.8</v>
      </c>
      <c r="U5878" s="1883">
        <v>12.8</v>
      </c>
      <c r="V5878" s="1883">
        <v>12.8</v>
      </c>
      <c r="W5878" s="1883">
        <v>12.8</v>
      </c>
      <c r="X5878" s="1883">
        <v>12.8</v>
      </c>
      <c r="Y5878" s="1883">
        <v>12.8</v>
      </c>
      <c r="Z5878" s="1883">
        <v>12.8</v>
      </c>
      <c r="AA5878" s="1884">
        <f>SUM(O5878:Z5878)</f>
        <v>153.6</v>
      </c>
    </row>
    <row r="5879" spans="1:27" ht="12" x14ac:dyDescent="0.2">
      <c r="A5879" s="1889"/>
      <c r="B5879" s="2702"/>
      <c r="C5879" s="4030"/>
      <c r="D5879" s="3985"/>
      <c r="E5879" s="3982"/>
      <c r="F5879" s="3982"/>
      <c r="G5879" s="3982"/>
      <c r="H5879" s="3985"/>
      <c r="I5879" s="3982"/>
      <c r="J5879" s="3982"/>
      <c r="K5879" s="3970"/>
      <c r="L5879" s="3985"/>
      <c r="M5879" s="286" t="s">
        <v>2103</v>
      </c>
      <c r="N5879" s="358" t="s">
        <v>1262</v>
      </c>
      <c r="O5879" s="1616">
        <v>128.19999999999999</v>
      </c>
      <c r="P5879" s="1616">
        <v>128.19999999999999</v>
      </c>
      <c r="Q5879" s="1616">
        <v>128.19999999999999</v>
      </c>
      <c r="R5879" s="1616">
        <v>128.19999999999999</v>
      </c>
      <c r="S5879" s="1616">
        <v>128.19999999999999</v>
      </c>
      <c r="T5879" s="1616">
        <v>128.19999999999999</v>
      </c>
      <c r="U5879" s="1616">
        <v>128.19999999999999</v>
      </c>
      <c r="V5879" s="1616">
        <v>128.19999999999999</v>
      </c>
      <c r="W5879" s="1616">
        <v>128.19999999999999</v>
      </c>
      <c r="X5879" s="1616">
        <v>128.19999999999999</v>
      </c>
      <c r="Y5879" s="1616">
        <v>128.19999999999999</v>
      </c>
      <c r="Z5879" s="1616">
        <v>128.19999999999999</v>
      </c>
      <c r="AA5879" s="1635">
        <f>SUM(O5879:Z5879)</f>
        <v>1538.4000000000003</v>
      </c>
    </row>
    <row r="5880" spans="1:27" ht="12" x14ac:dyDescent="0.2">
      <c r="A5880" s="1889"/>
      <c r="B5880" s="2700"/>
      <c r="C5880" s="4028" t="s">
        <v>2224</v>
      </c>
      <c r="D5880" s="3983"/>
      <c r="E5880" s="3980"/>
      <c r="F5880" s="3980"/>
      <c r="G5880" s="3980"/>
      <c r="H5880" s="3983"/>
      <c r="I5880" s="3980" t="s">
        <v>2225</v>
      </c>
      <c r="J5880" s="3980">
        <v>7</v>
      </c>
      <c r="K5880" s="3986"/>
      <c r="L5880" s="3983"/>
      <c r="M5880" s="4027" t="s">
        <v>51</v>
      </c>
      <c r="N5880" s="4027"/>
      <c r="O5880" s="1889"/>
      <c r="P5880" s="1889">
        <v>1</v>
      </c>
      <c r="Q5880" s="1889">
        <v>1</v>
      </c>
      <c r="R5880" s="1889"/>
      <c r="S5880" s="1889">
        <v>1</v>
      </c>
      <c r="T5880" s="1889"/>
      <c r="U5880" s="1889">
        <v>1</v>
      </c>
      <c r="V5880" s="1889"/>
      <c r="W5880" s="1889">
        <v>1</v>
      </c>
      <c r="X5880" s="1889">
        <v>1</v>
      </c>
      <c r="Y5880" s="1889"/>
      <c r="Z5880" s="1889">
        <v>1</v>
      </c>
      <c r="AA5880" s="1890">
        <f>SUM(O5880:Z5880)</f>
        <v>7</v>
      </c>
    </row>
    <row r="5881" spans="1:27" ht="12" x14ac:dyDescent="0.2">
      <c r="A5881" s="1889"/>
      <c r="B5881" s="2701"/>
      <c r="C5881" s="4029"/>
      <c r="D5881" s="3984"/>
      <c r="E5881" s="3981"/>
      <c r="F5881" s="3981"/>
      <c r="G5881" s="3981"/>
      <c r="H5881" s="3984"/>
      <c r="I5881" s="3981"/>
      <c r="J5881" s="3981"/>
      <c r="K5881" s="3987"/>
      <c r="L5881" s="3984"/>
      <c r="M5881" s="4027" t="s">
        <v>111</v>
      </c>
      <c r="N5881" s="4027"/>
      <c r="O5881" s="1616">
        <f t="shared" ref="O5881:Z5881" si="950">SUM(O5882:O5883)</f>
        <v>141</v>
      </c>
      <c r="P5881" s="1616">
        <f t="shared" si="950"/>
        <v>141</v>
      </c>
      <c r="Q5881" s="1616">
        <f t="shared" si="950"/>
        <v>141</v>
      </c>
      <c r="R5881" s="1616">
        <f t="shared" si="950"/>
        <v>141</v>
      </c>
      <c r="S5881" s="1616">
        <f t="shared" si="950"/>
        <v>141</v>
      </c>
      <c r="T5881" s="1616">
        <f t="shared" si="950"/>
        <v>141</v>
      </c>
      <c r="U5881" s="1616">
        <f t="shared" si="950"/>
        <v>141</v>
      </c>
      <c r="V5881" s="1616">
        <f t="shared" si="950"/>
        <v>141</v>
      </c>
      <c r="W5881" s="1616">
        <f t="shared" si="950"/>
        <v>141</v>
      </c>
      <c r="X5881" s="1616">
        <f t="shared" si="950"/>
        <v>141</v>
      </c>
      <c r="Y5881" s="1616">
        <f t="shared" si="950"/>
        <v>141</v>
      </c>
      <c r="Z5881" s="1616">
        <f t="shared" si="950"/>
        <v>141</v>
      </c>
      <c r="AA5881" s="1890"/>
    </row>
    <row r="5882" spans="1:27" ht="22.5" x14ac:dyDescent="0.2">
      <c r="A5882" s="1889"/>
      <c r="B5882" s="2701"/>
      <c r="C5882" s="4029"/>
      <c r="D5882" s="3984"/>
      <c r="E5882" s="3981"/>
      <c r="F5882" s="3981"/>
      <c r="G5882" s="3981"/>
      <c r="H5882" s="3984"/>
      <c r="I5882" s="3981"/>
      <c r="J5882" s="3981"/>
      <c r="K5882" s="3987"/>
      <c r="L5882" s="3984"/>
      <c r="M5882" s="286" t="s">
        <v>184</v>
      </c>
      <c r="N5882" s="1725" t="s">
        <v>2178</v>
      </c>
      <c r="O5882" s="1883">
        <v>12.8</v>
      </c>
      <c r="P5882" s="1883">
        <v>12.8</v>
      </c>
      <c r="Q5882" s="1883">
        <v>12.8</v>
      </c>
      <c r="R5882" s="1883">
        <v>12.8</v>
      </c>
      <c r="S5882" s="1883">
        <v>12.8</v>
      </c>
      <c r="T5882" s="1883">
        <v>12.8</v>
      </c>
      <c r="U5882" s="1883">
        <v>12.8</v>
      </c>
      <c r="V5882" s="1883">
        <v>12.8</v>
      </c>
      <c r="W5882" s="1883">
        <v>12.8</v>
      </c>
      <c r="X5882" s="1883">
        <v>12.8</v>
      </c>
      <c r="Y5882" s="1883">
        <v>12.8</v>
      </c>
      <c r="Z5882" s="1883">
        <v>12.8</v>
      </c>
      <c r="AA5882" s="1884">
        <f>SUM(O5882:Z5882)</f>
        <v>153.6</v>
      </c>
    </row>
    <row r="5883" spans="1:27" ht="12" x14ac:dyDescent="0.2">
      <c r="A5883" s="1889"/>
      <c r="B5883" s="2702"/>
      <c r="C5883" s="4030"/>
      <c r="D5883" s="3985"/>
      <c r="E5883" s="3982"/>
      <c r="F5883" s="3982"/>
      <c r="G5883" s="3982"/>
      <c r="H5883" s="3985"/>
      <c r="I5883" s="3982"/>
      <c r="J5883" s="3982"/>
      <c r="K5883" s="3970"/>
      <c r="L5883" s="3985"/>
      <c r="M5883" s="286" t="s">
        <v>2103</v>
      </c>
      <c r="N5883" s="358" t="s">
        <v>1262</v>
      </c>
      <c r="O5883" s="1616">
        <v>128.19999999999999</v>
      </c>
      <c r="P5883" s="1616">
        <v>128.19999999999999</v>
      </c>
      <c r="Q5883" s="1616">
        <v>128.19999999999999</v>
      </c>
      <c r="R5883" s="1616">
        <v>128.19999999999999</v>
      </c>
      <c r="S5883" s="1616">
        <v>128.19999999999999</v>
      </c>
      <c r="T5883" s="1616">
        <v>128.19999999999999</v>
      </c>
      <c r="U5883" s="1616">
        <v>128.19999999999999</v>
      </c>
      <c r="V5883" s="1616">
        <v>128.19999999999999</v>
      </c>
      <c r="W5883" s="1616">
        <v>128.19999999999999</v>
      </c>
      <c r="X5883" s="1616">
        <v>128.19999999999999</v>
      </c>
      <c r="Y5883" s="1616">
        <v>128.19999999999999</v>
      </c>
      <c r="Z5883" s="1616">
        <v>128.19999999999999</v>
      </c>
      <c r="AA5883" s="1635">
        <f>SUM(O5883:Z5883)</f>
        <v>1538.4000000000003</v>
      </c>
    </row>
    <row r="5884" spans="1:27" ht="12" x14ac:dyDescent="0.2">
      <c r="A5884" s="1889"/>
      <c r="B5884" s="2700"/>
      <c r="C5884" s="4028" t="s">
        <v>2226</v>
      </c>
      <c r="D5884" s="3983"/>
      <c r="E5884" s="3980"/>
      <c r="F5884" s="3980"/>
      <c r="G5884" s="3980"/>
      <c r="H5884" s="3983"/>
      <c r="I5884" s="3980" t="s">
        <v>2225</v>
      </c>
      <c r="J5884" s="3980">
        <v>10</v>
      </c>
      <c r="K5884" s="3986"/>
      <c r="L5884" s="3983"/>
      <c r="M5884" s="4027" t="s">
        <v>51</v>
      </c>
      <c r="N5884" s="4027"/>
      <c r="O5884" s="1889"/>
      <c r="P5884" s="1889">
        <v>1</v>
      </c>
      <c r="Q5884" s="1889">
        <v>1</v>
      </c>
      <c r="R5884" s="1889">
        <v>1</v>
      </c>
      <c r="S5884" s="1889">
        <v>1</v>
      </c>
      <c r="T5884" s="1889">
        <v>1</v>
      </c>
      <c r="U5884" s="1889">
        <v>1</v>
      </c>
      <c r="V5884" s="1889">
        <v>1</v>
      </c>
      <c r="W5884" s="1889">
        <v>1</v>
      </c>
      <c r="X5884" s="1889">
        <v>1</v>
      </c>
      <c r="Y5884" s="1889">
        <v>1</v>
      </c>
      <c r="Z5884" s="1889"/>
      <c r="AA5884" s="1890">
        <f>SUM(O5884:Z5884)</f>
        <v>10</v>
      </c>
    </row>
    <row r="5885" spans="1:27" ht="12" x14ac:dyDescent="0.2">
      <c r="A5885" s="1889"/>
      <c r="B5885" s="2701"/>
      <c r="C5885" s="4029"/>
      <c r="D5885" s="3984"/>
      <c r="E5885" s="3981"/>
      <c r="F5885" s="3981"/>
      <c r="G5885" s="3981"/>
      <c r="H5885" s="3984"/>
      <c r="I5885" s="3981"/>
      <c r="J5885" s="3981"/>
      <c r="K5885" s="3987"/>
      <c r="L5885" s="3984"/>
      <c r="M5885" s="4027" t="s">
        <v>111</v>
      </c>
      <c r="N5885" s="4027"/>
      <c r="O5885" s="1616">
        <f t="shared" ref="O5885:Z5885" si="951">SUM(O5886:O5887)</f>
        <v>141</v>
      </c>
      <c r="P5885" s="1616">
        <f t="shared" si="951"/>
        <v>141</v>
      </c>
      <c r="Q5885" s="1616">
        <f t="shared" si="951"/>
        <v>141</v>
      </c>
      <c r="R5885" s="1616">
        <f t="shared" si="951"/>
        <v>141</v>
      </c>
      <c r="S5885" s="1616">
        <f t="shared" si="951"/>
        <v>141</v>
      </c>
      <c r="T5885" s="1616">
        <f t="shared" si="951"/>
        <v>141</v>
      </c>
      <c r="U5885" s="1616">
        <f t="shared" si="951"/>
        <v>141</v>
      </c>
      <c r="V5885" s="1616">
        <f t="shared" si="951"/>
        <v>141</v>
      </c>
      <c r="W5885" s="1616">
        <f t="shared" si="951"/>
        <v>141</v>
      </c>
      <c r="X5885" s="1616">
        <f t="shared" si="951"/>
        <v>141</v>
      </c>
      <c r="Y5885" s="1616">
        <f t="shared" si="951"/>
        <v>141</v>
      </c>
      <c r="Z5885" s="1616">
        <f t="shared" si="951"/>
        <v>141</v>
      </c>
      <c r="AA5885" s="1890"/>
    </row>
    <row r="5886" spans="1:27" ht="22.5" x14ac:dyDescent="0.2">
      <c r="A5886" s="1889"/>
      <c r="B5886" s="2701"/>
      <c r="C5886" s="4029"/>
      <c r="D5886" s="3984"/>
      <c r="E5886" s="3981"/>
      <c r="F5886" s="3981"/>
      <c r="G5886" s="3981"/>
      <c r="H5886" s="3984"/>
      <c r="I5886" s="3981"/>
      <c r="J5886" s="3981"/>
      <c r="K5886" s="3987"/>
      <c r="L5886" s="3984"/>
      <c r="M5886" s="286" t="s">
        <v>184</v>
      </c>
      <c r="N5886" s="1725" t="s">
        <v>2178</v>
      </c>
      <c r="O5886" s="1883">
        <v>12.8</v>
      </c>
      <c r="P5886" s="1883">
        <v>12.8</v>
      </c>
      <c r="Q5886" s="1883">
        <v>12.8</v>
      </c>
      <c r="R5886" s="1883">
        <v>12.8</v>
      </c>
      <c r="S5886" s="1883">
        <v>12.8</v>
      </c>
      <c r="T5886" s="1883">
        <v>12.8</v>
      </c>
      <c r="U5886" s="1883">
        <v>12.8</v>
      </c>
      <c r="V5886" s="1883">
        <v>12.8</v>
      </c>
      <c r="W5886" s="1883">
        <v>12.8</v>
      </c>
      <c r="X5886" s="1883">
        <v>12.8</v>
      </c>
      <c r="Y5886" s="1883">
        <v>12.8</v>
      </c>
      <c r="Z5886" s="1883">
        <v>12.8</v>
      </c>
      <c r="AA5886" s="1884">
        <f>SUM(O5886:Z5886)</f>
        <v>153.6</v>
      </c>
    </row>
    <row r="5887" spans="1:27" ht="12" x14ac:dyDescent="0.2">
      <c r="A5887" s="1889"/>
      <c r="B5887" s="2702"/>
      <c r="C5887" s="4030"/>
      <c r="D5887" s="3985"/>
      <c r="E5887" s="3982"/>
      <c r="F5887" s="3982"/>
      <c r="G5887" s="3982"/>
      <c r="H5887" s="3985"/>
      <c r="I5887" s="3982"/>
      <c r="J5887" s="3982"/>
      <c r="K5887" s="3970"/>
      <c r="L5887" s="3985"/>
      <c r="M5887" s="286" t="s">
        <v>2103</v>
      </c>
      <c r="N5887" s="358" t="s">
        <v>1262</v>
      </c>
      <c r="O5887" s="1616">
        <v>128.19999999999999</v>
      </c>
      <c r="P5887" s="1616">
        <v>128.19999999999999</v>
      </c>
      <c r="Q5887" s="1616">
        <v>128.19999999999999</v>
      </c>
      <c r="R5887" s="1616">
        <v>128.19999999999999</v>
      </c>
      <c r="S5887" s="1616">
        <v>128.19999999999999</v>
      </c>
      <c r="T5887" s="1616">
        <v>128.19999999999999</v>
      </c>
      <c r="U5887" s="1616">
        <v>128.19999999999999</v>
      </c>
      <c r="V5887" s="1616">
        <v>128.19999999999999</v>
      </c>
      <c r="W5887" s="1616">
        <v>128.19999999999999</v>
      </c>
      <c r="X5887" s="1616">
        <v>128.19999999999999</v>
      </c>
      <c r="Y5887" s="1616">
        <v>128.19999999999999</v>
      </c>
      <c r="Z5887" s="1616">
        <v>128.19999999999999</v>
      </c>
      <c r="AA5887" s="1635">
        <f>SUM(O5887:Z5887)</f>
        <v>1538.4000000000003</v>
      </c>
    </row>
    <row r="5888" spans="1:27" ht="12" x14ac:dyDescent="0.2">
      <c r="A5888" s="1889"/>
      <c r="B5888" s="2700"/>
      <c r="C5888" s="4028" t="s">
        <v>2227</v>
      </c>
      <c r="D5888" s="3983"/>
      <c r="E5888" s="3980"/>
      <c r="F5888" s="3980"/>
      <c r="G5888" s="3980"/>
      <c r="H5888" s="3983"/>
      <c r="I5888" s="3980" t="s">
        <v>2228</v>
      </c>
      <c r="J5888" s="3980">
        <v>2</v>
      </c>
      <c r="K5888" s="3986"/>
      <c r="L5888" s="3983"/>
      <c r="M5888" s="4027" t="s">
        <v>51</v>
      </c>
      <c r="N5888" s="4027"/>
      <c r="O5888" s="1889"/>
      <c r="P5888" s="1889"/>
      <c r="Q5888" s="1889"/>
      <c r="R5888" s="1889"/>
      <c r="S5888" s="1889">
        <v>1</v>
      </c>
      <c r="T5888" s="1889"/>
      <c r="U5888" s="1889"/>
      <c r="V5888" s="1889"/>
      <c r="W5888" s="1889"/>
      <c r="X5888" s="1889">
        <v>1</v>
      </c>
      <c r="Y5888" s="1889"/>
      <c r="Z5888" s="1889"/>
      <c r="AA5888" s="1890">
        <f>SUM(O5888:Z5888)</f>
        <v>2</v>
      </c>
    </row>
    <row r="5889" spans="1:27" ht="12" x14ac:dyDescent="0.2">
      <c r="A5889" s="1889"/>
      <c r="B5889" s="2701"/>
      <c r="C5889" s="4029"/>
      <c r="D5889" s="3984"/>
      <c r="E5889" s="3981"/>
      <c r="F5889" s="3981"/>
      <c r="G5889" s="3981"/>
      <c r="H5889" s="3984"/>
      <c r="I5889" s="3981"/>
      <c r="J5889" s="3981"/>
      <c r="K5889" s="3987"/>
      <c r="L5889" s="3984"/>
      <c r="M5889" s="4027" t="s">
        <v>111</v>
      </c>
      <c r="N5889" s="4027"/>
      <c r="O5889" s="1616">
        <f t="shared" ref="O5889:Z5889" si="952">SUM(O5890:O5891)</f>
        <v>141</v>
      </c>
      <c r="P5889" s="1616">
        <f t="shared" si="952"/>
        <v>141</v>
      </c>
      <c r="Q5889" s="1616">
        <f t="shared" si="952"/>
        <v>141</v>
      </c>
      <c r="R5889" s="1616">
        <f t="shared" si="952"/>
        <v>141</v>
      </c>
      <c r="S5889" s="1616">
        <f t="shared" si="952"/>
        <v>141</v>
      </c>
      <c r="T5889" s="1616">
        <f t="shared" si="952"/>
        <v>141</v>
      </c>
      <c r="U5889" s="1616">
        <f t="shared" si="952"/>
        <v>141</v>
      </c>
      <c r="V5889" s="1616">
        <f t="shared" si="952"/>
        <v>141</v>
      </c>
      <c r="W5889" s="1616">
        <f t="shared" si="952"/>
        <v>141</v>
      </c>
      <c r="X5889" s="1616">
        <f t="shared" si="952"/>
        <v>141</v>
      </c>
      <c r="Y5889" s="1616">
        <f t="shared" si="952"/>
        <v>141</v>
      </c>
      <c r="Z5889" s="1616">
        <f t="shared" si="952"/>
        <v>141</v>
      </c>
      <c r="AA5889" s="1890"/>
    </row>
    <row r="5890" spans="1:27" ht="22.5" x14ac:dyDescent="0.2">
      <c r="A5890" s="1889"/>
      <c r="B5890" s="2701"/>
      <c r="C5890" s="4029"/>
      <c r="D5890" s="3984"/>
      <c r="E5890" s="3981"/>
      <c r="F5890" s="3981"/>
      <c r="G5890" s="3981"/>
      <c r="H5890" s="3984"/>
      <c r="I5890" s="3981"/>
      <c r="J5890" s="3981"/>
      <c r="K5890" s="3987"/>
      <c r="L5890" s="3984"/>
      <c r="M5890" s="286" t="s">
        <v>184</v>
      </c>
      <c r="N5890" s="1725" t="s">
        <v>2178</v>
      </c>
      <c r="O5890" s="1883">
        <v>12.8</v>
      </c>
      <c r="P5890" s="1883">
        <v>12.8</v>
      </c>
      <c r="Q5890" s="1883">
        <v>12.8</v>
      </c>
      <c r="R5890" s="1883">
        <v>12.8</v>
      </c>
      <c r="S5890" s="1883">
        <v>12.8</v>
      </c>
      <c r="T5890" s="1883">
        <v>12.8</v>
      </c>
      <c r="U5890" s="1883">
        <v>12.8</v>
      </c>
      <c r="V5890" s="1883">
        <v>12.8</v>
      </c>
      <c r="W5890" s="1883">
        <v>12.8</v>
      </c>
      <c r="X5890" s="1883">
        <v>12.8</v>
      </c>
      <c r="Y5890" s="1883">
        <v>12.8</v>
      </c>
      <c r="Z5890" s="1883">
        <v>12.8</v>
      </c>
      <c r="AA5890" s="1884">
        <f>SUM(O5890:Z5890)</f>
        <v>153.6</v>
      </c>
    </row>
    <row r="5891" spans="1:27" ht="12" x14ac:dyDescent="0.2">
      <c r="A5891" s="1889"/>
      <c r="B5891" s="2702"/>
      <c r="C5891" s="4030"/>
      <c r="D5891" s="3985"/>
      <c r="E5891" s="3982"/>
      <c r="F5891" s="3982"/>
      <c r="G5891" s="3982"/>
      <c r="H5891" s="3985"/>
      <c r="I5891" s="3982"/>
      <c r="J5891" s="3982"/>
      <c r="K5891" s="3970"/>
      <c r="L5891" s="3985"/>
      <c r="M5891" s="286" t="s">
        <v>2103</v>
      </c>
      <c r="N5891" s="358" t="s">
        <v>1262</v>
      </c>
      <c r="O5891" s="1616">
        <v>128.19999999999999</v>
      </c>
      <c r="P5891" s="1616">
        <v>128.19999999999999</v>
      </c>
      <c r="Q5891" s="1616">
        <v>128.19999999999999</v>
      </c>
      <c r="R5891" s="1616">
        <v>128.19999999999999</v>
      </c>
      <c r="S5891" s="1616">
        <v>128.19999999999999</v>
      </c>
      <c r="T5891" s="1616">
        <v>128.19999999999999</v>
      </c>
      <c r="U5891" s="1616">
        <v>128.19999999999999</v>
      </c>
      <c r="V5891" s="1616">
        <v>128.19999999999999</v>
      </c>
      <c r="W5891" s="1616">
        <v>128.19999999999999</v>
      </c>
      <c r="X5891" s="1616">
        <v>128.19999999999999</v>
      </c>
      <c r="Y5891" s="1616">
        <v>128.19999999999999</v>
      </c>
      <c r="Z5891" s="1616">
        <v>128.19999999999999</v>
      </c>
      <c r="AA5891" s="1635">
        <f>SUM(O5891:Z5891)</f>
        <v>1538.4000000000003</v>
      </c>
    </row>
    <row r="5892" spans="1:27" ht="12" x14ac:dyDescent="0.2">
      <c r="A5892" s="1889"/>
      <c r="B5892" s="2700"/>
      <c r="C5892" s="4028" t="s">
        <v>2229</v>
      </c>
      <c r="D5892" s="3983"/>
      <c r="E5892" s="3980"/>
      <c r="F5892" s="3980"/>
      <c r="G5892" s="3980"/>
      <c r="H5892" s="3983"/>
      <c r="I5892" s="3980"/>
      <c r="J5892" s="3980" t="s">
        <v>2230</v>
      </c>
      <c r="K5892" s="3986">
        <v>2</v>
      </c>
      <c r="L5892" s="3983"/>
      <c r="M5892" s="4027" t="s">
        <v>51</v>
      </c>
      <c r="N5892" s="4027"/>
      <c r="O5892" s="1889"/>
      <c r="P5892" s="1889"/>
      <c r="Q5892" s="1889"/>
      <c r="R5892" s="1889"/>
      <c r="S5892" s="1889">
        <v>1</v>
      </c>
      <c r="T5892" s="1889"/>
      <c r="U5892" s="1889"/>
      <c r="V5892" s="1889"/>
      <c r="W5892" s="1889"/>
      <c r="X5892" s="1889">
        <v>1</v>
      </c>
      <c r="Y5892" s="1889"/>
      <c r="Z5892" s="1889"/>
      <c r="AA5892" s="1890">
        <f>SUM(O5892:Z5892)</f>
        <v>2</v>
      </c>
    </row>
    <row r="5893" spans="1:27" ht="12" x14ac:dyDescent="0.2">
      <c r="A5893" s="1889"/>
      <c r="B5893" s="2701"/>
      <c r="C5893" s="4029"/>
      <c r="D5893" s="3984"/>
      <c r="E5893" s="3981"/>
      <c r="F5893" s="3981"/>
      <c r="G5893" s="3981"/>
      <c r="H5893" s="3984"/>
      <c r="I5893" s="3981"/>
      <c r="J5893" s="3981"/>
      <c r="K5893" s="3987"/>
      <c r="L5893" s="3984"/>
      <c r="M5893" s="4027" t="s">
        <v>111</v>
      </c>
      <c r="N5893" s="4027"/>
      <c r="O5893" s="1616">
        <f t="shared" ref="O5893:Z5893" si="953">SUM(O5894:O5895)</f>
        <v>141</v>
      </c>
      <c r="P5893" s="1616">
        <f t="shared" si="953"/>
        <v>141</v>
      </c>
      <c r="Q5893" s="1616">
        <f t="shared" si="953"/>
        <v>141</v>
      </c>
      <c r="R5893" s="1616">
        <f t="shared" si="953"/>
        <v>141</v>
      </c>
      <c r="S5893" s="1616">
        <f t="shared" si="953"/>
        <v>141</v>
      </c>
      <c r="T5893" s="1616">
        <f t="shared" si="953"/>
        <v>141</v>
      </c>
      <c r="U5893" s="1616">
        <f t="shared" si="953"/>
        <v>141</v>
      </c>
      <c r="V5893" s="1616">
        <f t="shared" si="953"/>
        <v>141</v>
      </c>
      <c r="W5893" s="1616">
        <f t="shared" si="953"/>
        <v>141</v>
      </c>
      <c r="X5893" s="1616">
        <f t="shared" si="953"/>
        <v>141</v>
      </c>
      <c r="Y5893" s="1616">
        <f t="shared" si="953"/>
        <v>141</v>
      </c>
      <c r="Z5893" s="1616">
        <f t="shared" si="953"/>
        <v>141</v>
      </c>
      <c r="AA5893" s="1890"/>
    </row>
    <row r="5894" spans="1:27" ht="22.5" x14ac:dyDescent="0.2">
      <c r="A5894" s="1889"/>
      <c r="B5894" s="2701"/>
      <c r="C5894" s="4029"/>
      <c r="D5894" s="3984"/>
      <c r="E5894" s="3981"/>
      <c r="F5894" s="3981"/>
      <c r="G5894" s="3981"/>
      <c r="H5894" s="3984"/>
      <c r="I5894" s="3981"/>
      <c r="J5894" s="3981"/>
      <c r="K5894" s="3987"/>
      <c r="L5894" s="3984"/>
      <c r="M5894" s="286" t="s">
        <v>184</v>
      </c>
      <c r="N5894" s="1725" t="s">
        <v>2178</v>
      </c>
      <c r="O5894" s="1883">
        <v>12.8</v>
      </c>
      <c r="P5894" s="1883">
        <v>12.8</v>
      </c>
      <c r="Q5894" s="1883">
        <v>12.8</v>
      </c>
      <c r="R5894" s="1883">
        <v>12.8</v>
      </c>
      <c r="S5894" s="1883">
        <v>12.8</v>
      </c>
      <c r="T5894" s="1883">
        <v>12.8</v>
      </c>
      <c r="U5894" s="1883">
        <v>12.8</v>
      </c>
      <c r="V5894" s="1883">
        <v>12.8</v>
      </c>
      <c r="W5894" s="1883">
        <v>12.8</v>
      </c>
      <c r="X5894" s="1883">
        <v>12.8</v>
      </c>
      <c r="Y5894" s="1883">
        <v>12.8</v>
      </c>
      <c r="Z5894" s="1883">
        <v>12.8</v>
      </c>
      <c r="AA5894" s="1884">
        <f>SUM(O5894:Z5894)</f>
        <v>153.6</v>
      </c>
    </row>
    <row r="5895" spans="1:27" ht="12" x14ac:dyDescent="0.2">
      <c r="A5895" s="1889"/>
      <c r="B5895" s="2702"/>
      <c r="C5895" s="4030"/>
      <c r="D5895" s="3985"/>
      <c r="E5895" s="3982"/>
      <c r="F5895" s="3982"/>
      <c r="G5895" s="3982"/>
      <c r="H5895" s="3985"/>
      <c r="I5895" s="3982"/>
      <c r="J5895" s="3982"/>
      <c r="K5895" s="3970"/>
      <c r="L5895" s="3985"/>
      <c r="M5895" s="286" t="s">
        <v>2103</v>
      </c>
      <c r="N5895" s="358" t="s">
        <v>1262</v>
      </c>
      <c r="O5895" s="1616">
        <v>128.19999999999999</v>
      </c>
      <c r="P5895" s="1616">
        <v>128.19999999999999</v>
      </c>
      <c r="Q5895" s="1616">
        <v>128.19999999999999</v>
      </c>
      <c r="R5895" s="1616">
        <v>128.19999999999999</v>
      </c>
      <c r="S5895" s="1616">
        <v>128.19999999999999</v>
      </c>
      <c r="T5895" s="1616">
        <v>128.19999999999999</v>
      </c>
      <c r="U5895" s="1616">
        <v>128.19999999999999</v>
      </c>
      <c r="V5895" s="1616">
        <v>128.19999999999999</v>
      </c>
      <c r="W5895" s="1616">
        <v>128.19999999999999</v>
      </c>
      <c r="X5895" s="1616">
        <v>128.19999999999999</v>
      </c>
      <c r="Y5895" s="1616">
        <v>128.19999999999999</v>
      </c>
      <c r="Z5895" s="1616">
        <v>128.19999999999999</v>
      </c>
      <c r="AA5895" s="1635">
        <f>SUM(O5895:Z5895)</f>
        <v>1538.4000000000003</v>
      </c>
    </row>
    <row r="5896" spans="1:27" ht="12" x14ac:dyDescent="0.2">
      <c r="A5896" s="1889"/>
      <c r="B5896" s="2700"/>
      <c r="C5896" s="4028" t="s">
        <v>2231</v>
      </c>
      <c r="D5896" s="3983"/>
      <c r="E5896" s="3980"/>
      <c r="F5896" s="3980"/>
      <c r="G5896" s="3980"/>
      <c r="H5896" s="3983"/>
      <c r="I5896" s="3980"/>
      <c r="J5896" s="3980" t="s">
        <v>2232</v>
      </c>
      <c r="K5896" s="3986">
        <v>2</v>
      </c>
      <c r="L5896" s="3983"/>
      <c r="M5896" s="4027" t="s">
        <v>51</v>
      </c>
      <c r="N5896" s="4027"/>
      <c r="O5896" s="1889"/>
      <c r="P5896" s="1889"/>
      <c r="Q5896" s="1889"/>
      <c r="R5896" s="1889"/>
      <c r="S5896" s="1889">
        <v>1</v>
      </c>
      <c r="T5896" s="1889"/>
      <c r="U5896" s="1889"/>
      <c r="V5896" s="1889"/>
      <c r="W5896" s="1889"/>
      <c r="X5896" s="1889">
        <v>1</v>
      </c>
      <c r="Y5896" s="1889"/>
      <c r="Z5896" s="1889"/>
      <c r="AA5896" s="1890">
        <f>SUM(O5896:Z5896)</f>
        <v>2</v>
      </c>
    </row>
    <row r="5897" spans="1:27" ht="12" x14ac:dyDescent="0.2">
      <c r="A5897" s="1889"/>
      <c r="B5897" s="2701"/>
      <c r="C5897" s="4029"/>
      <c r="D5897" s="3984"/>
      <c r="E5897" s="3981"/>
      <c r="F5897" s="3981"/>
      <c r="G5897" s="3981"/>
      <c r="H5897" s="3984"/>
      <c r="I5897" s="3981"/>
      <c r="J5897" s="3981"/>
      <c r="K5897" s="3987"/>
      <c r="L5897" s="3984"/>
      <c r="M5897" s="4027" t="s">
        <v>111</v>
      </c>
      <c r="N5897" s="4027"/>
      <c r="O5897" s="1616">
        <f t="shared" ref="O5897:Z5897" si="954">SUM(O5898:O5899)</f>
        <v>141</v>
      </c>
      <c r="P5897" s="1616">
        <f t="shared" si="954"/>
        <v>141</v>
      </c>
      <c r="Q5897" s="1616">
        <f t="shared" si="954"/>
        <v>141</v>
      </c>
      <c r="R5897" s="1616">
        <f t="shared" si="954"/>
        <v>141</v>
      </c>
      <c r="S5897" s="1616">
        <f t="shared" si="954"/>
        <v>141</v>
      </c>
      <c r="T5897" s="1616">
        <f t="shared" si="954"/>
        <v>141</v>
      </c>
      <c r="U5897" s="1616">
        <f t="shared" si="954"/>
        <v>141</v>
      </c>
      <c r="V5897" s="1616">
        <f t="shared" si="954"/>
        <v>141</v>
      </c>
      <c r="W5897" s="1616">
        <f t="shared" si="954"/>
        <v>141</v>
      </c>
      <c r="X5897" s="1616">
        <f t="shared" si="954"/>
        <v>141</v>
      </c>
      <c r="Y5897" s="1616">
        <f t="shared" si="954"/>
        <v>141</v>
      </c>
      <c r="Z5897" s="1616">
        <f t="shared" si="954"/>
        <v>141</v>
      </c>
      <c r="AA5897" s="1890"/>
    </row>
    <row r="5898" spans="1:27" ht="22.5" x14ac:dyDescent="0.2">
      <c r="A5898" s="1889"/>
      <c r="B5898" s="2701"/>
      <c r="C5898" s="4029"/>
      <c r="D5898" s="3984"/>
      <c r="E5898" s="3981"/>
      <c r="F5898" s="3981"/>
      <c r="G5898" s="3981"/>
      <c r="H5898" s="3984"/>
      <c r="I5898" s="3981"/>
      <c r="J5898" s="3981"/>
      <c r="K5898" s="3987"/>
      <c r="L5898" s="3984"/>
      <c r="M5898" s="286" t="s">
        <v>184</v>
      </c>
      <c r="N5898" s="1725" t="s">
        <v>2178</v>
      </c>
      <c r="O5898" s="1883">
        <v>12.8</v>
      </c>
      <c r="P5898" s="1883">
        <v>12.8</v>
      </c>
      <c r="Q5898" s="1883">
        <v>12.8</v>
      </c>
      <c r="R5898" s="1883">
        <v>12.8</v>
      </c>
      <c r="S5898" s="1883">
        <v>12.8</v>
      </c>
      <c r="T5898" s="1883">
        <v>12.8</v>
      </c>
      <c r="U5898" s="1883">
        <v>12.8</v>
      </c>
      <c r="V5898" s="1883">
        <v>12.8</v>
      </c>
      <c r="W5898" s="1883">
        <v>12.8</v>
      </c>
      <c r="X5898" s="1883">
        <v>12.8</v>
      </c>
      <c r="Y5898" s="1883">
        <v>12.8</v>
      </c>
      <c r="Z5898" s="1883">
        <v>12.8</v>
      </c>
      <c r="AA5898" s="1884">
        <f>SUM(O5898:Z5898)</f>
        <v>153.6</v>
      </c>
    </row>
    <row r="5899" spans="1:27" ht="12" x14ac:dyDescent="0.2">
      <c r="A5899" s="1889"/>
      <c r="B5899" s="2702"/>
      <c r="C5899" s="4030"/>
      <c r="D5899" s="3985"/>
      <c r="E5899" s="3982"/>
      <c r="F5899" s="3982"/>
      <c r="G5899" s="3982"/>
      <c r="H5899" s="3985"/>
      <c r="I5899" s="3982"/>
      <c r="J5899" s="3982"/>
      <c r="K5899" s="3970"/>
      <c r="L5899" s="3985"/>
      <c r="M5899" s="286" t="s">
        <v>2103</v>
      </c>
      <c r="N5899" s="358" t="s">
        <v>1262</v>
      </c>
      <c r="O5899" s="1616">
        <v>128.19999999999999</v>
      </c>
      <c r="P5899" s="1616">
        <v>128.19999999999999</v>
      </c>
      <c r="Q5899" s="1616">
        <v>128.19999999999999</v>
      </c>
      <c r="R5899" s="1616">
        <v>128.19999999999999</v>
      </c>
      <c r="S5899" s="1616">
        <v>128.19999999999999</v>
      </c>
      <c r="T5899" s="1616">
        <v>128.19999999999999</v>
      </c>
      <c r="U5899" s="1616">
        <v>128.19999999999999</v>
      </c>
      <c r="V5899" s="1616">
        <v>128.19999999999999</v>
      </c>
      <c r="W5899" s="1616">
        <v>128.19999999999999</v>
      </c>
      <c r="X5899" s="1616">
        <v>128.19999999999999</v>
      </c>
      <c r="Y5899" s="1616">
        <v>128.19999999999999</v>
      </c>
      <c r="Z5899" s="1616">
        <v>128.19999999999999</v>
      </c>
      <c r="AA5899" s="1635">
        <f>SUM(O5899:Z5899)</f>
        <v>1538.4000000000003</v>
      </c>
    </row>
    <row r="5900" spans="1:27" ht="12" x14ac:dyDescent="0.2">
      <c r="A5900" s="1889"/>
      <c r="B5900" s="2700"/>
      <c r="C5900" s="4028" t="s">
        <v>2233</v>
      </c>
      <c r="D5900" s="3983"/>
      <c r="E5900" s="3980"/>
      <c r="F5900" s="3980"/>
      <c r="G5900" s="3980"/>
      <c r="H5900" s="3983"/>
      <c r="I5900" s="3980"/>
      <c r="J5900" s="3980" t="s">
        <v>2234</v>
      </c>
      <c r="K5900" s="3986">
        <v>2</v>
      </c>
      <c r="L5900" s="3983"/>
      <c r="M5900" s="4027" t="s">
        <v>51</v>
      </c>
      <c r="N5900" s="4027"/>
      <c r="O5900" s="1889"/>
      <c r="P5900" s="1889"/>
      <c r="Q5900" s="1889"/>
      <c r="R5900" s="1889"/>
      <c r="S5900" s="1889"/>
      <c r="T5900" s="1889"/>
      <c r="U5900" s="1889">
        <v>1</v>
      </c>
      <c r="V5900" s="1889"/>
      <c r="W5900" s="1889"/>
      <c r="X5900" s="1889"/>
      <c r="Y5900" s="1889"/>
      <c r="Z5900" s="1889"/>
      <c r="AA5900" s="1890">
        <f>SUM(O5900:Z5900)</f>
        <v>1</v>
      </c>
    </row>
    <row r="5901" spans="1:27" ht="12" x14ac:dyDescent="0.2">
      <c r="A5901" s="1889"/>
      <c r="B5901" s="2701"/>
      <c r="C5901" s="4029"/>
      <c r="D5901" s="3984"/>
      <c r="E5901" s="3981"/>
      <c r="F5901" s="3981"/>
      <c r="G5901" s="3981"/>
      <c r="H5901" s="3984"/>
      <c r="I5901" s="3981"/>
      <c r="J5901" s="3981"/>
      <c r="K5901" s="3987"/>
      <c r="L5901" s="3984"/>
      <c r="M5901" s="4027" t="s">
        <v>111</v>
      </c>
      <c r="N5901" s="4027"/>
      <c r="O5901" s="1892">
        <f t="shared" ref="O5901:Z5901" si="955">SUM(O5902:O5904)</f>
        <v>141</v>
      </c>
      <c r="P5901" s="1892">
        <f t="shared" si="955"/>
        <v>141</v>
      </c>
      <c r="Q5901" s="1892">
        <f t="shared" si="955"/>
        <v>141</v>
      </c>
      <c r="R5901" s="1892">
        <f t="shared" si="955"/>
        <v>141</v>
      </c>
      <c r="S5901" s="1892">
        <f t="shared" si="955"/>
        <v>1641</v>
      </c>
      <c r="T5901" s="1892">
        <f t="shared" si="955"/>
        <v>141</v>
      </c>
      <c r="U5901" s="1892">
        <f t="shared" si="955"/>
        <v>141</v>
      </c>
      <c r="V5901" s="1892">
        <f t="shared" si="955"/>
        <v>141</v>
      </c>
      <c r="W5901" s="1892">
        <f t="shared" si="955"/>
        <v>1641</v>
      </c>
      <c r="X5901" s="1892">
        <f t="shared" si="955"/>
        <v>141</v>
      </c>
      <c r="Y5901" s="1892">
        <f t="shared" si="955"/>
        <v>141</v>
      </c>
      <c r="Z5901" s="1892">
        <f t="shared" si="955"/>
        <v>141</v>
      </c>
      <c r="AA5901" s="1893">
        <f>SUM(O5901:Z5901)</f>
        <v>4692</v>
      </c>
    </row>
    <row r="5902" spans="1:27" ht="22.5" x14ac:dyDescent="0.2">
      <c r="A5902" s="1889"/>
      <c r="B5902" s="2701"/>
      <c r="C5902" s="4029"/>
      <c r="D5902" s="3984"/>
      <c r="E5902" s="3981"/>
      <c r="F5902" s="3981"/>
      <c r="G5902" s="3981"/>
      <c r="H5902" s="3984"/>
      <c r="I5902" s="3981"/>
      <c r="J5902" s="3981"/>
      <c r="K5902" s="3987"/>
      <c r="L5902" s="3984"/>
      <c r="M5902" s="286" t="s">
        <v>184</v>
      </c>
      <c r="N5902" s="1725" t="s">
        <v>2178</v>
      </c>
      <c r="O5902" s="1883">
        <v>12.8</v>
      </c>
      <c r="P5902" s="1883">
        <v>12.8</v>
      </c>
      <c r="Q5902" s="1883">
        <v>12.8</v>
      </c>
      <c r="R5902" s="1883">
        <v>12.8</v>
      </c>
      <c r="S5902" s="1883">
        <v>12.8</v>
      </c>
      <c r="T5902" s="1883">
        <v>12.8</v>
      </c>
      <c r="U5902" s="1883">
        <v>12.8</v>
      </c>
      <c r="V5902" s="1883">
        <v>12.8</v>
      </c>
      <c r="W5902" s="1883">
        <v>12.8</v>
      </c>
      <c r="X5902" s="1883">
        <v>12.8</v>
      </c>
      <c r="Y5902" s="1883">
        <v>12.8</v>
      </c>
      <c r="Z5902" s="1883">
        <v>12.8</v>
      </c>
      <c r="AA5902" s="1884">
        <f>SUM(O5902:Z5902)</f>
        <v>153.6</v>
      </c>
    </row>
    <row r="5903" spans="1:27" ht="22.5" x14ac:dyDescent="0.2">
      <c r="A5903" s="1889"/>
      <c r="B5903" s="2701"/>
      <c r="C5903" s="4029"/>
      <c r="D5903" s="3984"/>
      <c r="E5903" s="3981"/>
      <c r="F5903" s="3981"/>
      <c r="G5903" s="3981"/>
      <c r="H5903" s="3984"/>
      <c r="I5903" s="3981"/>
      <c r="J5903" s="3981"/>
      <c r="K5903" s="3987"/>
      <c r="L5903" s="3984"/>
      <c r="M5903" s="286" t="s">
        <v>2235</v>
      </c>
      <c r="N5903" s="1725" t="s">
        <v>2236</v>
      </c>
      <c r="O5903" s="1883"/>
      <c r="P5903" s="1883"/>
      <c r="Q5903" s="1883"/>
      <c r="R5903" s="1883"/>
      <c r="S5903" s="1883">
        <v>1500</v>
      </c>
      <c r="T5903" s="1883"/>
      <c r="U5903" s="1883"/>
      <c r="V5903" s="1883"/>
      <c r="W5903" s="1883">
        <v>1500</v>
      </c>
      <c r="X5903" s="1883"/>
      <c r="Y5903" s="1883"/>
      <c r="Z5903" s="1883"/>
      <c r="AA5903" s="1884"/>
    </row>
    <row r="5904" spans="1:27" ht="12" x14ac:dyDescent="0.2">
      <c r="A5904" s="1889"/>
      <c r="B5904" s="2702"/>
      <c r="C5904" s="4030"/>
      <c r="D5904" s="3985"/>
      <c r="E5904" s="3982"/>
      <c r="F5904" s="3982"/>
      <c r="G5904" s="3982"/>
      <c r="H5904" s="3985"/>
      <c r="I5904" s="3982"/>
      <c r="J5904" s="3982"/>
      <c r="K5904" s="3970"/>
      <c r="L5904" s="3985"/>
      <c r="M5904" s="286" t="s">
        <v>2103</v>
      </c>
      <c r="N5904" s="358" t="s">
        <v>1262</v>
      </c>
      <c r="O5904" s="1616">
        <v>128.19999999999999</v>
      </c>
      <c r="P5904" s="1616">
        <v>128.19999999999999</v>
      </c>
      <c r="Q5904" s="1616">
        <v>128.19999999999999</v>
      </c>
      <c r="R5904" s="1616">
        <v>128.19999999999999</v>
      </c>
      <c r="S5904" s="1616">
        <v>128.19999999999999</v>
      </c>
      <c r="T5904" s="1616">
        <v>128.19999999999999</v>
      </c>
      <c r="U5904" s="1616">
        <v>128.19999999999999</v>
      </c>
      <c r="V5904" s="1616">
        <v>128.19999999999999</v>
      </c>
      <c r="W5904" s="1616">
        <v>128.19999999999999</v>
      </c>
      <c r="X5904" s="1616">
        <v>128.19999999999999</v>
      </c>
      <c r="Y5904" s="1616">
        <v>128.19999999999999</v>
      </c>
      <c r="Z5904" s="1616">
        <v>128.19999999999999</v>
      </c>
      <c r="AA5904" s="1635">
        <f t="shared" ref="AA5904:AA5951" si="956">SUM(O5904:Z5904)</f>
        <v>1538.4000000000003</v>
      </c>
    </row>
    <row r="5905" spans="1:27" ht="15" x14ac:dyDescent="0.25">
      <c r="A5905" s="1894"/>
      <c r="B5905" s="2364">
        <v>5004301</v>
      </c>
      <c r="C5905" s="4044" t="s">
        <v>2242</v>
      </c>
      <c r="D5905" s="4047" t="s">
        <v>2243</v>
      </c>
      <c r="E5905" s="2361" t="s">
        <v>2159</v>
      </c>
      <c r="F5905" s="2361" t="s">
        <v>2160</v>
      </c>
      <c r="G5905" s="2361" t="s">
        <v>2161</v>
      </c>
      <c r="H5905" s="2361" t="s">
        <v>3405</v>
      </c>
      <c r="I5905" s="2361" t="s">
        <v>2245</v>
      </c>
      <c r="J5905" s="4038">
        <v>360</v>
      </c>
      <c r="K5905" s="4038">
        <v>162331</v>
      </c>
      <c r="L5905" s="2361" t="s">
        <v>3406</v>
      </c>
      <c r="M5905" s="2647" t="s">
        <v>51</v>
      </c>
      <c r="N5905" s="2754"/>
      <c r="O5905" s="1617">
        <v>30</v>
      </c>
      <c r="P5905" s="1617">
        <v>30</v>
      </c>
      <c r="Q5905" s="1617">
        <v>30</v>
      </c>
      <c r="R5905" s="1617">
        <v>30</v>
      </c>
      <c r="S5905" s="1617">
        <v>30</v>
      </c>
      <c r="T5905" s="1617">
        <v>30</v>
      </c>
      <c r="U5905" s="1617">
        <v>30</v>
      </c>
      <c r="V5905" s="1617">
        <v>30</v>
      </c>
      <c r="W5905" s="1617">
        <v>30</v>
      </c>
      <c r="X5905" s="1617">
        <v>30</v>
      </c>
      <c r="Y5905" s="1617">
        <v>30</v>
      </c>
      <c r="Z5905" s="1617">
        <v>30</v>
      </c>
      <c r="AA5905" s="1617">
        <f t="shared" si="956"/>
        <v>360</v>
      </c>
    </row>
    <row r="5906" spans="1:27" ht="15" x14ac:dyDescent="0.25">
      <c r="A5906" s="1894"/>
      <c r="B5906" s="4034"/>
      <c r="C5906" s="4045"/>
      <c r="D5906" s="4048"/>
      <c r="E5906" s="3965"/>
      <c r="F5906" s="3965"/>
      <c r="G5906" s="3965"/>
      <c r="H5906" s="3965"/>
      <c r="I5906" s="3965"/>
      <c r="J5906" s="4039"/>
      <c r="K5906" s="4039"/>
      <c r="L5906" s="3965"/>
      <c r="M5906" s="2647" t="s">
        <v>972</v>
      </c>
      <c r="N5906" s="2754"/>
      <c r="O5906" s="1627">
        <f t="shared" ref="O5906:Z5906" si="957">SUM(O5907:O5908)</f>
        <v>13527.57</v>
      </c>
      <c r="P5906" s="1627">
        <f t="shared" si="957"/>
        <v>13527.57</v>
      </c>
      <c r="Q5906" s="1627">
        <f t="shared" si="957"/>
        <v>13527.57</v>
      </c>
      <c r="R5906" s="1627">
        <f t="shared" si="957"/>
        <v>13527.57</v>
      </c>
      <c r="S5906" s="1627">
        <f t="shared" si="957"/>
        <v>13527.57</v>
      </c>
      <c r="T5906" s="1627">
        <f t="shared" si="957"/>
        <v>13527.57</v>
      </c>
      <c r="U5906" s="1627">
        <f t="shared" si="957"/>
        <v>13527.57</v>
      </c>
      <c r="V5906" s="1627">
        <f t="shared" si="957"/>
        <v>13527.57</v>
      </c>
      <c r="W5906" s="1627">
        <f t="shared" si="957"/>
        <v>13527.57</v>
      </c>
      <c r="X5906" s="1627">
        <f t="shared" si="957"/>
        <v>13527.57</v>
      </c>
      <c r="Y5906" s="1627">
        <f t="shared" si="957"/>
        <v>13527.57</v>
      </c>
      <c r="Z5906" s="1627">
        <f t="shared" si="957"/>
        <v>13527.57</v>
      </c>
      <c r="AA5906" s="1617">
        <f t="shared" si="956"/>
        <v>162330.84000000005</v>
      </c>
    </row>
    <row r="5907" spans="1:27" ht="34.5" x14ac:dyDescent="0.25">
      <c r="A5907" s="1894"/>
      <c r="B5907" s="4034"/>
      <c r="C5907" s="4045"/>
      <c r="D5907" s="4048"/>
      <c r="E5907" s="3965"/>
      <c r="F5907" s="3965"/>
      <c r="G5907" s="3965"/>
      <c r="H5907" s="3965"/>
      <c r="I5907" s="3965"/>
      <c r="J5907" s="4039"/>
      <c r="K5907" s="4039"/>
      <c r="L5907" s="3965"/>
      <c r="M5907" s="1944" t="s">
        <v>2176</v>
      </c>
      <c r="N5907" s="2018" t="s">
        <v>1331</v>
      </c>
      <c r="O5907" s="1732">
        <v>12410.16</v>
      </c>
      <c r="P5907" s="1732">
        <v>12410.16</v>
      </c>
      <c r="Q5907" s="1732">
        <v>12410.16</v>
      </c>
      <c r="R5907" s="1732">
        <v>12410.16</v>
      </c>
      <c r="S5907" s="1732">
        <v>12410.16</v>
      </c>
      <c r="T5907" s="1732">
        <v>12410.16</v>
      </c>
      <c r="U5907" s="1732">
        <v>12410.16</v>
      </c>
      <c r="V5907" s="1732">
        <v>12410.16</v>
      </c>
      <c r="W5907" s="1732">
        <v>12410.16</v>
      </c>
      <c r="X5907" s="1732">
        <v>12410.16</v>
      </c>
      <c r="Y5907" s="1732">
        <v>12410.16</v>
      </c>
      <c r="Z5907" s="1732">
        <v>12410.16</v>
      </c>
      <c r="AA5907" s="1617">
        <f t="shared" si="956"/>
        <v>148921.92000000001</v>
      </c>
    </row>
    <row r="5908" spans="1:27" ht="23.25" x14ac:dyDescent="0.25">
      <c r="A5908" s="1894"/>
      <c r="B5908" s="2365"/>
      <c r="C5908" s="4046"/>
      <c r="D5908" s="4049"/>
      <c r="E5908" s="2362"/>
      <c r="F5908" s="2362"/>
      <c r="G5908" s="2362"/>
      <c r="H5908" s="2362"/>
      <c r="I5908" s="2362"/>
      <c r="J5908" s="4040"/>
      <c r="K5908" s="4040"/>
      <c r="L5908" s="2362"/>
      <c r="M5908" s="1944" t="s">
        <v>2177</v>
      </c>
      <c r="N5908" s="2018" t="s">
        <v>1333</v>
      </c>
      <c r="O5908" s="1732">
        <v>1117.4100000000001</v>
      </c>
      <c r="P5908" s="1732">
        <v>1117.4100000000001</v>
      </c>
      <c r="Q5908" s="1732">
        <v>1117.4100000000001</v>
      </c>
      <c r="R5908" s="1732">
        <v>1117.4100000000001</v>
      </c>
      <c r="S5908" s="1732">
        <v>1117.4100000000001</v>
      </c>
      <c r="T5908" s="1732">
        <v>1117.4100000000001</v>
      </c>
      <c r="U5908" s="1732">
        <v>1117.4100000000001</v>
      </c>
      <c r="V5908" s="1732">
        <v>1117.4100000000001</v>
      </c>
      <c r="W5908" s="1732">
        <v>1117.4100000000001</v>
      </c>
      <c r="X5908" s="1732">
        <v>1117.4100000000001</v>
      </c>
      <c r="Y5908" s="1732">
        <v>1117.4100000000001</v>
      </c>
      <c r="Z5908" s="1732">
        <v>1117.4100000000001</v>
      </c>
      <c r="AA5908" s="1624">
        <f t="shared" si="956"/>
        <v>13408.92</v>
      </c>
    </row>
    <row r="5909" spans="1:27" ht="15" x14ac:dyDescent="0.25">
      <c r="A5909" s="1894"/>
      <c r="B5909" s="2361">
        <v>5005591</v>
      </c>
      <c r="C5909" s="4050" t="s">
        <v>2247</v>
      </c>
      <c r="D5909" s="4052" t="s">
        <v>2248</v>
      </c>
      <c r="E5909" s="2361" t="s">
        <v>2159</v>
      </c>
      <c r="F5909" s="2361" t="s">
        <v>2160</v>
      </c>
      <c r="G5909" s="2361" t="s">
        <v>2161</v>
      </c>
      <c r="H5909" s="2361" t="s">
        <v>2249</v>
      </c>
      <c r="I5909" s="2361" t="s">
        <v>2250</v>
      </c>
      <c r="J5909" s="4038">
        <v>70</v>
      </c>
      <c r="K5909" s="4038">
        <v>116040</v>
      </c>
      <c r="L5909" s="2361" t="s">
        <v>3407</v>
      </c>
      <c r="M5909" s="2647" t="s">
        <v>51</v>
      </c>
      <c r="N5909" s="2754"/>
      <c r="O5909" s="1617">
        <v>5</v>
      </c>
      <c r="P5909" s="1617">
        <v>6</v>
      </c>
      <c r="Q5909" s="1617">
        <v>6</v>
      </c>
      <c r="R5909" s="1617">
        <v>6</v>
      </c>
      <c r="S5909" s="1617">
        <v>6</v>
      </c>
      <c r="T5909" s="1617">
        <v>6</v>
      </c>
      <c r="U5909" s="1617">
        <v>6</v>
      </c>
      <c r="V5909" s="1617">
        <v>6</v>
      </c>
      <c r="W5909" s="1617">
        <v>6</v>
      </c>
      <c r="X5909" s="1617">
        <v>6</v>
      </c>
      <c r="Y5909" s="1617">
        <v>6</v>
      </c>
      <c r="Z5909" s="1617">
        <v>5</v>
      </c>
      <c r="AA5909" s="1617">
        <f t="shared" si="956"/>
        <v>70</v>
      </c>
    </row>
    <row r="5910" spans="1:27" ht="15" x14ac:dyDescent="0.25">
      <c r="A5910" s="1894"/>
      <c r="B5910" s="3965"/>
      <c r="C5910" s="4051"/>
      <c r="D5910" s="4053"/>
      <c r="E5910" s="3965"/>
      <c r="F5910" s="3965"/>
      <c r="G5910" s="3965"/>
      <c r="H5910" s="3965"/>
      <c r="I5910" s="3965"/>
      <c r="J5910" s="4039"/>
      <c r="K5910" s="4039"/>
      <c r="L5910" s="3965"/>
      <c r="M5910" s="2317" t="s">
        <v>111</v>
      </c>
      <c r="N5910" s="2318"/>
      <c r="O5910" s="1627">
        <f t="shared" ref="O5910:Z5910" si="958">SUM(O5911:O5933)</f>
        <v>67223.460000000006</v>
      </c>
      <c r="P5910" s="1627">
        <f t="shared" si="958"/>
        <v>102423.06000000001</v>
      </c>
      <c r="Q5910" s="1627">
        <f t="shared" si="958"/>
        <v>74723.060000000012</v>
      </c>
      <c r="R5910" s="1627">
        <f t="shared" si="958"/>
        <v>81223.060000000012</v>
      </c>
      <c r="S5910" s="1627">
        <f t="shared" si="958"/>
        <v>90658.060000000012</v>
      </c>
      <c r="T5910" s="1627">
        <f t="shared" si="958"/>
        <v>82723.060000000012</v>
      </c>
      <c r="U5910" s="1627">
        <f t="shared" si="958"/>
        <v>76223.060000000012</v>
      </c>
      <c r="V5910" s="1627">
        <f t="shared" si="958"/>
        <v>85723.060000000012</v>
      </c>
      <c r="W5910" s="1627">
        <f t="shared" si="958"/>
        <v>76223.060000000012</v>
      </c>
      <c r="X5910" s="1627">
        <f t="shared" si="958"/>
        <v>78223.060000000012</v>
      </c>
      <c r="Y5910" s="1627">
        <f t="shared" si="958"/>
        <v>84223.060000000012</v>
      </c>
      <c r="Z5910" s="1627">
        <f t="shared" si="958"/>
        <v>69723.060000000012</v>
      </c>
      <c r="AA5910" s="1617">
        <f t="shared" si="956"/>
        <v>969312.12000000034</v>
      </c>
    </row>
    <row r="5911" spans="1:27" ht="45" x14ac:dyDescent="0.25">
      <c r="A5911" s="1894"/>
      <c r="B5911" s="3965"/>
      <c r="C5911" s="4051"/>
      <c r="D5911" s="4053"/>
      <c r="E5911" s="3965"/>
      <c r="F5911" s="3965"/>
      <c r="G5911" s="3965"/>
      <c r="H5911" s="3965"/>
      <c r="I5911" s="3965"/>
      <c r="J5911" s="4039"/>
      <c r="K5911" s="4039"/>
      <c r="L5911" s="3965"/>
      <c r="M5911" s="1945" t="s">
        <v>2251</v>
      </c>
      <c r="N5911" s="2107" t="s">
        <v>2252</v>
      </c>
      <c r="O5911" s="1731"/>
      <c r="P5911" s="1731"/>
      <c r="Q5911" s="1731">
        <v>1000</v>
      </c>
      <c r="R5911" s="1731"/>
      <c r="S5911" s="1731"/>
      <c r="T5911" s="1731">
        <v>2000</v>
      </c>
      <c r="U5911" s="1731"/>
      <c r="V5911" s="1731"/>
      <c r="W5911" s="1731">
        <v>1000</v>
      </c>
      <c r="X5911" s="1731"/>
      <c r="Y5911" s="1731"/>
      <c r="Z5911" s="1731"/>
      <c r="AA5911" s="1616">
        <f t="shared" si="956"/>
        <v>4000</v>
      </c>
    </row>
    <row r="5912" spans="1:27" ht="45.75" x14ac:dyDescent="0.25">
      <c r="A5912" s="1894"/>
      <c r="B5912" s="3965"/>
      <c r="C5912" s="4051"/>
      <c r="D5912" s="4053"/>
      <c r="E5912" s="3965"/>
      <c r="F5912" s="3965"/>
      <c r="G5912" s="3965"/>
      <c r="H5912" s="3965"/>
      <c r="I5912" s="3965"/>
      <c r="J5912" s="4039"/>
      <c r="K5912" s="4039"/>
      <c r="L5912" s="3965"/>
      <c r="M5912" s="1954" t="s">
        <v>2253</v>
      </c>
      <c r="N5912" s="2102" t="s">
        <v>1236</v>
      </c>
      <c r="O5912" s="1731"/>
      <c r="P5912" s="1731">
        <v>10000</v>
      </c>
      <c r="Q5912" s="1731"/>
      <c r="R5912" s="1731"/>
      <c r="S5912" s="1731">
        <v>3435</v>
      </c>
      <c r="T5912" s="1731"/>
      <c r="U5912" s="1731"/>
      <c r="V5912" s="1731"/>
      <c r="W5912" s="1731"/>
      <c r="X5912" s="1731"/>
      <c r="Y5912" s="1731"/>
      <c r="Z5912" s="1731"/>
      <c r="AA5912" s="1616">
        <f t="shared" si="956"/>
        <v>13435</v>
      </c>
    </row>
    <row r="5913" spans="1:27" ht="23.25" x14ac:dyDescent="0.25">
      <c r="A5913" s="1894"/>
      <c r="B5913" s="3965"/>
      <c r="C5913" s="4051"/>
      <c r="D5913" s="4053"/>
      <c r="E5913" s="3965"/>
      <c r="F5913" s="3965"/>
      <c r="G5913" s="3965"/>
      <c r="H5913" s="3965"/>
      <c r="I5913" s="3965"/>
      <c r="J5913" s="4039"/>
      <c r="K5913" s="4039"/>
      <c r="L5913" s="3965"/>
      <c r="M5913" s="1954" t="s">
        <v>2254</v>
      </c>
      <c r="N5913" s="2102" t="s">
        <v>1268</v>
      </c>
      <c r="O5913" s="1731"/>
      <c r="P5913" s="1731">
        <v>5000</v>
      </c>
      <c r="Q5913" s="1731"/>
      <c r="R5913" s="1731"/>
      <c r="S5913" s="1731">
        <v>3000</v>
      </c>
      <c r="T5913" s="1731"/>
      <c r="U5913" s="1731"/>
      <c r="V5913" s="1731">
        <v>2000</v>
      </c>
      <c r="W5913" s="1731"/>
      <c r="X5913" s="1731"/>
      <c r="Y5913" s="1731"/>
      <c r="Z5913" s="1731"/>
      <c r="AA5913" s="1616">
        <f t="shared" si="956"/>
        <v>10000</v>
      </c>
    </row>
    <row r="5914" spans="1:27" ht="15" x14ac:dyDescent="0.25">
      <c r="A5914" s="1894"/>
      <c r="B5914" s="3965"/>
      <c r="C5914" s="4051"/>
      <c r="D5914" s="4053"/>
      <c r="E5914" s="3965"/>
      <c r="F5914" s="3965"/>
      <c r="G5914" s="3965"/>
      <c r="H5914" s="3965"/>
      <c r="I5914" s="3965"/>
      <c r="J5914" s="4039"/>
      <c r="K5914" s="4039"/>
      <c r="L5914" s="3965"/>
      <c r="M5914" s="1945" t="s">
        <v>2255</v>
      </c>
      <c r="N5914" s="2108" t="s">
        <v>1717</v>
      </c>
      <c r="O5914" s="1731"/>
      <c r="P5914" s="1731"/>
      <c r="Q5914" s="1731">
        <v>1000</v>
      </c>
      <c r="R5914" s="1731"/>
      <c r="S5914" s="1731"/>
      <c r="T5914" s="1731">
        <v>1500</v>
      </c>
      <c r="U5914" s="1731"/>
      <c r="V5914" s="1731"/>
      <c r="W5914" s="1731"/>
      <c r="X5914" s="1731"/>
      <c r="Y5914" s="1731"/>
      <c r="Z5914" s="1731"/>
      <c r="AA5914" s="1616">
        <f t="shared" si="956"/>
        <v>2500</v>
      </c>
    </row>
    <row r="5915" spans="1:27" ht="34.5" x14ac:dyDescent="0.25">
      <c r="A5915" s="1894"/>
      <c r="B5915" s="3965"/>
      <c r="C5915" s="4051"/>
      <c r="D5915" s="4053"/>
      <c r="E5915" s="3965"/>
      <c r="F5915" s="3965"/>
      <c r="G5915" s="3965"/>
      <c r="H5915" s="3965"/>
      <c r="I5915" s="3965"/>
      <c r="J5915" s="4039"/>
      <c r="K5915" s="4039"/>
      <c r="L5915" s="3965"/>
      <c r="M5915" s="1954" t="s">
        <v>2256</v>
      </c>
      <c r="N5915" s="2102" t="s">
        <v>2257</v>
      </c>
      <c r="O5915" s="1731"/>
      <c r="P5915" s="1731">
        <v>5000</v>
      </c>
      <c r="Q5915" s="1731"/>
      <c r="R5915" s="1731"/>
      <c r="S5915" s="1731">
        <v>7000</v>
      </c>
      <c r="T5915" s="1731"/>
      <c r="U5915" s="1731"/>
      <c r="V5915" s="1731">
        <v>5000</v>
      </c>
      <c r="W5915" s="1731"/>
      <c r="X5915" s="1731"/>
      <c r="Y5915" s="1731">
        <v>8000</v>
      </c>
      <c r="Z5915" s="1731"/>
      <c r="AA5915" s="1616">
        <f t="shared" si="956"/>
        <v>25000</v>
      </c>
    </row>
    <row r="5916" spans="1:27" ht="45.75" x14ac:dyDescent="0.25">
      <c r="A5916" s="1894"/>
      <c r="B5916" s="3965"/>
      <c r="C5916" s="4051"/>
      <c r="D5916" s="4053"/>
      <c r="E5916" s="3965"/>
      <c r="F5916" s="3965"/>
      <c r="G5916" s="3965"/>
      <c r="H5916" s="3965"/>
      <c r="I5916" s="3965"/>
      <c r="J5916" s="4039"/>
      <c r="K5916" s="4039"/>
      <c r="L5916" s="3965"/>
      <c r="M5916" s="1954" t="s">
        <v>2258</v>
      </c>
      <c r="N5916" s="2102" t="s">
        <v>1273</v>
      </c>
      <c r="O5916" s="1731"/>
      <c r="P5916" s="1731"/>
      <c r="Q5916" s="1731"/>
      <c r="R5916" s="1731">
        <v>1000</v>
      </c>
      <c r="S5916" s="1731"/>
      <c r="T5916" s="1731"/>
      <c r="U5916" s="1731"/>
      <c r="V5916" s="1731"/>
      <c r="W5916" s="1731">
        <v>1000</v>
      </c>
      <c r="X5916" s="1731"/>
      <c r="Y5916" s="1731"/>
      <c r="Z5916" s="1731"/>
      <c r="AA5916" s="1616">
        <f t="shared" si="956"/>
        <v>2000</v>
      </c>
    </row>
    <row r="5917" spans="1:27" ht="23.25" x14ac:dyDescent="0.25">
      <c r="A5917" s="1894"/>
      <c r="B5917" s="3965"/>
      <c r="C5917" s="4051"/>
      <c r="D5917" s="4053"/>
      <c r="E5917" s="3965"/>
      <c r="F5917" s="3965"/>
      <c r="G5917" s="3965"/>
      <c r="H5917" s="3965"/>
      <c r="I5917" s="3965"/>
      <c r="J5917" s="4039"/>
      <c r="K5917" s="4039"/>
      <c r="L5917" s="3965"/>
      <c r="M5917" s="1954" t="s">
        <v>2259</v>
      </c>
      <c r="N5917" s="2102" t="s">
        <v>2260</v>
      </c>
      <c r="O5917" s="1731"/>
      <c r="P5917" s="1731"/>
      <c r="Q5917" s="1731">
        <v>1500</v>
      </c>
      <c r="R5917" s="1731"/>
      <c r="S5917" s="1731"/>
      <c r="T5917" s="1731"/>
      <c r="U5917" s="1731">
        <v>1500</v>
      </c>
      <c r="V5917" s="1731"/>
      <c r="W5917" s="1731"/>
      <c r="X5917" s="1731"/>
      <c r="Y5917" s="1731"/>
      <c r="Z5917" s="1731"/>
      <c r="AA5917" s="1616">
        <f t="shared" si="956"/>
        <v>3000</v>
      </c>
    </row>
    <row r="5918" spans="1:27" ht="15" x14ac:dyDescent="0.25">
      <c r="A5918" s="1894"/>
      <c r="B5918" s="3965"/>
      <c r="C5918" s="4051"/>
      <c r="D5918" s="4053"/>
      <c r="E5918" s="3965"/>
      <c r="F5918" s="3965"/>
      <c r="G5918" s="3965"/>
      <c r="H5918" s="3965"/>
      <c r="I5918" s="3965"/>
      <c r="J5918" s="4039"/>
      <c r="K5918" s="4039"/>
      <c r="L5918" s="3965"/>
      <c r="M5918" s="1954" t="s">
        <v>2261</v>
      </c>
      <c r="N5918" s="2103" t="s">
        <v>1572</v>
      </c>
      <c r="O5918" s="1731"/>
      <c r="P5918" s="1731"/>
      <c r="Q5918" s="1731">
        <v>1000</v>
      </c>
      <c r="R5918" s="1731"/>
      <c r="S5918" s="1731"/>
      <c r="T5918" s="1731"/>
      <c r="U5918" s="1731"/>
      <c r="V5918" s="1731">
        <v>1000</v>
      </c>
      <c r="W5918" s="1731"/>
      <c r="X5918" s="1731"/>
      <c r="Y5918" s="1731"/>
      <c r="Z5918" s="1731"/>
      <c r="AA5918" s="1616">
        <f t="shared" si="956"/>
        <v>2000</v>
      </c>
    </row>
    <row r="5919" spans="1:27" ht="15" x14ac:dyDescent="0.25">
      <c r="A5919" s="1894"/>
      <c r="B5919" s="3965"/>
      <c r="C5919" s="4051"/>
      <c r="D5919" s="4053"/>
      <c r="E5919" s="3965"/>
      <c r="F5919" s="3965"/>
      <c r="G5919" s="3965"/>
      <c r="H5919" s="3965"/>
      <c r="I5919" s="3965"/>
      <c r="J5919" s="4039"/>
      <c r="K5919" s="4039"/>
      <c r="L5919" s="3965"/>
      <c r="M5919" s="1945" t="s">
        <v>2262</v>
      </c>
      <c r="N5919" s="2108" t="s">
        <v>1277</v>
      </c>
      <c r="O5919" s="1731"/>
      <c r="P5919" s="1731"/>
      <c r="Q5919" s="1731">
        <v>1000</v>
      </c>
      <c r="R5919" s="1731"/>
      <c r="S5919" s="1731"/>
      <c r="T5919" s="1731">
        <v>1000</v>
      </c>
      <c r="U5919" s="1731"/>
      <c r="V5919" s="1731"/>
      <c r="W5919" s="1731"/>
      <c r="X5919" s="1731">
        <v>1000</v>
      </c>
      <c r="Y5919" s="1731"/>
      <c r="Z5919" s="1731"/>
      <c r="AA5919" s="1616">
        <f t="shared" si="956"/>
        <v>3000</v>
      </c>
    </row>
    <row r="5920" spans="1:27" ht="22.5" x14ac:dyDescent="0.25">
      <c r="A5920" s="1894"/>
      <c r="B5920" s="3965"/>
      <c r="C5920" s="4051"/>
      <c r="D5920" s="4053"/>
      <c r="E5920" s="3965"/>
      <c r="F5920" s="3965"/>
      <c r="G5920" s="3965"/>
      <c r="H5920" s="3965"/>
      <c r="I5920" s="3965"/>
      <c r="J5920" s="4039"/>
      <c r="K5920" s="4039"/>
      <c r="L5920" s="3965"/>
      <c r="M5920" s="1954" t="s">
        <v>2066</v>
      </c>
      <c r="N5920" s="2108" t="s">
        <v>1238</v>
      </c>
      <c r="O5920" s="1731"/>
      <c r="P5920" s="1731">
        <v>1000</v>
      </c>
      <c r="Q5920" s="1731">
        <v>1000</v>
      </c>
      <c r="R5920" s="1731">
        <v>1000</v>
      </c>
      <c r="S5920" s="1731">
        <v>1000</v>
      </c>
      <c r="T5920" s="1731">
        <v>1000</v>
      </c>
      <c r="U5920" s="1731">
        <v>1000</v>
      </c>
      <c r="V5920" s="1731">
        <v>1000</v>
      </c>
      <c r="W5920" s="1731">
        <v>1000</v>
      </c>
      <c r="X5920" s="1731">
        <v>1000</v>
      </c>
      <c r="Y5920" s="1731">
        <v>1000</v>
      </c>
      <c r="Z5920" s="1731"/>
      <c r="AA5920" s="1616">
        <f t="shared" si="956"/>
        <v>10000</v>
      </c>
    </row>
    <row r="5921" spans="1:27" ht="45" x14ac:dyDescent="0.25">
      <c r="A5921" s="1894"/>
      <c r="B5921" s="3965"/>
      <c r="C5921" s="4051"/>
      <c r="D5921" s="4053"/>
      <c r="E5921" s="3965"/>
      <c r="F5921" s="3965"/>
      <c r="G5921" s="3965"/>
      <c r="H5921" s="3965"/>
      <c r="I5921" s="3965"/>
      <c r="J5921" s="4039"/>
      <c r="K5921" s="4039"/>
      <c r="L5921" s="3965"/>
      <c r="M5921" s="1954" t="s">
        <v>2263</v>
      </c>
      <c r="N5921" s="2108" t="s">
        <v>2264</v>
      </c>
      <c r="O5921" s="1731">
        <v>1000</v>
      </c>
      <c r="P5921" s="1731">
        <v>1000</v>
      </c>
      <c r="Q5921" s="1731">
        <v>2000</v>
      </c>
      <c r="R5921" s="1731">
        <v>2000</v>
      </c>
      <c r="S5921" s="1731">
        <v>2000</v>
      </c>
      <c r="T5921" s="1731">
        <v>2000</v>
      </c>
      <c r="U5921" s="1731">
        <v>2000</v>
      </c>
      <c r="V5921" s="1731">
        <v>2000</v>
      </c>
      <c r="W5921" s="1731">
        <v>2000</v>
      </c>
      <c r="X5921" s="1731">
        <v>2000</v>
      </c>
      <c r="Y5921" s="1731">
        <v>1000</v>
      </c>
      <c r="Z5921" s="1731">
        <v>1000</v>
      </c>
      <c r="AA5921" s="1616">
        <f t="shared" si="956"/>
        <v>20000</v>
      </c>
    </row>
    <row r="5922" spans="1:27" ht="15" x14ac:dyDescent="0.25">
      <c r="A5922" s="1894"/>
      <c r="B5922" s="3965"/>
      <c r="C5922" s="4051"/>
      <c r="D5922" s="4053"/>
      <c r="E5922" s="3965"/>
      <c r="F5922" s="3965"/>
      <c r="G5922" s="3965"/>
      <c r="H5922" s="3965"/>
      <c r="I5922" s="3965"/>
      <c r="J5922" s="4039"/>
      <c r="K5922" s="4039"/>
      <c r="L5922" s="3965"/>
      <c r="M5922" s="1945" t="s">
        <v>2070</v>
      </c>
      <c r="N5922" s="2108" t="s">
        <v>1279</v>
      </c>
      <c r="O5922" s="1731">
        <v>1000</v>
      </c>
      <c r="P5922" s="1731"/>
      <c r="Q5922" s="1731">
        <v>1000</v>
      </c>
      <c r="R5922" s="1731"/>
      <c r="S5922" s="1731">
        <v>1000</v>
      </c>
      <c r="T5922" s="1731"/>
      <c r="U5922" s="1731">
        <v>1500</v>
      </c>
      <c r="V5922" s="1731"/>
      <c r="W5922" s="1731">
        <v>1000</v>
      </c>
      <c r="X5922" s="1731"/>
      <c r="Y5922" s="1731">
        <v>1000</v>
      </c>
      <c r="Z5922" s="1731">
        <v>1500</v>
      </c>
      <c r="AA5922" s="1616">
        <f t="shared" si="956"/>
        <v>8000</v>
      </c>
    </row>
    <row r="5923" spans="1:27" ht="45" x14ac:dyDescent="0.25">
      <c r="A5923" s="1894"/>
      <c r="B5923" s="3965"/>
      <c r="C5923" s="4051"/>
      <c r="D5923" s="4053"/>
      <c r="E5923" s="3965"/>
      <c r="F5923" s="3965"/>
      <c r="G5923" s="3965"/>
      <c r="H5923" s="3965"/>
      <c r="I5923" s="3965"/>
      <c r="J5923" s="4039"/>
      <c r="K5923" s="4039"/>
      <c r="L5923" s="3965"/>
      <c r="M5923" s="1954" t="s">
        <v>2265</v>
      </c>
      <c r="N5923" s="2108" t="s">
        <v>2266</v>
      </c>
      <c r="O5923" s="1731"/>
      <c r="P5923" s="1731">
        <v>5200</v>
      </c>
      <c r="Q5923" s="1731"/>
      <c r="R5923" s="1731">
        <v>5000</v>
      </c>
      <c r="S5923" s="1731">
        <v>5000</v>
      </c>
      <c r="T5923" s="1731"/>
      <c r="U5923" s="1731">
        <v>5000</v>
      </c>
      <c r="V5923" s="1731">
        <v>5000</v>
      </c>
      <c r="W5923" s="1731">
        <v>5000</v>
      </c>
      <c r="X5923" s="1731"/>
      <c r="Y5923" s="1731">
        <v>5000</v>
      </c>
      <c r="Z5923" s="1731"/>
      <c r="AA5923" s="1616">
        <f t="shared" si="956"/>
        <v>35200</v>
      </c>
    </row>
    <row r="5924" spans="1:27" ht="22.5" x14ac:dyDescent="0.25">
      <c r="A5924" s="1894"/>
      <c r="B5924" s="3965"/>
      <c r="C5924" s="4051"/>
      <c r="D5924" s="4053"/>
      <c r="E5924" s="3965"/>
      <c r="F5924" s="3965"/>
      <c r="G5924" s="3965"/>
      <c r="H5924" s="3965"/>
      <c r="I5924" s="3965"/>
      <c r="J5924" s="4039"/>
      <c r="K5924" s="4039"/>
      <c r="L5924" s="3965"/>
      <c r="M5924" s="1954" t="s">
        <v>2267</v>
      </c>
      <c r="N5924" s="2103" t="s">
        <v>2268</v>
      </c>
      <c r="O5924" s="1731"/>
      <c r="P5924" s="1731">
        <v>4000</v>
      </c>
      <c r="Q5924" s="1731"/>
      <c r="R5924" s="1731"/>
      <c r="S5924" s="1731"/>
      <c r="T5924" s="1731">
        <v>3000</v>
      </c>
      <c r="U5924" s="1731"/>
      <c r="V5924" s="1731"/>
      <c r="W5924" s="1731"/>
      <c r="X5924" s="1731">
        <v>3000</v>
      </c>
      <c r="Y5924" s="1731"/>
      <c r="Z5924" s="1731"/>
      <c r="AA5924" s="1616">
        <f t="shared" si="956"/>
        <v>10000</v>
      </c>
    </row>
    <row r="5925" spans="1:27" ht="15" x14ac:dyDescent="0.25">
      <c r="A5925" s="1894"/>
      <c r="B5925" s="3965"/>
      <c r="C5925" s="4051"/>
      <c r="D5925" s="4053"/>
      <c r="E5925" s="3965"/>
      <c r="F5925" s="3965"/>
      <c r="G5925" s="3965"/>
      <c r="H5925" s="3965"/>
      <c r="I5925" s="3965"/>
      <c r="J5925" s="4039"/>
      <c r="K5925" s="4039"/>
      <c r="L5925" s="3965"/>
      <c r="M5925" s="1945" t="s">
        <v>2269</v>
      </c>
      <c r="N5925" s="2103" t="s">
        <v>2270</v>
      </c>
      <c r="O5925" s="1731"/>
      <c r="P5925" s="1731">
        <v>2000</v>
      </c>
      <c r="Q5925" s="1731"/>
      <c r="R5925" s="1731">
        <v>2000</v>
      </c>
      <c r="S5925" s="1731"/>
      <c r="T5925" s="1731">
        <v>2000</v>
      </c>
      <c r="U5925" s="1731"/>
      <c r="V5925" s="1731"/>
      <c r="W5925" s="1731"/>
      <c r="X5925" s="1731">
        <v>2000</v>
      </c>
      <c r="Y5925" s="1731"/>
      <c r="Z5925" s="1731">
        <v>2000</v>
      </c>
      <c r="AA5925" s="1616">
        <f t="shared" si="956"/>
        <v>10000</v>
      </c>
    </row>
    <row r="5926" spans="1:27" ht="22.5" x14ac:dyDescent="0.25">
      <c r="A5926" s="1894"/>
      <c r="B5926" s="3965"/>
      <c r="C5926" s="4051"/>
      <c r="D5926" s="4053"/>
      <c r="E5926" s="3965"/>
      <c r="F5926" s="3965"/>
      <c r="G5926" s="3965"/>
      <c r="H5926" s="3965"/>
      <c r="I5926" s="3965"/>
      <c r="J5926" s="4039"/>
      <c r="K5926" s="4039"/>
      <c r="L5926" s="3965"/>
      <c r="M5926" s="2109" t="s">
        <v>2271</v>
      </c>
      <c r="N5926" s="345" t="s">
        <v>2272</v>
      </c>
      <c r="O5926" s="1731"/>
      <c r="P5926" s="1731">
        <v>1000</v>
      </c>
      <c r="Q5926" s="1731"/>
      <c r="R5926" s="1731"/>
      <c r="S5926" s="1731">
        <v>1000</v>
      </c>
      <c r="T5926" s="1731"/>
      <c r="U5926" s="1731"/>
      <c r="V5926" s="1731">
        <v>1000</v>
      </c>
      <c r="W5926" s="1731"/>
      <c r="X5926" s="1731"/>
      <c r="Y5926" s="1731">
        <v>1000</v>
      </c>
      <c r="Z5926" s="1731"/>
      <c r="AA5926" s="1616">
        <f t="shared" si="956"/>
        <v>4000</v>
      </c>
    </row>
    <row r="5927" spans="1:27" ht="22.5" x14ac:dyDescent="0.25">
      <c r="A5927" s="1894"/>
      <c r="B5927" s="3965"/>
      <c r="C5927" s="4051"/>
      <c r="D5927" s="4053"/>
      <c r="E5927" s="3965"/>
      <c r="F5927" s="3965"/>
      <c r="G5927" s="3965"/>
      <c r="H5927" s="3965"/>
      <c r="I5927" s="3965"/>
      <c r="J5927" s="4039"/>
      <c r="K5927" s="4039"/>
      <c r="L5927" s="3965"/>
      <c r="M5927" s="1944" t="s">
        <v>2179</v>
      </c>
      <c r="N5927" s="1952" t="s">
        <v>1586</v>
      </c>
      <c r="O5927" s="1731">
        <v>3500</v>
      </c>
      <c r="P5927" s="1731">
        <v>3500</v>
      </c>
      <c r="Q5927" s="1731">
        <v>3500</v>
      </c>
      <c r="R5927" s="1731">
        <v>3500</v>
      </c>
      <c r="S5927" s="1731">
        <v>3500</v>
      </c>
      <c r="T5927" s="1731">
        <v>3500</v>
      </c>
      <c r="U5927" s="1731">
        <v>3500</v>
      </c>
      <c r="V5927" s="1731">
        <v>3500</v>
      </c>
      <c r="W5927" s="1731">
        <v>3500</v>
      </c>
      <c r="X5927" s="1731">
        <v>3500</v>
      </c>
      <c r="Y5927" s="1731">
        <v>3500</v>
      </c>
      <c r="Z5927" s="1731">
        <v>3500</v>
      </c>
      <c r="AA5927" s="1616">
        <f t="shared" si="956"/>
        <v>42000</v>
      </c>
    </row>
    <row r="5928" spans="1:27" ht="22.5" x14ac:dyDescent="0.25">
      <c r="A5928" s="1894"/>
      <c r="B5928" s="3965"/>
      <c r="C5928" s="4051"/>
      <c r="D5928" s="4053"/>
      <c r="E5928" s="3965"/>
      <c r="F5928" s="3965"/>
      <c r="G5928" s="3965"/>
      <c r="H5928" s="3965"/>
      <c r="I5928" s="3965"/>
      <c r="J5928" s="4039"/>
      <c r="K5928" s="4039"/>
      <c r="L5928" s="3965"/>
      <c r="M5928" s="2109" t="s">
        <v>2273</v>
      </c>
      <c r="N5928" s="345" t="s">
        <v>1584</v>
      </c>
      <c r="O5928" s="1731"/>
      <c r="P5928" s="1731"/>
      <c r="Q5928" s="1731"/>
      <c r="R5928" s="1731"/>
      <c r="S5928" s="1731">
        <v>2000</v>
      </c>
      <c r="T5928" s="1731">
        <v>2000</v>
      </c>
      <c r="U5928" s="1731"/>
      <c r="V5928" s="1731"/>
      <c r="W5928" s="1731"/>
      <c r="X5928" s="1731">
        <v>1000</v>
      </c>
      <c r="Y5928" s="1731"/>
      <c r="Z5928" s="1731"/>
      <c r="AA5928" s="1616">
        <f t="shared" si="956"/>
        <v>5000</v>
      </c>
    </row>
    <row r="5929" spans="1:27" ht="15" x14ac:dyDescent="0.25">
      <c r="A5929" s="1894"/>
      <c r="B5929" s="3965"/>
      <c r="C5929" s="4051"/>
      <c r="D5929" s="4053"/>
      <c r="E5929" s="3965"/>
      <c r="F5929" s="3965"/>
      <c r="G5929" s="3965"/>
      <c r="H5929" s="3965"/>
      <c r="I5929" s="3965"/>
      <c r="J5929" s="4039"/>
      <c r="K5929" s="4039"/>
      <c r="L5929" s="3965"/>
      <c r="M5929" s="1944" t="s">
        <v>2274</v>
      </c>
      <c r="N5929" s="1952" t="s">
        <v>1226</v>
      </c>
      <c r="O5929" s="1731"/>
      <c r="P5929" s="1731"/>
      <c r="Q5929" s="1731"/>
      <c r="R5929" s="1731">
        <v>2000</v>
      </c>
      <c r="S5929" s="1731"/>
      <c r="T5929" s="1731"/>
      <c r="U5929" s="1731"/>
      <c r="V5929" s="1731">
        <v>500</v>
      </c>
      <c r="W5929" s="1731"/>
      <c r="X5929" s="1731"/>
      <c r="Y5929" s="1731"/>
      <c r="Z5929" s="1731"/>
      <c r="AA5929" s="1616">
        <f t="shared" si="956"/>
        <v>2500</v>
      </c>
    </row>
    <row r="5930" spans="1:27" ht="15" x14ac:dyDescent="0.25">
      <c r="A5930" s="1894"/>
      <c r="B5930" s="3965"/>
      <c r="C5930" s="4051"/>
      <c r="D5930" s="4053"/>
      <c r="E5930" s="3965"/>
      <c r="F5930" s="3965"/>
      <c r="G5930" s="3965"/>
      <c r="H5930" s="3965"/>
      <c r="I5930" s="3965"/>
      <c r="J5930" s="4039"/>
      <c r="K5930" s="4039"/>
      <c r="L5930" s="3965"/>
      <c r="M5930" s="1944" t="s">
        <v>2275</v>
      </c>
      <c r="N5930" s="1952" t="s">
        <v>1643</v>
      </c>
      <c r="O5930" s="1731"/>
      <c r="P5930" s="1731">
        <v>3000</v>
      </c>
      <c r="Q5930" s="1731"/>
      <c r="R5930" s="1731">
        <v>3000</v>
      </c>
      <c r="S5930" s="1731"/>
      <c r="T5930" s="1731">
        <v>3000</v>
      </c>
      <c r="U5930" s="1731"/>
      <c r="V5930" s="1731">
        <v>3000</v>
      </c>
      <c r="W5930" s="1731"/>
      <c r="X5930" s="1731">
        <v>3000</v>
      </c>
      <c r="Y5930" s="1731">
        <v>2000</v>
      </c>
      <c r="Z5930" s="1731"/>
      <c r="AA5930" s="1616">
        <f t="shared" si="956"/>
        <v>17000</v>
      </c>
    </row>
    <row r="5931" spans="1:27" ht="15" x14ac:dyDescent="0.25">
      <c r="A5931" s="1894"/>
      <c r="B5931" s="3965"/>
      <c r="C5931" s="4051"/>
      <c r="D5931" s="4053"/>
      <c r="E5931" s="3965"/>
      <c r="F5931" s="3965"/>
      <c r="G5931" s="3965"/>
      <c r="H5931" s="3965"/>
      <c r="I5931" s="3965"/>
      <c r="J5931" s="4039"/>
      <c r="K5931" s="4039"/>
      <c r="L5931" s="3965"/>
      <c r="M5931" s="1944" t="s">
        <v>2103</v>
      </c>
      <c r="N5931" s="567" t="s">
        <v>1262</v>
      </c>
      <c r="O5931" s="1731">
        <v>4167</v>
      </c>
      <c r="P5931" s="1731">
        <v>4166.6000000000004</v>
      </c>
      <c r="Q5931" s="1731">
        <v>4166.6000000000004</v>
      </c>
      <c r="R5931" s="1731">
        <v>4166.6000000000004</v>
      </c>
      <c r="S5931" s="1731">
        <v>4166.6000000000004</v>
      </c>
      <c r="T5931" s="1731">
        <v>4166.6000000000004</v>
      </c>
      <c r="U5931" s="1731">
        <v>4166.6000000000004</v>
      </c>
      <c r="V5931" s="1731">
        <v>4166.6000000000004</v>
      </c>
      <c r="W5931" s="1731">
        <v>4166.6000000000004</v>
      </c>
      <c r="X5931" s="1731">
        <v>4166.6000000000004</v>
      </c>
      <c r="Y5931" s="1731">
        <v>4166.6000000000004</v>
      </c>
      <c r="Z5931" s="1731">
        <v>4166.6000000000004</v>
      </c>
      <c r="AA5931" s="1616">
        <f t="shared" si="956"/>
        <v>49999.599999999991</v>
      </c>
    </row>
    <row r="5932" spans="1:27" ht="34.5" x14ac:dyDescent="0.25">
      <c r="A5932" s="1894"/>
      <c r="B5932" s="3965"/>
      <c r="C5932" s="4051"/>
      <c r="D5932" s="4053"/>
      <c r="E5932" s="3965"/>
      <c r="F5932" s="3965"/>
      <c r="G5932" s="3965"/>
      <c r="H5932" s="3965"/>
      <c r="I5932" s="3965"/>
      <c r="J5932" s="4039"/>
      <c r="K5932" s="4039"/>
      <c r="L5932" s="3965"/>
      <c r="M5932" s="1944" t="s">
        <v>2176</v>
      </c>
      <c r="N5932" s="566" t="s">
        <v>1331</v>
      </c>
      <c r="O5932" s="1732">
        <v>54223.16</v>
      </c>
      <c r="P5932" s="1732">
        <v>54223.16</v>
      </c>
      <c r="Q5932" s="1732">
        <v>54223.16</v>
      </c>
      <c r="R5932" s="1732">
        <v>54223.16</v>
      </c>
      <c r="S5932" s="1732">
        <v>54223.16</v>
      </c>
      <c r="T5932" s="1732">
        <v>54223.16</v>
      </c>
      <c r="U5932" s="1732">
        <v>54223.16</v>
      </c>
      <c r="V5932" s="1732">
        <v>54223.16</v>
      </c>
      <c r="W5932" s="1732">
        <v>54223.16</v>
      </c>
      <c r="X5932" s="1732">
        <v>54223.16</v>
      </c>
      <c r="Y5932" s="1732">
        <v>54223.16</v>
      </c>
      <c r="Z5932" s="1732">
        <v>54223.16</v>
      </c>
      <c r="AA5932" s="1732">
        <f t="shared" si="956"/>
        <v>650677.92000000027</v>
      </c>
    </row>
    <row r="5933" spans="1:27" ht="25.5" customHeight="1" x14ac:dyDescent="0.25">
      <c r="A5933" s="1894"/>
      <c r="B5933" s="3965"/>
      <c r="C5933" s="4051"/>
      <c r="D5933" s="4053"/>
      <c r="E5933" s="3965"/>
      <c r="F5933" s="3965"/>
      <c r="G5933" s="3965"/>
      <c r="H5933" s="3965"/>
      <c r="I5933" s="3965"/>
      <c r="J5933" s="4039"/>
      <c r="K5933" s="4039"/>
      <c r="L5933" s="3965"/>
      <c r="M5933" s="1943" t="s">
        <v>2177</v>
      </c>
      <c r="N5933" s="1724" t="s">
        <v>1333</v>
      </c>
      <c r="O5933" s="2010">
        <v>3333.3</v>
      </c>
      <c r="P5933" s="2010">
        <v>3333.3</v>
      </c>
      <c r="Q5933" s="2010">
        <v>3333.3</v>
      </c>
      <c r="R5933" s="2010">
        <v>3333.3</v>
      </c>
      <c r="S5933" s="2010">
        <v>3333.3</v>
      </c>
      <c r="T5933" s="2010">
        <v>3333.3</v>
      </c>
      <c r="U5933" s="2010">
        <v>3333.3</v>
      </c>
      <c r="V5933" s="2010">
        <v>3333.3</v>
      </c>
      <c r="W5933" s="2010">
        <v>3333.3</v>
      </c>
      <c r="X5933" s="2010">
        <v>3333.3</v>
      </c>
      <c r="Y5933" s="2010">
        <v>3333.3</v>
      </c>
      <c r="Z5933" s="2010">
        <v>3333.3</v>
      </c>
      <c r="AA5933" s="1886">
        <f t="shared" si="956"/>
        <v>39999.600000000006</v>
      </c>
    </row>
    <row r="5934" spans="1:27" ht="15" x14ac:dyDescent="0.25">
      <c r="A5934" s="2011"/>
      <c r="B5934" s="2364">
        <v>5000276</v>
      </c>
      <c r="C5934" s="4035" t="s">
        <v>2276</v>
      </c>
      <c r="D5934" s="3983" t="s">
        <v>2277</v>
      </c>
      <c r="E5934" s="2361" t="s">
        <v>2159</v>
      </c>
      <c r="F5934" s="2361" t="s">
        <v>2160</v>
      </c>
      <c r="G5934" s="2361" t="s">
        <v>2161</v>
      </c>
      <c r="H5934" s="2361" t="s">
        <v>2278</v>
      </c>
      <c r="I5934" s="2361" t="s">
        <v>2279</v>
      </c>
      <c r="J5934" s="4038">
        <v>4</v>
      </c>
      <c r="K5934" s="4038">
        <v>305095.8</v>
      </c>
      <c r="L5934" s="2361" t="s">
        <v>3680</v>
      </c>
      <c r="M5934" s="2317" t="s">
        <v>51</v>
      </c>
      <c r="N5934" s="2319"/>
      <c r="O5934" s="1617"/>
      <c r="P5934" s="1617"/>
      <c r="Q5934" s="1617">
        <v>1</v>
      </c>
      <c r="R5934" s="1617"/>
      <c r="S5934" s="1617"/>
      <c r="T5934" s="1617">
        <v>1</v>
      </c>
      <c r="U5934" s="1617"/>
      <c r="V5934" s="1617"/>
      <c r="W5934" s="1617">
        <v>1</v>
      </c>
      <c r="X5934" s="1617"/>
      <c r="Y5934" s="1617"/>
      <c r="Z5934" s="1617">
        <v>1</v>
      </c>
      <c r="AA5934" s="1617">
        <f t="shared" si="956"/>
        <v>4</v>
      </c>
    </row>
    <row r="5935" spans="1:27" ht="15" x14ac:dyDescent="0.25">
      <c r="A5935" s="2012"/>
      <c r="B5935" s="4034"/>
      <c r="C5935" s="4036"/>
      <c r="D5935" s="3984"/>
      <c r="E5935" s="3965"/>
      <c r="F5935" s="3965"/>
      <c r="G5935" s="3965"/>
      <c r="H5935" s="3965"/>
      <c r="I5935" s="3965"/>
      <c r="J5935" s="4039"/>
      <c r="K5935" s="4039"/>
      <c r="L5935" s="3965"/>
      <c r="M5935" s="2317" t="s">
        <v>2280</v>
      </c>
      <c r="N5935" s="2319"/>
      <c r="O5935" s="1895">
        <f t="shared" ref="O5935:Z5935" si="959">SUM(O5937:O5942)</f>
        <v>12142.75</v>
      </c>
      <c r="P5935" s="1895">
        <f t="shared" si="959"/>
        <v>12141.73</v>
      </c>
      <c r="Q5935" s="1895">
        <f t="shared" si="959"/>
        <v>12141.63</v>
      </c>
      <c r="R5935" s="1895">
        <f t="shared" si="959"/>
        <v>12141.63</v>
      </c>
      <c r="S5935" s="1895">
        <f t="shared" si="959"/>
        <v>12141.63</v>
      </c>
      <c r="T5935" s="1895">
        <f t="shared" si="959"/>
        <v>12141.63</v>
      </c>
      <c r="U5935" s="1895">
        <f t="shared" si="959"/>
        <v>12141.63</v>
      </c>
      <c r="V5935" s="1895">
        <f t="shared" si="959"/>
        <v>12141.63</v>
      </c>
      <c r="W5935" s="1895">
        <f t="shared" si="959"/>
        <v>12141.63</v>
      </c>
      <c r="X5935" s="1895">
        <f t="shared" si="959"/>
        <v>12141.63</v>
      </c>
      <c r="Y5935" s="1895">
        <f t="shared" si="959"/>
        <v>12141.63</v>
      </c>
      <c r="Z5935" s="1895">
        <f t="shared" si="959"/>
        <v>12141.63</v>
      </c>
      <c r="AA5935" s="1895">
        <f t="shared" si="956"/>
        <v>145700.78000000003</v>
      </c>
    </row>
    <row r="5936" spans="1:27" ht="15" x14ac:dyDescent="0.25">
      <c r="A5936" s="2012"/>
      <c r="B5936" s="4034"/>
      <c r="C5936" s="4036"/>
      <c r="D5936" s="3984"/>
      <c r="E5936" s="3965"/>
      <c r="F5936" s="3965"/>
      <c r="G5936" s="3965"/>
      <c r="H5936" s="3965"/>
      <c r="I5936" s="3965"/>
      <c r="J5936" s="4039"/>
      <c r="K5936" s="4039"/>
      <c r="L5936" s="3965"/>
      <c r="M5936" s="2317" t="s">
        <v>2281</v>
      </c>
      <c r="N5936" s="2319"/>
      <c r="O5936" s="1895">
        <f t="shared" ref="O5936:Z5936" si="960">SUM(O5943:O5966)</f>
        <v>13093.6</v>
      </c>
      <c r="P5936" s="1895">
        <f t="shared" si="960"/>
        <v>29042.499999999996</v>
      </c>
      <c r="Q5936" s="1895">
        <f t="shared" si="960"/>
        <v>45741.299999999988</v>
      </c>
      <c r="R5936" s="1895">
        <f t="shared" si="960"/>
        <v>28841.699999999993</v>
      </c>
      <c r="S5936" s="1895">
        <f t="shared" si="960"/>
        <v>16841.3</v>
      </c>
      <c r="T5936" s="1895">
        <f t="shared" si="960"/>
        <v>20841.699999999997</v>
      </c>
      <c r="U5936" s="1895">
        <f t="shared" si="960"/>
        <v>22241.3</v>
      </c>
      <c r="V5936" s="1895">
        <f t="shared" si="960"/>
        <v>15841.7</v>
      </c>
      <c r="W5936" s="1895">
        <f t="shared" si="960"/>
        <v>14841.300000000001</v>
      </c>
      <c r="X5936" s="1895">
        <f t="shared" si="960"/>
        <v>13791.7</v>
      </c>
      <c r="Y5936" s="1895">
        <f t="shared" si="960"/>
        <v>19380.300000000003</v>
      </c>
      <c r="Z5936" s="1895">
        <f t="shared" si="960"/>
        <v>13391.300000000001</v>
      </c>
      <c r="AA5936" s="1896">
        <f t="shared" si="956"/>
        <v>253889.69999999995</v>
      </c>
    </row>
    <row r="5937" spans="1:27" ht="45" x14ac:dyDescent="0.25">
      <c r="A5937" s="2012"/>
      <c r="B5937" s="4034"/>
      <c r="C5937" s="4036"/>
      <c r="D5937" s="3984"/>
      <c r="E5937" s="3965"/>
      <c r="F5937" s="3965"/>
      <c r="G5937" s="3965"/>
      <c r="H5937" s="3965"/>
      <c r="I5937" s="3965"/>
      <c r="J5937" s="4039"/>
      <c r="K5937" s="4039"/>
      <c r="L5937" s="3965"/>
      <c r="M5937" s="1952" t="s">
        <v>2168</v>
      </c>
      <c r="N5937" s="2103" t="s">
        <v>2169</v>
      </c>
      <c r="O5937" s="1886">
        <v>1169</v>
      </c>
      <c r="P5937" s="1886">
        <v>1169</v>
      </c>
      <c r="Q5937" s="1886">
        <v>1168.9000000000001</v>
      </c>
      <c r="R5937" s="1886">
        <v>1168.9000000000001</v>
      </c>
      <c r="S5937" s="1886">
        <v>1168.9000000000001</v>
      </c>
      <c r="T5937" s="1886">
        <v>1168.9000000000001</v>
      </c>
      <c r="U5937" s="1886">
        <v>1168.9000000000001</v>
      </c>
      <c r="V5937" s="1886">
        <v>1168.9000000000001</v>
      </c>
      <c r="W5937" s="1886">
        <v>1168.9000000000001</v>
      </c>
      <c r="X5937" s="1886">
        <v>1168.9000000000001</v>
      </c>
      <c r="Y5937" s="1886">
        <v>1168.9000000000001</v>
      </c>
      <c r="Z5937" s="1886">
        <v>1168.9000000000001</v>
      </c>
      <c r="AA5937" s="1686">
        <f t="shared" si="956"/>
        <v>14026.999999999998</v>
      </c>
    </row>
    <row r="5938" spans="1:27" ht="45" x14ac:dyDescent="0.25">
      <c r="A5938" s="2012"/>
      <c r="B5938" s="4034"/>
      <c r="C5938" s="4036"/>
      <c r="D5938" s="3984"/>
      <c r="E5938" s="3965"/>
      <c r="F5938" s="3965"/>
      <c r="G5938" s="3965"/>
      <c r="H5938" s="3965"/>
      <c r="I5938" s="3965"/>
      <c r="J5938" s="4039"/>
      <c r="K5938" s="4039"/>
      <c r="L5938" s="3965"/>
      <c r="M5938" s="1952" t="s">
        <v>2170</v>
      </c>
      <c r="N5938" s="2103" t="s">
        <v>2171</v>
      </c>
      <c r="O5938" s="1886">
        <v>1051.75</v>
      </c>
      <c r="P5938" s="1886">
        <v>1051.75</v>
      </c>
      <c r="Q5938" s="1886">
        <v>1051.75</v>
      </c>
      <c r="R5938" s="1886">
        <v>1051.75</v>
      </c>
      <c r="S5938" s="1886">
        <v>1051.75</v>
      </c>
      <c r="T5938" s="1886">
        <v>1051.75</v>
      </c>
      <c r="U5938" s="1886">
        <v>1051.75</v>
      </c>
      <c r="V5938" s="1886">
        <v>1051.75</v>
      </c>
      <c r="W5938" s="1886">
        <v>1051.75</v>
      </c>
      <c r="X5938" s="1886">
        <v>1051.75</v>
      </c>
      <c r="Y5938" s="1886">
        <v>1051.75</v>
      </c>
      <c r="Z5938" s="1886">
        <v>1051.75</v>
      </c>
      <c r="AA5938" s="1686">
        <f t="shared" si="956"/>
        <v>12621</v>
      </c>
    </row>
    <row r="5939" spans="1:27" ht="33.75" x14ac:dyDescent="0.25">
      <c r="A5939" s="2012"/>
      <c r="B5939" s="4034"/>
      <c r="C5939" s="4036"/>
      <c r="D5939" s="3984"/>
      <c r="E5939" s="3965"/>
      <c r="F5939" s="3965"/>
      <c r="G5939" s="3965"/>
      <c r="H5939" s="3965"/>
      <c r="I5939" s="3965"/>
      <c r="J5939" s="4039"/>
      <c r="K5939" s="4039"/>
      <c r="L5939" s="3965"/>
      <c r="M5939" s="1952" t="s">
        <v>2172</v>
      </c>
      <c r="N5939" s="2103" t="s">
        <v>1319</v>
      </c>
      <c r="O5939" s="1886">
        <v>9424</v>
      </c>
      <c r="P5939" s="1886">
        <v>9423.4</v>
      </c>
      <c r="Q5939" s="1886">
        <v>9423.4</v>
      </c>
      <c r="R5939" s="1886">
        <v>9423.4</v>
      </c>
      <c r="S5939" s="1886">
        <v>9423.4</v>
      </c>
      <c r="T5939" s="1886">
        <v>9423.4</v>
      </c>
      <c r="U5939" s="1886">
        <v>9423.4</v>
      </c>
      <c r="V5939" s="1886">
        <v>9423.4</v>
      </c>
      <c r="W5939" s="1886">
        <v>9423.4</v>
      </c>
      <c r="X5939" s="1886">
        <v>9423.4</v>
      </c>
      <c r="Y5939" s="1886">
        <v>9423.4</v>
      </c>
      <c r="Z5939" s="1886">
        <v>9423.4</v>
      </c>
      <c r="AA5939" s="1686">
        <f t="shared" si="956"/>
        <v>113081.39999999998</v>
      </c>
    </row>
    <row r="5940" spans="1:27" ht="15" x14ac:dyDescent="0.25">
      <c r="A5940" s="2012"/>
      <c r="B5940" s="4034"/>
      <c r="C5940" s="4036"/>
      <c r="D5940" s="3984"/>
      <c r="E5940" s="3965"/>
      <c r="F5940" s="3965"/>
      <c r="G5940" s="3965"/>
      <c r="H5940" s="3965"/>
      <c r="I5940" s="3965"/>
      <c r="J5940" s="4039"/>
      <c r="K5940" s="4039"/>
      <c r="L5940" s="3965"/>
      <c r="M5940" s="1952" t="s">
        <v>2173</v>
      </c>
      <c r="N5940" s="2103" t="s">
        <v>1321</v>
      </c>
      <c r="O5940" s="1886">
        <v>150</v>
      </c>
      <c r="P5940" s="1886">
        <v>150</v>
      </c>
      <c r="Q5940" s="1886">
        <v>150</v>
      </c>
      <c r="R5940" s="1886">
        <v>150</v>
      </c>
      <c r="S5940" s="1886">
        <v>150</v>
      </c>
      <c r="T5940" s="1886">
        <v>150</v>
      </c>
      <c r="U5940" s="1886">
        <v>150</v>
      </c>
      <c r="V5940" s="1886">
        <v>150</v>
      </c>
      <c r="W5940" s="1886">
        <v>150</v>
      </c>
      <c r="X5940" s="1886">
        <v>150</v>
      </c>
      <c r="Y5940" s="1886">
        <v>150</v>
      </c>
      <c r="Z5940" s="1886">
        <v>150</v>
      </c>
      <c r="AA5940" s="1686">
        <f t="shared" si="956"/>
        <v>1800</v>
      </c>
    </row>
    <row r="5941" spans="1:27" ht="22.5" x14ac:dyDescent="0.25">
      <c r="A5941" s="2012"/>
      <c r="B5941" s="4034"/>
      <c r="C5941" s="4036"/>
      <c r="D5941" s="3984"/>
      <c r="E5941" s="3965"/>
      <c r="F5941" s="3965"/>
      <c r="G5941" s="3965"/>
      <c r="H5941" s="3965"/>
      <c r="I5941" s="3965"/>
      <c r="J5941" s="4039"/>
      <c r="K5941" s="4039"/>
      <c r="L5941" s="3965"/>
      <c r="M5941" s="1952" t="s">
        <v>2174</v>
      </c>
      <c r="N5941" s="2103" t="s">
        <v>1323</v>
      </c>
      <c r="O5941" s="1886">
        <v>100</v>
      </c>
      <c r="P5941" s="1886">
        <v>100</v>
      </c>
      <c r="Q5941" s="1886">
        <v>100</v>
      </c>
      <c r="R5941" s="1886">
        <v>100</v>
      </c>
      <c r="S5941" s="1886">
        <v>100</v>
      </c>
      <c r="T5941" s="1886">
        <v>100</v>
      </c>
      <c r="U5941" s="1886">
        <v>100</v>
      </c>
      <c r="V5941" s="1886">
        <v>100</v>
      </c>
      <c r="W5941" s="1886">
        <v>100</v>
      </c>
      <c r="X5941" s="1886">
        <v>100</v>
      </c>
      <c r="Y5941" s="1886">
        <v>100</v>
      </c>
      <c r="Z5941" s="1886">
        <v>100</v>
      </c>
      <c r="AA5941" s="1686">
        <f t="shared" si="956"/>
        <v>1200</v>
      </c>
    </row>
    <row r="5942" spans="1:27" ht="22.5" x14ac:dyDescent="0.25">
      <c r="A5942" s="2012"/>
      <c r="B5942" s="4034"/>
      <c r="C5942" s="4036"/>
      <c r="D5942" s="3984"/>
      <c r="E5942" s="3965"/>
      <c r="F5942" s="3965"/>
      <c r="G5942" s="3965"/>
      <c r="H5942" s="3965"/>
      <c r="I5942" s="3965"/>
      <c r="J5942" s="4039"/>
      <c r="K5942" s="4039"/>
      <c r="L5942" s="3965"/>
      <c r="M5942" s="1926" t="s">
        <v>2175</v>
      </c>
      <c r="N5942" s="2104" t="s">
        <v>1329</v>
      </c>
      <c r="O5942" s="1886">
        <v>248</v>
      </c>
      <c r="P5942" s="1886">
        <v>247.58</v>
      </c>
      <c r="Q5942" s="1886">
        <v>247.58</v>
      </c>
      <c r="R5942" s="1886">
        <v>247.58</v>
      </c>
      <c r="S5942" s="1886">
        <v>247.58</v>
      </c>
      <c r="T5942" s="1886">
        <v>247.58</v>
      </c>
      <c r="U5942" s="1886">
        <v>247.58</v>
      </c>
      <c r="V5942" s="1886">
        <v>247.58</v>
      </c>
      <c r="W5942" s="1886">
        <v>247.58</v>
      </c>
      <c r="X5942" s="1886">
        <v>247.58</v>
      </c>
      <c r="Y5942" s="1886">
        <v>247.58</v>
      </c>
      <c r="Z5942" s="1886">
        <v>247.58</v>
      </c>
      <c r="AA5942" s="1734">
        <f t="shared" si="956"/>
        <v>2971.3799999999997</v>
      </c>
    </row>
    <row r="5943" spans="1:27" ht="34.5" x14ac:dyDescent="0.25">
      <c r="A5943" s="2012"/>
      <c r="B5943" s="4034"/>
      <c r="C5943" s="4036"/>
      <c r="D5943" s="3984"/>
      <c r="E5943" s="3965"/>
      <c r="F5943" s="3965"/>
      <c r="G5943" s="3965"/>
      <c r="H5943" s="3965"/>
      <c r="I5943" s="3965"/>
      <c r="J5943" s="4039"/>
      <c r="K5943" s="4039"/>
      <c r="L5943" s="3965"/>
      <c r="M5943" s="1954" t="s">
        <v>2282</v>
      </c>
      <c r="N5943" s="2102" t="s">
        <v>1306</v>
      </c>
      <c r="O5943" s="1732"/>
      <c r="P5943" s="1732">
        <v>500</v>
      </c>
      <c r="Q5943" s="1732">
        <v>400</v>
      </c>
      <c r="R5943" s="1732">
        <v>300</v>
      </c>
      <c r="S5943" s="1732">
        <v>300</v>
      </c>
      <c r="T5943" s="1732">
        <v>300</v>
      </c>
      <c r="U5943" s="1732">
        <v>500</v>
      </c>
      <c r="V5943" s="1732">
        <v>300</v>
      </c>
      <c r="W5943" s="1732">
        <v>300</v>
      </c>
      <c r="X5943" s="1732">
        <v>300</v>
      </c>
      <c r="Y5943" s="1732">
        <v>500</v>
      </c>
      <c r="Z5943" s="1732">
        <v>300</v>
      </c>
      <c r="AA5943" s="1897">
        <f t="shared" si="956"/>
        <v>4000</v>
      </c>
    </row>
    <row r="5944" spans="1:27" ht="22.5" x14ac:dyDescent="0.25">
      <c r="A5944" s="2012"/>
      <c r="B5944" s="4034"/>
      <c r="C5944" s="4036"/>
      <c r="D5944" s="3984"/>
      <c r="E5944" s="3965"/>
      <c r="F5944" s="3965"/>
      <c r="G5944" s="3965"/>
      <c r="H5944" s="3965"/>
      <c r="I5944" s="3965"/>
      <c r="J5944" s="4039"/>
      <c r="K5944" s="4039"/>
      <c r="L5944" s="3965"/>
      <c r="M5944" s="1954" t="s">
        <v>2283</v>
      </c>
      <c r="N5944" s="2105" t="s">
        <v>1544</v>
      </c>
      <c r="O5944" s="1732">
        <v>4167</v>
      </c>
      <c r="P5944" s="1732">
        <v>4167</v>
      </c>
      <c r="Q5944" s="1732">
        <v>4166.6000000000004</v>
      </c>
      <c r="R5944" s="1732">
        <v>4166.6000000000004</v>
      </c>
      <c r="S5944" s="1732">
        <v>4166.6000000000004</v>
      </c>
      <c r="T5944" s="1732">
        <v>4166.6000000000004</v>
      </c>
      <c r="U5944" s="1732">
        <v>4166.6000000000004</v>
      </c>
      <c r="V5944" s="1732">
        <v>4166.6000000000004</v>
      </c>
      <c r="W5944" s="1732">
        <v>4166.6000000000004</v>
      </c>
      <c r="X5944" s="1732">
        <v>4166.6000000000004</v>
      </c>
      <c r="Y5944" s="1732">
        <v>4166.6000000000004</v>
      </c>
      <c r="Z5944" s="1732">
        <v>4166.6000000000004</v>
      </c>
      <c r="AA5944" s="1897">
        <f t="shared" si="956"/>
        <v>49999.999999999993</v>
      </c>
    </row>
    <row r="5945" spans="1:27" ht="34.5" x14ac:dyDescent="0.25">
      <c r="A5945" s="2012"/>
      <c r="B5945" s="4034"/>
      <c r="C5945" s="4036"/>
      <c r="D5945" s="3984"/>
      <c r="E5945" s="3965"/>
      <c r="F5945" s="3965"/>
      <c r="G5945" s="3965"/>
      <c r="H5945" s="3965"/>
      <c r="I5945" s="3965"/>
      <c r="J5945" s="4039"/>
      <c r="K5945" s="4039"/>
      <c r="L5945" s="3965"/>
      <c r="M5945" s="1954" t="s">
        <v>2284</v>
      </c>
      <c r="N5945" s="2102" t="s">
        <v>1554</v>
      </c>
      <c r="O5945" s="1732"/>
      <c r="P5945" s="1732"/>
      <c r="Q5945" s="1732"/>
      <c r="R5945" s="1732">
        <v>5000</v>
      </c>
      <c r="S5945" s="1732"/>
      <c r="T5945" s="1732"/>
      <c r="U5945" s="1732"/>
      <c r="V5945" s="1732"/>
      <c r="W5945" s="1732"/>
      <c r="X5945" s="1732"/>
      <c r="Y5945" s="1732">
        <v>1000</v>
      </c>
      <c r="Z5945" s="1732"/>
      <c r="AA5945" s="1896">
        <f t="shared" si="956"/>
        <v>6000</v>
      </c>
    </row>
    <row r="5946" spans="1:27" ht="15" x14ac:dyDescent="0.25">
      <c r="A5946" s="2012"/>
      <c r="B5946" s="4034"/>
      <c r="C5946" s="4036"/>
      <c r="D5946" s="3984"/>
      <c r="E5946" s="3965"/>
      <c r="F5946" s="3965"/>
      <c r="G5946" s="3965"/>
      <c r="H5946" s="3965"/>
      <c r="I5946" s="3965"/>
      <c r="J5946" s="4039"/>
      <c r="K5946" s="4039"/>
      <c r="L5946" s="3965"/>
      <c r="M5946" s="1954" t="s">
        <v>2285</v>
      </c>
      <c r="N5946" s="2102" t="s">
        <v>2286</v>
      </c>
      <c r="O5946" s="1732"/>
      <c r="P5946" s="1732"/>
      <c r="Q5946" s="1732">
        <v>2000</v>
      </c>
      <c r="R5946" s="1732"/>
      <c r="S5946" s="1732"/>
      <c r="T5946" s="1732"/>
      <c r="U5946" s="1732"/>
      <c r="V5946" s="1732"/>
      <c r="W5946" s="1732">
        <v>1000</v>
      </c>
      <c r="X5946" s="1732"/>
      <c r="Y5946" s="1732"/>
      <c r="Z5946" s="1732"/>
      <c r="AA5946" s="1896">
        <f t="shared" si="956"/>
        <v>3000</v>
      </c>
    </row>
    <row r="5947" spans="1:27" ht="23.25" x14ac:dyDescent="0.25">
      <c r="A5947" s="2012"/>
      <c r="B5947" s="4034"/>
      <c r="C5947" s="4036"/>
      <c r="D5947" s="3984"/>
      <c r="E5947" s="3965"/>
      <c r="F5947" s="3965"/>
      <c r="G5947" s="3965"/>
      <c r="H5947" s="3965"/>
      <c r="I5947" s="3965"/>
      <c r="J5947" s="4039"/>
      <c r="K5947" s="4039"/>
      <c r="L5947" s="3965"/>
      <c r="M5947" s="1954" t="s">
        <v>2287</v>
      </c>
      <c r="N5947" s="2102" t="s">
        <v>1220</v>
      </c>
      <c r="O5947" s="1732">
        <v>2500</v>
      </c>
      <c r="P5947" s="1732">
        <v>2500</v>
      </c>
      <c r="Q5947" s="1732">
        <v>2500</v>
      </c>
      <c r="R5947" s="1732">
        <v>2500</v>
      </c>
      <c r="S5947" s="1732">
        <v>2500</v>
      </c>
      <c r="T5947" s="1732">
        <v>2500</v>
      </c>
      <c r="U5947" s="1732">
        <v>2500</v>
      </c>
      <c r="V5947" s="1732">
        <v>2500</v>
      </c>
      <c r="W5947" s="1732">
        <v>2500</v>
      </c>
      <c r="X5947" s="1732">
        <v>2500</v>
      </c>
      <c r="Y5947" s="1732">
        <v>2500</v>
      </c>
      <c r="Z5947" s="1732">
        <v>2500</v>
      </c>
      <c r="AA5947" s="1896">
        <f t="shared" si="956"/>
        <v>30000</v>
      </c>
    </row>
    <row r="5948" spans="1:27" ht="23.25" x14ac:dyDescent="0.25">
      <c r="A5948" s="2012"/>
      <c r="B5948" s="4034"/>
      <c r="C5948" s="4036"/>
      <c r="D5948" s="3984"/>
      <c r="E5948" s="3965"/>
      <c r="F5948" s="3965"/>
      <c r="G5948" s="3965"/>
      <c r="H5948" s="3965"/>
      <c r="I5948" s="3965"/>
      <c r="J5948" s="4039"/>
      <c r="K5948" s="4039"/>
      <c r="L5948" s="3965"/>
      <c r="M5948" s="1954" t="s">
        <v>2288</v>
      </c>
      <c r="N5948" s="2102" t="s">
        <v>1222</v>
      </c>
      <c r="O5948" s="1732">
        <v>300</v>
      </c>
      <c r="P5948" s="1732">
        <v>350</v>
      </c>
      <c r="Q5948" s="1732">
        <v>350</v>
      </c>
      <c r="R5948" s="1732">
        <v>350</v>
      </c>
      <c r="S5948" s="1732">
        <v>350</v>
      </c>
      <c r="T5948" s="1732">
        <v>350</v>
      </c>
      <c r="U5948" s="1732">
        <v>350</v>
      </c>
      <c r="V5948" s="1732">
        <v>350</v>
      </c>
      <c r="W5948" s="1732">
        <v>350</v>
      </c>
      <c r="X5948" s="1732">
        <v>300</v>
      </c>
      <c r="Y5948" s="1732">
        <v>300</v>
      </c>
      <c r="Z5948" s="1732">
        <v>300</v>
      </c>
      <c r="AA5948" s="1896">
        <f t="shared" si="956"/>
        <v>4000</v>
      </c>
    </row>
    <row r="5949" spans="1:27" ht="23.25" x14ac:dyDescent="0.25">
      <c r="A5949" s="2012"/>
      <c r="B5949" s="4034"/>
      <c r="C5949" s="4036"/>
      <c r="D5949" s="3984"/>
      <c r="E5949" s="3965"/>
      <c r="F5949" s="3965"/>
      <c r="G5949" s="3965"/>
      <c r="H5949" s="3965"/>
      <c r="I5949" s="3965"/>
      <c r="J5949" s="4039"/>
      <c r="K5949" s="4039"/>
      <c r="L5949" s="3965"/>
      <c r="M5949" s="1954" t="s">
        <v>2289</v>
      </c>
      <c r="N5949" s="2102" t="s">
        <v>1246</v>
      </c>
      <c r="O5949" s="1732">
        <v>400</v>
      </c>
      <c r="P5949" s="1732">
        <v>400</v>
      </c>
      <c r="Q5949" s="1732"/>
      <c r="R5949" s="1732">
        <v>400</v>
      </c>
      <c r="S5949" s="1732">
        <v>400</v>
      </c>
      <c r="T5949" s="1732">
        <v>400</v>
      </c>
      <c r="U5949" s="1732"/>
      <c r="V5949" s="1732">
        <v>400</v>
      </c>
      <c r="W5949" s="1732">
        <v>400</v>
      </c>
      <c r="X5949" s="1732">
        <v>400</v>
      </c>
      <c r="Y5949" s="1732">
        <v>400</v>
      </c>
      <c r="Z5949" s="1732">
        <v>400</v>
      </c>
      <c r="AA5949" s="1896">
        <f t="shared" si="956"/>
        <v>4000</v>
      </c>
    </row>
    <row r="5950" spans="1:27" ht="45.75" x14ac:dyDescent="0.25">
      <c r="A5950" s="2012"/>
      <c r="B5950" s="4034"/>
      <c r="C5950" s="4036"/>
      <c r="D5950" s="3984"/>
      <c r="E5950" s="3965"/>
      <c r="F5950" s="3965"/>
      <c r="G5950" s="3965"/>
      <c r="H5950" s="3965"/>
      <c r="I5950" s="3965"/>
      <c r="J5950" s="4039"/>
      <c r="K5950" s="4039"/>
      <c r="L5950" s="3965"/>
      <c r="M5950" s="1954" t="s">
        <v>2253</v>
      </c>
      <c r="N5950" s="2102" t="s">
        <v>1236</v>
      </c>
      <c r="O5950" s="1732"/>
      <c r="P5950" s="1732">
        <v>10000</v>
      </c>
      <c r="Q5950" s="1732"/>
      <c r="R5950" s="1732">
        <v>5000</v>
      </c>
      <c r="S5950" s="1732"/>
      <c r="T5950" s="1732"/>
      <c r="U5950" s="1732">
        <v>3000</v>
      </c>
      <c r="V5950" s="1732"/>
      <c r="W5950" s="1732"/>
      <c r="X5950" s="1732"/>
      <c r="Y5950" s="1732"/>
      <c r="Z5950" s="1732"/>
      <c r="AA5950" s="1896">
        <f t="shared" si="956"/>
        <v>18000</v>
      </c>
    </row>
    <row r="5951" spans="1:27" ht="23.25" x14ac:dyDescent="0.25">
      <c r="A5951" s="2012"/>
      <c r="B5951" s="4034"/>
      <c r="C5951" s="4036"/>
      <c r="D5951" s="3984"/>
      <c r="E5951" s="3965"/>
      <c r="F5951" s="3965"/>
      <c r="G5951" s="3965"/>
      <c r="H5951" s="3965"/>
      <c r="I5951" s="3965"/>
      <c r="J5951" s="4039"/>
      <c r="K5951" s="4039"/>
      <c r="L5951" s="3965"/>
      <c r="M5951" s="1954" t="s">
        <v>2254</v>
      </c>
      <c r="N5951" s="2102" t="s">
        <v>1268</v>
      </c>
      <c r="O5951" s="1732"/>
      <c r="P5951" s="1732">
        <v>5000</v>
      </c>
      <c r="Q5951" s="1732"/>
      <c r="R5951" s="1732"/>
      <c r="S5951" s="1732">
        <v>3000</v>
      </c>
      <c r="T5951" s="1732"/>
      <c r="U5951" s="1732"/>
      <c r="V5951" s="1732">
        <v>2000</v>
      </c>
      <c r="W5951" s="1732"/>
      <c r="X5951" s="1732"/>
      <c r="Y5951" s="1732"/>
      <c r="Z5951" s="1732"/>
      <c r="AA5951" s="1896">
        <f t="shared" si="956"/>
        <v>10000</v>
      </c>
    </row>
    <row r="5952" spans="1:27" ht="34.5" x14ac:dyDescent="0.25">
      <c r="A5952" s="2012"/>
      <c r="B5952" s="4034"/>
      <c r="C5952" s="4036"/>
      <c r="D5952" s="3984"/>
      <c r="E5952" s="3965"/>
      <c r="F5952" s="3965"/>
      <c r="G5952" s="3965"/>
      <c r="H5952" s="3965"/>
      <c r="I5952" s="3965"/>
      <c r="J5952" s="4039"/>
      <c r="K5952" s="4039"/>
      <c r="L5952" s="3965"/>
      <c r="M5952" s="1954" t="s">
        <v>2290</v>
      </c>
      <c r="N5952" s="2102" t="s">
        <v>2291</v>
      </c>
      <c r="O5952" s="1732"/>
      <c r="P5952" s="1732">
        <v>400</v>
      </c>
      <c r="Q5952" s="1732">
        <v>400</v>
      </c>
      <c r="R5952" s="1732">
        <v>400</v>
      </c>
      <c r="S5952" s="1732">
        <v>400</v>
      </c>
      <c r="T5952" s="1732">
        <v>400</v>
      </c>
      <c r="U5952" s="1732">
        <v>1000</v>
      </c>
      <c r="V5952" s="1732">
        <v>400</v>
      </c>
      <c r="W5952" s="1732">
        <v>400</v>
      </c>
      <c r="X5952" s="1732">
        <v>400</v>
      </c>
      <c r="Y5952" s="1732">
        <v>926</v>
      </c>
      <c r="Z5952" s="1732"/>
      <c r="AA5952" s="1896">
        <f>SUM(P5952:Z5952)</f>
        <v>5126</v>
      </c>
    </row>
    <row r="5953" spans="1:27" ht="23.25" x14ac:dyDescent="0.25">
      <c r="A5953" s="2012"/>
      <c r="B5953" s="4034"/>
      <c r="C5953" s="4036"/>
      <c r="D5953" s="3984"/>
      <c r="E5953" s="3965"/>
      <c r="F5953" s="3965"/>
      <c r="G5953" s="3965"/>
      <c r="H5953" s="3965"/>
      <c r="I5953" s="3965"/>
      <c r="J5953" s="4039"/>
      <c r="K5953" s="4039"/>
      <c r="L5953" s="3965"/>
      <c r="M5953" s="1954" t="s">
        <v>2292</v>
      </c>
      <c r="N5953" s="2102" t="s">
        <v>1562</v>
      </c>
      <c r="O5953" s="1732"/>
      <c r="P5953" s="1732"/>
      <c r="Q5953" s="1732">
        <v>1000</v>
      </c>
      <c r="R5953" s="1732"/>
      <c r="S5953" s="1732"/>
      <c r="T5953" s="1732">
        <v>1000</v>
      </c>
      <c r="U5953" s="1732"/>
      <c r="V5953" s="1732"/>
      <c r="W5953" s="1732"/>
      <c r="X5953" s="1732"/>
      <c r="Y5953" s="1732"/>
      <c r="Z5953" s="1732"/>
      <c r="AA5953" s="1896">
        <f t="shared" ref="AA5953:AA5966" si="961">SUM(O5953:Z5953)</f>
        <v>2000</v>
      </c>
    </row>
    <row r="5954" spans="1:27" ht="22.5" x14ac:dyDescent="0.25">
      <c r="A5954" s="2012"/>
      <c r="B5954" s="4034"/>
      <c r="C5954" s="4036"/>
      <c r="D5954" s="3984"/>
      <c r="E5954" s="3965"/>
      <c r="F5954" s="3965"/>
      <c r="G5954" s="3965"/>
      <c r="H5954" s="3965"/>
      <c r="I5954" s="3965"/>
      <c r="J5954" s="4039"/>
      <c r="K5954" s="4039"/>
      <c r="L5954" s="3965"/>
      <c r="M5954" s="1954" t="s">
        <v>2293</v>
      </c>
      <c r="N5954" s="2105" t="s">
        <v>2236</v>
      </c>
      <c r="O5954" s="1732"/>
      <c r="P5954" s="1732"/>
      <c r="Q5954" s="1732">
        <v>5000</v>
      </c>
      <c r="R5954" s="1732"/>
      <c r="S5954" s="1732"/>
      <c r="T5954" s="1732">
        <v>3000</v>
      </c>
      <c r="U5954" s="1732"/>
      <c r="V5954" s="1732"/>
      <c r="W5954" s="1732"/>
      <c r="X5954" s="1732"/>
      <c r="Y5954" s="1732"/>
      <c r="Z5954" s="1732"/>
      <c r="AA5954" s="1896">
        <f t="shared" si="961"/>
        <v>8000</v>
      </c>
    </row>
    <row r="5955" spans="1:27" ht="22.5" x14ac:dyDescent="0.25">
      <c r="A5955" s="2012"/>
      <c r="B5955" s="4034"/>
      <c r="C5955" s="4036"/>
      <c r="D5955" s="3984"/>
      <c r="E5955" s="3965"/>
      <c r="F5955" s="3965"/>
      <c r="G5955" s="3965"/>
      <c r="H5955" s="3965"/>
      <c r="I5955" s="3965"/>
      <c r="J5955" s="4039"/>
      <c r="K5955" s="4039"/>
      <c r="L5955" s="3965"/>
      <c r="M5955" s="1954" t="s">
        <v>2294</v>
      </c>
      <c r="N5955" s="2105" t="s">
        <v>2295</v>
      </c>
      <c r="O5955" s="1732"/>
      <c r="P5955" s="1732"/>
      <c r="Q5955" s="1732"/>
      <c r="R5955" s="1732"/>
      <c r="S5955" s="1732"/>
      <c r="T5955" s="1732">
        <v>3000</v>
      </c>
      <c r="U5955" s="1732"/>
      <c r="V5955" s="1732"/>
      <c r="W5955" s="1732"/>
      <c r="X5955" s="1732"/>
      <c r="Y5955" s="1732"/>
      <c r="Z5955" s="1732"/>
      <c r="AA5955" s="1896">
        <f t="shared" si="961"/>
        <v>3000</v>
      </c>
    </row>
    <row r="5956" spans="1:27" ht="34.5" x14ac:dyDescent="0.25">
      <c r="A5956" s="2012"/>
      <c r="B5956" s="4034"/>
      <c r="C5956" s="4036"/>
      <c r="D5956" s="3984"/>
      <c r="E5956" s="3965"/>
      <c r="F5956" s="3965"/>
      <c r="G5956" s="3965"/>
      <c r="H5956" s="3965"/>
      <c r="I5956" s="3965"/>
      <c r="J5956" s="4039"/>
      <c r="K5956" s="4039"/>
      <c r="L5956" s="3965"/>
      <c r="M5956" s="1954" t="s">
        <v>2296</v>
      </c>
      <c r="N5956" s="2102" t="s">
        <v>2297</v>
      </c>
      <c r="O5956" s="1732">
        <v>700</v>
      </c>
      <c r="P5956" s="1732">
        <v>700</v>
      </c>
      <c r="Q5956" s="1732">
        <v>700</v>
      </c>
      <c r="R5956" s="1732">
        <v>700</v>
      </c>
      <c r="S5956" s="1732">
        <v>700</v>
      </c>
      <c r="T5956" s="1732">
        <v>700</v>
      </c>
      <c r="U5956" s="1732">
        <v>700</v>
      </c>
      <c r="V5956" s="1732">
        <v>700</v>
      </c>
      <c r="W5956" s="1732">
        <v>700</v>
      </c>
      <c r="X5956" s="1732">
        <v>700</v>
      </c>
      <c r="Y5956" s="1732">
        <v>700</v>
      </c>
      <c r="Z5956" s="1732">
        <v>700</v>
      </c>
      <c r="AA5956" s="1896">
        <f t="shared" si="961"/>
        <v>8400</v>
      </c>
    </row>
    <row r="5957" spans="1:27" ht="23.25" x14ac:dyDescent="0.25">
      <c r="A5957" s="2012"/>
      <c r="B5957" s="4034"/>
      <c r="C5957" s="4036"/>
      <c r="D5957" s="3984"/>
      <c r="E5957" s="3965"/>
      <c r="F5957" s="3965"/>
      <c r="G5957" s="3965"/>
      <c r="H5957" s="3965"/>
      <c r="I5957" s="3965"/>
      <c r="J5957" s="4039"/>
      <c r="K5957" s="4039"/>
      <c r="L5957" s="3965"/>
      <c r="M5957" s="1954" t="s">
        <v>2298</v>
      </c>
      <c r="N5957" s="2102" t="s">
        <v>2299</v>
      </c>
      <c r="O5957" s="1732">
        <v>192</v>
      </c>
      <c r="P5957" s="1732">
        <v>192</v>
      </c>
      <c r="Q5957" s="1732">
        <v>191.6</v>
      </c>
      <c r="R5957" s="1732">
        <v>191.6</v>
      </c>
      <c r="S5957" s="1732">
        <v>191.6</v>
      </c>
      <c r="T5957" s="1732">
        <v>191.6</v>
      </c>
      <c r="U5957" s="1732">
        <v>191.6</v>
      </c>
      <c r="V5957" s="1732">
        <v>191.6</v>
      </c>
      <c r="W5957" s="1732">
        <v>191.6</v>
      </c>
      <c r="X5957" s="1732">
        <v>191.6</v>
      </c>
      <c r="Y5957" s="1732">
        <v>191.6</v>
      </c>
      <c r="Z5957" s="1732">
        <v>191.6</v>
      </c>
      <c r="AA5957" s="1896">
        <f t="shared" si="961"/>
        <v>2299.9999999999995</v>
      </c>
    </row>
    <row r="5958" spans="1:27" ht="23.25" x14ac:dyDescent="0.25">
      <c r="A5958" s="2012"/>
      <c r="B5958" s="4034"/>
      <c r="C5958" s="4036"/>
      <c r="D5958" s="3984"/>
      <c r="E5958" s="3965"/>
      <c r="F5958" s="3965"/>
      <c r="G5958" s="3965"/>
      <c r="H5958" s="3965"/>
      <c r="I5958" s="3965"/>
      <c r="J5958" s="4039"/>
      <c r="K5958" s="4039"/>
      <c r="L5958" s="3965"/>
      <c r="M5958" s="1954" t="s">
        <v>2300</v>
      </c>
      <c r="N5958" s="2102" t="s">
        <v>2301</v>
      </c>
      <c r="O5958" s="1732">
        <v>417</v>
      </c>
      <c r="P5958" s="1732">
        <v>416.6</v>
      </c>
      <c r="Q5958" s="1732">
        <v>416.6</v>
      </c>
      <c r="R5958" s="1732">
        <v>417</v>
      </c>
      <c r="S5958" s="1732">
        <v>416.6</v>
      </c>
      <c r="T5958" s="1732">
        <v>416.6</v>
      </c>
      <c r="U5958" s="1732">
        <v>416.6</v>
      </c>
      <c r="V5958" s="1732">
        <v>416.6</v>
      </c>
      <c r="W5958" s="1732">
        <v>416.6</v>
      </c>
      <c r="X5958" s="1732">
        <v>416.6</v>
      </c>
      <c r="Y5958" s="1732">
        <v>416.6</v>
      </c>
      <c r="Z5958" s="1732">
        <v>416.6</v>
      </c>
      <c r="AA5958" s="1896">
        <f t="shared" si="961"/>
        <v>5000.0000000000009</v>
      </c>
    </row>
    <row r="5959" spans="1:27" ht="23.25" x14ac:dyDescent="0.25">
      <c r="A5959" s="2013"/>
      <c r="B5959" s="4034"/>
      <c r="C5959" s="4036"/>
      <c r="D5959" s="3984"/>
      <c r="E5959" s="3965"/>
      <c r="F5959" s="3965"/>
      <c r="G5959" s="3965"/>
      <c r="H5959" s="3965"/>
      <c r="I5959" s="3965"/>
      <c r="J5959" s="4039"/>
      <c r="K5959" s="4039"/>
      <c r="L5959" s="3965"/>
      <c r="M5959" s="1954" t="s">
        <v>2302</v>
      </c>
      <c r="N5959" s="2102" t="s">
        <v>2303</v>
      </c>
      <c r="O5959" s="1732">
        <v>1334</v>
      </c>
      <c r="P5959" s="1732">
        <v>1333.3</v>
      </c>
      <c r="Q5959" s="1732">
        <v>1333.3</v>
      </c>
      <c r="R5959" s="1732">
        <v>1333.3</v>
      </c>
      <c r="S5959" s="1732">
        <v>1333.3</v>
      </c>
      <c r="T5959" s="1732">
        <v>1333.3</v>
      </c>
      <c r="U5959" s="1732">
        <v>1333.3</v>
      </c>
      <c r="V5959" s="1732">
        <v>1333.3</v>
      </c>
      <c r="W5959" s="1732">
        <v>1333.3</v>
      </c>
      <c r="X5959" s="1732">
        <v>1333.3</v>
      </c>
      <c r="Y5959" s="1732">
        <v>1333.3</v>
      </c>
      <c r="Z5959" s="1732">
        <v>1333.3</v>
      </c>
      <c r="AA5959" s="1896">
        <f t="shared" si="961"/>
        <v>16000.299999999997</v>
      </c>
    </row>
    <row r="5960" spans="1:27" ht="23.25" x14ac:dyDescent="0.25">
      <c r="A5960" s="2013"/>
      <c r="B5960" s="4034"/>
      <c r="C5960" s="4036"/>
      <c r="D5960" s="3984"/>
      <c r="E5960" s="3965"/>
      <c r="F5960" s="3965"/>
      <c r="G5960" s="3965"/>
      <c r="H5960" s="3965"/>
      <c r="I5960" s="3965"/>
      <c r="J5960" s="4039"/>
      <c r="K5960" s="4039"/>
      <c r="L5960" s="3965"/>
      <c r="M5960" s="1954" t="s">
        <v>2304</v>
      </c>
      <c r="N5960" s="2102" t="s">
        <v>2305</v>
      </c>
      <c r="O5960" s="1732">
        <v>167</v>
      </c>
      <c r="P5960" s="1732">
        <v>167</v>
      </c>
      <c r="Q5960" s="1732">
        <v>166.6</v>
      </c>
      <c r="R5960" s="1732">
        <v>166.6</v>
      </c>
      <c r="S5960" s="1732">
        <v>166.6</v>
      </c>
      <c r="T5960" s="1732">
        <v>166.6</v>
      </c>
      <c r="U5960" s="1732">
        <v>166.6</v>
      </c>
      <c r="V5960" s="1732">
        <v>166.6</v>
      </c>
      <c r="W5960" s="1732">
        <v>166.6</v>
      </c>
      <c r="X5960" s="1732">
        <v>166.6</v>
      </c>
      <c r="Y5960" s="1732">
        <v>166.6</v>
      </c>
      <c r="Z5960" s="1732">
        <v>166.6</v>
      </c>
      <c r="AA5960" s="1896">
        <f t="shared" si="961"/>
        <v>1999.9999999999995</v>
      </c>
    </row>
    <row r="5961" spans="1:27" ht="23.25" x14ac:dyDescent="0.25">
      <c r="A5961" s="2013"/>
      <c r="B5961" s="4034"/>
      <c r="C5961" s="4036"/>
      <c r="D5961" s="3984"/>
      <c r="E5961" s="3965"/>
      <c r="F5961" s="3965"/>
      <c r="G5961" s="3965"/>
      <c r="H5961" s="3965"/>
      <c r="I5961" s="3965"/>
      <c r="J5961" s="4039"/>
      <c r="K5961" s="4039"/>
      <c r="L5961" s="3965"/>
      <c r="M5961" s="1954" t="s">
        <v>2306</v>
      </c>
      <c r="N5961" s="2102" t="s">
        <v>1291</v>
      </c>
      <c r="O5961" s="1732">
        <v>2916.6</v>
      </c>
      <c r="P5961" s="1732">
        <v>2916.6</v>
      </c>
      <c r="Q5961" s="1732">
        <v>2916.6</v>
      </c>
      <c r="R5961" s="1732">
        <v>2916.6</v>
      </c>
      <c r="S5961" s="1732">
        <v>2916.6</v>
      </c>
      <c r="T5961" s="1732">
        <v>2917</v>
      </c>
      <c r="U5961" s="1732">
        <v>2916.6</v>
      </c>
      <c r="V5961" s="1732">
        <v>2917</v>
      </c>
      <c r="W5961" s="1732">
        <v>2916.6</v>
      </c>
      <c r="X5961" s="1732">
        <v>2917</v>
      </c>
      <c r="Y5961" s="1732">
        <v>2916.6</v>
      </c>
      <c r="Z5961" s="1732">
        <v>2916.6</v>
      </c>
      <c r="AA5961" s="1896">
        <f t="shared" si="961"/>
        <v>35000.399999999994</v>
      </c>
    </row>
    <row r="5962" spans="1:27" ht="23.25" x14ac:dyDescent="0.25">
      <c r="A5962" s="2013"/>
      <c r="B5962" s="4034"/>
      <c r="C5962" s="4036"/>
      <c r="D5962" s="3984"/>
      <c r="E5962" s="3965"/>
      <c r="F5962" s="3965"/>
      <c r="G5962" s="3965"/>
      <c r="H5962" s="3965"/>
      <c r="I5962" s="3965"/>
      <c r="J5962" s="4039"/>
      <c r="K5962" s="4039"/>
      <c r="L5962" s="3965"/>
      <c r="M5962" s="1954" t="s">
        <v>2307</v>
      </c>
      <c r="N5962" s="2102" t="s">
        <v>1252</v>
      </c>
      <c r="O5962" s="1732"/>
      <c r="P5962" s="1732"/>
      <c r="Q5962" s="1732"/>
      <c r="R5962" s="1732">
        <v>5000</v>
      </c>
      <c r="S5962" s="1732"/>
      <c r="T5962" s="1732"/>
      <c r="U5962" s="1732">
        <v>5000</v>
      </c>
      <c r="V5962" s="1732"/>
      <c r="W5962" s="1732"/>
      <c r="X5962" s="1732"/>
      <c r="Y5962" s="1732">
        <v>3863</v>
      </c>
      <c r="Z5962" s="1732"/>
      <c r="AA5962" s="1896">
        <f t="shared" si="961"/>
        <v>13863</v>
      </c>
    </row>
    <row r="5963" spans="1:27" ht="23.25" x14ac:dyDescent="0.25">
      <c r="A5963" s="2013"/>
      <c r="B5963" s="4034"/>
      <c r="C5963" s="4036"/>
      <c r="D5963" s="3984"/>
      <c r="E5963" s="3965"/>
      <c r="F5963" s="3965"/>
      <c r="G5963" s="3965"/>
      <c r="H5963" s="3965"/>
      <c r="I5963" s="3965"/>
      <c r="J5963" s="4039"/>
      <c r="K5963" s="4039"/>
      <c r="L5963" s="3965"/>
      <c r="M5963" s="1954" t="s">
        <v>2308</v>
      </c>
      <c r="N5963" s="2106" t="s">
        <v>2309</v>
      </c>
      <c r="O5963" s="1732"/>
      <c r="P5963" s="1732"/>
      <c r="Q5963" s="1732">
        <v>1200</v>
      </c>
      <c r="R5963" s="1732"/>
      <c r="S5963" s="1732"/>
      <c r="T5963" s="1732"/>
      <c r="U5963" s="1732"/>
      <c r="V5963" s="1732"/>
      <c r="W5963" s="1732"/>
      <c r="X5963" s="1732"/>
      <c r="Y5963" s="1732"/>
      <c r="Z5963" s="1732"/>
      <c r="AA5963" s="1896">
        <f t="shared" si="961"/>
        <v>1200</v>
      </c>
    </row>
    <row r="5964" spans="1:27" ht="15" x14ac:dyDescent="0.25">
      <c r="A5964" s="2013"/>
      <c r="B5964" s="4034"/>
      <c r="C5964" s="4036"/>
      <c r="D5964" s="3984"/>
      <c r="E5964" s="3965"/>
      <c r="F5964" s="3965"/>
      <c r="G5964" s="3965"/>
      <c r="H5964" s="3965"/>
      <c r="I5964" s="3965"/>
      <c r="J5964" s="4039"/>
      <c r="K5964" s="4039"/>
      <c r="L5964" s="3965"/>
      <c r="M5964" s="1954" t="s">
        <v>2310</v>
      </c>
      <c r="N5964" s="2106" t="s">
        <v>1607</v>
      </c>
      <c r="O5964" s="1732"/>
      <c r="P5964" s="1732"/>
      <c r="Q5964" s="1732">
        <v>10000</v>
      </c>
      <c r="R5964" s="1732"/>
      <c r="S5964" s="1732"/>
      <c r="T5964" s="1732"/>
      <c r="U5964" s="1732"/>
      <c r="V5964" s="1732"/>
      <c r="W5964" s="1732"/>
      <c r="X5964" s="1732"/>
      <c r="Y5964" s="1732"/>
      <c r="Z5964" s="1732"/>
      <c r="AA5964" s="1896">
        <f t="shared" si="961"/>
        <v>10000</v>
      </c>
    </row>
    <row r="5965" spans="1:27" ht="15" x14ac:dyDescent="0.25">
      <c r="A5965" s="2013"/>
      <c r="B5965" s="4034"/>
      <c r="C5965" s="4036"/>
      <c r="D5965" s="3984"/>
      <c r="E5965" s="3965"/>
      <c r="F5965" s="3965"/>
      <c r="G5965" s="3965"/>
      <c r="H5965" s="3965"/>
      <c r="I5965" s="3965"/>
      <c r="J5965" s="4039"/>
      <c r="K5965" s="4039"/>
      <c r="L5965" s="3965"/>
      <c r="M5965" s="1954" t="s">
        <v>2311</v>
      </c>
      <c r="N5965" s="2106" t="s">
        <v>1609</v>
      </c>
      <c r="O5965" s="1732"/>
      <c r="P5965" s="1732"/>
      <c r="Q5965" s="1732">
        <v>8000</v>
      </c>
      <c r="R5965" s="1732"/>
      <c r="S5965" s="1732"/>
      <c r="T5965" s="1732"/>
      <c r="U5965" s="1732"/>
      <c r="V5965" s="1732"/>
      <c r="W5965" s="1732"/>
      <c r="X5965" s="1732"/>
      <c r="Y5965" s="1732"/>
      <c r="Z5965" s="1732"/>
      <c r="AA5965" s="1896">
        <f t="shared" si="961"/>
        <v>8000</v>
      </c>
    </row>
    <row r="5966" spans="1:27" ht="23.25" x14ac:dyDescent="0.25">
      <c r="A5966" s="2014"/>
      <c r="B5966" s="2365"/>
      <c r="C5966" s="4037"/>
      <c r="D5966" s="3985"/>
      <c r="E5966" s="2362"/>
      <c r="F5966" s="2362"/>
      <c r="G5966" s="2362"/>
      <c r="H5966" s="2362"/>
      <c r="I5966" s="2362"/>
      <c r="J5966" s="4040"/>
      <c r="K5966" s="4040"/>
      <c r="L5966" s="2362"/>
      <c r="M5966" s="1954" t="s">
        <v>2312</v>
      </c>
      <c r="N5966" s="2106" t="s">
        <v>2313</v>
      </c>
      <c r="O5966" s="1732"/>
      <c r="P5966" s="1732"/>
      <c r="Q5966" s="1732">
        <v>5000</v>
      </c>
      <c r="R5966" s="1732"/>
      <c r="S5966" s="1732"/>
      <c r="T5966" s="1732"/>
      <c r="U5966" s="1732"/>
      <c r="V5966" s="1732"/>
      <c r="W5966" s="1732"/>
      <c r="X5966" s="1732"/>
      <c r="Y5966" s="1732"/>
      <c r="Z5966" s="1732"/>
      <c r="AA5966" s="1896">
        <f t="shared" si="961"/>
        <v>5000</v>
      </c>
    </row>
    <row r="5967" spans="1:27" ht="15" x14ac:dyDescent="0.25">
      <c r="A5967" s="3135" t="s">
        <v>1169</v>
      </c>
      <c r="B5967" s="3040"/>
      <c r="C5967" s="3040"/>
      <c r="D5967" s="3040"/>
      <c r="E5967" s="3040"/>
      <c r="F5967" s="3040"/>
      <c r="G5967" s="3040"/>
      <c r="H5967" s="3040"/>
      <c r="I5967" s="3040"/>
      <c r="J5967" s="3040"/>
      <c r="K5967" s="3040"/>
      <c r="L5967" s="3040"/>
      <c r="M5967" s="3040"/>
      <c r="N5967" s="3040"/>
      <c r="O5967" s="3040"/>
      <c r="P5967" s="3040"/>
      <c r="Q5967" s="3040"/>
      <c r="R5967" s="3040"/>
      <c r="S5967" s="3040"/>
      <c r="T5967" s="3040"/>
      <c r="U5967" s="3040"/>
      <c r="V5967" s="3040"/>
      <c r="W5967" s="3040"/>
      <c r="X5967" s="3040"/>
      <c r="Y5967" s="3040"/>
      <c r="Z5967" s="24"/>
      <c r="AA5967" s="26"/>
    </row>
    <row r="5968" spans="1:27" ht="15" x14ac:dyDescent="0.25">
      <c r="A5968" s="3043" t="s">
        <v>251</v>
      </c>
      <c r="B5968" s="2065" t="s">
        <v>1</v>
      </c>
      <c r="C5968" s="2292" t="s">
        <v>3597</v>
      </c>
      <c r="D5968" s="2292"/>
      <c r="E5968" s="2292"/>
      <c r="F5968" s="2292"/>
      <c r="G5968" s="1984"/>
      <c r="H5968" s="1984"/>
      <c r="I5968" s="1984"/>
      <c r="J5968" s="1984"/>
      <c r="K5968" s="1984"/>
      <c r="L5968" s="1984"/>
      <c r="M5968" s="1984"/>
      <c r="N5968" s="1984"/>
      <c r="O5968" s="1984"/>
      <c r="P5968" s="1984"/>
      <c r="Q5968" s="1984"/>
      <c r="R5968" s="1984"/>
      <c r="S5968" s="1984"/>
      <c r="T5968" s="1984"/>
      <c r="U5968" s="1984"/>
      <c r="V5968" s="1984"/>
      <c r="W5968" s="1984"/>
      <c r="X5968" s="1984"/>
      <c r="Y5968" s="1985"/>
      <c r="Z5968" s="80"/>
      <c r="AA5968" s="81"/>
    </row>
    <row r="5969" spans="1:27" ht="22.5" x14ac:dyDescent="0.25">
      <c r="A5969" s="3044"/>
      <c r="B5969" s="1838" t="s">
        <v>2</v>
      </c>
      <c r="C5969" s="2840" t="s">
        <v>3598</v>
      </c>
      <c r="D5969" s="2840"/>
      <c r="E5969" s="2840"/>
      <c r="F5969" s="2840"/>
      <c r="G5969" s="2840"/>
      <c r="H5969" s="2840"/>
      <c r="I5969" s="2840"/>
      <c r="J5969" s="2840"/>
      <c r="K5969" s="2840"/>
      <c r="L5969" s="2840"/>
      <c r="M5969" s="2840"/>
      <c r="N5969" s="2840"/>
      <c r="O5969" s="2840"/>
      <c r="P5969" s="2840"/>
      <c r="Q5969" s="2840"/>
      <c r="R5969" s="2840"/>
      <c r="S5969" s="2840"/>
      <c r="T5969" s="2840"/>
      <c r="U5969" s="2840"/>
      <c r="V5969" s="2840"/>
      <c r="W5969" s="2840"/>
      <c r="X5969" s="2840"/>
      <c r="Y5969" s="2671"/>
      <c r="Z5969" s="80"/>
      <c r="AA5969" s="81"/>
    </row>
    <row r="5970" spans="1:27" ht="15" x14ac:dyDescent="0.25">
      <c r="A5970" s="3044"/>
      <c r="B5970" s="1838" t="s">
        <v>4</v>
      </c>
      <c r="C5970" s="3137" t="s">
        <v>3599</v>
      </c>
      <c r="D5970" s="3138"/>
      <c r="E5970" s="3138"/>
      <c r="F5970" s="3138"/>
      <c r="G5970" s="3138"/>
      <c r="H5970" s="3138"/>
      <c r="I5970" s="3138"/>
      <c r="J5970" s="3138"/>
      <c r="K5970" s="3138"/>
      <c r="L5970" s="3138"/>
      <c r="M5970" s="3138"/>
      <c r="N5970" s="3138"/>
      <c r="O5970" s="1988"/>
      <c r="P5970" s="1988"/>
      <c r="Q5970" s="1988"/>
      <c r="R5970" s="1988"/>
      <c r="S5970" s="1988"/>
      <c r="T5970" s="1988"/>
      <c r="U5970" s="1988"/>
      <c r="V5970" s="1988"/>
      <c r="W5970" s="1988"/>
      <c r="X5970" s="1988"/>
      <c r="Y5970" s="1988"/>
      <c r="Z5970" s="80"/>
      <c r="AA5970" s="81"/>
    </row>
    <row r="5971" spans="1:27" ht="15" x14ac:dyDescent="0.25">
      <c r="A5971" s="3044"/>
      <c r="B5971" s="1838"/>
      <c r="C5971" s="3137" t="s">
        <v>3600</v>
      </c>
      <c r="D5971" s="3138"/>
      <c r="E5971" s="3138"/>
      <c r="F5971" s="3138"/>
      <c r="G5971" s="3138"/>
      <c r="H5971" s="3138"/>
      <c r="I5971" s="3138"/>
      <c r="J5971" s="3138"/>
      <c r="K5971" s="3138"/>
      <c r="L5971" s="3138"/>
      <c r="M5971" s="3138"/>
      <c r="N5971" s="3138"/>
      <c r="O5971" s="1988"/>
      <c r="P5971" s="1988"/>
      <c r="Q5971" s="1988"/>
      <c r="R5971" s="1988"/>
      <c r="S5971" s="1988"/>
      <c r="T5971" s="1988"/>
      <c r="U5971" s="1988"/>
      <c r="V5971" s="1988"/>
      <c r="W5971" s="1988"/>
      <c r="X5971" s="1988"/>
      <c r="Y5971" s="1988"/>
      <c r="Z5971" s="80"/>
      <c r="AA5971" s="81"/>
    </row>
    <row r="5972" spans="1:27" ht="15" x14ac:dyDescent="0.25">
      <c r="A5972" s="3044"/>
      <c r="B5972" s="1838"/>
      <c r="C5972" s="3137" t="s">
        <v>3601</v>
      </c>
      <c r="D5972" s="3138"/>
      <c r="E5972" s="3138"/>
      <c r="F5972" s="3138"/>
      <c r="G5972" s="3138"/>
      <c r="H5972" s="3138"/>
      <c r="I5972" s="3138"/>
      <c r="J5972" s="3138"/>
      <c r="K5972" s="3138"/>
      <c r="L5972" s="3138"/>
      <c r="M5972" s="3138"/>
      <c r="N5972" s="3138"/>
      <c r="O5972" s="1988"/>
      <c r="P5972" s="1988"/>
      <c r="Q5972" s="1988"/>
      <c r="R5972" s="1988"/>
      <c r="S5972" s="1988"/>
      <c r="T5972" s="1988"/>
      <c r="U5972" s="1988"/>
      <c r="V5972" s="1988"/>
      <c r="W5972" s="1988"/>
      <c r="X5972" s="1988"/>
      <c r="Y5972" s="1988"/>
      <c r="Z5972" s="80"/>
      <c r="AA5972" s="81"/>
    </row>
    <row r="5973" spans="1:27" ht="22.5" x14ac:dyDescent="0.25">
      <c r="A5973" s="3044"/>
      <c r="B5973" s="1838" t="s">
        <v>6</v>
      </c>
      <c r="C5973" s="2671" t="s">
        <v>3602</v>
      </c>
      <c r="D5973" s="2672"/>
      <c r="E5973" s="2672"/>
      <c r="F5973" s="2672"/>
      <c r="G5973" s="2672"/>
      <c r="H5973" s="2672"/>
      <c r="I5973" s="2672"/>
      <c r="J5973" s="2672"/>
      <c r="K5973" s="2672"/>
      <c r="L5973" s="2672"/>
      <c r="M5973" s="2672"/>
      <c r="N5973" s="2672"/>
      <c r="O5973" s="2672"/>
      <c r="P5973" s="2672"/>
      <c r="Q5973" s="2672"/>
      <c r="R5973" s="2672"/>
      <c r="S5973" s="2672"/>
      <c r="T5973" s="2672"/>
      <c r="U5973" s="2672"/>
      <c r="V5973" s="2672"/>
      <c r="W5973" s="2672"/>
      <c r="X5973" s="2672"/>
      <c r="Y5973" s="2672"/>
      <c r="Z5973" s="80"/>
      <c r="AA5973" s="81"/>
    </row>
    <row r="5974" spans="1:27" ht="18" customHeight="1" x14ac:dyDescent="0.25">
      <c r="A5974" s="3044"/>
      <c r="B5974" s="1838"/>
      <c r="C5974" s="3137" t="s">
        <v>3603</v>
      </c>
      <c r="D5974" s="3138"/>
      <c r="E5974" s="3138"/>
      <c r="F5974" s="3138"/>
      <c r="G5974" s="3138"/>
      <c r="H5974" s="3138"/>
      <c r="I5974" s="3138"/>
      <c r="J5974" s="3138"/>
      <c r="K5974" s="3138"/>
      <c r="L5974" s="3138"/>
      <c r="M5974" s="3138"/>
      <c r="N5974" s="3138"/>
      <c r="O5974" s="3138"/>
      <c r="P5974" s="1834"/>
      <c r="Q5974" s="1834"/>
      <c r="R5974" s="1834"/>
      <c r="S5974" s="1834"/>
      <c r="T5974" s="1834"/>
      <c r="U5974" s="1834"/>
      <c r="V5974" s="1834"/>
      <c r="W5974" s="1834"/>
      <c r="X5974" s="1834"/>
      <c r="Y5974" s="1834"/>
      <c r="Z5974" s="80"/>
      <c r="AA5974" s="81"/>
    </row>
    <row r="5975" spans="1:27" ht="22.5" customHeight="1" x14ac:dyDescent="0.25">
      <c r="A5975" s="3044"/>
      <c r="B5975" s="1838"/>
      <c r="C5975" s="2671" t="s">
        <v>3604</v>
      </c>
      <c r="D5975" s="2672"/>
      <c r="E5975" s="2672"/>
      <c r="F5975" s="2672"/>
      <c r="G5975" s="2672"/>
      <c r="H5975" s="2672"/>
      <c r="I5975" s="2672"/>
      <c r="J5975" s="2672"/>
      <c r="K5975" s="2672"/>
      <c r="L5975" s="2672"/>
      <c r="M5975" s="2672"/>
      <c r="N5975" s="2672"/>
      <c r="O5975" s="2672"/>
      <c r="P5975" s="1834"/>
      <c r="Q5975" s="1834"/>
      <c r="R5975" s="1834"/>
      <c r="S5975" s="1834"/>
      <c r="T5975" s="1834"/>
      <c r="U5975" s="1834"/>
      <c r="V5975" s="1834"/>
      <c r="W5975" s="1834"/>
      <c r="X5975" s="1834"/>
      <c r="Y5975" s="1834"/>
      <c r="Z5975" s="80"/>
      <c r="AA5975" s="81"/>
    </row>
    <row r="5976" spans="1:27" ht="20.25" customHeight="1" x14ac:dyDescent="0.25">
      <c r="A5976" s="3044"/>
      <c r="B5976" s="1838"/>
      <c r="C5976" s="3137" t="s">
        <v>3605</v>
      </c>
      <c r="D5976" s="3138"/>
      <c r="E5976" s="3138"/>
      <c r="F5976" s="3138"/>
      <c r="G5976" s="3138"/>
      <c r="H5976" s="3138"/>
      <c r="I5976" s="3138"/>
      <c r="J5976" s="3138"/>
      <c r="K5976" s="3138"/>
      <c r="L5976" s="3138"/>
      <c r="M5976" s="3138"/>
      <c r="N5976" s="3138"/>
      <c r="O5976" s="3138"/>
      <c r="P5976" s="1834"/>
      <c r="Q5976" s="1834"/>
      <c r="R5976" s="1834"/>
      <c r="S5976" s="1834"/>
      <c r="T5976" s="1834"/>
      <c r="U5976" s="1834"/>
      <c r="V5976" s="1834"/>
      <c r="W5976" s="1834"/>
      <c r="X5976" s="1834"/>
      <c r="Y5976" s="1834"/>
      <c r="Z5976" s="80"/>
      <c r="AA5976" s="81"/>
    </row>
    <row r="5977" spans="1:27" ht="18" customHeight="1" x14ac:dyDescent="0.25">
      <c r="A5977" s="3044"/>
      <c r="B5977" s="1838"/>
      <c r="C5977" s="3137" t="s">
        <v>3606</v>
      </c>
      <c r="D5977" s="3138"/>
      <c r="E5977" s="3138"/>
      <c r="F5977" s="3138"/>
      <c r="G5977" s="3138"/>
      <c r="H5977" s="3138"/>
      <c r="I5977" s="3138"/>
      <c r="J5977" s="3138"/>
      <c r="K5977" s="3138"/>
      <c r="L5977" s="3138"/>
      <c r="M5977" s="3138"/>
      <c r="N5977" s="3138"/>
      <c r="O5977" s="3138"/>
      <c r="P5977" s="1834"/>
      <c r="Q5977" s="1834"/>
      <c r="R5977" s="1834"/>
      <c r="S5977" s="1834"/>
      <c r="T5977" s="1834"/>
      <c r="U5977" s="1834"/>
      <c r="V5977" s="1834"/>
      <c r="W5977" s="1834"/>
      <c r="X5977" s="1834"/>
      <c r="Y5977" s="1834"/>
      <c r="Z5977" s="80"/>
      <c r="AA5977" s="81"/>
    </row>
    <row r="5978" spans="1:27" ht="30" customHeight="1" x14ac:dyDescent="0.25">
      <c r="A5978" s="3136"/>
      <c r="B5978" s="1859" t="s">
        <v>8</v>
      </c>
      <c r="C5978" s="2911" t="s">
        <v>3607</v>
      </c>
      <c r="D5978" s="2912"/>
      <c r="E5978" s="2912"/>
      <c r="F5978" s="2912"/>
      <c r="G5978" s="2912"/>
      <c r="H5978" s="2912"/>
      <c r="I5978" s="87"/>
      <c r="J5978" s="87"/>
      <c r="K5978" s="87"/>
      <c r="L5978" s="87"/>
      <c r="M5978" s="1989"/>
      <c r="N5978" s="87"/>
      <c r="O5978" s="87"/>
      <c r="P5978" s="87"/>
      <c r="Q5978" s="87"/>
      <c r="R5978" s="87"/>
      <c r="S5978" s="87"/>
      <c r="T5978" s="87"/>
      <c r="U5978" s="87"/>
      <c r="V5978" s="87"/>
      <c r="W5978" s="87"/>
      <c r="X5978" s="87"/>
      <c r="Y5978" s="87"/>
      <c r="Z5978" s="88"/>
      <c r="AA5978" s="89"/>
    </row>
    <row r="5979" spans="1:27" ht="15" x14ac:dyDescent="0.25">
      <c r="A5979" s="3043" t="s">
        <v>256</v>
      </c>
      <c r="B5979" s="1833" t="s">
        <v>11</v>
      </c>
      <c r="C5979" s="3139" t="s">
        <v>84</v>
      </c>
      <c r="D5979" s="3139"/>
      <c r="E5979" s="3139"/>
      <c r="F5979" s="3139"/>
      <c r="G5979" s="3139"/>
      <c r="H5979" s="3139"/>
      <c r="I5979" s="3139"/>
      <c r="J5979" s="3139"/>
      <c r="K5979" s="3139"/>
      <c r="L5979" s="3139"/>
      <c r="M5979" s="3139"/>
      <c r="N5979" s="3139"/>
      <c r="O5979" s="3139"/>
      <c r="P5979" s="3139"/>
      <c r="Q5979" s="3139"/>
      <c r="R5979" s="3139"/>
      <c r="S5979" s="3139"/>
      <c r="T5979" s="3139"/>
      <c r="U5979" s="3139"/>
      <c r="V5979" s="3139"/>
      <c r="W5979" s="3139"/>
      <c r="X5979" s="3139"/>
      <c r="Y5979" s="3045"/>
      <c r="Z5979" s="80"/>
      <c r="AA5979" s="81"/>
    </row>
    <row r="5980" spans="1:27" ht="20.25" customHeight="1" x14ac:dyDescent="0.25">
      <c r="A5980" s="3044"/>
      <c r="B5980" s="2913" t="s">
        <v>13</v>
      </c>
      <c r="C5980" s="3140">
        <v>9001</v>
      </c>
      <c r="D5980" s="2922" t="s">
        <v>230</v>
      </c>
      <c r="E5980" s="2974"/>
      <c r="F5980" s="28"/>
      <c r="G5980" s="28"/>
      <c r="H5980" s="28"/>
      <c r="I5980" s="28"/>
      <c r="J5980" s="28"/>
      <c r="K5980" s="28"/>
      <c r="L5980" s="28"/>
      <c r="M5980" s="1986"/>
      <c r="N5980" s="28"/>
      <c r="O5980" s="28"/>
      <c r="P5980" s="28"/>
      <c r="Q5980" s="28"/>
      <c r="R5980" s="28"/>
      <c r="S5980" s="28"/>
      <c r="T5980" s="82"/>
      <c r="U5980" s="83"/>
      <c r="V5980" s="2974" t="s">
        <v>15</v>
      </c>
      <c r="W5980" s="2975"/>
      <c r="X5980" s="2975"/>
      <c r="Y5980" s="2976"/>
      <c r="Z5980" s="2974" t="s">
        <v>16</v>
      </c>
      <c r="AA5980" s="2976"/>
    </row>
    <row r="5981" spans="1:27" ht="15" x14ac:dyDescent="0.25">
      <c r="A5981" s="3044"/>
      <c r="B5981" s="2913"/>
      <c r="C5981" s="3018"/>
      <c r="D5981" s="2922"/>
      <c r="E5981" s="2974"/>
      <c r="F5981" s="84"/>
      <c r="G5981" s="84"/>
      <c r="H5981" s="84"/>
      <c r="I5981" s="84"/>
      <c r="J5981" s="84"/>
      <c r="K5981" s="84"/>
      <c r="L5981" s="84"/>
      <c r="M5981" s="586"/>
      <c r="N5981" s="84"/>
      <c r="O5981" s="84"/>
      <c r="P5981" s="84"/>
      <c r="Q5981" s="84"/>
      <c r="R5981" s="84"/>
      <c r="S5981" s="84"/>
      <c r="T5981" s="83"/>
      <c r="U5981" s="83"/>
      <c r="V5981" s="2977" t="s">
        <v>19</v>
      </c>
      <c r="W5981" s="2978"/>
      <c r="X5981" s="2978"/>
      <c r="Y5981" s="2979"/>
      <c r="Z5981" s="2974"/>
      <c r="AA5981" s="2976"/>
    </row>
    <row r="5982" spans="1:27" ht="15.75" customHeight="1" x14ac:dyDescent="0.2">
      <c r="A5982" s="3044"/>
      <c r="B5982" s="2913" t="s">
        <v>18</v>
      </c>
      <c r="C5982" s="3140">
        <v>3999999</v>
      </c>
      <c r="D5982" s="2922" t="s">
        <v>163</v>
      </c>
      <c r="E5982" s="2974"/>
      <c r="F5982" s="28"/>
      <c r="G5982" s="28"/>
      <c r="H5982" s="28"/>
      <c r="I5982" s="28"/>
      <c r="J5982" s="28"/>
      <c r="K5982" s="28"/>
      <c r="L5982" s="28"/>
      <c r="M5982" s="1986"/>
      <c r="N5982" s="28"/>
      <c r="O5982" s="28"/>
      <c r="P5982" s="28"/>
      <c r="Q5982" s="28"/>
      <c r="R5982" s="28"/>
      <c r="S5982" s="28"/>
      <c r="T5982" s="28"/>
      <c r="U5982" s="29"/>
      <c r="V5982" s="2974" t="s">
        <v>15</v>
      </c>
      <c r="W5982" s="2975"/>
      <c r="X5982" s="2975"/>
      <c r="Y5982" s="2976"/>
      <c r="Z5982" s="2974" t="s">
        <v>16</v>
      </c>
      <c r="AA5982" s="2976"/>
    </row>
    <row r="5983" spans="1:27" x14ac:dyDescent="0.2">
      <c r="A5983" s="3044"/>
      <c r="B5983" s="2913"/>
      <c r="C5983" s="3141"/>
      <c r="D5983" s="2922"/>
      <c r="E5983" s="2974"/>
      <c r="F5983" s="31"/>
      <c r="G5983" s="31"/>
      <c r="H5983" s="31"/>
      <c r="I5983" s="31"/>
      <c r="J5983" s="31"/>
      <c r="K5983" s="31"/>
      <c r="L5983" s="31"/>
      <c r="M5983" s="1987"/>
      <c r="N5983" s="31"/>
      <c r="O5983" s="31"/>
      <c r="P5983" s="31"/>
      <c r="Q5983" s="31"/>
      <c r="R5983" s="31"/>
      <c r="S5983" s="31"/>
      <c r="T5983" s="31"/>
      <c r="U5983" s="22"/>
      <c r="V5983" s="2977" t="s">
        <v>19</v>
      </c>
      <c r="W5983" s="2978"/>
      <c r="X5983" s="2978"/>
      <c r="Y5983" s="2979"/>
      <c r="Z5983" s="1839"/>
      <c r="AA5983" s="1840"/>
    </row>
    <row r="5984" spans="1:27" x14ac:dyDescent="0.2">
      <c r="A5984" s="3044"/>
      <c r="B5984" s="2984" t="s">
        <v>20</v>
      </c>
      <c r="C5984" s="2847" t="s">
        <v>21</v>
      </c>
      <c r="D5984" s="2847" t="s">
        <v>22</v>
      </c>
      <c r="E5984" s="2847" t="s">
        <v>23</v>
      </c>
      <c r="F5984" s="2847" t="s">
        <v>164</v>
      </c>
      <c r="G5984" s="2847" t="s">
        <v>25</v>
      </c>
      <c r="H5984" s="2847" t="s">
        <v>26</v>
      </c>
      <c r="I5984" s="2847" t="s">
        <v>27</v>
      </c>
      <c r="J5984" s="2986" t="s">
        <v>28</v>
      </c>
      <c r="K5984" s="2987"/>
      <c r="L5984" s="2847" t="s">
        <v>29</v>
      </c>
      <c r="M5984" s="2986" t="s">
        <v>30</v>
      </c>
      <c r="N5984" s="3142"/>
      <c r="O5984" s="2990" t="s">
        <v>31</v>
      </c>
      <c r="P5984" s="2991"/>
      <c r="Q5984" s="2991"/>
      <c r="R5984" s="2991"/>
      <c r="S5984" s="2991"/>
      <c r="T5984" s="2991"/>
      <c r="U5984" s="2991"/>
      <c r="V5984" s="2991"/>
      <c r="W5984" s="2991"/>
      <c r="X5984" s="2991"/>
      <c r="Y5984" s="2991"/>
      <c r="Z5984" s="2992"/>
      <c r="AA5984" s="2916" t="s">
        <v>32</v>
      </c>
    </row>
    <row r="5985" spans="1:27" x14ac:dyDescent="0.2">
      <c r="A5985" s="3044"/>
      <c r="B5985" s="2985"/>
      <c r="C5985" s="2847"/>
      <c r="D5985" s="2847"/>
      <c r="E5985" s="2847"/>
      <c r="F5985" s="2847"/>
      <c r="G5985" s="2847"/>
      <c r="H5985" s="2847"/>
      <c r="I5985" s="2847"/>
      <c r="J5985" s="1837" t="s">
        <v>33</v>
      </c>
      <c r="K5985" s="1837" t="s">
        <v>34</v>
      </c>
      <c r="L5985" s="2847"/>
      <c r="M5985" s="3000"/>
      <c r="N5985" s="3143"/>
      <c r="O5985" s="1842" t="s">
        <v>35</v>
      </c>
      <c r="P5985" s="1842" t="s">
        <v>36</v>
      </c>
      <c r="Q5985" s="1842" t="s">
        <v>37</v>
      </c>
      <c r="R5985" s="1842" t="s">
        <v>38</v>
      </c>
      <c r="S5985" s="1842" t="s">
        <v>39</v>
      </c>
      <c r="T5985" s="1842" t="s">
        <v>40</v>
      </c>
      <c r="U5985" s="1842" t="s">
        <v>41</v>
      </c>
      <c r="V5985" s="1842" t="s">
        <v>42</v>
      </c>
      <c r="W5985" s="1842" t="s">
        <v>43</v>
      </c>
      <c r="X5985" s="1842" t="s">
        <v>44</v>
      </c>
      <c r="Y5985" s="1842" t="s">
        <v>45</v>
      </c>
      <c r="Z5985" s="1842" t="s">
        <v>46</v>
      </c>
      <c r="AA5985" s="2916"/>
    </row>
    <row r="5986" spans="1:27" x14ac:dyDescent="0.2">
      <c r="A5986" s="3044"/>
      <c r="B5986" s="3065">
        <v>5000003</v>
      </c>
      <c r="C5986" s="2742" t="s">
        <v>3607</v>
      </c>
      <c r="D5986" s="3068"/>
      <c r="E5986" s="3071">
        <v>23</v>
      </c>
      <c r="F5986" s="3071">
        <v>6</v>
      </c>
      <c r="G5986" s="3071">
        <v>8</v>
      </c>
      <c r="H5986" s="3068" t="s">
        <v>1213</v>
      </c>
      <c r="I5986" s="3068" t="s">
        <v>235</v>
      </c>
      <c r="J5986" s="3074">
        <v>12</v>
      </c>
      <c r="K5986" s="3074">
        <v>212413</v>
      </c>
      <c r="L5986" s="3068" t="s">
        <v>3607</v>
      </c>
      <c r="M5986" s="2647" t="s">
        <v>51</v>
      </c>
      <c r="N5986" s="2754"/>
      <c r="O5986" s="1847">
        <v>1</v>
      </c>
      <c r="P5986" s="1847">
        <v>1</v>
      </c>
      <c r="Q5986" s="1847">
        <v>1</v>
      </c>
      <c r="R5986" s="1847">
        <v>1</v>
      </c>
      <c r="S5986" s="1847">
        <v>1</v>
      </c>
      <c r="T5986" s="1847">
        <v>1</v>
      </c>
      <c r="U5986" s="1847">
        <v>1</v>
      </c>
      <c r="V5986" s="1847">
        <v>1</v>
      </c>
      <c r="W5986" s="1847">
        <v>1</v>
      </c>
      <c r="X5986" s="1847">
        <v>1</v>
      </c>
      <c r="Y5986" s="1847">
        <v>1</v>
      </c>
      <c r="Z5986" s="1847">
        <v>1</v>
      </c>
      <c r="AA5986" s="373">
        <f>SUM(O5986:Z5986)</f>
        <v>12</v>
      </c>
    </row>
    <row r="5987" spans="1:27" x14ac:dyDescent="0.2">
      <c r="A5987" s="3044"/>
      <c r="B5987" s="3066"/>
      <c r="C5987" s="2743"/>
      <c r="D5987" s="3069"/>
      <c r="E5987" s="3072"/>
      <c r="F5987" s="3072"/>
      <c r="G5987" s="3072"/>
      <c r="H5987" s="3069"/>
      <c r="I5987" s="3069"/>
      <c r="J5987" s="3075"/>
      <c r="K5987" s="3075"/>
      <c r="L5987" s="3069"/>
      <c r="M5987" s="2647" t="s">
        <v>111</v>
      </c>
      <c r="N5987" s="2754"/>
      <c r="O5987" s="1847"/>
      <c r="P5987" s="1847"/>
      <c r="Q5987" s="1847"/>
      <c r="R5987" s="1847"/>
      <c r="S5987" s="1847"/>
      <c r="T5987" s="1847"/>
      <c r="U5987" s="1847"/>
      <c r="V5987" s="1847"/>
      <c r="W5987" s="1847"/>
      <c r="X5987" s="1847"/>
      <c r="Y5987" s="1847"/>
      <c r="Z5987" s="1847"/>
      <c r="AA5987" s="1991">
        <f>+SUM(AA5988:AA5994)</f>
        <v>212412.79999999999</v>
      </c>
    </row>
    <row r="5988" spans="1:27" ht="22.5" x14ac:dyDescent="0.2">
      <c r="A5988" s="3044"/>
      <c r="B5988" s="3066"/>
      <c r="C5988" s="2743"/>
      <c r="D5988" s="3069"/>
      <c r="E5988" s="3072"/>
      <c r="F5988" s="3072"/>
      <c r="G5988" s="3072"/>
      <c r="H5988" s="3069"/>
      <c r="I5988" s="3069"/>
      <c r="J5988" s="3075"/>
      <c r="K5988" s="3075"/>
      <c r="L5988" s="3069"/>
      <c r="M5988" s="1990" t="s">
        <v>1973</v>
      </c>
      <c r="N5988" s="1852" t="s">
        <v>183</v>
      </c>
      <c r="O5988" s="1847">
        <f>+O5998</f>
        <v>0</v>
      </c>
      <c r="P5988" s="1847">
        <f>+P5998</f>
        <v>0</v>
      </c>
      <c r="Q5988" s="1847">
        <v>1150</v>
      </c>
      <c r="R5988" s="1847">
        <f t="shared" ref="R5988:Z5988" si="962">+R5998</f>
        <v>0</v>
      </c>
      <c r="S5988" s="1847">
        <f t="shared" si="962"/>
        <v>0</v>
      </c>
      <c r="T5988" s="1847">
        <f t="shared" si="962"/>
        <v>0</v>
      </c>
      <c r="U5988" s="1847">
        <f t="shared" si="962"/>
        <v>0</v>
      </c>
      <c r="V5988" s="1847">
        <f t="shared" si="962"/>
        <v>0</v>
      </c>
      <c r="W5988" s="1847">
        <f t="shared" si="962"/>
        <v>0</v>
      </c>
      <c r="X5988" s="1847">
        <f t="shared" si="962"/>
        <v>0</v>
      </c>
      <c r="Y5988" s="1847">
        <f t="shared" si="962"/>
        <v>0</v>
      </c>
      <c r="Z5988" s="1847">
        <f t="shared" si="962"/>
        <v>0</v>
      </c>
      <c r="AA5988" s="1991">
        <f t="shared" ref="AA5988:AA5989" si="963">+SUM(O5988:Z5988)</f>
        <v>1150</v>
      </c>
    </row>
    <row r="5989" spans="1:27" ht="22.5" x14ac:dyDescent="0.2">
      <c r="A5989" s="3044"/>
      <c r="B5989" s="3066"/>
      <c r="C5989" s="2743"/>
      <c r="D5989" s="3069"/>
      <c r="E5989" s="3072"/>
      <c r="F5989" s="3072"/>
      <c r="G5989" s="3072"/>
      <c r="H5989" s="3069"/>
      <c r="I5989" s="3069"/>
      <c r="J5989" s="3075"/>
      <c r="K5989" s="3075"/>
      <c r="L5989" s="3069"/>
      <c r="M5989" s="1848" t="s">
        <v>184</v>
      </c>
      <c r="N5989" s="1852" t="s">
        <v>1367</v>
      </c>
      <c r="O5989" s="1847">
        <v>0</v>
      </c>
      <c r="P5989" s="1847">
        <v>0</v>
      </c>
      <c r="Q5989" s="1847">
        <v>454</v>
      </c>
      <c r="R5989" s="1847">
        <v>0</v>
      </c>
      <c r="S5989" s="1847">
        <v>0</v>
      </c>
      <c r="T5989" s="1847">
        <v>0</v>
      </c>
      <c r="U5989" s="1847">
        <v>0</v>
      </c>
      <c r="V5989" s="1847">
        <v>0</v>
      </c>
      <c r="W5989" s="1847">
        <v>0</v>
      </c>
      <c r="X5989" s="1847">
        <v>0</v>
      </c>
      <c r="Y5989" s="1847">
        <v>0</v>
      </c>
      <c r="Z5989" s="1847">
        <v>0</v>
      </c>
      <c r="AA5989" s="1991">
        <f t="shared" si="963"/>
        <v>454</v>
      </c>
    </row>
    <row r="5990" spans="1:27" ht="22.5" x14ac:dyDescent="0.2">
      <c r="A5990" s="3044"/>
      <c r="B5990" s="3066"/>
      <c r="C5990" s="2743"/>
      <c r="D5990" s="3069"/>
      <c r="E5990" s="3072"/>
      <c r="F5990" s="3072"/>
      <c r="G5990" s="3072"/>
      <c r="H5990" s="3069"/>
      <c r="I5990" s="3069"/>
      <c r="J5990" s="3075"/>
      <c r="K5990" s="3075"/>
      <c r="L5990" s="3069"/>
      <c r="M5990" s="1848" t="s">
        <v>541</v>
      </c>
      <c r="N5990" s="1852" t="s">
        <v>3608</v>
      </c>
      <c r="O5990" s="1847">
        <v>150</v>
      </c>
      <c r="P5990" s="1847">
        <v>150</v>
      </c>
      <c r="Q5990" s="1847">
        <v>150</v>
      </c>
      <c r="R5990" s="1847">
        <v>150</v>
      </c>
      <c r="S5990" s="1847">
        <v>150</v>
      </c>
      <c r="T5990" s="1847">
        <v>150</v>
      </c>
      <c r="U5990" s="1847">
        <v>150</v>
      </c>
      <c r="V5990" s="1847">
        <v>150</v>
      </c>
      <c r="W5990" s="1847">
        <v>40</v>
      </c>
      <c r="X5990" s="1847">
        <v>0</v>
      </c>
      <c r="Y5990" s="1847">
        <v>0</v>
      </c>
      <c r="Z5990" s="1847">
        <v>0</v>
      </c>
      <c r="AA5990" s="1991">
        <f t="shared" ref="AA5990:AA5994" si="964">+SUM(O5990:Z5990)</f>
        <v>1240</v>
      </c>
    </row>
    <row r="5991" spans="1:27" ht="22.5" x14ac:dyDescent="0.2">
      <c r="A5991" s="3044"/>
      <c r="B5991" s="3066"/>
      <c r="C5991" s="2743"/>
      <c r="D5991" s="3069"/>
      <c r="E5991" s="3072"/>
      <c r="F5991" s="3072"/>
      <c r="G5991" s="3072"/>
      <c r="H5991" s="3069"/>
      <c r="I5991" s="3069"/>
      <c r="J5991" s="3075"/>
      <c r="K5991" s="3075"/>
      <c r="L5991" s="3069"/>
      <c r="M5991" s="1848" t="s">
        <v>194</v>
      </c>
      <c r="N5991" s="1852" t="s">
        <v>1368</v>
      </c>
      <c r="O5991" s="1847">
        <v>280</v>
      </c>
      <c r="P5991" s="1847">
        <v>560</v>
      </c>
      <c r="Q5991" s="1847">
        <v>560</v>
      </c>
      <c r="R5991" s="1847">
        <v>560</v>
      </c>
      <c r="S5991" s="1847">
        <v>560</v>
      </c>
      <c r="T5991" s="1847">
        <v>560</v>
      </c>
      <c r="U5991" s="1847">
        <v>560</v>
      </c>
      <c r="V5991" s="1847">
        <v>560</v>
      </c>
      <c r="W5991" s="1847">
        <v>560</v>
      </c>
      <c r="X5991" s="1847">
        <v>0</v>
      </c>
      <c r="Y5991" s="1847">
        <v>0</v>
      </c>
      <c r="Z5991" s="1847">
        <v>0</v>
      </c>
      <c r="AA5991" s="1991">
        <f t="shared" si="964"/>
        <v>4760</v>
      </c>
    </row>
    <row r="5992" spans="1:27" ht="22.5" x14ac:dyDescent="0.2">
      <c r="A5992" s="3044"/>
      <c r="B5992" s="3066"/>
      <c r="C5992" s="2743"/>
      <c r="D5992" s="3069"/>
      <c r="E5992" s="3072"/>
      <c r="F5992" s="3072"/>
      <c r="G5992" s="3072"/>
      <c r="H5992" s="3069"/>
      <c r="I5992" s="3069"/>
      <c r="J5992" s="3075"/>
      <c r="K5992" s="3075"/>
      <c r="L5992" s="3069"/>
      <c r="M5992" s="1848" t="s">
        <v>3609</v>
      </c>
      <c r="N5992" s="1852" t="s">
        <v>1473</v>
      </c>
      <c r="O5992" s="1847">
        <f>+O6003+O6012+O6022</f>
        <v>0</v>
      </c>
      <c r="P5992" s="1847">
        <v>0</v>
      </c>
      <c r="Q5992" s="1847">
        <v>600</v>
      </c>
      <c r="R5992" s="1847">
        <v>0</v>
      </c>
      <c r="S5992" s="1847">
        <v>0</v>
      </c>
      <c r="T5992" s="1847">
        <v>600</v>
      </c>
      <c r="U5992" s="1847">
        <v>0</v>
      </c>
      <c r="V5992" s="1847">
        <v>0</v>
      </c>
      <c r="W5992" s="1847">
        <v>0</v>
      </c>
      <c r="X5992" s="1847">
        <v>0</v>
      </c>
      <c r="Y5992" s="1847">
        <v>0</v>
      </c>
      <c r="Z5992" s="1847">
        <f t="shared" ref="Z5992" si="965">+Z6003+Z6012+Z6022</f>
        <v>0</v>
      </c>
      <c r="AA5992" s="1991">
        <f t="shared" si="964"/>
        <v>1200</v>
      </c>
    </row>
    <row r="5993" spans="1:27" ht="22.5" x14ac:dyDescent="0.2">
      <c r="A5993" s="3044"/>
      <c r="B5993" s="3066"/>
      <c r="C5993" s="2743"/>
      <c r="D5993" s="3069"/>
      <c r="E5993" s="3072"/>
      <c r="F5993" s="3072"/>
      <c r="G5993" s="3072"/>
      <c r="H5993" s="3069"/>
      <c r="I5993" s="3069"/>
      <c r="J5993" s="3075"/>
      <c r="K5993" s="3075"/>
      <c r="L5993" s="3069"/>
      <c r="M5993" s="1850" t="s">
        <v>208</v>
      </c>
      <c r="N5993" s="345" t="s">
        <v>553</v>
      </c>
      <c r="O5993" s="1847">
        <v>16125</v>
      </c>
      <c r="P5993" s="1847">
        <v>16125</v>
      </c>
      <c r="Q5993" s="1847">
        <v>16125</v>
      </c>
      <c r="R5993" s="1847">
        <v>16125</v>
      </c>
      <c r="S5993" s="1847">
        <v>16125</v>
      </c>
      <c r="T5993" s="1847">
        <v>16125</v>
      </c>
      <c r="U5993" s="1847">
        <v>16125</v>
      </c>
      <c r="V5993" s="1847">
        <v>16125</v>
      </c>
      <c r="W5993" s="1847">
        <v>16125</v>
      </c>
      <c r="X5993" s="1847">
        <v>16125</v>
      </c>
      <c r="Y5993" s="1847">
        <v>16125</v>
      </c>
      <c r="Z5993" s="1847">
        <v>16125</v>
      </c>
      <c r="AA5993" s="1991">
        <f t="shared" si="964"/>
        <v>193500</v>
      </c>
    </row>
    <row r="5994" spans="1:27" ht="22.5" x14ac:dyDescent="0.2">
      <c r="A5994" s="3136"/>
      <c r="B5994" s="3067"/>
      <c r="C5994" s="2628"/>
      <c r="D5994" s="3070"/>
      <c r="E5994" s="3073"/>
      <c r="F5994" s="3073"/>
      <c r="G5994" s="3073"/>
      <c r="H5994" s="3070"/>
      <c r="I5994" s="3070"/>
      <c r="J5994" s="3076"/>
      <c r="K5994" s="3076"/>
      <c r="L5994" s="3070"/>
      <c r="M5994" s="1850" t="s">
        <v>210</v>
      </c>
      <c r="N5994" s="345" t="s">
        <v>1371</v>
      </c>
      <c r="O5994" s="1847">
        <v>842.4</v>
      </c>
      <c r="P5994" s="1847">
        <v>842.4</v>
      </c>
      <c r="Q5994" s="1847">
        <v>842.4</v>
      </c>
      <c r="R5994" s="1847">
        <v>842.4</v>
      </c>
      <c r="S5994" s="1847">
        <v>842.4</v>
      </c>
      <c r="T5994" s="1847">
        <v>842.4</v>
      </c>
      <c r="U5994" s="1847">
        <v>842.4</v>
      </c>
      <c r="V5994" s="1847">
        <v>842.4</v>
      </c>
      <c r="W5994" s="1847">
        <v>842.4</v>
      </c>
      <c r="X5994" s="1847">
        <v>842.4</v>
      </c>
      <c r="Y5994" s="1847">
        <v>842.4</v>
      </c>
      <c r="Z5994" s="1847">
        <v>842.4</v>
      </c>
      <c r="AA5994" s="373">
        <f t="shared" si="964"/>
        <v>10108.799999999997</v>
      </c>
    </row>
    <row r="5995" spans="1:27" ht="12" x14ac:dyDescent="0.2">
      <c r="A5995" s="3077" t="s">
        <v>0</v>
      </c>
      <c r="B5995" s="2017" t="s">
        <v>1</v>
      </c>
      <c r="C5995" s="3078" t="s">
        <v>1850</v>
      </c>
      <c r="D5995" s="3079"/>
      <c r="E5995" s="3079"/>
      <c r="F5995" s="3079"/>
      <c r="G5995" s="3079"/>
      <c r="H5995" s="3079"/>
      <c r="I5995" s="3079"/>
      <c r="J5995" s="3079"/>
      <c r="K5995" s="3079"/>
      <c r="L5995" s="3079"/>
      <c r="M5995" s="3079"/>
      <c r="N5995" s="3079"/>
      <c r="O5995" s="3079"/>
      <c r="P5995" s="3079"/>
      <c r="Q5995" s="3079"/>
      <c r="R5995" s="3079"/>
      <c r="S5995" s="3079"/>
      <c r="T5995" s="3079"/>
      <c r="U5995" s="3079"/>
      <c r="V5995" s="3079"/>
      <c r="W5995" s="3079"/>
      <c r="X5995" s="3079"/>
      <c r="Y5995" s="3079"/>
      <c r="Z5995" s="3079"/>
      <c r="AA5995" s="3080"/>
    </row>
    <row r="5996" spans="1:27" ht="22.5" x14ac:dyDescent="0.2">
      <c r="A5996" s="3077"/>
      <c r="B5996" s="1855" t="s">
        <v>2</v>
      </c>
      <c r="C5996" s="3081" t="s">
        <v>1851</v>
      </c>
      <c r="D5996" s="3082"/>
      <c r="E5996" s="3082"/>
      <c r="F5996" s="3082"/>
      <c r="G5996" s="3082"/>
      <c r="H5996" s="3082"/>
      <c r="I5996" s="3082"/>
      <c r="J5996" s="3082"/>
      <c r="K5996" s="3082"/>
      <c r="L5996" s="3082"/>
      <c r="M5996" s="3082"/>
      <c r="N5996" s="3082"/>
      <c r="O5996" s="3082"/>
      <c r="P5996" s="3082"/>
      <c r="Q5996" s="3082"/>
      <c r="R5996" s="3082"/>
      <c r="S5996" s="3082"/>
      <c r="T5996" s="3082"/>
      <c r="U5996" s="3082"/>
      <c r="V5996" s="3082"/>
      <c r="W5996" s="3082"/>
      <c r="X5996" s="3082"/>
      <c r="Y5996" s="3082"/>
      <c r="Z5996" s="3082"/>
      <c r="AA5996" s="3083"/>
    </row>
    <row r="5997" spans="1:27" ht="17.25" customHeight="1" x14ac:dyDescent="0.2">
      <c r="A5997" s="3077"/>
      <c r="B5997" s="1855" t="s">
        <v>4</v>
      </c>
      <c r="C5997" s="3081" t="s">
        <v>3610</v>
      </c>
      <c r="D5997" s="3082"/>
      <c r="E5997" s="3082"/>
      <c r="F5997" s="3082"/>
      <c r="G5997" s="3082"/>
      <c r="H5997" s="3082"/>
      <c r="I5997" s="3082"/>
      <c r="J5997" s="3082"/>
      <c r="K5997" s="3082"/>
      <c r="L5997" s="3082"/>
      <c r="M5997" s="3082"/>
      <c r="N5997" s="3082"/>
      <c r="O5997" s="3082"/>
      <c r="P5997" s="3082"/>
      <c r="Q5997" s="3082"/>
      <c r="R5997" s="3082"/>
      <c r="S5997" s="3082"/>
      <c r="T5997" s="3082"/>
      <c r="U5997" s="3082"/>
      <c r="V5997" s="3082"/>
      <c r="W5997" s="3082"/>
      <c r="X5997" s="3082"/>
      <c r="Y5997" s="3082"/>
      <c r="Z5997" s="3082"/>
      <c r="AA5997" s="3083"/>
    </row>
    <row r="5998" spans="1:27" x14ac:dyDescent="0.2">
      <c r="A5998" s="3077"/>
      <c r="B5998" s="3068" t="s">
        <v>6</v>
      </c>
      <c r="C5998" s="3058" t="s">
        <v>3611</v>
      </c>
      <c r="D5998" s="3059"/>
      <c r="E5998" s="3059"/>
      <c r="F5998" s="3059"/>
      <c r="G5998" s="3059"/>
      <c r="H5998" s="3059"/>
      <c r="I5998" s="3059"/>
      <c r="J5998" s="3059"/>
      <c r="K5998" s="3059"/>
      <c r="L5998" s="3059"/>
      <c r="M5998" s="3059"/>
      <c r="N5998" s="3059"/>
      <c r="O5998" s="3059"/>
      <c r="P5998" s="3059"/>
      <c r="Q5998" s="3059"/>
      <c r="R5998" s="3059"/>
      <c r="S5998" s="3059"/>
      <c r="T5998" s="3059"/>
      <c r="U5998" s="3059"/>
      <c r="V5998" s="3059"/>
      <c r="W5998" s="3059"/>
      <c r="X5998" s="3059"/>
      <c r="Y5998" s="3059"/>
      <c r="Z5998" s="3059"/>
      <c r="AA5998" s="3084"/>
    </row>
    <row r="5999" spans="1:27" x14ac:dyDescent="0.2">
      <c r="A5999" s="3077"/>
      <c r="B5999" s="3070"/>
      <c r="C5999" s="3085" t="s">
        <v>3612</v>
      </c>
      <c r="D5999" s="3086"/>
      <c r="E5999" s="3086"/>
      <c r="F5999" s="3086"/>
      <c r="G5999" s="3086"/>
      <c r="H5999" s="3086"/>
      <c r="I5999" s="3086"/>
      <c r="J5999" s="3086"/>
      <c r="K5999" s="3086"/>
      <c r="L5999" s="3086"/>
      <c r="M5999" s="3086"/>
      <c r="N5999" s="3086"/>
      <c r="O5999" s="3086"/>
      <c r="P5999" s="3086"/>
      <c r="Q5999" s="3086"/>
      <c r="R5999" s="3086"/>
      <c r="S5999" s="3086"/>
      <c r="T5999" s="3086"/>
      <c r="U5999" s="3086"/>
      <c r="V5999" s="3086"/>
      <c r="W5999" s="3086"/>
      <c r="X5999" s="3086"/>
      <c r="Y5999" s="3086"/>
      <c r="Z5999" s="3086"/>
      <c r="AA5999" s="3087"/>
    </row>
    <row r="6000" spans="1:27" ht="25.5" x14ac:dyDescent="0.25">
      <c r="A6000" s="3077"/>
      <c r="B6000" s="2066" t="s">
        <v>8</v>
      </c>
      <c r="C6000" s="1980" t="s">
        <v>3613</v>
      </c>
      <c r="D6000" s="701"/>
      <c r="E6000" s="701"/>
      <c r="F6000" s="701"/>
      <c r="G6000" s="701"/>
      <c r="H6000" s="701"/>
      <c r="I6000" s="701"/>
      <c r="J6000" s="2015"/>
      <c r="K6000" s="2015"/>
      <c r="L6000" s="2015"/>
      <c r="M6000" s="2015"/>
      <c r="N6000" s="701"/>
      <c r="O6000" s="701"/>
      <c r="P6000" s="2015"/>
      <c r="Q6000" s="2015"/>
      <c r="R6000" s="2015"/>
      <c r="S6000" s="2015"/>
      <c r="T6000" s="2015"/>
      <c r="U6000" s="2015"/>
      <c r="V6000" s="2015"/>
      <c r="W6000" s="2016"/>
      <c r="X6000" s="2016"/>
      <c r="Y6000" s="2016"/>
      <c r="Z6000" s="702"/>
      <c r="AA6000" s="703"/>
    </row>
    <row r="6001" spans="1:27" ht="22.5" x14ac:dyDescent="0.2">
      <c r="A6001" s="3088" t="s">
        <v>256</v>
      </c>
      <c r="B6001" s="1855" t="s">
        <v>11</v>
      </c>
      <c r="C6001" s="1996" t="s">
        <v>238</v>
      </c>
      <c r="D6001" s="1260"/>
      <c r="E6001" s="1260"/>
      <c r="F6001" s="1260"/>
      <c r="G6001" s="1260"/>
      <c r="H6001" s="1260"/>
      <c r="I6001" s="1260"/>
      <c r="J6001" s="1995"/>
      <c r="K6001" s="1995"/>
      <c r="L6001" s="1995"/>
      <c r="M6001" s="1995"/>
      <c r="N6001" s="1260"/>
      <c r="O6001" s="1260"/>
      <c r="P6001" s="1995"/>
      <c r="Q6001" s="1995"/>
      <c r="R6001" s="1995"/>
      <c r="S6001" s="1995"/>
      <c r="T6001" s="1995"/>
      <c r="U6001" s="1995"/>
      <c r="V6001" s="1995"/>
      <c r="W6001" s="1995"/>
      <c r="X6001" s="1995"/>
      <c r="Y6001" s="1995"/>
      <c r="Z6001" s="1260"/>
      <c r="AA6001" s="1997"/>
    </row>
    <row r="6002" spans="1:27" ht="15" x14ac:dyDescent="0.2">
      <c r="A6002" s="3089"/>
      <c r="B6002" s="3092" t="s">
        <v>13</v>
      </c>
      <c r="C6002" s="3093">
        <v>9001</v>
      </c>
      <c r="D6002" s="3058" t="s">
        <v>14</v>
      </c>
      <c r="E6002" s="3059"/>
      <c r="F6002" s="3059"/>
      <c r="G6002" s="3059"/>
      <c r="H6002" s="3059"/>
      <c r="I6002" s="3059"/>
      <c r="J6002" s="3059"/>
      <c r="K6002" s="3059"/>
      <c r="L6002" s="3059"/>
      <c r="M6002" s="3059"/>
      <c r="N6002" s="3059"/>
      <c r="O6002" s="3059"/>
      <c r="P6002" s="3059"/>
      <c r="Q6002" s="1998"/>
      <c r="R6002" s="1998"/>
      <c r="S6002" s="1998"/>
      <c r="T6002" s="1998"/>
      <c r="U6002" s="1999"/>
      <c r="V6002" s="2694" t="s">
        <v>15</v>
      </c>
      <c r="W6002" s="2695"/>
      <c r="X6002" s="2695"/>
      <c r="Y6002" s="2696"/>
      <c r="Z6002" s="2694" t="s">
        <v>16</v>
      </c>
      <c r="AA6002" s="2696"/>
    </row>
    <row r="6003" spans="1:27" ht="15" x14ac:dyDescent="0.2">
      <c r="A6003" s="3089"/>
      <c r="B6003" s="3092"/>
      <c r="C6003" s="3094"/>
      <c r="D6003" s="3095"/>
      <c r="E6003" s="3096"/>
      <c r="F6003" s="3096"/>
      <c r="G6003" s="3096"/>
      <c r="H6003" s="3096"/>
      <c r="I6003" s="3096"/>
      <c r="J6003" s="3096"/>
      <c r="K6003" s="3096"/>
      <c r="L6003" s="3096"/>
      <c r="M6003" s="3096"/>
      <c r="N6003" s="3096"/>
      <c r="O6003" s="3096"/>
      <c r="P6003" s="3096"/>
      <c r="Q6003" s="2000"/>
      <c r="R6003" s="2000"/>
      <c r="S6003" s="2000"/>
      <c r="T6003" s="2000"/>
      <c r="U6003" s="2001"/>
      <c r="V6003" s="3097" t="s">
        <v>19</v>
      </c>
      <c r="W6003" s="3098"/>
      <c r="X6003" s="3098"/>
      <c r="Y6003" s="3099"/>
      <c r="Z6003" s="2694"/>
      <c r="AA6003" s="2696"/>
    </row>
    <row r="6004" spans="1:27" x14ac:dyDescent="0.2">
      <c r="A6004" s="3089"/>
      <c r="B6004" s="3092" t="s">
        <v>18</v>
      </c>
      <c r="C6004" s="3100">
        <v>3999999</v>
      </c>
      <c r="D6004" s="3102" t="s">
        <v>3614</v>
      </c>
      <c r="E6004" s="3103"/>
      <c r="F6004" s="3103"/>
      <c r="G6004" s="3103"/>
      <c r="H6004" s="3103"/>
      <c r="I6004" s="3103"/>
      <c r="J6004" s="3103"/>
      <c r="K6004" s="3103"/>
      <c r="L6004" s="3103"/>
      <c r="M6004" s="3103"/>
      <c r="N6004" s="3103"/>
      <c r="O6004" s="3103"/>
      <c r="P6004" s="3103"/>
      <c r="Q6004" s="1986"/>
      <c r="R6004" s="1986"/>
      <c r="S6004" s="1986"/>
      <c r="T6004" s="1986"/>
      <c r="U6004" s="1992"/>
      <c r="V6004" s="2694" t="s">
        <v>15</v>
      </c>
      <c r="W6004" s="2695"/>
      <c r="X6004" s="2695"/>
      <c r="Y6004" s="2696"/>
      <c r="Z6004" s="3106" t="s">
        <v>16</v>
      </c>
      <c r="AA6004" s="3106"/>
    </row>
    <row r="6005" spans="1:27" x14ac:dyDescent="0.2">
      <c r="A6005" s="3089"/>
      <c r="B6005" s="3092"/>
      <c r="C6005" s="3101"/>
      <c r="D6005" s="3104"/>
      <c r="E6005" s="3105"/>
      <c r="F6005" s="3105"/>
      <c r="G6005" s="3105"/>
      <c r="H6005" s="3105"/>
      <c r="I6005" s="3105"/>
      <c r="J6005" s="3105"/>
      <c r="K6005" s="3105"/>
      <c r="L6005" s="3105"/>
      <c r="M6005" s="3105"/>
      <c r="N6005" s="3105"/>
      <c r="O6005" s="3105"/>
      <c r="P6005" s="3105"/>
      <c r="Q6005" s="1987"/>
      <c r="R6005" s="1987"/>
      <c r="S6005" s="1987"/>
      <c r="T6005" s="1987"/>
      <c r="U6005" s="1370"/>
      <c r="V6005" s="3097" t="s">
        <v>19</v>
      </c>
      <c r="W6005" s="3098"/>
      <c r="X6005" s="3098"/>
      <c r="Y6005" s="3099"/>
      <c r="Z6005" s="3106"/>
      <c r="AA6005" s="3106"/>
    </row>
    <row r="6006" spans="1:27" x14ac:dyDescent="0.2">
      <c r="A6006" s="3089"/>
      <c r="B6006" s="3092" t="s">
        <v>20</v>
      </c>
      <c r="C6006" s="3106" t="s">
        <v>21</v>
      </c>
      <c r="D6006" s="3106" t="s">
        <v>22</v>
      </c>
      <c r="E6006" s="3106" t="s">
        <v>23</v>
      </c>
      <c r="F6006" s="3106" t="s">
        <v>24</v>
      </c>
      <c r="G6006" s="3106" t="s">
        <v>25</v>
      </c>
      <c r="H6006" s="3106" t="s">
        <v>26</v>
      </c>
      <c r="I6006" s="3106" t="s">
        <v>27</v>
      </c>
      <c r="J6006" s="3108" t="s">
        <v>28</v>
      </c>
      <c r="K6006" s="3109"/>
      <c r="L6006" s="3106" t="s">
        <v>29</v>
      </c>
      <c r="M6006" s="3108" t="s">
        <v>30</v>
      </c>
      <c r="N6006" s="3109"/>
      <c r="O6006" s="3112" t="s">
        <v>31</v>
      </c>
      <c r="P6006" s="3113"/>
      <c r="Q6006" s="3113"/>
      <c r="R6006" s="3113"/>
      <c r="S6006" s="3113"/>
      <c r="T6006" s="3113"/>
      <c r="U6006" s="3113"/>
      <c r="V6006" s="3113"/>
      <c r="W6006" s="3113"/>
      <c r="X6006" s="3113"/>
      <c r="Y6006" s="3113"/>
      <c r="Z6006" s="3114"/>
      <c r="AA6006" s="3115" t="s">
        <v>32</v>
      </c>
    </row>
    <row r="6007" spans="1:27" x14ac:dyDescent="0.2">
      <c r="A6007" s="3089"/>
      <c r="B6007" s="3107"/>
      <c r="C6007" s="3068"/>
      <c r="D6007" s="3068"/>
      <c r="E6007" s="3068"/>
      <c r="F6007" s="3068"/>
      <c r="G6007" s="3068"/>
      <c r="H6007" s="3068"/>
      <c r="I6007" s="3068"/>
      <c r="J6007" s="1856" t="s">
        <v>33</v>
      </c>
      <c r="K6007" s="1856" t="s">
        <v>34</v>
      </c>
      <c r="L6007" s="3068"/>
      <c r="M6007" s="3110"/>
      <c r="N6007" s="3111"/>
      <c r="O6007" s="2002" t="s">
        <v>35</v>
      </c>
      <c r="P6007" s="2002" t="s">
        <v>36</v>
      </c>
      <c r="Q6007" s="2002" t="s">
        <v>37</v>
      </c>
      <c r="R6007" s="2002" t="s">
        <v>38</v>
      </c>
      <c r="S6007" s="2002" t="s">
        <v>39</v>
      </c>
      <c r="T6007" s="2002" t="s">
        <v>40</v>
      </c>
      <c r="U6007" s="2002" t="s">
        <v>41</v>
      </c>
      <c r="V6007" s="2002" t="s">
        <v>42</v>
      </c>
      <c r="W6007" s="2002" t="s">
        <v>43</v>
      </c>
      <c r="X6007" s="2002" t="s">
        <v>44</v>
      </c>
      <c r="Y6007" s="2002" t="s">
        <v>45</v>
      </c>
      <c r="Z6007" s="2002" t="s">
        <v>46</v>
      </c>
      <c r="AA6007" s="3116"/>
    </row>
    <row r="6008" spans="1:27" x14ac:dyDescent="0.2">
      <c r="A6008" s="3090"/>
      <c r="B6008" s="3050"/>
      <c r="C6008" s="3117" t="s">
        <v>3615</v>
      </c>
      <c r="D6008" s="3120" t="s">
        <v>3616</v>
      </c>
      <c r="E6008" s="3123"/>
      <c r="F6008" s="3123"/>
      <c r="G6008" s="3123"/>
      <c r="H6008" s="3126"/>
      <c r="I6008" s="3126"/>
      <c r="J6008" s="3129"/>
      <c r="K6008" s="2747">
        <v>55034</v>
      </c>
      <c r="L6008" s="3134"/>
      <c r="M6008" s="3058" t="s">
        <v>51</v>
      </c>
      <c r="N6008" s="3059"/>
      <c r="O6008" s="575"/>
      <c r="P6008" s="1844"/>
      <c r="Q6008" s="1844">
        <v>0</v>
      </c>
      <c r="R6008" s="1844"/>
      <c r="S6008" s="1844"/>
      <c r="T6008" s="1844">
        <v>0</v>
      </c>
      <c r="U6008" s="1844"/>
      <c r="V6008" s="1844">
        <v>1</v>
      </c>
      <c r="W6008" s="1844">
        <v>1</v>
      </c>
      <c r="X6008" s="1844">
        <v>1</v>
      </c>
      <c r="Y6008" s="1844"/>
      <c r="Z6008" s="575"/>
      <c r="AA6008" s="1993">
        <v>3</v>
      </c>
    </row>
    <row r="6009" spans="1:27" ht="15" x14ac:dyDescent="0.2">
      <c r="A6009" s="3090"/>
      <c r="B6009" s="3050"/>
      <c r="C6009" s="3118"/>
      <c r="D6009" s="3121"/>
      <c r="E6009" s="3124"/>
      <c r="F6009" s="3124"/>
      <c r="G6009" s="3124"/>
      <c r="H6009" s="3127"/>
      <c r="I6009" s="3127"/>
      <c r="J6009" s="3130"/>
      <c r="K6009" s="3132"/>
      <c r="L6009" s="3130"/>
      <c r="M6009" s="2627" t="s">
        <v>1340</v>
      </c>
      <c r="N6009" s="2627"/>
      <c r="O6009" s="1853">
        <v>3125</v>
      </c>
      <c r="P6009" s="1853">
        <v>5975</v>
      </c>
      <c r="Q6009" s="1853">
        <v>10463</v>
      </c>
      <c r="R6009" s="1853">
        <v>4925</v>
      </c>
      <c r="S6009" s="1853">
        <v>4566</v>
      </c>
      <c r="T6009" s="1853">
        <v>4400</v>
      </c>
      <c r="U6009" s="1853">
        <v>3655</v>
      </c>
      <c r="V6009" s="1853">
        <v>3975</v>
      </c>
      <c r="W6009" s="1853">
        <v>3275</v>
      </c>
      <c r="X6009" s="1853">
        <v>3975</v>
      </c>
      <c r="Y6009" s="1853">
        <v>3275</v>
      </c>
      <c r="Z6009" s="1853">
        <v>3425</v>
      </c>
      <c r="AA6009" s="2008">
        <v>55034</v>
      </c>
    </row>
    <row r="6010" spans="1:27" x14ac:dyDescent="0.2">
      <c r="A6010" s="3090"/>
      <c r="B6010" s="3050"/>
      <c r="C6010" s="3118"/>
      <c r="D6010" s="3121"/>
      <c r="E6010" s="3124"/>
      <c r="F6010" s="3124"/>
      <c r="G6010" s="3124"/>
      <c r="H6010" s="3127"/>
      <c r="I6010" s="3127"/>
      <c r="J6010" s="3130"/>
      <c r="K6010" s="3132"/>
      <c r="L6010" s="3130"/>
      <c r="M6010" s="1852" t="s">
        <v>1970</v>
      </c>
      <c r="N6010" s="1852" t="s">
        <v>2061</v>
      </c>
      <c r="O6010" s="2005"/>
      <c r="P6010" s="2005"/>
      <c r="Q6010" s="2005">
        <v>500</v>
      </c>
      <c r="R6010" s="2005"/>
      <c r="S6010" s="2005"/>
      <c r="T6010" s="2005"/>
      <c r="U6010" s="2005"/>
      <c r="V6010" s="2005"/>
      <c r="W6010" s="2005"/>
      <c r="X6010" s="2005"/>
      <c r="Y6010" s="2005"/>
      <c r="Z6010" s="2005"/>
      <c r="AA6010" s="2009">
        <v>500</v>
      </c>
    </row>
    <row r="6011" spans="1:27" x14ac:dyDescent="0.2">
      <c r="A6011" s="3090"/>
      <c r="B6011" s="3050"/>
      <c r="C6011" s="3118"/>
      <c r="D6011" s="3121"/>
      <c r="E6011" s="3124"/>
      <c r="F6011" s="3124"/>
      <c r="G6011" s="3124"/>
      <c r="H6011" s="3127"/>
      <c r="I6011" s="3127"/>
      <c r="J6011" s="3130"/>
      <c r="K6011" s="3132"/>
      <c r="L6011" s="3130"/>
      <c r="M6011" s="1836" t="s">
        <v>3617</v>
      </c>
      <c r="N6011" s="1835" t="s">
        <v>3618</v>
      </c>
      <c r="O6011" s="2005">
        <v>0</v>
      </c>
      <c r="P6011" s="2005">
        <v>50</v>
      </c>
      <c r="Q6011" s="2005">
        <v>1448</v>
      </c>
      <c r="R6011" s="2005">
        <v>50</v>
      </c>
      <c r="S6011" s="2005">
        <v>50</v>
      </c>
      <c r="T6011" s="2005">
        <v>50</v>
      </c>
      <c r="U6011" s="2005">
        <v>50</v>
      </c>
      <c r="V6011" s="2005">
        <v>350</v>
      </c>
      <c r="W6011" s="2005">
        <v>50</v>
      </c>
      <c r="X6011" s="2005">
        <v>350</v>
      </c>
      <c r="Y6011" s="2005">
        <v>50</v>
      </c>
      <c r="Z6011" s="482">
        <v>0</v>
      </c>
      <c r="AA6011" s="2009">
        <v>2498</v>
      </c>
    </row>
    <row r="6012" spans="1:27" x14ac:dyDescent="0.2">
      <c r="A6012" s="3090"/>
      <c r="B6012" s="3050"/>
      <c r="C6012" s="3118"/>
      <c r="D6012" s="3121"/>
      <c r="E6012" s="3124"/>
      <c r="F6012" s="3124"/>
      <c r="G6012" s="3124"/>
      <c r="H6012" s="3127"/>
      <c r="I6012" s="3127"/>
      <c r="J6012" s="3130"/>
      <c r="K6012" s="3132"/>
      <c r="L6012" s="3130"/>
      <c r="M6012" s="1852" t="s">
        <v>1454</v>
      </c>
      <c r="N6012" s="1835" t="s">
        <v>1478</v>
      </c>
      <c r="O6012" s="2005">
        <v>0</v>
      </c>
      <c r="P6012" s="2005">
        <v>1300</v>
      </c>
      <c r="Q6012" s="2005">
        <v>2750</v>
      </c>
      <c r="R6012" s="2005">
        <v>750</v>
      </c>
      <c r="S6012" s="2005">
        <v>100</v>
      </c>
      <c r="T6012" s="2005">
        <v>100</v>
      </c>
      <c r="U6012" s="2005">
        <v>180</v>
      </c>
      <c r="V6012" s="2005">
        <v>500</v>
      </c>
      <c r="W6012" s="2005">
        <v>100</v>
      </c>
      <c r="X6012" s="2005">
        <v>500</v>
      </c>
      <c r="Y6012" s="2005">
        <v>100</v>
      </c>
      <c r="Z6012" s="2005">
        <v>0</v>
      </c>
      <c r="AA6012" s="2009">
        <v>6380</v>
      </c>
    </row>
    <row r="6013" spans="1:27" ht="22.5" x14ac:dyDescent="0.2">
      <c r="A6013" s="3090"/>
      <c r="B6013" s="3050"/>
      <c r="C6013" s="3118"/>
      <c r="D6013" s="3121"/>
      <c r="E6013" s="3124"/>
      <c r="F6013" s="3124"/>
      <c r="G6013" s="3124"/>
      <c r="H6013" s="3127"/>
      <c r="I6013" s="3127"/>
      <c r="J6013" s="3130"/>
      <c r="K6013" s="3132"/>
      <c r="L6013" s="3130"/>
      <c r="M6013" s="1835" t="s">
        <v>208</v>
      </c>
      <c r="N6013" s="1835" t="s">
        <v>3619</v>
      </c>
      <c r="O6013" s="2005">
        <v>125</v>
      </c>
      <c r="P6013" s="2005">
        <v>125</v>
      </c>
      <c r="Q6013" s="2005">
        <v>125</v>
      </c>
      <c r="R6013" s="2005">
        <v>125</v>
      </c>
      <c r="S6013" s="2005">
        <v>125</v>
      </c>
      <c r="T6013" s="2005">
        <v>125</v>
      </c>
      <c r="U6013" s="2005">
        <v>125</v>
      </c>
      <c r="V6013" s="2005">
        <v>125</v>
      </c>
      <c r="W6013" s="2005">
        <v>125</v>
      </c>
      <c r="X6013" s="2005">
        <v>125</v>
      </c>
      <c r="Y6013" s="2005">
        <v>125</v>
      </c>
      <c r="Z6013" s="2005">
        <v>125</v>
      </c>
      <c r="AA6013" s="2009">
        <v>1500</v>
      </c>
    </row>
    <row r="6014" spans="1:27" ht="22.5" x14ac:dyDescent="0.2">
      <c r="A6014" s="3090"/>
      <c r="B6014" s="3050"/>
      <c r="C6014" s="3118"/>
      <c r="D6014" s="3121"/>
      <c r="E6014" s="3124"/>
      <c r="F6014" s="3124"/>
      <c r="G6014" s="3124"/>
      <c r="H6014" s="3127"/>
      <c r="I6014" s="3127"/>
      <c r="J6014" s="3130"/>
      <c r="K6014" s="3132"/>
      <c r="L6014" s="3130"/>
      <c r="M6014" s="1835" t="s">
        <v>3620</v>
      </c>
      <c r="N6014" s="1835" t="s">
        <v>3621</v>
      </c>
      <c r="O6014" s="2005">
        <v>0</v>
      </c>
      <c r="P6014" s="2005">
        <v>0</v>
      </c>
      <c r="Q6014" s="2005">
        <v>0</v>
      </c>
      <c r="R6014" s="2005">
        <v>0</v>
      </c>
      <c r="S6014" s="2005">
        <v>291</v>
      </c>
      <c r="T6014" s="2005">
        <v>0</v>
      </c>
      <c r="U6014" s="2005">
        <v>0</v>
      </c>
      <c r="V6014" s="2005">
        <v>0</v>
      </c>
      <c r="W6014" s="2005">
        <v>0</v>
      </c>
      <c r="X6014" s="2005">
        <v>0</v>
      </c>
      <c r="Y6014" s="2005">
        <v>0</v>
      </c>
      <c r="Z6014" s="2005">
        <v>0</v>
      </c>
      <c r="AA6014" s="2009">
        <v>291</v>
      </c>
    </row>
    <row r="6015" spans="1:27" x14ac:dyDescent="0.2">
      <c r="A6015" s="3090"/>
      <c r="B6015" s="3050"/>
      <c r="C6015" s="3118"/>
      <c r="D6015" s="3121"/>
      <c r="E6015" s="3124"/>
      <c r="F6015" s="3124"/>
      <c r="G6015" s="3124"/>
      <c r="H6015" s="3127"/>
      <c r="I6015" s="3127"/>
      <c r="J6015" s="3130"/>
      <c r="K6015" s="3132"/>
      <c r="L6015" s="3130"/>
      <c r="M6015" s="1835" t="s">
        <v>194</v>
      </c>
      <c r="N6015" s="1835" t="s">
        <v>3622</v>
      </c>
      <c r="O6015" s="2005">
        <v>0</v>
      </c>
      <c r="P6015" s="2005">
        <v>0</v>
      </c>
      <c r="Q6015" s="2005">
        <v>640</v>
      </c>
      <c r="R6015" s="2005">
        <v>500</v>
      </c>
      <c r="S6015" s="2005">
        <v>500</v>
      </c>
      <c r="T6015" s="2005">
        <v>625</v>
      </c>
      <c r="U6015" s="2005">
        <v>0</v>
      </c>
      <c r="V6015" s="2005">
        <v>0</v>
      </c>
      <c r="W6015" s="2005">
        <v>0</v>
      </c>
      <c r="X6015" s="2005">
        <v>0</v>
      </c>
      <c r="Y6015" s="2005">
        <v>0</v>
      </c>
      <c r="Z6015" s="2005">
        <v>0</v>
      </c>
      <c r="AA6015" s="2009">
        <v>2265</v>
      </c>
    </row>
    <row r="6016" spans="1:27" x14ac:dyDescent="0.2">
      <c r="A6016" s="3090"/>
      <c r="B6016" s="3050"/>
      <c r="C6016" s="3118"/>
      <c r="D6016" s="3121"/>
      <c r="E6016" s="3124"/>
      <c r="F6016" s="3124"/>
      <c r="G6016" s="3124"/>
      <c r="H6016" s="3127"/>
      <c r="I6016" s="3127"/>
      <c r="J6016" s="3130"/>
      <c r="K6016" s="3132"/>
      <c r="L6016" s="3130"/>
      <c r="M6016" s="1835" t="s">
        <v>184</v>
      </c>
      <c r="N6016" s="1835" t="s">
        <v>3623</v>
      </c>
      <c r="O6016" s="2005">
        <v>0</v>
      </c>
      <c r="P6016" s="2005">
        <v>500</v>
      </c>
      <c r="Q6016" s="2005">
        <v>1000</v>
      </c>
      <c r="R6016" s="2005">
        <v>0</v>
      </c>
      <c r="S6016" s="2005">
        <v>0</v>
      </c>
      <c r="T6016" s="2005">
        <v>0</v>
      </c>
      <c r="U6016" s="2005">
        <v>0</v>
      </c>
      <c r="V6016" s="2005">
        <v>0</v>
      </c>
      <c r="W6016" s="2005">
        <v>0</v>
      </c>
      <c r="X6016" s="2005">
        <v>0</v>
      </c>
      <c r="Y6016" s="2005">
        <v>0</v>
      </c>
      <c r="Z6016" s="2005">
        <v>0</v>
      </c>
      <c r="AA6016" s="2009">
        <v>1500</v>
      </c>
    </row>
    <row r="6017" spans="1:27" ht="33.75" x14ac:dyDescent="0.2">
      <c r="A6017" s="3090"/>
      <c r="B6017" s="3050"/>
      <c r="C6017" s="3118"/>
      <c r="D6017" s="3121"/>
      <c r="E6017" s="3124"/>
      <c r="F6017" s="3124"/>
      <c r="G6017" s="3124"/>
      <c r="H6017" s="3127"/>
      <c r="I6017" s="3127"/>
      <c r="J6017" s="3130"/>
      <c r="K6017" s="3132"/>
      <c r="L6017" s="3130"/>
      <c r="M6017" s="1835" t="s">
        <v>208</v>
      </c>
      <c r="N6017" s="1835" t="s">
        <v>3624</v>
      </c>
      <c r="O6017" s="2005">
        <v>3000</v>
      </c>
      <c r="P6017" s="2005">
        <v>3000</v>
      </c>
      <c r="Q6017" s="2005">
        <v>3000</v>
      </c>
      <c r="R6017" s="2005">
        <v>3000</v>
      </c>
      <c r="S6017" s="2005">
        <v>3000</v>
      </c>
      <c r="T6017" s="2005">
        <v>3000</v>
      </c>
      <c r="U6017" s="2005">
        <v>3300</v>
      </c>
      <c r="V6017" s="2005">
        <v>3000</v>
      </c>
      <c r="W6017" s="2005">
        <v>3000</v>
      </c>
      <c r="X6017" s="2005">
        <v>3000</v>
      </c>
      <c r="Y6017" s="2005">
        <v>3000</v>
      </c>
      <c r="Z6017" s="2005">
        <v>3300</v>
      </c>
      <c r="AA6017" s="2009">
        <v>36600</v>
      </c>
    </row>
    <row r="6018" spans="1:27" ht="22.5" x14ac:dyDescent="0.2">
      <c r="A6018" s="3090"/>
      <c r="B6018" s="3050"/>
      <c r="C6018" s="3118"/>
      <c r="D6018" s="3121"/>
      <c r="E6018" s="3124"/>
      <c r="F6018" s="3124"/>
      <c r="G6018" s="3124"/>
      <c r="H6018" s="3127"/>
      <c r="I6018" s="3127"/>
      <c r="J6018" s="3130"/>
      <c r="K6018" s="3132"/>
      <c r="L6018" s="3130"/>
      <c r="M6018" s="1835" t="s">
        <v>182</v>
      </c>
      <c r="N6018" s="1835" t="s">
        <v>3625</v>
      </c>
      <c r="O6018" s="2005">
        <v>0</v>
      </c>
      <c r="P6018" s="2005">
        <v>1000</v>
      </c>
      <c r="Q6018" s="2005">
        <v>0</v>
      </c>
      <c r="R6018" s="2005">
        <v>0</v>
      </c>
      <c r="S6018" s="2005">
        <v>0</v>
      </c>
      <c r="T6018" s="2005">
        <v>0</v>
      </c>
      <c r="U6018" s="2005">
        <v>0</v>
      </c>
      <c r="V6018" s="2005">
        <v>0</v>
      </c>
      <c r="W6018" s="2005">
        <v>0</v>
      </c>
      <c r="X6018" s="2005">
        <v>0</v>
      </c>
      <c r="Y6018" s="2005">
        <v>0</v>
      </c>
      <c r="Z6018" s="2005">
        <v>0</v>
      </c>
      <c r="AA6018" s="2009">
        <v>1000</v>
      </c>
    </row>
    <row r="6019" spans="1:27" ht="22.5" x14ac:dyDescent="0.2">
      <c r="A6019" s="3090"/>
      <c r="B6019" s="3050"/>
      <c r="C6019" s="3118"/>
      <c r="D6019" s="3121"/>
      <c r="E6019" s="3124"/>
      <c r="F6019" s="3124"/>
      <c r="G6019" s="3124"/>
      <c r="H6019" s="3127"/>
      <c r="I6019" s="3127"/>
      <c r="J6019" s="3130"/>
      <c r="K6019" s="3132"/>
      <c r="L6019" s="3130"/>
      <c r="M6019" s="1835" t="s">
        <v>180</v>
      </c>
      <c r="N6019" s="1835" t="s">
        <v>1463</v>
      </c>
      <c r="O6019" s="2005">
        <v>0</v>
      </c>
      <c r="P6019" s="2005">
        <v>0</v>
      </c>
      <c r="Q6019" s="2005">
        <v>500</v>
      </c>
      <c r="R6019" s="2005">
        <v>500</v>
      </c>
      <c r="S6019" s="2005">
        <v>500</v>
      </c>
      <c r="T6019" s="2005">
        <v>500</v>
      </c>
      <c r="U6019" s="2005">
        <v>0</v>
      </c>
      <c r="V6019" s="2005">
        <v>0</v>
      </c>
      <c r="W6019" s="2005">
        <v>0</v>
      </c>
      <c r="X6019" s="2005">
        <v>0</v>
      </c>
      <c r="Y6019" s="2005">
        <v>0</v>
      </c>
      <c r="Z6019" s="2005">
        <v>0</v>
      </c>
      <c r="AA6019" s="2009">
        <v>2000</v>
      </c>
    </row>
    <row r="6020" spans="1:27" ht="22.5" x14ac:dyDescent="0.2">
      <c r="A6020" s="3090"/>
      <c r="B6020" s="3050"/>
      <c r="C6020" s="3118"/>
      <c r="D6020" s="3121"/>
      <c r="E6020" s="3124"/>
      <c r="F6020" s="3124"/>
      <c r="G6020" s="3124"/>
      <c r="H6020" s="3127"/>
      <c r="I6020" s="3127"/>
      <c r="J6020" s="3130"/>
      <c r="K6020" s="3132"/>
      <c r="L6020" s="3130"/>
      <c r="M6020" s="1852" t="s">
        <v>3626</v>
      </c>
      <c r="N6020" s="1835" t="s">
        <v>3627</v>
      </c>
      <c r="O6020" s="2005"/>
      <c r="P6020" s="2005"/>
      <c r="Q6020" s="2005">
        <v>500</v>
      </c>
      <c r="R6020" s="2005"/>
      <c r="S6020" s="2005"/>
      <c r="T6020" s="2005"/>
      <c r="U6020" s="2005"/>
      <c r="V6020" s="2005"/>
      <c r="W6020" s="2005"/>
      <c r="X6020" s="2005"/>
      <c r="Y6020" s="2005"/>
      <c r="Z6020" s="2005"/>
      <c r="AA6020" s="2009">
        <v>500</v>
      </c>
    </row>
    <row r="6021" spans="1:27" ht="22.5" x14ac:dyDescent="0.2">
      <c r="A6021" s="3090"/>
      <c r="B6021" s="3050"/>
      <c r="C6021" s="3119"/>
      <c r="D6021" s="3122"/>
      <c r="E6021" s="3125"/>
      <c r="F6021" s="3125"/>
      <c r="G6021" s="3125"/>
      <c r="H6021" s="3128"/>
      <c r="I6021" s="3128"/>
      <c r="J6021" s="3131"/>
      <c r="K6021" s="3133"/>
      <c r="L6021" s="3131"/>
      <c r="M6021" s="1852" t="s">
        <v>3628</v>
      </c>
      <c r="N6021" s="1852" t="s">
        <v>3629</v>
      </c>
      <c r="O6021" s="1854">
        <v>0</v>
      </c>
      <c r="P6021" s="1854">
        <v>0</v>
      </c>
      <c r="Q6021" s="1854">
        <v>0</v>
      </c>
      <c r="R6021" s="1854">
        <v>0</v>
      </c>
      <c r="S6021" s="1854">
        <v>0</v>
      </c>
      <c r="T6021" s="1854">
        <v>0</v>
      </c>
      <c r="U6021" s="1854">
        <v>0</v>
      </c>
      <c r="V6021" s="1854">
        <v>0</v>
      </c>
      <c r="W6021" s="1854">
        <v>0</v>
      </c>
      <c r="X6021" s="1854">
        <v>0</v>
      </c>
      <c r="Y6021" s="1854">
        <v>0</v>
      </c>
      <c r="Z6021" s="1854">
        <v>0</v>
      </c>
      <c r="AA6021" s="2009">
        <v>0</v>
      </c>
    </row>
    <row r="6022" spans="1:27" x14ac:dyDescent="0.2">
      <c r="A6022" s="3090"/>
      <c r="B6022" s="3060">
        <v>5000003</v>
      </c>
      <c r="C6022" s="3050" t="s">
        <v>3630</v>
      </c>
      <c r="D6022" s="3050" t="s">
        <v>3616</v>
      </c>
      <c r="E6022" s="3050">
        <v>10</v>
      </c>
      <c r="F6022" s="3063" t="s">
        <v>1967</v>
      </c>
      <c r="G6022" s="3063" t="s">
        <v>1968</v>
      </c>
      <c r="H6022" s="3050" t="s">
        <v>3631</v>
      </c>
      <c r="I6022" s="3050" t="s">
        <v>3632</v>
      </c>
      <c r="J6022" s="3064">
        <v>1</v>
      </c>
      <c r="K6022" s="3064">
        <v>0</v>
      </c>
      <c r="L6022" s="3050" t="s">
        <v>3633</v>
      </c>
      <c r="M6022" s="2627" t="s">
        <v>51</v>
      </c>
      <c r="N6022" s="2627"/>
      <c r="O6022" s="1853"/>
      <c r="P6022" s="1853"/>
      <c r="Q6022" s="1853"/>
      <c r="R6022" s="1853">
        <v>1</v>
      </c>
      <c r="S6022" s="1853"/>
      <c r="T6022" s="1853"/>
      <c r="U6022" s="1853"/>
      <c r="V6022" s="1853"/>
      <c r="W6022" s="1853"/>
      <c r="X6022" s="1853"/>
      <c r="Y6022" s="1853"/>
      <c r="Z6022" s="1853"/>
      <c r="AA6022" s="373">
        <v>1</v>
      </c>
    </row>
    <row r="6023" spans="1:27" x14ac:dyDescent="0.2">
      <c r="A6023" s="3090"/>
      <c r="B6023" s="3061"/>
      <c r="C6023" s="3050"/>
      <c r="D6023" s="3050"/>
      <c r="E6023" s="3050"/>
      <c r="F6023" s="3063"/>
      <c r="G6023" s="3063"/>
      <c r="H6023" s="3050"/>
      <c r="I6023" s="3050"/>
      <c r="J6023" s="3064"/>
      <c r="K6023" s="3064"/>
      <c r="L6023" s="3050"/>
      <c r="M6023" s="2627" t="s">
        <v>1340</v>
      </c>
      <c r="N6023" s="2627"/>
      <c r="O6023" s="1853"/>
      <c r="P6023" s="1853"/>
      <c r="Q6023" s="1853"/>
      <c r="R6023" s="1853">
        <v>0</v>
      </c>
      <c r="S6023" s="1853"/>
      <c r="T6023" s="1853"/>
      <c r="U6023" s="1853"/>
      <c r="V6023" s="1853"/>
      <c r="W6023" s="1853"/>
      <c r="X6023" s="1853"/>
      <c r="Y6023" s="1853"/>
      <c r="Z6023" s="1853"/>
      <c r="AA6023" s="373">
        <v>0</v>
      </c>
    </row>
    <row r="6024" spans="1:27" x14ac:dyDescent="0.2">
      <c r="A6024" s="3090"/>
      <c r="B6024" s="3062"/>
      <c r="C6024" s="3050"/>
      <c r="D6024" s="3050"/>
      <c r="E6024" s="3050"/>
      <c r="F6024" s="3063"/>
      <c r="G6024" s="3063"/>
      <c r="H6024" s="3050"/>
      <c r="I6024" s="3050"/>
      <c r="J6024" s="3064"/>
      <c r="K6024" s="3064"/>
      <c r="L6024" s="3050"/>
      <c r="M6024" s="1852" t="s">
        <v>1454</v>
      </c>
      <c r="N6024" s="1852" t="s">
        <v>1455</v>
      </c>
      <c r="O6024" s="1847"/>
      <c r="P6024" s="1847"/>
      <c r="Q6024" s="1847"/>
      <c r="R6024" s="1847">
        <v>0</v>
      </c>
      <c r="S6024" s="1847"/>
      <c r="T6024" s="1847"/>
      <c r="U6024" s="1847"/>
      <c r="V6024" s="1847"/>
      <c r="W6024" s="1847"/>
      <c r="X6024" s="1847"/>
      <c r="Y6024" s="1847"/>
      <c r="Z6024" s="1847"/>
      <c r="AA6024" s="373"/>
    </row>
    <row r="6025" spans="1:27" x14ac:dyDescent="0.2">
      <c r="A6025" s="3090"/>
      <c r="B6025" s="3050"/>
      <c r="C6025" s="3050" t="s">
        <v>3634</v>
      </c>
      <c r="D6025" s="3050" t="s">
        <v>3616</v>
      </c>
      <c r="E6025" s="3050"/>
      <c r="F6025" s="3063"/>
      <c r="G6025" s="3063"/>
      <c r="H6025" s="3050" t="s">
        <v>3635</v>
      </c>
      <c r="I6025" s="3050" t="s">
        <v>3636</v>
      </c>
      <c r="J6025" s="3064">
        <v>12</v>
      </c>
      <c r="K6025" s="3064">
        <v>38100</v>
      </c>
      <c r="L6025" s="3050" t="s">
        <v>3637</v>
      </c>
      <c r="M6025" s="2627" t="s">
        <v>51</v>
      </c>
      <c r="N6025" s="2627"/>
      <c r="O6025" s="1853">
        <v>1</v>
      </c>
      <c r="P6025" s="1853">
        <v>1</v>
      </c>
      <c r="Q6025" s="1853">
        <v>1</v>
      </c>
      <c r="R6025" s="1853">
        <v>1</v>
      </c>
      <c r="S6025" s="1853">
        <v>1</v>
      </c>
      <c r="T6025" s="1853">
        <v>1</v>
      </c>
      <c r="U6025" s="1853">
        <v>1</v>
      </c>
      <c r="V6025" s="1853">
        <v>1</v>
      </c>
      <c r="W6025" s="1853">
        <v>1</v>
      </c>
      <c r="X6025" s="1853">
        <v>1</v>
      </c>
      <c r="Y6025" s="1853">
        <v>1</v>
      </c>
      <c r="Z6025" s="1853">
        <v>1</v>
      </c>
      <c r="AA6025" s="373">
        <v>12</v>
      </c>
    </row>
    <row r="6026" spans="1:27" x14ac:dyDescent="0.2">
      <c r="A6026" s="3090"/>
      <c r="B6026" s="3050"/>
      <c r="C6026" s="3050"/>
      <c r="D6026" s="3050"/>
      <c r="E6026" s="3050"/>
      <c r="F6026" s="3063"/>
      <c r="G6026" s="3063"/>
      <c r="H6026" s="3050"/>
      <c r="I6026" s="3050"/>
      <c r="J6026" s="3064"/>
      <c r="K6026" s="3064"/>
      <c r="L6026" s="3050"/>
      <c r="M6026" s="2627" t="s">
        <v>1340</v>
      </c>
      <c r="N6026" s="2627"/>
      <c r="O6026" s="1853">
        <v>3125</v>
      </c>
      <c r="P6026" s="1853">
        <v>3125</v>
      </c>
      <c r="Q6026" s="1853">
        <v>3125</v>
      </c>
      <c r="R6026" s="1853">
        <v>3125</v>
      </c>
      <c r="S6026" s="1853">
        <v>3125</v>
      </c>
      <c r="T6026" s="1853">
        <v>3125</v>
      </c>
      <c r="U6026" s="1853">
        <v>3425</v>
      </c>
      <c r="V6026" s="1853">
        <v>3125</v>
      </c>
      <c r="W6026" s="1853">
        <v>3125</v>
      </c>
      <c r="X6026" s="1853">
        <v>3125</v>
      </c>
      <c r="Y6026" s="1853">
        <v>3125</v>
      </c>
      <c r="Z6026" s="1853">
        <v>3425</v>
      </c>
      <c r="AA6026" s="373">
        <v>38100</v>
      </c>
    </row>
    <row r="6027" spans="1:27" ht="33.75" x14ac:dyDescent="0.2">
      <c r="A6027" s="3090"/>
      <c r="B6027" s="3050"/>
      <c r="C6027" s="3050"/>
      <c r="D6027" s="3050"/>
      <c r="E6027" s="3050"/>
      <c r="F6027" s="3063"/>
      <c r="G6027" s="3063"/>
      <c r="H6027" s="3050"/>
      <c r="I6027" s="3050"/>
      <c r="J6027" s="3064"/>
      <c r="K6027" s="3064"/>
      <c r="L6027" s="3050"/>
      <c r="M6027" s="1852" t="s">
        <v>3638</v>
      </c>
      <c r="N6027" s="1852" t="s">
        <v>3639</v>
      </c>
      <c r="O6027" s="1847">
        <v>3000</v>
      </c>
      <c r="P6027" s="1847">
        <v>3000</v>
      </c>
      <c r="Q6027" s="1847">
        <v>3000</v>
      </c>
      <c r="R6027" s="1847">
        <v>3000</v>
      </c>
      <c r="S6027" s="1847">
        <v>3000</v>
      </c>
      <c r="T6027" s="1847">
        <v>3000</v>
      </c>
      <c r="U6027" s="1847">
        <v>3300</v>
      </c>
      <c r="V6027" s="1847">
        <v>3000</v>
      </c>
      <c r="W6027" s="1847">
        <v>3000</v>
      </c>
      <c r="X6027" s="1847">
        <v>3000</v>
      </c>
      <c r="Y6027" s="1847">
        <v>3000</v>
      </c>
      <c r="Z6027" s="1847">
        <v>3300</v>
      </c>
      <c r="AA6027" s="373"/>
    </row>
    <row r="6028" spans="1:27" ht="22.5" x14ac:dyDescent="0.2">
      <c r="A6028" s="3090"/>
      <c r="B6028" s="3050"/>
      <c r="C6028" s="3050"/>
      <c r="D6028" s="3050"/>
      <c r="E6028" s="3050"/>
      <c r="F6028" s="3063"/>
      <c r="G6028" s="3063"/>
      <c r="H6028" s="3050"/>
      <c r="I6028" s="3050"/>
      <c r="J6028" s="3064"/>
      <c r="K6028" s="3064"/>
      <c r="L6028" s="3050"/>
      <c r="M6028" s="1852" t="s">
        <v>3640</v>
      </c>
      <c r="N6028" s="1852" t="s">
        <v>3641</v>
      </c>
      <c r="O6028" s="1847">
        <v>125</v>
      </c>
      <c r="P6028" s="1847">
        <v>125</v>
      </c>
      <c r="Q6028" s="1847">
        <v>125</v>
      </c>
      <c r="R6028" s="1847">
        <v>125</v>
      </c>
      <c r="S6028" s="1847">
        <v>125</v>
      </c>
      <c r="T6028" s="1847">
        <v>125</v>
      </c>
      <c r="U6028" s="1847">
        <v>125</v>
      </c>
      <c r="V6028" s="1847">
        <v>125</v>
      </c>
      <c r="W6028" s="1847">
        <v>125</v>
      </c>
      <c r="X6028" s="1847">
        <v>125</v>
      </c>
      <c r="Y6028" s="1847">
        <v>125</v>
      </c>
      <c r="Z6028" s="1847">
        <v>125</v>
      </c>
      <c r="AA6028" s="373"/>
    </row>
    <row r="6029" spans="1:27" x14ac:dyDescent="0.2">
      <c r="A6029" s="3090"/>
      <c r="B6029" s="3050"/>
      <c r="C6029" s="3050" t="s">
        <v>3642</v>
      </c>
      <c r="D6029" s="3050" t="s">
        <v>3616</v>
      </c>
      <c r="E6029" s="3050"/>
      <c r="F6029" s="3050"/>
      <c r="G6029" s="3050"/>
      <c r="H6029" s="3050" t="s">
        <v>3643</v>
      </c>
      <c r="I6029" s="3050" t="s">
        <v>2096</v>
      </c>
      <c r="J6029" s="3064">
        <v>3</v>
      </c>
      <c r="K6029" s="3064">
        <v>845</v>
      </c>
      <c r="L6029" s="3050" t="s">
        <v>3637</v>
      </c>
      <c r="M6029" s="2627" t="s">
        <v>51</v>
      </c>
      <c r="N6029" s="2627"/>
      <c r="O6029" s="1853"/>
      <c r="P6029" s="1853"/>
      <c r="Q6029" s="1853">
        <v>1</v>
      </c>
      <c r="R6029" s="1853"/>
      <c r="S6029" s="1853"/>
      <c r="T6029" s="1853">
        <v>1</v>
      </c>
      <c r="U6029" s="1853">
        <v>1</v>
      </c>
      <c r="V6029" s="1853"/>
      <c r="W6029" s="1853"/>
      <c r="X6029" s="1853"/>
      <c r="Y6029" s="1853"/>
      <c r="Z6029" s="1853"/>
      <c r="AA6029" s="373">
        <v>3</v>
      </c>
    </row>
    <row r="6030" spans="1:27" x14ac:dyDescent="0.2">
      <c r="A6030" s="3090"/>
      <c r="B6030" s="3050"/>
      <c r="C6030" s="3050"/>
      <c r="D6030" s="3050"/>
      <c r="E6030" s="3050"/>
      <c r="F6030" s="3050"/>
      <c r="G6030" s="3050"/>
      <c r="H6030" s="3050"/>
      <c r="I6030" s="3050"/>
      <c r="J6030" s="3064"/>
      <c r="K6030" s="3064"/>
      <c r="L6030" s="3050"/>
      <c r="M6030" s="2627" t="s">
        <v>1340</v>
      </c>
      <c r="N6030" s="2627"/>
      <c r="O6030" s="1853"/>
      <c r="P6030" s="1853"/>
      <c r="Q6030" s="1853">
        <v>640</v>
      </c>
      <c r="R6030" s="1853"/>
      <c r="S6030" s="1853"/>
      <c r="T6030" s="1853">
        <v>125</v>
      </c>
      <c r="U6030" s="1853">
        <v>80</v>
      </c>
      <c r="V6030" s="1853"/>
      <c r="W6030" s="1853"/>
      <c r="X6030" s="1853"/>
      <c r="Y6030" s="1853"/>
      <c r="Z6030" s="1853"/>
      <c r="AA6030" s="373">
        <v>845</v>
      </c>
    </row>
    <row r="6031" spans="1:27" ht="15" x14ac:dyDescent="0.25">
      <c r="A6031" s="3090"/>
      <c r="B6031" s="3050"/>
      <c r="C6031" s="3050"/>
      <c r="D6031" s="3050"/>
      <c r="E6031" s="3050"/>
      <c r="F6031" s="3050"/>
      <c r="G6031" s="3050"/>
      <c r="H6031" s="3050"/>
      <c r="I6031" s="3050"/>
      <c r="J6031" s="3064"/>
      <c r="K6031" s="3064"/>
      <c r="L6031" s="3050"/>
      <c r="M6031" s="1852" t="s">
        <v>3644</v>
      </c>
      <c r="N6031" s="1852" t="s">
        <v>3622</v>
      </c>
      <c r="O6031" s="2006"/>
      <c r="P6031" s="1994"/>
      <c r="Q6031" s="1847">
        <v>140</v>
      </c>
      <c r="R6031" s="1847"/>
      <c r="S6031" s="1847"/>
      <c r="T6031" s="1847">
        <v>125</v>
      </c>
      <c r="U6031" s="1847"/>
      <c r="V6031" s="1994"/>
      <c r="W6031" s="1994"/>
      <c r="X6031" s="1994"/>
      <c r="Y6031" s="1994"/>
      <c r="Z6031" s="2006"/>
      <c r="AA6031" s="373"/>
    </row>
    <row r="6032" spans="1:27" ht="15" x14ac:dyDescent="0.25">
      <c r="A6032" s="3090"/>
      <c r="B6032" s="3050"/>
      <c r="C6032" s="3050"/>
      <c r="D6032" s="3050"/>
      <c r="E6032" s="3050"/>
      <c r="F6032" s="3050"/>
      <c r="G6032" s="3050"/>
      <c r="H6032" s="3050"/>
      <c r="I6032" s="3050"/>
      <c r="J6032" s="3064"/>
      <c r="K6032" s="3064"/>
      <c r="L6032" s="3050"/>
      <c r="M6032" s="1852" t="s">
        <v>1970</v>
      </c>
      <c r="N6032" s="1852" t="s">
        <v>2061</v>
      </c>
      <c r="O6032" s="2006"/>
      <c r="P6032" s="1994"/>
      <c r="Q6032" s="1847">
        <v>500</v>
      </c>
      <c r="R6032" s="1847"/>
      <c r="S6032" s="1847"/>
      <c r="T6032" s="1847"/>
      <c r="U6032" s="1847"/>
      <c r="V6032" s="1994"/>
      <c r="W6032" s="1994"/>
      <c r="X6032" s="1994"/>
      <c r="Y6032" s="1994"/>
      <c r="Z6032" s="2006"/>
      <c r="AA6032" s="373"/>
    </row>
    <row r="6033" spans="1:27" ht="15" x14ac:dyDescent="0.25">
      <c r="A6033" s="3090"/>
      <c r="B6033" s="3050"/>
      <c r="C6033" s="3050"/>
      <c r="D6033" s="3050"/>
      <c r="E6033" s="3050"/>
      <c r="F6033" s="3050"/>
      <c r="G6033" s="3050"/>
      <c r="H6033" s="3050"/>
      <c r="I6033" s="3050"/>
      <c r="J6033" s="3064"/>
      <c r="K6033" s="3064"/>
      <c r="L6033" s="3050"/>
      <c r="M6033" s="1852" t="s">
        <v>1454</v>
      </c>
      <c r="N6033" s="1852" t="s">
        <v>2550</v>
      </c>
      <c r="O6033" s="2006"/>
      <c r="P6033" s="1994"/>
      <c r="Q6033" s="1847"/>
      <c r="R6033" s="1847"/>
      <c r="S6033" s="1847"/>
      <c r="T6033" s="1847"/>
      <c r="U6033" s="1847">
        <v>80</v>
      </c>
      <c r="V6033" s="1994"/>
      <c r="W6033" s="1994"/>
      <c r="X6033" s="1994"/>
      <c r="Y6033" s="1994"/>
      <c r="Z6033" s="2006"/>
      <c r="AA6033" s="373"/>
    </row>
    <row r="6034" spans="1:27" ht="15" x14ac:dyDescent="0.25">
      <c r="A6034" s="3090"/>
      <c r="B6034" s="3050"/>
      <c r="C6034" s="3056" t="s">
        <v>3645</v>
      </c>
      <c r="D6034" s="3050" t="s">
        <v>3616</v>
      </c>
      <c r="E6034" s="3050"/>
      <c r="F6034" s="3050"/>
      <c r="G6034" s="3050"/>
      <c r="H6034" s="3050" t="s">
        <v>3646</v>
      </c>
      <c r="I6034" s="3050" t="s">
        <v>3647</v>
      </c>
      <c r="J6034" s="3053">
        <v>1</v>
      </c>
      <c r="K6034" s="3055">
        <v>2500</v>
      </c>
      <c r="L6034" s="3054" t="s">
        <v>3637</v>
      </c>
      <c r="M6034" s="2627" t="s">
        <v>51</v>
      </c>
      <c r="N6034" s="2627"/>
      <c r="O6034" s="2007"/>
      <c r="P6034" s="1853">
        <v>1</v>
      </c>
      <c r="Q6034" s="1853">
        <v>1</v>
      </c>
      <c r="R6034" s="2004"/>
      <c r="S6034" s="2004"/>
      <c r="T6034" s="2004"/>
      <c r="U6034" s="2004"/>
      <c r="V6034" s="2004"/>
      <c r="W6034" s="2004"/>
      <c r="X6034" s="2004"/>
      <c r="Y6034" s="2004"/>
      <c r="Z6034" s="2007"/>
      <c r="AA6034" s="373">
        <v>2</v>
      </c>
    </row>
    <row r="6035" spans="1:27" ht="15" x14ac:dyDescent="0.25">
      <c r="A6035" s="3090"/>
      <c r="B6035" s="3050"/>
      <c r="C6035" s="3056"/>
      <c r="D6035" s="3050"/>
      <c r="E6035" s="3050"/>
      <c r="F6035" s="3050"/>
      <c r="G6035" s="3050"/>
      <c r="H6035" s="3050"/>
      <c r="I6035" s="3050"/>
      <c r="J6035" s="3054"/>
      <c r="K6035" s="3056"/>
      <c r="L6035" s="3054"/>
      <c r="M6035" s="2627" t="s">
        <v>1340</v>
      </c>
      <c r="N6035" s="2627"/>
      <c r="O6035" s="2007"/>
      <c r="P6035" s="1853">
        <v>2500</v>
      </c>
      <c r="Q6035" s="1853"/>
      <c r="R6035" s="2004"/>
      <c r="S6035" s="2004"/>
      <c r="T6035" s="2004"/>
      <c r="U6035" s="2004"/>
      <c r="V6035" s="2004"/>
      <c r="W6035" s="2004"/>
      <c r="X6035" s="2004"/>
      <c r="Y6035" s="2004"/>
      <c r="Z6035" s="2007"/>
      <c r="AA6035" s="373">
        <v>2500</v>
      </c>
    </row>
    <row r="6036" spans="1:27" ht="15" x14ac:dyDescent="0.25">
      <c r="A6036" s="3090"/>
      <c r="B6036" s="3050"/>
      <c r="C6036" s="3056"/>
      <c r="D6036" s="3050"/>
      <c r="E6036" s="3050"/>
      <c r="F6036" s="3050"/>
      <c r="G6036" s="3050"/>
      <c r="H6036" s="3050"/>
      <c r="I6036" s="3050"/>
      <c r="J6036" s="3054"/>
      <c r="K6036" s="3056"/>
      <c r="L6036" s="3054"/>
      <c r="M6036" s="1852" t="s">
        <v>1454</v>
      </c>
      <c r="N6036" s="1852" t="s">
        <v>1478</v>
      </c>
      <c r="O6036" s="2006"/>
      <c r="P6036" s="1847">
        <v>1000</v>
      </c>
      <c r="Q6036" s="1847"/>
      <c r="R6036" s="1994"/>
      <c r="S6036" s="1994"/>
      <c r="T6036" s="1994"/>
      <c r="U6036" s="1994"/>
      <c r="V6036" s="1994"/>
      <c r="W6036" s="1994"/>
      <c r="X6036" s="1994"/>
      <c r="Y6036" s="1994"/>
      <c r="Z6036" s="2006"/>
      <c r="AA6036" s="373"/>
    </row>
    <row r="6037" spans="1:27" ht="15" x14ac:dyDescent="0.25">
      <c r="A6037" s="3090"/>
      <c r="B6037" s="3050"/>
      <c r="C6037" s="3056"/>
      <c r="D6037" s="3050"/>
      <c r="E6037" s="3050"/>
      <c r="F6037" s="3050"/>
      <c r="G6037" s="3050"/>
      <c r="H6037" s="3050"/>
      <c r="I6037" s="3050"/>
      <c r="J6037" s="3054"/>
      <c r="K6037" s="3056"/>
      <c r="L6037" s="3054"/>
      <c r="M6037" s="1852" t="s">
        <v>184</v>
      </c>
      <c r="N6037" s="1852" t="s">
        <v>3648</v>
      </c>
      <c r="O6037" s="2006"/>
      <c r="P6037" s="1847">
        <v>500</v>
      </c>
      <c r="Q6037" s="1847"/>
      <c r="R6037" s="1994"/>
      <c r="S6037" s="1994"/>
      <c r="T6037" s="1994"/>
      <c r="U6037" s="1994"/>
      <c r="V6037" s="1994"/>
      <c r="W6037" s="1994"/>
      <c r="X6037" s="1994"/>
      <c r="Y6037" s="1994"/>
      <c r="Z6037" s="2006"/>
      <c r="AA6037" s="373"/>
    </row>
    <row r="6038" spans="1:27" ht="22.5" x14ac:dyDescent="0.25">
      <c r="A6038" s="3090"/>
      <c r="B6038" s="3050"/>
      <c r="C6038" s="3056"/>
      <c r="D6038" s="3050"/>
      <c r="E6038" s="3050"/>
      <c r="F6038" s="3050"/>
      <c r="G6038" s="3050"/>
      <c r="H6038" s="3050"/>
      <c r="I6038" s="3050"/>
      <c r="J6038" s="3054"/>
      <c r="K6038" s="3056"/>
      <c r="L6038" s="3054"/>
      <c r="M6038" s="1852" t="s">
        <v>1973</v>
      </c>
      <c r="N6038" s="1852" t="s">
        <v>183</v>
      </c>
      <c r="O6038" s="2006"/>
      <c r="P6038" s="1847">
        <v>1000</v>
      </c>
      <c r="Q6038" s="1847"/>
      <c r="R6038" s="1994"/>
      <c r="S6038" s="1994"/>
      <c r="T6038" s="1994"/>
      <c r="U6038" s="1994"/>
      <c r="V6038" s="1994"/>
      <c r="W6038" s="1994"/>
      <c r="X6038" s="1994"/>
      <c r="Y6038" s="1994"/>
      <c r="Z6038" s="2006"/>
      <c r="AA6038" s="373"/>
    </row>
    <row r="6039" spans="1:27" ht="15" x14ac:dyDescent="0.25">
      <c r="A6039" s="3090"/>
      <c r="B6039" s="3050"/>
      <c r="C6039" s="3056" t="s">
        <v>3649</v>
      </c>
      <c r="D6039" s="3050" t="s">
        <v>3616</v>
      </c>
      <c r="E6039" s="3050"/>
      <c r="F6039" s="3050"/>
      <c r="G6039" s="3050"/>
      <c r="H6039" s="3050" t="s">
        <v>3650</v>
      </c>
      <c r="I6039" s="3050" t="s">
        <v>2096</v>
      </c>
      <c r="J6039" s="3053">
        <v>1</v>
      </c>
      <c r="K6039" s="3055">
        <v>500</v>
      </c>
      <c r="L6039" s="3054" t="s">
        <v>3637</v>
      </c>
      <c r="M6039" s="3057" t="s">
        <v>51</v>
      </c>
      <c r="N6039" s="3057"/>
      <c r="O6039" s="2006"/>
      <c r="P6039" s="1847"/>
      <c r="Q6039" s="1994"/>
      <c r="R6039" s="1994">
        <v>1</v>
      </c>
      <c r="S6039" s="1994"/>
      <c r="T6039" s="1994"/>
      <c r="U6039" s="1994"/>
      <c r="V6039" s="1994"/>
      <c r="W6039" s="1994"/>
      <c r="X6039" s="1994"/>
      <c r="Y6039" s="1994"/>
      <c r="Z6039" s="2006"/>
      <c r="AA6039" s="373">
        <v>1</v>
      </c>
    </row>
    <row r="6040" spans="1:27" ht="15" x14ac:dyDescent="0.25">
      <c r="A6040" s="3090"/>
      <c r="B6040" s="3050"/>
      <c r="C6040" s="3056"/>
      <c r="D6040" s="3050"/>
      <c r="E6040" s="3050"/>
      <c r="F6040" s="3050"/>
      <c r="G6040" s="3050"/>
      <c r="H6040" s="3050"/>
      <c r="I6040" s="3050"/>
      <c r="J6040" s="3054"/>
      <c r="K6040" s="3056"/>
      <c r="L6040" s="3054"/>
      <c r="M6040" s="3057" t="s">
        <v>1340</v>
      </c>
      <c r="N6040" s="3057"/>
      <c r="O6040" s="2006"/>
      <c r="P6040" s="1847">
        <v>200</v>
      </c>
      <c r="Q6040" s="1994">
        <v>150</v>
      </c>
      <c r="R6040" s="1994">
        <v>150</v>
      </c>
      <c r="S6040" s="1994"/>
      <c r="T6040" s="1994"/>
      <c r="U6040" s="1994"/>
      <c r="V6040" s="1994"/>
      <c r="W6040" s="1994"/>
      <c r="X6040" s="1994"/>
      <c r="Y6040" s="1994"/>
      <c r="Z6040" s="2006"/>
      <c r="AA6040" s="373">
        <v>500</v>
      </c>
    </row>
    <row r="6041" spans="1:27" ht="15" x14ac:dyDescent="0.25">
      <c r="A6041" s="3090"/>
      <c r="B6041" s="3050"/>
      <c r="C6041" s="3056"/>
      <c r="D6041" s="3050"/>
      <c r="E6041" s="3050"/>
      <c r="F6041" s="3050"/>
      <c r="G6041" s="3050"/>
      <c r="H6041" s="3050"/>
      <c r="I6041" s="3050"/>
      <c r="J6041" s="3054"/>
      <c r="K6041" s="3056"/>
      <c r="L6041" s="3054"/>
      <c r="M6041" s="1852" t="s">
        <v>1454</v>
      </c>
      <c r="N6041" s="1852" t="s">
        <v>2550</v>
      </c>
      <c r="O6041" s="2006"/>
      <c r="P6041" s="1847">
        <v>200</v>
      </c>
      <c r="Q6041" s="1994">
        <v>150</v>
      </c>
      <c r="R6041" s="1994">
        <v>150</v>
      </c>
      <c r="S6041" s="1994"/>
      <c r="T6041" s="1994"/>
      <c r="U6041" s="1994"/>
      <c r="V6041" s="1994"/>
      <c r="W6041" s="1994"/>
      <c r="X6041" s="1994"/>
      <c r="Y6041" s="1994"/>
      <c r="Z6041" s="2006"/>
      <c r="AA6041" s="373"/>
    </row>
    <row r="6042" spans="1:27" ht="15" x14ac:dyDescent="0.25">
      <c r="A6042" s="3090"/>
      <c r="B6042" s="3050"/>
      <c r="C6042" s="3056" t="s">
        <v>3651</v>
      </c>
      <c r="D6042" s="3056" t="s">
        <v>3616</v>
      </c>
      <c r="E6042" s="3052"/>
      <c r="F6042" s="3052"/>
      <c r="G6042" s="3052"/>
      <c r="H6042" s="3050" t="s">
        <v>3652</v>
      </c>
      <c r="I6042" s="3050" t="s">
        <v>3653</v>
      </c>
      <c r="J6042" s="3053">
        <v>8</v>
      </c>
      <c r="K6042" s="3055">
        <v>2500</v>
      </c>
      <c r="L6042" s="3054" t="s">
        <v>3637</v>
      </c>
      <c r="M6042" s="2627" t="s">
        <v>51</v>
      </c>
      <c r="N6042" s="2627"/>
      <c r="O6042" s="2007"/>
      <c r="P6042" s="1853">
        <v>1</v>
      </c>
      <c r="Q6042" s="1853">
        <v>1</v>
      </c>
      <c r="R6042" s="1853">
        <v>1</v>
      </c>
      <c r="S6042" s="1853">
        <v>1</v>
      </c>
      <c r="T6042" s="1853">
        <v>1</v>
      </c>
      <c r="U6042" s="1853">
        <v>1</v>
      </c>
      <c r="V6042" s="1853">
        <v>1</v>
      </c>
      <c r="W6042" s="1853">
        <v>1</v>
      </c>
      <c r="X6042" s="1853">
        <v>1</v>
      </c>
      <c r="Y6042" s="1853">
        <v>1</v>
      </c>
      <c r="Z6042" s="1853"/>
      <c r="AA6042" s="373">
        <v>10</v>
      </c>
    </row>
    <row r="6043" spans="1:27" ht="15" x14ac:dyDescent="0.25">
      <c r="A6043" s="3090"/>
      <c r="B6043" s="3050"/>
      <c r="C6043" s="3056"/>
      <c r="D6043" s="3056"/>
      <c r="E6043" s="3052"/>
      <c r="F6043" s="3052"/>
      <c r="G6043" s="3052"/>
      <c r="H6043" s="3050"/>
      <c r="I6043" s="3050"/>
      <c r="J6043" s="3054"/>
      <c r="K6043" s="3056"/>
      <c r="L6043" s="3054"/>
      <c r="M6043" s="2627" t="s">
        <v>1340</v>
      </c>
      <c r="N6043" s="2627"/>
      <c r="O6043" s="2007"/>
      <c r="P6043" s="1853">
        <v>150</v>
      </c>
      <c r="Q6043" s="1853">
        <v>1150</v>
      </c>
      <c r="R6043" s="1853">
        <v>150</v>
      </c>
      <c r="S6043" s="1853">
        <v>150</v>
      </c>
      <c r="T6043" s="1853">
        <v>150</v>
      </c>
      <c r="U6043" s="1853">
        <v>150</v>
      </c>
      <c r="V6043" s="1853">
        <v>150</v>
      </c>
      <c r="W6043" s="1853">
        <v>150</v>
      </c>
      <c r="X6043" s="1853">
        <v>150</v>
      </c>
      <c r="Y6043" s="1853">
        <v>150</v>
      </c>
      <c r="Z6043" s="1853"/>
      <c r="AA6043" s="373">
        <v>2500</v>
      </c>
    </row>
    <row r="6044" spans="1:27" ht="15" x14ac:dyDescent="0.25">
      <c r="A6044" s="3090"/>
      <c r="B6044" s="3050"/>
      <c r="C6044" s="3056"/>
      <c r="D6044" s="3056"/>
      <c r="E6044" s="3052"/>
      <c r="F6044" s="3052"/>
      <c r="G6044" s="3052"/>
      <c r="H6044" s="3050"/>
      <c r="I6044" s="3050"/>
      <c r="J6044" s="3054"/>
      <c r="K6044" s="3056"/>
      <c r="L6044" s="3054"/>
      <c r="M6044" s="1852" t="s">
        <v>1974</v>
      </c>
      <c r="N6044" s="1852" t="s">
        <v>3648</v>
      </c>
      <c r="O6044" s="2006"/>
      <c r="P6044" s="1847"/>
      <c r="Q6044" s="1847">
        <v>1000</v>
      </c>
      <c r="R6044" s="1847"/>
      <c r="S6044" s="1847"/>
      <c r="T6044" s="1847"/>
      <c r="U6044" s="1847"/>
      <c r="V6044" s="1847"/>
      <c r="W6044" s="1847"/>
      <c r="X6044" s="1847"/>
      <c r="Y6044" s="1847"/>
      <c r="Z6044" s="1847"/>
      <c r="AA6044" s="373"/>
    </row>
    <row r="6045" spans="1:27" x14ac:dyDescent="0.2">
      <c r="A6045" s="3090"/>
      <c r="B6045" s="3050"/>
      <c r="C6045" s="3056"/>
      <c r="D6045" s="3056"/>
      <c r="E6045" s="3052"/>
      <c r="F6045" s="3052"/>
      <c r="G6045" s="3052"/>
      <c r="H6045" s="3050"/>
      <c r="I6045" s="3050"/>
      <c r="J6045" s="3054"/>
      <c r="K6045" s="3056"/>
      <c r="L6045" s="3054"/>
      <c r="M6045" s="1852" t="s">
        <v>3617</v>
      </c>
      <c r="N6045" s="1852" t="s">
        <v>3654</v>
      </c>
      <c r="O6045" s="1847"/>
      <c r="P6045" s="1847">
        <v>50</v>
      </c>
      <c r="Q6045" s="1847">
        <v>50</v>
      </c>
      <c r="R6045" s="1847">
        <v>50</v>
      </c>
      <c r="S6045" s="1847">
        <v>50</v>
      </c>
      <c r="T6045" s="1847">
        <v>50</v>
      </c>
      <c r="U6045" s="1847">
        <v>50</v>
      </c>
      <c r="V6045" s="1847">
        <v>50</v>
      </c>
      <c r="W6045" s="1847">
        <v>50</v>
      </c>
      <c r="X6045" s="1847">
        <v>50</v>
      </c>
      <c r="Y6045" s="1847">
        <v>50</v>
      </c>
      <c r="Z6045" s="1847"/>
      <c r="AA6045" s="373"/>
    </row>
    <row r="6046" spans="1:27" x14ac:dyDescent="0.2">
      <c r="A6046" s="3090"/>
      <c r="B6046" s="3050"/>
      <c r="C6046" s="3056"/>
      <c r="D6046" s="3056"/>
      <c r="E6046" s="3052"/>
      <c r="F6046" s="3052"/>
      <c r="G6046" s="3052"/>
      <c r="H6046" s="3050"/>
      <c r="I6046" s="3050"/>
      <c r="J6046" s="3054"/>
      <c r="K6046" s="3056"/>
      <c r="L6046" s="3054"/>
      <c r="M6046" s="1852" t="s">
        <v>194</v>
      </c>
      <c r="N6046" s="1852" t="s">
        <v>3622</v>
      </c>
      <c r="O6046" s="1847"/>
      <c r="P6046" s="1847"/>
      <c r="Q6046" s="1847"/>
      <c r="R6046" s="1847"/>
      <c r="S6046" s="1847"/>
      <c r="T6046" s="1847"/>
      <c r="U6046" s="1847"/>
      <c r="V6046" s="1847"/>
      <c r="W6046" s="1847"/>
      <c r="X6046" s="1847"/>
      <c r="Y6046" s="1847"/>
      <c r="Z6046" s="1847"/>
      <c r="AA6046" s="373"/>
    </row>
    <row r="6047" spans="1:27" x14ac:dyDescent="0.2">
      <c r="A6047" s="3090"/>
      <c r="B6047" s="3050"/>
      <c r="C6047" s="3056"/>
      <c r="D6047" s="3056"/>
      <c r="E6047" s="3052"/>
      <c r="F6047" s="3052"/>
      <c r="G6047" s="3052"/>
      <c r="H6047" s="3050"/>
      <c r="I6047" s="3050"/>
      <c r="J6047" s="3054"/>
      <c r="K6047" s="3056"/>
      <c r="L6047" s="3054"/>
      <c r="M6047" s="1852" t="s">
        <v>1454</v>
      </c>
      <c r="N6047" s="1852" t="s">
        <v>1478</v>
      </c>
      <c r="O6047" s="1847"/>
      <c r="P6047" s="1847">
        <v>100</v>
      </c>
      <c r="Q6047" s="1847">
        <v>100</v>
      </c>
      <c r="R6047" s="1847">
        <v>100</v>
      </c>
      <c r="S6047" s="1847">
        <v>100</v>
      </c>
      <c r="T6047" s="1847">
        <v>100</v>
      </c>
      <c r="U6047" s="1847">
        <v>100</v>
      </c>
      <c r="V6047" s="1847">
        <v>100</v>
      </c>
      <c r="W6047" s="1847">
        <v>100</v>
      </c>
      <c r="X6047" s="1847">
        <v>100</v>
      </c>
      <c r="Y6047" s="1847">
        <v>100</v>
      </c>
      <c r="Z6047" s="1847"/>
      <c r="AA6047" s="373"/>
    </row>
    <row r="6048" spans="1:27" x14ac:dyDescent="0.2">
      <c r="A6048" s="3090"/>
      <c r="B6048" s="3050"/>
      <c r="C6048" s="3056" t="s">
        <v>3655</v>
      </c>
      <c r="D6048" s="3051" t="s">
        <v>3616</v>
      </c>
      <c r="E6048" s="3052"/>
      <c r="F6048" s="3052"/>
      <c r="G6048" s="3052"/>
      <c r="H6048" s="3050" t="s">
        <v>3656</v>
      </c>
      <c r="I6048" s="3050" t="s">
        <v>1214</v>
      </c>
      <c r="J6048" s="3053">
        <v>2</v>
      </c>
      <c r="K6048" s="3055">
        <v>1400</v>
      </c>
      <c r="L6048" s="3054" t="s">
        <v>3637</v>
      </c>
      <c r="M6048" s="2627" t="s">
        <v>51</v>
      </c>
      <c r="N6048" s="2627"/>
      <c r="O6048" s="630"/>
      <c r="P6048" s="1844"/>
      <c r="Q6048" s="1844">
        <v>0</v>
      </c>
      <c r="R6048" s="1844"/>
      <c r="S6048" s="1844"/>
      <c r="T6048" s="1844">
        <v>0</v>
      </c>
      <c r="U6048" s="1844"/>
      <c r="V6048" s="1844">
        <v>1</v>
      </c>
      <c r="W6048" s="1844">
        <v>1</v>
      </c>
      <c r="X6048" s="1844">
        <v>1</v>
      </c>
      <c r="Y6048" s="1844"/>
      <c r="Z6048" s="630"/>
      <c r="AA6048" s="373">
        <v>3</v>
      </c>
    </row>
    <row r="6049" spans="1:27" x14ac:dyDescent="0.2">
      <c r="A6049" s="3090"/>
      <c r="B6049" s="3050"/>
      <c r="C6049" s="3056"/>
      <c r="D6049" s="3051"/>
      <c r="E6049" s="3052"/>
      <c r="F6049" s="3052"/>
      <c r="G6049" s="3052"/>
      <c r="H6049" s="3050"/>
      <c r="I6049" s="3050"/>
      <c r="J6049" s="3054"/>
      <c r="K6049" s="3056"/>
      <c r="L6049" s="3054"/>
      <c r="M6049" s="2627" t="s">
        <v>1340</v>
      </c>
      <c r="N6049" s="2627"/>
      <c r="O6049" s="630"/>
      <c r="P6049" s="1844"/>
      <c r="Q6049" s="1844">
        <v>0</v>
      </c>
      <c r="R6049" s="1844"/>
      <c r="S6049" s="1844"/>
      <c r="T6049" s="1844">
        <v>0</v>
      </c>
      <c r="U6049" s="1844"/>
      <c r="V6049" s="1844">
        <v>700</v>
      </c>
      <c r="W6049" s="1844">
        <v>0</v>
      </c>
      <c r="X6049" s="1844">
        <v>700</v>
      </c>
      <c r="Y6049" s="1844"/>
      <c r="Z6049" s="630"/>
      <c r="AA6049" s="373">
        <v>1400</v>
      </c>
    </row>
    <row r="6050" spans="1:27" x14ac:dyDescent="0.2">
      <c r="A6050" s="3090"/>
      <c r="B6050" s="3050"/>
      <c r="C6050" s="3056"/>
      <c r="D6050" s="3051"/>
      <c r="E6050" s="3052"/>
      <c r="F6050" s="3052"/>
      <c r="G6050" s="3052"/>
      <c r="H6050" s="3050"/>
      <c r="I6050" s="3050"/>
      <c r="J6050" s="3054"/>
      <c r="K6050" s="3056"/>
      <c r="L6050" s="3054"/>
      <c r="M6050" s="1852" t="s">
        <v>3617</v>
      </c>
      <c r="N6050" s="1852" t="s">
        <v>3618</v>
      </c>
      <c r="O6050" s="1854"/>
      <c r="P6050" s="1849"/>
      <c r="Q6050" s="1849"/>
      <c r="R6050" s="1849"/>
      <c r="S6050" s="1849"/>
      <c r="T6050" s="1849"/>
      <c r="U6050" s="1849"/>
      <c r="V6050" s="1849">
        <v>300</v>
      </c>
      <c r="W6050" s="1849">
        <v>0</v>
      </c>
      <c r="X6050" s="1849">
        <v>300</v>
      </c>
      <c r="Y6050" s="1849"/>
      <c r="Z6050" s="1854"/>
      <c r="AA6050" s="373"/>
    </row>
    <row r="6051" spans="1:27" x14ac:dyDescent="0.2">
      <c r="A6051" s="3090"/>
      <c r="B6051" s="3050"/>
      <c r="C6051" s="3056"/>
      <c r="D6051" s="3051"/>
      <c r="E6051" s="3052"/>
      <c r="F6051" s="3052"/>
      <c r="G6051" s="3052"/>
      <c r="H6051" s="3050"/>
      <c r="I6051" s="3050"/>
      <c r="J6051" s="3054"/>
      <c r="K6051" s="3056"/>
      <c r="L6051" s="3054"/>
      <c r="M6051" s="1852" t="s">
        <v>1454</v>
      </c>
      <c r="N6051" s="1852" t="s">
        <v>1478</v>
      </c>
      <c r="O6051" s="1854"/>
      <c r="P6051" s="1849"/>
      <c r="Q6051" s="1849"/>
      <c r="R6051" s="1849"/>
      <c r="S6051" s="1849"/>
      <c r="T6051" s="1849"/>
      <c r="U6051" s="1849"/>
      <c r="V6051" s="1849">
        <v>400</v>
      </c>
      <c r="W6051" s="1849">
        <v>0</v>
      </c>
      <c r="X6051" s="1849">
        <v>400</v>
      </c>
      <c r="Y6051" s="1849"/>
      <c r="Z6051" s="1854"/>
      <c r="AA6051" s="373"/>
    </row>
    <row r="6052" spans="1:27" ht="22.5" x14ac:dyDescent="0.2">
      <c r="A6052" s="3090"/>
      <c r="B6052" s="3050"/>
      <c r="C6052" s="3056"/>
      <c r="D6052" s="3051"/>
      <c r="E6052" s="3052"/>
      <c r="F6052" s="3052"/>
      <c r="G6052" s="3052"/>
      <c r="H6052" s="3050"/>
      <c r="I6052" s="3050"/>
      <c r="J6052" s="3054"/>
      <c r="K6052" s="3056"/>
      <c r="L6052" s="3054"/>
      <c r="M6052" s="1852" t="s">
        <v>3628</v>
      </c>
      <c r="N6052" s="1852" t="s">
        <v>3629</v>
      </c>
      <c r="O6052" s="1854"/>
      <c r="P6052" s="1849"/>
      <c r="Q6052" s="1849"/>
      <c r="R6052" s="1849"/>
      <c r="S6052" s="1849"/>
      <c r="T6052" s="1849"/>
      <c r="U6052" s="1849"/>
      <c r="V6052" s="1849"/>
      <c r="W6052" s="1849"/>
      <c r="X6052" s="1849"/>
      <c r="Y6052" s="1849"/>
      <c r="Z6052" s="1854"/>
      <c r="AA6052" s="373"/>
    </row>
    <row r="6053" spans="1:27" x14ac:dyDescent="0.2">
      <c r="A6053" s="3090"/>
      <c r="B6053" s="3050"/>
      <c r="C6053" s="3056" t="s">
        <v>3657</v>
      </c>
      <c r="D6053" s="3051" t="s">
        <v>3616</v>
      </c>
      <c r="E6053" s="3052"/>
      <c r="F6053" s="3052"/>
      <c r="G6053" s="3052"/>
      <c r="H6053" s="3050" t="s">
        <v>3658</v>
      </c>
      <c r="I6053" s="3050" t="s">
        <v>3659</v>
      </c>
      <c r="J6053" s="3053">
        <v>2</v>
      </c>
      <c r="K6053" s="3055">
        <v>291</v>
      </c>
      <c r="L6053" s="3054" t="s">
        <v>3637</v>
      </c>
      <c r="M6053" s="2627" t="s">
        <v>51</v>
      </c>
      <c r="N6053" s="2627"/>
      <c r="O6053" s="630"/>
      <c r="P6053" s="1844"/>
      <c r="Q6053" s="1844"/>
      <c r="R6053" s="1844"/>
      <c r="S6053" s="1844">
        <v>2</v>
      </c>
      <c r="T6053" s="1844"/>
      <c r="U6053" s="1844"/>
      <c r="V6053" s="1844"/>
      <c r="W6053" s="1844"/>
      <c r="X6053" s="1844"/>
      <c r="Y6053" s="1844"/>
      <c r="Z6053" s="630"/>
      <c r="AA6053" s="373">
        <v>2</v>
      </c>
    </row>
    <row r="6054" spans="1:27" x14ac:dyDescent="0.2">
      <c r="A6054" s="3090"/>
      <c r="B6054" s="3050"/>
      <c r="C6054" s="3056"/>
      <c r="D6054" s="3051"/>
      <c r="E6054" s="3052"/>
      <c r="F6054" s="3052"/>
      <c r="G6054" s="3052"/>
      <c r="H6054" s="3050"/>
      <c r="I6054" s="3050"/>
      <c r="J6054" s="3054"/>
      <c r="K6054" s="3056"/>
      <c r="L6054" s="3054"/>
      <c r="M6054" s="2627" t="s">
        <v>1340</v>
      </c>
      <c r="N6054" s="2627"/>
      <c r="O6054" s="630"/>
      <c r="P6054" s="1844"/>
      <c r="Q6054" s="1844"/>
      <c r="R6054" s="1844"/>
      <c r="S6054" s="1853">
        <v>291</v>
      </c>
      <c r="T6054" s="1844"/>
      <c r="U6054" s="1844"/>
      <c r="V6054" s="1844"/>
      <c r="W6054" s="1844"/>
      <c r="X6054" s="1844"/>
      <c r="Y6054" s="1844"/>
      <c r="Z6054" s="630"/>
      <c r="AA6054" s="373">
        <v>291</v>
      </c>
    </row>
    <row r="6055" spans="1:27" ht="22.5" x14ac:dyDescent="0.2">
      <c r="A6055" s="3090"/>
      <c r="B6055" s="3050"/>
      <c r="C6055" s="3056"/>
      <c r="D6055" s="3051"/>
      <c r="E6055" s="3052"/>
      <c r="F6055" s="3052"/>
      <c r="G6055" s="3052"/>
      <c r="H6055" s="3050"/>
      <c r="I6055" s="3050"/>
      <c r="J6055" s="3054"/>
      <c r="K6055" s="3056"/>
      <c r="L6055" s="3054"/>
      <c r="M6055" s="1852" t="s">
        <v>3660</v>
      </c>
      <c r="N6055" s="1852" t="s">
        <v>3621</v>
      </c>
      <c r="O6055" s="1854"/>
      <c r="P6055" s="1849"/>
      <c r="Q6055" s="1849"/>
      <c r="R6055" s="1849"/>
      <c r="S6055" s="1849">
        <v>291</v>
      </c>
      <c r="T6055" s="1849"/>
      <c r="U6055" s="1849"/>
      <c r="V6055" s="1849"/>
      <c r="W6055" s="1849"/>
      <c r="X6055" s="1849"/>
      <c r="Y6055" s="1849"/>
      <c r="Z6055" s="1854"/>
      <c r="AA6055" s="373"/>
    </row>
    <row r="6056" spans="1:27" x14ac:dyDescent="0.2">
      <c r="A6056" s="3090"/>
      <c r="B6056" s="3050"/>
      <c r="C6056" s="3056" t="s">
        <v>3661</v>
      </c>
      <c r="D6056" s="3051" t="s">
        <v>3616</v>
      </c>
      <c r="E6056" s="3052"/>
      <c r="F6056" s="3052"/>
      <c r="G6056" s="3052"/>
      <c r="H6056" s="3050" t="s">
        <v>3662</v>
      </c>
      <c r="I6056" s="3050" t="s">
        <v>3663</v>
      </c>
      <c r="J6056" s="3053">
        <v>1</v>
      </c>
      <c r="K6056" s="3055">
        <v>500</v>
      </c>
      <c r="L6056" s="3054" t="s">
        <v>3637</v>
      </c>
      <c r="M6056" s="2627" t="s">
        <v>51</v>
      </c>
      <c r="N6056" s="2627"/>
      <c r="O6056" s="630"/>
      <c r="P6056" s="1844"/>
      <c r="Q6056" s="1844">
        <v>1</v>
      </c>
      <c r="R6056" s="1844"/>
      <c r="S6056" s="1844"/>
      <c r="T6056" s="1844"/>
      <c r="U6056" s="1844"/>
      <c r="V6056" s="1844"/>
      <c r="W6056" s="1844"/>
      <c r="X6056" s="1844"/>
      <c r="Y6056" s="1844"/>
      <c r="Z6056" s="630"/>
      <c r="AA6056" s="373">
        <v>1</v>
      </c>
    </row>
    <row r="6057" spans="1:27" x14ac:dyDescent="0.2">
      <c r="A6057" s="3090"/>
      <c r="B6057" s="3050"/>
      <c r="C6057" s="3056"/>
      <c r="D6057" s="3051"/>
      <c r="E6057" s="3052"/>
      <c r="F6057" s="3052"/>
      <c r="G6057" s="3052"/>
      <c r="H6057" s="3050"/>
      <c r="I6057" s="3050"/>
      <c r="J6057" s="3054"/>
      <c r="K6057" s="3056"/>
      <c r="L6057" s="3054"/>
      <c r="M6057" s="2627" t="s">
        <v>1340</v>
      </c>
      <c r="N6057" s="2627"/>
      <c r="O6057" s="630"/>
      <c r="P6057" s="1844"/>
      <c r="Q6057" s="1844">
        <v>500</v>
      </c>
      <c r="R6057" s="1844"/>
      <c r="S6057" s="1844"/>
      <c r="T6057" s="1844"/>
      <c r="U6057" s="1844"/>
      <c r="V6057" s="1844"/>
      <c r="W6057" s="1844"/>
      <c r="X6057" s="1844"/>
      <c r="Y6057" s="1844"/>
      <c r="Z6057" s="630"/>
      <c r="AA6057" s="373">
        <v>500</v>
      </c>
    </row>
    <row r="6058" spans="1:27" ht="22.5" x14ac:dyDescent="0.2">
      <c r="A6058" s="3090"/>
      <c r="B6058" s="3050"/>
      <c r="C6058" s="3056"/>
      <c r="D6058" s="3051"/>
      <c r="E6058" s="3052"/>
      <c r="F6058" s="3052"/>
      <c r="G6058" s="3052"/>
      <c r="H6058" s="3050"/>
      <c r="I6058" s="3050"/>
      <c r="J6058" s="3054"/>
      <c r="K6058" s="3056"/>
      <c r="L6058" s="3054"/>
      <c r="M6058" s="1852" t="s">
        <v>3626</v>
      </c>
      <c r="N6058" s="1852" t="s">
        <v>3627</v>
      </c>
      <c r="O6058" s="1854"/>
      <c r="P6058" s="1849"/>
      <c r="Q6058" s="1849">
        <v>500</v>
      </c>
      <c r="R6058" s="1849"/>
      <c r="S6058" s="1849"/>
      <c r="T6058" s="1849"/>
      <c r="U6058" s="1849"/>
      <c r="V6058" s="1849"/>
      <c r="W6058" s="1849"/>
      <c r="X6058" s="1849"/>
      <c r="Y6058" s="1849"/>
      <c r="Z6058" s="1854"/>
      <c r="AA6058" s="373"/>
    </row>
    <row r="6059" spans="1:27" x14ac:dyDescent="0.2">
      <c r="A6059" s="3090"/>
      <c r="B6059" s="3050"/>
      <c r="C6059" s="3050" t="s">
        <v>3664</v>
      </c>
      <c r="D6059" s="3051" t="s">
        <v>3616</v>
      </c>
      <c r="E6059" s="3052"/>
      <c r="F6059" s="3052"/>
      <c r="G6059" s="3052"/>
      <c r="H6059" s="3050" t="s">
        <v>3665</v>
      </c>
      <c r="I6059" s="3050" t="s">
        <v>3666</v>
      </c>
      <c r="J6059" s="3053">
        <v>5</v>
      </c>
      <c r="K6059" s="3055">
        <v>4000</v>
      </c>
      <c r="L6059" s="3054" t="s">
        <v>3637</v>
      </c>
      <c r="M6059" s="2627" t="s">
        <v>51</v>
      </c>
      <c r="N6059" s="2627"/>
      <c r="O6059" s="630"/>
      <c r="P6059" s="1844">
        <v>1</v>
      </c>
      <c r="Q6059" s="1844">
        <v>1</v>
      </c>
      <c r="R6059" s="1844">
        <v>1</v>
      </c>
      <c r="S6059" s="1844">
        <v>1</v>
      </c>
      <c r="T6059" s="1844">
        <v>1</v>
      </c>
      <c r="U6059" s="1844"/>
      <c r="V6059" s="1844"/>
      <c r="W6059" s="1844"/>
      <c r="X6059" s="1844"/>
      <c r="Y6059" s="1844"/>
      <c r="Z6059" s="630"/>
      <c r="AA6059" s="373">
        <v>5</v>
      </c>
    </row>
    <row r="6060" spans="1:27" x14ac:dyDescent="0.2">
      <c r="A6060" s="3090"/>
      <c r="B6060" s="3050"/>
      <c r="C6060" s="3050"/>
      <c r="D6060" s="3051"/>
      <c r="E6060" s="3052"/>
      <c r="F6060" s="3052"/>
      <c r="G6060" s="3052"/>
      <c r="H6060" s="3050"/>
      <c r="I6060" s="3050"/>
      <c r="J6060" s="3054"/>
      <c r="K6060" s="3056"/>
      <c r="L6060" s="3054"/>
      <c r="M6060" s="2627" t="s">
        <v>1340</v>
      </c>
      <c r="N6060" s="2627"/>
      <c r="O6060" s="630"/>
      <c r="P6060" s="1844">
        <v>0</v>
      </c>
      <c r="Q6060" s="1844">
        <v>1000</v>
      </c>
      <c r="R6060" s="1844">
        <v>1000</v>
      </c>
      <c r="S6060" s="1844">
        <v>1000</v>
      </c>
      <c r="T6060" s="1844">
        <v>1000</v>
      </c>
      <c r="U6060" s="1844"/>
      <c r="V6060" s="1844"/>
      <c r="W6060" s="1844"/>
      <c r="X6060" s="1844"/>
      <c r="Y6060" s="1844"/>
      <c r="Z6060" s="1844">
        <v>0</v>
      </c>
      <c r="AA6060" s="373">
        <v>4000</v>
      </c>
    </row>
    <row r="6061" spans="1:27" ht="22.5" x14ac:dyDescent="0.2">
      <c r="A6061" s="3090"/>
      <c r="B6061" s="3050"/>
      <c r="C6061" s="3050"/>
      <c r="D6061" s="3051"/>
      <c r="E6061" s="3052"/>
      <c r="F6061" s="3052"/>
      <c r="G6061" s="3052"/>
      <c r="H6061" s="3050"/>
      <c r="I6061" s="3050"/>
      <c r="J6061" s="3054"/>
      <c r="K6061" s="3056"/>
      <c r="L6061" s="3054"/>
      <c r="M6061" s="2003" t="s">
        <v>180</v>
      </c>
      <c r="N6061" s="1852" t="s">
        <v>1463</v>
      </c>
      <c r="O6061" s="1854"/>
      <c r="P6061" s="1849"/>
      <c r="Q6061" s="1849">
        <v>500</v>
      </c>
      <c r="R6061" s="1849">
        <v>500</v>
      </c>
      <c r="S6061" s="1849">
        <v>500</v>
      </c>
      <c r="T6061" s="1849">
        <v>500</v>
      </c>
      <c r="U6061" s="1849"/>
      <c r="V6061" s="1849"/>
      <c r="W6061" s="1849"/>
      <c r="X6061" s="1849"/>
      <c r="Y6061" s="1849"/>
      <c r="Z6061" s="1854"/>
      <c r="AA6061" s="373"/>
    </row>
    <row r="6062" spans="1:27" x14ac:dyDescent="0.2">
      <c r="A6062" s="3090"/>
      <c r="B6062" s="3050"/>
      <c r="C6062" s="3050"/>
      <c r="D6062" s="3051"/>
      <c r="E6062" s="3052"/>
      <c r="F6062" s="3052"/>
      <c r="G6062" s="3052"/>
      <c r="H6062" s="3050"/>
      <c r="I6062" s="3050"/>
      <c r="J6062" s="3054"/>
      <c r="K6062" s="3056"/>
      <c r="L6062" s="3054"/>
      <c r="M6062" s="1852" t="s">
        <v>3667</v>
      </c>
      <c r="N6062" s="1852" t="s">
        <v>3668</v>
      </c>
      <c r="O6062" s="1854"/>
      <c r="P6062" s="1849"/>
      <c r="Q6062" s="1849">
        <v>500</v>
      </c>
      <c r="R6062" s="1849">
        <v>500</v>
      </c>
      <c r="S6062" s="1849">
        <v>500</v>
      </c>
      <c r="T6062" s="1849">
        <v>500</v>
      </c>
      <c r="U6062" s="1849"/>
      <c r="V6062" s="1849"/>
      <c r="W6062" s="1849"/>
      <c r="X6062" s="1849"/>
      <c r="Y6062" s="1849"/>
      <c r="Z6062" s="1854"/>
      <c r="AA6062" s="373"/>
    </row>
    <row r="6063" spans="1:27" x14ac:dyDescent="0.2">
      <c r="A6063" s="3090"/>
      <c r="B6063" s="3050"/>
      <c r="C6063" s="3050" t="s">
        <v>3669</v>
      </c>
      <c r="D6063" s="3051" t="s">
        <v>3616</v>
      </c>
      <c r="E6063" s="3052"/>
      <c r="F6063" s="3052"/>
      <c r="G6063" s="3052"/>
      <c r="H6063" s="3050" t="s">
        <v>3670</v>
      </c>
      <c r="I6063" s="3050" t="s">
        <v>3671</v>
      </c>
      <c r="J6063" s="3053">
        <v>1</v>
      </c>
      <c r="K6063" s="3055">
        <v>1000</v>
      </c>
      <c r="L6063" s="3054" t="s">
        <v>3637</v>
      </c>
      <c r="M6063" s="2627" t="s">
        <v>51</v>
      </c>
      <c r="N6063" s="2627"/>
      <c r="O6063" s="630"/>
      <c r="P6063" s="1844"/>
      <c r="Q6063" s="1844">
        <v>1</v>
      </c>
      <c r="R6063" s="1844"/>
      <c r="S6063" s="1844"/>
      <c r="T6063" s="1844"/>
      <c r="U6063" s="1844"/>
      <c r="V6063" s="1844"/>
      <c r="W6063" s="1844"/>
      <c r="X6063" s="1844"/>
      <c r="Y6063" s="1844"/>
      <c r="Z6063" s="630"/>
      <c r="AA6063" s="373">
        <v>1</v>
      </c>
    </row>
    <row r="6064" spans="1:27" x14ac:dyDescent="0.2">
      <c r="A6064" s="3090"/>
      <c r="B6064" s="3050"/>
      <c r="C6064" s="3050"/>
      <c r="D6064" s="3051"/>
      <c r="E6064" s="3052"/>
      <c r="F6064" s="3052"/>
      <c r="G6064" s="3052"/>
      <c r="H6064" s="3050"/>
      <c r="I6064" s="3050"/>
      <c r="J6064" s="3054"/>
      <c r="K6064" s="3056"/>
      <c r="L6064" s="3054"/>
      <c r="M6064" s="2627" t="s">
        <v>1340</v>
      </c>
      <c r="N6064" s="2627"/>
      <c r="O6064" s="630"/>
      <c r="P6064" s="1844"/>
      <c r="Q6064" s="1844">
        <v>1000</v>
      </c>
      <c r="R6064" s="1844"/>
      <c r="S6064" s="1844"/>
      <c r="T6064" s="1844"/>
      <c r="U6064" s="1844"/>
      <c r="V6064" s="1844"/>
      <c r="W6064" s="1844"/>
      <c r="X6064" s="1844"/>
      <c r="Y6064" s="1844"/>
      <c r="Z6064" s="630"/>
      <c r="AA6064" s="373">
        <v>1000</v>
      </c>
    </row>
    <row r="6065" spans="1:27" x14ac:dyDescent="0.2">
      <c r="A6065" s="3090"/>
      <c r="B6065" s="3050"/>
      <c r="C6065" s="3050"/>
      <c r="D6065" s="3051"/>
      <c r="E6065" s="3052"/>
      <c r="F6065" s="3052"/>
      <c r="G6065" s="3052"/>
      <c r="H6065" s="3050"/>
      <c r="I6065" s="3050"/>
      <c r="J6065" s="3054"/>
      <c r="K6065" s="3056"/>
      <c r="L6065" s="3054"/>
      <c r="M6065" s="1852" t="s">
        <v>3672</v>
      </c>
      <c r="N6065" s="1852" t="s">
        <v>3673</v>
      </c>
      <c r="O6065" s="1854"/>
      <c r="P6065" s="1849"/>
      <c r="Q6065" s="1849">
        <v>500</v>
      </c>
      <c r="R6065" s="1849"/>
      <c r="S6065" s="1849"/>
      <c r="T6065" s="1849"/>
      <c r="U6065" s="1849"/>
      <c r="V6065" s="1849"/>
      <c r="W6065" s="1849"/>
      <c r="X6065" s="1849"/>
      <c r="Y6065" s="1849"/>
      <c r="Z6065" s="1854"/>
      <c r="AA6065" s="373"/>
    </row>
    <row r="6066" spans="1:27" x14ac:dyDescent="0.2">
      <c r="A6066" s="3090"/>
      <c r="B6066" s="3050"/>
      <c r="C6066" s="3050"/>
      <c r="D6066" s="3051"/>
      <c r="E6066" s="3052"/>
      <c r="F6066" s="3052"/>
      <c r="G6066" s="3052"/>
      <c r="H6066" s="3050"/>
      <c r="I6066" s="3050"/>
      <c r="J6066" s="3054"/>
      <c r="K6066" s="3056"/>
      <c r="L6066" s="3054"/>
      <c r="M6066" s="1852" t="s">
        <v>1454</v>
      </c>
      <c r="N6066" s="1852" t="s">
        <v>1455</v>
      </c>
      <c r="O6066" s="1854"/>
      <c r="P6066" s="1849"/>
      <c r="Q6066" s="1849">
        <v>500</v>
      </c>
      <c r="R6066" s="1849"/>
      <c r="S6066" s="1849"/>
      <c r="T6066" s="1849"/>
      <c r="U6066" s="1849"/>
      <c r="V6066" s="1849"/>
      <c r="W6066" s="1849"/>
      <c r="X6066" s="1849"/>
      <c r="Y6066" s="1849"/>
      <c r="Z6066" s="1854"/>
      <c r="AA6066" s="373"/>
    </row>
    <row r="6067" spans="1:27" x14ac:dyDescent="0.2">
      <c r="A6067" s="3090"/>
      <c r="B6067" s="3050"/>
      <c r="C6067" s="3050" t="s">
        <v>3674</v>
      </c>
      <c r="D6067" s="3051" t="s">
        <v>3616</v>
      </c>
      <c r="E6067" s="3052"/>
      <c r="F6067" s="3052"/>
      <c r="G6067" s="3052"/>
      <c r="H6067" s="3050" t="s">
        <v>3675</v>
      </c>
      <c r="I6067" s="3050" t="s">
        <v>3676</v>
      </c>
      <c r="J6067" s="3053">
        <v>2</v>
      </c>
      <c r="K6067" s="3055">
        <v>500</v>
      </c>
      <c r="L6067" s="3054" t="s">
        <v>3637</v>
      </c>
      <c r="M6067" s="2627" t="s">
        <v>51</v>
      </c>
      <c r="N6067" s="2627"/>
      <c r="O6067" s="630"/>
      <c r="P6067" s="1844"/>
      <c r="Q6067" s="1844"/>
      <c r="R6067" s="1844">
        <v>1</v>
      </c>
      <c r="S6067" s="1844"/>
      <c r="T6067" s="1844"/>
      <c r="U6067" s="1844"/>
      <c r="V6067" s="1844"/>
      <c r="W6067" s="1844"/>
      <c r="X6067" s="1844"/>
      <c r="Y6067" s="1844"/>
      <c r="Z6067" s="630"/>
      <c r="AA6067" s="373">
        <v>1</v>
      </c>
    </row>
    <row r="6068" spans="1:27" x14ac:dyDescent="0.2">
      <c r="A6068" s="3090"/>
      <c r="B6068" s="3050"/>
      <c r="C6068" s="3050"/>
      <c r="D6068" s="3051"/>
      <c r="E6068" s="3052"/>
      <c r="F6068" s="3052"/>
      <c r="G6068" s="3052"/>
      <c r="H6068" s="3050"/>
      <c r="I6068" s="3050"/>
      <c r="J6068" s="3054"/>
      <c r="K6068" s="3056"/>
      <c r="L6068" s="3054"/>
      <c r="M6068" s="2627" t="s">
        <v>1340</v>
      </c>
      <c r="N6068" s="2627"/>
      <c r="O6068" s="630"/>
      <c r="P6068" s="1844"/>
      <c r="Q6068" s="1844"/>
      <c r="R6068" s="1844">
        <v>500</v>
      </c>
      <c r="S6068" s="1844"/>
      <c r="T6068" s="1844"/>
      <c r="U6068" s="1844"/>
      <c r="V6068" s="1844"/>
      <c r="W6068" s="1844"/>
      <c r="X6068" s="1844"/>
      <c r="Y6068" s="1844"/>
      <c r="Z6068" s="630"/>
      <c r="AA6068" s="373">
        <v>500</v>
      </c>
    </row>
    <row r="6069" spans="1:27" x14ac:dyDescent="0.2">
      <c r="A6069" s="3090"/>
      <c r="B6069" s="3050"/>
      <c r="C6069" s="3050"/>
      <c r="D6069" s="3051"/>
      <c r="E6069" s="3052"/>
      <c r="F6069" s="3052"/>
      <c r="G6069" s="3052"/>
      <c r="H6069" s="3050"/>
      <c r="I6069" s="3050"/>
      <c r="J6069" s="3054"/>
      <c r="K6069" s="3056"/>
      <c r="L6069" s="3054"/>
      <c r="M6069" s="1852" t="s">
        <v>1454</v>
      </c>
      <c r="N6069" s="1852" t="s">
        <v>1455</v>
      </c>
      <c r="O6069" s="1854"/>
      <c r="P6069" s="1849"/>
      <c r="Q6069" s="1849"/>
      <c r="R6069" s="1849">
        <v>500</v>
      </c>
      <c r="S6069" s="1849"/>
      <c r="T6069" s="1849"/>
      <c r="U6069" s="1849"/>
      <c r="V6069" s="1849"/>
      <c r="W6069" s="1849"/>
      <c r="X6069" s="1849"/>
      <c r="Y6069" s="1849"/>
      <c r="Z6069" s="1854"/>
      <c r="AA6069" s="373"/>
    </row>
    <row r="6070" spans="1:27" x14ac:dyDescent="0.2">
      <c r="A6070" s="3090"/>
      <c r="B6070" s="3050"/>
      <c r="C6070" s="3050" t="s">
        <v>3677</v>
      </c>
      <c r="D6070" s="3051" t="s">
        <v>3616</v>
      </c>
      <c r="E6070" s="3052"/>
      <c r="F6070" s="3052"/>
      <c r="G6070" s="3052"/>
      <c r="H6070" s="3050" t="s">
        <v>3678</v>
      </c>
      <c r="I6070" s="3050" t="s">
        <v>3679</v>
      </c>
      <c r="J6070" s="3053">
        <v>1</v>
      </c>
      <c r="K6070" s="3055">
        <v>2898</v>
      </c>
      <c r="L6070" s="3054" t="s">
        <v>3637</v>
      </c>
      <c r="M6070" s="2627" t="s">
        <v>51</v>
      </c>
      <c r="N6070" s="2627"/>
      <c r="O6070" s="1843"/>
      <c r="P6070" s="1844"/>
      <c r="Q6070" s="1844">
        <v>1</v>
      </c>
      <c r="R6070" s="1844"/>
      <c r="S6070" s="1844"/>
      <c r="T6070" s="1844"/>
      <c r="U6070" s="1844"/>
      <c r="V6070" s="1844"/>
      <c r="W6070" s="1844"/>
      <c r="X6070" s="1844"/>
      <c r="Y6070" s="1844"/>
      <c r="Z6070" s="630"/>
      <c r="AA6070" s="373">
        <v>1</v>
      </c>
    </row>
    <row r="6071" spans="1:27" x14ac:dyDescent="0.2">
      <c r="A6071" s="3090"/>
      <c r="B6071" s="3050"/>
      <c r="C6071" s="3050"/>
      <c r="D6071" s="3051"/>
      <c r="E6071" s="3052"/>
      <c r="F6071" s="3052"/>
      <c r="G6071" s="3052"/>
      <c r="H6071" s="3050"/>
      <c r="I6071" s="3050"/>
      <c r="J6071" s="3054"/>
      <c r="K6071" s="3056"/>
      <c r="L6071" s="3054"/>
      <c r="M6071" s="2627" t="s">
        <v>1340</v>
      </c>
      <c r="N6071" s="2627"/>
      <c r="O6071" s="1843"/>
      <c r="P6071" s="1844"/>
      <c r="Q6071" s="1844">
        <v>2898</v>
      </c>
      <c r="R6071" s="1844"/>
      <c r="S6071" s="1844"/>
      <c r="T6071" s="1844"/>
      <c r="U6071" s="1844"/>
      <c r="V6071" s="1844"/>
      <c r="W6071" s="1844"/>
      <c r="X6071" s="1844"/>
      <c r="Y6071" s="1844"/>
      <c r="Z6071" s="630"/>
      <c r="AA6071" s="373">
        <v>2898</v>
      </c>
    </row>
    <row r="6072" spans="1:27" x14ac:dyDescent="0.2">
      <c r="A6072" s="3090"/>
      <c r="B6072" s="3050"/>
      <c r="C6072" s="3050"/>
      <c r="D6072" s="3051"/>
      <c r="E6072" s="3052"/>
      <c r="F6072" s="3052"/>
      <c r="G6072" s="3052"/>
      <c r="H6072" s="3050"/>
      <c r="I6072" s="3050"/>
      <c r="J6072" s="3054"/>
      <c r="K6072" s="3056"/>
      <c r="L6072" s="3054"/>
      <c r="M6072" s="1852" t="s">
        <v>541</v>
      </c>
      <c r="N6072" s="1852" t="s">
        <v>1369</v>
      </c>
      <c r="O6072" s="1854"/>
      <c r="P6072" s="1849"/>
      <c r="Q6072" s="1849">
        <v>898</v>
      </c>
      <c r="R6072" s="1849"/>
      <c r="S6072" s="1849"/>
      <c r="T6072" s="1849"/>
      <c r="U6072" s="1849"/>
      <c r="V6072" s="1849"/>
      <c r="W6072" s="1849"/>
      <c r="X6072" s="1849"/>
      <c r="Y6072" s="1849"/>
      <c r="Z6072" s="1854"/>
      <c r="AA6072" s="373"/>
    </row>
    <row r="6073" spans="1:27" x14ac:dyDescent="0.2">
      <c r="A6073" s="3091"/>
      <c r="B6073" s="3050"/>
      <c r="C6073" s="3050"/>
      <c r="D6073" s="3051"/>
      <c r="E6073" s="3052"/>
      <c r="F6073" s="3052"/>
      <c r="G6073" s="3052"/>
      <c r="H6073" s="3050"/>
      <c r="I6073" s="3050"/>
      <c r="J6073" s="3054"/>
      <c r="K6073" s="3056"/>
      <c r="L6073" s="3054"/>
      <c r="M6073" s="1852" t="s">
        <v>1454</v>
      </c>
      <c r="N6073" s="1852" t="s">
        <v>2550</v>
      </c>
      <c r="O6073" s="1854"/>
      <c r="P6073" s="1849"/>
      <c r="Q6073" s="1849">
        <v>2000</v>
      </c>
      <c r="R6073" s="1849"/>
      <c r="S6073" s="1849"/>
      <c r="T6073" s="1849"/>
      <c r="U6073" s="1849"/>
      <c r="V6073" s="1849"/>
      <c r="W6073" s="1849"/>
      <c r="X6073" s="1849"/>
      <c r="Y6073" s="1849"/>
      <c r="Z6073" s="1854"/>
      <c r="AA6073" s="373"/>
    </row>
  </sheetData>
  <mergeCells count="12594">
    <mergeCell ref="Z957:AA957"/>
    <mergeCell ref="Z958:AA958"/>
    <mergeCell ref="Z981:AA981"/>
    <mergeCell ref="Z982:AA982"/>
    <mergeCell ref="Z1038:AA1038"/>
    <mergeCell ref="Z1064:AA1064"/>
    <mergeCell ref="Z1065:AA1065"/>
    <mergeCell ref="Z1084:AA1084"/>
    <mergeCell ref="Z1085:AA1085"/>
    <mergeCell ref="Z1115:AA1115"/>
    <mergeCell ref="Z1116:AA1116"/>
    <mergeCell ref="Z1140:AA1140"/>
    <mergeCell ref="Z1141:AA1141"/>
    <mergeCell ref="Z1164:AA1164"/>
    <mergeCell ref="Z1165:AA1165"/>
    <mergeCell ref="Z1184:AA1184"/>
    <mergeCell ref="K5934:K5966"/>
    <mergeCell ref="L5934:L5966"/>
    <mergeCell ref="M5934:N5934"/>
    <mergeCell ref="M5935:N5935"/>
    <mergeCell ref="M5936:N5936"/>
    <mergeCell ref="B5824:B5827"/>
    <mergeCell ref="B5828:B5831"/>
    <mergeCell ref="B5832:B5835"/>
    <mergeCell ref="B5836:B5839"/>
    <mergeCell ref="B5840:B5843"/>
    <mergeCell ref="B5844:B5847"/>
    <mergeCell ref="B5848:B5851"/>
    <mergeCell ref="B5852:B5855"/>
    <mergeCell ref="B5856:B5859"/>
    <mergeCell ref="B5860:B5863"/>
    <mergeCell ref="B5864:B5867"/>
    <mergeCell ref="B5868:B5871"/>
    <mergeCell ref="B5872:B5875"/>
    <mergeCell ref="B5876:B5879"/>
    <mergeCell ref="B5880:B5883"/>
    <mergeCell ref="B5884:B5887"/>
    <mergeCell ref="B5888:B5891"/>
    <mergeCell ref="C5896:C5899"/>
    <mergeCell ref="M5896:N5896"/>
    <mergeCell ref="M5897:N5897"/>
    <mergeCell ref="C5900:C5904"/>
    <mergeCell ref="M5900:N5900"/>
    <mergeCell ref="M5901:N5901"/>
    <mergeCell ref="B5905:B5908"/>
    <mergeCell ref="C5905:C5908"/>
    <mergeCell ref="D5905:D5908"/>
    <mergeCell ref="E5905:E5908"/>
    <mergeCell ref="B5892:B5895"/>
    <mergeCell ref="B5896:B5899"/>
    <mergeCell ref="B5900:B5904"/>
    <mergeCell ref="B5909:B5933"/>
    <mergeCell ref="C5909:C5933"/>
    <mergeCell ref="D5909:D5933"/>
    <mergeCell ref="E5909:E5933"/>
    <mergeCell ref="F5909:F5933"/>
    <mergeCell ref="G5909:G5933"/>
    <mergeCell ref="H5909:H5933"/>
    <mergeCell ref="I5909:I5933"/>
    <mergeCell ref="J5909:J5933"/>
    <mergeCell ref="K5909:K5933"/>
    <mergeCell ref="L5909:L5933"/>
    <mergeCell ref="M5909:N5909"/>
    <mergeCell ref="M5910:N5910"/>
    <mergeCell ref="B5934:B5966"/>
    <mergeCell ref="C5934:C5966"/>
    <mergeCell ref="D5934:D5966"/>
    <mergeCell ref="E5934:E5966"/>
    <mergeCell ref="F5934:F5966"/>
    <mergeCell ref="G5934:G5966"/>
    <mergeCell ref="H5934:H5966"/>
    <mergeCell ref="I5934:I5966"/>
    <mergeCell ref="J5934:J5966"/>
    <mergeCell ref="C5860:C5863"/>
    <mergeCell ref="M5860:N5860"/>
    <mergeCell ref="M5861:N5861"/>
    <mergeCell ref="C5864:C5867"/>
    <mergeCell ref="M5864:N5864"/>
    <mergeCell ref="M5865:N5865"/>
    <mergeCell ref="C5868:C5871"/>
    <mergeCell ref="M5868:N5868"/>
    <mergeCell ref="M5869:N5869"/>
    <mergeCell ref="D5864:D5867"/>
    <mergeCell ref="E5864:E5867"/>
    <mergeCell ref="F5864:F5867"/>
    <mergeCell ref="G5864:G5867"/>
    <mergeCell ref="H5864:H5867"/>
    <mergeCell ref="I5864:I5867"/>
    <mergeCell ref="J5864:J5867"/>
    <mergeCell ref="K5864:K5867"/>
    <mergeCell ref="L5864:L5867"/>
    <mergeCell ref="D5868:D5871"/>
    <mergeCell ref="E5868:E5871"/>
    <mergeCell ref="F5868:F5871"/>
    <mergeCell ref="G5868:G5871"/>
    <mergeCell ref="H5868:H5871"/>
    <mergeCell ref="F5905:F5908"/>
    <mergeCell ref="G5905:G5908"/>
    <mergeCell ref="H5905:H5908"/>
    <mergeCell ref="I5905:I5908"/>
    <mergeCell ref="J5905:J5908"/>
    <mergeCell ref="K5905:K5908"/>
    <mergeCell ref="L5905:L5908"/>
    <mergeCell ref="M5905:N5905"/>
    <mergeCell ref="M5906:N5906"/>
    <mergeCell ref="C5872:C5875"/>
    <mergeCell ref="M5872:N5872"/>
    <mergeCell ref="M5873:N5873"/>
    <mergeCell ref="C5876:C5879"/>
    <mergeCell ref="M5876:N5876"/>
    <mergeCell ref="M5877:N5877"/>
    <mergeCell ref="C5880:C5883"/>
    <mergeCell ref="M5880:N5880"/>
    <mergeCell ref="M5881:N5881"/>
    <mergeCell ref="C5884:C5887"/>
    <mergeCell ref="M5884:N5884"/>
    <mergeCell ref="M5885:N5885"/>
    <mergeCell ref="C5888:C5891"/>
    <mergeCell ref="M5888:N5888"/>
    <mergeCell ref="M5889:N5889"/>
    <mergeCell ref="C5892:C5895"/>
    <mergeCell ref="M5892:N5892"/>
    <mergeCell ref="M5893:N5893"/>
    <mergeCell ref="D5896:D5899"/>
    <mergeCell ref="E5896:E5899"/>
    <mergeCell ref="F5896:F5899"/>
    <mergeCell ref="G5896:G5899"/>
    <mergeCell ref="H5896:H5899"/>
    <mergeCell ref="D5880:D5883"/>
    <mergeCell ref="E5880:E5883"/>
    <mergeCell ref="F5880:F5883"/>
    <mergeCell ref="G5880:G5883"/>
    <mergeCell ref="H5880:H5883"/>
    <mergeCell ref="I5880:I5883"/>
    <mergeCell ref="J5880:J5883"/>
    <mergeCell ref="C5832:C5835"/>
    <mergeCell ref="M5832:N5832"/>
    <mergeCell ref="M5833:N5833"/>
    <mergeCell ref="C5836:C5839"/>
    <mergeCell ref="M5836:N5836"/>
    <mergeCell ref="M5837:N5837"/>
    <mergeCell ref="C5840:C5843"/>
    <mergeCell ref="M5840:N5840"/>
    <mergeCell ref="M5841:N5841"/>
    <mergeCell ref="C5844:C5847"/>
    <mergeCell ref="M5844:N5844"/>
    <mergeCell ref="M5845:N5845"/>
    <mergeCell ref="D5840:D5843"/>
    <mergeCell ref="E5840:E5843"/>
    <mergeCell ref="F5840:F5843"/>
    <mergeCell ref="G5840:G5843"/>
    <mergeCell ref="H5840:H5843"/>
    <mergeCell ref="I5840:I5843"/>
    <mergeCell ref="J5840:J5843"/>
    <mergeCell ref="K5840:K5843"/>
    <mergeCell ref="L5840:L5843"/>
    <mergeCell ref="D5844:D5847"/>
    <mergeCell ref="E5844:E5847"/>
    <mergeCell ref="F5844:F5847"/>
    <mergeCell ref="G5844:G5847"/>
    <mergeCell ref="H5844:H5847"/>
    <mergeCell ref="C5848:C5851"/>
    <mergeCell ref="M5848:N5848"/>
    <mergeCell ref="M5849:N5849"/>
    <mergeCell ref="C5852:C5855"/>
    <mergeCell ref="M5852:N5852"/>
    <mergeCell ref="M5853:N5853"/>
    <mergeCell ref="C5856:C5859"/>
    <mergeCell ref="M5856:N5856"/>
    <mergeCell ref="M5857:N5857"/>
    <mergeCell ref="D5852:D5855"/>
    <mergeCell ref="E5852:E5855"/>
    <mergeCell ref="F5852:F5855"/>
    <mergeCell ref="G5852:G5855"/>
    <mergeCell ref="H5852:H5855"/>
    <mergeCell ref="I5852:I5855"/>
    <mergeCell ref="J5852:J5855"/>
    <mergeCell ref="K5852:K5855"/>
    <mergeCell ref="L5852:L5855"/>
    <mergeCell ref="F5848:F5851"/>
    <mergeCell ref="G5848:G5851"/>
    <mergeCell ref="H5848:H5851"/>
    <mergeCell ref="I5848:I5851"/>
    <mergeCell ref="D5848:D5851"/>
    <mergeCell ref="E5848:E5851"/>
    <mergeCell ref="K5880:K5883"/>
    <mergeCell ref="L5880:L5883"/>
    <mergeCell ref="J5848:J5851"/>
    <mergeCell ref="K5848:K5851"/>
    <mergeCell ref="L5848:L5851"/>
    <mergeCell ref="D5876:D5879"/>
    <mergeCell ref="E5876:E5879"/>
    <mergeCell ref="M5804:N5804"/>
    <mergeCell ref="A5805:A5807"/>
    <mergeCell ref="M5805:N5805"/>
    <mergeCell ref="C5808:C5811"/>
    <mergeCell ref="M5808:N5808"/>
    <mergeCell ref="M5809:N5809"/>
    <mergeCell ref="C5812:C5815"/>
    <mergeCell ref="M5812:N5812"/>
    <mergeCell ref="M5813:N5813"/>
    <mergeCell ref="C5816:C5819"/>
    <mergeCell ref="M5816:N5816"/>
    <mergeCell ref="M5817:N5817"/>
    <mergeCell ref="C5820:C5823"/>
    <mergeCell ref="M5820:N5820"/>
    <mergeCell ref="M5821:N5821"/>
    <mergeCell ref="B5808:B5811"/>
    <mergeCell ref="B5812:B5815"/>
    <mergeCell ref="B5816:B5819"/>
    <mergeCell ref="B5820:B5823"/>
    <mergeCell ref="D5816:D5819"/>
    <mergeCell ref="E5816:E5819"/>
    <mergeCell ref="F5816:F5819"/>
    <mergeCell ref="G5816:G5819"/>
    <mergeCell ref="H5816:H5819"/>
    <mergeCell ref="I5816:I5819"/>
    <mergeCell ref="J5816:J5819"/>
    <mergeCell ref="K5816:K5819"/>
    <mergeCell ref="L5816:L5819"/>
    <mergeCell ref="C5824:C5827"/>
    <mergeCell ref="M5824:N5824"/>
    <mergeCell ref="M5825:N5825"/>
    <mergeCell ref="C5828:C5831"/>
    <mergeCell ref="M5828:N5828"/>
    <mergeCell ref="M5829:N5829"/>
    <mergeCell ref="D5820:D5823"/>
    <mergeCell ref="E5820:E5823"/>
    <mergeCell ref="F5820:F5823"/>
    <mergeCell ref="G5820:G5823"/>
    <mergeCell ref="H5820:H5823"/>
    <mergeCell ref="I5820:I5823"/>
    <mergeCell ref="J5820:J5823"/>
    <mergeCell ref="K5820:K5823"/>
    <mergeCell ref="L5820:L5823"/>
    <mergeCell ref="D5808:D5811"/>
    <mergeCell ref="E5808:E5811"/>
    <mergeCell ref="F5808:F5811"/>
    <mergeCell ref="G5808:G5811"/>
    <mergeCell ref="H5808:H5811"/>
    <mergeCell ref="I5808:I5811"/>
    <mergeCell ref="J5808:J5811"/>
    <mergeCell ref="K5808:K5811"/>
    <mergeCell ref="L5808:L5811"/>
    <mergeCell ref="D5812:D5815"/>
    <mergeCell ref="E5812:E5815"/>
    <mergeCell ref="F5812:F5815"/>
    <mergeCell ref="G5812:G5815"/>
    <mergeCell ref="H5812:H5815"/>
    <mergeCell ref="I5812:I5815"/>
    <mergeCell ref="J5812:J5815"/>
    <mergeCell ref="K5812:K5815"/>
    <mergeCell ref="L5812:L5815"/>
    <mergeCell ref="D5824:D5827"/>
    <mergeCell ref="E5824:E5827"/>
    <mergeCell ref="F5824:F5827"/>
    <mergeCell ref="A5772:A5776"/>
    <mergeCell ref="C5772:E5772"/>
    <mergeCell ref="C5773:V5773"/>
    <mergeCell ref="C5774:M5774"/>
    <mergeCell ref="C5775:V5775"/>
    <mergeCell ref="A5777:A5787"/>
    <mergeCell ref="B5778:B5780"/>
    <mergeCell ref="D5778:E5780"/>
    <mergeCell ref="V5778:Y5778"/>
    <mergeCell ref="Z5778:AA5778"/>
    <mergeCell ref="V5779:Y5780"/>
    <mergeCell ref="Z5779:AA5780"/>
    <mergeCell ref="B5781:B5782"/>
    <mergeCell ref="D5781:E5782"/>
    <mergeCell ref="V5781:Y5781"/>
    <mergeCell ref="Z5781:AA5781"/>
    <mergeCell ref="V5782:Y5782"/>
    <mergeCell ref="Z5782:AA5782"/>
    <mergeCell ref="B5783:B5784"/>
    <mergeCell ref="J5783:K5783"/>
    <mergeCell ref="L5783:L5784"/>
    <mergeCell ref="M5783:N5784"/>
    <mergeCell ref="O5783:Z5783"/>
    <mergeCell ref="AA5783:AA5784"/>
    <mergeCell ref="B5785:B5787"/>
    <mergeCell ref="M5785:N5785"/>
    <mergeCell ref="M5786:N5786"/>
    <mergeCell ref="M5787:N5787"/>
    <mergeCell ref="C5785:C5787"/>
    <mergeCell ref="D5785:D5787"/>
    <mergeCell ref="E5785:E5787"/>
    <mergeCell ref="A5789:A5803"/>
    <mergeCell ref="M5789:N5789"/>
    <mergeCell ref="M5790:N5790"/>
    <mergeCell ref="G5824:G5827"/>
    <mergeCell ref="H5824:H5827"/>
    <mergeCell ref="I5824:I5827"/>
    <mergeCell ref="J5824:J5827"/>
    <mergeCell ref="K5824:K5827"/>
    <mergeCell ref="L5824:L5827"/>
    <mergeCell ref="F5785:F5787"/>
    <mergeCell ref="G5785:G5787"/>
    <mergeCell ref="H5785:H5787"/>
    <mergeCell ref="I5785:I5787"/>
    <mergeCell ref="J5785:J5787"/>
    <mergeCell ref="K5785:K5787"/>
    <mergeCell ref="L5785:L5787"/>
    <mergeCell ref="C5778:C5780"/>
    <mergeCell ref="C5781:C5782"/>
    <mergeCell ref="C5783:C5784"/>
    <mergeCell ref="D5783:D5784"/>
    <mergeCell ref="E5783:E5784"/>
    <mergeCell ref="F5783:F5784"/>
    <mergeCell ref="G5783:G5784"/>
    <mergeCell ref="H5783:H5784"/>
    <mergeCell ref="I5783:I5784"/>
    <mergeCell ref="B5789:B5803"/>
    <mergeCell ref="C5789:C5803"/>
    <mergeCell ref="D5789:D5803"/>
    <mergeCell ref="E5789:E5803"/>
    <mergeCell ref="E5836:E5839"/>
    <mergeCell ref="F5836:F5839"/>
    <mergeCell ref="G5836:G5839"/>
    <mergeCell ref="H5836:H5839"/>
    <mergeCell ref="I5836:I5839"/>
    <mergeCell ref="J5836:J5839"/>
    <mergeCell ref="K5836:K5839"/>
    <mergeCell ref="L5836:L5839"/>
    <mergeCell ref="G5832:G5835"/>
    <mergeCell ref="H5832:H5835"/>
    <mergeCell ref="I5832:I5835"/>
    <mergeCell ref="J5832:J5835"/>
    <mergeCell ref="K5832:K5835"/>
    <mergeCell ref="L5832:L5835"/>
    <mergeCell ref="D5836:D5839"/>
    <mergeCell ref="D5884:D5887"/>
    <mergeCell ref="E5884:E5887"/>
    <mergeCell ref="F5884:F5887"/>
    <mergeCell ref="G5884:G5887"/>
    <mergeCell ref="H5884:H5887"/>
    <mergeCell ref="I5884:I5887"/>
    <mergeCell ref="J5884:J5887"/>
    <mergeCell ref="K5884:K5887"/>
    <mergeCell ref="L5884:L5887"/>
    <mergeCell ref="I5896:I5899"/>
    <mergeCell ref="J5896:J5899"/>
    <mergeCell ref="K5896:K5899"/>
    <mergeCell ref="L5896:L5899"/>
    <mergeCell ref="D5900:D5904"/>
    <mergeCell ref="E5900:E5904"/>
    <mergeCell ref="F5900:F5904"/>
    <mergeCell ref="G5900:G5904"/>
    <mergeCell ref="H5900:H5904"/>
    <mergeCell ref="I5900:I5904"/>
    <mergeCell ref="J5900:J5904"/>
    <mergeCell ref="K5900:K5904"/>
    <mergeCell ref="L5900:L5904"/>
    <mergeCell ref="D5888:D5891"/>
    <mergeCell ref="E5888:E5891"/>
    <mergeCell ref="F5888:F5891"/>
    <mergeCell ref="G5888:G5891"/>
    <mergeCell ref="H5888:H5891"/>
    <mergeCell ref="I5888:I5891"/>
    <mergeCell ref="J5888:J5891"/>
    <mergeCell ref="K5888:K5891"/>
    <mergeCell ref="L5888:L5891"/>
    <mergeCell ref="D5892:D5895"/>
    <mergeCell ref="E5892:E5895"/>
    <mergeCell ref="F5892:F5895"/>
    <mergeCell ref="G5892:G5895"/>
    <mergeCell ref="H5892:H5895"/>
    <mergeCell ref="I5892:I5895"/>
    <mergeCell ref="J5892:J5895"/>
    <mergeCell ref="K5892:K5895"/>
    <mergeCell ref="L5892:L5895"/>
    <mergeCell ref="F5876:F5879"/>
    <mergeCell ref="G5876:G5879"/>
    <mergeCell ref="H5876:H5879"/>
    <mergeCell ref="I5876:I5879"/>
    <mergeCell ref="J5876:J5879"/>
    <mergeCell ref="K5876:K5879"/>
    <mergeCell ref="L5876:L5879"/>
    <mergeCell ref="M4384:N4384"/>
    <mergeCell ref="H4386:H4388"/>
    <mergeCell ref="I4386:I4388"/>
    <mergeCell ref="J68:K68"/>
    <mergeCell ref="M4313:N4313"/>
    <mergeCell ref="H4300:H4302"/>
    <mergeCell ref="I4300:I4302"/>
    <mergeCell ref="J4300:J4302"/>
    <mergeCell ref="K4300:K4302"/>
    <mergeCell ref="L4300:L4302"/>
    <mergeCell ref="I5868:I5871"/>
    <mergeCell ref="J5868:J5871"/>
    <mergeCell ref="K5868:K5871"/>
    <mergeCell ref="L5868:L5871"/>
    <mergeCell ref="D5856:D5859"/>
    <mergeCell ref="E5856:E5859"/>
    <mergeCell ref="F5856:F5859"/>
    <mergeCell ref="G5856:G5859"/>
    <mergeCell ref="H5856:H5859"/>
    <mergeCell ref="I5856:I5859"/>
    <mergeCell ref="J5856:J5859"/>
    <mergeCell ref="K5856:K5859"/>
    <mergeCell ref="L5856:L5859"/>
    <mergeCell ref="D5860:D5863"/>
    <mergeCell ref="E5860:E5863"/>
    <mergeCell ref="F5860:F5863"/>
    <mergeCell ref="G5860:G5863"/>
    <mergeCell ref="H5860:H5863"/>
    <mergeCell ref="I5860:I5863"/>
    <mergeCell ref="J5860:J5863"/>
    <mergeCell ref="K5860:K5863"/>
    <mergeCell ref="L5860:L5863"/>
    <mergeCell ref="D5872:D5875"/>
    <mergeCell ref="E5872:E5875"/>
    <mergeCell ref="F5872:F5875"/>
    <mergeCell ref="G5872:G5875"/>
    <mergeCell ref="H5872:H5875"/>
    <mergeCell ref="I5872:I5875"/>
    <mergeCell ref="J5872:J5875"/>
    <mergeCell ref="K5872:K5875"/>
    <mergeCell ref="L5872:L5875"/>
    <mergeCell ref="D5828:D5831"/>
    <mergeCell ref="E5828:E5831"/>
    <mergeCell ref="F5828:F5831"/>
    <mergeCell ref="G5828:G5831"/>
    <mergeCell ref="H5828:H5831"/>
    <mergeCell ref="I5828:I5831"/>
    <mergeCell ref="J5828:J5831"/>
    <mergeCell ref="K5828:K5831"/>
    <mergeCell ref="L5828:L5831"/>
    <mergeCell ref="I5844:I5847"/>
    <mergeCell ref="J5844:J5847"/>
    <mergeCell ref="K5844:K5847"/>
    <mergeCell ref="L5844:L5847"/>
    <mergeCell ref="D5832:D5835"/>
    <mergeCell ref="E5832:E5835"/>
    <mergeCell ref="F5832:F5835"/>
    <mergeCell ref="H4392:H4394"/>
    <mergeCell ref="I4392:I4394"/>
    <mergeCell ref="J4392:J4394"/>
    <mergeCell ref="K4392:K4394"/>
    <mergeCell ref="H4374:H4376"/>
    <mergeCell ref="I4374:I4376"/>
    <mergeCell ref="J4374:J4376"/>
    <mergeCell ref="K4374:K4376"/>
    <mergeCell ref="M4374:N4374"/>
    <mergeCell ref="M4375:N4375"/>
    <mergeCell ref="F5789:F5803"/>
    <mergeCell ref="G5789:G5803"/>
    <mergeCell ref="H5789:H5803"/>
    <mergeCell ref="I5789:I5803"/>
    <mergeCell ref="J5789:J5803"/>
    <mergeCell ref="K5789:K5803"/>
    <mergeCell ref="L5789:L5803"/>
    <mergeCell ref="C5804:C5807"/>
    <mergeCell ref="D5804:D5807"/>
    <mergeCell ref="E5804:E5807"/>
    <mergeCell ref="F5804:F5807"/>
    <mergeCell ref="G5804:G5807"/>
    <mergeCell ref="H5804:H5807"/>
    <mergeCell ref="I5804:I5807"/>
    <mergeCell ref="J5804:J5807"/>
    <mergeCell ref="K5804:K5807"/>
    <mergeCell ref="L5804:L5807"/>
    <mergeCell ref="B5804:B5807"/>
    <mergeCell ref="B49:B50"/>
    <mergeCell ref="C49:C50"/>
    <mergeCell ref="D49:D50"/>
    <mergeCell ref="E49:E50"/>
    <mergeCell ref="F49:F50"/>
    <mergeCell ref="I4395:I4397"/>
    <mergeCell ref="J4395:J4397"/>
    <mergeCell ref="K4395:K4397"/>
    <mergeCell ref="M4395:N4395"/>
    <mergeCell ref="M4396:N4396"/>
    <mergeCell ref="B4367:B4397"/>
    <mergeCell ref="C4367:C4397"/>
    <mergeCell ref="D4367:D4397"/>
    <mergeCell ref="E4367:E4397"/>
    <mergeCell ref="F4367:F4397"/>
    <mergeCell ref="G4367:G4397"/>
    <mergeCell ref="J5621:J5624"/>
    <mergeCell ref="B5498:B5501"/>
    <mergeCell ref="H4377:H4379"/>
    <mergeCell ref="I4377:I4379"/>
    <mergeCell ref="J4377:J4379"/>
    <mergeCell ref="K4377:K4379"/>
    <mergeCell ref="M4377:N4377"/>
    <mergeCell ref="M4378:N4378"/>
    <mergeCell ref="H4380:H4382"/>
    <mergeCell ref="I4380:I4382"/>
    <mergeCell ref="J4380:J4382"/>
    <mergeCell ref="K4380:K4382"/>
    <mergeCell ref="M4380:N4380"/>
    <mergeCell ref="M4381:N4381"/>
    <mergeCell ref="H4383:H4385"/>
    <mergeCell ref="I4383:I4385"/>
    <mergeCell ref="J4383:J4385"/>
    <mergeCell ref="K4383:K4385"/>
    <mergeCell ref="M4383:N4383"/>
    <mergeCell ref="A5771:V5771"/>
    <mergeCell ref="B4312:B4314"/>
    <mergeCell ref="C4312:C4314"/>
    <mergeCell ref="D4312:D4314"/>
    <mergeCell ref="E4312:E4314"/>
    <mergeCell ref="F4312:F4314"/>
    <mergeCell ref="G4312:G4314"/>
    <mergeCell ref="H4309:H4311"/>
    <mergeCell ref="I4309:I4311"/>
    <mergeCell ref="J4309:J4311"/>
    <mergeCell ref="K4309:K4311"/>
    <mergeCell ref="L4309:L4311"/>
    <mergeCell ref="A7:A11"/>
    <mergeCell ref="K5390:K5391"/>
    <mergeCell ref="L5390:L5391"/>
    <mergeCell ref="K5388:K5389"/>
    <mergeCell ref="L5388:L5389"/>
    <mergeCell ref="H4367:H4370"/>
    <mergeCell ref="I4367:I4370"/>
    <mergeCell ref="J4367:J4370"/>
    <mergeCell ref="K4367:K4370"/>
    <mergeCell ref="L4367:L4370"/>
    <mergeCell ref="M4367:N4367"/>
    <mergeCell ref="M4368:N4368"/>
    <mergeCell ref="H4371:H4373"/>
    <mergeCell ref="I4371:I4373"/>
    <mergeCell ref="J4371:J4373"/>
    <mergeCell ref="K4371:K4373"/>
    <mergeCell ref="L4371:L4397"/>
    <mergeCell ref="M4371:N4371"/>
    <mergeCell ref="M4372:N4372"/>
    <mergeCell ref="H4312:H4314"/>
    <mergeCell ref="I4312:I4314"/>
    <mergeCell ref="J4312:J4314"/>
    <mergeCell ref="K4312:K4314"/>
    <mergeCell ref="L4312:L4314"/>
    <mergeCell ref="M4312:N4312"/>
    <mergeCell ref="G49:G50"/>
    <mergeCell ref="H49:H50"/>
    <mergeCell ref="I49:I50"/>
    <mergeCell ref="J49:K49"/>
    <mergeCell ref="L49:L50"/>
    <mergeCell ref="K70:K96"/>
    <mergeCell ref="M68:N69"/>
    <mergeCell ref="L68:L69"/>
    <mergeCell ref="J4386:J4388"/>
    <mergeCell ref="K4386:K4388"/>
    <mergeCell ref="M4386:N4386"/>
    <mergeCell ref="M4387:N4387"/>
    <mergeCell ref="H4389:H4391"/>
    <mergeCell ref="I4389:I4391"/>
    <mergeCell ref="J4389:J4391"/>
    <mergeCell ref="K4389:K4391"/>
    <mergeCell ref="M4389:N4389"/>
    <mergeCell ref="M4390:N4390"/>
    <mergeCell ref="D51:D67"/>
    <mergeCell ref="E51:E67"/>
    <mergeCell ref="I51:I67"/>
    <mergeCell ref="J51:J67"/>
    <mergeCell ref="K51:K67"/>
    <mergeCell ref="L51:L67"/>
    <mergeCell ref="D68:D69"/>
    <mergeCell ref="I68:I69"/>
    <mergeCell ref="H68:H69"/>
    <mergeCell ref="G68:G69"/>
    <mergeCell ref="AA4329:AA4330"/>
    <mergeCell ref="B4331:B4340"/>
    <mergeCell ref="C4331:C4340"/>
    <mergeCell ref="D4331:D4340"/>
    <mergeCell ref="E4331:E4340"/>
    <mergeCell ref="F4331:F4340"/>
    <mergeCell ref="G4331:G4340"/>
    <mergeCell ref="H4331:H4340"/>
    <mergeCell ref="I4331:I4340"/>
    <mergeCell ref="J4331:J4340"/>
    <mergeCell ref="K4331:K4340"/>
    <mergeCell ref="L4331:L4340"/>
    <mergeCell ref="M4331:N4331"/>
    <mergeCell ref="M4332:N4332"/>
    <mergeCell ref="B4341:B4366"/>
    <mergeCell ref="C4341:C4366"/>
    <mergeCell ref="D4341:D4366"/>
    <mergeCell ref="E4341:E4366"/>
    <mergeCell ref="F4341:F4366"/>
    <mergeCell ref="G4341:G4366"/>
    <mergeCell ref="H4341:H4366"/>
    <mergeCell ref="I4341:I4366"/>
    <mergeCell ref="J4341:J4360"/>
    <mergeCell ref="K4341:K4360"/>
    <mergeCell ref="L4341:L4366"/>
    <mergeCell ref="M4341:N4341"/>
    <mergeCell ref="M4342:N4342"/>
    <mergeCell ref="J4361:J4363"/>
    <mergeCell ref="K4361:K4363"/>
    <mergeCell ref="M4361:N4361"/>
    <mergeCell ref="M4362:N4362"/>
    <mergeCell ref="J4364:J4366"/>
    <mergeCell ref="K4364:K4366"/>
    <mergeCell ref="M4364:N4364"/>
    <mergeCell ref="M4365:N4365"/>
    <mergeCell ref="J4329:K4329"/>
    <mergeCell ref="L4329:L4330"/>
    <mergeCell ref="M4329:N4330"/>
    <mergeCell ref="O4329:Z4329"/>
    <mergeCell ref="I5728:I5729"/>
    <mergeCell ref="J5728:J5729"/>
    <mergeCell ref="K5728:K5729"/>
    <mergeCell ref="L5728:L5729"/>
    <mergeCell ref="B5728:B5729"/>
    <mergeCell ref="C5728:C5729"/>
    <mergeCell ref="E5728:E5729"/>
    <mergeCell ref="F5728:F5729"/>
    <mergeCell ref="G5728:G5729"/>
    <mergeCell ref="H5728:H5729"/>
    <mergeCell ref="I5726:I5727"/>
    <mergeCell ref="J5726:J5727"/>
    <mergeCell ref="K5726:K5727"/>
    <mergeCell ref="L5726:L5727"/>
    <mergeCell ref="M5726:M5727"/>
    <mergeCell ref="N5726:N5727"/>
    <mergeCell ref="I5716:I5725"/>
    <mergeCell ref="J5716:J5725"/>
    <mergeCell ref="K5716:K5725"/>
    <mergeCell ref="L5716:L5725"/>
    <mergeCell ref="B5726:B5727"/>
    <mergeCell ref="C5726:C5727"/>
    <mergeCell ref="E5726:E5727"/>
    <mergeCell ref="F5726:F5727"/>
    <mergeCell ref="G5726:G5727"/>
    <mergeCell ref="H5726:H5727"/>
    <mergeCell ref="B5716:B5725"/>
    <mergeCell ref="C5716:C5725"/>
    <mergeCell ref="E5716:E5725"/>
    <mergeCell ref="F5716:F5725"/>
    <mergeCell ref="G5716:G5725"/>
    <mergeCell ref="H5716:H5725"/>
    <mergeCell ref="H5702:H5715"/>
    <mergeCell ref="I5702:I5715"/>
    <mergeCell ref="J5702:J5715"/>
    <mergeCell ref="K5702:K5715"/>
    <mergeCell ref="L5702:L5715"/>
    <mergeCell ref="M5702:N5702"/>
    <mergeCell ref="M5703:N5703"/>
    <mergeCell ref="I5700:I5701"/>
    <mergeCell ref="J5700:K5700"/>
    <mergeCell ref="L5700:L5701"/>
    <mergeCell ref="M5700:N5701"/>
    <mergeCell ref="AA5700:AA5701"/>
    <mergeCell ref="B5702:B5715"/>
    <mergeCell ref="C5702:C5715"/>
    <mergeCell ref="E5702:E5715"/>
    <mergeCell ref="F5702:F5715"/>
    <mergeCell ref="G5702:G5715"/>
    <mergeCell ref="B5700:B5701"/>
    <mergeCell ref="C5700:C5701"/>
    <mergeCell ref="E5700:E5701"/>
    <mergeCell ref="F5700:F5701"/>
    <mergeCell ref="G5700:G5701"/>
    <mergeCell ref="H5700:H5701"/>
    <mergeCell ref="B5698:B5699"/>
    <mergeCell ref="C5698:U5699"/>
    <mergeCell ref="V5698:Y5698"/>
    <mergeCell ref="Z5698:AA5698"/>
    <mergeCell ref="V5699:Y5699"/>
    <mergeCell ref="Z5699:AA5699"/>
    <mergeCell ref="B5695:B5697"/>
    <mergeCell ref="C5695:U5697"/>
    <mergeCell ref="V5695:Y5695"/>
    <mergeCell ref="Z5695:AA5695"/>
    <mergeCell ref="V5696:Y5696"/>
    <mergeCell ref="Z5696:AA5696"/>
    <mergeCell ref="V5697:Y5697"/>
    <mergeCell ref="Z5697:AA5697"/>
    <mergeCell ref="M5634:N5634"/>
    <mergeCell ref="B5629:B5630"/>
    <mergeCell ref="C5629:C5630"/>
    <mergeCell ref="B5631:B5632"/>
    <mergeCell ref="C5631:C5632"/>
    <mergeCell ref="B5633:B5693"/>
    <mergeCell ref="C5633:C5693"/>
    <mergeCell ref="O5631:Z5631"/>
    <mergeCell ref="M5631:N5631"/>
    <mergeCell ref="D5633:D5693"/>
    <mergeCell ref="E5633:E5693"/>
    <mergeCell ref="F5633:F5693"/>
    <mergeCell ref="G5633:G5693"/>
    <mergeCell ref="H5633:H5693"/>
    <mergeCell ref="I5633:I5693"/>
    <mergeCell ref="J5633:J5693"/>
    <mergeCell ref="K5633:K5693"/>
    <mergeCell ref="L5633:L5693"/>
    <mergeCell ref="D5631:D5632"/>
    <mergeCell ref="E5631:E5632"/>
    <mergeCell ref="F5631:F5632"/>
    <mergeCell ref="G5631:G5632"/>
    <mergeCell ref="H5631:H5632"/>
    <mergeCell ref="I5631:I5632"/>
    <mergeCell ref="J5631:K5631"/>
    <mergeCell ref="K5621:K5624"/>
    <mergeCell ref="L5621:L5624"/>
    <mergeCell ref="B5626:B5628"/>
    <mergeCell ref="C5626:W5628"/>
    <mergeCell ref="X5626:AA5626"/>
    <mergeCell ref="X5627:AA5628"/>
    <mergeCell ref="K5612:K5620"/>
    <mergeCell ref="L5612:L5620"/>
    <mergeCell ref="M5612:N5612"/>
    <mergeCell ref="B5621:B5624"/>
    <mergeCell ref="C5621:C5624"/>
    <mergeCell ref="E5621:E5624"/>
    <mergeCell ref="F5621:F5624"/>
    <mergeCell ref="G5621:G5624"/>
    <mergeCell ref="H5621:H5624"/>
    <mergeCell ref="I5621:I5624"/>
    <mergeCell ref="AA5609:AA5610"/>
    <mergeCell ref="M5611:N5611"/>
    <mergeCell ref="B5612:B5620"/>
    <mergeCell ref="C5612:C5620"/>
    <mergeCell ref="E5612:E5620"/>
    <mergeCell ref="F5612:F5620"/>
    <mergeCell ref="G5612:G5620"/>
    <mergeCell ref="H5612:H5620"/>
    <mergeCell ref="I5612:I5620"/>
    <mergeCell ref="J5612:J5620"/>
    <mergeCell ref="H5609:H5610"/>
    <mergeCell ref="I5609:I5610"/>
    <mergeCell ref="J5609:K5609"/>
    <mergeCell ref="L5609:L5610"/>
    <mergeCell ref="M5609:N5610"/>
    <mergeCell ref="O5609:Z5609"/>
    <mergeCell ref="B5609:B5610"/>
    <mergeCell ref="C5609:C5610"/>
    <mergeCell ref="D5609:D5610"/>
    <mergeCell ref="E5609:E5610"/>
    <mergeCell ref="F5609:F5610"/>
    <mergeCell ref="G5609:G5610"/>
    <mergeCell ref="B5607:B5608"/>
    <mergeCell ref="C5607:U5608"/>
    <mergeCell ref="V5607:Y5607"/>
    <mergeCell ref="Z5607:AA5607"/>
    <mergeCell ref="V5608:Y5608"/>
    <mergeCell ref="Z5608:AA5608"/>
    <mergeCell ref="O5602:Z5602"/>
    <mergeCell ref="B5604:B5606"/>
    <mergeCell ref="C5604:U5606"/>
    <mergeCell ref="V5604:Y5604"/>
    <mergeCell ref="Z5604:AA5604"/>
    <mergeCell ref="V5605:Y5605"/>
    <mergeCell ref="Z5605:AA5605"/>
    <mergeCell ref="V5606:Y5606"/>
    <mergeCell ref="Z5606:AA5606"/>
    <mergeCell ref="V5600:V5601"/>
    <mergeCell ref="W5600:W5601"/>
    <mergeCell ref="X5600:X5601"/>
    <mergeCell ref="Y5600:Y5601"/>
    <mergeCell ref="Z5600:Z5601"/>
    <mergeCell ref="AA5600:AA5601"/>
    <mergeCell ref="P5600:P5601"/>
    <mergeCell ref="Q5600:Q5601"/>
    <mergeCell ref="R5600:R5601"/>
    <mergeCell ref="S5600:S5601"/>
    <mergeCell ref="T5600:T5601"/>
    <mergeCell ref="U5600:U5601"/>
    <mergeCell ref="J5600:J5601"/>
    <mergeCell ref="K5600:K5601"/>
    <mergeCell ref="L5600:L5601"/>
    <mergeCell ref="M5600:M5601"/>
    <mergeCell ref="N5600:N5601"/>
    <mergeCell ref="O5600:O5601"/>
    <mergeCell ref="AA5596:AA5597"/>
    <mergeCell ref="M5598:N5598"/>
    <mergeCell ref="M5599:N5599"/>
    <mergeCell ref="B5600:B5601"/>
    <mergeCell ref="C5600:C5601"/>
    <mergeCell ref="E5600:E5601"/>
    <mergeCell ref="F5600:F5601"/>
    <mergeCell ref="G5600:G5601"/>
    <mergeCell ref="H5600:H5601"/>
    <mergeCell ref="I5600:I5601"/>
    <mergeCell ref="U5596:U5597"/>
    <mergeCell ref="V5596:V5597"/>
    <mergeCell ref="W5596:W5597"/>
    <mergeCell ref="X5596:X5597"/>
    <mergeCell ref="Y5596:Y5597"/>
    <mergeCell ref="Z5596:Z5597"/>
    <mergeCell ref="O5596:O5597"/>
    <mergeCell ref="P5596:P5597"/>
    <mergeCell ref="Q5596:Q5597"/>
    <mergeCell ref="R5596:R5597"/>
    <mergeCell ref="S5596:S5597"/>
    <mergeCell ref="T5596:T5597"/>
    <mergeCell ref="I5596:I5597"/>
    <mergeCell ref="J5596:J5597"/>
    <mergeCell ref="K5596:K5597"/>
    <mergeCell ref="L5596:L5597"/>
    <mergeCell ref="M5596:M5597"/>
    <mergeCell ref="N5596:N5597"/>
    <mergeCell ref="O5591:O5593"/>
    <mergeCell ref="P5591:P5593"/>
    <mergeCell ref="M5594:N5594"/>
    <mergeCell ref="M5595:N5595"/>
    <mergeCell ref="B5596:B5597"/>
    <mergeCell ref="C5596:C5597"/>
    <mergeCell ref="E5596:E5597"/>
    <mergeCell ref="F5596:F5597"/>
    <mergeCell ref="G5596:G5597"/>
    <mergeCell ref="H5596:H5597"/>
    <mergeCell ref="I5591:I5593"/>
    <mergeCell ref="J5591:J5593"/>
    <mergeCell ref="K5591:K5593"/>
    <mergeCell ref="L5591:L5593"/>
    <mergeCell ref="M5591:M5593"/>
    <mergeCell ref="N5591:N5593"/>
    <mergeCell ref="B5591:B5593"/>
    <mergeCell ref="C5591:C5593"/>
    <mergeCell ref="E5591:E5593"/>
    <mergeCell ref="F5591:F5593"/>
    <mergeCell ref="G5591:G5593"/>
    <mergeCell ref="H5591:H5593"/>
    <mergeCell ref="X5587:X5588"/>
    <mergeCell ref="Y5587:Y5588"/>
    <mergeCell ref="Z5587:Z5588"/>
    <mergeCell ref="AA5587:AA5588"/>
    <mergeCell ref="M5589:N5589"/>
    <mergeCell ref="M5590:N5590"/>
    <mergeCell ref="R5587:R5588"/>
    <mergeCell ref="S5587:S5588"/>
    <mergeCell ref="T5587:T5588"/>
    <mergeCell ref="U5587:U5588"/>
    <mergeCell ref="V5587:V5588"/>
    <mergeCell ref="W5587:W5588"/>
    <mergeCell ref="L5587:L5588"/>
    <mergeCell ref="M5587:M5588"/>
    <mergeCell ref="N5587:N5588"/>
    <mergeCell ref="O5587:O5588"/>
    <mergeCell ref="P5587:P5588"/>
    <mergeCell ref="Q5587:Q5588"/>
    <mergeCell ref="M5586:N5586"/>
    <mergeCell ref="B5587:B5588"/>
    <mergeCell ref="C5587:C5588"/>
    <mergeCell ref="E5587:E5588"/>
    <mergeCell ref="F5587:F5588"/>
    <mergeCell ref="G5587:G5588"/>
    <mergeCell ref="H5587:H5588"/>
    <mergeCell ref="I5587:I5588"/>
    <mergeCell ref="J5587:J5588"/>
    <mergeCell ref="K5587:K5588"/>
    <mergeCell ref="W5583:W5584"/>
    <mergeCell ref="X5583:X5584"/>
    <mergeCell ref="Y5583:Y5584"/>
    <mergeCell ref="Z5583:Z5584"/>
    <mergeCell ref="AA5583:AA5584"/>
    <mergeCell ref="M5585:N5585"/>
    <mergeCell ref="Q5583:Q5584"/>
    <mergeCell ref="R5583:R5584"/>
    <mergeCell ref="S5583:S5584"/>
    <mergeCell ref="T5583:T5584"/>
    <mergeCell ref="U5583:U5584"/>
    <mergeCell ref="V5583:V5584"/>
    <mergeCell ref="K5583:K5584"/>
    <mergeCell ref="L5583:L5584"/>
    <mergeCell ref="M5583:M5584"/>
    <mergeCell ref="N5583:N5584"/>
    <mergeCell ref="O5583:O5584"/>
    <mergeCell ref="P5583:P5584"/>
    <mergeCell ref="M5581:N5581"/>
    <mergeCell ref="M5582:N5582"/>
    <mergeCell ref="B5583:B5584"/>
    <mergeCell ref="C5583:C5584"/>
    <mergeCell ref="E5583:E5584"/>
    <mergeCell ref="F5583:F5584"/>
    <mergeCell ref="G5583:G5584"/>
    <mergeCell ref="H5583:H5584"/>
    <mergeCell ref="I5583:I5584"/>
    <mergeCell ref="J5583:J5584"/>
    <mergeCell ref="V5579:V5580"/>
    <mergeCell ref="W5579:W5580"/>
    <mergeCell ref="X5579:X5580"/>
    <mergeCell ref="Y5579:Y5580"/>
    <mergeCell ref="Z5579:Z5580"/>
    <mergeCell ref="AA5579:AA5580"/>
    <mergeCell ref="P5579:P5580"/>
    <mergeCell ref="Q5579:Q5580"/>
    <mergeCell ref="R5579:R5580"/>
    <mergeCell ref="S5579:S5580"/>
    <mergeCell ref="T5579:T5580"/>
    <mergeCell ref="U5579:U5580"/>
    <mergeCell ref="J5579:J5580"/>
    <mergeCell ref="K5579:K5580"/>
    <mergeCell ref="L5579:L5580"/>
    <mergeCell ref="M5579:M5580"/>
    <mergeCell ref="N5579:N5580"/>
    <mergeCell ref="O5579:O5580"/>
    <mergeCell ref="AA5575:AA5576"/>
    <mergeCell ref="M5577:N5577"/>
    <mergeCell ref="M5578:N5578"/>
    <mergeCell ref="B5579:B5580"/>
    <mergeCell ref="C5579:C5580"/>
    <mergeCell ref="E5579:E5580"/>
    <mergeCell ref="F5579:F5580"/>
    <mergeCell ref="G5579:G5580"/>
    <mergeCell ref="H5579:H5580"/>
    <mergeCell ref="I5579:I5580"/>
    <mergeCell ref="U5575:U5576"/>
    <mergeCell ref="V5575:V5576"/>
    <mergeCell ref="W5575:W5576"/>
    <mergeCell ref="X5575:X5576"/>
    <mergeCell ref="Y5575:Y5576"/>
    <mergeCell ref="Z5575:Z5576"/>
    <mergeCell ref="O5575:O5576"/>
    <mergeCell ref="P5575:P5576"/>
    <mergeCell ref="Q5575:Q5576"/>
    <mergeCell ref="R5575:R5576"/>
    <mergeCell ref="S5575:S5576"/>
    <mergeCell ref="T5575:T5576"/>
    <mergeCell ref="B5575:B5576"/>
    <mergeCell ref="C5575:C5576"/>
    <mergeCell ref="E5575:E5576"/>
    <mergeCell ref="F5575:F5576"/>
    <mergeCell ref="G5575:G5576"/>
    <mergeCell ref="M5575:M5576"/>
    <mergeCell ref="H5573:H5576"/>
    <mergeCell ref="I5573:I5576"/>
    <mergeCell ref="J5573:J5576"/>
    <mergeCell ref="K5573:K5576"/>
    <mergeCell ref="L5573:L5576"/>
    <mergeCell ref="M5573:N5573"/>
    <mergeCell ref="M5574:N5574"/>
    <mergeCell ref="N5575:N5576"/>
    <mergeCell ref="V5571:V5572"/>
    <mergeCell ref="W5571:W5572"/>
    <mergeCell ref="X5571:X5572"/>
    <mergeCell ref="Y5571:Y5572"/>
    <mergeCell ref="Z5571:Z5572"/>
    <mergeCell ref="AA5571:AA5572"/>
    <mergeCell ref="P5571:P5572"/>
    <mergeCell ref="Q5571:Q5572"/>
    <mergeCell ref="R5571:R5572"/>
    <mergeCell ref="S5571:S5572"/>
    <mergeCell ref="T5571:T5572"/>
    <mergeCell ref="U5571:U5572"/>
    <mergeCell ref="K5570:K5572"/>
    <mergeCell ref="L5570:L5572"/>
    <mergeCell ref="M5570:N5570"/>
    <mergeCell ref="M5571:M5572"/>
    <mergeCell ref="N5571:N5572"/>
    <mergeCell ref="O5571:O5572"/>
    <mergeCell ref="AA5567:AA5568"/>
    <mergeCell ref="M5569:N5569"/>
    <mergeCell ref="B5570:B5572"/>
    <mergeCell ref="C5570:C5572"/>
    <mergeCell ref="E5570:E5572"/>
    <mergeCell ref="F5570:F5572"/>
    <mergeCell ref="G5570:G5572"/>
    <mergeCell ref="H5570:H5572"/>
    <mergeCell ref="I5570:I5572"/>
    <mergeCell ref="J5570:J5572"/>
    <mergeCell ref="H5567:H5569"/>
    <mergeCell ref="I5567:I5569"/>
    <mergeCell ref="J5567:K5568"/>
    <mergeCell ref="L5567:L5569"/>
    <mergeCell ref="M5567:N5568"/>
    <mergeCell ref="O5567:Z5567"/>
    <mergeCell ref="B5567:B5569"/>
    <mergeCell ref="C5567:C5569"/>
    <mergeCell ref="D5567:D5569"/>
    <mergeCell ref="E5567:E5569"/>
    <mergeCell ref="F5567:F5569"/>
    <mergeCell ref="G5567:G5569"/>
    <mergeCell ref="B5564:B5566"/>
    <mergeCell ref="C5564:U5566"/>
    <mergeCell ref="V5564:Y5564"/>
    <mergeCell ref="Z5564:AA5564"/>
    <mergeCell ref="V5566:Y5566"/>
    <mergeCell ref="Z5566:AA5566"/>
    <mergeCell ref="AA5557:AA5558"/>
    <mergeCell ref="B5560:B5563"/>
    <mergeCell ref="C5560:U5563"/>
    <mergeCell ref="V5560:Y5560"/>
    <mergeCell ref="Z5560:AA5560"/>
    <mergeCell ref="V5561:Y5561"/>
    <mergeCell ref="Z5561:AA5561"/>
    <mergeCell ref="V5563:Y5563"/>
    <mergeCell ref="Z5563:AA5563"/>
    <mergeCell ref="U5557:U5558"/>
    <mergeCell ref="V5557:V5558"/>
    <mergeCell ref="W5557:W5558"/>
    <mergeCell ref="X5557:X5558"/>
    <mergeCell ref="Y5557:Y5558"/>
    <mergeCell ref="Z5557:Z5558"/>
    <mergeCell ref="O5557:O5558"/>
    <mergeCell ref="P5557:P5558"/>
    <mergeCell ref="Q5557:Q5558"/>
    <mergeCell ref="R5557:R5558"/>
    <mergeCell ref="S5557:S5558"/>
    <mergeCell ref="T5557:T5558"/>
    <mergeCell ref="K5555:K5558"/>
    <mergeCell ref="L5555:L5558"/>
    <mergeCell ref="M5555:N5555"/>
    <mergeCell ref="M5556:N5556"/>
    <mergeCell ref="M5557:M5558"/>
    <mergeCell ref="N5557:N5558"/>
    <mergeCell ref="AA5553:AA5554"/>
    <mergeCell ref="B5555:B5558"/>
    <mergeCell ref="C5555:C5558"/>
    <mergeCell ref="D5555:D5558"/>
    <mergeCell ref="E5555:E5558"/>
    <mergeCell ref="F5555:F5558"/>
    <mergeCell ref="G5555:G5558"/>
    <mergeCell ref="H5555:H5558"/>
    <mergeCell ref="I5555:I5558"/>
    <mergeCell ref="J5555:J5558"/>
    <mergeCell ref="U5553:U5554"/>
    <mergeCell ref="V5553:V5554"/>
    <mergeCell ref="W5553:W5554"/>
    <mergeCell ref="X5553:X5554"/>
    <mergeCell ref="Y5553:Y5554"/>
    <mergeCell ref="Z5553:Z5554"/>
    <mergeCell ref="O5553:O5554"/>
    <mergeCell ref="P5553:P5554"/>
    <mergeCell ref="Q5553:Q5554"/>
    <mergeCell ref="R5553:R5554"/>
    <mergeCell ref="S5553:S5554"/>
    <mergeCell ref="T5553:T5554"/>
    <mergeCell ref="K5551:K5554"/>
    <mergeCell ref="L5551:L5554"/>
    <mergeCell ref="M5551:N5551"/>
    <mergeCell ref="M5552:N5552"/>
    <mergeCell ref="M5553:M5554"/>
    <mergeCell ref="N5553:N5554"/>
    <mergeCell ref="AA5549:AA5550"/>
    <mergeCell ref="B5551:B5554"/>
    <mergeCell ref="C5551:C5554"/>
    <mergeCell ref="D5551:D5554"/>
    <mergeCell ref="E5551:E5554"/>
    <mergeCell ref="F5551:F5554"/>
    <mergeCell ref="G5551:G5554"/>
    <mergeCell ref="H5551:H5554"/>
    <mergeCell ref="I5551:I5554"/>
    <mergeCell ref="J5551:J5554"/>
    <mergeCell ref="U5549:U5550"/>
    <mergeCell ref="V5549:V5550"/>
    <mergeCell ref="W5549:W5550"/>
    <mergeCell ref="X5549:X5550"/>
    <mergeCell ref="Y5549:Y5550"/>
    <mergeCell ref="Z5549:Z5550"/>
    <mergeCell ref="O5549:O5550"/>
    <mergeCell ref="P5549:P5550"/>
    <mergeCell ref="Q5549:Q5550"/>
    <mergeCell ref="R5549:R5550"/>
    <mergeCell ref="S5549:S5550"/>
    <mergeCell ref="T5549:T5550"/>
    <mergeCell ref="K5547:K5550"/>
    <mergeCell ref="L5547:L5550"/>
    <mergeCell ref="M5547:N5547"/>
    <mergeCell ref="M5548:N5548"/>
    <mergeCell ref="M5549:M5550"/>
    <mergeCell ref="N5549:N5550"/>
    <mergeCell ref="AA5545:AA5546"/>
    <mergeCell ref="B5547:B5550"/>
    <mergeCell ref="C5547:C5550"/>
    <mergeCell ref="D5547:D5550"/>
    <mergeCell ref="E5547:E5550"/>
    <mergeCell ref="F5547:F5550"/>
    <mergeCell ref="G5547:G5550"/>
    <mergeCell ref="H5547:H5550"/>
    <mergeCell ref="I5547:I5550"/>
    <mergeCell ref="J5547:J5550"/>
    <mergeCell ref="U5545:U5546"/>
    <mergeCell ref="V5545:V5546"/>
    <mergeCell ref="W5545:W5546"/>
    <mergeCell ref="X5545:X5546"/>
    <mergeCell ref="Y5545:Y5546"/>
    <mergeCell ref="Z5545:Z5546"/>
    <mergeCell ref="O5545:O5546"/>
    <mergeCell ref="P5545:P5546"/>
    <mergeCell ref="Q5545:Q5546"/>
    <mergeCell ref="R5545:R5546"/>
    <mergeCell ref="S5545:S5546"/>
    <mergeCell ref="T5545:T5546"/>
    <mergeCell ref="H5544:H5546"/>
    <mergeCell ref="I5544:I5546"/>
    <mergeCell ref="J5544:J5546"/>
    <mergeCell ref="K5544:K5546"/>
    <mergeCell ref="L5544:L5546"/>
    <mergeCell ref="M5544:N5544"/>
    <mergeCell ref="M5545:M5546"/>
    <mergeCell ref="N5545:N5546"/>
    <mergeCell ref="B5544:B5546"/>
    <mergeCell ref="C5544:C5546"/>
    <mergeCell ref="D5544:D5546"/>
    <mergeCell ref="E5544:E5546"/>
    <mergeCell ref="F5544:F5546"/>
    <mergeCell ref="G5544:G5546"/>
    <mergeCell ref="J5541:K5542"/>
    <mergeCell ref="L5541:L5542"/>
    <mergeCell ref="M5541:N5542"/>
    <mergeCell ref="O5541:Z5541"/>
    <mergeCell ref="AA5541:AA5542"/>
    <mergeCell ref="M5543:N5543"/>
    <mergeCell ref="AA5538:AA5539"/>
    <mergeCell ref="C5540:L5540"/>
    <mergeCell ref="B5541:B5542"/>
    <mergeCell ref="C5541:C5542"/>
    <mergeCell ref="D5541:D5542"/>
    <mergeCell ref="E5541:E5542"/>
    <mergeCell ref="F5541:F5542"/>
    <mergeCell ref="G5541:G5542"/>
    <mergeCell ref="H5541:H5542"/>
    <mergeCell ref="I5541:I5542"/>
    <mergeCell ref="U5538:U5539"/>
    <mergeCell ref="V5538:V5539"/>
    <mergeCell ref="W5538:W5539"/>
    <mergeCell ref="X5538:X5539"/>
    <mergeCell ref="Y5538:Y5539"/>
    <mergeCell ref="Z5538:Z5539"/>
    <mergeCell ref="O5538:O5539"/>
    <mergeCell ref="P5538:P5539"/>
    <mergeCell ref="Q5538:Q5539"/>
    <mergeCell ref="R5538:R5539"/>
    <mergeCell ref="S5538:S5539"/>
    <mergeCell ref="T5538:T5539"/>
    <mergeCell ref="K5536:K5539"/>
    <mergeCell ref="L5536:L5539"/>
    <mergeCell ref="M5536:N5536"/>
    <mergeCell ref="M5537:N5537"/>
    <mergeCell ref="M5538:M5539"/>
    <mergeCell ref="N5538:N5539"/>
    <mergeCell ref="AA5534:AA5535"/>
    <mergeCell ref="B5536:B5539"/>
    <mergeCell ref="C5536:C5539"/>
    <mergeCell ref="D5536:D5539"/>
    <mergeCell ref="E5536:E5539"/>
    <mergeCell ref="F5536:F5539"/>
    <mergeCell ref="G5536:G5539"/>
    <mergeCell ref="H5536:H5539"/>
    <mergeCell ref="I5536:I5539"/>
    <mergeCell ref="J5536:J5539"/>
    <mergeCell ref="U5534:U5535"/>
    <mergeCell ref="V5534:V5535"/>
    <mergeCell ref="W5534:W5535"/>
    <mergeCell ref="X5534:X5535"/>
    <mergeCell ref="Y5534:Y5535"/>
    <mergeCell ref="Z5534:Z5535"/>
    <mergeCell ref="O5534:O5535"/>
    <mergeCell ref="P5534:P5535"/>
    <mergeCell ref="Q5534:Q5535"/>
    <mergeCell ref="R5534:R5535"/>
    <mergeCell ref="S5534:S5535"/>
    <mergeCell ref="T5534:T5535"/>
    <mergeCell ref="H5532:H5535"/>
    <mergeCell ref="I5532:I5535"/>
    <mergeCell ref="J5532:J5535"/>
    <mergeCell ref="K5532:K5535"/>
    <mergeCell ref="L5532:L5535"/>
    <mergeCell ref="M5532:N5532"/>
    <mergeCell ref="M5533:N5533"/>
    <mergeCell ref="M5534:M5535"/>
    <mergeCell ref="N5534:N5535"/>
    <mergeCell ref="AA5526:AA5528"/>
    <mergeCell ref="B5529:B5530"/>
    <mergeCell ref="C5529:C5530"/>
    <mergeCell ref="B5531:AA5531"/>
    <mergeCell ref="B5532:B5535"/>
    <mergeCell ref="C5532:C5535"/>
    <mergeCell ref="D5532:D5535"/>
    <mergeCell ref="E5532:E5535"/>
    <mergeCell ref="F5532:F5535"/>
    <mergeCell ref="G5532:G5535"/>
    <mergeCell ref="U5526:U5528"/>
    <mergeCell ref="V5526:V5528"/>
    <mergeCell ref="W5526:W5528"/>
    <mergeCell ref="X5526:X5528"/>
    <mergeCell ref="Y5526:Y5528"/>
    <mergeCell ref="Z5526:Z5528"/>
    <mergeCell ref="O5526:O5528"/>
    <mergeCell ref="P5526:P5528"/>
    <mergeCell ref="Q5526:Q5528"/>
    <mergeCell ref="R5526:R5528"/>
    <mergeCell ref="S5526:S5528"/>
    <mergeCell ref="T5526:T5528"/>
    <mergeCell ref="I5524:I5528"/>
    <mergeCell ref="J5524:J5528"/>
    <mergeCell ref="K5524:K5528"/>
    <mergeCell ref="L5524:L5528"/>
    <mergeCell ref="M5524:N5524"/>
    <mergeCell ref="M5525:N5525"/>
    <mergeCell ref="M5526:M5528"/>
    <mergeCell ref="N5526:N5528"/>
    <mergeCell ref="M5522:N5523"/>
    <mergeCell ref="O5522:Z5522"/>
    <mergeCell ref="AA5522:AA5523"/>
    <mergeCell ref="B5524:B5528"/>
    <mergeCell ref="C5524:C5528"/>
    <mergeCell ref="D5524:D5528"/>
    <mergeCell ref="E5524:E5528"/>
    <mergeCell ref="F5524:F5528"/>
    <mergeCell ref="G5524:G5528"/>
    <mergeCell ref="H5524:H5528"/>
    <mergeCell ref="C5521:AA5521"/>
    <mergeCell ref="B5522:B5523"/>
    <mergeCell ref="C5522:C5523"/>
    <mergeCell ref="E5522:E5523"/>
    <mergeCell ref="F5522:F5523"/>
    <mergeCell ref="G5522:G5523"/>
    <mergeCell ref="H5522:H5523"/>
    <mergeCell ref="I5522:I5523"/>
    <mergeCell ref="J5522:K5522"/>
    <mergeCell ref="L5522:L5523"/>
    <mergeCell ref="B5518:B5520"/>
    <mergeCell ref="C5518:L5520"/>
    <mergeCell ref="V5518:Y5518"/>
    <mergeCell ref="Z5518:AA5518"/>
    <mergeCell ref="V5519:Y5519"/>
    <mergeCell ref="Z5519:AA5519"/>
    <mergeCell ref="V5520:Y5520"/>
    <mergeCell ref="Z5520:AA5520"/>
    <mergeCell ref="M5510:N5510"/>
    <mergeCell ref="M5511:N5511"/>
    <mergeCell ref="C5513:AA5513"/>
    <mergeCell ref="M5514:N5514"/>
    <mergeCell ref="M5515:N5515"/>
    <mergeCell ref="V5517:Y5517"/>
    <mergeCell ref="Z5517:AA5517"/>
    <mergeCell ref="W5507:W5508"/>
    <mergeCell ref="X5507:X5508"/>
    <mergeCell ref="Y5507:Y5508"/>
    <mergeCell ref="Z5507:Z5508"/>
    <mergeCell ref="AA5507:AA5508"/>
    <mergeCell ref="C5509:AA5509"/>
    <mergeCell ref="Q5507:Q5508"/>
    <mergeCell ref="R5507:R5508"/>
    <mergeCell ref="S5507:S5508"/>
    <mergeCell ref="T5507:T5508"/>
    <mergeCell ref="U5507:U5508"/>
    <mergeCell ref="V5507:V5508"/>
    <mergeCell ref="M5505:N5505"/>
    <mergeCell ref="M5506:N5506"/>
    <mergeCell ref="M5507:M5508"/>
    <mergeCell ref="N5507:N5508"/>
    <mergeCell ref="O5507:O5508"/>
    <mergeCell ref="P5507:P5508"/>
    <mergeCell ref="G5505:G5508"/>
    <mergeCell ref="H5505:H5508"/>
    <mergeCell ref="I5505:I5508"/>
    <mergeCell ref="J5505:J5508"/>
    <mergeCell ref="K5505:K5508"/>
    <mergeCell ref="L5505:L5508"/>
    <mergeCell ref="J5503:K5503"/>
    <mergeCell ref="L5503:L5504"/>
    <mergeCell ref="M5503:N5504"/>
    <mergeCell ref="O5503:Z5503"/>
    <mergeCell ref="AA5503:AA5504"/>
    <mergeCell ref="B5505:B5508"/>
    <mergeCell ref="C5505:C5508"/>
    <mergeCell ref="D5505:D5508"/>
    <mergeCell ref="E5505:E5508"/>
    <mergeCell ref="F5505:F5508"/>
    <mergeCell ref="C5478:C5479"/>
    <mergeCell ref="D5478:D5479"/>
    <mergeCell ref="E5478:E5479"/>
    <mergeCell ref="F5478:F5479"/>
    <mergeCell ref="G5478:G5479"/>
    <mergeCell ref="H5478:H5479"/>
    <mergeCell ref="I5478:I5479"/>
    <mergeCell ref="J5478:J5479"/>
    <mergeCell ref="V5502:Y5502"/>
    <mergeCell ref="Z5502:AA5502"/>
    <mergeCell ref="B5503:B5504"/>
    <mergeCell ref="C5503:C5504"/>
    <mergeCell ref="D5503:D5504"/>
    <mergeCell ref="E5503:E5504"/>
    <mergeCell ref="F5503:F5504"/>
    <mergeCell ref="G5503:G5504"/>
    <mergeCell ref="H5503:H5504"/>
    <mergeCell ref="I5503:I5504"/>
    <mergeCell ref="C5495:AA5495"/>
    <mergeCell ref="C5497:AA5497"/>
    <mergeCell ref="C5498:U5501"/>
    <mergeCell ref="V5498:Y5498"/>
    <mergeCell ref="Z5498:AA5498"/>
    <mergeCell ref="V5499:Y5500"/>
    <mergeCell ref="Z5499:AA5499"/>
    <mergeCell ref="Z5500:AA5500"/>
    <mergeCell ref="V5501:Y5501"/>
    <mergeCell ref="Z5501:AA5501"/>
    <mergeCell ref="H5488:H5489"/>
    <mergeCell ref="I5488:I5489"/>
    <mergeCell ref="J5488:J5489"/>
    <mergeCell ref="B5488:B5489"/>
    <mergeCell ref="C5488:C5489"/>
    <mergeCell ref="D5488:D5489"/>
    <mergeCell ref="E5488:E5489"/>
    <mergeCell ref="F5488:F5489"/>
    <mergeCell ref="G5488:G5489"/>
    <mergeCell ref="J5484:J5485"/>
    <mergeCell ref="B5486:B5487"/>
    <mergeCell ref="C5486:C5487"/>
    <mergeCell ref="D5486:D5487"/>
    <mergeCell ref="E5486:E5487"/>
    <mergeCell ref="F5486:F5487"/>
    <mergeCell ref="G5486:G5487"/>
    <mergeCell ref="H5486:H5487"/>
    <mergeCell ref="I5486:I5487"/>
    <mergeCell ref="J5486:J5487"/>
    <mergeCell ref="G5490:I5490"/>
    <mergeCell ref="O5490:Z5490"/>
    <mergeCell ref="I5474:I5475"/>
    <mergeCell ref="J5474:J5475"/>
    <mergeCell ref="B5476:B5477"/>
    <mergeCell ref="C5476:C5477"/>
    <mergeCell ref="D5476:D5477"/>
    <mergeCell ref="E5476:E5477"/>
    <mergeCell ref="F5476:F5477"/>
    <mergeCell ref="G5476:G5477"/>
    <mergeCell ref="H5476:H5477"/>
    <mergeCell ref="I5476:I5477"/>
    <mergeCell ref="K5472:K5489"/>
    <mergeCell ref="L5472:L5489"/>
    <mergeCell ref="M5472:M5489"/>
    <mergeCell ref="B5474:B5475"/>
    <mergeCell ref="C5474:C5475"/>
    <mergeCell ref="D5474:D5475"/>
    <mergeCell ref="E5474:E5475"/>
    <mergeCell ref="F5474:F5475"/>
    <mergeCell ref="G5474:G5475"/>
    <mergeCell ref="H5474:H5475"/>
    <mergeCell ref="AA5470:AA5471"/>
    <mergeCell ref="B5472:B5473"/>
    <mergeCell ref="C5472:C5473"/>
    <mergeCell ref="D5472:D5473"/>
    <mergeCell ref="E5472:E5473"/>
    <mergeCell ref="F5472:F5473"/>
    <mergeCell ref="G5472:G5473"/>
    <mergeCell ref="H5472:H5473"/>
    <mergeCell ref="I5472:I5473"/>
    <mergeCell ref="J5472:J5473"/>
    <mergeCell ref="H5470:H5471"/>
    <mergeCell ref="I5470:J5470"/>
    <mergeCell ref="K5470:K5471"/>
    <mergeCell ref="L5470:L5471"/>
    <mergeCell ref="M5470:M5471"/>
    <mergeCell ref="N5470:N5471"/>
    <mergeCell ref="I5482:I5483"/>
    <mergeCell ref="J5482:J5483"/>
    <mergeCell ref="B5484:B5485"/>
    <mergeCell ref="C5484:C5485"/>
    <mergeCell ref="D5484:D5485"/>
    <mergeCell ref="E5484:E5485"/>
    <mergeCell ref="F5484:F5485"/>
    <mergeCell ref="G5484:G5485"/>
    <mergeCell ref="H5484:H5485"/>
    <mergeCell ref="I5484:I5485"/>
    <mergeCell ref="H5480:H5481"/>
    <mergeCell ref="I5480:I5481"/>
    <mergeCell ref="J5480:J5481"/>
    <mergeCell ref="B5482:B5483"/>
    <mergeCell ref="C5482:C5483"/>
    <mergeCell ref="D5482:D5483"/>
    <mergeCell ref="E5482:E5483"/>
    <mergeCell ref="F5482:F5483"/>
    <mergeCell ref="G5482:G5483"/>
    <mergeCell ref="H5482:H5483"/>
    <mergeCell ref="B5480:B5481"/>
    <mergeCell ref="C5480:C5481"/>
    <mergeCell ref="D5480:D5481"/>
    <mergeCell ref="E5480:E5481"/>
    <mergeCell ref="F5480:F5481"/>
    <mergeCell ref="G5480:G5481"/>
    <mergeCell ref="J5476:J5477"/>
    <mergeCell ref="B5478:B5479"/>
    <mergeCell ref="M5464:M5465"/>
    <mergeCell ref="O5466:Z5466"/>
    <mergeCell ref="B5467:B5469"/>
    <mergeCell ref="C5467:AA5469"/>
    <mergeCell ref="B5470:B5471"/>
    <mergeCell ref="C5470:C5471"/>
    <mergeCell ref="D5470:D5471"/>
    <mergeCell ref="E5470:E5471"/>
    <mergeCell ref="F5470:F5471"/>
    <mergeCell ref="G5470:G5471"/>
    <mergeCell ref="G5464:G5465"/>
    <mergeCell ref="H5464:H5465"/>
    <mergeCell ref="I5464:I5465"/>
    <mergeCell ref="J5464:J5465"/>
    <mergeCell ref="K5464:K5465"/>
    <mergeCell ref="L5464:L5465"/>
    <mergeCell ref="K5462:K5463"/>
    <mergeCell ref="L5462:L5463"/>
    <mergeCell ref="M5462:M5463"/>
    <mergeCell ref="O5462:Z5462"/>
    <mergeCell ref="AA5462:AA5463"/>
    <mergeCell ref="B5464:B5465"/>
    <mergeCell ref="C5464:C5465"/>
    <mergeCell ref="D5464:D5465"/>
    <mergeCell ref="E5464:E5465"/>
    <mergeCell ref="F5464:F5465"/>
    <mergeCell ref="B5459:B5461"/>
    <mergeCell ref="C5459:AA5461"/>
    <mergeCell ref="B5462:B5463"/>
    <mergeCell ref="C5462:C5463"/>
    <mergeCell ref="D5462:D5463"/>
    <mergeCell ref="E5462:E5463"/>
    <mergeCell ref="F5462:F5463"/>
    <mergeCell ref="G5462:G5463"/>
    <mergeCell ref="H5462:H5463"/>
    <mergeCell ref="I5462:J5462"/>
    <mergeCell ref="H5456:H5457"/>
    <mergeCell ref="I5456:I5457"/>
    <mergeCell ref="J5456:J5457"/>
    <mergeCell ref="L5456:L5457"/>
    <mergeCell ref="M5456:M5457"/>
    <mergeCell ref="O5458:Z5458"/>
    <mergeCell ref="J5454:J5455"/>
    <mergeCell ref="K5454:K5457"/>
    <mergeCell ref="L5454:L5455"/>
    <mergeCell ref="M5454:M5455"/>
    <mergeCell ref="B5456:B5457"/>
    <mergeCell ref="C5456:C5457"/>
    <mergeCell ref="D5456:D5457"/>
    <mergeCell ref="E5456:E5457"/>
    <mergeCell ref="F5456:F5457"/>
    <mergeCell ref="G5456:G5457"/>
    <mergeCell ref="O5452:Z5452"/>
    <mergeCell ref="AA5452:AA5453"/>
    <mergeCell ref="B5454:B5455"/>
    <mergeCell ref="C5454:C5455"/>
    <mergeCell ref="D5454:D5455"/>
    <mergeCell ref="E5454:E5455"/>
    <mergeCell ref="F5454:F5455"/>
    <mergeCell ref="G5454:G5455"/>
    <mergeCell ref="H5454:H5455"/>
    <mergeCell ref="I5454:I5455"/>
    <mergeCell ref="H5452:H5453"/>
    <mergeCell ref="I5452:J5452"/>
    <mergeCell ref="K5452:K5453"/>
    <mergeCell ref="L5452:L5453"/>
    <mergeCell ref="M5452:M5453"/>
    <mergeCell ref="N5452:N5453"/>
    <mergeCell ref="M5446:M5447"/>
    <mergeCell ref="P5448:Z5448"/>
    <mergeCell ref="B5449:B5451"/>
    <mergeCell ref="C5449:AA5451"/>
    <mergeCell ref="B5452:B5453"/>
    <mergeCell ref="C5452:C5453"/>
    <mergeCell ref="D5452:D5453"/>
    <mergeCell ref="E5452:E5453"/>
    <mergeCell ref="F5452:F5453"/>
    <mergeCell ref="G5452:G5453"/>
    <mergeCell ref="M5444:M5445"/>
    <mergeCell ref="B5446:B5447"/>
    <mergeCell ref="C5446:C5447"/>
    <mergeCell ref="D5446:D5447"/>
    <mergeCell ref="E5446:E5447"/>
    <mergeCell ref="F5446:F5447"/>
    <mergeCell ref="G5446:G5447"/>
    <mergeCell ref="H5446:H5447"/>
    <mergeCell ref="I5446:I5447"/>
    <mergeCell ref="J5446:J5447"/>
    <mergeCell ref="B5444:B5445"/>
    <mergeCell ref="C5444:C5445"/>
    <mergeCell ref="D5444:D5445"/>
    <mergeCell ref="E5444:E5445"/>
    <mergeCell ref="F5444:F5445"/>
    <mergeCell ref="G5444:G5445"/>
    <mergeCell ref="H5442:H5443"/>
    <mergeCell ref="I5442:I5443"/>
    <mergeCell ref="J5442:J5443"/>
    <mergeCell ref="K5442:K5447"/>
    <mergeCell ref="L5442:L5443"/>
    <mergeCell ref="M5442:M5443"/>
    <mergeCell ref="H5444:H5445"/>
    <mergeCell ref="I5444:I5445"/>
    <mergeCell ref="J5444:J5445"/>
    <mergeCell ref="L5444:L5445"/>
    <mergeCell ref="J5440:J5441"/>
    <mergeCell ref="K5440:K5441"/>
    <mergeCell ref="L5440:L5441"/>
    <mergeCell ref="M5440:M5441"/>
    <mergeCell ref="B5442:B5443"/>
    <mergeCell ref="C5442:C5443"/>
    <mergeCell ref="D5442:D5443"/>
    <mergeCell ref="E5442:E5443"/>
    <mergeCell ref="F5442:F5443"/>
    <mergeCell ref="G5442:G5443"/>
    <mergeCell ref="H5418:H5419"/>
    <mergeCell ref="I5418:I5419"/>
    <mergeCell ref="J5418:J5419"/>
    <mergeCell ref="O5438:Z5438"/>
    <mergeCell ref="AA5438:AA5439"/>
    <mergeCell ref="B5440:B5441"/>
    <mergeCell ref="C5440:C5441"/>
    <mergeCell ref="D5440:D5441"/>
    <mergeCell ref="E5440:E5441"/>
    <mergeCell ref="F5440:F5441"/>
    <mergeCell ref="G5440:G5441"/>
    <mergeCell ref="H5440:H5441"/>
    <mergeCell ref="I5440:I5441"/>
    <mergeCell ref="H5438:H5439"/>
    <mergeCell ref="I5438:J5438"/>
    <mergeCell ref="K5438:K5439"/>
    <mergeCell ref="L5438:L5439"/>
    <mergeCell ref="M5438:M5439"/>
    <mergeCell ref="N5438:N5439"/>
    <mergeCell ref="M5432:M5433"/>
    <mergeCell ref="O5434:Z5434"/>
    <mergeCell ref="B5435:B5437"/>
    <mergeCell ref="C5435:AA5437"/>
    <mergeCell ref="B5438:B5439"/>
    <mergeCell ref="C5438:C5439"/>
    <mergeCell ref="D5438:D5439"/>
    <mergeCell ref="E5438:E5439"/>
    <mergeCell ref="F5438:F5439"/>
    <mergeCell ref="G5438:G5439"/>
    <mergeCell ref="B5432:B5433"/>
    <mergeCell ref="C5432:C5433"/>
    <mergeCell ref="D5432:D5433"/>
    <mergeCell ref="E5432:E5433"/>
    <mergeCell ref="F5432:F5433"/>
    <mergeCell ref="G5432:G5433"/>
    <mergeCell ref="H5430:H5431"/>
    <mergeCell ref="I5430:I5431"/>
    <mergeCell ref="J5430:J5431"/>
    <mergeCell ref="K5430:K5433"/>
    <mergeCell ref="L5430:L5431"/>
    <mergeCell ref="M5430:M5431"/>
    <mergeCell ref="H5432:H5433"/>
    <mergeCell ref="I5432:I5433"/>
    <mergeCell ref="J5432:J5433"/>
    <mergeCell ref="L5432:L5433"/>
    <mergeCell ref="B5430:B5431"/>
    <mergeCell ref="C5430:C5431"/>
    <mergeCell ref="D5430:D5431"/>
    <mergeCell ref="E5430:E5431"/>
    <mergeCell ref="F5430:F5431"/>
    <mergeCell ref="G5430:G5431"/>
    <mergeCell ref="F5414:F5415"/>
    <mergeCell ref="G5414:G5415"/>
    <mergeCell ref="H5414:H5415"/>
    <mergeCell ref="I5414:I5415"/>
    <mergeCell ref="J5414:J5415"/>
    <mergeCell ref="M5410:M5411"/>
    <mergeCell ref="B5412:B5413"/>
    <mergeCell ref="C5412:C5413"/>
    <mergeCell ref="D5412:D5413"/>
    <mergeCell ref="E5412:E5413"/>
    <mergeCell ref="F5412:F5413"/>
    <mergeCell ref="G5412:G5413"/>
    <mergeCell ref="H5412:H5413"/>
    <mergeCell ref="I5412:I5413"/>
    <mergeCell ref="J5412:J5413"/>
    <mergeCell ref="M5408:M5409"/>
    <mergeCell ref="B5410:B5411"/>
    <mergeCell ref="C5410:C5411"/>
    <mergeCell ref="D5410:D5411"/>
    <mergeCell ref="E5410:E5411"/>
    <mergeCell ref="F5410:F5411"/>
    <mergeCell ref="G5410:G5411"/>
    <mergeCell ref="H5410:H5411"/>
    <mergeCell ref="I5410:I5411"/>
    <mergeCell ref="J5410:J5411"/>
    <mergeCell ref="I5428:J5428"/>
    <mergeCell ref="K5428:K5429"/>
    <mergeCell ref="L5428:M5429"/>
    <mergeCell ref="N5428:N5429"/>
    <mergeCell ref="O5428:Z5428"/>
    <mergeCell ref="AA5428:AA5429"/>
    <mergeCell ref="M5422:M5423"/>
    <mergeCell ref="B5425:B5427"/>
    <mergeCell ref="C5425:AA5427"/>
    <mergeCell ref="B5428:B5429"/>
    <mergeCell ref="C5428:C5429"/>
    <mergeCell ref="D5428:D5429"/>
    <mergeCell ref="E5428:E5429"/>
    <mergeCell ref="F5428:F5429"/>
    <mergeCell ref="G5428:G5429"/>
    <mergeCell ref="H5428:H5429"/>
    <mergeCell ref="B5422:B5423"/>
    <mergeCell ref="C5422:C5423"/>
    <mergeCell ref="D5422:D5423"/>
    <mergeCell ref="E5422:E5423"/>
    <mergeCell ref="F5422:F5423"/>
    <mergeCell ref="G5422:G5423"/>
    <mergeCell ref="M5418:M5419"/>
    <mergeCell ref="B5420:B5421"/>
    <mergeCell ref="C5420:C5421"/>
    <mergeCell ref="D5420:D5421"/>
    <mergeCell ref="E5420:E5421"/>
    <mergeCell ref="F5420:F5421"/>
    <mergeCell ref="G5420:G5421"/>
    <mergeCell ref="H5420:H5421"/>
    <mergeCell ref="I5420:I5421"/>
    <mergeCell ref="J5420:J5421"/>
    <mergeCell ref="M5416:M5417"/>
    <mergeCell ref="B5418:B5419"/>
    <mergeCell ref="C5418:C5419"/>
    <mergeCell ref="D5418:D5419"/>
    <mergeCell ref="E5418:E5419"/>
    <mergeCell ref="F5418:F5419"/>
    <mergeCell ref="G5418:G5419"/>
    <mergeCell ref="M5406:M5407"/>
    <mergeCell ref="B5408:B5409"/>
    <mergeCell ref="C5408:C5409"/>
    <mergeCell ref="D5408:D5409"/>
    <mergeCell ref="E5408:E5409"/>
    <mergeCell ref="F5408:F5409"/>
    <mergeCell ref="G5408:G5409"/>
    <mergeCell ref="H5408:H5409"/>
    <mergeCell ref="I5408:I5409"/>
    <mergeCell ref="J5408:J5409"/>
    <mergeCell ref="M5404:M5405"/>
    <mergeCell ref="B5406:B5407"/>
    <mergeCell ref="C5406:C5407"/>
    <mergeCell ref="D5406:D5407"/>
    <mergeCell ref="E5406:E5407"/>
    <mergeCell ref="F5406:F5407"/>
    <mergeCell ref="G5406:G5407"/>
    <mergeCell ref="H5406:H5407"/>
    <mergeCell ref="I5406:I5407"/>
    <mergeCell ref="J5406:J5407"/>
    <mergeCell ref="M5402:M5403"/>
    <mergeCell ref="B5404:B5405"/>
    <mergeCell ref="C5404:C5405"/>
    <mergeCell ref="D5404:D5405"/>
    <mergeCell ref="E5404:E5405"/>
    <mergeCell ref="F5404:F5405"/>
    <mergeCell ref="G5404:G5405"/>
    <mergeCell ref="H5404:H5405"/>
    <mergeCell ref="I5404:I5405"/>
    <mergeCell ref="J5404:J5405"/>
    <mergeCell ref="M5400:M5401"/>
    <mergeCell ref="B5402:B5403"/>
    <mergeCell ref="C5402:C5403"/>
    <mergeCell ref="D5402:D5403"/>
    <mergeCell ref="E5402:E5403"/>
    <mergeCell ref="F5402:F5403"/>
    <mergeCell ref="G5402:G5403"/>
    <mergeCell ref="H5402:H5403"/>
    <mergeCell ref="I5402:I5403"/>
    <mergeCell ref="J5402:J5403"/>
    <mergeCell ref="G5400:G5401"/>
    <mergeCell ref="H5400:H5401"/>
    <mergeCell ref="I5400:I5401"/>
    <mergeCell ref="J5400:J5401"/>
    <mergeCell ref="K5400:K5423"/>
    <mergeCell ref="L5400:L5423"/>
    <mergeCell ref="H5422:H5423"/>
    <mergeCell ref="I5422:I5423"/>
    <mergeCell ref="J5422:J5423"/>
    <mergeCell ref="M5414:M5415"/>
    <mergeCell ref="B5416:B5417"/>
    <mergeCell ref="C5416:C5417"/>
    <mergeCell ref="D5416:D5417"/>
    <mergeCell ref="E5416:E5417"/>
    <mergeCell ref="F5416:F5417"/>
    <mergeCell ref="G5416:G5417"/>
    <mergeCell ref="H5416:H5417"/>
    <mergeCell ref="I5416:I5417"/>
    <mergeCell ref="J5416:J5417"/>
    <mergeCell ref="M5412:M5413"/>
    <mergeCell ref="B5414:B5415"/>
    <mergeCell ref="C5414:C5415"/>
    <mergeCell ref="D5414:D5415"/>
    <mergeCell ref="E5414:E5415"/>
    <mergeCell ref="I5398:I5399"/>
    <mergeCell ref="J5398:J5399"/>
    <mergeCell ref="K5398:K5399"/>
    <mergeCell ref="L5398:L5399"/>
    <mergeCell ref="M5398:M5399"/>
    <mergeCell ref="B5400:B5401"/>
    <mergeCell ref="C5400:C5401"/>
    <mergeCell ref="D5400:D5401"/>
    <mergeCell ref="E5400:E5401"/>
    <mergeCell ref="F5400:F5401"/>
    <mergeCell ref="I5396:I5397"/>
    <mergeCell ref="J5396:J5397"/>
    <mergeCell ref="M5396:M5397"/>
    <mergeCell ref="B5398:B5399"/>
    <mergeCell ref="C5398:C5399"/>
    <mergeCell ref="D5398:D5399"/>
    <mergeCell ref="E5398:E5399"/>
    <mergeCell ref="F5398:F5399"/>
    <mergeCell ref="G5398:G5399"/>
    <mergeCell ref="H5398:H5399"/>
    <mergeCell ref="I5394:I5395"/>
    <mergeCell ref="J5394:J5395"/>
    <mergeCell ref="M5394:M5395"/>
    <mergeCell ref="B5396:B5397"/>
    <mergeCell ref="C5396:C5397"/>
    <mergeCell ref="D5396:D5397"/>
    <mergeCell ref="E5396:E5397"/>
    <mergeCell ref="F5396:F5397"/>
    <mergeCell ref="G5396:G5397"/>
    <mergeCell ref="H5396:H5397"/>
    <mergeCell ref="K5392:K5397"/>
    <mergeCell ref="L5392:L5397"/>
    <mergeCell ref="M5392:M5393"/>
    <mergeCell ref="B5394:B5395"/>
    <mergeCell ref="C5394:C5395"/>
    <mergeCell ref="D5394:D5395"/>
    <mergeCell ref="E5394:E5395"/>
    <mergeCell ref="F5394:F5395"/>
    <mergeCell ref="G5394:G5395"/>
    <mergeCell ref="H5394:H5395"/>
    <mergeCell ref="I5380:I5381"/>
    <mergeCell ref="J5380:J5381"/>
    <mergeCell ref="M5376:M5377"/>
    <mergeCell ref="B5378:B5379"/>
    <mergeCell ref="C5378:C5379"/>
    <mergeCell ref="D5378:D5379"/>
    <mergeCell ref="E5378:E5379"/>
    <mergeCell ref="F5378:F5379"/>
    <mergeCell ref="G5378:G5379"/>
    <mergeCell ref="H5378:H5379"/>
    <mergeCell ref="I5378:I5379"/>
    <mergeCell ref="J5378:J5379"/>
    <mergeCell ref="M5390:M5391"/>
    <mergeCell ref="B5392:B5393"/>
    <mergeCell ref="C5392:C5393"/>
    <mergeCell ref="D5392:D5393"/>
    <mergeCell ref="E5392:E5393"/>
    <mergeCell ref="F5392:F5393"/>
    <mergeCell ref="G5392:G5393"/>
    <mergeCell ref="H5392:H5393"/>
    <mergeCell ref="I5392:I5393"/>
    <mergeCell ref="J5392:J5393"/>
    <mergeCell ref="M5388:M5389"/>
    <mergeCell ref="B5390:B5391"/>
    <mergeCell ref="C5390:C5391"/>
    <mergeCell ref="D5390:D5391"/>
    <mergeCell ref="E5390:E5391"/>
    <mergeCell ref="F5390:F5391"/>
    <mergeCell ref="G5390:G5391"/>
    <mergeCell ref="H5390:H5391"/>
    <mergeCell ref="I5390:I5391"/>
    <mergeCell ref="J5390:J5391"/>
    <mergeCell ref="M5386:M5387"/>
    <mergeCell ref="B5388:B5389"/>
    <mergeCell ref="C5388:C5389"/>
    <mergeCell ref="D5388:D5389"/>
    <mergeCell ref="E5388:E5389"/>
    <mergeCell ref="F5388:F5389"/>
    <mergeCell ref="G5388:G5389"/>
    <mergeCell ref="H5388:H5389"/>
    <mergeCell ref="I5388:I5389"/>
    <mergeCell ref="J5388:J5389"/>
    <mergeCell ref="M5384:M5385"/>
    <mergeCell ref="B5386:B5387"/>
    <mergeCell ref="C5386:C5387"/>
    <mergeCell ref="D5386:D5387"/>
    <mergeCell ref="E5386:E5387"/>
    <mergeCell ref="F5386:F5387"/>
    <mergeCell ref="G5386:G5387"/>
    <mergeCell ref="H5386:H5387"/>
    <mergeCell ref="I5386:I5387"/>
    <mergeCell ref="J5386:J5387"/>
    <mergeCell ref="M5374:M5375"/>
    <mergeCell ref="B5376:B5377"/>
    <mergeCell ref="C5376:C5377"/>
    <mergeCell ref="D5376:D5377"/>
    <mergeCell ref="E5376:E5377"/>
    <mergeCell ref="F5376:F5377"/>
    <mergeCell ref="G5376:G5377"/>
    <mergeCell ref="H5376:H5377"/>
    <mergeCell ref="I5376:I5377"/>
    <mergeCell ref="J5376:J5377"/>
    <mergeCell ref="M5372:M5373"/>
    <mergeCell ref="B5374:B5375"/>
    <mergeCell ref="C5374:C5375"/>
    <mergeCell ref="D5374:D5375"/>
    <mergeCell ref="E5374:E5375"/>
    <mergeCell ref="F5374:F5375"/>
    <mergeCell ref="G5374:G5375"/>
    <mergeCell ref="H5374:H5375"/>
    <mergeCell ref="I5374:I5375"/>
    <mergeCell ref="J5374:J5375"/>
    <mergeCell ref="G5372:G5373"/>
    <mergeCell ref="H5372:H5373"/>
    <mergeCell ref="I5372:I5373"/>
    <mergeCell ref="J5372:J5373"/>
    <mergeCell ref="K5372:K5387"/>
    <mergeCell ref="L5372:L5387"/>
    <mergeCell ref="I5370:I5371"/>
    <mergeCell ref="J5370:J5371"/>
    <mergeCell ref="K5370:K5371"/>
    <mergeCell ref="L5370:L5371"/>
    <mergeCell ref="M5370:M5371"/>
    <mergeCell ref="B5372:B5373"/>
    <mergeCell ref="C5372:C5373"/>
    <mergeCell ref="D5372:D5373"/>
    <mergeCell ref="E5372:E5373"/>
    <mergeCell ref="F5372:F5373"/>
    <mergeCell ref="M5382:M5383"/>
    <mergeCell ref="B5384:B5385"/>
    <mergeCell ref="C5384:C5385"/>
    <mergeCell ref="D5384:D5385"/>
    <mergeCell ref="E5384:E5385"/>
    <mergeCell ref="F5384:F5385"/>
    <mergeCell ref="G5384:G5385"/>
    <mergeCell ref="H5384:H5385"/>
    <mergeCell ref="I5384:I5385"/>
    <mergeCell ref="J5384:J5385"/>
    <mergeCell ref="M5380:M5381"/>
    <mergeCell ref="B5382:B5383"/>
    <mergeCell ref="C5382:C5383"/>
    <mergeCell ref="D5382:D5383"/>
    <mergeCell ref="E5382:E5383"/>
    <mergeCell ref="F5382:F5383"/>
    <mergeCell ref="G5382:G5383"/>
    <mergeCell ref="H5382:H5383"/>
    <mergeCell ref="I5382:I5383"/>
    <mergeCell ref="J5382:J5383"/>
    <mergeCell ref="M5378:M5379"/>
    <mergeCell ref="B5380:B5381"/>
    <mergeCell ref="C5380:C5381"/>
    <mergeCell ref="D5380:D5381"/>
    <mergeCell ref="E5380:E5381"/>
    <mergeCell ref="F5380:F5381"/>
    <mergeCell ref="G5380:G5381"/>
    <mergeCell ref="H5380:H5381"/>
    <mergeCell ref="Y5365:Y5369"/>
    <mergeCell ref="Z5365:Z5369"/>
    <mergeCell ref="AA5365:AA5369"/>
    <mergeCell ref="B5370:B5371"/>
    <mergeCell ref="C5370:C5371"/>
    <mergeCell ref="D5370:D5371"/>
    <mergeCell ref="E5370:E5371"/>
    <mergeCell ref="F5370:F5371"/>
    <mergeCell ref="G5370:G5371"/>
    <mergeCell ref="H5370:H5371"/>
    <mergeCell ref="S5365:S5369"/>
    <mergeCell ref="T5365:T5369"/>
    <mergeCell ref="U5365:U5369"/>
    <mergeCell ref="V5365:V5369"/>
    <mergeCell ref="W5365:W5369"/>
    <mergeCell ref="X5365:X5369"/>
    <mergeCell ref="M5364:M5369"/>
    <mergeCell ref="N5365:N5369"/>
    <mergeCell ref="O5365:O5369"/>
    <mergeCell ref="P5365:P5369"/>
    <mergeCell ref="Q5365:Q5369"/>
    <mergeCell ref="R5365:R5369"/>
    <mergeCell ref="G5364:G5369"/>
    <mergeCell ref="H5364:H5369"/>
    <mergeCell ref="I5364:I5369"/>
    <mergeCell ref="J5364:J5369"/>
    <mergeCell ref="K5364:K5369"/>
    <mergeCell ref="L5364:L5369"/>
    <mergeCell ref="I5362:J5362"/>
    <mergeCell ref="K5362:K5363"/>
    <mergeCell ref="L5362:N5363"/>
    <mergeCell ref="O5362:Z5362"/>
    <mergeCell ref="AA5362:AA5363"/>
    <mergeCell ref="B5364:B5369"/>
    <mergeCell ref="C5364:C5369"/>
    <mergeCell ref="D5364:D5369"/>
    <mergeCell ref="E5364:E5369"/>
    <mergeCell ref="F5364:F5369"/>
    <mergeCell ref="C5359:AA5359"/>
    <mergeCell ref="B5360:B5361"/>
    <mergeCell ref="C5360:AA5361"/>
    <mergeCell ref="B5362:B5363"/>
    <mergeCell ref="C5362:C5363"/>
    <mergeCell ref="D5362:D5363"/>
    <mergeCell ref="E5362:E5363"/>
    <mergeCell ref="F5362:F5363"/>
    <mergeCell ref="G5362:G5363"/>
    <mergeCell ref="H5362:H5363"/>
    <mergeCell ref="G5356:G5357"/>
    <mergeCell ref="H5356:H5357"/>
    <mergeCell ref="K5356:K5357"/>
    <mergeCell ref="L5356:L5357"/>
    <mergeCell ref="M5356:M5357"/>
    <mergeCell ref="O5358:Z5358"/>
    <mergeCell ref="G5354:G5355"/>
    <mergeCell ref="H5354:H5355"/>
    <mergeCell ref="K5354:K5355"/>
    <mergeCell ref="L5354:L5355"/>
    <mergeCell ref="M5354:M5355"/>
    <mergeCell ref="B5356:B5357"/>
    <mergeCell ref="C5356:C5357"/>
    <mergeCell ref="D5356:D5357"/>
    <mergeCell ref="E5356:E5357"/>
    <mergeCell ref="F5356:F5357"/>
    <mergeCell ref="I5352:I5357"/>
    <mergeCell ref="J5352:J5357"/>
    <mergeCell ref="K5352:K5353"/>
    <mergeCell ref="L5352:L5353"/>
    <mergeCell ref="M5352:M5353"/>
    <mergeCell ref="B5354:B5355"/>
    <mergeCell ref="C5354:C5355"/>
    <mergeCell ref="D5354:D5355"/>
    <mergeCell ref="E5354:E5355"/>
    <mergeCell ref="F5354:F5355"/>
    <mergeCell ref="L5350:N5351"/>
    <mergeCell ref="O5350:Z5350"/>
    <mergeCell ref="AA5350:AA5351"/>
    <mergeCell ref="B5352:B5353"/>
    <mergeCell ref="C5352:C5353"/>
    <mergeCell ref="D5352:D5353"/>
    <mergeCell ref="E5352:E5353"/>
    <mergeCell ref="F5352:F5353"/>
    <mergeCell ref="G5352:G5353"/>
    <mergeCell ref="H5352:H5353"/>
    <mergeCell ref="C5349:AA5349"/>
    <mergeCell ref="B5350:B5351"/>
    <mergeCell ref="C5350:C5351"/>
    <mergeCell ref="D5350:D5351"/>
    <mergeCell ref="E5350:E5351"/>
    <mergeCell ref="F5350:F5351"/>
    <mergeCell ref="G5350:G5351"/>
    <mergeCell ref="H5350:H5351"/>
    <mergeCell ref="I5350:J5350"/>
    <mergeCell ref="K5350:K5351"/>
    <mergeCell ref="C5340:AA5340"/>
    <mergeCell ref="C5341:AA5341"/>
    <mergeCell ref="C5342:AA5342"/>
    <mergeCell ref="H5306:H5338"/>
    <mergeCell ref="I5306:I5338"/>
    <mergeCell ref="J5306:J5338"/>
    <mergeCell ref="K5306:K5338"/>
    <mergeCell ref="L5306:L5338"/>
    <mergeCell ref="M5306:N5306"/>
    <mergeCell ref="M5307:N5307"/>
    <mergeCell ref="M5308:N5308"/>
    <mergeCell ref="B5306:B5338"/>
    <mergeCell ref="C5306:C5338"/>
    <mergeCell ref="D5306:D5338"/>
    <mergeCell ref="E5306:E5338"/>
    <mergeCell ref="F5306:F5338"/>
    <mergeCell ref="G5306:G5338"/>
    <mergeCell ref="H5281:H5305"/>
    <mergeCell ref="I5281:I5305"/>
    <mergeCell ref="J5281:J5305"/>
    <mergeCell ref="K5281:K5305"/>
    <mergeCell ref="L5281:L5305"/>
    <mergeCell ref="M5281:N5281"/>
    <mergeCell ref="M5282:N5282"/>
    <mergeCell ref="K5277:K5280"/>
    <mergeCell ref="L5277:L5280"/>
    <mergeCell ref="M5277:N5277"/>
    <mergeCell ref="M5278:N5278"/>
    <mergeCell ref="B5281:B5305"/>
    <mergeCell ref="C5281:C5305"/>
    <mergeCell ref="D5281:D5305"/>
    <mergeCell ref="E5281:E5305"/>
    <mergeCell ref="F5281:F5305"/>
    <mergeCell ref="G5281:G5305"/>
    <mergeCell ref="AA5275:AA5276"/>
    <mergeCell ref="B5277:B5280"/>
    <mergeCell ref="C5277:C5280"/>
    <mergeCell ref="D5277:D5280"/>
    <mergeCell ref="E5277:E5280"/>
    <mergeCell ref="F5277:F5280"/>
    <mergeCell ref="G5277:G5280"/>
    <mergeCell ref="H5277:H5280"/>
    <mergeCell ref="I5277:I5280"/>
    <mergeCell ref="J5277:J5280"/>
    <mergeCell ref="H5275:H5276"/>
    <mergeCell ref="I5275:I5276"/>
    <mergeCell ref="J5275:K5275"/>
    <mergeCell ref="L5275:L5276"/>
    <mergeCell ref="M5275:N5276"/>
    <mergeCell ref="O5275:Z5275"/>
    <mergeCell ref="B5275:B5276"/>
    <mergeCell ref="C5275:C5276"/>
    <mergeCell ref="D5275:D5276"/>
    <mergeCell ref="E5275:E5276"/>
    <mergeCell ref="F5275:F5276"/>
    <mergeCell ref="G5275:G5276"/>
    <mergeCell ref="Z5270:AA5270"/>
    <mergeCell ref="V5271:Y5272"/>
    <mergeCell ref="Z5271:AA5272"/>
    <mergeCell ref="B5273:B5274"/>
    <mergeCell ref="C5273:C5274"/>
    <mergeCell ref="D5273:P5274"/>
    <mergeCell ref="V5273:Y5273"/>
    <mergeCell ref="Z5273:AA5273"/>
    <mergeCell ref="V5274:Y5274"/>
    <mergeCell ref="Z5274:AA5274"/>
    <mergeCell ref="C5269:V5269"/>
    <mergeCell ref="B5270:B5272"/>
    <mergeCell ref="C5270:C5272"/>
    <mergeCell ref="D5270:P5272"/>
    <mergeCell ref="Q5270:U5272"/>
    <mergeCell ref="V5270:Y5270"/>
    <mergeCell ref="H5262:H5266"/>
    <mergeCell ref="I5262:I5266"/>
    <mergeCell ref="J5262:J5266"/>
    <mergeCell ref="K5262:K5266"/>
    <mergeCell ref="L5262:L5266"/>
    <mergeCell ref="M5262:N5262"/>
    <mergeCell ref="M5263:N5263"/>
    <mergeCell ref="B5262:B5266"/>
    <mergeCell ref="C5262:C5266"/>
    <mergeCell ref="D5262:D5266"/>
    <mergeCell ref="E5262:E5266"/>
    <mergeCell ref="F5262:F5266"/>
    <mergeCell ref="G5262:G5266"/>
    <mergeCell ref="H5258:H5261"/>
    <mergeCell ref="I5258:I5261"/>
    <mergeCell ref="J5258:J5261"/>
    <mergeCell ref="K5258:K5261"/>
    <mergeCell ref="L5258:L5261"/>
    <mergeCell ref="M5258:N5258"/>
    <mergeCell ref="M5259:N5259"/>
    <mergeCell ref="B5258:B5261"/>
    <mergeCell ref="C5258:C5261"/>
    <mergeCell ref="D5258:D5261"/>
    <mergeCell ref="E5258:E5261"/>
    <mergeCell ref="F5258:F5261"/>
    <mergeCell ref="G5258:G5261"/>
    <mergeCell ref="H5254:H5257"/>
    <mergeCell ref="I5254:I5257"/>
    <mergeCell ref="J5254:J5257"/>
    <mergeCell ref="K5254:K5257"/>
    <mergeCell ref="L5254:L5257"/>
    <mergeCell ref="M5254:N5254"/>
    <mergeCell ref="M5255:N5255"/>
    <mergeCell ref="B5254:B5257"/>
    <mergeCell ref="C5254:C5257"/>
    <mergeCell ref="D5254:D5257"/>
    <mergeCell ref="E5254:E5257"/>
    <mergeCell ref="F5254:F5257"/>
    <mergeCell ref="G5254:G5257"/>
    <mergeCell ref="H5250:H5253"/>
    <mergeCell ref="I5250:I5253"/>
    <mergeCell ref="J5250:J5253"/>
    <mergeCell ref="K5250:K5253"/>
    <mergeCell ref="L5250:L5253"/>
    <mergeCell ref="M5250:N5250"/>
    <mergeCell ref="M5251:N5251"/>
    <mergeCell ref="B5250:B5253"/>
    <mergeCell ref="C5250:C5253"/>
    <mergeCell ref="D5250:D5253"/>
    <mergeCell ref="E5250:E5253"/>
    <mergeCell ref="F5250:F5253"/>
    <mergeCell ref="G5250:G5253"/>
    <mergeCell ref="H5246:H5249"/>
    <mergeCell ref="I5246:I5249"/>
    <mergeCell ref="J5246:J5249"/>
    <mergeCell ref="K5246:K5249"/>
    <mergeCell ref="L5246:L5249"/>
    <mergeCell ref="M5246:N5246"/>
    <mergeCell ref="M5247:N5247"/>
    <mergeCell ref="B5246:B5249"/>
    <mergeCell ref="C5246:C5249"/>
    <mergeCell ref="D5246:D5249"/>
    <mergeCell ref="E5246:E5249"/>
    <mergeCell ref="F5246:F5249"/>
    <mergeCell ref="G5246:G5249"/>
    <mergeCell ref="H5242:H5245"/>
    <mergeCell ref="I5242:I5245"/>
    <mergeCell ref="J5242:J5245"/>
    <mergeCell ref="K5242:K5245"/>
    <mergeCell ref="L5242:L5245"/>
    <mergeCell ref="M5242:N5242"/>
    <mergeCell ref="M5243:N5243"/>
    <mergeCell ref="B5242:B5245"/>
    <mergeCell ref="C5242:C5245"/>
    <mergeCell ref="D5242:D5245"/>
    <mergeCell ref="E5242:E5245"/>
    <mergeCell ref="F5242:F5245"/>
    <mergeCell ref="G5242:G5245"/>
    <mergeCell ref="H5238:H5241"/>
    <mergeCell ref="I5238:I5241"/>
    <mergeCell ref="J5238:J5241"/>
    <mergeCell ref="K5238:K5241"/>
    <mergeCell ref="L5238:L5241"/>
    <mergeCell ref="M5238:N5238"/>
    <mergeCell ref="M5239:N5239"/>
    <mergeCell ref="B5238:B5241"/>
    <mergeCell ref="C5238:C5241"/>
    <mergeCell ref="D5238:D5241"/>
    <mergeCell ref="E5238:E5241"/>
    <mergeCell ref="F5238:F5241"/>
    <mergeCell ref="G5238:G5241"/>
    <mergeCell ref="H5234:H5237"/>
    <mergeCell ref="I5234:I5237"/>
    <mergeCell ref="J5234:J5237"/>
    <mergeCell ref="K5234:K5237"/>
    <mergeCell ref="L5234:L5237"/>
    <mergeCell ref="M5234:N5234"/>
    <mergeCell ref="M5235:N5235"/>
    <mergeCell ref="B5234:B5237"/>
    <mergeCell ref="C5234:C5237"/>
    <mergeCell ref="D5234:D5237"/>
    <mergeCell ref="E5234:E5237"/>
    <mergeCell ref="F5234:F5237"/>
    <mergeCell ref="G5234:G5237"/>
    <mergeCell ref="H5230:H5233"/>
    <mergeCell ref="I5230:I5233"/>
    <mergeCell ref="J5230:J5233"/>
    <mergeCell ref="K5230:K5233"/>
    <mergeCell ref="L5230:L5233"/>
    <mergeCell ref="M5230:N5230"/>
    <mergeCell ref="M5231:N5231"/>
    <mergeCell ref="B5230:B5233"/>
    <mergeCell ref="C5230:C5233"/>
    <mergeCell ref="D5230:D5233"/>
    <mergeCell ref="E5230:E5233"/>
    <mergeCell ref="F5230:F5233"/>
    <mergeCell ref="G5230:G5233"/>
    <mergeCell ref="I5226:I5229"/>
    <mergeCell ref="J5226:J5229"/>
    <mergeCell ref="K5226:K5229"/>
    <mergeCell ref="L5226:L5229"/>
    <mergeCell ref="M5226:N5226"/>
    <mergeCell ref="M5227:N5227"/>
    <mergeCell ref="C5226:C5229"/>
    <mergeCell ref="D5226:D5229"/>
    <mergeCell ref="E5226:E5229"/>
    <mergeCell ref="F5226:F5229"/>
    <mergeCell ref="G5226:G5229"/>
    <mergeCell ref="H5226:H5229"/>
    <mergeCell ref="I5222:I5225"/>
    <mergeCell ref="J5222:J5225"/>
    <mergeCell ref="K5222:K5225"/>
    <mergeCell ref="L5222:L5225"/>
    <mergeCell ref="M5222:N5222"/>
    <mergeCell ref="M5223:N5223"/>
    <mergeCell ref="C5222:C5225"/>
    <mergeCell ref="D5222:D5225"/>
    <mergeCell ref="E5222:E5225"/>
    <mergeCell ref="F5222:F5225"/>
    <mergeCell ref="G5222:G5225"/>
    <mergeCell ref="H5222:H5225"/>
    <mergeCell ref="I5218:I5221"/>
    <mergeCell ref="J5218:J5221"/>
    <mergeCell ref="K5218:K5221"/>
    <mergeCell ref="L5218:L5221"/>
    <mergeCell ref="M5218:N5218"/>
    <mergeCell ref="M5219:N5219"/>
    <mergeCell ref="C5218:C5221"/>
    <mergeCell ref="D5218:D5221"/>
    <mergeCell ref="E5218:E5221"/>
    <mergeCell ref="F5218:F5221"/>
    <mergeCell ref="G5218:G5221"/>
    <mergeCell ref="H5218:H5221"/>
    <mergeCell ref="I5214:I5217"/>
    <mergeCell ref="J5214:J5217"/>
    <mergeCell ref="K5214:K5217"/>
    <mergeCell ref="L5214:L5217"/>
    <mergeCell ref="M5214:N5214"/>
    <mergeCell ref="M5215:N5215"/>
    <mergeCell ref="C5214:C5217"/>
    <mergeCell ref="D5214:D5217"/>
    <mergeCell ref="E5214:E5217"/>
    <mergeCell ref="F5214:F5217"/>
    <mergeCell ref="G5214:G5217"/>
    <mergeCell ref="H5214:H5217"/>
    <mergeCell ref="I5210:I5213"/>
    <mergeCell ref="J5210:J5213"/>
    <mergeCell ref="K5210:K5213"/>
    <mergeCell ref="L5210:L5213"/>
    <mergeCell ref="M5210:N5210"/>
    <mergeCell ref="M5211:N5211"/>
    <mergeCell ref="C5210:C5213"/>
    <mergeCell ref="D5210:D5213"/>
    <mergeCell ref="E5210:E5213"/>
    <mergeCell ref="F5210:F5213"/>
    <mergeCell ref="G5210:G5213"/>
    <mergeCell ref="H5210:H5213"/>
    <mergeCell ref="I5206:I5209"/>
    <mergeCell ref="J5206:J5209"/>
    <mergeCell ref="K5206:K5209"/>
    <mergeCell ref="L5206:L5209"/>
    <mergeCell ref="M5206:N5206"/>
    <mergeCell ref="M5207:N5207"/>
    <mergeCell ref="C5206:C5209"/>
    <mergeCell ref="D5206:D5209"/>
    <mergeCell ref="E5206:E5209"/>
    <mergeCell ref="F5206:F5209"/>
    <mergeCell ref="G5206:G5209"/>
    <mergeCell ref="H5206:H5209"/>
    <mergeCell ref="I5202:I5205"/>
    <mergeCell ref="J5202:J5205"/>
    <mergeCell ref="K5202:K5205"/>
    <mergeCell ref="L5202:L5205"/>
    <mergeCell ref="M5202:N5202"/>
    <mergeCell ref="M5203:N5203"/>
    <mergeCell ref="C5202:C5205"/>
    <mergeCell ref="D5202:D5205"/>
    <mergeCell ref="E5202:E5205"/>
    <mergeCell ref="F5202:F5205"/>
    <mergeCell ref="G5202:G5205"/>
    <mergeCell ref="H5202:H5205"/>
    <mergeCell ref="I5198:I5201"/>
    <mergeCell ref="J5198:J5201"/>
    <mergeCell ref="K5198:K5201"/>
    <mergeCell ref="L5198:L5201"/>
    <mergeCell ref="M5198:N5198"/>
    <mergeCell ref="M5199:N5199"/>
    <mergeCell ref="C5198:C5201"/>
    <mergeCell ref="D5198:D5201"/>
    <mergeCell ref="E5198:E5201"/>
    <mergeCell ref="F5198:F5201"/>
    <mergeCell ref="G5198:G5201"/>
    <mergeCell ref="H5198:H5201"/>
    <mergeCell ref="I5194:I5197"/>
    <mergeCell ref="J5194:J5197"/>
    <mergeCell ref="K5194:K5197"/>
    <mergeCell ref="L5194:L5197"/>
    <mergeCell ref="M5194:N5194"/>
    <mergeCell ref="M5195:N5195"/>
    <mergeCell ref="C5194:C5197"/>
    <mergeCell ref="D5194:D5197"/>
    <mergeCell ref="E5194:E5197"/>
    <mergeCell ref="F5194:F5197"/>
    <mergeCell ref="G5194:G5197"/>
    <mergeCell ref="H5194:H5197"/>
    <mergeCell ref="I5190:I5193"/>
    <mergeCell ref="J5190:J5193"/>
    <mergeCell ref="K5190:K5193"/>
    <mergeCell ref="L5190:L5193"/>
    <mergeCell ref="M5190:N5190"/>
    <mergeCell ref="M5191:N5191"/>
    <mergeCell ref="C5190:C5193"/>
    <mergeCell ref="D5190:D5193"/>
    <mergeCell ref="E5190:E5193"/>
    <mergeCell ref="F5190:F5193"/>
    <mergeCell ref="G5190:G5193"/>
    <mergeCell ref="H5190:H5193"/>
    <mergeCell ref="I5186:I5189"/>
    <mergeCell ref="J5186:J5189"/>
    <mergeCell ref="K5186:K5189"/>
    <mergeCell ref="L5186:L5189"/>
    <mergeCell ref="M5186:N5186"/>
    <mergeCell ref="M5187:N5187"/>
    <mergeCell ref="C5186:C5189"/>
    <mergeCell ref="D5186:D5189"/>
    <mergeCell ref="E5186:E5189"/>
    <mergeCell ref="F5186:F5189"/>
    <mergeCell ref="G5186:G5189"/>
    <mergeCell ref="H5186:H5189"/>
    <mergeCell ref="I5182:I5185"/>
    <mergeCell ref="J5182:J5185"/>
    <mergeCell ref="K5182:K5185"/>
    <mergeCell ref="L5182:L5185"/>
    <mergeCell ref="M5182:N5182"/>
    <mergeCell ref="M5183:N5183"/>
    <mergeCell ref="C5182:C5185"/>
    <mergeCell ref="D5182:D5185"/>
    <mergeCell ref="E5182:E5185"/>
    <mergeCell ref="F5182:F5185"/>
    <mergeCell ref="G5182:G5185"/>
    <mergeCell ref="H5182:H5185"/>
    <mergeCell ref="I5178:I5181"/>
    <mergeCell ref="J5178:J5181"/>
    <mergeCell ref="K5178:K5181"/>
    <mergeCell ref="L5178:L5181"/>
    <mergeCell ref="M5178:N5178"/>
    <mergeCell ref="M5179:N5179"/>
    <mergeCell ref="C5178:C5181"/>
    <mergeCell ref="D5178:D5181"/>
    <mergeCell ref="E5178:E5181"/>
    <mergeCell ref="F5178:F5181"/>
    <mergeCell ref="G5178:G5181"/>
    <mergeCell ref="H5178:H5181"/>
    <mergeCell ref="I5174:I5177"/>
    <mergeCell ref="J5174:J5177"/>
    <mergeCell ref="K5174:K5177"/>
    <mergeCell ref="L5174:L5177"/>
    <mergeCell ref="M5174:N5174"/>
    <mergeCell ref="M5175:N5175"/>
    <mergeCell ref="C5174:C5177"/>
    <mergeCell ref="D5174:D5177"/>
    <mergeCell ref="E5174:E5177"/>
    <mergeCell ref="F5174:F5177"/>
    <mergeCell ref="G5174:G5177"/>
    <mergeCell ref="H5174:H5177"/>
    <mergeCell ref="I5170:I5173"/>
    <mergeCell ref="J5170:J5173"/>
    <mergeCell ref="K5170:K5173"/>
    <mergeCell ref="L5170:L5173"/>
    <mergeCell ref="M5170:N5170"/>
    <mergeCell ref="M5171:N5171"/>
    <mergeCell ref="C5170:C5173"/>
    <mergeCell ref="D5170:D5173"/>
    <mergeCell ref="E5170:E5173"/>
    <mergeCell ref="F5170:F5173"/>
    <mergeCell ref="G5170:G5173"/>
    <mergeCell ref="H5170:H5173"/>
    <mergeCell ref="H5166:H5169"/>
    <mergeCell ref="I5166:I5169"/>
    <mergeCell ref="J5166:J5169"/>
    <mergeCell ref="K5166:K5169"/>
    <mergeCell ref="L5166:L5169"/>
    <mergeCell ref="M5166:N5166"/>
    <mergeCell ref="M5167:N5167"/>
    <mergeCell ref="B5166:B5169"/>
    <mergeCell ref="C5166:C5169"/>
    <mergeCell ref="D5166:D5169"/>
    <mergeCell ref="E5166:E5169"/>
    <mergeCell ref="F5166:F5169"/>
    <mergeCell ref="G5166:G5169"/>
    <mergeCell ref="H5151:H5165"/>
    <mergeCell ref="I5151:I5165"/>
    <mergeCell ref="J5151:J5165"/>
    <mergeCell ref="K5151:K5165"/>
    <mergeCell ref="L5151:L5165"/>
    <mergeCell ref="M5151:N5151"/>
    <mergeCell ref="M5152:N5152"/>
    <mergeCell ref="B5151:B5165"/>
    <mergeCell ref="C5151:C5165"/>
    <mergeCell ref="D5151:D5165"/>
    <mergeCell ref="E5151:E5165"/>
    <mergeCell ref="F5151:F5165"/>
    <mergeCell ref="G5151:G5165"/>
    <mergeCell ref="K5147:K5149"/>
    <mergeCell ref="L5147:L5149"/>
    <mergeCell ref="M5147:N5147"/>
    <mergeCell ref="M5148:N5148"/>
    <mergeCell ref="M5149:N5149"/>
    <mergeCell ref="B5150:AA5150"/>
    <mergeCell ref="AA5145:AA5146"/>
    <mergeCell ref="B5147:B5149"/>
    <mergeCell ref="C5147:C5149"/>
    <mergeCell ref="D5147:D5149"/>
    <mergeCell ref="E5147:E5149"/>
    <mergeCell ref="F5147:F5149"/>
    <mergeCell ref="G5147:G5149"/>
    <mergeCell ref="H5147:H5149"/>
    <mergeCell ref="I5147:I5149"/>
    <mergeCell ref="J5147:J5149"/>
    <mergeCell ref="H5145:H5146"/>
    <mergeCell ref="I5145:I5146"/>
    <mergeCell ref="J5145:K5145"/>
    <mergeCell ref="L5145:L5146"/>
    <mergeCell ref="M5145:N5146"/>
    <mergeCell ref="O5145:Z5145"/>
    <mergeCell ref="B5145:B5146"/>
    <mergeCell ref="C5145:C5146"/>
    <mergeCell ref="D5145:D5146"/>
    <mergeCell ref="E5145:E5146"/>
    <mergeCell ref="F5145:F5146"/>
    <mergeCell ref="G5145:G5146"/>
    <mergeCell ref="B5143:B5144"/>
    <mergeCell ref="C5143:C5144"/>
    <mergeCell ref="D5143:E5144"/>
    <mergeCell ref="V5143:Y5143"/>
    <mergeCell ref="Z5143:AA5143"/>
    <mergeCell ref="V5144:Y5144"/>
    <mergeCell ref="Z5144:AA5144"/>
    <mergeCell ref="C5137:V5137"/>
    <mergeCell ref="B5140:B5142"/>
    <mergeCell ref="C5140:C5142"/>
    <mergeCell ref="D5140:E5142"/>
    <mergeCell ref="V5140:Y5140"/>
    <mergeCell ref="Z5140:AA5140"/>
    <mergeCell ref="V5141:Y5142"/>
    <mergeCell ref="Z5141:AA5142"/>
    <mergeCell ref="H5124:H5135"/>
    <mergeCell ref="I5124:I5135"/>
    <mergeCell ref="J5124:J5135"/>
    <mergeCell ref="K5124:K5135"/>
    <mergeCell ref="L5124:L5135"/>
    <mergeCell ref="M5124:N5124"/>
    <mergeCell ref="M5125:N5125"/>
    <mergeCell ref="B5124:B5135"/>
    <mergeCell ref="C5124:C5135"/>
    <mergeCell ref="D5124:D5135"/>
    <mergeCell ref="E5124:E5135"/>
    <mergeCell ref="F5124:F5135"/>
    <mergeCell ref="G5124:G5135"/>
    <mergeCell ref="H5112:H5123"/>
    <mergeCell ref="I5112:I5123"/>
    <mergeCell ref="J5112:J5123"/>
    <mergeCell ref="K5112:K5123"/>
    <mergeCell ref="L5112:L5123"/>
    <mergeCell ref="M5112:N5112"/>
    <mergeCell ref="M5113:N5113"/>
    <mergeCell ref="B5112:B5123"/>
    <mergeCell ref="C5112:C5123"/>
    <mergeCell ref="D5112:D5123"/>
    <mergeCell ref="E5112:E5123"/>
    <mergeCell ref="F5112:F5123"/>
    <mergeCell ref="G5112:G5123"/>
    <mergeCell ref="H5100:H5111"/>
    <mergeCell ref="I5100:I5111"/>
    <mergeCell ref="J5100:J5111"/>
    <mergeCell ref="K5100:K5111"/>
    <mergeCell ref="L5100:L5111"/>
    <mergeCell ref="M5100:N5100"/>
    <mergeCell ref="M5101:N5101"/>
    <mergeCell ref="B5100:B5111"/>
    <mergeCell ref="C5100:C5111"/>
    <mergeCell ref="D5100:D5111"/>
    <mergeCell ref="E5100:E5111"/>
    <mergeCell ref="F5100:F5111"/>
    <mergeCell ref="G5100:G5111"/>
    <mergeCell ref="H5088:H5099"/>
    <mergeCell ref="I5088:I5099"/>
    <mergeCell ref="J5088:J5099"/>
    <mergeCell ref="K5088:K5099"/>
    <mergeCell ref="L5088:L5099"/>
    <mergeCell ref="M5088:N5088"/>
    <mergeCell ref="M5089:N5089"/>
    <mergeCell ref="B5088:B5099"/>
    <mergeCell ref="C5088:C5099"/>
    <mergeCell ref="D5088:D5099"/>
    <mergeCell ref="E5088:E5099"/>
    <mergeCell ref="F5088:F5099"/>
    <mergeCell ref="G5088:G5099"/>
    <mergeCell ref="H5076:H5087"/>
    <mergeCell ref="I5076:I5087"/>
    <mergeCell ref="J5076:J5087"/>
    <mergeCell ref="K5076:K5087"/>
    <mergeCell ref="L5076:L5087"/>
    <mergeCell ref="M5076:N5076"/>
    <mergeCell ref="M5077:N5077"/>
    <mergeCell ref="B5076:B5087"/>
    <mergeCell ref="C5076:C5087"/>
    <mergeCell ref="D5076:D5087"/>
    <mergeCell ref="E5076:E5087"/>
    <mergeCell ref="F5076:F5087"/>
    <mergeCell ref="G5076:G5087"/>
    <mergeCell ref="H5064:H5075"/>
    <mergeCell ref="I5064:I5075"/>
    <mergeCell ref="J5064:J5075"/>
    <mergeCell ref="K5064:K5075"/>
    <mergeCell ref="L5064:L5075"/>
    <mergeCell ref="M5064:N5064"/>
    <mergeCell ref="M5065:N5065"/>
    <mergeCell ref="B5064:B5075"/>
    <mergeCell ref="C5064:C5075"/>
    <mergeCell ref="D5064:D5075"/>
    <mergeCell ref="E5064:E5075"/>
    <mergeCell ref="F5064:F5075"/>
    <mergeCell ref="G5064:G5075"/>
    <mergeCell ref="H5052:H5063"/>
    <mergeCell ref="I5052:I5063"/>
    <mergeCell ref="J5052:J5063"/>
    <mergeCell ref="K5052:K5063"/>
    <mergeCell ref="L5052:L5063"/>
    <mergeCell ref="M5052:N5052"/>
    <mergeCell ref="M5053:N5053"/>
    <mergeCell ref="B5052:B5063"/>
    <mergeCell ref="C5052:C5063"/>
    <mergeCell ref="D5052:D5063"/>
    <mergeCell ref="E5052:E5063"/>
    <mergeCell ref="F5052:F5063"/>
    <mergeCell ref="G5052:G5063"/>
    <mergeCell ref="H5040:H5051"/>
    <mergeCell ref="I5040:I5051"/>
    <mergeCell ref="J5040:J5051"/>
    <mergeCell ref="K5040:K5051"/>
    <mergeCell ref="L5040:L5051"/>
    <mergeCell ref="M5040:N5040"/>
    <mergeCell ref="M5041:N5041"/>
    <mergeCell ref="B5040:B5051"/>
    <mergeCell ref="C5040:C5051"/>
    <mergeCell ref="D5040:D5051"/>
    <mergeCell ref="E5040:E5051"/>
    <mergeCell ref="F5040:F5051"/>
    <mergeCell ref="G5040:G5051"/>
    <mergeCell ref="H5028:H5039"/>
    <mergeCell ref="I5028:I5039"/>
    <mergeCell ref="J5028:J5039"/>
    <mergeCell ref="K5028:K5039"/>
    <mergeCell ref="L5028:L5039"/>
    <mergeCell ref="M5028:N5028"/>
    <mergeCell ref="M5029:N5029"/>
    <mergeCell ref="B5028:B5039"/>
    <mergeCell ref="C5028:C5039"/>
    <mergeCell ref="D5028:D5039"/>
    <mergeCell ref="E5028:E5039"/>
    <mergeCell ref="F5028:F5039"/>
    <mergeCell ref="G5028:G5039"/>
    <mergeCell ref="H5016:H5027"/>
    <mergeCell ref="I5016:I5027"/>
    <mergeCell ref="J5016:J5027"/>
    <mergeCell ref="K5016:K5027"/>
    <mergeCell ref="L5016:L5027"/>
    <mergeCell ref="M5016:N5016"/>
    <mergeCell ref="M5017:N5017"/>
    <mergeCell ref="B5016:B5027"/>
    <mergeCell ref="C5016:C5027"/>
    <mergeCell ref="D5016:D5027"/>
    <mergeCell ref="E5016:E5027"/>
    <mergeCell ref="F5016:F5027"/>
    <mergeCell ref="G5016:G5027"/>
    <mergeCell ref="H5004:H5015"/>
    <mergeCell ref="I5004:I5015"/>
    <mergeCell ref="J5004:J5015"/>
    <mergeCell ref="K5004:K5015"/>
    <mergeCell ref="L5004:L5015"/>
    <mergeCell ref="M5004:N5004"/>
    <mergeCell ref="M5005:N5005"/>
    <mergeCell ref="B5004:B5015"/>
    <mergeCell ref="C5004:C5015"/>
    <mergeCell ref="D5004:D5015"/>
    <mergeCell ref="E5004:E5015"/>
    <mergeCell ref="F5004:F5015"/>
    <mergeCell ref="G5004:G5015"/>
    <mergeCell ref="H4992:H5003"/>
    <mergeCell ref="I4992:I5003"/>
    <mergeCell ref="J4992:J5003"/>
    <mergeCell ref="K4992:K5003"/>
    <mergeCell ref="L4992:L5003"/>
    <mergeCell ref="M4992:N4992"/>
    <mergeCell ref="M4993:N4993"/>
    <mergeCell ref="B4992:B5003"/>
    <mergeCell ref="C4992:C5003"/>
    <mergeCell ref="D4992:D5003"/>
    <mergeCell ref="E4992:E5003"/>
    <mergeCell ref="F4992:F5003"/>
    <mergeCell ref="G4992:G5003"/>
    <mergeCell ref="H4980:H4991"/>
    <mergeCell ref="I4980:I4991"/>
    <mergeCell ref="J4980:J4991"/>
    <mergeCell ref="K4980:K4991"/>
    <mergeCell ref="L4980:L4991"/>
    <mergeCell ref="M4980:N4980"/>
    <mergeCell ref="M4981:N4981"/>
    <mergeCell ref="K4971:K4979"/>
    <mergeCell ref="L4971:L4979"/>
    <mergeCell ref="M4971:N4971"/>
    <mergeCell ref="M4972:N4972"/>
    <mergeCell ref="B4980:B4991"/>
    <mergeCell ref="C4980:C4991"/>
    <mergeCell ref="D4980:D4991"/>
    <mergeCell ref="E4980:E4991"/>
    <mergeCell ref="F4980:F4991"/>
    <mergeCell ref="G4980:G4991"/>
    <mergeCell ref="AA4969:AA4970"/>
    <mergeCell ref="B4971:B4979"/>
    <mergeCell ref="C4971:C4979"/>
    <mergeCell ref="D4971:D4979"/>
    <mergeCell ref="E4971:E4979"/>
    <mergeCell ref="F4971:F4979"/>
    <mergeCell ref="G4971:G4979"/>
    <mergeCell ref="H4971:H4979"/>
    <mergeCell ref="I4971:I4979"/>
    <mergeCell ref="J4971:J4979"/>
    <mergeCell ref="H4969:H4970"/>
    <mergeCell ref="I4969:I4970"/>
    <mergeCell ref="J4969:K4969"/>
    <mergeCell ref="L4969:L4970"/>
    <mergeCell ref="M4969:N4970"/>
    <mergeCell ref="O4969:Z4969"/>
    <mergeCell ref="B4969:B4970"/>
    <mergeCell ref="C4969:C4970"/>
    <mergeCell ref="D4969:D4970"/>
    <mergeCell ref="E4969:E4970"/>
    <mergeCell ref="F4969:F4970"/>
    <mergeCell ref="G4969:G4970"/>
    <mergeCell ref="B4967:B4968"/>
    <mergeCell ref="C4967:C4968"/>
    <mergeCell ref="D4967:P4968"/>
    <mergeCell ref="V4967:Y4967"/>
    <mergeCell ref="Z4967:AA4967"/>
    <mergeCell ref="V4968:Y4968"/>
    <mergeCell ref="Z4968:AA4968"/>
    <mergeCell ref="B4965:B4966"/>
    <mergeCell ref="C4965:C4966"/>
    <mergeCell ref="D4965:P4966"/>
    <mergeCell ref="V4965:Y4965"/>
    <mergeCell ref="Z4965:AA4965"/>
    <mergeCell ref="V4966:Y4966"/>
    <mergeCell ref="Z4966:AA4966"/>
    <mergeCell ref="J4951:J4959"/>
    <mergeCell ref="K4951:K4959"/>
    <mergeCell ref="L4951:L4959"/>
    <mergeCell ref="M4951:N4951"/>
    <mergeCell ref="M4952:N4952"/>
    <mergeCell ref="B4961:B4962"/>
    <mergeCell ref="C4961:AA4961"/>
    <mergeCell ref="C4962:AA4962"/>
    <mergeCell ref="M4943:N4943"/>
    <mergeCell ref="M4944:N4944"/>
    <mergeCell ref="B4951:B4959"/>
    <mergeCell ref="C4951:C4959"/>
    <mergeCell ref="D4951:D4959"/>
    <mergeCell ref="E4951:E4959"/>
    <mergeCell ref="F4951:F4959"/>
    <mergeCell ref="G4951:G4959"/>
    <mergeCell ref="H4951:H4959"/>
    <mergeCell ref="I4951:I4959"/>
    <mergeCell ref="G4943:G4950"/>
    <mergeCell ref="H4943:H4950"/>
    <mergeCell ref="I4943:I4950"/>
    <mergeCell ref="J4943:J4950"/>
    <mergeCell ref="K4943:K4950"/>
    <mergeCell ref="L4943:L4950"/>
    <mergeCell ref="J4934:J4942"/>
    <mergeCell ref="K4934:K4942"/>
    <mergeCell ref="L4934:L4942"/>
    <mergeCell ref="M4934:N4934"/>
    <mergeCell ref="M4935:N4935"/>
    <mergeCell ref="B4943:B4950"/>
    <mergeCell ref="C4943:C4950"/>
    <mergeCell ref="D4943:D4950"/>
    <mergeCell ref="E4943:E4950"/>
    <mergeCell ref="F4943:F4950"/>
    <mergeCell ref="M4926:N4926"/>
    <mergeCell ref="M4927:N4927"/>
    <mergeCell ref="B4934:B4942"/>
    <mergeCell ref="C4934:C4942"/>
    <mergeCell ref="D4934:D4942"/>
    <mergeCell ref="E4934:E4942"/>
    <mergeCell ref="F4934:F4942"/>
    <mergeCell ref="G4934:G4942"/>
    <mergeCell ref="H4934:H4942"/>
    <mergeCell ref="I4934:I4942"/>
    <mergeCell ref="G4926:G4933"/>
    <mergeCell ref="H4926:H4933"/>
    <mergeCell ref="I4926:I4933"/>
    <mergeCell ref="J4926:J4933"/>
    <mergeCell ref="K4926:K4933"/>
    <mergeCell ref="L4926:L4933"/>
    <mergeCell ref="J4918:J4925"/>
    <mergeCell ref="K4918:K4925"/>
    <mergeCell ref="L4918:L4925"/>
    <mergeCell ref="M4918:N4918"/>
    <mergeCell ref="M4919:N4919"/>
    <mergeCell ref="B4926:B4933"/>
    <mergeCell ref="C4926:C4933"/>
    <mergeCell ref="D4926:D4933"/>
    <mergeCell ref="E4926:E4933"/>
    <mergeCell ref="F4926:F4933"/>
    <mergeCell ref="O4916:Z4916"/>
    <mergeCell ref="AA4916:AA4917"/>
    <mergeCell ref="B4918:B4925"/>
    <mergeCell ref="C4918:C4925"/>
    <mergeCell ref="D4918:D4925"/>
    <mergeCell ref="E4918:E4925"/>
    <mergeCell ref="F4918:F4925"/>
    <mergeCell ref="G4918:G4925"/>
    <mergeCell ref="H4918:H4925"/>
    <mergeCell ref="I4918:I4925"/>
    <mergeCell ref="G4916:G4917"/>
    <mergeCell ref="H4916:H4917"/>
    <mergeCell ref="I4916:I4917"/>
    <mergeCell ref="J4916:K4916"/>
    <mergeCell ref="L4916:L4917"/>
    <mergeCell ref="M4916:N4917"/>
    <mergeCell ref="B4914:B4915"/>
    <mergeCell ref="C4914:C4915"/>
    <mergeCell ref="D4914:D4915"/>
    <mergeCell ref="E4914:E4915"/>
    <mergeCell ref="V4915:Y4915"/>
    <mergeCell ref="B4916:B4917"/>
    <mergeCell ref="C4916:C4917"/>
    <mergeCell ref="D4916:D4917"/>
    <mergeCell ref="E4916:E4917"/>
    <mergeCell ref="F4916:F4917"/>
    <mergeCell ref="C4911:Y4911"/>
    <mergeCell ref="B4912:B4913"/>
    <mergeCell ref="C4912:C4913"/>
    <mergeCell ref="D4912:D4913"/>
    <mergeCell ref="E4912:E4913"/>
    <mergeCell ref="V4912:Y4912"/>
    <mergeCell ref="V4913:Y4913"/>
    <mergeCell ref="K4895:K4907"/>
    <mergeCell ref="L4895:L4907"/>
    <mergeCell ref="M4895:N4895"/>
    <mergeCell ref="M4896:N4896"/>
    <mergeCell ref="C4909:AA4909"/>
    <mergeCell ref="C4910:AA4910"/>
    <mergeCell ref="AA4893:AA4894"/>
    <mergeCell ref="B4895:B4907"/>
    <mergeCell ref="C4895:C4907"/>
    <mergeCell ref="D4895:D4907"/>
    <mergeCell ref="E4895:E4907"/>
    <mergeCell ref="F4895:F4907"/>
    <mergeCell ref="G4895:G4907"/>
    <mergeCell ref="H4895:H4907"/>
    <mergeCell ref="I4895:I4907"/>
    <mergeCell ref="J4895:J4907"/>
    <mergeCell ref="H4893:H4894"/>
    <mergeCell ref="I4893:I4894"/>
    <mergeCell ref="J4893:K4893"/>
    <mergeCell ref="L4893:L4894"/>
    <mergeCell ref="M4893:N4894"/>
    <mergeCell ref="O4893:Z4893"/>
    <mergeCell ref="B4893:B4894"/>
    <mergeCell ref="C4893:C4894"/>
    <mergeCell ref="D4893:D4894"/>
    <mergeCell ref="E4893:E4894"/>
    <mergeCell ref="F4893:F4894"/>
    <mergeCell ref="G4893:G4894"/>
    <mergeCell ref="B4891:B4892"/>
    <mergeCell ref="C4891:C4892"/>
    <mergeCell ref="D4891:P4892"/>
    <mergeCell ref="V4891:Y4891"/>
    <mergeCell ref="Z4891:AA4891"/>
    <mergeCell ref="V4892:Y4892"/>
    <mergeCell ref="Z4892:AA4892"/>
    <mergeCell ref="C4886:AA4886"/>
    <mergeCell ref="C4887:H4887"/>
    <mergeCell ref="B4889:B4890"/>
    <mergeCell ref="C4889:C4890"/>
    <mergeCell ref="D4889:I4890"/>
    <mergeCell ref="V4889:Y4889"/>
    <mergeCell ref="Z4889:AA4889"/>
    <mergeCell ref="V4890:Y4890"/>
    <mergeCell ref="Z4890:AA4890"/>
    <mergeCell ref="V4882:V4884"/>
    <mergeCell ref="W4882:W4884"/>
    <mergeCell ref="X4882:X4884"/>
    <mergeCell ref="Y4882:Y4884"/>
    <mergeCell ref="Z4882:Z4884"/>
    <mergeCell ref="AA4882:AA4884"/>
    <mergeCell ref="P4882:P4884"/>
    <mergeCell ref="Q4882:Q4884"/>
    <mergeCell ref="R4882:R4884"/>
    <mergeCell ref="S4882:S4884"/>
    <mergeCell ref="T4882:T4884"/>
    <mergeCell ref="U4882:U4884"/>
    <mergeCell ref="J4882:J4884"/>
    <mergeCell ref="K4882:K4884"/>
    <mergeCell ref="L4882:L4884"/>
    <mergeCell ref="M4882:M4884"/>
    <mergeCell ref="N4882:N4884"/>
    <mergeCell ref="O4882:O4884"/>
    <mergeCell ref="M4879:N4879"/>
    <mergeCell ref="M4880:N4880"/>
    <mergeCell ref="B4882:B4884"/>
    <mergeCell ref="C4882:C4884"/>
    <mergeCell ref="D4882:D4884"/>
    <mergeCell ref="E4882:E4884"/>
    <mergeCell ref="F4882:F4884"/>
    <mergeCell ref="G4882:G4884"/>
    <mergeCell ref="H4882:H4884"/>
    <mergeCell ref="I4882:I4884"/>
    <mergeCell ref="G4879:G4881"/>
    <mergeCell ref="H4879:H4881"/>
    <mergeCell ref="I4879:I4881"/>
    <mergeCell ref="J4879:J4881"/>
    <mergeCell ref="K4879:K4881"/>
    <mergeCell ref="L4879:L4881"/>
    <mergeCell ref="A4879:A4884"/>
    <mergeCell ref="B4879:B4881"/>
    <mergeCell ref="C4879:C4881"/>
    <mergeCell ref="D4879:D4881"/>
    <mergeCell ref="E4879:E4881"/>
    <mergeCell ref="F4879:F4881"/>
    <mergeCell ref="H4875:H4878"/>
    <mergeCell ref="I4875:I4878"/>
    <mergeCell ref="J4875:J4878"/>
    <mergeCell ref="K4875:K4878"/>
    <mergeCell ref="L4875:L4878"/>
    <mergeCell ref="M4875:N4875"/>
    <mergeCell ref="M4876:N4876"/>
    <mergeCell ref="B4875:B4878"/>
    <mergeCell ref="C4875:C4878"/>
    <mergeCell ref="D4875:D4878"/>
    <mergeCell ref="E4875:E4878"/>
    <mergeCell ref="F4875:F4878"/>
    <mergeCell ref="G4875:G4878"/>
    <mergeCell ref="H4871:H4874"/>
    <mergeCell ref="I4871:I4874"/>
    <mergeCell ref="J4871:J4874"/>
    <mergeCell ref="K4871:K4874"/>
    <mergeCell ref="L4871:L4874"/>
    <mergeCell ref="M4871:N4871"/>
    <mergeCell ref="M4872:N4872"/>
    <mergeCell ref="B4871:B4874"/>
    <mergeCell ref="C4871:C4874"/>
    <mergeCell ref="D4871:D4874"/>
    <mergeCell ref="E4871:E4874"/>
    <mergeCell ref="F4871:F4874"/>
    <mergeCell ref="G4871:G4874"/>
    <mergeCell ref="I4864:I4870"/>
    <mergeCell ref="J4864:J4870"/>
    <mergeCell ref="K4864:K4870"/>
    <mergeCell ref="L4864:L4870"/>
    <mergeCell ref="M4864:N4864"/>
    <mergeCell ref="M4865:N4865"/>
    <mergeCell ref="M4859:N4859"/>
    <mergeCell ref="M4860:N4860"/>
    <mergeCell ref="A4864:A4878"/>
    <mergeCell ref="B4864:B4870"/>
    <mergeCell ref="C4864:C4870"/>
    <mergeCell ref="D4864:D4870"/>
    <mergeCell ref="E4864:E4870"/>
    <mergeCell ref="F4864:F4870"/>
    <mergeCell ref="G4864:G4870"/>
    <mergeCell ref="H4864:H4870"/>
    <mergeCell ref="G4859:G4863"/>
    <mergeCell ref="H4859:H4863"/>
    <mergeCell ref="I4859:I4863"/>
    <mergeCell ref="J4859:J4863"/>
    <mergeCell ref="K4859:K4863"/>
    <mergeCell ref="L4859:L4863"/>
    <mergeCell ref="A4859:A4863"/>
    <mergeCell ref="B4859:B4863"/>
    <mergeCell ref="C4859:C4863"/>
    <mergeCell ref="D4859:D4863"/>
    <mergeCell ref="E4859:E4863"/>
    <mergeCell ref="F4859:F4863"/>
    <mergeCell ref="H4856:H4858"/>
    <mergeCell ref="I4856:I4858"/>
    <mergeCell ref="J4856:J4858"/>
    <mergeCell ref="K4856:K4858"/>
    <mergeCell ref="L4856:L4858"/>
    <mergeCell ref="M4856:N4856"/>
    <mergeCell ref="M4857:N4857"/>
    <mergeCell ref="B4856:B4858"/>
    <mergeCell ref="C4856:C4858"/>
    <mergeCell ref="D4856:D4858"/>
    <mergeCell ref="E4856:E4858"/>
    <mergeCell ref="F4856:F4858"/>
    <mergeCell ref="G4856:G4858"/>
    <mergeCell ref="H4850:H4855"/>
    <mergeCell ref="I4850:I4855"/>
    <mergeCell ref="J4850:J4855"/>
    <mergeCell ref="K4850:K4855"/>
    <mergeCell ref="L4850:L4855"/>
    <mergeCell ref="M4850:N4850"/>
    <mergeCell ref="M4851:N4851"/>
    <mergeCell ref="B4850:B4855"/>
    <mergeCell ref="C4850:C4855"/>
    <mergeCell ref="D4850:D4855"/>
    <mergeCell ref="E4850:E4855"/>
    <mergeCell ref="F4850:F4855"/>
    <mergeCell ref="G4850:G4855"/>
    <mergeCell ref="I4846:I4849"/>
    <mergeCell ref="J4846:J4849"/>
    <mergeCell ref="K4846:K4849"/>
    <mergeCell ref="L4846:L4849"/>
    <mergeCell ref="M4846:N4846"/>
    <mergeCell ref="M4847:N4847"/>
    <mergeCell ref="M4843:N4843"/>
    <mergeCell ref="M4844:N4844"/>
    <mergeCell ref="A4846:A4858"/>
    <mergeCell ref="B4846:B4849"/>
    <mergeCell ref="C4846:C4849"/>
    <mergeCell ref="D4846:D4849"/>
    <mergeCell ref="E4846:E4849"/>
    <mergeCell ref="F4846:F4849"/>
    <mergeCell ref="G4846:G4849"/>
    <mergeCell ref="H4846:H4849"/>
    <mergeCell ref="G4843:G4845"/>
    <mergeCell ref="H4843:H4845"/>
    <mergeCell ref="I4843:I4845"/>
    <mergeCell ref="J4843:J4845"/>
    <mergeCell ref="K4843:K4845"/>
    <mergeCell ref="L4843:L4845"/>
    <mergeCell ref="J4836:J4842"/>
    <mergeCell ref="K4836:K4842"/>
    <mergeCell ref="L4836:L4842"/>
    <mergeCell ref="M4836:N4836"/>
    <mergeCell ref="M4837:N4837"/>
    <mergeCell ref="B4843:B4845"/>
    <mergeCell ref="C4843:C4845"/>
    <mergeCell ref="D4843:D4845"/>
    <mergeCell ref="E4843:E4845"/>
    <mergeCell ref="F4843:F4845"/>
    <mergeCell ref="M4828:N4828"/>
    <mergeCell ref="M4829:N4829"/>
    <mergeCell ref="B4836:B4842"/>
    <mergeCell ref="C4836:C4842"/>
    <mergeCell ref="D4836:D4842"/>
    <mergeCell ref="E4836:E4842"/>
    <mergeCell ref="F4836:F4842"/>
    <mergeCell ref="G4836:G4842"/>
    <mergeCell ref="H4836:H4842"/>
    <mergeCell ref="I4836:I4842"/>
    <mergeCell ref="G4828:G4835"/>
    <mergeCell ref="H4828:H4835"/>
    <mergeCell ref="I4828:I4835"/>
    <mergeCell ref="J4828:J4835"/>
    <mergeCell ref="K4828:K4835"/>
    <mergeCell ref="L4828:L4835"/>
    <mergeCell ref="A4828:A4845"/>
    <mergeCell ref="B4828:B4835"/>
    <mergeCell ref="C4828:C4835"/>
    <mergeCell ref="D4828:D4835"/>
    <mergeCell ref="E4828:E4835"/>
    <mergeCell ref="F4828:F4835"/>
    <mergeCell ref="I4825:I4826"/>
    <mergeCell ref="J4825:K4825"/>
    <mergeCell ref="L4825:L4826"/>
    <mergeCell ref="M4825:N4826"/>
    <mergeCell ref="O4825:Z4825"/>
    <mergeCell ref="AA4825:AA4826"/>
    <mergeCell ref="C4825:C4826"/>
    <mergeCell ref="D4825:D4826"/>
    <mergeCell ref="E4825:E4826"/>
    <mergeCell ref="F4825:F4826"/>
    <mergeCell ref="G4825:G4826"/>
    <mergeCell ref="H4825:H4826"/>
    <mergeCell ref="A4816:A4827"/>
    <mergeCell ref="C4816:AA4816"/>
    <mergeCell ref="C4817:AA4817"/>
    <mergeCell ref="C4818:AA4818"/>
    <mergeCell ref="C4819:AA4819"/>
    <mergeCell ref="C4820:AA4820"/>
    <mergeCell ref="C4821:AA4821"/>
    <mergeCell ref="B4822:B4824"/>
    <mergeCell ref="C4822:AA4824"/>
    <mergeCell ref="B4825:B4826"/>
    <mergeCell ref="J4811:J4813"/>
    <mergeCell ref="K4811:K4813"/>
    <mergeCell ref="L4811:L4813"/>
    <mergeCell ref="M4811:N4811"/>
    <mergeCell ref="M4812:N4812"/>
    <mergeCell ref="A4815:AA4815"/>
    <mergeCell ref="M4808:N4808"/>
    <mergeCell ref="M4809:N4809"/>
    <mergeCell ref="B4811:B4813"/>
    <mergeCell ref="C4811:C4813"/>
    <mergeCell ref="D4811:D4813"/>
    <mergeCell ref="E4811:E4813"/>
    <mergeCell ref="F4811:F4813"/>
    <mergeCell ref="G4811:G4813"/>
    <mergeCell ref="H4811:H4813"/>
    <mergeCell ref="I4811:I4813"/>
    <mergeCell ref="G4808:G4810"/>
    <mergeCell ref="H4808:H4810"/>
    <mergeCell ref="I4808:I4810"/>
    <mergeCell ref="J4808:J4810"/>
    <mergeCell ref="K4808:K4810"/>
    <mergeCell ref="L4808:L4810"/>
    <mergeCell ref="A4808:A4813"/>
    <mergeCell ref="B4808:B4810"/>
    <mergeCell ref="C4808:C4810"/>
    <mergeCell ref="D4808:D4810"/>
    <mergeCell ref="E4808:E4810"/>
    <mergeCell ref="F4808:F4810"/>
    <mergeCell ref="I4805:I4807"/>
    <mergeCell ref="J4805:J4807"/>
    <mergeCell ref="K4805:K4807"/>
    <mergeCell ref="L4805:L4807"/>
    <mergeCell ref="M4805:N4805"/>
    <mergeCell ref="M4806:N4806"/>
    <mergeCell ref="L4802:L4804"/>
    <mergeCell ref="M4802:N4802"/>
    <mergeCell ref="M4803:N4803"/>
    <mergeCell ref="B4805:B4807"/>
    <mergeCell ref="C4805:C4807"/>
    <mergeCell ref="D4805:D4807"/>
    <mergeCell ref="E4805:E4807"/>
    <mergeCell ref="F4805:F4807"/>
    <mergeCell ref="G4805:G4807"/>
    <mergeCell ref="H4805:H4807"/>
    <mergeCell ref="F4802:F4804"/>
    <mergeCell ref="G4802:G4804"/>
    <mergeCell ref="H4802:H4804"/>
    <mergeCell ref="I4802:I4804"/>
    <mergeCell ref="J4802:J4804"/>
    <mergeCell ref="K4802:K4804"/>
    <mergeCell ref="J4798:J4801"/>
    <mergeCell ref="K4798:K4801"/>
    <mergeCell ref="L4798:L4801"/>
    <mergeCell ref="M4798:N4798"/>
    <mergeCell ref="M4799:N4799"/>
    <mergeCell ref="A4802:A4807"/>
    <mergeCell ref="B4802:B4804"/>
    <mergeCell ref="C4802:C4804"/>
    <mergeCell ref="D4802:D4804"/>
    <mergeCell ref="E4802:E4804"/>
    <mergeCell ref="M4792:N4792"/>
    <mergeCell ref="M4793:N4793"/>
    <mergeCell ref="B4798:B4801"/>
    <mergeCell ref="C4798:C4801"/>
    <mergeCell ref="D4798:D4801"/>
    <mergeCell ref="E4798:E4801"/>
    <mergeCell ref="F4798:F4801"/>
    <mergeCell ref="G4798:G4801"/>
    <mergeCell ref="H4798:H4801"/>
    <mergeCell ref="I4798:I4801"/>
    <mergeCell ref="G4792:G4797"/>
    <mergeCell ref="H4792:H4797"/>
    <mergeCell ref="I4792:I4797"/>
    <mergeCell ref="J4792:J4797"/>
    <mergeCell ref="K4792:K4797"/>
    <mergeCell ref="L4792:L4797"/>
    <mergeCell ref="A4792:A4801"/>
    <mergeCell ref="B4792:B4797"/>
    <mergeCell ref="C4792:C4797"/>
    <mergeCell ref="D4792:D4797"/>
    <mergeCell ref="E4792:E4797"/>
    <mergeCell ref="F4792:F4797"/>
    <mergeCell ref="I4788:I4791"/>
    <mergeCell ref="J4788:J4791"/>
    <mergeCell ref="K4788:K4791"/>
    <mergeCell ref="L4788:L4791"/>
    <mergeCell ref="M4788:N4788"/>
    <mergeCell ref="M4789:N4789"/>
    <mergeCell ref="M4783:N4783"/>
    <mergeCell ref="M4784:N4784"/>
    <mergeCell ref="A4788:A4791"/>
    <mergeCell ref="B4788:B4791"/>
    <mergeCell ref="C4788:C4791"/>
    <mergeCell ref="D4788:D4791"/>
    <mergeCell ref="E4788:E4791"/>
    <mergeCell ref="F4788:F4791"/>
    <mergeCell ref="G4788:G4791"/>
    <mergeCell ref="H4788:H4791"/>
    <mergeCell ref="G4783:G4787"/>
    <mergeCell ref="H4783:H4787"/>
    <mergeCell ref="I4783:I4787"/>
    <mergeCell ref="J4783:J4787"/>
    <mergeCell ref="K4783:K4787"/>
    <mergeCell ref="L4783:L4787"/>
    <mergeCell ref="J4779:J4782"/>
    <mergeCell ref="K4779:K4782"/>
    <mergeCell ref="L4779:L4782"/>
    <mergeCell ref="M4779:N4779"/>
    <mergeCell ref="M4780:N4780"/>
    <mergeCell ref="B4783:B4787"/>
    <mergeCell ref="C4783:C4787"/>
    <mergeCell ref="D4783:D4787"/>
    <mergeCell ref="E4783:E4787"/>
    <mergeCell ref="F4783:F4787"/>
    <mergeCell ref="M4776:N4776"/>
    <mergeCell ref="M4777:N4777"/>
    <mergeCell ref="B4779:B4782"/>
    <mergeCell ref="C4779:C4782"/>
    <mergeCell ref="D4779:D4782"/>
    <mergeCell ref="E4779:E4782"/>
    <mergeCell ref="F4779:F4782"/>
    <mergeCell ref="G4779:G4782"/>
    <mergeCell ref="H4779:H4782"/>
    <mergeCell ref="I4779:I4782"/>
    <mergeCell ref="G4776:G4778"/>
    <mergeCell ref="H4776:H4778"/>
    <mergeCell ref="I4776:I4778"/>
    <mergeCell ref="J4776:J4778"/>
    <mergeCell ref="K4776:K4778"/>
    <mergeCell ref="L4776:L4778"/>
    <mergeCell ref="J4769:J4775"/>
    <mergeCell ref="K4769:K4775"/>
    <mergeCell ref="L4769:L4775"/>
    <mergeCell ref="M4769:N4769"/>
    <mergeCell ref="M4770:N4770"/>
    <mergeCell ref="B4776:B4778"/>
    <mergeCell ref="C4776:C4778"/>
    <mergeCell ref="D4776:D4778"/>
    <mergeCell ref="E4776:E4778"/>
    <mergeCell ref="F4776:F4778"/>
    <mergeCell ref="M4763:N4763"/>
    <mergeCell ref="M4764:N4764"/>
    <mergeCell ref="B4769:B4775"/>
    <mergeCell ref="C4769:C4775"/>
    <mergeCell ref="D4769:D4775"/>
    <mergeCell ref="E4769:E4775"/>
    <mergeCell ref="F4769:F4775"/>
    <mergeCell ref="G4769:G4775"/>
    <mergeCell ref="H4769:H4775"/>
    <mergeCell ref="I4769:I4775"/>
    <mergeCell ref="G4763:G4768"/>
    <mergeCell ref="H4763:H4768"/>
    <mergeCell ref="I4763:I4768"/>
    <mergeCell ref="J4763:J4768"/>
    <mergeCell ref="K4763:K4768"/>
    <mergeCell ref="L4763:L4768"/>
    <mergeCell ref="L4760:L4761"/>
    <mergeCell ref="M4760:N4761"/>
    <mergeCell ref="O4760:Z4760"/>
    <mergeCell ref="AA4760:AA4761"/>
    <mergeCell ref="A4763:A4787"/>
    <mergeCell ref="B4763:B4768"/>
    <mergeCell ref="C4763:C4768"/>
    <mergeCell ref="D4763:D4768"/>
    <mergeCell ref="E4763:E4768"/>
    <mergeCell ref="F4763:F4768"/>
    <mergeCell ref="C4759:AA4759"/>
    <mergeCell ref="B4760:B4761"/>
    <mergeCell ref="C4760:C4761"/>
    <mergeCell ref="D4760:D4761"/>
    <mergeCell ref="E4760:E4761"/>
    <mergeCell ref="F4760:F4761"/>
    <mergeCell ref="G4760:G4761"/>
    <mergeCell ref="H4760:H4761"/>
    <mergeCell ref="I4760:I4761"/>
    <mergeCell ref="J4760:K4760"/>
    <mergeCell ref="X4753:X4755"/>
    <mergeCell ref="Y4753:Y4755"/>
    <mergeCell ref="Z4753:Z4755"/>
    <mergeCell ref="AA4753:AA4755"/>
    <mergeCell ref="C4757:AA4757"/>
    <mergeCell ref="C4758:AA4758"/>
    <mergeCell ref="R4753:R4755"/>
    <mergeCell ref="S4753:S4755"/>
    <mergeCell ref="T4753:T4755"/>
    <mergeCell ref="U4753:U4755"/>
    <mergeCell ref="V4753:V4755"/>
    <mergeCell ref="W4753:W4755"/>
    <mergeCell ref="L4753:L4755"/>
    <mergeCell ref="M4753:M4755"/>
    <mergeCell ref="N4753:N4755"/>
    <mergeCell ref="O4753:O4755"/>
    <mergeCell ref="P4753:P4755"/>
    <mergeCell ref="Q4753:Q4755"/>
    <mergeCell ref="L4750:L4752"/>
    <mergeCell ref="M4750:N4750"/>
    <mergeCell ref="M4751:N4751"/>
    <mergeCell ref="B4753:B4755"/>
    <mergeCell ref="C4753:C4755"/>
    <mergeCell ref="D4753:D4755"/>
    <mergeCell ref="E4753:E4755"/>
    <mergeCell ref="F4753:F4755"/>
    <mergeCell ref="G4753:G4755"/>
    <mergeCell ref="H4753:H4755"/>
    <mergeCell ref="F4750:F4752"/>
    <mergeCell ref="G4750:G4752"/>
    <mergeCell ref="H4750:H4752"/>
    <mergeCell ref="I4750:I4752"/>
    <mergeCell ref="J4750:J4752"/>
    <mergeCell ref="K4750:K4755"/>
    <mergeCell ref="I4753:I4755"/>
    <mergeCell ref="J4753:J4755"/>
    <mergeCell ref="H4722:H4726"/>
    <mergeCell ref="I4722:I4726"/>
    <mergeCell ref="J4722:J4726"/>
    <mergeCell ref="K4722:K4726"/>
    <mergeCell ref="L4722:L4726"/>
    <mergeCell ref="B4722:B4726"/>
    <mergeCell ref="C4722:C4726"/>
    <mergeCell ref="D4722:D4726"/>
    <mergeCell ref="E4722:E4726"/>
    <mergeCell ref="F4722:F4726"/>
    <mergeCell ref="J4746:J4749"/>
    <mergeCell ref="K4746:K4749"/>
    <mergeCell ref="L4746:L4749"/>
    <mergeCell ref="M4746:N4746"/>
    <mergeCell ref="M4747:N4747"/>
    <mergeCell ref="A4750:A4755"/>
    <mergeCell ref="B4750:B4752"/>
    <mergeCell ref="C4750:C4752"/>
    <mergeCell ref="D4750:D4752"/>
    <mergeCell ref="E4750:E4752"/>
    <mergeCell ref="M4742:N4742"/>
    <mergeCell ref="M4743:N4743"/>
    <mergeCell ref="B4746:B4749"/>
    <mergeCell ref="C4746:C4749"/>
    <mergeCell ref="D4746:D4749"/>
    <mergeCell ref="E4746:E4749"/>
    <mergeCell ref="F4746:F4749"/>
    <mergeCell ref="G4746:G4749"/>
    <mergeCell ref="H4746:H4749"/>
    <mergeCell ref="I4746:I4749"/>
    <mergeCell ref="G4742:G4745"/>
    <mergeCell ref="H4742:H4745"/>
    <mergeCell ref="I4742:I4745"/>
    <mergeCell ref="J4742:J4745"/>
    <mergeCell ref="K4742:K4745"/>
    <mergeCell ref="L4742:L4745"/>
    <mergeCell ref="J4738:J4741"/>
    <mergeCell ref="K4738:K4741"/>
    <mergeCell ref="L4738:L4741"/>
    <mergeCell ref="M4738:N4738"/>
    <mergeCell ref="M4739:N4739"/>
    <mergeCell ref="B4742:B4745"/>
    <mergeCell ref="C4742:C4745"/>
    <mergeCell ref="D4742:D4745"/>
    <mergeCell ref="E4742:E4745"/>
    <mergeCell ref="F4742:F4745"/>
    <mergeCell ref="A4722:A4749"/>
    <mergeCell ref="A4716:A4721"/>
    <mergeCell ref="B4716:B4718"/>
    <mergeCell ref="C4716:C4718"/>
    <mergeCell ref="D4716:D4718"/>
    <mergeCell ref="E4716:E4718"/>
    <mergeCell ref="M4707:N4707"/>
    <mergeCell ref="M4708:N4708"/>
    <mergeCell ref="B4711:B4715"/>
    <mergeCell ref="C4711:C4715"/>
    <mergeCell ref="D4711:D4715"/>
    <mergeCell ref="E4711:E4715"/>
    <mergeCell ref="F4711:F4715"/>
    <mergeCell ref="G4711:G4715"/>
    <mergeCell ref="H4711:H4715"/>
    <mergeCell ref="I4711:I4715"/>
    <mergeCell ref="G4707:G4710"/>
    <mergeCell ref="H4707:H4710"/>
    <mergeCell ref="I4707:I4710"/>
    <mergeCell ref="J4707:J4710"/>
    <mergeCell ref="K4707:K4710"/>
    <mergeCell ref="L4707:L4710"/>
    <mergeCell ref="A4707:A4715"/>
    <mergeCell ref="B4707:B4710"/>
    <mergeCell ref="C4707:C4710"/>
    <mergeCell ref="D4707:D4710"/>
    <mergeCell ref="E4707:E4710"/>
    <mergeCell ref="F4707:F4710"/>
    <mergeCell ref="M4734:N4734"/>
    <mergeCell ref="M4735:N4735"/>
    <mergeCell ref="B4738:B4741"/>
    <mergeCell ref="C4738:C4741"/>
    <mergeCell ref="D4738:D4741"/>
    <mergeCell ref="E4738:E4741"/>
    <mergeCell ref="F4738:F4741"/>
    <mergeCell ref="G4738:G4741"/>
    <mergeCell ref="H4738:H4741"/>
    <mergeCell ref="I4738:I4741"/>
    <mergeCell ref="G4734:G4737"/>
    <mergeCell ref="H4734:H4737"/>
    <mergeCell ref="I4734:I4737"/>
    <mergeCell ref="J4734:J4737"/>
    <mergeCell ref="K4734:K4737"/>
    <mergeCell ref="L4734:L4737"/>
    <mergeCell ref="J4727:J4733"/>
    <mergeCell ref="K4727:K4733"/>
    <mergeCell ref="L4727:L4733"/>
    <mergeCell ref="M4727:N4727"/>
    <mergeCell ref="M4728:N4728"/>
    <mergeCell ref="B4734:B4737"/>
    <mergeCell ref="C4734:C4737"/>
    <mergeCell ref="D4734:D4737"/>
    <mergeCell ref="E4734:E4737"/>
    <mergeCell ref="F4734:F4737"/>
    <mergeCell ref="M4722:N4722"/>
    <mergeCell ref="M4723:N4723"/>
    <mergeCell ref="B4727:B4733"/>
    <mergeCell ref="C4727:C4733"/>
    <mergeCell ref="D4727:D4733"/>
    <mergeCell ref="E4727:E4733"/>
    <mergeCell ref="F4727:F4733"/>
    <mergeCell ref="G4727:G4733"/>
    <mergeCell ref="H4727:H4733"/>
    <mergeCell ref="I4727:I4733"/>
    <mergeCell ref="G4722:G4726"/>
    <mergeCell ref="K4700:K4703"/>
    <mergeCell ref="L4700:L4703"/>
    <mergeCell ref="M4700:N4700"/>
    <mergeCell ref="M4701:N4701"/>
    <mergeCell ref="B4700:B4703"/>
    <mergeCell ref="C4700:C4703"/>
    <mergeCell ref="D4700:D4703"/>
    <mergeCell ref="E4700:E4703"/>
    <mergeCell ref="F4700:F4703"/>
    <mergeCell ref="G4700:G4703"/>
    <mergeCell ref="H4694:H4699"/>
    <mergeCell ref="I4694:I4699"/>
    <mergeCell ref="J4694:J4699"/>
    <mergeCell ref="K4694:K4699"/>
    <mergeCell ref="L4694:L4699"/>
    <mergeCell ref="M4694:N4694"/>
    <mergeCell ref="M4695:N4695"/>
    <mergeCell ref="B4694:B4699"/>
    <mergeCell ref="C4694:C4699"/>
    <mergeCell ref="D4694:D4699"/>
    <mergeCell ref="E4694:E4699"/>
    <mergeCell ref="F4694:F4699"/>
    <mergeCell ref="G4694:G4699"/>
    <mergeCell ref="I4719:I4721"/>
    <mergeCell ref="J4719:J4721"/>
    <mergeCell ref="K4719:K4721"/>
    <mergeCell ref="L4719:L4721"/>
    <mergeCell ref="M4719:N4719"/>
    <mergeCell ref="M4720:N4720"/>
    <mergeCell ref="L4716:L4718"/>
    <mergeCell ref="M4716:N4716"/>
    <mergeCell ref="M4717:N4717"/>
    <mergeCell ref="B4719:B4721"/>
    <mergeCell ref="C4719:C4721"/>
    <mergeCell ref="D4719:D4721"/>
    <mergeCell ref="E4719:E4721"/>
    <mergeCell ref="F4719:F4721"/>
    <mergeCell ref="G4719:G4721"/>
    <mergeCell ref="H4719:H4721"/>
    <mergeCell ref="F4716:F4718"/>
    <mergeCell ref="G4716:G4718"/>
    <mergeCell ref="H4716:H4718"/>
    <mergeCell ref="I4716:I4718"/>
    <mergeCell ref="J4716:J4718"/>
    <mergeCell ref="K4716:K4718"/>
    <mergeCell ref="J4711:J4715"/>
    <mergeCell ref="K4711:K4715"/>
    <mergeCell ref="L4711:L4715"/>
    <mergeCell ref="M4711:N4711"/>
    <mergeCell ref="M4712:N4712"/>
    <mergeCell ref="I4690:I4693"/>
    <mergeCell ref="J4690:J4693"/>
    <mergeCell ref="K4690:K4693"/>
    <mergeCell ref="L4690:L4693"/>
    <mergeCell ref="M4690:N4690"/>
    <mergeCell ref="M4691:N4691"/>
    <mergeCell ref="M4687:N4687"/>
    <mergeCell ref="M4688:N4688"/>
    <mergeCell ref="A4690:A4706"/>
    <mergeCell ref="B4690:B4693"/>
    <mergeCell ref="C4690:C4693"/>
    <mergeCell ref="D4690:D4693"/>
    <mergeCell ref="E4690:E4693"/>
    <mergeCell ref="F4690:F4693"/>
    <mergeCell ref="G4690:G4693"/>
    <mergeCell ref="H4690:H4693"/>
    <mergeCell ref="G4687:G4689"/>
    <mergeCell ref="H4687:H4689"/>
    <mergeCell ref="I4687:I4689"/>
    <mergeCell ref="J4687:J4689"/>
    <mergeCell ref="K4687:K4689"/>
    <mergeCell ref="L4687:L4689"/>
    <mergeCell ref="J4684:J4686"/>
    <mergeCell ref="K4684:K4686"/>
    <mergeCell ref="L4684:L4686"/>
    <mergeCell ref="M4684:N4684"/>
    <mergeCell ref="M4685:N4685"/>
    <mergeCell ref="B4687:B4689"/>
    <mergeCell ref="C4687:C4689"/>
    <mergeCell ref="D4687:D4689"/>
    <mergeCell ref="E4687:E4689"/>
    <mergeCell ref="F4687:F4689"/>
    <mergeCell ref="M4677:N4677"/>
    <mergeCell ref="M4678:N4678"/>
    <mergeCell ref="B4684:B4686"/>
    <mergeCell ref="C4684:C4686"/>
    <mergeCell ref="D4684:D4686"/>
    <mergeCell ref="E4684:E4686"/>
    <mergeCell ref="F4684:F4686"/>
    <mergeCell ref="G4684:G4686"/>
    <mergeCell ref="H4684:H4686"/>
    <mergeCell ref="I4684:I4686"/>
    <mergeCell ref="G4677:G4683"/>
    <mergeCell ref="H4677:H4683"/>
    <mergeCell ref="I4677:I4683"/>
    <mergeCell ref="J4677:J4683"/>
    <mergeCell ref="K4677:K4683"/>
    <mergeCell ref="L4677:L4683"/>
    <mergeCell ref="H4704:H4706"/>
    <mergeCell ref="I4704:I4706"/>
    <mergeCell ref="J4704:J4706"/>
    <mergeCell ref="K4704:K4706"/>
    <mergeCell ref="L4704:L4706"/>
    <mergeCell ref="M4704:N4704"/>
    <mergeCell ref="M4705:N4705"/>
    <mergeCell ref="B4704:B4706"/>
    <mergeCell ref="C4704:C4706"/>
    <mergeCell ref="D4704:D4706"/>
    <mergeCell ref="E4704:E4706"/>
    <mergeCell ref="F4704:F4706"/>
    <mergeCell ref="G4704:G4706"/>
    <mergeCell ref="H4700:H4703"/>
    <mergeCell ref="I4700:I4703"/>
    <mergeCell ref="J4700:J4703"/>
    <mergeCell ref="J4671:J4676"/>
    <mergeCell ref="K4671:K4676"/>
    <mergeCell ref="L4671:L4676"/>
    <mergeCell ref="M4671:N4671"/>
    <mergeCell ref="M4672:N4672"/>
    <mergeCell ref="B4677:B4683"/>
    <mergeCell ref="C4677:C4683"/>
    <mergeCell ref="D4677:D4683"/>
    <mergeCell ref="E4677:E4683"/>
    <mergeCell ref="F4677:F4683"/>
    <mergeCell ref="M4664:N4664"/>
    <mergeCell ref="M4665:N4665"/>
    <mergeCell ref="B4671:B4676"/>
    <mergeCell ref="C4671:C4676"/>
    <mergeCell ref="D4671:D4676"/>
    <mergeCell ref="E4671:E4676"/>
    <mergeCell ref="F4671:F4676"/>
    <mergeCell ref="G4671:G4676"/>
    <mergeCell ref="H4671:H4676"/>
    <mergeCell ref="I4671:I4676"/>
    <mergeCell ref="G4664:G4670"/>
    <mergeCell ref="H4664:H4670"/>
    <mergeCell ref="I4664:I4670"/>
    <mergeCell ref="J4664:J4670"/>
    <mergeCell ref="K4664:K4670"/>
    <mergeCell ref="L4664:L4670"/>
    <mergeCell ref="A4664:A4689"/>
    <mergeCell ref="B4664:B4670"/>
    <mergeCell ref="C4664:C4670"/>
    <mergeCell ref="D4664:D4670"/>
    <mergeCell ref="E4664:E4670"/>
    <mergeCell ref="F4664:F4670"/>
    <mergeCell ref="I4661:I4662"/>
    <mergeCell ref="J4661:K4661"/>
    <mergeCell ref="L4661:L4662"/>
    <mergeCell ref="M4661:N4662"/>
    <mergeCell ref="A4638:A4646"/>
    <mergeCell ref="B4638:B4640"/>
    <mergeCell ref="C4638:C4640"/>
    <mergeCell ref="D4638:D4640"/>
    <mergeCell ref="E4638:E4640"/>
    <mergeCell ref="F4638:F4640"/>
    <mergeCell ref="O4661:Z4661"/>
    <mergeCell ref="AA4661:AA4662"/>
    <mergeCell ref="C4661:C4662"/>
    <mergeCell ref="D4661:D4662"/>
    <mergeCell ref="E4661:E4662"/>
    <mergeCell ref="F4661:F4662"/>
    <mergeCell ref="G4661:G4662"/>
    <mergeCell ref="H4661:H4662"/>
    <mergeCell ref="AA4650:AA4652"/>
    <mergeCell ref="A4654:AA4654"/>
    <mergeCell ref="A4655:A4663"/>
    <mergeCell ref="C4655:AA4655"/>
    <mergeCell ref="C4656:AA4656"/>
    <mergeCell ref="C4657:AA4657"/>
    <mergeCell ref="C4658:AA4658"/>
    <mergeCell ref="C4659:AA4659"/>
    <mergeCell ref="C4660:AA4660"/>
    <mergeCell ref="B4661:B4662"/>
    <mergeCell ref="U4650:U4652"/>
    <mergeCell ref="V4650:V4652"/>
    <mergeCell ref="W4650:W4652"/>
    <mergeCell ref="X4650:X4652"/>
    <mergeCell ref="Y4650:Y4652"/>
    <mergeCell ref="Z4650:Z4652"/>
    <mergeCell ref="O4650:O4652"/>
    <mergeCell ref="P4650:P4652"/>
    <mergeCell ref="Q4650:Q4652"/>
    <mergeCell ref="R4650:R4652"/>
    <mergeCell ref="S4650:S4652"/>
    <mergeCell ref="T4650:T4652"/>
    <mergeCell ref="H4650:H4652"/>
    <mergeCell ref="I4650:I4652"/>
    <mergeCell ref="J4650:J4652"/>
    <mergeCell ref="L4650:L4652"/>
    <mergeCell ref="M4650:M4652"/>
    <mergeCell ref="N4650:N4652"/>
    <mergeCell ref="B4650:B4652"/>
    <mergeCell ref="C4650:C4652"/>
    <mergeCell ref="D4650:D4652"/>
    <mergeCell ref="E4650:E4652"/>
    <mergeCell ref="F4650:F4652"/>
    <mergeCell ref="G4650:G4652"/>
    <mergeCell ref="L4629:L4631"/>
    <mergeCell ref="M4629:N4629"/>
    <mergeCell ref="M4630:N4630"/>
    <mergeCell ref="B4632:B4634"/>
    <mergeCell ref="C4632:C4634"/>
    <mergeCell ref="D4632:D4634"/>
    <mergeCell ref="E4632:E4634"/>
    <mergeCell ref="F4632:F4634"/>
    <mergeCell ref="G4632:G4634"/>
    <mergeCell ref="H4632:H4634"/>
    <mergeCell ref="F4629:F4631"/>
    <mergeCell ref="G4629:G4631"/>
    <mergeCell ref="H4629:H4631"/>
    <mergeCell ref="I4629:I4631"/>
    <mergeCell ref="J4629:J4631"/>
    <mergeCell ref="K4629:K4631"/>
    <mergeCell ref="I4647:I4649"/>
    <mergeCell ref="J4647:J4649"/>
    <mergeCell ref="K4647:K4652"/>
    <mergeCell ref="L4647:L4649"/>
    <mergeCell ref="M4647:N4647"/>
    <mergeCell ref="M4648:N4648"/>
    <mergeCell ref="M4644:N4644"/>
    <mergeCell ref="M4645:N4645"/>
    <mergeCell ref="A4647:A4652"/>
    <mergeCell ref="B4647:B4649"/>
    <mergeCell ref="C4647:C4649"/>
    <mergeCell ref="D4647:D4649"/>
    <mergeCell ref="E4647:E4649"/>
    <mergeCell ref="F4647:F4649"/>
    <mergeCell ref="G4647:G4649"/>
    <mergeCell ref="H4647:H4649"/>
    <mergeCell ref="G4644:G4646"/>
    <mergeCell ref="H4644:H4646"/>
    <mergeCell ref="I4644:I4646"/>
    <mergeCell ref="J4644:J4646"/>
    <mergeCell ref="K4644:K4646"/>
    <mergeCell ref="L4644:L4646"/>
    <mergeCell ref="J4641:J4643"/>
    <mergeCell ref="K4641:K4643"/>
    <mergeCell ref="L4641:L4643"/>
    <mergeCell ref="M4641:N4641"/>
    <mergeCell ref="M4642:N4642"/>
    <mergeCell ref="B4644:B4646"/>
    <mergeCell ref="C4644:C4646"/>
    <mergeCell ref="D4644:D4646"/>
    <mergeCell ref="E4644:E4646"/>
    <mergeCell ref="F4644:F4646"/>
    <mergeCell ref="M4638:N4638"/>
    <mergeCell ref="M4639:N4639"/>
    <mergeCell ref="B4641:B4643"/>
    <mergeCell ref="C4641:C4643"/>
    <mergeCell ref="D4641:D4643"/>
    <mergeCell ref="E4641:E4643"/>
    <mergeCell ref="F4641:F4643"/>
    <mergeCell ref="G4641:G4643"/>
    <mergeCell ref="H4641:H4643"/>
    <mergeCell ref="I4641:I4643"/>
    <mergeCell ref="G4638:G4640"/>
    <mergeCell ref="H4638:H4640"/>
    <mergeCell ref="I4638:I4640"/>
    <mergeCell ref="J4638:J4640"/>
    <mergeCell ref="K4638:K4640"/>
    <mergeCell ref="L4638:L4640"/>
    <mergeCell ref="J4625:J4628"/>
    <mergeCell ref="K4625:K4628"/>
    <mergeCell ref="L4625:L4628"/>
    <mergeCell ref="M4625:N4625"/>
    <mergeCell ref="M4626:N4626"/>
    <mergeCell ref="A4629:A4637"/>
    <mergeCell ref="B4629:B4631"/>
    <mergeCell ref="C4629:C4631"/>
    <mergeCell ref="D4629:D4631"/>
    <mergeCell ref="E4629:E4631"/>
    <mergeCell ref="M4619:N4619"/>
    <mergeCell ref="M4620:N4620"/>
    <mergeCell ref="B4625:B4628"/>
    <mergeCell ref="C4625:C4628"/>
    <mergeCell ref="D4625:D4628"/>
    <mergeCell ref="E4625:E4628"/>
    <mergeCell ref="F4625:F4628"/>
    <mergeCell ref="G4625:G4628"/>
    <mergeCell ref="H4625:H4628"/>
    <mergeCell ref="I4625:I4628"/>
    <mergeCell ref="G4619:G4624"/>
    <mergeCell ref="H4619:H4624"/>
    <mergeCell ref="I4619:I4624"/>
    <mergeCell ref="J4619:J4624"/>
    <mergeCell ref="K4619:K4624"/>
    <mergeCell ref="L4619:L4624"/>
    <mergeCell ref="A4619:A4628"/>
    <mergeCell ref="B4619:B4624"/>
    <mergeCell ref="C4619:C4624"/>
    <mergeCell ref="D4619:D4624"/>
    <mergeCell ref="E4619:E4624"/>
    <mergeCell ref="F4619:F4624"/>
    <mergeCell ref="H4615:H4618"/>
    <mergeCell ref="I4615:I4618"/>
    <mergeCell ref="J4615:J4618"/>
    <mergeCell ref="K4615:K4618"/>
    <mergeCell ref="L4615:L4618"/>
    <mergeCell ref="M4615:N4615"/>
    <mergeCell ref="M4616:N4616"/>
    <mergeCell ref="B4615:B4618"/>
    <mergeCell ref="C4615:C4618"/>
    <mergeCell ref="D4615:D4618"/>
    <mergeCell ref="E4615:E4618"/>
    <mergeCell ref="F4615:F4618"/>
    <mergeCell ref="G4615:G4618"/>
    <mergeCell ref="H4635:H4637"/>
    <mergeCell ref="I4635:I4637"/>
    <mergeCell ref="J4635:J4637"/>
    <mergeCell ref="K4635:K4637"/>
    <mergeCell ref="L4635:L4637"/>
    <mergeCell ref="M4635:N4635"/>
    <mergeCell ref="M4636:N4636"/>
    <mergeCell ref="B4635:B4637"/>
    <mergeCell ref="C4635:C4637"/>
    <mergeCell ref="D4635:D4637"/>
    <mergeCell ref="E4635:E4637"/>
    <mergeCell ref="F4635:F4637"/>
    <mergeCell ref="G4635:G4637"/>
    <mergeCell ref="I4632:I4634"/>
    <mergeCell ref="J4632:J4634"/>
    <mergeCell ref="K4632:K4634"/>
    <mergeCell ref="L4632:L4634"/>
    <mergeCell ref="M4632:N4632"/>
    <mergeCell ref="M4633:N4633"/>
    <mergeCell ref="I4610:I4614"/>
    <mergeCell ref="J4610:J4614"/>
    <mergeCell ref="K4610:K4614"/>
    <mergeCell ref="L4610:L4614"/>
    <mergeCell ref="M4610:N4610"/>
    <mergeCell ref="M4611:N4611"/>
    <mergeCell ref="M4605:N4605"/>
    <mergeCell ref="M4606:N4606"/>
    <mergeCell ref="A4610:A4618"/>
    <mergeCell ref="B4610:B4614"/>
    <mergeCell ref="C4610:C4614"/>
    <mergeCell ref="D4610:D4614"/>
    <mergeCell ref="E4610:E4614"/>
    <mergeCell ref="F4610:F4614"/>
    <mergeCell ref="G4610:G4614"/>
    <mergeCell ref="H4610:H4614"/>
    <mergeCell ref="G4605:G4609"/>
    <mergeCell ref="H4605:H4609"/>
    <mergeCell ref="I4605:I4609"/>
    <mergeCell ref="J4605:J4609"/>
    <mergeCell ref="K4605:K4609"/>
    <mergeCell ref="L4605:L4609"/>
    <mergeCell ref="J4601:J4604"/>
    <mergeCell ref="K4601:K4604"/>
    <mergeCell ref="L4601:L4604"/>
    <mergeCell ref="M4601:N4601"/>
    <mergeCell ref="M4602:N4602"/>
    <mergeCell ref="B4605:B4609"/>
    <mergeCell ref="C4605:C4609"/>
    <mergeCell ref="D4605:D4609"/>
    <mergeCell ref="E4605:E4609"/>
    <mergeCell ref="F4605:F4609"/>
    <mergeCell ref="M4598:N4598"/>
    <mergeCell ref="M4599:N4599"/>
    <mergeCell ref="B4601:B4604"/>
    <mergeCell ref="C4601:C4604"/>
    <mergeCell ref="D4601:D4604"/>
    <mergeCell ref="E4601:E4604"/>
    <mergeCell ref="F4601:F4604"/>
    <mergeCell ref="G4601:G4604"/>
    <mergeCell ref="H4601:H4604"/>
    <mergeCell ref="I4601:I4604"/>
    <mergeCell ref="G4598:G4600"/>
    <mergeCell ref="H4598:H4600"/>
    <mergeCell ref="I4598:I4600"/>
    <mergeCell ref="J4598:J4600"/>
    <mergeCell ref="K4598:K4600"/>
    <mergeCell ref="L4598:L4600"/>
    <mergeCell ref="J4591:J4597"/>
    <mergeCell ref="K4591:K4597"/>
    <mergeCell ref="L4591:L4597"/>
    <mergeCell ref="M4591:N4591"/>
    <mergeCell ref="M4592:N4592"/>
    <mergeCell ref="B4598:B4600"/>
    <mergeCell ref="C4598:C4600"/>
    <mergeCell ref="D4598:D4600"/>
    <mergeCell ref="E4598:E4600"/>
    <mergeCell ref="F4598:F4600"/>
    <mergeCell ref="M4585:N4585"/>
    <mergeCell ref="M4586:N4586"/>
    <mergeCell ref="B4591:B4597"/>
    <mergeCell ref="C4591:C4597"/>
    <mergeCell ref="D4591:D4597"/>
    <mergeCell ref="E4591:E4597"/>
    <mergeCell ref="F4591:F4597"/>
    <mergeCell ref="G4591:G4597"/>
    <mergeCell ref="H4591:H4597"/>
    <mergeCell ref="I4591:I4597"/>
    <mergeCell ref="G4585:G4590"/>
    <mergeCell ref="H4585:H4590"/>
    <mergeCell ref="I4585:I4590"/>
    <mergeCell ref="J4585:J4590"/>
    <mergeCell ref="K4585:K4590"/>
    <mergeCell ref="L4585:L4590"/>
    <mergeCell ref="L4582:L4583"/>
    <mergeCell ref="M4582:N4583"/>
    <mergeCell ref="O4582:Z4582"/>
    <mergeCell ref="AA4582:AA4583"/>
    <mergeCell ref="A4585:A4609"/>
    <mergeCell ref="B4585:B4590"/>
    <mergeCell ref="C4585:C4590"/>
    <mergeCell ref="D4585:D4590"/>
    <mergeCell ref="E4585:E4590"/>
    <mergeCell ref="F4585:F4590"/>
    <mergeCell ref="C4581:V4581"/>
    <mergeCell ref="B4582:B4583"/>
    <mergeCell ref="C4582:C4583"/>
    <mergeCell ref="D4582:D4583"/>
    <mergeCell ref="E4582:E4583"/>
    <mergeCell ref="F4582:F4583"/>
    <mergeCell ref="G4582:G4583"/>
    <mergeCell ref="H4582:H4583"/>
    <mergeCell ref="I4582:I4583"/>
    <mergeCell ref="J4582:K4582"/>
    <mergeCell ref="X4575:X4577"/>
    <mergeCell ref="Y4575:Y4577"/>
    <mergeCell ref="Z4575:Z4577"/>
    <mergeCell ref="AA4575:AA4577"/>
    <mergeCell ref="C4579:AA4579"/>
    <mergeCell ref="C4580:AA4580"/>
    <mergeCell ref="R4575:R4577"/>
    <mergeCell ref="S4575:S4577"/>
    <mergeCell ref="T4575:T4577"/>
    <mergeCell ref="U4575:U4577"/>
    <mergeCell ref="V4575:V4577"/>
    <mergeCell ref="W4575:W4577"/>
    <mergeCell ref="L4575:L4577"/>
    <mergeCell ref="M4575:M4577"/>
    <mergeCell ref="N4575:N4577"/>
    <mergeCell ref="O4575:O4577"/>
    <mergeCell ref="P4575:P4577"/>
    <mergeCell ref="Q4575:Q4577"/>
    <mergeCell ref="L4572:L4574"/>
    <mergeCell ref="M4572:N4572"/>
    <mergeCell ref="M4573:N4573"/>
    <mergeCell ref="B4575:B4577"/>
    <mergeCell ref="C4575:C4577"/>
    <mergeCell ref="D4575:D4577"/>
    <mergeCell ref="E4575:E4577"/>
    <mergeCell ref="F4575:F4577"/>
    <mergeCell ref="G4575:G4577"/>
    <mergeCell ref="H4575:H4577"/>
    <mergeCell ref="F4572:F4574"/>
    <mergeCell ref="G4572:G4574"/>
    <mergeCell ref="H4572:H4574"/>
    <mergeCell ref="I4572:I4574"/>
    <mergeCell ref="J4572:J4574"/>
    <mergeCell ref="K4572:K4577"/>
    <mergeCell ref="I4575:I4577"/>
    <mergeCell ref="J4575:J4577"/>
    <mergeCell ref="H4544:H4548"/>
    <mergeCell ref="I4544:I4548"/>
    <mergeCell ref="J4544:J4548"/>
    <mergeCell ref="K4544:K4548"/>
    <mergeCell ref="L4544:L4548"/>
    <mergeCell ref="B4544:B4548"/>
    <mergeCell ref="C4544:C4548"/>
    <mergeCell ref="D4544:D4548"/>
    <mergeCell ref="E4544:E4548"/>
    <mergeCell ref="F4544:F4548"/>
    <mergeCell ref="J4568:J4571"/>
    <mergeCell ref="K4568:K4571"/>
    <mergeCell ref="L4568:L4571"/>
    <mergeCell ref="M4568:N4568"/>
    <mergeCell ref="M4569:N4569"/>
    <mergeCell ref="A4572:A4577"/>
    <mergeCell ref="B4572:B4574"/>
    <mergeCell ref="C4572:C4574"/>
    <mergeCell ref="D4572:D4574"/>
    <mergeCell ref="E4572:E4574"/>
    <mergeCell ref="M4564:N4564"/>
    <mergeCell ref="M4565:N4565"/>
    <mergeCell ref="B4568:B4571"/>
    <mergeCell ref="C4568:C4571"/>
    <mergeCell ref="D4568:D4571"/>
    <mergeCell ref="E4568:E4571"/>
    <mergeCell ref="F4568:F4571"/>
    <mergeCell ref="G4568:G4571"/>
    <mergeCell ref="H4568:H4571"/>
    <mergeCell ref="I4568:I4571"/>
    <mergeCell ref="G4564:G4567"/>
    <mergeCell ref="H4564:H4567"/>
    <mergeCell ref="I4564:I4567"/>
    <mergeCell ref="J4564:J4567"/>
    <mergeCell ref="K4564:K4567"/>
    <mergeCell ref="L4564:L4567"/>
    <mergeCell ref="J4560:J4563"/>
    <mergeCell ref="K4560:K4563"/>
    <mergeCell ref="L4560:L4563"/>
    <mergeCell ref="M4560:N4560"/>
    <mergeCell ref="M4561:N4561"/>
    <mergeCell ref="B4564:B4567"/>
    <mergeCell ref="C4564:C4567"/>
    <mergeCell ref="D4564:D4567"/>
    <mergeCell ref="E4564:E4567"/>
    <mergeCell ref="F4564:F4567"/>
    <mergeCell ref="A4544:A4571"/>
    <mergeCell ref="A4538:A4543"/>
    <mergeCell ref="B4538:B4540"/>
    <mergeCell ref="C4538:C4540"/>
    <mergeCell ref="D4538:D4540"/>
    <mergeCell ref="E4538:E4540"/>
    <mergeCell ref="M4529:N4529"/>
    <mergeCell ref="M4530:N4530"/>
    <mergeCell ref="B4533:B4537"/>
    <mergeCell ref="C4533:C4537"/>
    <mergeCell ref="D4533:D4537"/>
    <mergeCell ref="E4533:E4537"/>
    <mergeCell ref="F4533:F4537"/>
    <mergeCell ref="G4533:G4537"/>
    <mergeCell ref="H4533:H4537"/>
    <mergeCell ref="I4533:I4537"/>
    <mergeCell ref="G4529:G4532"/>
    <mergeCell ref="H4529:H4532"/>
    <mergeCell ref="I4529:I4532"/>
    <mergeCell ref="J4529:J4532"/>
    <mergeCell ref="K4529:K4532"/>
    <mergeCell ref="L4529:L4532"/>
    <mergeCell ref="A4529:A4537"/>
    <mergeCell ref="B4529:B4532"/>
    <mergeCell ref="C4529:C4532"/>
    <mergeCell ref="D4529:D4532"/>
    <mergeCell ref="E4529:E4532"/>
    <mergeCell ref="F4529:F4532"/>
    <mergeCell ref="M4556:N4556"/>
    <mergeCell ref="M4557:N4557"/>
    <mergeCell ref="B4560:B4563"/>
    <mergeCell ref="C4560:C4563"/>
    <mergeCell ref="D4560:D4563"/>
    <mergeCell ref="E4560:E4563"/>
    <mergeCell ref="F4560:F4563"/>
    <mergeCell ref="G4560:G4563"/>
    <mergeCell ref="H4560:H4563"/>
    <mergeCell ref="I4560:I4563"/>
    <mergeCell ref="G4556:G4559"/>
    <mergeCell ref="H4556:H4559"/>
    <mergeCell ref="I4556:I4559"/>
    <mergeCell ref="J4556:J4559"/>
    <mergeCell ref="K4556:K4559"/>
    <mergeCell ref="L4556:L4559"/>
    <mergeCell ref="J4549:J4555"/>
    <mergeCell ref="K4549:K4555"/>
    <mergeCell ref="L4549:L4555"/>
    <mergeCell ref="M4549:N4549"/>
    <mergeCell ref="M4550:N4550"/>
    <mergeCell ref="B4556:B4559"/>
    <mergeCell ref="C4556:C4559"/>
    <mergeCell ref="D4556:D4559"/>
    <mergeCell ref="E4556:E4559"/>
    <mergeCell ref="F4556:F4559"/>
    <mergeCell ref="M4544:N4544"/>
    <mergeCell ref="M4545:N4545"/>
    <mergeCell ref="B4549:B4555"/>
    <mergeCell ref="C4549:C4555"/>
    <mergeCell ref="D4549:D4555"/>
    <mergeCell ref="E4549:E4555"/>
    <mergeCell ref="F4549:F4555"/>
    <mergeCell ref="G4549:G4555"/>
    <mergeCell ref="H4549:H4555"/>
    <mergeCell ref="I4549:I4555"/>
    <mergeCell ref="G4544:G4548"/>
    <mergeCell ref="K4522:K4525"/>
    <mergeCell ref="L4522:L4525"/>
    <mergeCell ref="M4522:N4522"/>
    <mergeCell ref="M4523:N4523"/>
    <mergeCell ref="B4522:B4525"/>
    <mergeCell ref="C4522:C4525"/>
    <mergeCell ref="D4522:D4525"/>
    <mergeCell ref="E4522:E4525"/>
    <mergeCell ref="F4522:F4525"/>
    <mergeCell ref="G4522:G4525"/>
    <mergeCell ref="H4516:H4521"/>
    <mergeCell ref="I4516:I4521"/>
    <mergeCell ref="J4516:J4521"/>
    <mergeCell ref="K4516:K4521"/>
    <mergeCell ref="L4516:L4521"/>
    <mergeCell ref="M4516:N4516"/>
    <mergeCell ref="M4517:N4517"/>
    <mergeCell ref="B4516:B4521"/>
    <mergeCell ref="C4516:C4521"/>
    <mergeCell ref="D4516:D4521"/>
    <mergeCell ref="E4516:E4521"/>
    <mergeCell ref="F4516:F4521"/>
    <mergeCell ref="G4516:G4521"/>
    <mergeCell ref="I4541:I4543"/>
    <mergeCell ref="J4541:J4543"/>
    <mergeCell ref="K4541:K4543"/>
    <mergeCell ref="L4541:L4543"/>
    <mergeCell ref="M4541:N4541"/>
    <mergeCell ref="M4542:N4542"/>
    <mergeCell ref="L4538:L4540"/>
    <mergeCell ref="M4538:N4538"/>
    <mergeCell ref="M4539:N4539"/>
    <mergeCell ref="B4541:B4543"/>
    <mergeCell ref="C4541:C4543"/>
    <mergeCell ref="D4541:D4543"/>
    <mergeCell ref="E4541:E4543"/>
    <mergeCell ref="F4541:F4543"/>
    <mergeCell ref="G4541:G4543"/>
    <mergeCell ref="H4541:H4543"/>
    <mergeCell ref="F4538:F4540"/>
    <mergeCell ref="G4538:G4540"/>
    <mergeCell ref="H4538:H4540"/>
    <mergeCell ref="I4538:I4540"/>
    <mergeCell ref="J4538:J4540"/>
    <mergeCell ref="K4538:K4540"/>
    <mergeCell ref="J4533:J4537"/>
    <mergeCell ref="K4533:K4537"/>
    <mergeCell ref="L4533:L4537"/>
    <mergeCell ref="M4533:N4533"/>
    <mergeCell ref="M4534:N4534"/>
    <mergeCell ref="I4512:I4515"/>
    <mergeCell ref="J4512:J4515"/>
    <mergeCell ref="K4512:K4515"/>
    <mergeCell ref="L4512:L4515"/>
    <mergeCell ref="M4512:N4512"/>
    <mergeCell ref="M4513:N4513"/>
    <mergeCell ref="M4509:N4509"/>
    <mergeCell ref="M4510:N4510"/>
    <mergeCell ref="A4512:A4528"/>
    <mergeCell ref="B4512:B4515"/>
    <mergeCell ref="C4512:C4515"/>
    <mergeCell ref="D4512:D4515"/>
    <mergeCell ref="E4512:E4515"/>
    <mergeCell ref="F4512:F4515"/>
    <mergeCell ref="G4512:G4515"/>
    <mergeCell ref="H4512:H4515"/>
    <mergeCell ref="G4509:G4511"/>
    <mergeCell ref="H4509:H4511"/>
    <mergeCell ref="I4509:I4511"/>
    <mergeCell ref="J4509:J4511"/>
    <mergeCell ref="K4509:K4511"/>
    <mergeCell ref="L4509:L4511"/>
    <mergeCell ref="J4506:J4508"/>
    <mergeCell ref="K4506:K4508"/>
    <mergeCell ref="L4506:L4508"/>
    <mergeCell ref="M4506:N4506"/>
    <mergeCell ref="M4507:N4507"/>
    <mergeCell ref="B4509:B4511"/>
    <mergeCell ref="C4509:C4511"/>
    <mergeCell ref="D4509:D4511"/>
    <mergeCell ref="E4509:E4511"/>
    <mergeCell ref="F4509:F4511"/>
    <mergeCell ref="M4499:N4499"/>
    <mergeCell ref="M4500:N4500"/>
    <mergeCell ref="B4506:B4508"/>
    <mergeCell ref="C4506:C4508"/>
    <mergeCell ref="D4506:D4508"/>
    <mergeCell ref="E4506:E4508"/>
    <mergeCell ref="F4506:F4508"/>
    <mergeCell ref="G4506:G4508"/>
    <mergeCell ref="H4506:H4508"/>
    <mergeCell ref="I4506:I4508"/>
    <mergeCell ref="G4499:G4505"/>
    <mergeCell ref="H4499:H4505"/>
    <mergeCell ref="I4499:I4505"/>
    <mergeCell ref="J4499:J4505"/>
    <mergeCell ref="K4499:K4505"/>
    <mergeCell ref="L4499:L4505"/>
    <mergeCell ref="H4526:H4528"/>
    <mergeCell ref="I4526:I4528"/>
    <mergeCell ref="J4526:J4528"/>
    <mergeCell ref="K4526:K4528"/>
    <mergeCell ref="L4526:L4528"/>
    <mergeCell ref="M4526:N4526"/>
    <mergeCell ref="M4527:N4527"/>
    <mergeCell ref="B4526:B4528"/>
    <mergeCell ref="C4526:C4528"/>
    <mergeCell ref="D4526:D4528"/>
    <mergeCell ref="E4526:E4528"/>
    <mergeCell ref="F4526:F4528"/>
    <mergeCell ref="G4526:G4528"/>
    <mergeCell ref="H4522:H4525"/>
    <mergeCell ref="I4522:I4525"/>
    <mergeCell ref="J4522:J4525"/>
    <mergeCell ref="J4493:J4498"/>
    <mergeCell ref="K4493:K4498"/>
    <mergeCell ref="L4493:L4498"/>
    <mergeCell ref="M4493:N4493"/>
    <mergeCell ref="M4494:N4494"/>
    <mergeCell ref="B4499:B4505"/>
    <mergeCell ref="C4499:C4505"/>
    <mergeCell ref="D4499:D4505"/>
    <mergeCell ref="E4499:E4505"/>
    <mergeCell ref="F4499:F4505"/>
    <mergeCell ref="M4485:N4485"/>
    <mergeCell ref="M4486:N4486"/>
    <mergeCell ref="B4493:B4498"/>
    <mergeCell ref="C4493:C4498"/>
    <mergeCell ref="D4493:D4498"/>
    <mergeCell ref="E4493:E4498"/>
    <mergeCell ref="F4493:F4498"/>
    <mergeCell ref="G4493:G4498"/>
    <mergeCell ref="H4493:H4498"/>
    <mergeCell ref="I4493:I4498"/>
    <mergeCell ref="G4485:G4492"/>
    <mergeCell ref="H4485:H4492"/>
    <mergeCell ref="I4485:I4492"/>
    <mergeCell ref="J4485:J4492"/>
    <mergeCell ref="K4485:K4492"/>
    <mergeCell ref="L4485:L4492"/>
    <mergeCell ref="A4485:A4511"/>
    <mergeCell ref="B4485:B4492"/>
    <mergeCell ref="C4485:C4492"/>
    <mergeCell ref="D4485:D4492"/>
    <mergeCell ref="E4485:E4492"/>
    <mergeCell ref="F4485:F4492"/>
    <mergeCell ref="I4482:I4483"/>
    <mergeCell ref="J4482:K4482"/>
    <mergeCell ref="L4482:L4483"/>
    <mergeCell ref="M4482:N4483"/>
    <mergeCell ref="A4459:A4467"/>
    <mergeCell ref="B4459:B4461"/>
    <mergeCell ref="C4459:C4461"/>
    <mergeCell ref="D4459:D4461"/>
    <mergeCell ref="E4459:E4461"/>
    <mergeCell ref="F4459:F4461"/>
    <mergeCell ref="O4482:Z4482"/>
    <mergeCell ref="AA4482:AA4483"/>
    <mergeCell ref="C4482:C4483"/>
    <mergeCell ref="D4482:D4483"/>
    <mergeCell ref="E4482:E4483"/>
    <mergeCell ref="F4482:F4483"/>
    <mergeCell ref="G4482:G4483"/>
    <mergeCell ref="H4482:H4483"/>
    <mergeCell ref="AA4471:AA4473"/>
    <mergeCell ref="A4475:AA4475"/>
    <mergeCell ref="A4476:A4484"/>
    <mergeCell ref="C4476:AA4476"/>
    <mergeCell ref="C4477:AA4477"/>
    <mergeCell ref="C4478:AA4478"/>
    <mergeCell ref="C4479:AA4479"/>
    <mergeCell ref="C4480:AA4480"/>
    <mergeCell ref="C4481:AA4481"/>
    <mergeCell ref="B4482:B4483"/>
    <mergeCell ref="U4471:U4473"/>
    <mergeCell ref="V4471:V4473"/>
    <mergeCell ref="W4471:W4473"/>
    <mergeCell ref="X4471:X4473"/>
    <mergeCell ref="Y4471:Y4473"/>
    <mergeCell ref="Z4471:Z4473"/>
    <mergeCell ref="O4471:O4473"/>
    <mergeCell ref="P4471:P4473"/>
    <mergeCell ref="Q4471:Q4473"/>
    <mergeCell ref="R4471:R4473"/>
    <mergeCell ref="S4471:S4473"/>
    <mergeCell ref="T4471:T4473"/>
    <mergeCell ref="H4471:H4473"/>
    <mergeCell ref="I4471:I4473"/>
    <mergeCell ref="J4471:J4473"/>
    <mergeCell ref="L4471:L4473"/>
    <mergeCell ref="M4471:M4473"/>
    <mergeCell ref="N4471:N4473"/>
    <mergeCell ref="B4471:B4473"/>
    <mergeCell ref="C4471:C4473"/>
    <mergeCell ref="D4471:D4473"/>
    <mergeCell ref="E4471:E4473"/>
    <mergeCell ref="F4471:F4473"/>
    <mergeCell ref="G4471:G4473"/>
    <mergeCell ref="L4450:L4452"/>
    <mergeCell ref="M4450:N4450"/>
    <mergeCell ref="M4451:N4451"/>
    <mergeCell ref="B4453:B4455"/>
    <mergeCell ref="C4453:C4455"/>
    <mergeCell ref="D4453:D4455"/>
    <mergeCell ref="E4453:E4455"/>
    <mergeCell ref="F4453:F4455"/>
    <mergeCell ref="G4453:G4455"/>
    <mergeCell ref="H4453:H4455"/>
    <mergeCell ref="F4450:F4452"/>
    <mergeCell ref="G4450:G4452"/>
    <mergeCell ref="H4450:H4452"/>
    <mergeCell ref="I4450:I4452"/>
    <mergeCell ref="J4450:J4452"/>
    <mergeCell ref="K4450:K4452"/>
    <mergeCell ref="I4468:I4470"/>
    <mergeCell ref="J4468:J4470"/>
    <mergeCell ref="K4468:K4473"/>
    <mergeCell ref="L4468:L4470"/>
    <mergeCell ref="M4468:N4468"/>
    <mergeCell ref="M4469:N4469"/>
    <mergeCell ref="M4465:N4465"/>
    <mergeCell ref="M4466:N4466"/>
    <mergeCell ref="A4468:A4473"/>
    <mergeCell ref="B4468:B4470"/>
    <mergeCell ref="C4468:C4470"/>
    <mergeCell ref="D4468:D4470"/>
    <mergeCell ref="E4468:E4470"/>
    <mergeCell ref="F4468:F4470"/>
    <mergeCell ref="G4468:G4470"/>
    <mergeCell ref="H4468:H4470"/>
    <mergeCell ref="G4465:G4467"/>
    <mergeCell ref="H4465:H4467"/>
    <mergeCell ref="I4465:I4467"/>
    <mergeCell ref="J4465:J4467"/>
    <mergeCell ref="K4465:K4467"/>
    <mergeCell ref="L4465:L4467"/>
    <mergeCell ref="J4462:J4464"/>
    <mergeCell ref="K4462:K4464"/>
    <mergeCell ref="L4462:L4464"/>
    <mergeCell ref="M4462:N4462"/>
    <mergeCell ref="M4463:N4463"/>
    <mergeCell ref="B4465:B4467"/>
    <mergeCell ref="C4465:C4467"/>
    <mergeCell ref="D4465:D4467"/>
    <mergeCell ref="E4465:E4467"/>
    <mergeCell ref="F4465:F4467"/>
    <mergeCell ref="M4459:N4459"/>
    <mergeCell ref="M4460:N4460"/>
    <mergeCell ref="B4462:B4464"/>
    <mergeCell ref="C4462:C4464"/>
    <mergeCell ref="D4462:D4464"/>
    <mergeCell ref="E4462:E4464"/>
    <mergeCell ref="F4462:F4464"/>
    <mergeCell ref="G4462:G4464"/>
    <mergeCell ref="H4462:H4464"/>
    <mergeCell ref="I4462:I4464"/>
    <mergeCell ref="G4459:G4461"/>
    <mergeCell ref="H4459:H4461"/>
    <mergeCell ref="I4459:I4461"/>
    <mergeCell ref="J4459:J4461"/>
    <mergeCell ref="K4459:K4461"/>
    <mergeCell ref="L4459:L4461"/>
    <mergeCell ref="J4446:J4449"/>
    <mergeCell ref="K4446:K4449"/>
    <mergeCell ref="L4446:L4449"/>
    <mergeCell ref="M4446:N4446"/>
    <mergeCell ref="M4447:N4447"/>
    <mergeCell ref="A4450:A4458"/>
    <mergeCell ref="B4450:B4452"/>
    <mergeCell ref="C4450:C4452"/>
    <mergeCell ref="D4450:D4452"/>
    <mergeCell ref="E4450:E4452"/>
    <mergeCell ref="M4440:N4440"/>
    <mergeCell ref="M4441:N4441"/>
    <mergeCell ref="B4446:B4449"/>
    <mergeCell ref="C4446:C4449"/>
    <mergeCell ref="D4446:D4449"/>
    <mergeCell ref="E4446:E4449"/>
    <mergeCell ref="F4446:F4449"/>
    <mergeCell ref="G4446:G4449"/>
    <mergeCell ref="H4446:H4449"/>
    <mergeCell ref="I4446:I4449"/>
    <mergeCell ref="G4440:G4445"/>
    <mergeCell ref="H4440:H4445"/>
    <mergeCell ref="I4440:I4445"/>
    <mergeCell ref="J4440:J4445"/>
    <mergeCell ref="K4440:K4445"/>
    <mergeCell ref="L4440:L4445"/>
    <mergeCell ref="A4440:A4449"/>
    <mergeCell ref="B4440:B4445"/>
    <mergeCell ref="C4440:C4445"/>
    <mergeCell ref="D4440:D4445"/>
    <mergeCell ref="E4440:E4445"/>
    <mergeCell ref="F4440:F4445"/>
    <mergeCell ref="H4436:H4439"/>
    <mergeCell ref="I4436:I4439"/>
    <mergeCell ref="J4436:J4439"/>
    <mergeCell ref="K4436:K4439"/>
    <mergeCell ref="L4436:L4439"/>
    <mergeCell ref="M4436:N4436"/>
    <mergeCell ref="M4437:N4437"/>
    <mergeCell ref="B4436:B4439"/>
    <mergeCell ref="C4436:C4439"/>
    <mergeCell ref="D4436:D4439"/>
    <mergeCell ref="E4436:E4439"/>
    <mergeCell ref="F4436:F4439"/>
    <mergeCell ref="G4436:G4439"/>
    <mergeCell ref="H4456:H4458"/>
    <mergeCell ref="I4456:I4458"/>
    <mergeCell ref="J4456:J4458"/>
    <mergeCell ref="K4456:K4458"/>
    <mergeCell ref="L4456:L4458"/>
    <mergeCell ref="M4456:N4456"/>
    <mergeCell ref="M4457:N4457"/>
    <mergeCell ref="B4456:B4458"/>
    <mergeCell ref="C4456:C4458"/>
    <mergeCell ref="D4456:D4458"/>
    <mergeCell ref="E4456:E4458"/>
    <mergeCell ref="F4456:F4458"/>
    <mergeCell ref="G4456:G4458"/>
    <mergeCell ref="I4453:I4455"/>
    <mergeCell ref="J4453:J4455"/>
    <mergeCell ref="K4453:K4455"/>
    <mergeCell ref="L4453:L4455"/>
    <mergeCell ref="M4453:N4453"/>
    <mergeCell ref="M4454:N4454"/>
    <mergeCell ref="I4431:I4435"/>
    <mergeCell ref="J4431:J4435"/>
    <mergeCell ref="K4431:K4435"/>
    <mergeCell ref="L4431:L4435"/>
    <mergeCell ref="M4431:N4431"/>
    <mergeCell ref="M4432:N4432"/>
    <mergeCell ref="M4426:N4426"/>
    <mergeCell ref="M4427:N4427"/>
    <mergeCell ref="A4431:A4439"/>
    <mergeCell ref="B4431:B4435"/>
    <mergeCell ref="C4431:C4435"/>
    <mergeCell ref="D4431:D4435"/>
    <mergeCell ref="E4431:E4435"/>
    <mergeCell ref="F4431:F4435"/>
    <mergeCell ref="G4431:G4435"/>
    <mergeCell ref="H4431:H4435"/>
    <mergeCell ref="G4426:G4430"/>
    <mergeCell ref="H4426:H4430"/>
    <mergeCell ref="I4426:I4430"/>
    <mergeCell ref="J4426:J4430"/>
    <mergeCell ref="K4426:K4430"/>
    <mergeCell ref="L4426:L4430"/>
    <mergeCell ref="J4422:J4425"/>
    <mergeCell ref="K4422:K4425"/>
    <mergeCell ref="L4422:L4425"/>
    <mergeCell ref="M4422:N4422"/>
    <mergeCell ref="M4423:N4423"/>
    <mergeCell ref="B4426:B4430"/>
    <mergeCell ref="C4426:C4430"/>
    <mergeCell ref="D4426:D4430"/>
    <mergeCell ref="E4426:E4430"/>
    <mergeCell ref="F4426:F4430"/>
    <mergeCell ref="M4419:N4419"/>
    <mergeCell ref="M4420:N4420"/>
    <mergeCell ref="B4422:B4425"/>
    <mergeCell ref="C4422:C4425"/>
    <mergeCell ref="D4422:D4425"/>
    <mergeCell ref="E4422:E4425"/>
    <mergeCell ref="F4422:F4425"/>
    <mergeCell ref="G4422:G4425"/>
    <mergeCell ref="H4422:H4425"/>
    <mergeCell ref="I4422:I4425"/>
    <mergeCell ref="G4419:G4421"/>
    <mergeCell ref="H4419:H4421"/>
    <mergeCell ref="I4419:I4421"/>
    <mergeCell ref="J4419:J4421"/>
    <mergeCell ref="K4419:K4421"/>
    <mergeCell ref="L4419:L4421"/>
    <mergeCell ref="J4412:J4418"/>
    <mergeCell ref="K4412:K4418"/>
    <mergeCell ref="L4412:L4418"/>
    <mergeCell ref="M4412:N4412"/>
    <mergeCell ref="M4413:N4413"/>
    <mergeCell ref="B4419:B4421"/>
    <mergeCell ref="C4419:C4421"/>
    <mergeCell ref="D4419:D4421"/>
    <mergeCell ref="E4419:E4421"/>
    <mergeCell ref="F4419:F4421"/>
    <mergeCell ref="M4406:N4406"/>
    <mergeCell ref="M4407:N4407"/>
    <mergeCell ref="B4412:B4418"/>
    <mergeCell ref="C4412:C4418"/>
    <mergeCell ref="D4412:D4418"/>
    <mergeCell ref="E4412:E4418"/>
    <mergeCell ref="F4412:F4418"/>
    <mergeCell ref="G4412:G4418"/>
    <mergeCell ref="H4412:H4418"/>
    <mergeCell ref="I4412:I4418"/>
    <mergeCell ref="G4406:G4411"/>
    <mergeCell ref="H4406:H4411"/>
    <mergeCell ref="I4406:I4411"/>
    <mergeCell ref="J4406:J4411"/>
    <mergeCell ref="K4406:K4411"/>
    <mergeCell ref="L4406:L4411"/>
    <mergeCell ref="A4406:A4430"/>
    <mergeCell ref="B4406:B4411"/>
    <mergeCell ref="C4406:C4411"/>
    <mergeCell ref="D4406:D4411"/>
    <mergeCell ref="E4406:E4411"/>
    <mergeCell ref="F4406:F4411"/>
    <mergeCell ref="I4403:I4404"/>
    <mergeCell ref="J4403:K4403"/>
    <mergeCell ref="L4403:L4404"/>
    <mergeCell ref="M4403:N4404"/>
    <mergeCell ref="O4403:Z4403"/>
    <mergeCell ref="AA4403:AA4404"/>
    <mergeCell ref="C4400:AA4400"/>
    <mergeCell ref="C4401:AA4401"/>
    <mergeCell ref="C4402:AA4402"/>
    <mergeCell ref="B4403:B4404"/>
    <mergeCell ref="C4403:C4404"/>
    <mergeCell ref="D4403:D4404"/>
    <mergeCell ref="E4403:E4404"/>
    <mergeCell ref="F4403:F4404"/>
    <mergeCell ref="G4403:G4404"/>
    <mergeCell ref="H4403:H4404"/>
    <mergeCell ref="H4318:H4320"/>
    <mergeCell ref="I4318:I4320"/>
    <mergeCell ref="J4318:J4320"/>
    <mergeCell ref="K4318:K4320"/>
    <mergeCell ref="L4318:L4320"/>
    <mergeCell ref="M4318:N4318"/>
    <mergeCell ref="M4319:N4319"/>
    <mergeCell ref="B4318:B4320"/>
    <mergeCell ref="C4318:C4320"/>
    <mergeCell ref="D4318:D4320"/>
    <mergeCell ref="E4318:E4320"/>
    <mergeCell ref="F4318:F4320"/>
    <mergeCell ref="G4318:G4320"/>
    <mergeCell ref="H4315:H4317"/>
    <mergeCell ref="I4315:I4317"/>
    <mergeCell ref="J4315:J4317"/>
    <mergeCell ref="K4315:K4317"/>
    <mergeCell ref="L4315:L4317"/>
    <mergeCell ref="M4315:N4315"/>
    <mergeCell ref="M4316:N4316"/>
    <mergeCell ref="B4315:B4317"/>
    <mergeCell ref="C4315:C4317"/>
    <mergeCell ref="D4315:D4317"/>
    <mergeCell ref="E4315:E4317"/>
    <mergeCell ref="F4315:F4317"/>
    <mergeCell ref="G4315:G4317"/>
    <mergeCell ref="C4322:AA4322"/>
    <mergeCell ref="B4325:B4326"/>
    <mergeCell ref="C4325:C4326"/>
    <mergeCell ref="D4325:P4326"/>
    <mergeCell ref="V4325:Y4325"/>
    <mergeCell ref="Z4325:AA4325"/>
    <mergeCell ref="V4326:Y4326"/>
    <mergeCell ref="Z4326:AA4326"/>
    <mergeCell ref="B4327:B4328"/>
    <mergeCell ref="C4327:C4328"/>
    <mergeCell ref="D4327:P4328"/>
    <mergeCell ref="V4327:Y4327"/>
    <mergeCell ref="Z4327:AA4327"/>
    <mergeCell ref="V4328:Y4328"/>
    <mergeCell ref="Z4328:AA4328"/>
    <mergeCell ref="B4329:B4330"/>
    <mergeCell ref="C4329:C4330"/>
    <mergeCell ref="D4329:D4330"/>
    <mergeCell ref="E4329:E4330"/>
    <mergeCell ref="F4329:F4330"/>
    <mergeCell ref="G4329:G4330"/>
    <mergeCell ref="H4329:H4330"/>
    <mergeCell ref="I4329:I4330"/>
    <mergeCell ref="M4392:N4392"/>
    <mergeCell ref="M4393:N4393"/>
    <mergeCell ref="H4395:H4397"/>
    <mergeCell ref="M4309:N4309"/>
    <mergeCell ref="M4310:N4310"/>
    <mergeCell ref="B4309:B4311"/>
    <mergeCell ref="C4309:C4311"/>
    <mergeCell ref="D4309:D4311"/>
    <mergeCell ref="E4309:E4311"/>
    <mergeCell ref="F4309:F4311"/>
    <mergeCell ref="G4309:G4311"/>
    <mergeCell ref="H4306:H4308"/>
    <mergeCell ref="I4306:I4308"/>
    <mergeCell ref="J4306:J4308"/>
    <mergeCell ref="K4306:K4308"/>
    <mergeCell ref="L4306:L4308"/>
    <mergeCell ref="M4306:N4306"/>
    <mergeCell ref="M4307:N4307"/>
    <mergeCell ref="B4306:B4308"/>
    <mergeCell ref="C4306:C4308"/>
    <mergeCell ref="D4306:D4308"/>
    <mergeCell ref="E4306:E4308"/>
    <mergeCell ref="F4306:F4308"/>
    <mergeCell ref="G4306:G4308"/>
    <mergeCell ref="H4303:H4305"/>
    <mergeCell ref="I4303:I4305"/>
    <mergeCell ref="J4303:J4305"/>
    <mergeCell ref="K4303:K4305"/>
    <mergeCell ref="L4303:L4305"/>
    <mergeCell ref="M4303:N4303"/>
    <mergeCell ref="M4304:N4304"/>
    <mergeCell ref="B4303:B4305"/>
    <mergeCell ref="C4303:C4305"/>
    <mergeCell ref="D4303:D4305"/>
    <mergeCell ref="E4303:E4305"/>
    <mergeCell ref="F4303:F4305"/>
    <mergeCell ref="G4303:G4305"/>
    <mergeCell ref="B4300:B4302"/>
    <mergeCell ref="C4300:C4302"/>
    <mergeCell ref="D4300:D4302"/>
    <mergeCell ref="E4300:E4302"/>
    <mergeCell ref="F4300:F4302"/>
    <mergeCell ref="G4300:G4302"/>
    <mergeCell ref="H4297:H4299"/>
    <mergeCell ref="I4297:I4299"/>
    <mergeCell ref="J4297:J4299"/>
    <mergeCell ref="K4297:K4299"/>
    <mergeCell ref="L4297:L4299"/>
    <mergeCell ref="M4297:N4297"/>
    <mergeCell ref="M4298:N4298"/>
    <mergeCell ref="B4297:B4299"/>
    <mergeCell ref="C4297:C4299"/>
    <mergeCell ref="D4297:D4299"/>
    <mergeCell ref="E4297:E4299"/>
    <mergeCell ref="F4297:F4299"/>
    <mergeCell ref="G4297:G4299"/>
    <mergeCell ref="H4294:H4296"/>
    <mergeCell ref="I4294:I4296"/>
    <mergeCell ref="J4294:J4296"/>
    <mergeCell ref="K4294:K4296"/>
    <mergeCell ref="L4294:L4296"/>
    <mergeCell ref="M4294:N4294"/>
    <mergeCell ref="M4295:N4295"/>
    <mergeCell ref="B4294:B4296"/>
    <mergeCell ref="C4294:C4296"/>
    <mergeCell ref="D4294:D4296"/>
    <mergeCell ref="E4294:E4296"/>
    <mergeCell ref="F4294:F4296"/>
    <mergeCell ref="G4294:G4296"/>
    <mergeCell ref="H4291:H4293"/>
    <mergeCell ref="I4291:I4293"/>
    <mergeCell ref="J4291:J4293"/>
    <mergeCell ref="K4291:K4293"/>
    <mergeCell ref="L4291:L4293"/>
    <mergeCell ref="M4291:N4291"/>
    <mergeCell ref="M4292:N4292"/>
    <mergeCell ref="B4291:B4293"/>
    <mergeCell ref="C4291:C4293"/>
    <mergeCell ref="D4291:D4293"/>
    <mergeCell ref="E4291:E4293"/>
    <mergeCell ref="F4291:F4293"/>
    <mergeCell ref="G4291:G4293"/>
    <mergeCell ref="M4300:N4300"/>
    <mergeCell ref="M4301:N4301"/>
    <mergeCell ref="B4288:B4290"/>
    <mergeCell ref="C4288:C4290"/>
    <mergeCell ref="D4288:D4290"/>
    <mergeCell ref="E4288:E4290"/>
    <mergeCell ref="F4288:F4290"/>
    <mergeCell ref="G4288:G4290"/>
    <mergeCell ref="AA4283:AA4284"/>
    <mergeCell ref="B4285:B4287"/>
    <mergeCell ref="C4285:C4287"/>
    <mergeCell ref="D4285:D4287"/>
    <mergeCell ref="E4285:E4287"/>
    <mergeCell ref="F4285:F4287"/>
    <mergeCell ref="G4285:G4287"/>
    <mergeCell ref="H4285:H4287"/>
    <mergeCell ref="I4285:I4287"/>
    <mergeCell ref="J4285:J4287"/>
    <mergeCell ref="H4283:H4284"/>
    <mergeCell ref="I4283:I4284"/>
    <mergeCell ref="J4283:K4283"/>
    <mergeCell ref="L4283:L4284"/>
    <mergeCell ref="M4283:N4284"/>
    <mergeCell ref="O4283:Z4283"/>
    <mergeCell ref="B4283:B4284"/>
    <mergeCell ref="C4283:C4284"/>
    <mergeCell ref="D4283:D4284"/>
    <mergeCell ref="E4283:E4284"/>
    <mergeCell ref="F4283:F4284"/>
    <mergeCell ref="G4283:G4284"/>
    <mergeCell ref="B4281:B4282"/>
    <mergeCell ref="C4281:C4282"/>
    <mergeCell ref="D4281:E4282"/>
    <mergeCell ref="V4281:Y4281"/>
    <mergeCell ref="Z4281:AA4281"/>
    <mergeCell ref="V4282:Y4282"/>
    <mergeCell ref="Z4282:AA4282"/>
    <mergeCell ref="H4288:H4290"/>
    <mergeCell ref="I4288:I4290"/>
    <mergeCell ref="J4288:J4290"/>
    <mergeCell ref="K4288:K4290"/>
    <mergeCell ref="L4288:L4290"/>
    <mergeCell ref="M4288:N4288"/>
    <mergeCell ref="M4289:N4289"/>
    <mergeCell ref="K4285:K4287"/>
    <mergeCell ref="L4285:L4287"/>
    <mergeCell ref="M4285:N4285"/>
    <mergeCell ref="M4286:N4286"/>
    <mergeCell ref="C4276:AA4276"/>
    <mergeCell ref="B4278:B4280"/>
    <mergeCell ref="C4278:C4280"/>
    <mergeCell ref="D4278:E4280"/>
    <mergeCell ref="V4278:Y4278"/>
    <mergeCell ref="Z4278:AA4278"/>
    <mergeCell ref="V4279:Y4280"/>
    <mergeCell ref="Z4279:AA4280"/>
    <mergeCell ref="H4269:H4272"/>
    <mergeCell ref="I4269:I4272"/>
    <mergeCell ref="J4269:J4272"/>
    <mergeCell ref="K4269:K4272"/>
    <mergeCell ref="N4269:N4272"/>
    <mergeCell ref="O4270:P4270"/>
    <mergeCell ref="B4269:B4272"/>
    <mergeCell ref="C4269:C4272"/>
    <mergeCell ref="D4269:D4272"/>
    <mergeCell ref="E4269:E4272"/>
    <mergeCell ref="F4269:F4272"/>
    <mergeCell ref="G4269:G4272"/>
    <mergeCell ref="J4267:K4267"/>
    <mergeCell ref="L4267:M4267"/>
    <mergeCell ref="N4267:N4268"/>
    <mergeCell ref="O4267:P4268"/>
    <mergeCell ref="Q4267:AB4267"/>
    <mergeCell ref="AC4267:AC4268"/>
    <mergeCell ref="O4262:P4262"/>
    <mergeCell ref="B4266:K4266"/>
    <mergeCell ref="B4267:B4268"/>
    <mergeCell ref="C4267:C4268"/>
    <mergeCell ref="D4267:D4268"/>
    <mergeCell ref="E4267:E4268"/>
    <mergeCell ref="F4267:F4268"/>
    <mergeCell ref="G4267:G4268"/>
    <mergeCell ref="H4267:H4268"/>
    <mergeCell ref="I4267:I4268"/>
    <mergeCell ref="G4261:G4265"/>
    <mergeCell ref="H4261:H4265"/>
    <mergeCell ref="I4261:I4265"/>
    <mergeCell ref="J4261:J4265"/>
    <mergeCell ref="K4261:K4265"/>
    <mergeCell ref="N4261:N4265"/>
    <mergeCell ref="B4273:K4273"/>
    <mergeCell ref="C4275:L4275"/>
    <mergeCell ref="L4259:M4259"/>
    <mergeCell ref="N4259:N4260"/>
    <mergeCell ref="O4259:P4260"/>
    <mergeCell ref="Q4259:AB4259"/>
    <mergeCell ref="AC4259:AC4260"/>
    <mergeCell ref="B4261:B4265"/>
    <mergeCell ref="C4261:C4265"/>
    <mergeCell ref="D4261:D4265"/>
    <mergeCell ref="E4261:E4265"/>
    <mergeCell ref="F4261:F4265"/>
    <mergeCell ref="B4258:K4258"/>
    <mergeCell ref="B4259:B4260"/>
    <mergeCell ref="C4259:C4260"/>
    <mergeCell ref="D4259:D4260"/>
    <mergeCell ref="E4259:E4260"/>
    <mergeCell ref="F4259:F4260"/>
    <mergeCell ref="G4259:G4260"/>
    <mergeCell ref="H4259:H4260"/>
    <mergeCell ref="I4259:I4260"/>
    <mergeCell ref="J4259:K4259"/>
    <mergeCell ref="H4255:H4257"/>
    <mergeCell ref="I4255:I4257"/>
    <mergeCell ref="J4255:J4257"/>
    <mergeCell ref="K4255:K4257"/>
    <mergeCell ref="N4255:N4257"/>
    <mergeCell ref="O4256:P4256"/>
    <mergeCell ref="B4255:B4257"/>
    <mergeCell ref="C4255:C4257"/>
    <mergeCell ref="D4255:D4257"/>
    <mergeCell ref="E4255:E4257"/>
    <mergeCell ref="F4255:F4257"/>
    <mergeCell ref="G4255:G4257"/>
    <mergeCell ref="J4253:K4253"/>
    <mergeCell ref="L4253:M4253"/>
    <mergeCell ref="N4253:N4254"/>
    <mergeCell ref="O4253:P4254"/>
    <mergeCell ref="Q4253:AB4253"/>
    <mergeCell ref="AC4253:AC4254"/>
    <mergeCell ref="O4245:P4245"/>
    <mergeCell ref="B4252:K4252"/>
    <mergeCell ref="B4253:B4254"/>
    <mergeCell ref="C4253:C4254"/>
    <mergeCell ref="D4253:D4254"/>
    <mergeCell ref="E4253:E4254"/>
    <mergeCell ref="F4253:F4254"/>
    <mergeCell ref="G4253:G4254"/>
    <mergeCell ref="H4253:H4254"/>
    <mergeCell ref="I4253:I4254"/>
    <mergeCell ref="G4244:G4251"/>
    <mergeCell ref="H4244:H4251"/>
    <mergeCell ref="I4244:I4251"/>
    <mergeCell ref="J4244:J4251"/>
    <mergeCell ref="K4244:K4251"/>
    <mergeCell ref="N4244:N4251"/>
    <mergeCell ref="L4242:M4242"/>
    <mergeCell ref="N4242:N4243"/>
    <mergeCell ref="O4242:P4243"/>
    <mergeCell ref="Q4242:AB4242"/>
    <mergeCell ref="AC4242:AC4243"/>
    <mergeCell ref="B4244:B4251"/>
    <mergeCell ref="C4244:C4251"/>
    <mergeCell ref="D4244:D4251"/>
    <mergeCell ref="E4244:E4251"/>
    <mergeCell ref="F4244:F4251"/>
    <mergeCell ref="B4241:K4241"/>
    <mergeCell ref="B4242:B4243"/>
    <mergeCell ref="C4242:C4243"/>
    <mergeCell ref="D4242:D4243"/>
    <mergeCell ref="E4242:E4243"/>
    <mergeCell ref="F4242:F4243"/>
    <mergeCell ref="G4242:G4243"/>
    <mergeCell ref="H4242:H4243"/>
    <mergeCell ref="I4242:I4243"/>
    <mergeCell ref="J4242:K4242"/>
    <mergeCell ref="H4238:H4240"/>
    <mergeCell ref="I4238:I4240"/>
    <mergeCell ref="J4238:J4240"/>
    <mergeCell ref="K4238:K4240"/>
    <mergeCell ref="N4238:N4240"/>
    <mergeCell ref="O4239:P4239"/>
    <mergeCell ref="B4238:B4240"/>
    <mergeCell ref="C4238:C4240"/>
    <mergeCell ref="D4238:D4240"/>
    <mergeCell ref="E4238:E4240"/>
    <mergeCell ref="F4238:F4240"/>
    <mergeCell ref="G4238:G4240"/>
    <mergeCell ref="J4236:K4236"/>
    <mergeCell ref="L4236:M4236"/>
    <mergeCell ref="N4236:N4237"/>
    <mergeCell ref="O4236:P4237"/>
    <mergeCell ref="Q4236:AB4236"/>
    <mergeCell ref="AC4236:AC4237"/>
    <mergeCell ref="O4228:P4228"/>
    <mergeCell ref="B4235:K4235"/>
    <mergeCell ref="B4236:B4237"/>
    <mergeCell ref="C4236:C4237"/>
    <mergeCell ref="D4236:D4237"/>
    <mergeCell ref="E4236:E4237"/>
    <mergeCell ref="F4236:F4237"/>
    <mergeCell ref="G4236:G4237"/>
    <mergeCell ref="H4236:H4237"/>
    <mergeCell ref="I4236:I4237"/>
    <mergeCell ref="G4227:G4234"/>
    <mergeCell ref="H4227:H4234"/>
    <mergeCell ref="I4227:I4234"/>
    <mergeCell ref="J4227:J4234"/>
    <mergeCell ref="K4227:K4234"/>
    <mergeCell ref="N4227:N4234"/>
    <mergeCell ref="L4225:M4225"/>
    <mergeCell ref="N4225:N4226"/>
    <mergeCell ref="O4225:P4226"/>
    <mergeCell ref="Q4225:AB4225"/>
    <mergeCell ref="AC4225:AC4226"/>
    <mergeCell ref="B4227:B4234"/>
    <mergeCell ref="C4227:C4234"/>
    <mergeCell ref="D4227:D4234"/>
    <mergeCell ref="E4227:E4234"/>
    <mergeCell ref="F4227:F4234"/>
    <mergeCell ref="B4224:K4224"/>
    <mergeCell ref="B4225:B4226"/>
    <mergeCell ref="C4225:C4226"/>
    <mergeCell ref="D4225:D4226"/>
    <mergeCell ref="E4225:E4226"/>
    <mergeCell ref="F4225:F4226"/>
    <mergeCell ref="G4225:G4226"/>
    <mergeCell ref="H4225:H4226"/>
    <mergeCell ref="I4225:I4226"/>
    <mergeCell ref="J4225:K4225"/>
    <mergeCell ref="H4219:H4223"/>
    <mergeCell ref="I4219:I4223"/>
    <mergeCell ref="J4219:J4223"/>
    <mergeCell ref="K4219:K4223"/>
    <mergeCell ref="N4219:N4223"/>
    <mergeCell ref="O4220:P4220"/>
    <mergeCell ref="B4219:B4223"/>
    <mergeCell ref="C4219:C4223"/>
    <mergeCell ref="D4219:D4223"/>
    <mergeCell ref="E4219:E4223"/>
    <mergeCell ref="F4219:F4223"/>
    <mergeCell ref="G4219:G4223"/>
    <mergeCell ref="J4217:K4217"/>
    <mergeCell ref="L4217:M4217"/>
    <mergeCell ref="N4217:N4218"/>
    <mergeCell ref="O4217:P4218"/>
    <mergeCell ref="Q4217:AB4217"/>
    <mergeCell ref="AC4217:AC4218"/>
    <mergeCell ref="O4159:P4159"/>
    <mergeCell ref="B4216:K4216"/>
    <mergeCell ref="B4217:B4218"/>
    <mergeCell ref="C4217:C4218"/>
    <mergeCell ref="D4217:D4218"/>
    <mergeCell ref="E4217:E4218"/>
    <mergeCell ref="F4217:F4218"/>
    <mergeCell ref="G4217:G4218"/>
    <mergeCell ref="H4217:H4218"/>
    <mergeCell ref="I4217:I4218"/>
    <mergeCell ref="G4158:G4215"/>
    <mergeCell ref="H4158:H4215"/>
    <mergeCell ref="I4158:I4215"/>
    <mergeCell ref="J4158:J4215"/>
    <mergeCell ref="K4158:K4215"/>
    <mergeCell ref="N4158:N4215"/>
    <mergeCell ref="L4156:M4156"/>
    <mergeCell ref="N4156:N4157"/>
    <mergeCell ref="O4156:P4157"/>
    <mergeCell ref="Q4156:AB4156"/>
    <mergeCell ref="AC4156:AC4157"/>
    <mergeCell ref="B4158:B4215"/>
    <mergeCell ref="C4158:C4215"/>
    <mergeCell ref="D4158:D4215"/>
    <mergeCell ref="E4158:E4215"/>
    <mergeCell ref="F4158:F4215"/>
    <mergeCell ref="B4155:K4155"/>
    <mergeCell ref="B4156:B4157"/>
    <mergeCell ref="C4156:C4157"/>
    <mergeCell ref="D4156:D4157"/>
    <mergeCell ref="E4156:E4157"/>
    <mergeCell ref="F4156:F4157"/>
    <mergeCell ref="G4156:G4157"/>
    <mergeCell ref="H4156:H4157"/>
    <mergeCell ref="I4156:I4157"/>
    <mergeCell ref="J4156:K4156"/>
    <mergeCell ref="H4111:H4154"/>
    <mergeCell ref="I4111:I4154"/>
    <mergeCell ref="J4111:J4154"/>
    <mergeCell ref="K4111:K4154"/>
    <mergeCell ref="N4111:N4154"/>
    <mergeCell ref="O4112:P4112"/>
    <mergeCell ref="B4111:B4154"/>
    <mergeCell ref="C4111:C4154"/>
    <mergeCell ref="D4111:D4154"/>
    <mergeCell ref="E4111:E4154"/>
    <mergeCell ref="F4111:F4154"/>
    <mergeCell ref="G4111:G4154"/>
    <mergeCell ref="J4109:K4109"/>
    <mergeCell ref="L4109:M4109"/>
    <mergeCell ref="N4109:N4110"/>
    <mergeCell ref="O4109:P4110"/>
    <mergeCell ref="Q4109:AB4109"/>
    <mergeCell ref="AC4109:AC4110"/>
    <mergeCell ref="O4094:P4094"/>
    <mergeCell ref="B4108:K4108"/>
    <mergeCell ref="B4109:B4110"/>
    <mergeCell ref="C4109:C4110"/>
    <mergeCell ref="D4109:D4110"/>
    <mergeCell ref="E4109:E4110"/>
    <mergeCell ref="F4109:F4110"/>
    <mergeCell ref="G4109:G4110"/>
    <mergeCell ref="H4109:H4110"/>
    <mergeCell ref="I4109:I4110"/>
    <mergeCell ref="G4093:G4107"/>
    <mergeCell ref="H4093:H4107"/>
    <mergeCell ref="I4093:I4107"/>
    <mergeCell ref="J4093:J4107"/>
    <mergeCell ref="K4093:K4107"/>
    <mergeCell ref="N4093:N4107"/>
    <mergeCell ref="L4091:M4091"/>
    <mergeCell ref="N4091:N4092"/>
    <mergeCell ref="O4091:P4092"/>
    <mergeCell ref="Q4091:AB4091"/>
    <mergeCell ref="AC4091:AC4092"/>
    <mergeCell ref="B4093:B4107"/>
    <mergeCell ref="C4093:C4107"/>
    <mergeCell ref="D4093:D4107"/>
    <mergeCell ref="E4093:E4107"/>
    <mergeCell ref="F4093:F4107"/>
    <mergeCell ref="B4090:K4090"/>
    <mergeCell ref="B4091:B4092"/>
    <mergeCell ref="C4091:C4092"/>
    <mergeCell ref="D4091:D4092"/>
    <mergeCell ref="E4091:E4092"/>
    <mergeCell ref="F4091:F4092"/>
    <mergeCell ref="G4091:G4092"/>
    <mergeCell ref="H4091:H4092"/>
    <mergeCell ref="I4091:I4092"/>
    <mergeCell ref="J4091:K4091"/>
    <mergeCell ref="H4076:H4089"/>
    <mergeCell ref="I4076:I4089"/>
    <mergeCell ref="J4076:J4089"/>
    <mergeCell ref="K4076:K4089"/>
    <mergeCell ref="N4076:N4089"/>
    <mergeCell ref="O4077:P4077"/>
    <mergeCell ref="B4076:B4089"/>
    <mergeCell ref="C4076:C4089"/>
    <mergeCell ref="D4076:D4089"/>
    <mergeCell ref="E4076:E4089"/>
    <mergeCell ref="F4076:F4089"/>
    <mergeCell ref="G4076:G4089"/>
    <mergeCell ref="J4074:K4074"/>
    <mergeCell ref="L4074:M4074"/>
    <mergeCell ref="N4074:N4075"/>
    <mergeCell ref="O4074:P4075"/>
    <mergeCell ref="Q4074:AB4074"/>
    <mergeCell ref="AC4074:AC4075"/>
    <mergeCell ref="O4059:P4059"/>
    <mergeCell ref="B4073:K4073"/>
    <mergeCell ref="B4074:B4075"/>
    <mergeCell ref="C4074:C4075"/>
    <mergeCell ref="D4074:D4075"/>
    <mergeCell ref="E4074:E4075"/>
    <mergeCell ref="F4074:F4075"/>
    <mergeCell ref="G4074:G4075"/>
    <mergeCell ref="H4074:H4075"/>
    <mergeCell ref="I4074:I4075"/>
    <mergeCell ref="G4058:G4072"/>
    <mergeCell ref="H4058:H4072"/>
    <mergeCell ref="I4058:I4072"/>
    <mergeCell ref="J4058:J4072"/>
    <mergeCell ref="K4058:K4072"/>
    <mergeCell ref="N4058:N4072"/>
    <mergeCell ref="L4056:M4056"/>
    <mergeCell ref="N4056:N4057"/>
    <mergeCell ref="O4056:P4057"/>
    <mergeCell ref="Q4056:AB4056"/>
    <mergeCell ref="AC4056:AC4057"/>
    <mergeCell ref="B4058:B4072"/>
    <mergeCell ref="C4058:C4072"/>
    <mergeCell ref="D4058:D4072"/>
    <mergeCell ref="E4058:E4072"/>
    <mergeCell ref="F4058:F4072"/>
    <mergeCell ref="B4055:K4055"/>
    <mergeCell ref="B4056:B4057"/>
    <mergeCell ref="C4056:C4057"/>
    <mergeCell ref="D4056:D4057"/>
    <mergeCell ref="E4056:E4057"/>
    <mergeCell ref="F4056:F4057"/>
    <mergeCell ref="G4056:G4057"/>
    <mergeCell ref="H4056:H4057"/>
    <mergeCell ref="I4056:I4057"/>
    <mergeCell ref="J4056:K4056"/>
    <mergeCell ref="H4049:H4054"/>
    <mergeCell ref="I4049:I4054"/>
    <mergeCell ref="J4049:J4054"/>
    <mergeCell ref="K4049:K4054"/>
    <mergeCell ref="N4049:N4054"/>
    <mergeCell ref="O4050:P4050"/>
    <mergeCell ref="B4049:B4054"/>
    <mergeCell ref="C4049:C4054"/>
    <mergeCell ref="D4049:D4054"/>
    <mergeCell ref="E4049:E4054"/>
    <mergeCell ref="F4049:F4054"/>
    <mergeCell ref="G4049:G4054"/>
    <mergeCell ref="J4047:K4047"/>
    <mergeCell ref="L4047:M4047"/>
    <mergeCell ref="N4047:N4048"/>
    <mergeCell ref="O4047:P4048"/>
    <mergeCell ref="Q4047:AB4047"/>
    <mergeCell ref="AC4047:AC4048"/>
    <mergeCell ref="O4037:P4037"/>
    <mergeCell ref="B4046:K4046"/>
    <mergeCell ref="B4047:B4048"/>
    <mergeCell ref="C4047:C4048"/>
    <mergeCell ref="D4047:D4048"/>
    <mergeCell ref="E4047:E4048"/>
    <mergeCell ref="F4047:F4048"/>
    <mergeCell ref="G4047:G4048"/>
    <mergeCell ref="H4047:H4048"/>
    <mergeCell ref="I4047:I4048"/>
    <mergeCell ref="G4036:G4045"/>
    <mergeCell ref="H4036:H4045"/>
    <mergeCell ref="I4036:I4045"/>
    <mergeCell ref="J4036:J4045"/>
    <mergeCell ref="K4036:K4045"/>
    <mergeCell ref="N4036:N4045"/>
    <mergeCell ref="L4034:M4034"/>
    <mergeCell ref="N4034:N4035"/>
    <mergeCell ref="O4034:P4035"/>
    <mergeCell ref="Q4034:AB4034"/>
    <mergeCell ref="AC4034:AC4035"/>
    <mergeCell ref="B4036:B4045"/>
    <mergeCell ref="C4036:C4045"/>
    <mergeCell ref="D4036:D4045"/>
    <mergeCell ref="E4036:E4045"/>
    <mergeCell ref="F4036:F4045"/>
    <mergeCell ref="B4033:K4033"/>
    <mergeCell ref="B4034:B4035"/>
    <mergeCell ref="C4034:C4035"/>
    <mergeCell ref="D4034:D4035"/>
    <mergeCell ref="E4034:E4035"/>
    <mergeCell ref="F4034:F4035"/>
    <mergeCell ref="G4034:G4035"/>
    <mergeCell ref="H4034:H4035"/>
    <mergeCell ref="I4034:I4035"/>
    <mergeCell ref="J4034:K4034"/>
    <mergeCell ref="H4015:H4032"/>
    <mergeCell ref="I4015:I4032"/>
    <mergeCell ref="J4015:J4032"/>
    <mergeCell ref="K4015:K4032"/>
    <mergeCell ref="N4015:N4032"/>
    <mergeCell ref="O4016:P4016"/>
    <mergeCell ref="B4015:B4032"/>
    <mergeCell ref="C4015:C4032"/>
    <mergeCell ref="D4015:D4032"/>
    <mergeCell ref="E4015:E4032"/>
    <mergeCell ref="F4015:F4032"/>
    <mergeCell ref="G4015:G4032"/>
    <mergeCell ref="J4013:K4013"/>
    <mergeCell ref="L4013:M4013"/>
    <mergeCell ref="N4013:N4014"/>
    <mergeCell ref="O4013:P4014"/>
    <mergeCell ref="Q4013:AB4013"/>
    <mergeCell ref="AC4013:AC4014"/>
    <mergeCell ref="O3998:P3998"/>
    <mergeCell ref="B4012:K4012"/>
    <mergeCell ref="B4013:B4014"/>
    <mergeCell ref="C4013:C4014"/>
    <mergeCell ref="D4013:D4014"/>
    <mergeCell ref="E4013:E4014"/>
    <mergeCell ref="F4013:F4014"/>
    <mergeCell ref="G4013:G4014"/>
    <mergeCell ref="H4013:H4014"/>
    <mergeCell ref="I4013:I4014"/>
    <mergeCell ref="G3997:G4011"/>
    <mergeCell ref="H3997:H4011"/>
    <mergeCell ref="I3997:I4011"/>
    <mergeCell ref="J3997:J4011"/>
    <mergeCell ref="K3997:K4011"/>
    <mergeCell ref="N3997:N4011"/>
    <mergeCell ref="L3995:M3995"/>
    <mergeCell ref="N3995:N3996"/>
    <mergeCell ref="O3995:P3996"/>
    <mergeCell ref="Q3995:AB3995"/>
    <mergeCell ref="AC3995:AC3996"/>
    <mergeCell ref="B3997:B4011"/>
    <mergeCell ref="C3997:C4011"/>
    <mergeCell ref="D3997:D4011"/>
    <mergeCell ref="E3997:E4011"/>
    <mergeCell ref="F3997:F4011"/>
    <mergeCell ref="B3994:K3994"/>
    <mergeCell ref="B3995:B3996"/>
    <mergeCell ref="C3995:C3996"/>
    <mergeCell ref="D3995:D3996"/>
    <mergeCell ref="E3995:E3996"/>
    <mergeCell ref="F3995:F3996"/>
    <mergeCell ref="G3995:G3996"/>
    <mergeCell ref="H3995:H3996"/>
    <mergeCell ref="I3995:I3996"/>
    <mergeCell ref="J3995:K3995"/>
    <mergeCell ref="H3990:H3993"/>
    <mergeCell ref="I3990:I3993"/>
    <mergeCell ref="J3990:J3993"/>
    <mergeCell ref="K3990:K3993"/>
    <mergeCell ref="N3990:N3993"/>
    <mergeCell ref="O3991:P3991"/>
    <mergeCell ref="B3990:B3993"/>
    <mergeCell ref="C3990:C3993"/>
    <mergeCell ref="D3990:D3993"/>
    <mergeCell ref="E3990:E3993"/>
    <mergeCell ref="F3990:F3993"/>
    <mergeCell ref="G3990:G3993"/>
    <mergeCell ref="J3988:K3988"/>
    <mergeCell ref="L3988:M3988"/>
    <mergeCell ref="N3988:N3989"/>
    <mergeCell ref="O3988:P3989"/>
    <mergeCell ref="Q3988:AB3988"/>
    <mergeCell ref="AC3988:AC3989"/>
    <mergeCell ref="O3974:P3974"/>
    <mergeCell ref="B3987:K3987"/>
    <mergeCell ref="B3988:B3989"/>
    <mergeCell ref="C3988:C3989"/>
    <mergeCell ref="D3988:D3989"/>
    <mergeCell ref="E3988:E3989"/>
    <mergeCell ref="F3988:F3989"/>
    <mergeCell ref="G3988:G3989"/>
    <mergeCell ref="H3988:H3989"/>
    <mergeCell ref="I3988:I3989"/>
    <mergeCell ref="G3973:G3986"/>
    <mergeCell ref="H3973:H3986"/>
    <mergeCell ref="I3973:I3986"/>
    <mergeCell ref="J3973:J3986"/>
    <mergeCell ref="K3973:K3986"/>
    <mergeCell ref="N3973:N3986"/>
    <mergeCell ref="L3971:M3971"/>
    <mergeCell ref="N3971:N3972"/>
    <mergeCell ref="O3971:P3972"/>
    <mergeCell ref="Q3971:AB3971"/>
    <mergeCell ref="AC3971:AC3972"/>
    <mergeCell ref="B3973:B3986"/>
    <mergeCell ref="C3973:C3986"/>
    <mergeCell ref="D3973:D3986"/>
    <mergeCell ref="E3973:E3986"/>
    <mergeCell ref="F3973:F3986"/>
    <mergeCell ref="B3970:K3970"/>
    <mergeCell ref="B3971:B3972"/>
    <mergeCell ref="C3971:C3972"/>
    <mergeCell ref="D3971:D3972"/>
    <mergeCell ref="E3971:E3972"/>
    <mergeCell ref="F3971:F3972"/>
    <mergeCell ref="G3971:G3972"/>
    <mergeCell ref="H3971:H3972"/>
    <mergeCell ref="I3971:I3972"/>
    <mergeCell ref="J3971:K3971"/>
    <mergeCell ref="H3963:H3969"/>
    <mergeCell ref="I3963:I3969"/>
    <mergeCell ref="J3963:J3969"/>
    <mergeCell ref="K3963:K3969"/>
    <mergeCell ref="N3963:N3969"/>
    <mergeCell ref="O3964:P3964"/>
    <mergeCell ref="B3963:B3969"/>
    <mergeCell ref="C3963:C3969"/>
    <mergeCell ref="D3963:D3969"/>
    <mergeCell ref="E3963:E3969"/>
    <mergeCell ref="F3963:F3969"/>
    <mergeCell ref="G3963:G3969"/>
    <mergeCell ref="J3961:K3961"/>
    <mergeCell ref="L3961:M3961"/>
    <mergeCell ref="N3961:N3962"/>
    <mergeCell ref="O3961:P3962"/>
    <mergeCell ref="Q3961:AB3961"/>
    <mergeCell ref="AC3961:AC3962"/>
    <mergeCell ref="O3956:P3956"/>
    <mergeCell ref="B3960:K3960"/>
    <mergeCell ref="B3961:B3962"/>
    <mergeCell ref="C3961:C3962"/>
    <mergeCell ref="D3961:D3962"/>
    <mergeCell ref="E3961:E3962"/>
    <mergeCell ref="F3961:F3962"/>
    <mergeCell ref="G3961:G3962"/>
    <mergeCell ref="H3961:H3962"/>
    <mergeCell ref="I3961:I3962"/>
    <mergeCell ref="G3955:G3959"/>
    <mergeCell ref="H3955:H3959"/>
    <mergeCell ref="I3955:I3959"/>
    <mergeCell ref="J3955:J3959"/>
    <mergeCell ref="K3955:K3959"/>
    <mergeCell ref="N3955:N3959"/>
    <mergeCell ref="L3953:M3953"/>
    <mergeCell ref="N3953:N3954"/>
    <mergeCell ref="O3953:P3954"/>
    <mergeCell ref="Q3953:AB3953"/>
    <mergeCell ref="AC3953:AC3954"/>
    <mergeCell ref="B3955:B3959"/>
    <mergeCell ref="C3955:C3959"/>
    <mergeCell ref="D3955:D3959"/>
    <mergeCell ref="E3955:E3959"/>
    <mergeCell ref="F3955:F3959"/>
    <mergeCell ref="B3952:K3952"/>
    <mergeCell ref="B3953:B3954"/>
    <mergeCell ref="C3953:C3954"/>
    <mergeCell ref="D3953:D3954"/>
    <mergeCell ref="E3953:E3954"/>
    <mergeCell ref="F3953:F3954"/>
    <mergeCell ref="G3953:G3954"/>
    <mergeCell ref="H3953:H3954"/>
    <mergeCell ref="I3953:I3954"/>
    <mergeCell ref="J3953:K3953"/>
    <mergeCell ref="H3947:H3951"/>
    <mergeCell ref="I3947:I3951"/>
    <mergeCell ref="J3947:J3951"/>
    <mergeCell ref="K3947:K3951"/>
    <mergeCell ref="N3947:N3951"/>
    <mergeCell ref="O3948:P3948"/>
    <mergeCell ref="B3947:B3951"/>
    <mergeCell ref="C3947:C3951"/>
    <mergeCell ref="D3947:D3951"/>
    <mergeCell ref="E3947:E3951"/>
    <mergeCell ref="F3947:F3951"/>
    <mergeCell ref="G3947:G3951"/>
    <mergeCell ref="J3945:K3945"/>
    <mergeCell ref="L3945:M3945"/>
    <mergeCell ref="N3945:N3946"/>
    <mergeCell ref="O3945:P3946"/>
    <mergeCell ref="Q3945:AB3945"/>
    <mergeCell ref="AC3945:AC3946"/>
    <mergeCell ref="O3939:P3939"/>
    <mergeCell ref="B3944:K3944"/>
    <mergeCell ref="B3945:B3946"/>
    <mergeCell ref="C3945:C3946"/>
    <mergeCell ref="D3945:D3946"/>
    <mergeCell ref="E3945:E3946"/>
    <mergeCell ref="F3945:F3946"/>
    <mergeCell ref="G3945:G3946"/>
    <mergeCell ref="H3945:H3946"/>
    <mergeCell ref="I3945:I3946"/>
    <mergeCell ref="G3938:G3943"/>
    <mergeCell ref="H3938:H3943"/>
    <mergeCell ref="I3938:I3943"/>
    <mergeCell ref="J3938:J3943"/>
    <mergeCell ref="K3938:K3943"/>
    <mergeCell ref="N3938:N3943"/>
    <mergeCell ref="L3936:M3936"/>
    <mergeCell ref="N3936:N3937"/>
    <mergeCell ref="O3936:P3937"/>
    <mergeCell ref="Q3936:AB3936"/>
    <mergeCell ref="AC3936:AC3937"/>
    <mergeCell ref="B3938:B3943"/>
    <mergeCell ref="C3938:C3943"/>
    <mergeCell ref="D3938:D3943"/>
    <mergeCell ref="E3938:E3943"/>
    <mergeCell ref="F3938:F3943"/>
    <mergeCell ref="B3935:K3935"/>
    <mergeCell ref="B3936:B3937"/>
    <mergeCell ref="C3936:C3937"/>
    <mergeCell ref="D3936:D3937"/>
    <mergeCell ref="E3936:E3937"/>
    <mergeCell ref="F3936:F3937"/>
    <mergeCell ref="G3936:G3937"/>
    <mergeCell ref="H3936:H3937"/>
    <mergeCell ref="I3936:I3937"/>
    <mergeCell ref="J3936:K3936"/>
    <mergeCell ref="H3929:H3934"/>
    <mergeCell ref="I3929:I3934"/>
    <mergeCell ref="J3929:J3934"/>
    <mergeCell ref="K3929:K3934"/>
    <mergeCell ref="N3929:N3934"/>
    <mergeCell ref="O3930:P3930"/>
    <mergeCell ref="B3929:B3934"/>
    <mergeCell ref="C3929:C3934"/>
    <mergeCell ref="D3929:D3934"/>
    <mergeCell ref="E3929:E3934"/>
    <mergeCell ref="F3929:F3934"/>
    <mergeCell ref="G3929:G3934"/>
    <mergeCell ref="J3927:K3927"/>
    <mergeCell ref="L3927:M3927"/>
    <mergeCell ref="N3927:N3928"/>
    <mergeCell ref="O3927:P3928"/>
    <mergeCell ref="Q3927:AB3927"/>
    <mergeCell ref="AC3927:AC3928"/>
    <mergeCell ref="O3918:P3918"/>
    <mergeCell ref="B3926:K3926"/>
    <mergeCell ref="B3927:B3928"/>
    <mergeCell ref="C3927:C3928"/>
    <mergeCell ref="D3927:D3928"/>
    <mergeCell ref="E3927:E3928"/>
    <mergeCell ref="F3927:F3928"/>
    <mergeCell ref="G3927:G3928"/>
    <mergeCell ref="H3927:H3928"/>
    <mergeCell ref="I3927:I3928"/>
    <mergeCell ref="G3917:G3925"/>
    <mergeCell ref="H3917:H3925"/>
    <mergeCell ref="I3917:I3925"/>
    <mergeCell ref="J3917:J3925"/>
    <mergeCell ref="K3917:K3925"/>
    <mergeCell ref="N3917:N3925"/>
    <mergeCell ref="L3915:M3915"/>
    <mergeCell ref="N3915:N3916"/>
    <mergeCell ref="O3915:P3916"/>
    <mergeCell ref="Q3915:AB3915"/>
    <mergeCell ref="AC3915:AC3916"/>
    <mergeCell ref="B3917:B3925"/>
    <mergeCell ref="C3917:C3925"/>
    <mergeCell ref="D3917:D3925"/>
    <mergeCell ref="E3917:E3925"/>
    <mergeCell ref="F3917:F3925"/>
    <mergeCell ref="B3914:K3914"/>
    <mergeCell ref="B3915:B3916"/>
    <mergeCell ref="C3915:C3916"/>
    <mergeCell ref="D3915:D3916"/>
    <mergeCell ref="E3915:E3916"/>
    <mergeCell ref="F3915:F3916"/>
    <mergeCell ref="G3915:G3916"/>
    <mergeCell ref="H3915:H3916"/>
    <mergeCell ref="I3915:I3916"/>
    <mergeCell ref="J3915:K3915"/>
    <mergeCell ref="H3899:H3913"/>
    <mergeCell ref="I3899:I3913"/>
    <mergeCell ref="J3899:J3913"/>
    <mergeCell ref="K3899:K3913"/>
    <mergeCell ref="N3899:N3913"/>
    <mergeCell ref="O3900:P3900"/>
    <mergeCell ref="B3899:B3913"/>
    <mergeCell ref="C3899:C3913"/>
    <mergeCell ref="D3899:D3913"/>
    <mergeCell ref="E3899:E3913"/>
    <mergeCell ref="F3899:F3913"/>
    <mergeCell ref="G3899:G3913"/>
    <mergeCell ref="J3897:K3897"/>
    <mergeCell ref="L3897:M3897"/>
    <mergeCell ref="N3897:N3898"/>
    <mergeCell ref="O3897:P3898"/>
    <mergeCell ref="Q3897:AB3897"/>
    <mergeCell ref="AC3897:AC3898"/>
    <mergeCell ref="O3821:P3821"/>
    <mergeCell ref="B3896:K3896"/>
    <mergeCell ref="B3897:B3898"/>
    <mergeCell ref="C3897:C3898"/>
    <mergeCell ref="D3897:D3898"/>
    <mergeCell ref="E3897:E3898"/>
    <mergeCell ref="F3897:F3898"/>
    <mergeCell ref="G3897:G3898"/>
    <mergeCell ref="H3897:H3898"/>
    <mergeCell ref="I3897:I3898"/>
    <mergeCell ref="G3820:G3895"/>
    <mergeCell ref="H3820:H3895"/>
    <mergeCell ref="I3820:I3895"/>
    <mergeCell ref="J3820:J3895"/>
    <mergeCell ref="K3820:K3895"/>
    <mergeCell ref="N3820:N3895"/>
    <mergeCell ref="L3818:M3818"/>
    <mergeCell ref="N3818:N3819"/>
    <mergeCell ref="O3818:P3819"/>
    <mergeCell ref="Q3818:AB3818"/>
    <mergeCell ref="AC3818:AC3819"/>
    <mergeCell ref="B3820:B3895"/>
    <mergeCell ref="C3820:C3895"/>
    <mergeCell ref="D3820:D3895"/>
    <mergeCell ref="E3820:E3895"/>
    <mergeCell ref="F3820:F3895"/>
    <mergeCell ref="B3817:K3817"/>
    <mergeCell ref="B3818:B3819"/>
    <mergeCell ref="C3818:C3819"/>
    <mergeCell ref="D3818:D3819"/>
    <mergeCell ref="E3818:E3819"/>
    <mergeCell ref="F3818:F3819"/>
    <mergeCell ref="G3818:G3819"/>
    <mergeCell ref="H3818:H3819"/>
    <mergeCell ref="I3818:I3819"/>
    <mergeCell ref="J3818:K3818"/>
    <mergeCell ref="I3814:I3816"/>
    <mergeCell ref="J3814:J3816"/>
    <mergeCell ref="K3814:K3816"/>
    <mergeCell ref="N3814:N3816"/>
    <mergeCell ref="O3814:P3814"/>
    <mergeCell ref="O3815:P3815"/>
    <mergeCell ref="O3812:P3813"/>
    <mergeCell ref="Q3812:AB3812"/>
    <mergeCell ref="AC3812:AC3813"/>
    <mergeCell ref="B3814:B3816"/>
    <mergeCell ref="C3814:C3816"/>
    <mergeCell ref="D3814:D3816"/>
    <mergeCell ref="E3814:E3816"/>
    <mergeCell ref="F3814:F3816"/>
    <mergeCell ref="G3814:G3816"/>
    <mergeCell ref="H3814:H3816"/>
    <mergeCell ref="G3812:G3813"/>
    <mergeCell ref="H3812:H3813"/>
    <mergeCell ref="I3812:I3813"/>
    <mergeCell ref="J3812:K3812"/>
    <mergeCell ref="L3812:M3812"/>
    <mergeCell ref="N3812:N3813"/>
    <mergeCell ref="J3787:J3810"/>
    <mergeCell ref="K3787:K3810"/>
    <mergeCell ref="N3787:N3810"/>
    <mergeCell ref="O3788:P3788"/>
    <mergeCell ref="B3811:K3811"/>
    <mergeCell ref="B3812:B3813"/>
    <mergeCell ref="C3812:C3813"/>
    <mergeCell ref="D3812:D3813"/>
    <mergeCell ref="E3812:E3813"/>
    <mergeCell ref="F3812:F3813"/>
    <mergeCell ref="Q3785:AB3785"/>
    <mergeCell ref="AC3785:AC3786"/>
    <mergeCell ref="B3787:B3810"/>
    <mergeCell ref="C3787:C3810"/>
    <mergeCell ref="D3787:D3810"/>
    <mergeCell ref="E3787:E3810"/>
    <mergeCell ref="F3787:F3810"/>
    <mergeCell ref="G3787:G3810"/>
    <mergeCell ref="H3787:H3810"/>
    <mergeCell ref="I3787:I3810"/>
    <mergeCell ref="H3785:H3786"/>
    <mergeCell ref="I3785:I3786"/>
    <mergeCell ref="J3785:K3785"/>
    <mergeCell ref="L3785:M3785"/>
    <mergeCell ref="N3785:N3786"/>
    <mergeCell ref="O3785:P3786"/>
    <mergeCell ref="B3785:B3786"/>
    <mergeCell ref="C3785:C3786"/>
    <mergeCell ref="D3785:D3786"/>
    <mergeCell ref="E3785:E3786"/>
    <mergeCell ref="F3785:F3786"/>
    <mergeCell ref="G3785:G3786"/>
    <mergeCell ref="B3783:B3784"/>
    <mergeCell ref="C3783:C3784"/>
    <mergeCell ref="D3783:R3784"/>
    <mergeCell ref="X3783:AA3783"/>
    <mergeCell ref="AB3783:AC3783"/>
    <mergeCell ref="X3784:AA3784"/>
    <mergeCell ref="AB3784:AC3784"/>
    <mergeCell ref="C3778:AC3778"/>
    <mergeCell ref="C3779:AC3779"/>
    <mergeCell ref="C3780:AC3780"/>
    <mergeCell ref="B3781:B3782"/>
    <mergeCell ref="C3781:C3782"/>
    <mergeCell ref="D3781:R3782"/>
    <mergeCell ref="X3781:AA3781"/>
    <mergeCell ref="AB3781:AC3781"/>
    <mergeCell ref="X3782:AA3782"/>
    <mergeCell ref="AB3782:AC3782"/>
    <mergeCell ref="K3766:K3774"/>
    <mergeCell ref="L3766:L3774"/>
    <mergeCell ref="O3766:P3766"/>
    <mergeCell ref="O3767:P3767"/>
    <mergeCell ref="B3775:L3775"/>
    <mergeCell ref="B3776:C3776"/>
    <mergeCell ref="B3765:L3765"/>
    <mergeCell ref="B3766:B3774"/>
    <mergeCell ref="C3766:C3774"/>
    <mergeCell ref="D3766:D3774"/>
    <mergeCell ref="E3766:E3774"/>
    <mergeCell ref="F3766:F3774"/>
    <mergeCell ref="G3766:G3774"/>
    <mergeCell ref="H3766:H3774"/>
    <mergeCell ref="I3766:I3774"/>
    <mergeCell ref="J3766:J3774"/>
    <mergeCell ref="I3746:I3764"/>
    <mergeCell ref="J3746:J3764"/>
    <mergeCell ref="K3746:K3764"/>
    <mergeCell ref="L3746:L3764"/>
    <mergeCell ref="O3746:P3746"/>
    <mergeCell ref="O3747:P3747"/>
    <mergeCell ref="O3734:P3734"/>
    <mergeCell ref="O3735:P3735"/>
    <mergeCell ref="B3745:L3745"/>
    <mergeCell ref="B3746:B3764"/>
    <mergeCell ref="C3746:C3764"/>
    <mergeCell ref="D3746:D3764"/>
    <mergeCell ref="E3746:E3764"/>
    <mergeCell ref="F3746:F3764"/>
    <mergeCell ref="G3746:G3764"/>
    <mergeCell ref="H3746:H3764"/>
    <mergeCell ref="G3734:G3744"/>
    <mergeCell ref="H3734:H3744"/>
    <mergeCell ref="I3734:I3744"/>
    <mergeCell ref="J3734:J3744"/>
    <mergeCell ref="K3734:K3744"/>
    <mergeCell ref="L3734:L3744"/>
    <mergeCell ref="K3642:K3732"/>
    <mergeCell ref="L3642:L3732"/>
    <mergeCell ref="O3642:P3642"/>
    <mergeCell ref="O3643:P3643"/>
    <mergeCell ref="B3733:L3733"/>
    <mergeCell ref="B3734:B3744"/>
    <mergeCell ref="C3734:C3744"/>
    <mergeCell ref="D3734:D3744"/>
    <mergeCell ref="E3734:E3744"/>
    <mergeCell ref="F3734:F3744"/>
    <mergeCell ref="B3641:L3641"/>
    <mergeCell ref="B3642:B3732"/>
    <mergeCell ref="C3642:C3732"/>
    <mergeCell ref="D3642:D3732"/>
    <mergeCell ref="E3642:E3732"/>
    <mergeCell ref="F3642:F3732"/>
    <mergeCell ref="G3642:G3732"/>
    <mergeCell ref="H3642:H3732"/>
    <mergeCell ref="I3642:I3732"/>
    <mergeCell ref="J3642:J3732"/>
    <mergeCell ref="I3636:I3640"/>
    <mergeCell ref="J3636:J3640"/>
    <mergeCell ref="K3636:K3640"/>
    <mergeCell ref="L3636:L3640"/>
    <mergeCell ref="O3636:P3636"/>
    <mergeCell ref="O3637:P3637"/>
    <mergeCell ref="O3610:P3610"/>
    <mergeCell ref="O3611:P3611"/>
    <mergeCell ref="B3635:L3635"/>
    <mergeCell ref="B3636:B3640"/>
    <mergeCell ref="C3636:C3640"/>
    <mergeCell ref="D3636:D3640"/>
    <mergeCell ref="E3636:E3640"/>
    <mergeCell ref="F3636:F3640"/>
    <mergeCell ref="G3636:G3640"/>
    <mergeCell ref="H3636:H3640"/>
    <mergeCell ref="G3610:G3634"/>
    <mergeCell ref="H3610:H3634"/>
    <mergeCell ref="I3610:I3634"/>
    <mergeCell ref="J3610:J3634"/>
    <mergeCell ref="K3610:K3634"/>
    <mergeCell ref="L3610:L3634"/>
    <mergeCell ref="L3608:L3609"/>
    <mergeCell ref="M3608:N3608"/>
    <mergeCell ref="O3608:P3609"/>
    <mergeCell ref="Q3608:AB3608"/>
    <mergeCell ref="AC3608:AC3609"/>
    <mergeCell ref="B3610:B3634"/>
    <mergeCell ref="C3610:C3634"/>
    <mergeCell ref="D3610:D3634"/>
    <mergeCell ref="E3610:E3634"/>
    <mergeCell ref="F3610:F3634"/>
    <mergeCell ref="AB3607:AC3607"/>
    <mergeCell ref="B3608:B3609"/>
    <mergeCell ref="C3608:C3609"/>
    <mergeCell ref="D3608:D3609"/>
    <mergeCell ref="E3608:E3609"/>
    <mergeCell ref="F3608:F3609"/>
    <mergeCell ref="G3608:G3609"/>
    <mergeCell ref="H3608:H3609"/>
    <mergeCell ref="I3608:I3609"/>
    <mergeCell ref="J3608:K3608"/>
    <mergeCell ref="X3603:AA3603"/>
    <mergeCell ref="AB3603:AC3603"/>
    <mergeCell ref="X3604:AA3605"/>
    <mergeCell ref="AB3604:AC3605"/>
    <mergeCell ref="B3606:B3607"/>
    <mergeCell ref="C3606:C3607"/>
    <mergeCell ref="D3606:E3607"/>
    <mergeCell ref="X3606:AA3606"/>
    <mergeCell ref="AB3606:AC3606"/>
    <mergeCell ref="X3607:AA3607"/>
    <mergeCell ref="M3595:N3595"/>
    <mergeCell ref="M3596:N3596"/>
    <mergeCell ref="M3597:N3597"/>
    <mergeCell ref="C3600:L3600"/>
    <mergeCell ref="B3603:B3605"/>
    <mergeCell ref="C3603:C3605"/>
    <mergeCell ref="D3603:H3605"/>
    <mergeCell ref="G3589:G3597"/>
    <mergeCell ref="H3589:H3597"/>
    <mergeCell ref="I3589:I3597"/>
    <mergeCell ref="J3589:J3597"/>
    <mergeCell ref="M3589:N3589"/>
    <mergeCell ref="M3590:N3590"/>
    <mergeCell ref="M3591:N3591"/>
    <mergeCell ref="M3592:N3592"/>
    <mergeCell ref="M3593:N3593"/>
    <mergeCell ref="M3594:N3594"/>
    <mergeCell ref="AA3585:AA3586"/>
    <mergeCell ref="J3586:J3588"/>
    <mergeCell ref="K3586:K3588"/>
    <mergeCell ref="M3587:N3587"/>
    <mergeCell ref="M3588:N3588"/>
    <mergeCell ref="B3589:B3597"/>
    <mergeCell ref="C3589:C3597"/>
    <mergeCell ref="D3589:D3597"/>
    <mergeCell ref="E3589:E3597"/>
    <mergeCell ref="F3589:F3597"/>
    <mergeCell ref="H3585:H3588"/>
    <mergeCell ref="I3585:I3588"/>
    <mergeCell ref="J3585:K3585"/>
    <mergeCell ref="L3585:L3588"/>
    <mergeCell ref="M3585:N3586"/>
    <mergeCell ref="O3585:Z3585"/>
    <mergeCell ref="M3580:N3580"/>
    <mergeCell ref="M3581:N3581"/>
    <mergeCell ref="M3582:N3582"/>
    <mergeCell ref="M3583:N3583"/>
    <mergeCell ref="B3585:B3588"/>
    <mergeCell ref="C3585:C3588"/>
    <mergeCell ref="D3585:D3588"/>
    <mergeCell ref="E3585:E3588"/>
    <mergeCell ref="F3585:F3588"/>
    <mergeCell ref="G3585:G3588"/>
    <mergeCell ref="H3573:H3583"/>
    <mergeCell ref="I3573:I3583"/>
    <mergeCell ref="J3573:J3583"/>
    <mergeCell ref="M3573:N3573"/>
    <mergeCell ref="M3574:N3574"/>
    <mergeCell ref="M3575:N3575"/>
    <mergeCell ref="M3576:N3576"/>
    <mergeCell ref="M3577:N3577"/>
    <mergeCell ref="M3578:N3578"/>
    <mergeCell ref="M3579:N3579"/>
    <mergeCell ref="B3573:B3583"/>
    <mergeCell ref="C3573:C3583"/>
    <mergeCell ref="D3573:D3583"/>
    <mergeCell ref="E3573:E3583"/>
    <mergeCell ref="F3573:F3583"/>
    <mergeCell ref="G3573:G3583"/>
    <mergeCell ref="L3569:L3572"/>
    <mergeCell ref="M3569:N3570"/>
    <mergeCell ref="O3569:Z3569"/>
    <mergeCell ref="AA3569:AA3570"/>
    <mergeCell ref="J3570:J3572"/>
    <mergeCell ref="K3570:K3572"/>
    <mergeCell ref="M3571:N3571"/>
    <mergeCell ref="M3572:N3572"/>
    <mergeCell ref="M3567:N3567"/>
    <mergeCell ref="B3569:B3572"/>
    <mergeCell ref="C3569:C3572"/>
    <mergeCell ref="D3569:D3572"/>
    <mergeCell ref="E3569:E3572"/>
    <mergeCell ref="F3569:F3572"/>
    <mergeCell ref="G3569:G3572"/>
    <mergeCell ref="H3569:H3572"/>
    <mergeCell ref="I3569:I3572"/>
    <mergeCell ref="J3569:K3569"/>
    <mergeCell ref="M3561:N3561"/>
    <mergeCell ref="M3562:N3562"/>
    <mergeCell ref="M3563:N3563"/>
    <mergeCell ref="M3564:N3564"/>
    <mergeCell ref="M3565:N3565"/>
    <mergeCell ref="M3566:N3566"/>
    <mergeCell ref="H3554:H3567"/>
    <mergeCell ref="I3554:I3567"/>
    <mergeCell ref="J3554:J3567"/>
    <mergeCell ref="M3554:N3554"/>
    <mergeCell ref="M3555:N3555"/>
    <mergeCell ref="M3556:N3556"/>
    <mergeCell ref="M3557:N3557"/>
    <mergeCell ref="M3558:N3558"/>
    <mergeCell ref="M3559:N3559"/>
    <mergeCell ref="M3560:N3560"/>
    <mergeCell ref="B3554:B3567"/>
    <mergeCell ref="C3554:C3567"/>
    <mergeCell ref="D3554:D3567"/>
    <mergeCell ref="E3554:E3567"/>
    <mergeCell ref="F3554:F3567"/>
    <mergeCell ref="G3554:G3567"/>
    <mergeCell ref="B3550:B3553"/>
    <mergeCell ref="C3550:C3553"/>
    <mergeCell ref="D3550:D3553"/>
    <mergeCell ref="E3550:E3553"/>
    <mergeCell ref="F3550:F3553"/>
    <mergeCell ref="G3550:G3553"/>
    <mergeCell ref="H3550:H3553"/>
    <mergeCell ref="G3540:G3545"/>
    <mergeCell ref="H3540:H3545"/>
    <mergeCell ref="I3540:I3545"/>
    <mergeCell ref="J3540:J3545"/>
    <mergeCell ref="M3540:N3540"/>
    <mergeCell ref="M3541:N3541"/>
    <mergeCell ref="M3542:N3542"/>
    <mergeCell ref="M3543:N3543"/>
    <mergeCell ref="M3544:N3544"/>
    <mergeCell ref="M3545:N3545"/>
    <mergeCell ref="AA3536:AA3537"/>
    <mergeCell ref="J3537:J3539"/>
    <mergeCell ref="K3537:K3539"/>
    <mergeCell ref="M3538:N3538"/>
    <mergeCell ref="M3539:N3539"/>
    <mergeCell ref="B3540:B3545"/>
    <mergeCell ref="C3540:C3545"/>
    <mergeCell ref="D3540:D3545"/>
    <mergeCell ref="E3540:E3545"/>
    <mergeCell ref="F3540:F3545"/>
    <mergeCell ref="H3536:H3539"/>
    <mergeCell ref="I3536:I3539"/>
    <mergeCell ref="J3536:K3536"/>
    <mergeCell ref="L3536:L3539"/>
    <mergeCell ref="M3536:N3537"/>
    <mergeCell ref="O3536:Z3536"/>
    <mergeCell ref="B3536:B3539"/>
    <mergeCell ref="C3536:C3539"/>
    <mergeCell ref="D3536:D3539"/>
    <mergeCell ref="E3536:E3539"/>
    <mergeCell ref="F3536:F3539"/>
    <mergeCell ref="G3536:G3539"/>
    <mergeCell ref="U3534:Z3534"/>
    <mergeCell ref="U3535:Z3535"/>
    <mergeCell ref="M3523:N3523"/>
    <mergeCell ref="M3524:N3524"/>
    <mergeCell ref="M3525:N3525"/>
    <mergeCell ref="M3526:N3526"/>
    <mergeCell ref="M3527:N3527"/>
    <mergeCell ref="M3528:N3528"/>
    <mergeCell ref="M3517:N3517"/>
    <mergeCell ref="M3518:N3518"/>
    <mergeCell ref="M3519:N3519"/>
    <mergeCell ref="M3520:N3520"/>
    <mergeCell ref="M3521:N3521"/>
    <mergeCell ref="M3522:N3522"/>
    <mergeCell ref="G3511:G3532"/>
    <mergeCell ref="H3511:H3532"/>
    <mergeCell ref="I3511:I3532"/>
    <mergeCell ref="J3511:J3532"/>
    <mergeCell ref="M3511:N3511"/>
    <mergeCell ref="M3512:N3512"/>
    <mergeCell ref="M3513:N3513"/>
    <mergeCell ref="M3514:N3514"/>
    <mergeCell ref="M3515:N3515"/>
    <mergeCell ref="M3516:N3516"/>
    <mergeCell ref="AA3507:AA3508"/>
    <mergeCell ref="J3508:J3510"/>
    <mergeCell ref="K3508:K3510"/>
    <mergeCell ref="M3509:N3509"/>
    <mergeCell ref="M3510:N3510"/>
    <mergeCell ref="I3550:I3553"/>
    <mergeCell ref="J3550:K3550"/>
    <mergeCell ref="L3550:L3553"/>
    <mergeCell ref="M3550:N3551"/>
    <mergeCell ref="O3550:Z3550"/>
    <mergeCell ref="AA3550:AA3551"/>
    <mergeCell ref="J3551:J3553"/>
    <mergeCell ref="K3551:K3553"/>
    <mergeCell ref="M3552:N3552"/>
    <mergeCell ref="M3553:N3553"/>
    <mergeCell ref="U3547:Z3547"/>
    <mergeCell ref="U3548:Z3548"/>
    <mergeCell ref="U3549:Z3549"/>
    <mergeCell ref="B3511:B3532"/>
    <mergeCell ref="C3511:C3532"/>
    <mergeCell ref="D3511:D3532"/>
    <mergeCell ref="E3511:E3532"/>
    <mergeCell ref="F3511:F3532"/>
    <mergeCell ref="H3507:H3510"/>
    <mergeCell ref="I3507:I3510"/>
    <mergeCell ref="J3507:K3507"/>
    <mergeCell ref="L3507:L3510"/>
    <mergeCell ref="M3507:N3508"/>
    <mergeCell ref="O3507:Z3507"/>
    <mergeCell ref="B3507:B3510"/>
    <mergeCell ref="C3507:C3510"/>
    <mergeCell ref="D3507:D3510"/>
    <mergeCell ref="E3507:E3510"/>
    <mergeCell ref="F3507:F3510"/>
    <mergeCell ref="G3507:G3510"/>
    <mergeCell ref="G3500:G3505"/>
    <mergeCell ref="H3500:H3505"/>
    <mergeCell ref="I3500:I3505"/>
    <mergeCell ref="J3500:J3505"/>
    <mergeCell ref="M3500:N3500"/>
    <mergeCell ref="M3501:N3501"/>
    <mergeCell ref="M3502:N3502"/>
    <mergeCell ref="M3503:N3503"/>
    <mergeCell ref="M3504:N3504"/>
    <mergeCell ref="M3505:N3505"/>
    <mergeCell ref="AA3496:AA3497"/>
    <mergeCell ref="J3497:J3499"/>
    <mergeCell ref="K3497:K3499"/>
    <mergeCell ref="M3498:N3498"/>
    <mergeCell ref="M3499:N3499"/>
    <mergeCell ref="B3500:B3505"/>
    <mergeCell ref="C3500:C3505"/>
    <mergeCell ref="D3500:D3505"/>
    <mergeCell ref="E3500:E3505"/>
    <mergeCell ref="F3500:F3505"/>
    <mergeCell ref="H3496:H3499"/>
    <mergeCell ref="I3496:I3499"/>
    <mergeCell ref="J3496:K3496"/>
    <mergeCell ref="L3496:L3499"/>
    <mergeCell ref="M3496:N3497"/>
    <mergeCell ref="O3496:Z3496"/>
    <mergeCell ref="B3496:B3499"/>
    <mergeCell ref="C3496:C3499"/>
    <mergeCell ref="D3496:D3499"/>
    <mergeCell ref="E3496:E3499"/>
    <mergeCell ref="F3496:F3499"/>
    <mergeCell ref="G3496:G3499"/>
    <mergeCell ref="M3529:N3529"/>
    <mergeCell ref="M3530:N3530"/>
    <mergeCell ref="M3531:N3531"/>
    <mergeCell ref="M3532:N3532"/>
    <mergeCell ref="H3489:H3494"/>
    <mergeCell ref="I3489:I3494"/>
    <mergeCell ref="J3489:J3494"/>
    <mergeCell ref="M3489:N3489"/>
    <mergeCell ref="M3490:N3490"/>
    <mergeCell ref="M3491:N3491"/>
    <mergeCell ref="M3492:N3492"/>
    <mergeCell ref="M3493:N3493"/>
    <mergeCell ref="M3494:N3494"/>
    <mergeCell ref="B3489:B3494"/>
    <mergeCell ref="C3489:C3494"/>
    <mergeCell ref="D3489:D3494"/>
    <mergeCell ref="E3489:E3494"/>
    <mergeCell ref="F3489:F3494"/>
    <mergeCell ref="G3489:G3494"/>
    <mergeCell ref="L3485:L3488"/>
    <mergeCell ref="M3485:N3486"/>
    <mergeCell ref="O3485:Z3485"/>
    <mergeCell ref="AA3485:AA3486"/>
    <mergeCell ref="J3486:J3488"/>
    <mergeCell ref="K3486:K3488"/>
    <mergeCell ref="M3487:N3487"/>
    <mergeCell ref="M3488:N3488"/>
    <mergeCell ref="U3484:Z3484"/>
    <mergeCell ref="B3485:B3488"/>
    <mergeCell ref="C3485:C3488"/>
    <mergeCell ref="D3485:D3488"/>
    <mergeCell ref="E3485:E3488"/>
    <mergeCell ref="F3485:F3488"/>
    <mergeCell ref="G3485:G3488"/>
    <mergeCell ref="H3485:H3488"/>
    <mergeCell ref="I3485:I3488"/>
    <mergeCell ref="J3485:K3485"/>
    <mergeCell ref="AA3477:AA3478"/>
    <mergeCell ref="J3478:J3480"/>
    <mergeCell ref="K3478:K3480"/>
    <mergeCell ref="M3479:N3479"/>
    <mergeCell ref="M3480:N3480"/>
    <mergeCell ref="U3483:Z3483"/>
    <mergeCell ref="H3477:H3480"/>
    <mergeCell ref="I3477:I3480"/>
    <mergeCell ref="J3477:K3477"/>
    <mergeCell ref="L3477:L3480"/>
    <mergeCell ref="M3477:N3478"/>
    <mergeCell ref="O3477:Z3477"/>
    <mergeCell ref="B3477:B3480"/>
    <mergeCell ref="C3477:C3480"/>
    <mergeCell ref="D3477:D3480"/>
    <mergeCell ref="E3477:E3480"/>
    <mergeCell ref="F3477:F3480"/>
    <mergeCell ref="G3477:G3480"/>
    <mergeCell ref="H3473:H3475"/>
    <mergeCell ref="I3473:I3475"/>
    <mergeCell ref="J3473:J3475"/>
    <mergeCell ref="M3473:N3473"/>
    <mergeCell ref="M3474:N3474"/>
    <mergeCell ref="M3475:N3475"/>
    <mergeCell ref="B3473:B3475"/>
    <mergeCell ref="C3473:C3475"/>
    <mergeCell ref="D3473:D3475"/>
    <mergeCell ref="E3473:E3475"/>
    <mergeCell ref="F3473:F3475"/>
    <mergeCell ref="G3473:G3475"/>
    <mergeCell ref="L3469:L3472"/>
    <mergeCell ref="M3469:N3470"/>
    <mergeCell ref="O3469:Z3469"/>
    <mergeCell ref="AA3469:AA3470"/>
    <mergeCell ref="J3470:J3472"/>
    <mergeCell ref="K3470:K3472"/>
    <mergeCell ref="M3471:N3471"/>
    <mergeCell ref="M3472:N3472"/>
    <mergeCell ref="M3467:N3467"/>
    <mergeCell ref="B3469:B3472"/>
    <mergeCell ref="C3469:C3472"/>
    <mergeCell ref="D3469:D3472"/>
    <mergeCell ref="E3469:E3472"/>
    <mergeCell ref="F3469:F3472"/>
    <mergeCell ref="G3469:G3472"/>
    <mergeCell ref="H3469:H3472"/>
    <mergeCell ref="I3469:I3472"/>
    <mergeCell ref="J3469:K3469"/>
    <mergeCell ref="M3461:N3461"/>
    <mergeCell ref="M3462:N3462"/>
    <mergeCell ref="M3463:N3463"/>
    <mergeCell ref="M3464:N3464"/>
    <mergeCell ref="M3465:N3465"/>
    <mergeCell ref="M3466:N3466"/>
    <mergeCell ref="M3455:N3455"/>
    <mergeCell ref="M3456:N3456"/>
    <mergeCell ref="M3457:N3457"/>
    <mergeCell ref="M3458:N3458"/>
    <mergeCell ref="M3459:N3459"/>
    <mergeCell ref="M3460:N3460"/>
    <mergeCell ref="G3449:G3467"/>
    <mergeCell ref="H3449:H3467"/>
    <mergeCell ref="I3449:I3467"/>
    <mergeCell ref="J3449:J3467"/>
    <mergeCell ref="M3449:N3449"/>
    <mergeCell ref="M3450:N3450"/>
    <mergeCell ref="M3451:N3451"/>
    <mergeCell ref="M3452:N3452"/>
    <mergeCell ref="M3453:N3453"/>
    <mergeCell ref="M3454:N3454"/>
    <mergeCell ref="AA3445:AA3446"/>
    <mergeCell ref="J3446:J3448"/>
    <mergeCell ref="K3446:K3448"/>
    <mergeCell ref="M3447:N3447"/>
    <mergeCell ref="M3448:N3448"/>
    <mergeCell ref="B3449:B3467"/>
    <mergeCell ref="C3449:C3467"/>
    <mergeCell ref="D3449:D3467"/>
    <mergeCell ref="E3449:E3467"/>
    <mergeCell ref="F3449:F3467"/>
    <mergeCell ref="H3445:H3448"/>
    <mergeCell ref="I3445:I3448"/>
    <mergeCell ref="J3445:K3445"/>
    <mergeCell ref="L3445:L3448"/>
    <mergeCell ref="M3445:N3446"/>
    <mergeCell ref="O3445:Z3445"/>
    <mergeCell ref="M3436:N3436"/>
    <mergeCell ref="B3439:B3440"/>
    <mergeCell ref="U3442:Z3442"/>
    <mergeCell ref="U3443:Z3443"/>
    <mergeCell ref="B3445:B3448"/>
    <mergeCell ref="C3445:C3448"/>
    <mergeCell ref="D3445:D3448"/>
    <mergeCell ref="E3445:E3448"/>
    <mergeCell ref="F3445:F3448"/>
    <mergeCell ref="G3445:G3448"/>
    <mergeCell ref="M3430:N3430"/>
    <mergeCell ref="M3431:N3431"/>
    <mergeCell ref="M3432:N3432"/>
    <mergeCell ref="M3433:N3433"/>
    <mergeCell ref="M3434:N3434"/>
    <mergeCell ref="M3435:N3435"/>
    <mergeCell ref="G3425:G3436"/>
    <mergeCell ref="H3425:H3436"/>
    <mergeCell ref="I3425:I3436"/>
    <mergeCell ref="J3425:J3436"/>
    <mergeCell ref="L3425:L3436"/>
    <mergeCell ref="M3425:N3425"/>
    <mergeCell ref="M3426:N3426"/>
    <mergeCell ref="M3427:N3427"/>
    <mergeCell ref="M3428:N3428"/>
    <mergeCell ref="M3429:N3429"/>
    <mergeCell ref="AA3421:AA3422"/>
    <mergeCell ref="J3422:J3424"/>
    <mergeCell ref="K3422:K3424"/>
    <mergeCell ref="M3423:N3423"/>
    <mergeCell ref="M3424:N3424"/>
    <mergeCell ref="B3425:B3436"/>
    <mergeCell ref="C3425:C3436"/>
    <mergeCell ref="D3425:D3436"/>
    <mergeCell ref="E3425:E3436"/>
    <mergeCell ref="F3425:F3436"/>
    <mergeCell ref="H3421:H3424"/>
    <mergeCell ref="I3421:I3424"/>
    <mergeCell ref="J3421:K3421"/>
    <mergeCell ref="L3421:L3424"/>
    <mergeCell ref="M3421:N3422"/>
    <mergeCell ref="O3421:Z3421"/>
    <mergeCell ref="B3421:B3424"/>
    <mergeCell ref="C3421:C3424"/>
    <mergeCell ref="D3421:D3424"/>
    <mergeCell ref="E3421:E3424"/>
    <mergeCell ref="F3421:F3424"/>
    <mergeCell ref="G3421:G3424"/>
    <mergeCell ref="M3414:N3414"/>
    <mergeCell ref="M3415:N3415"/>
    <mergeCell ref="M3416:N3416"/>
    <mergeCell ref="M3417:N3417"/>
    <mergeCell ref="M3418:N3418"/>
    <mergeCell ref="M3419:N3419"/>
    <mergeCell ref="H3408:H3419"/>
    <mergeCell ref="I3408:I3419"/>
    <mergeCell ref="J3408:J3419"/>
    <mergeCell ref="L3408:L3419"/>
    <mergeCell ref="M3408:N3408"/>
    <mergeCell ref="M3409:N3409"/>
    <mergeCell ref="M3410:N3410"/>
    <mergeCell ref="M3411:N3411"/>
    <mergeCell ref="M3412:N3412"/>
    <mergeCell ref="M3413:N3413"/>
    <mergeCell ref="B3408:B3419"/>
    <mergeCell ref="C3408:C3419"/>
    <mergeCell ref="D3408:D3419"/>
    <mergeCell ref="E3408:E3419"/>
    <mergeCell ref="F3408:F3419"/>
    <mergeCell ref="G3408:G3419"/>
    <mergeCell ref="O3404:Z3404"/>
    <mergeCell ref="AA3404:AA3405"/>
    <mergeCell ref="J3405:J3407"/>
    <mergeCell ref="K3405:K3407"/>
    <mergeCell ref="M3406:N3406"/>
    <mergeCell ref="M3407:N3407"/>
    <mergeCell ref="G3404:G3407"/>
    <mergeCell ref="H3404:H3407"/>
    <mergeCell ref="I3404:I3407"/>
    <mergeCell ref="J3404:K3404"/>
    <mergeCell ref="L3404:L3407"/>
    <mergeCell ref="M3404:N3405"/>
    <mergeCell ref="M3400:N3400"/>
    <mergeCell ref="T3402:Y3402"/>
    <mergeCell ref="Z3402:AA3402"/>
    <mergeCell ref="T3403:Y3403"/>
    <mergeCell ref="Z3403:AA3403"/>
    <mergeCell ref="B3404:B3407"/>
    <mergeCell ref="C3404:C3407"/>
    <mergeCell ref="D3404:D3407"/>
    <mergeCell ref="E3404:E3407"/>
    <mergeCell ref="F3404:F3407"/>
    <mergeCell ref="O3396:Z3396"/>
    <mergeCell ref="AA3396:AA3397"/>
    <mergeCell ref="J3397:J3399"/>
    <mergeCell ref="K3397:K3399"/>
    <mergeCell ref="M3398:N3398"/>
    <mergeCell ref="M3399:N3399"/>
    <mergeCell ref="G3396:G3399"/>
    <mergeCell ref="H3396:H3399"/>
    <mergeCell ref="I3396:I3399"/>
    <mergeCell ref="J3396:K3396"/>
    <mergeCell ref="L3396:L3399"/>
    <mergeCell ref="M3396:N3397"/>
    <mergeCell ref="M3392:N3392"/>
    <mergeCell ref="T3394:Y3394"/>
    <mergeCell ref="Z3394:AA3394"/>
    <mergeCell ref="T3395:Y3395"/>
    <mergeCell ref="Z3395:AA3395"/>
    <mergeCell ref="B3396:B3399"/>
    <mergeCell ref="C3396:C3399"/>
    <mergeCell ref="D3396:D3399"/>
    <mergeCell ref="E3396:E3399"/>
    <mergeCell ref="F3396:F3399"/>
    <mergeCell ref="M3386:N3386"/>
    <mergeCell ref="M3387:N3387"/>
    <mergeCell ref="M3388:N3388"/>
    <mergeCell ref="M3389:N3389"/>
    <mergeCell ref="M3390:N3390"/>
    <mergeCell ref="M3391:N3391"/>
    <mergeCell ref="G3381:G3392"/>
    <mergeCell ref="H3381:H3392"/>
    <mergeCell ref="I3381:I3392"/>
    <mergeCell ref="J3381:J3392"/>
    <mergeCell ref="L3381:L3392"/>
    <mergeCell ref="M3381:N3381"/>
    <mergeCell ref="M3382:N3382"/>
    <mergeCell ref="M3383:N3383"/>
    <mergeCell ref="M3384:N3384"/>
    <mergeCell ref="M3385:N3385"/>
    <mergeCell ref="AA3377:AA3378"/>
    <mergeCell ref="J3378:J3380"/>
    <mergeCell ref="K3378:K3380"/>
    <mergeCell ref="M3379:N3379"/>
    <mergeCell ref="M3380:N3380"/>
    <mergeCell ref="B3381:B3392"/>
    <mergeCell ref="C3381:C3392"/>
    <mergeCell ref="D3381:D3392"/>
    <mergeCell ref="E3381:E3392"/>
    <mergeCell ref="F3381:F3392"/>
    <mergeCell ref="H3377:H3380"/>
    <mergeCell ref="I3377:I3380"/>
    <mergeCell ref="J3377:K3377"/>
    <mergeCell ref="L3377:L3380"/>
    <mergeCell ref="M3377:N3378"/>
    <mergeCell ref="O3377:Z3377"/>
    <mergeCell ref="T3375:Y3375"/>
    <mergeCell ref="Z3375:AA3375"/>
    <mergeCell ref="T3376:Y3376"/>
    <mergeCell ref="Z3376:AA3376"/>
    <mergeCell ref="B3377:B3380"/>
    <mergeCell ref="C3377:C3380"/>
    <mergeCell ref="D3377:D3380"/>
    <mergeCell ref="E3377:E3380"/>
    <mergeCell ref="F3377:F3380"/>
    <mergeCell ref="G3377:G3380"/>
    <mergeCell ref="G3372:G3373"/>
    <mergeCell ref="H3372:H3373"/>
    <mergeCell ref="I3372:I3373"/>
    <mergeCell ref="J3372:J3373"/>
    <mergeCell ref="L3372:L3373"/>
    <mergeCell ref="M3372:N3372"/>
    <mergeCell ref="M3373:N3373"/>
    <mergeCell ref="AA3368:AA3369"/>
    <mergeCell ref="J3369:J3371"/>
    <mergeCell ref="K3369:K3371"/>
    <mergeCell ref="M3370:N3370"/>
    <mergeCell ref="M3371:N3371"/>
    <mergeCell ref="B3372:B3373"/>
    <mergeCell ref="C3372:C3373"/>
    <mergeCell ref="D3372:D3373"/>
    <mergeCell ref="E3372:E3373"/>
    <mergeCell ref="F3372:F3373"/>
    <mergeCell ref="H3368:H3371"/>
    <mergeCell ref="I3368:I3371"/>
    <mergeCell ref="J3368:K3368"/>
    <mergeCell ref="L3368:L3371"/>
    <mergeCell ref="M3368:N3369"/>
    <mergeCell ref="O3368:Z3368"/>
    <mergeCell ref="T3366:Y3366"/>
    <mergeCell ref="Z3366:AA3366"/>
    <mergeCell ref="T3367:Y3367"/>
    <mergeCell ref="Z3367:AA3367"/>
    <mergeCell ref="B3368:B3371"/>
    <mergeCell ref="C3368:C3371"/>
    <mergeCell ref="D3368:D3371"/>
    <mergeCell ref="E3368:E3371"/>
    <mergeCell ref="F3368:F3371"/>
    <mergeCell ref="G3368:G3371"/>
    <mergeCell ref="G3361:G3364"/>
    <mergeCell ref="H3361:H3364"/>
    <mergeCell ref="I3361:I3364"/>
    <mergeCell ref="J3361:J3364"/>
    <mergeCell ref="L3361:L3364"/>
    <mergeCell ref="M3361:N3361"/>
    <mergeCell ref="M3362:N3362"/>
    <mergeCell ref="M3363:N3363"/>
    <mergeCell ref="M3364:N3364"/>
    <mergeCell ref="AA3357:AA3358"/>
    <mergeCell ref="J3358:J3360"/>
    <mergeCell ref="K3358:K3360"/>
    <mergeCell ref="M3359:N3359"/>
    <mergeCell ref="M3360:N3360"/>
    <mergeCell ref="B3361:B3364"/>
    <mergeCell ref="C3361:C3364"/>
    <mergeCell ref="D3361:D3364"/>
    <mergeCell ref="E3361:E3364"/>
    <mergeCell ref="F3361:F3364"/>
    <mergeCell ref="H3357:H3360"/>
    <mergeCell ref="I3357:I3360"/>
    <mergeCell ref="J3357:K3357"/>
    <mergeCell ref="L3357:L3360"/>
    <mergeCell ref="M3357:N3358"/>
    <mergeCell ref="O3357:Z3357"/>
    <mergeCell ref="B3357:B3360"/>
    <mergeCell ref="C3357:C3360"/>
    <mergeCell ref="D3357:D3360"/>
    <mergeCell ref="E3357:E3360"/>
    <mergeCell ref="F3357:F3360"/>
    <mergeCell ref="G3357:G3360"/>
    <mergeCell ref="T3354:Y3354"/>
    <mergeCell ref="Z3354:AA3354"/>
    <mergeCell ref="T3355:Y3355"/>
    <mergeCell ref="Z3355:AA3355"/>
    <mergeCell ref="T3356:Y3356"/>
    <mergeCell ref="Z3356:AA3356"/>
    <mergeCell ref="H3347:H3352"/>
    <mergeCell ref="I3347:I3352"/>
    <mergeCell ref="J3347:J3352"/>
    <mergeCell ref="L3347:L3352"/>
    <mergeCell ref="M3347:N3347"/>
    <mergeCell ref="M3348:N3348"/>
    <mergeCell ref="M3349:N3349"/>
    <mergeCell ref="M3350:N3350"/>
    <mergeCell ref="M3351:N3351"/>
    <mergeCell ref="M3352:N3352"/>
    <mergeCell ref="B3347:B3352"/>
    <mergeCell ref="C3347:C3352"/>
    <mergeCell ref="D3347:D3352"/>
    <mergeCell ref="E3347:E3352"/>
    <mergeCell ref="F3347:F3352"/>
    <mergeCell ref="G3347:G3352"/>
    <mergeCell ref="J3343:K3343"/>
    <mergeCell ref="L3343:L3346"/>
    <mergeCell ref="M3343:N3344"/>
    <mergeCell ref="O3343:Z3343"/>
    <mergeCell ref="AA3343:AA3344"/>
    <mergeCell ref="J3344:J3346"/>
    <mergeCell ref="K3344:K3346"/>
    <mergeCell ref="M3345:N3345"/>
    <mergeCell ref="M3346:N3346"/>
    <mergeCell ref="T3342:Y3342"/>
    <mergeCell ref="Z3342:AA3342"/>
    <mergeCell ref="B3343:B3346"/>
    <mergeCell ref="C3343:C3346"/>
    <mergeCell ref="D3343:D3346"/>
    <mergeCell ref="E3343:E3346"/>
    <mergeCell ref="F3343:F3346"/>
    <mergeCell ref="G3343:G3346"/>
    <mergeCell ref="H3343:H3346"/>
    <mergeCell ref="I3343:I3346"/>
    <mergeCell ref="M3334:N3334"/>
    <mergeCell ref="B3337:B3338"/>
    <mergeCell ref="T3340:Y3340"/>
    <mergeCell ref="Z3340:AA3340"/>
    <mergeCell ref="T3341:Y3341"/>
    <mergeCell ref="Z3341:AA3341"/>
    <mergeCell ref="M3328:N3328"/>
    <mergeCell ref="M3329:N3329"/>
    <mergeCell ref="M3330:N3330"/>
    <mergeCell ref="M3331:N3331"/>
    <mergeCell ref="M3332:N3332"/>
    <mergeCell ref="M3333:N3333"/>
    <mergeCell ref="G3323:G3334"/>
    <mergeCell ref="H3323:H3334"/>
    <mergeCell ref="I3323:I3334"/>
    <mergeCell ref="J3323:J3334"/>
    <mergeCell ref="L3323:L3334"/>
    <mergeCell ref="M3323:N3323"/>
    <mergeCell ref="M3324:N3324"/>
    <mergeCell ref="M3325:N3325"/>
    <mergeCell ref="M3326:N3326"/>
    <mergeCell ref="M3327:N3327"/>
    <mergeCell ref="AA3319:AA3320"/>
    <mergeCell ref="J3320:J3322"/>
    <mergeCell ref="K3320:K3322"/>
    <mergeCell ref="M3321:N3321"/>
    <mergeCell ref="M3322:N3322"/>
    <mergeCell ref="B3323:B3334"/>
    <mergeCell ref="C3323:C3334"/>
    <mergeCell ref="D3323:D3334"/>
    <mergeCell ref="E3323:E3334"/>
    <mergeCell ref="F3323:F3334"/>
    <mergeCell ref="H3319:H3322"/>
    <mergeCell ref="I3319:I3322"/>
    <mergeCell ref="J3319:K3319"/>
    <mergeCell ref="L3319:L3322"/>
    <mergeCell ref="M3319:N3320"/>
    <mergeCell ref="O3319:Z3319"/>
    <mergeCell ref="B3319:B3322"/>
    <mergeCell ref="C3319:C3322"/>
    <mergeCell ref="D3319:D3322"/>
    <mergeCell ref="E3319:E3322"/>
    <mergeCell ref="F3319:F3322"/>
    <mergeCell ref="G3319:G3322"/>
    <mergeCell ref="M3312:N3312"/>
    <mergeCell ref="M3313:N3313"/>
    <mergeCell ref="M3314:N3314"/>
    <mergeCell ref="M3315:N3315"/>
    <mergeCell ref="M3316:N3316"/>
    <mergeCell ref="M3317:N3317"/>
    <mergeCell ref="H3306:H3317"/>
    <mergeCell ref="I3306:I3317"/>
    <mergeCell ref="J3306:J3317"/>
    <mergeCell ref="L3306:L3317"/>
    <mergeCell ref="M3306:N3306"/>
    <mergeCell ref="M3307:N3307"/>
    <mergeCell ref="M3308:N3308"/>
    <mergeCell ref="M3309:N3309"/>
    <mergeCell ref="M3310:N3310"/>
    <mergeCell ref="M3311:N3311"/>
    <mergeCell ref="B3306:B3317"/>
    <mergeCell ref="C3306:C3317"/>
    <mergeCell ref="D3306:D3317"/>
    <mergeCell ref="E3306:E3317"/>
    <mergeCell ref="F3306:F3317"/>
    <mergeCell ref="G3306:G3317"/>
    <mergeCell ref="O3302:Z3302"/>
    <mergeCell ref="AA3302:AA3303"/>
    <mergeCell ref="J3303:J3305"/>
    <mergeCell ref="K3303:K3305"/>
    <mergeCell ref="M3304:N3304"/>
    <mergeCell ref="M3305:N3305"/>
    <mergeCell ref="G3302:G3305"/>
    <mergeCell ref="H3302:H3305"/>
    <mergeCell ref="I3302:I3305"/>
    <mergeCell ref="J3302:K3302"/>
    <mergeCell ref="L3302:L3305"/>
    <mergeCell ref="M3302:N3303"/>
    <mergeCell ref="M3298:N3298"/>
    <mergeCell ref="T3300:Y3300"/>
    <mergeCell ref="Z3300:AA3300"/>
    <mergeCell ref="T3301:Y3301"/>
    <mergeCell ref="Z3301:AA3301"/>
    <mergeCell ref="B3302:B3305"/>
    <mergeCell ref="C3302:C3305"/>
    <mergeCell ref="D3302:D3305"/>
    <mergeCell ref="E3302:E3305"/>
    <mergeCell ref="F3302:F3305"/>
    <mergeCell ref="O3294:Z3294"/>
    <mergeCell ref="AA3294:AA3295"/>
    <mergeCell ref="J3295:J3297"/>
    <mergeCell ref="K3295:K3297"/>
    <mergeCell ref="M3296:N3296"/>
    <mergeCell ref="M3297:N3297"/>
    <mergeCell ref="G3294:G3297"/>
    <mergeCell ref="H3294:H3297"/>
    <mergeCell ref="I3294:I3297"/>
    <mergeCell ref="J3294:K3294"/>
    <mergeCell ref="L3294:L3297"/>
    <mergeCell ref="M3294:N3295"/>
    <mergeCell ref="M3290:N3290"/>
    <mergeCell ref="T3292:Y3292"/>
    <mergeCell ref="Z3292:AA3292"/>
    <mergeCell ref="T3293:Y3293"/>
    <mergeCell ref="Z3293:AA3293"/>
    <mergeCell ref="B3294:B3297"/>
    <mergeCell ref="C3294:C3297"/>
    <mergeCell ref="D3294:D3297"/>
    <mergeCell ref="E3294:E3297"/>
    <mergeCell ref="F3294:F3297"/>
    <mergeCell ref="M3284:N3284"/>
    <mergeCell ref="M3285:N3285"/>
    <mergeCell ref="M3286:N3286"/>
    <mergeCell ref="M3287:N3287"/>
    <mergeCell ref="M3288:N3288"/>
    <mergeCell ref="M3289:N3289"/>
    <mergeCell ref="G3279:G3290"/>
    <mergeCell ref="H3279:H3290"/>
    <mergeCell ref="I3279:I3290"/>
    <mergeCell ref="J3279:J3290"/>
    <mergeCell ref="L3279:L3290"/>
    <mergeCell ref="M3279:N3279"/>
    <mergeCell ref="M3280:N3280"/>
    <mergeCell ref="M3281:N3281"/>
    <mergeCell ref="M3282:N3282"/>
    <mergeCell ref="M3283:N3283"/>
    <mergeCell ref="AA3275:AA3276"/>
    <mergeCell ref="J3276:J3278"/>
    <mergeCell ref="K3276:K3278"/>
    <mergeCell ref="M3277:N3277"/>
    <mergeCell ref="M3278:N3278"/>
    <mergeCell ref="B3279:B3290"/>
    <mergeCell ref="C3279:C3290"/>
    <mergeCell ref="D3279:D3290"/>
    <mergeCell ref="E3279:E3290"/>
    <mergeCell ref="F3279:F3290"/>
    <mergeCell ref="H3275:H3278"/>
    <mergeCell ref="I3275:I3278"/>
    <mergeCell ref="J3275:K3275"/>
    <mergeCell ref="L3275:L3278"/>
    <mergeCell ref="M3275:N3276"/>
    <mergeCell ref="O3275:Z3275"/>
    <mergeCell ref="T3273:Y3273"/>
    <mergeCell ref="Z3273:AA3273"/>
    <mergeCell ref="T3274:Y3274"/>
    <mergeCell ref="Z3274:AA3274"/>
    <mergeCell ref="B3275:B3278"/>
    <mergeCell ref="C3275:C3278"/>
    <mergeCell ref="D3275:D3278"/>
    <mergeCell ref="E3275:E3278"/>
    <mergeCell ref="F3275:F3278"/>
    <mergeCell ref="G3275:G3278"/>
    <mergeCell ref="G3270:G3271"/>
    <mergeCell ref="H3270:H3271"/>
    <mergeCell ref="I3270:I3271"/>
    <mergeCell ref="J3270:J3271"/>
    <mergeCell ref="L3270:L3271"/>
    <mergeCell ref="M3270:N3270"/>
    <mergeCell ref="M3271:N3271"/>
    <mergeCell ref="AA3266:AA3267"/>
    <mergeCell ref="J3267:J3269"/>
    <mergeCell ref="K3267:K3269"/>
    <mergeCell ref="M3268:N3268"/>
    <mergeCell ref="M3269:N3269"/>
    <mergeCell ref="B3270:B3271"/>
    <mergeCell ref="C3270:C3271"/>
    <mergeCell ref="D3270:D3271"/>
    <mergeCell ref="E3270:E3271"/>
    <mergeCell ref="F3270:F3271"/>
    <mergeCell ref="H3266:H3269"/>
    <mergeCell ref="I3266:I3269"/>
    <mergeCell ref="J3266:K3266"/>
    <mergeCell ref="L3266:L3269"/>
    <mergeCell ref="M3266:N3267"/>
    <mergeCell ref="O3266:Z3266"/>
    <mergeCell ref="T3264:Y3264"/>
    <mergeCell ref="Z3264:AA3264"/>
    <mergeCell ref="T3265:Y3265"/>
    <mergeCell ref="Z3265:AA3265"/>
    <mergeCell ref="B3266:B3269"/>
    <mergeCell ref="C3266:C3269"/>
    <mergeCell ref="D3266:D3269"/>
    <mergeCell ref="E3266:E3269"/>
    <mergeCell ref="F3266:F3269"/>
    <mergeCell ref="G3266:G3269"/>
    <mergeCell ref="G3259:G3262"/>
    <mergeCell ref="H3259:H3262"/>
    <mergeCell ref="I3259:I3262"/>
    <mergeCell ref="J3259:J3262"/>
    <mergeCell ref="L3259:L3262"/>
    <mergeCell ref="M3259:N3259"/>
    <mergeCell ref="M3260:N3260"/>
    <mergeCell ref="M3261:N3261"/>
    <mergeCell ref="M3262:N3262"/>
    <mergeCell ref="AA3255:AA3256"/>
    <mergeCell ref="J3256:J3258"/>
    <mergeCell ref="K3256:K3258"/>
    <mergeCell ref="M3257:N3257"/>
    <mergeCell ref="M3258:N3258"/>
    <mergeCell ref="B3259:B3262"/>
    <mergeCell ref="C3259:C3262"/>
    <mergeCell ref="D3259:D3262"/>
    <mergeCell ref="E3259:E3262"/>
    <mergeCell ref="F3259:F3262"/>
    <mergeCell ref="H3255:H3258"/>
    <mergeCell ref="I3255:I3258"/>
    <mergeCell ref="J3255:K3255"/>
    <mergeCell ref="L3255:L3258"/>
    <mergeCell ref="M3255:N3256"/>
    <mergeCell ref="O3255:Z3255"/>
    <mergeCell ref="B3255:B3258"/>
    <mergeCell ref="C3255:C3258"/>
    <mergeCell ref="D3255:D3258"/>
    <mergeCell ref="E3255:E3258"/>
    <mergeCell ref="F3255:F3258"/>
    <mergeCell ref="G3255:G3258"/>
    <mergeCell ref="T3252:Y3252"/>
    <mergeCell ref="Z3252:AA3252"/>
    <mergeCell ref="T3253:Y3253"/>
    <mergeCell ref="Z3253:AA3253"/>
    <mergeCell ref="T3254:Y3254"/>
    <mergeCell ref="Z3254:AA3254"/>
    <mergeCell ref="H3245:H3250"/>
    <mergeCell ref="I3245:I3250"/>
    <mergeCell ref="J3245:J3250"/>
    <mergeCell ref="L3245:L3250"/>
    <mergeCell ref="M3245:N3245"/>
    <mergeCell ref="M3246:N3246"/>
    <mergeCell ref="M3247:N3247"/>
    <mergeCell ref="M3248:N3248"/>
    <mergeCell ref="M3249:N3249"/>
    <mergeCell ref="M3250:N3250"/>
    <mergeCell ref="B3245:B3250"/>
    <mergeCell ref="C3245:C3250"/>
    <mergeCell ref="D3245:D3250"/>
    <mergeCell ref="E3245:E3250"/>
    <mergeCell ref="F3245:F3250"/>
    <mergeCell ref="G3245:G3250"/>
    <mergeCell ref="J3241:K3241"/>
    <mergeCell ref="L3241:L3244"/>
    <mergeCell ref="M3241:N3242"/>
    <mergeCell ref="O3241:Z3241"/>
    <mergeCell ref="AA3241:AA3242"/>
    <mergeCell ref="J3242:J3244"/>
    <mergeCell ref="K3242:K3244"/>
    <mergeCell ref="M3243:N3243"/>
    <mergeCell ref="M3244:N3244"/>
    <mergeCell ref="T3240:Y3240"/>
    <mergeCell ref="Z3240:AA3240"/>
    <mergeCell ref="B3241:B3244"/>
    <mergeCell ref="C3241:C3244"/>
    <mergeCell ref="D3241:D3244"/>
    <mergeCell ref="E3241:E3244"/>
    <mergeCell ref="F3241:F3244"/>
    <mergeCell ref="G3241:G3244"/>
    <mergeCell ref="H3241:H3244"/>
    <mergeCell ref="I3241:I3244"/>
    <mergeCell ref="M3231:N3231"/>
    <mergeCell ref="M3232:N3232"/>
    <mergeCell ref="B3235:B3236"/>
    <mergeCell ref="T3238:Y3238"/>
    <mergeCell ref="Z3238:AA3238"/>
    <mergeCell ref="T3239:Y3239"/>
    <mergeCell ref="Z3239:AA3239"/>
    <mergeCell ref="G3225:G3232"/>
    <mergeCell ref="H3225:H3232"/>
    <mergeCell ref="I3225:I3232"/>
    <mergeCell ref="J3225:J3232"/>
    <mergeCell ref="M3225:N3225"/>
    <mergeCell ref="M3226:N3226"/>
    <mergeCell ref="M3227:N3227"/>
    <mergeCell ref="M3228:N3228"/>
    <mergeCell ref="M3229:N3229"/>
    <mergeCell ref="M3230:N3230"/>
    <mergeCell ref="AA3221:AA3222"/>
    <mergeCell ref="J3222:J3224"/>
    <mergeCell ref="K3222:K3224"/>
    <mergeCell ref="M3223:N3223"/>
    <mergeCell ref="M3224:N3224"/>
    <mergeCell ref="B3225:B3232"/>
    <mergeCell ref="C3225:C3232"/>
    <mergeCell ref="D3225:D3232"/>
    <mergeCell ref="E3225:E3232"/>
    <mergeCell ref="F3225:F3232"/>
    <mergeCell ref="H3221:H3224"/>
    <mergeCell ref="I3221:I3224"/>
    <mergeCell ref="J3221:K3221"/>
    <mergeCell ref="L3221:L3224"/>
    <mergeCell ref="M3221:N3222"/>
    <mergeCell ref="O3221:Z3221"/>
    <mergeCell ref="B3221:B3224"/>
    <mergeCell ref="C3221:C3224"/>
    <mergeCell ref="D3221:D3224"/>
    <mergeCell ref="E3221:E3224"/>
    <mergeCell ref="F3221:F3224"/>
    <mergeCell ref="G3221:G3224"/>
    <mergeCell ref="AA3215:AA3216"/>
    <mergeCell ref="J3216:J3218"/>
    <mergeCell ref="K3216:K3218"/>
    <mergeCell ref="M3217:N3217"/>
    <mergeCell ref="M3218:N3218"/>
    <mergeCell ref="M3219:N3219"/>
    <mergeCell ref="H3215:H3218"/>
    <mergeCell ref="I3215:I3218"/>
    <mergeCell ref="J3215:K3215"/>
    <mergeCell ref="L3215:L3218"/>
    <mergeCell ref="M3215:N3216"/>
    <mergeCell ref="O3215:Z3215"/>
    <mergeCell ref="T3213:Y3213"/>
    <mergeCell ref="Z3213:AA3213"/>
    <mergeCell ref="T3214:Y3214"/>
    <mergeCell ref="Z3214:AA3214"/>
    <mergeCell ref="B3215:B3218"/>
    <mergeCell ref="C3215:C3218"/>
    <mergeCell ref="D3215:D3218"/>
    <mergeCell ref="E3215:E3218"/>
    <mergeCell ref="F3215:F3218"/>
    <mergeCell ref="G3215:G3218"/>
    <mergeCell ref="M3206:N3206"/>
    <mergeCell ref="M3207:N3207"/>
    <mergeCell ref="M3208:N3208"/>
    <mergeCell ref="M3209:N3209"/>
    <mergeCell ref="M3210:N3210"/>
    <mergeCell ref="M3211:N3211"/>
    <mergeCell ref="H3199:H3211"/>
    <mergeCell ref="I3199:I3211"/>
    <mergeCell ref="J3199:J3211"/>
    <mergeCell ref="M3199:N3199"/>
    <mergeCell ref="M3200:N3200"/>
    <mergeCell ref="M3201:N3201"/>
    <mergeCell ref="M3202:N3202"/>
    <mergeCell ref="M3203:N3203"/>
    <mergeCell ref="M3204:N3204"/>
    <mergeCell ref="M3205:N3205"/>
    <mergeCell ref="B3199:B3211"/>
    <mergeCell ref="C3199:C3211"/>
    <mergeCell ref="D3199:D3211"/>
    <mergeCell ref="E3199:E3211"/>
    <mergeCell ref="F3199:F3211"/>
    <mergeCell ref="G3199:G3211"/>
    <mergeCell ref="J3195:K3195"/>
    <mergeCell ref="L3195:L3198"/>
    <mergeCell ref="M3195:N3196"/>
    <mergeCell ref="O3195:Z3195"/>
    <mergeCell ref="AA3195:AA3196"/>
    <mergeCell ref="J3196:J3198"/>
    <mergeCell ref="K3196:K3198"/>
    <mergeCell ref="M3197:N3197"/>
    <mergeCell ref="M3198:N3198"/>
    <mergeCell ref="T3194:Y3194"/>
    <mergeCell ref="Z3194:AA3194"/>
    <mergeCell ref="B3195:B3198"/>
    <mergeCell ref="C3195:C3198"/>
    <mergeCell ref="D3195:D3198"/>
    <mergeCell ref="E3195:E3198"/>
    <mergeCell ref="F3195:F3198"/>
    <mergeCell ref="G3195:G3198"/>
    <mergeCell ref="H3195:H3198"/>
    <mergeCell ref="I3195:I3198"/>
    <mergeCell ref="M3188:N3188"/>
    <mergeCell ref="M3189:N3189"/>
    <mergeCell ref="M3190:N3190"/>
    <mergeCell ref="M3191:N3191"/>
    <mergeCell ref="T3193:Y3193"/>
    <mergeCell ref="Z3193:AA3193"/>
    <mergeCell ref="M3182:N3182"/>
    <mergeCell ref="M3183:N3183"/>
    <mergeCell ref="M3184:N3184"/>
    <mergeCell ref="M3185:N3185"/>
    <mergeCell ref="M3186:N3186"/>
    <mergeCell ref="M3187:N3187"/>
    <mergeCell ref="G3176:G3191"/>
    <mergeCell ref="H3176:H3191"/>
    <mergeCell ref="I3176:I3191"/>
    <mergeCell ref="J3176:J3191"/>
    <mergeCell ref="M3176:N3176"/>
    <mergeCell ref="M3177:N3177"/>
    <mergeCell ref="M3178:N3178"/>
    <mergeCell ref="M3179:N3179"/>
    <mergeCell ref="M3180:N3180"/>
    <mergeCell ref="M3181:N3181"/>
    <mergeCell ref="AA3172:AA3173"/>
    <mergeCell ref="J3173:J3175"/>
    <mergeCell ref="K3173:K3175"/>
    <mergeCell ref="M3174:N3174"/>
    <mergeCell ref="M3175:N3175"/>
    <mergeCell ref="B3176:B3191"/>
    <mergeCell ref="C3176:C3191"/>
    <mergeCell ref="D3176:D3191"/>
    <mergeCell ref="E3176:E3191"/>
    <mergeCell ref="F3176:F3191"/>
    <mergeCell ref="H3172:H3175"/>
    <mergeCell ref="I3172:I3175"/>
    <mergeCell ref="J3172:K3172"/>
    <mergeCell ref="L3172:L3175"/>
    <mergeCell ref="M3172:N3173"/>
    <mergeCell ref="O3172:Z3172"/>
    <mergeCell ref="T3170:Y3170"/>
    <mergeCell ref="Z3170:AA3170"/>
    <mergeCell ref="T3171:Y3171"/>
    <mergeCell ref="Z3171:AA3171"/>
    <mergeCell ref="B3172:B3175"/>
    <mergeCell ref="C3172:C3175"/>
    <mergeCell ref="D3172:D3175"/>
    <mergeCell ref="E3172:E3175"/>
    <mergeCell ref="F3172:F3175"/>
    <mergeCell ref="G3172:G3175"/>
    <mergeCell ref="G3163:G3168"/>
    <mergeCell ref="H3163:H3168"/>
    <mergeCell ref="I3163:I3168"/>
    <mergeCell ref="J3163:J3168"/>
    <mergeCell ref="M3163:N3163"/>
    <mergeCell ref="M3164:N3164"/>
    <mergeCell ref="M3165:N3165"/>
    <mergeCell ref="M3166:N3166"/>
    <mergeCell ref="M3167:N3167"/>
    <mergeCell ref="M3168:N3168"/>
    <mergeCell ref="AA3159:AA3160"/>
    <mergeCell ref="J3160:J3162"/>
    <mergeCell ref="K3160:K3162"/>
    <mergeCell ref="M3161:N3161"/>
    <mergeCell ref="M3162:N3162"/>
    <mergeCell ref="B3163:B3168"/>
    <mergeCell ref="C3163:C3168"/>
    <mergeCell ref="D3163:D3168"/>
    <mergeCell ref="E3163:E3168"/>
    <mergeCell ref="F3163:F3168"/>
    <mergeCell ref="H3159:H3162"/>
    <mergeCell ref="I3159:I3162"/>
    <mergeCell ref="J3159:K3159"/>
    <mergeCell ref="L3159:L3162"/>
    <mergeCell ref="M3159:N3160"/>
    <mergeCell ref="O3159:Z3159"/>
    <mergeCell ref="B3159:B3162"/>
    <mergeCell ref="C3159:C3162"/>
    <mergeCell ref="D3159:D3162"/>
    <mergeCell ref="E3159:E3162"/>
    <mergeCell ref="F3159:F3162"/>
    <mergeCell ref="G3159:G3162"/>
    <mergeCell ref="M3153:N3153"/>
    <mergeCell ref="M3154:N3154"/>
    <mergeCell ref="M3155:N3155"/>
    <mergeCell ref="T3157:Y3157"/>
    <mergeCell ref="Z3157:AA3157"/>
    <mergeCell ref="T3158:Y3158"/>
    <mergeCell ref="Z3158:AA3158"/>
    <mergeCell ref="M3147:N3147"/>
    <mergeCell ref="M3148:N3148"/>
    <mergeCell ref="M3149:N3149"/>
    <mergeCell ref="M3150:N3150"/>
    <mergeCell ref="M3151:N3151"/>
    <mergeCell ref="M3152:N3152"/>
    <mergeCell ref="M3141:N3141"/>
    <mergeCell ref="M3142:N3142"/>
    <mergeCell ref="M3143:N3143"/>
    <mergeCell ref="M3144:N3144"/>
    <mergeCell ref="M3145:N3145"/>
    <mergeCell ref="M3146:N3146"/>
    <mergeCell ref="M3135:N3135"/>
    <mergeCell ref="M3136:N3136"/>
    <mergeCell ref="M3137:N3137"/>
    <mergeCell ref="M3138:N3138"/>
    <mergeCell ref="M3139:N3139"/>
    <mergeCell ref="M3140:N3140"/>
    <mergeCell ref="H3128:H3155"/>
    <mergeCell ref="I3128:I3155"/>
    <mergeCell ref="J3128:J3154"/>
    <mergeCell ref="M3128:N3128"/>
    <mergeCell ref="M3129:N3129"/>
    <mergeCell ref="M3130:N3130"/>
    <mergeCell ref="M3131:N3131"/>
    <mergeCell ref="M3132:N3132"/>
    <mergeCell ref="M3133:N3133"/>
    <mergeCell ref="M3134:N3134"/>
    <mergeCell ref="B3128:B3155"/>
    <mergeCell ref="C3128:C3155"/>
    <mergeCell ref="D3128:D3155"/>
    <mergeCell ref="E3128:E3155"/>
    <mergeCell ref="F3128:F3155"/>
    <mergeCell ref="G3128:G3155"/>
    <mergeCell ref="J3124:K3124"/>
    <mergeCell ref="L3124:L3127"/>
    <mergeCell ref="M3124:N3125"/>
    <mergeCell ref="O3124:Z3124"/>
    <mergeCell ref="AA3124:AA3125"/>
    <mergeCell ref="J3125:J3127"/>
    <mergeCell ref="K3125:K3127"/>
    <mergeCell ref="M3126:N3126"/>
    <mergeCell ref="M3127:N3127"/>
    <mergeCell ref="M3121:N3121"/>
    <mergeCell ref="M3122:N3122"/>
    <mergeCell ref="B3124:B3127"/>
    <mergeCell ref="C3124:C3127"/>
    <mergeCell ref="D3124:D3127"/>
    <mergeCell ref="E3124:E3127"/>
    <mergeCell ref="F3124:F3127"/>
    <mergeCell ref="G3124:G3127"/>
    <mergeCell ref="H3124:H3127"/>
    <mergeCell ref="I3124:I3127"/>
    <mergeCell ref="M3115:N3115"/>
    <mergeCell ref="M3116:N3116"/>
    <mergeCell ref="M3117:N3117"/>
    <mergeCell ref="M3118:N3118"/>
    <mergeCell ref="M3119:N3119"/>
    <mergeCell ref="M3120:N3120"/>
    <mergeCell ref="H3108:H3122"/>
    <mergeCell ref="I3108:I3122"/>
    <mergeCell ref="J3108:J3122"/>
    <mergeCell ref="M3108:N3108"/>
    <mergeCell ref="M3109:N3109"/>
    <mergeCell ref="M3110:N3110"/>
    <mergeCell ref="M3111:N3111"/>
    <mergeCell ref="M3112:N3112"/>
    <mergeCell ref="M3113:N3113"/>
    <mergeCell ref="M3114:N3114"/>
    <mergeCell ref="B3108:B3122"/>
    <mergeCell ref="C3108:C3122"/>
    <mergeCell ref="D3108:D3122"/>
    <mergeCell ref="E3108:E3122"/>
    <mergeCell ref="F3108:F3122"/>
    <mergeCell ref="G3108:G3122"/>
    <mergeCell ref="O3104:Z3104"/>
    <mergeCell ref="AA3104:AA3105"/>
    <mergeCell ref="J3105:J3107"/>
    <mergeCell ref="K3105:K3107"/>
    <mergeCell ref="M3106:N3106"/>
    <mergeCell ref="M3107:N3107"/>
    <mergeCell ref="G3104:G3107"/>
    <mergeCell ref="H3104:H3107"/>
    <mergeCell ref="I3104:I3107"/>
    <mergeCell ref="J3104:K3104"/>
    <mergeCell ref="L3104:L3107"/>
    <mergeCell ref="M3104:N3105"/>
    <mergeCell ref="M3097:N3097"/>
    <mergeCell ref="M3098:N3098"/>
    <mergeCell ref="M3099:N3099"/>
    <mergeCell ref="M3100:N3100"/>
    <mergeCell ref="M3101:N3101"/>
    <mergeCell ref="B3104:B3107"/>
    <mergeCell ref="C3104:C3107"/>
    <mergeCell ref="D3104:D3107"/>
    <mergeCell ref="E3104:E3107"/>
    <mergeCell ref="F3104:F3107"/>
    <mergeCell ref="M3091:N3091"/>
    <mergeCell ref="M3092:N3092"/>
    <mergeCell ref="M3093:N3093"/>
    <mergeCell ref="M3094:N3094"/>
    <mergeCell ref="M3095:N3095"/>
    <mergeCell ref="M3096:N3096"/>
    <mergeCell ref="G3085:G3101"/>
    <mergeCell ref="H3085:H3101"/>
    <mergeCell ref="I3085:I3101"/>
    <mergeCell ref="J3085:J3101"/>
    <mergeCell ref="M3085:N3085"/>
    <mergeCell ref="M3086:N3086"/>
    <mergeCell ref="M3087:N3087"/>
    <mergeCell ref="M3088:N3088"/>
    <mergeCell ref="M3089:N3089"/>
    <mergeCell ref="M3090:N3090"/>
    <mergeCell ref="AA3081:AA3082"/>
    <mergeCell ref="J3082:J3084"/>
    <mergeCell ref="K3082:K3084"/>
    <mergeCell ref="M3083:N3083"/>
    <mergeCell ref="M3084:N3084"/>
    <mergeCell ref="B3085:B3101"/>
    <mergeCell ref="C3085:C3101"/>
    <mergeCell ref="D3085:D3101"/>
    <mergeCell ref="E3085:E3101"/>
    <mergeCell ref="F3085:F3101"/>
    <mergeCell ref="H3081:H3084"/>
    <mergeCell ref="I3081:I3084"/>
    <mergeCell ref="J3081:K3081"/>
    <mergeCell ref="L3081:L3084"/>
    <mergeCell ref="M3081:N3082"/>
    <mergeCell ref="O3081:Z3081"/>
    <mergeCell ref="M3075:N3075"/>
    <mergeCell ref="M3076:N3076"/>
    <mergeCell ref="M3077:N3077"/>
    <mergeCell ref="M3078:N3078"/>
    <mergeCell ref="B3081:B3084"/>
    <mergeCell ref="C3081:C3084"/>
    <mergeCell ref="D3081:D3084"/>
    <mergeCell ref="E3081:E3084"/>
    <mergeCell ref="F3081:F3084"/>
    <mergeCell ref="G3081:G3084"/>
    <mergeCell ref="G3069:G3078"/>
    <mergeCell ref="H3069:H3078"/>
    <mergeCell ref="I3069:I3078"/>
    <mergeCell ref="J3069:J3078"/>
    <mergeCell ref="M3069:N3069"/>
    <mergeCell ref="M3070:N3070"/>
    <mergeCell ref="M3071:N3071"/>
    <mergeCell ref="M3072:N3072"/>
    <mergeCell ref="M3073:N3073"/>
    <mergeCell ref="M3074:N3074"/>
    <mergeCell ref="AA3065:AA3066"/>
    <mergeCell ref="J3066:J3068"/>
    <mergeCell ref="K3066:K3068"/>
    <mergeCell ref="M3067:N3067"/>
    <mergeCell ref="M3068:N3068"/>
    <mergeCell ref="B3069:B3078"/>
    <mergeCell ref="C3069:C3078"/>
    <mergeCell ref="D3069:D3078"/>
    <mergeCell ref="E3069:E3078"/>
    <mergeCell ref="F3069:F3078"/>
    <mergeCell ref="H3065:H3068"/>
    <mergeCell ref="I3065:I3068"/>
    <mergeCell ref="J3065:K3065"/>
    <mergeCell ref="L3065:L3068"/>
    <mergeCell ref="M3065:N3066"/>
    <mergeCell ref="O3065:Z3065"/>
    <mergeCell ref="T3063:Y3063"/>
    <mergeCell ref="Z3063:AA3063"/>
    <mergeCell ref="T3064:Y3064"/>
    <mergeCell ref="Z3064:AA3064"/>
    <mergeCell ref="B3065:B3068"/>
    <mergeCell ref="C3065:C3068"/>
    <mergeCell ref="D3065:D3068"/>
    <mergeCell ref="E3065:E3068"/>
    <mergeCell ref="F3065:F3068"/>
    <mergeCell ref="G3065:G3068"/>
    <mergeCell ref="M3056:N3056"/>
    <mergeCell ref="M3057:N3057"/>
    <mergeCell ref="M3058:N3058"/>
    <mergeCell ref="M3059:N3059"/>
    <mergeCell ref="M3060:N3060"/>
    <mergeCell ref="M3061:N3061"/>
    <mergeCell ref="G3050:G3061"/>
    <mergeCell ref="H3050:H3061"/>
    <mergeCell ref="I3050:I3061"/>
    <mergeCell ref="J3050:J3061"/>
    <mergeCell ref="M3050:N3050"/>
    <mergeCell ref="M3051:N3051"/>
    <mergeCell ref="M3052:N3052"/>
    <mergeCell ref="M3053:N3053"/>
    <mergeCell ref="M3054:N3054"/>
    <mergeCell ref="M3055:N3055"/>
    <mergeCell ref="AA3046:AA3047"/>
    <mergeCell ref="J3047:J3049"/>
    <mergeCell ref="K3047:K3049"/>
    <mergeCell ref="M3048:N3048"/>
    <mergeCell ref="M3049:N3049"/>
    <mergeCell ref="B3050:B3061"/>
    <mergeCell ref="C3050:C3061"/>
    <mergeCell ref="D3050:D3061"/>
    <mergeCell ref="E3050:E3061"/>
    <mergeCell ref="F3050:F3061"/>
    <mergeCell ref="H3046:H3049"/>
    <mergeCell ref="I3046:I3049"/>
    <mergeCell ref="J3046:K3046"/>
    <mergeCell ref="L3046:L3049"/>
    <mergeCell ref="M3046:N3047"/>
    <mergeCell ref="O3046:Z3046"/>
    <mergeCell ref="B3046:B3049"/>
    <mergeCell ref="C3046:C3049"/>
    <mergeCell ref="D3046:D3049"/>
    <mergeCell ref="E3046:E3049"/>
    <mergeCell ref="F3046:F3049"/>
    <mergeCell ref="G3046:G3049"/>
    <mergeCell ref="H3039:H3044"/>
    <mergeCell ref="I3039:I3044"/>
    <mergeCell ref="J3039:J3044"/>
    <mergeCell ref="M3039:N3039"/>
    <mergeCell ref="M3040:N3040"/>
    <mergeCell ref="M3041:N3041"/>
    <mergeCell ref="M3042:N3042"/>
    <mergeCell ref="M3043:N3043"/>
    <mergeCell ref="M3044:N3044"/>
    <mergeCell ref="B3039:B3044"/>
    <mergeCell ref="C3039:C3044"/>
    <mergeCell ref="D3039:D3044"/>
    <mergeCell ref="E3039:E3044"/>
    <mergeCell ref="F3039:F3044"/>
    <mergeCell ref="G3039:G3044"/>
    <mergeCell ref="L3035:L3038"/>
    <mergeCell ref="M3035:N3036"/>
    <mergeCell ref="O3035:Z3035"/>
    <mergeCell ref="AA3035:AA3036"/>
    <mergeCell ref="J3036:J3038"/>
    <mergeCell ref="K3036:K3038"/>
    <mergeCell ref="M3037:N3037"/>
    <mergeCell ref="M3038:N3038"/>
    <mergeCell ref="M3033:N3033"/>
    <mergeCell ref="B3035:B3038"/>
    <mergeCell ref="C3035:C3038"/>
    <mergeCell ref="D3035:D3038"/>
    <mergeCell ref="E3035:E3038"/>
    <mergeCell ref="F3035:F3038"/>
    <mergeCell ref="G3035:G3038"/>
    <mergeCell ref="H3035:H3038"/>
    <mergeCell ref="I3035:I3038"/>
    <mergeCell ref="J3035:K3035"/>
    <mergeCell ref="M3027:N3027"/>
    <mergeCell ref="M3028:N3028"/>
    <mergeCell ref="M3029:N3029"/>
    <mergeCell ref="M3030:N3030"/>
    <mergeCell ref="M3031:N3031"/>
    <mergeCell ref="M3032:N3032"/>
    <mergeCell ref="H3020:H3033"/>
    <mergeCell ref="I3020:I3033"/>
    <mergeCell ref="J3020:J3033"/>
    <mergeCell ref="M3020:N3020"/>
    <mergeCell ref="M3021:N3021"/>
    <mergeCell ref="M3022:N3022"/>
    <mergeCell ref="M3023:N3023"/>
    <mergeCell ref="M3024:N3024"/>
    <mergeCell ref="M3025:N3025"/>
    <mergeCell ref="M3026:N3026"/>
    <mergeCell ref="B3020:B3033"/>
    <mergeCell ref="C3020:C3033"/>
    <mergeCell ref="D3020:D3033"/>
    <mergeCell ref="E3020:E3033"/>
    <mergeCell ref="F3020:F3033"/>
    <mergeCell ref="G3020:G3033"/>
    <mergeCell ref="J3016:K3016"/>
    <mergeCell ref="L3016:L3019"/>
    <mergeCell ref="M3016:N3017"/>
    <mergeCell ref="O3016:Z3016"/>
    <mergeCell ref="AA3016:AA3017"/>
    <mergeCell ref="J3017:J3019"/>
    <mergeCell ref="K3017:K3019"/>
    <mergeCell ref="M3018:N3018"/>
    <mergeCell ref="M3019:N3019"/>
    <mergeCell ref="T3013:Y3013"/>
    <mergeCell ref="Z3013:AA3013"/>
    <mergeCell ref="B3016:B3019"/>
    <mergeCell ref="C3016:C3019"/>
    <mergeCell ref="D3016:D3019"/>
    <mergeCell ref="E3016:E3019"/>
    <mergeCell ref="F3016:F3019"/>
    <mergeCell ref="G3016:G3019"/>
    <mergeCell ref="H3016:H3019"/>
    <mergeCell ref="I3016:I3019"/>
    <mergeCell ref="M3004:N3004"/>
    <mergeCell ref="M3005:N3005"/>
    <mergeCell ref="M3006:N3006"/>
    <mergeCell ref="B3009:B3010"/>
    <mergeCell ref="T3012:Y3012"/>
    <mergeCell ref="Z3012:AA3012"/>
    <mergeCell ref="H2997:H3006"/>
    <mergeCell ref="I2997:I3006"/>
    <mergeCell ref="J2997:J3006"/>
    <mergeCell ref="M2997:N2997"/>
    <mergeCell ref="M2998:N2998"/>
    <mergeCell ref="M2999:N2999"/>
    <mergeCell ref="M3000:N3000"/>
    <mergeCell ref="M3001:N3001"/>
    <mergeCell ref="M3002:N3002"/>
    <mergeCell ref="M3003:N3003"/>
    <mergeCell ref="B2997:B3006"/>
    <mergeCell ref="C2997:C3006"/>
    <mergeCell ref="D2997:D3006"/>
    <mergeCell ref="E2997:E3006"/>
    <mergeCell ref="F2997:F3006"/>
    <mergeCell ref="G2997:G3006"/>
    <mergeCell ref="J2993:K2993"/>
    <mergeCell ref="L2993:L2996"/>
    <mergeCell ref="M2993:N2994"/>
    <mergeCell ref="O2993:Z2993"/>
    <mergeCell ref="AA2993:AA2994"/>
    <mergeCell ref="J2994:J2996"/>
    <mergeCell ref="K2994:K2996"/>
    <mergeCell ref="M2995:N2995"/>
    <mergeCell ref="M2996:N2996"/>
    <mergeCell ref="S2991:Z2991"/>
    <mergeCell ref="S2992:Z2992"/>
    <mergeCell ref="B2993:B2996"/>
    <mergeCell ref="C2993:C2996"/>
    <mergeCell ref="D2993:D2996"/>
    <mergeCell ref="E2993:E2996"/>
    <mergeCell ref="F2993:F2996"/>
    <mergeCell ref="G2993:G2996"/>
    <mergeCell ref="H2993:H2996"/>
    <mergeCell ref="I2993:I2996"/>
    <mergeCell ref="M2984:N2984"/>
    <mergeCell ref="M2985:N2985"/>
    <mergeCell ref="M2986:N2986"/>
    <mergeCell ref="M2987:N2987"/>
    <mergeCell ref="M2988:N2988"/>
    <mergeCell ref="M2989:N2989"/>
    <mergeCell ref="M2978:N2978"/>
    <mergeCell ref="M2979:N2979"/>
    <mergeCell ref="M2980:N2980"/>
    <mergeCell ref="M2981:N2981"/>
    <mergeCell ref="M2982:N2982"/>
    <mergeCell ref="M2983:N2983"/>
    <mergeCell ref="G2972:G2989"/>
    <mergeCell ref="H2972:H2989"/>
    <mergeCell ref="I2972:I2989"/>
    <mergeCell ref="J2972:J2989"/>
    <mergeCell ref="M2972:N2972"/>
    <mergeCell ref="M2973:N2973"/>
    <mergeCell ref="M2974:N2974"/>
    <mergeCell ref="M2975:N2975"/>
    <mergeCell ref="M2976:N2976"/>
    <mergeCell ref="M2977:N2977"/>
    <mergeCell ref="AA2968:AA2969"/>
    <mergeCell ref="J2969:J2971"/>
    <mergeCell ref="K2969:K2971"/>
    <mergeCell ref="M2970:N2970"/>
    <mergeCell ref="M2971:N2971"/>
    <mergeCell ref="B2972:B2989"/>
    <mergeCell ref="C2972:C2989"/>
    <mergeCell ref="D2972:D2989"/>
    <mergeCell ref="E2972:E2989"/>
    <mergeCell ref="F2972:F2989"/>
    <mergeCell ref="H2968:H2971"/>
    <mergeCell ref="I2968:I2971"/>
    <mergeCell ref="J2968:K2968"/>
    <mergeCell ref="L2968:L2971"/>
    <mergeCell ref="M2968:N2969"/>
    <mergeCell ref="O2968:Z2968"/>
    <mergeCell ref="B2968:B2971"/>
    <mergeCell ref="C2968:C2971"/>
    <mergeCell ref="D2968:D2971"/>
    <mergeCell ref="E2968:E2971"/>
    <mergeCell ref="F2968:F2971"/>
    <mergeCell ref="G2968:G2971"/>
    <mergeCell ref="M2961:N2961"/>
    <mergeCell ref="M2962:N2962"/>
    <mergeCell ref="M2963:N2963"/>
    <mergeCell ref="M2964:N2964"/>
    <mergeCell ref="T2966:Z2966"/>
    <mergeCell ref="T2967:Z2967"/>
    <mergeCell ref="M2955:N2955"/>
    <mergeCell ref="M2956:N2956"/>
    <mergeCell ref="M2957:N2957"/>
    <mergeCell ref="M2958:N2958"/>
    <mergeCell ref="M2959:N2959"/>
    <mergeCell ref="M2960:N2960"/>
    <mergeCell ref="H2948:H2964"/>
    <mergeCell ref="I2948:I2964"/>
    <mergeCell ref="J2948:J2964"/>
    <mergeCell ref="M2948:N2948"/>
    <mergeCell ref="M2949:N2949"/>
    <mergeCell ref="M2950:N2950"/>
    <mergeCell ref="M2951:N2951"/>
    <mergeCell ref="M2952:N2952"/>
    <mergeCell ref="M2953:N2953"/>
    <mergeCell ref="M2954:N2954"/>
    <mergeCell ref="B2948:B2964"/>
    <mergeCell ref="C2948:C2964"/>
    <mergeCell ref="D2948:D2964"/>
    <mergeCell ref="E2948:E2964"/>
    <mergeCell ref="F2948:F2964"/>
    <mergeCell ref="G2948:G2964"/>
    <mergeCell ref="O2944:Z2944"/>
    <mergeCell ref="AA2944:AA2945"/>
    <mergeCell ref="J2945:J2947"/>
    <mergeCell ref="K2945:K2947"/>
    <mergeCell ref="M2946:N2946"/>
    <mergeCell ref="M2947:N2947"/>
    <mergeCell ref="G2944:G2947"/>
    <mergeCell ref="H2944:H2947"/>
    <mergeCell ref="I2944:I2947"/>
    <mergeCell ref="J2944:K2944"/>
    <mergeCell ref="L2944:L2947"/>
    <mergeCell ref="M2944:N2945"/>
    <mergeCell ref="M2938:N2938"/>
    <mergeCell ref="M2939:N2939"/>
    <mergeCell ref="M2940:N2940"/>
    <mergeCell ref="S2942:Z2942"/>
    <mergeCell ref="S2943:Z2943"/>
    <mergeCell ref="B2944:B2947"/>
    <mergeCell ref="C2944:C2947"/>
    <mergeCell ref="D2944:D2947"/>
    <mergeCell ref="E2944:E2947"/>
    <mergeCell ref="F2944:F2947"/>
    <mergeCell ref="I2930:I2940"/>
    <mergeCell ref="J2930:J2940"/>
    <mergeCell ref="M2930:N2930"/>
    <mergeCell ref="M2931:N2931"/>
    <mergeCell ref="M2932:N2932"/>
    <mergeCell ref="M2933:N2933"/>
    <mergeCell ref="M2934:N2934"/>
    <mergeCell ref="M2935:N2935"/>
    <mergeCell ref="M2936:N2936"/>
    <mergeCell ref="M2937:N2937"/>
    <mergeCell ref="AA2926:AA2927"/>
    <mergeCell ref="M2928:N2928"/>
    <mergeCell ref="M2929:N2929"/>
    <mergeCell ref="B2930:B2940"/>
    <mergeCell ref="C2930:C2940"/>
    <mergeCell ref="D2930:D2940"/>
    <mergeCell ref="E2930:E2940"/>
    <mergeCell ref="F2930:F2940"/>
    <mergeCell ref="G2930:G2940"/>
    <mergeCell ref="H2930:H2940"/>
    <mergeCell ref="G2926:G2929"/>
    <mergeCell ref="H2926:H2929"/>
    <mergeCell ref="I2926:I2929"/>
    <mergeCell ref="L2926:L2929"/>
    <mergeCell ref="M2926:N2927"/>
    <mergeCell ref="O2926:Z2926"/>
    <mergeCell ref="M2920:N2920"/>
    <mergeCell ref="M2921:N2921"/>
    <mergeCell ref="M2922:N2922"/>
    <mergeCell ref="S2924:Z2924"/>
    <mergeCell ref="S2925:Z2925"/>
    <mergeCell ref="B2926:B2929"/>
    <mergeCell ref="C2926:C2929"/>
    <mergeCell ref="D2926:D2929"/>
    <mergeCell ref="E2926:E2929"/>
    <mergeCell ref="F2926:F2929"/>
    <mergeCell ref="M2914:N2914"/>
    <mergeCell ref="M2915:N2915"/>
    <mergeCell ref="M2916:N2916"/>
    <mergeCell ref="M2917:N2917"/>
    <mergeCell ref="M2918:N2918"/>
    <mergeCell ref="M2919:N2919"/>
    <mergeCell ref="H2907:H2922"/>
    <mergeCell ref="I2907:I2922"/>
    <mergeCell ref="J2907:J2922"/>
    <mergeCell ref="M2907:N2907"/>
    <mergeCell ref="M2908:N2908"/>
    <mergeCell ref="M2909:N2909"/>
    <mergeCell ref="M2910:N2910"/>
    <mergeCell ref="M2911:N2911"/>
    <mergeCell ref="M2912:N2912"/>
    <mergeCell ref="M2913:N2913"/>
    <mergeCell ref="B2907:B2922"/>
    <mergeCell ref="C2907:C2922"/>
    <mergeCell ref="D2907:D2922"/>
    <mergeCell ref="E2907:E2922"/>
    <mergeCell ref="F2907:F2922"/>
    <mergeCell ref="G2907:G2922"/>
    <mergeCell ref="J2903:K2903"/>
    <mergeCell ref="L2903:L2906"/>
    <mergeCell ref="M2903:N2904"/>
    <mergeCell ref="O2903:Z2903"/>
    <mergeCell ref="AA2903:AA2904"/>
    <mergeCell ref="J2904:J2906"/>
    <mergeCell ref="K2904:K2906"/>
    <mergeCell ref="M2905:N2905"/>
    <mergeCell ref="M2906:N2906"/>
    <mergeCell ref="S2901:Z2901"/>
    <mergeCell ref="S2902:Z2902"/>
    <mergeCell ref="B2903:B2906"/>
    <mergeCell ref="C2903:C2906"/>
    <mergeCell ref="D2903:D2906"/>
    <mergeCell ref="E2903:E2906"/>
    <mergeCell ref="F2903:F2906"/>
    <mergeCell ref="G2903:G2906"/>
    <mergeCell ref="H2903:H2906"/>
    <mergeCell ref="I2903:I2906"/>
    <mergeCell ref="M2894:N2894"/>
    <mergeCell ref="M2895:N2895"/>
    <mergeCell ref="M2896:N2896"/>
    <mergeCell ref="M2897:N2897"/>
    <mergeCell ref="M2898:N2898"/>
    <mergeCell ref="M2899:N2899"/>
    <mergeCell ref="H2887:H2899"/>
    <mergeCell ref="I2887:I2899"/>
    <mergeCell ref="J2887:J2899"/>
    <mergeCell ref="M2887:N2887"/>
    <mergeCell ref="M2888:N2888"/>
    <mergeCell ref="M2889:N2889"/>
    <mergeCell ref="M2890:N2890"/>
    <mergeCell ref="M2891:N2891"/>
    <mergeCell ref="M2892:N2892"/>
    <mergeCell ref="M2893:N2893"/>
    <mergeCell ref="B2887:B2899"/>
    <mergeCell ref="C2887:C2899"/>
    <mergeCell ref="D2887:D2899"/>
    <mergeCell ref="E2887:E2899"/>
    <mergeCell ref="F2887:F2899"/>
    <mergeCell ref="G2887:G2899"/>
    <mergeCell ref="L2883:L2886"/>
    <mergeCell ref="M2883:N2884"/>
    <mergeCell ref="O2883:Z2883"/>
    <mergeCell ref="AA2883:AA2884"/>
    <mergeCell ref="J2884:J2886"/>
    <mergeCell ref="K2884:K2886"/>
    <mergeCell ref="M2885:N2885"/>
    <mergeCell ref="M2886:N2886"/>
    <mergeCell ref="S2882:Z2882"/>
    <mergeCell ref="B2883:B2886"/>
    <mergeCell ref="C2883:C2886"/>
    <mergeCell ref="D2883:D2886"/>
    <mergeCell ref="E2883:E2886"/>
    <mergeCell ref="F2883:F2886"/>
    <mergeCell ref="G2883:G2886"/>
    <mergeCell ref="H2883:H2886"/>
    <mergeCell ref="I2883:I2886"/>
    <mergeCell ref="J2883:K2883"/>
    <mergeCell ref="M2875:N2875"/>
    <mergeCell ref="M2876:N2876"/>
    <mergeCell ref="M2877:N2877"/>
    <mergeCell ref="M2878:N2878"/>
    <mergeCell ref="M2879:N2879"/>
    <mergeCell ref="S2881:Z2881"/>
    <mergeCell ref="M2869:N2869"/>
    <mergeCell ref="M2870:N2870"/>
    <mergeCell ref="M2871:N2871"/>
    <mergeCell ref="M2872:N2872"/>
    <mergeCell ref="M2873:N2873"/>
    <mergeCell ref="M2874:N2874"/>
    <mergeCell ref="G2863:G2879"/>
    <mergeCell ref="H2863:H2879"/>
    <mergeCell ref="I2863:I2879"/>
    <mergeCell ref="J2863:J2879"/>
    <mergeCell ref="M2863:N2863"/>
    <mergeCell ref="M2864:N2864"/>
    <mergeCell ref="M2865:N2865"/>
    <mergeCell ref="M2866:N2866"/>
    <mergeCell ref="M2867:N2867"/>
    <mergeCell ref="M2868:N2868"/>
    <mergeCell ref="AA2859:AA2860"/>
    <mergeCell ref="J2860:J2862"/>
    <mergeCell ref="K2860:K2862"/>
    <mergeCell ref="M2861:N2861"/>
    <mergeCell ref="M2862:N2862"/>
    <mergeCell ref="B2863:B2879"/>
    <mergeCell ref="C2863:C2879"/>
    <mergeCell ref="D2863:D2879"/>
    <mergeCell ref="E2863:E2879"/>
    <mergeCell ref="F2863:F2879"/>
    <mergeCell ref="H2859:H2862"/>
    <mergeCell ref="I2859:I2862"/>
    <mergeCell ref="J2859:K2859"/>
    <mergeCell ref="L2859:L2862"/>
    <mergeCell ref="M2859:N2860"/>
    <mergeCell ref="O2859:Z2859"/>
    <mergeCell ref="B2859:B2862"/>
    <mergeCell ref="C2859:C2862"/>
    <mergeCell ref="D2859:D2862"/>
    <mergeCell ref="E2859:E2862"/>
    <mergeCell ref="F2859:F2862"/>
    <mergeCell ref="G2859:G2862"/>
    <mergeCell ref="M2852:N2852"/>
    <mergeCell ref="M2853:N2853"/>
    <mergeCell ref="M2854:N2854"/>
    <mergeCell ref="M2855:N2855"/>
    <mergeCell ref="S2857:Z2857"/>
    <mergeCell ref="S2858:Z2858"/>
    <mergeCell ref="G2846:G2855"/>
    <mergeCell ref="H2846:H2855"/>
    <mergeCell ref="I2846:I2855"/>
    <mergeCell ref="J2846:J2855"/>
    <mergeCell ref="M2846:N2846"/>
    <mergeCell ref="M2847:N2847"/>
    <mergeCell ref="M2848:N2848"/>
    <mergeCell ref="M2849:N2849"/>
    <mergeCell ref="M2850:N2850"/>
    <mergeCell ref="M2851:N2851"/>
    <mergeCell ref="AA2842:AA2843"/>
    <mergeCell ref="J2843:J2845"/>
    <mergeCell ref="K2843:K2845"/>
    <mergeCell ref="M2844:N2844"/>
    <mergeCell ref="M2845:N2845"/>
    <mergeCell ref="B2846:B2855"/>
    <mergeCell ref="C2846:C2855"/>
    <mergeCell ref="D2846:D2855"/>
    <mergeCell ref="E2846:E2855"/>
    <mergeCell ref="F2846:F2855"/>
    <mergeCell ref="H2842:H2845"/>
    <mergeCell ref="I2842:I2845"/>
    <mergeCell ref="J2842:K2842"/>
    <mergeCell ref="L2842:L2845"/>
    <mergeCell ref="M2842:N2843"/>
    <mergeCell ref="O2842:Z2842"/>
    <mergeCell ref="B2842:B2845"/>
    <mergeCell ref="C2842:C2845"/>
    <mergeCell ref="D2842:D2845"/>
    <mergeCell ref="E2842:E2845"/>
    <mergeCell ref="F2842:F2845"/>
    <mergeCell ref="G2842:G2845"/>
    <mergeCell ref="M2835:N2835"/>
    <mergeCell ref="M2836:N2836"/>
    <mergeCell ref="M2837:N2837"/>
    <mergeCell ref="M2838:N2838"/>
    <mergeCell ref="T2840:Z2840"/>
    <mergeCell ref="T2841:Z2841"/>
    <mergeCell ref="M2829:N2829"/>
    <mergeCell ref="M2830:N2830"/>
    <mergeCell ref="M2831:N2831"/>
    <mergeCell ref="M2832:N2832"/>
    <mergeCell ref="M2833:N2833"/>
    <mergeCell ref="M2834:N2834"/>
    <mergeCell ref="H2822:H2838"/>
    <mergeCell ref="I2822:I2838"/>
    <mergeCell ref="J2822:J2838"/>
    <mergeCell ref="M2822:N2822"/>
    <mergeCell ref="M2823:N2823"/>
    <mergeCell ref="M2824:N2824"/>
    <mergeCell ref="M2825:N2825"/>
    <mergeCell ref="M2826:N2826"/>
    <mergeCell ref="M2827:N2827"/>
    <mergeCell ref="M2828:N2828"/>
    <mergeCell ref="B2822:B2838"/>
    <mergeCell ref="C2822:C2838"/>
    <mergeCell ref="D2822:D2838"/>
    <mergeCell ref="E2822:E2838"/>
    <mergeCell ref="F2822:F2838"/>
    <mergeCell ref="G2822:G2838"/>
    <mergeCell ref="O2818:Z2818"/>
    <mergeCell ref="AA2818:AA2819"/>
    <mergeCell ref="J2819:J2821"/>
    <mergeCell ref="K2819:K2821"/>
    <mergeCell ref="M2820:N2820"/>
    <mergeCell ref="M2821:N2821"/>
    <mergeCell ref="G2818:G2821"/>
    <mergeCell ref="H2818:H2821"/>
    <mergeCell ref="I2818:I2821"/>
    <mergeCell ref="J2818:K2818"/>
    <mergeCell ref="L2818:L2821"/>
    <mergeCell ref="M2818:N2819"/>
    <mergeCell ref="M2812:N2812"/>
    <mergeCell ref="M2813:N2813"/>
    <mergeCell ref="M2814:N2814"/>
    <mergeCell ref="S2816:Z2816"/>
    <mergeCell ref="S2817:Z2817"/>
    <mergeCell ref="B2818:B2821"/>
    <mergeCell ref="C2818:C2821"/>
    <mergeCell ref="D2818:D2821"/>
    <mergeCell ref="E2818:E2821"/>
    <mergeCell ref="F2818:F2821"/>
    <mergeCell ref="M2806:N2806"/>
    <mergeCell ref="M2807:N2807"/>
    <mergeCell ref="M2808:N2808"/>
    <mergeCell ref="M2809:N2809"/>
    <mergeCell ref="M2810:N2810"/>
    <mergeCell ref="M2811:N2811"/>
    <mergeCell ref="H2799:H2814"/>
    <mergeCell ref="I2799:I2814"/>
    <mergeCell ref="J2799:J2814"/>
    <mergeCell ref="M2799:N2799"/>
    <mergeCell ref="M2800:N2800"/>
    <mergeCell ref="M2801:N2801"/>
    <mergeCell ref="M2802:N2802"/>
    <mergeCell ref="M2803:N2803"/>
    <mergeCell ref="M2804:N2804"/>
    <mergeCell ref="M2805:N2805"/>
    <mergeCell ref="B2799:B2814"/>
    <mergeCell ref="C2799:C2814"/>
    <mergeCell ref="D2799:D2814"/>
    <mergeCell ref="E2799:E2814"/>
    <mergeCell ref="F2799:F2814"/>
    <mergeCell ref="G2799:G2814"/>
    <mergeCell ref="J2795:K2795"/>
    <mergeCell ref="L2795:L2798"/>
    <mergeCell ref="M2795:N2796"/>
    <mergeCell ref="O2795:Z2795"/>
    <mergeCell ref="AA2795:AA2796"/>
    <mergeCell ref="J2796:J2798"/>
    <mergeCell ref="K2796:K2798"/>
    <mergeCell ref="M2797:N2797"/>
    <mergeCell ref="M2798:N2798"/>
    <mergeCell ref="T2793:Z2793"/>
    <mergeCell ref="T2794:Z2794"/>
    <mergeCell ref="B2795:B2798"/>
    <mergeCell ref="C2795:C2798"/>
    <mergeCell ref="D2795:D2798"/>
    <mergeCell ref="E2795:E2798"/>
    <mergeCell ref="F2795:F2798"/>
    <mergeCell ref="G2795:G2798"/>
    <mergeCell ref="H2795:H2798"/>
    <mergeCell ref="I2795:I2798"/>
    <mergeCell ref="M2786:N2786"/>
    <mergeCell ref="M2787:N2787"/>
    <mergeCell ref="M2788:N2788"/>
    <mergeCell ref="M2789:N2789"/>
    <mergeCell ref="M2790:N2790"/>
    <mergeCell ref="M2791:N2791"/>
    <mergeCell ref="M2780:N2780"/>
    <mergeCell ref="M2781:N2781"/>
    <mergeCell ref="M2782:N2782"/>
    <mergeCell ref="M2783:N2783"/>
    <mergeCell ref="M2784:N2784"/>
    <mergeCell ref="M2785:N2785"/>
    <mergeCell ref="H2773:H2791"/>
    <mergeCell ref="I2773:I2791"/>
    <mergeCell ref="J2773:J2791"/>
    <mergeCell ref="M2773:N2773"/>
    <mergeCell ref="M2774:N2774"/>
    <mergeCell ref="M2775:N2775"/>
    <mergeCell ref="M2776:N2776"/>
    <mergeCell ref="M2777:N2777"/>
    <mergeCell ref="M2778:N2778"/>
    <mergeCell ref="M2779:N2779"/>
    <mergeCell ref="B2773:B2791"/>
    <mergeCell ref="C2773:C2791"/>
    <mergeCell ref="D2773:D2791"/>
    <mergeCell ref="E2773:E2791"/>
    <mergeCell ref="F2773:F2791"/>
    <mergeCell ref="G2773:G2791"/>
    <mergeCell ref="J2769:K2769"/>
    <mergeCell ref="L2769:L2772"/>
    <mergeCell ref="M2769:N2770"/>
    <mergeCell ref="O2769:Z2769"/>
    <mergeCell ref="AA2769:AA2770"/>
    <mergeCell ref="J2770:J2772"/>
    <mergeCell ref="K2770:K2772"/>
    <mergeCell ref="M2771:N2771"/>
    <mergeCell ref="M2772:N2772"/>
    <mergeCell ref="W2767:Z2767"/>
    <mergeCell ref="B2769:B2772"/>
    <mergeCell ref="C2769:C2772"/>
    <mergeCell ref="D2769:D2772"/>
    <mergeCell ref="E2769:E2772"/>
    <mergeCell ref="F2769:F2772"/>
    <mergeCell ref="G2769:G2772"/>
    <mergeCell ref="H2769:H2772"/>
    <mergeCell ref="I2769:I2772"/>
    <mergeCell ref="H2763:H2765"/>
    <mergeCell ref="I2763:I2765"/>
    <mergeCell ref="J2763:J2765"/>
    <mergeCell ref="M2763:N2763"/>
    <mergeCell ref="M2764:N2764"/>
    <mergeCell ref="M2765:N2765"/>
    <mergeCell ref="B2763:B2765"/>
    <mergeCell ref="C2763:C2765"/>
    <mergeCell ref="D2763:D2765"/>
    <mergeCell ref="E2763:E2765"/>
    <mergeCell ref="F2763:F2765"/>
    <mergeCell ref="G2763:G2765"/>
    <mergeCell ref="J2759:K2759"/>
    <mergeCell ref="L2759:L2762"/>
    <mergeCell ref="M2759:N2760"/>
    <mergeCell ref="O2759:Z2759"/>
    <mergeCell ref="AA2759:AA2760"/>
    <mergeCell ref="J2760:J2762"/>
    <mergeCell ref="K2760:K2762"/>
    <mergeCell ref="M2761:N2761"/>
    <mergeCell ref="M2762:N2762"/>
    <mergeCell ref="U2768:Z2768"/>
    <mergeCell ref="S2757:Z2757"/>
    <mergeCell ref="S2758:Z2758"/>
    <mergeCell ref="B2759:B2762"/>
    <mergeCell ref="C2759:C2762"/>
    <mergeCell ref="D2759:D2762"/>
    <mergeCell ref="E2759:E2762"/>
    <mergeCell ref="F2759:F2762"/>
    <mergeCell ref="G2759:G2762"/>
    <mergeCell ref="H2759:H2762"/>
    <mergeCell ref="I2759:I2762"/>
    <mergeCell ref="H2749:H2755"/>
    <mergeCell ref="I2749:I2755"/>
    <mergeCell ref="J2749:J2755"/>
    <mergeCell ref="M2749:N2749"/>
    <mergeCell ref="M2750:N2750"/>
    <mergeCell ref="M2751:N2751"/>
    <mergeCell ref="M2752:N2752"/>
    <mergeCell ref="M2753:N2753"/>
    <mergeCell ref="M2754:N2754"/>
    <mergeCell ref="M2755:N2755"/>
    <mergeCell ref="B2749:B2755"/>
    <mergeCell ref="C2749:C2755"/>
    <mergeCell ref="D2749:D2755"/>
    <mergeCell ref="E2749:E2755"/>
    <mergeCell ref="F2749:F2755"/>
    <mergeCell ref="G2749:G2755"/>
    <mergeCell ref="I2745:I2748"/>
    <mergeCell ref="J2745:K2745"/>
    <mergeCell ref="L2745:L2748"/>
    <mergeCell ref="M2745:N2746"/>
    <mergeCell ref="O2745:Z2745"/>
    <mergeCell ref="AA2745:AA2746"/>
    <mergeCell ref="J2746:J2748"/>
    <mergeCell ref="K2746:K2748"/>
    <mergeCell ref="M2747:N2747"/>
    <mergeCell ref="M2748:N2748"/>
    <mergeCell ref="M2741:N2741"/>
    <mergeCell ref="S2743:Z2743"/>
    <mergeCell ref="S2744:Z2744"/>
    <mergeCell ref="B2745:B2748"/>
    <mergeCell ref="C2745:C2748"/>
    <mergeCell ref="D2745:D2748"/>
    <mergeCell ref="E2745:E2748"/>
    <mergeCell ref="F2745:F2748"/>
    <mergeCell ref="G2745:G2748"/>
    <mergeCell ref="H2745:H2748"/>
    <mergeCell ref="H2734:H2741"/>
    <mergeCell ref="I2734:I2741"/>
    <mergeCell ref="J2734:J2741"/>
    <mergeCell ref="M2734:N2734"/>
    <mergeCell ref="M2735:N2735"/>
    <mergeCell ref="M2736:N2736"/>
    <mergeCell ref="M2737:N2737"/>
    <mergeCell ref="M2738:N2738"/>
    <mergeCell ref="M2739:N2739"/>
    <mergeCell ref="M2740:N2740"/>
    <mergeCell ref="B2734:B2741"/>
    <mergeCell ref="C2734:C2741"/>
    <mergeCell ref="D2734:D2741"/>
    <mergeCell ref="E2734:E2741"/>
    <mergeCell ref="F2734:F2741"/>
    <mergeCell ref="G2734:G2741"/>
    <mergeCell ref="J2730:K2730"/>
    <mergeCell ref="L2730:L2733"/>
    <mergeCell ref="M2730:N2731"/>
    <mergeCell ref="O2730:Z2730"/>
    <mergeCell ref="AA2730:AA2731"/>
    <mergeCell ref="J2731:J2733"/>
    <mergeCell ref="K2731:K2733"/>
    <mergeCell ref="M2732:N2732"/>
    <mergeCell ref="M2733:N2733"/>
    <mergeCell ref="S2728:Z2728"/>
    <mergeCell ref="S2729:Z2729"/>
    <mergeCell ref="B2730:B2733"/>
    <mergeCell ref="C2730:C2733"/>
    <mergeCell ref="D2730:D2733"/>
    <mergeCell ref="E2730:E2733"/>
    <mergeCell ref="F2730:F2733"/>
    <mergeCell ref="G2730:G2733"/>
    <mergeCell ref="H2730:H2733"/>
    <mergeCell ref="I2730:I2733"/>
    <mergeCell ref="AA2722:AA2723"/>
    <mergeCell ref="J2723:J2725"/>
    <mergeCell ref="K2723:K2725"/>
    <mergeCell ref="M2724:N2724"/>
    <mergeCell ref="M2725:N2725"/>
    <mergeCell ref="M2726:N2726"/>
    <mergeCell ref="H2722:H2725"/>
    <mergeCell ref="I2722:I2725"/>
    <mergeCell ref="J2722:K2722"/>
    <mergeCell ref="L2722:L2725"/>
    <mergeCell ref="M2722:N2723"/>
    <mergeCell ref="O2722:Z2722"/>
    <mergeCell ref="M2717:N2717"/>
    <mergeCell ref="M2718:N2718"/>
    <mergeCell ref="S2720:Z2720"/>
    <mergeCell ref="S2721:Z2721"/>
    <mergeCell ref="B2722:B2725"/>
    <mergeCell ref="C2722:C2725"/>
    <mergeCell ref="D2722:D2725"/>
    <mergeCell ref="E2722:E2725"/>
    <mergeCell ref="F2722:F2725"/>
    <mergeCell ref="G2722:G2725"/>
    <mergeCell ref="H2710:H2718"/>
    <mergeCell ref="I2710:I2718"/>
    <mergeCell ref="J2710:J2718"/>
    <mergeCell ref="M2710:N2710"/>
    <mergeCell ref="M2711:N2711"/>
    <mergeCell ref="M2712:N2712"/>
    <mergeCell ref="M2713:N2713"/>
    <mergeCell ref="M2714:N2714"/>
    <mergeCell ref="M2715:N2715"/>
    <mergeCell ref="M2716:N2716"/>
    <mergeCell ref="B2710:B2718"/>
    <mergeCell ref="C2710:C2718"/>
    <mergeCell ref="D2710:D2718"/>
    <mergeCell ref="E2710:E2718"/>
    <mergeCell ref="F2710:F2718"/>
    <mergeCell ref="G2710:G2718"/>
    <mergeCell ref="J2706:K2706"/>
    <mergeCell ref="L2706:L2709"/>
    <mergeCell ref="M2706:N2707"/>
    <mergeCell ref="O2706:Z2706"/>
    <mergeCell ref="AA2706:AA2707"/>
    <mergeCell ref="J2707:J2709"/>
    <mergeCell ref="K2707:K2709"/>
    <mergeCell ref="M2708:N2708"/>
    <mergeCell ref="M2709:N2709"/>
    <mergeCell ref="S2704:Z2704"/>
    <mergeCell ref="S2705:Z2705"/>
    <mergeCell ref="B2706:B2709"/>
    <mergeCell ref="C2706:C2709"/>
    <mergeCell ref="D2706:D2709"/>
    <mergeCell ref="E2706:E2709"/>
    <mergeCell ref="F2706:F2709"/>
    <mergeCell ref="G2706:G2709"/>
    <mergeCell ref="H2706:H2709"/>
    <mergeCell ref="I2706:I2709"/>
    <mergeCell ref="G2701:G2702"/>
    <mergeCell ref="H2701:H2702"/>
    <mergeCell ref="I2701:I2702"/>
    <mergeCell ref="J2701:J2702"/>
    <mergeCell ref="M2701:N2701"/>
    <mergeCell ref="M2702:N2702"/>
    <mergeCell ref="AA2697:AA2698"/>
    <mergeCell ref="J2698:J2700"/>
    <mergeCell ref="K2698:K2700"/>
    <mergeCell ref="M2699:N2699"/>
    <mergeCell ref="M2700:N2700"/>
    <mergeCell ref="B2701:B2702"/>
    <mergeCell ref="C2701:C2702"/>
    <mergeCell ref="D2701:D2702"/>
    <mergeCell ref="E2701:E2702"/>
    <mergeCell ref="F2701:F2702"/>
    <mergeCell ref="H2697:H2700"/>
    <mergeCell ref="I2697:I2700"/>
    <mergeCell ref="J2697:K2697"/>
    <mergeCell ref="L2697:L2700"/>
    <mergeCell ref="M2697:N2698"/>
    <mergeCell ref="O2697:Z2697"/>
    <mergeCell ref="M2692:N2692"/>
    <mergeCell ref="M2693:N2693"/>
    <mergeCell ref="S2695:Z2695"/>
    <mergeCell ref="S2696:Z2696"/>
    <mergeCell ref="B2697:B2700"/>
    <mergeCell ref="C2697:C2700"/>
    <mergeCell ref="D2697:D2700"/>
    <mergeCell ref="E2697:E2700"/>
    <mergeCell ref="F2697:F2700"/>
    <mergeCell ref="G2697:G2700"/>
    <mergeCell ref="H2685:H2693"/>
    <mergeCell ref="I2685:I2693"/>
    <mergeCell ref="J2685:J2693"/>
    <mergeCell ref="M2685:N2685"/>
    <mergeCell ref="M2686:N2686"/>
    <mergeCell ref="M2687:N2687"/>
    <mergeCell ref="M2688:N2688"/>
    <mergeCell ref="M2689:N2689"/>
    <mergeCell ref="M2690:N2690"/>
    <mergeCell ref="M2691:N2691"/>
    <mergeCell ref="B2685:B2693"/>
    <mergeCell ref="C2685:C2693"/>
    <mergeCell ref="D2685:D2693"/>
    <mergeCell ref="E2685:E2693"/>
    <mergeCell ref="F2685:F2693"/>
    <mergeCell ref="G2685:G2693"/>
    <mergeCell ref="J2681:K2681"/>
    <mergeCell ref="L2681:L2684"/>
    <mergeCell ref="M2681:N2682"/>
    <mergeCell ref="O2681:Z2681"/>
    <mergeCell ref="AA2681:AA2682"/>
    <mergeCell ref="J2682:J2684"/>
    <mergeCell ref="K2682:K2684"/>
    <mergeCell ref="M2683:N2683"/>
    <mergeCell ref="M2684:N2684"/>
    <mergeCell ref="S2679:Z2679"/>
    <mergeCell ref="S2680:Z2680"/>
    <mergeCell ref="B2681:B2684"/>
    <mergeCell ref="C2681:C2684"/>
    <mergeCell ref="D2681:D2684"/>
    <mergeCell ref="E2681:E2684"/>
    <mergeCell ref="F2681:F2684"/>
    <mergeCell ref="G2681:G2684"/>
    <mergeCell ref="H2681:H2684"/>
    <mergeCell ref="I2681:I2684"/>
    <mergeCell ref="H2672:H2677"/>
    <mergeCell ref="I2672:I2677"/>
    <mergeCell ref="J2672:J2677"/>
    <mergeCell ref="M2672:N2672"/>
    <mergeCell ref="M2673:N2673"/>
    <mergeCell ref="M2674:N2674"/>
    <mergeCell ref="M2675:N2675"/>
    <mergeCell ref="M2676:N2676"/>
    <mergeCell ref="M2677:N2677"/>
    <mergeCell ref="B2672:B2677"/>
    <mergeCell ref="C2672:C2677"/>
    <mergeCell ref="D2672:D2677"/>
    <mergeCell ref="E2672:E2677"/>
    <mergeCell ref="F2672:F2677"/>
    <mergeCell ref="G2672:G2677"/>
    <mergeCell ref="O2668:Z2668"/>
    <mergeCell ref="AA2668:AA2669"/>
    <mergeCell ref="J2669:J2671"/>
    <mergeCell ref="K2669:K2671"/>
    <mergeCell ref="M2670:N2670"/>
    <mergeCell ref="M2671:N2671"/>
    <mergeCell ref="G2668:G2671"/>
    <mergeCell ref="H2668:H2671"/>
    <mergeCell ref="I2668:I2671"/>
    <mergeCell ref="J2668:K2668"/>
    <mergeCell ref="L2668:L2671"/>
    <mergeCell ref="M2668:N2669"/>
    <mergeCell ref="M2662:N2662"/>
    <mergeCell ref="M2663:N2663"/>
    <mergeCell ref="M2664:N2664"/>
    <mergeCell ref="S2666:Z2666"/>
    <mergeCell ref="S2667:Z2667"/>
    <mergeCell ref="B2668:B2671"/>
    <mergeCell ref="C2668:C2671"/>
    <mergeCell ref="D2668:D2671"/>
    <mergeCell ref="E2668:E2671"/>
    <mergeCell ref="F2668:F2671"/>
    <mergeCell ref="H2655:H2664"/>
    <mergeCell ref="I2655:I2664"/>
    <mergeCell ref="J2655:J2664"/>
    <mergeCell ref="M2655:N2655"/>
    <mergeCell ref="M2656:N2656"/>
    <mergeCell ref="M2657:N2657"/>
    <mergeCell ref="M2658:N2658"/>
    <mergeCell ref="M2659:N2659"/>
    <mergeCell ref="M2660:N2660"/>
    <mergeCell ref="M2661:N2661"/>
    <mergeCell ref="B2655:B2664"/>
    <mergeCell ref="C2655:C2664"/>
    <mergeCell ref="D2655:D2664"/>
    <mergeCell ref="E2655:E2664"/>
    <mergeCell ref="F2655:F2664"/>
    <mergeCell ref="G2655:G2664"/>
    <mergeCell ref="L2651:L2654"/>
    <mergeCell ref="M2651:N2652"/>
    <mergeCell ref="O2651:Z2651"/>
    <mergeCell ref="AA2651:AA2652"/>
    <mergeCell ref="J2652:J2654"/>
    <mergeCell ref="K2652:K2654"/>
    <mergeCell ref="M2653:N2653"/>
    <mergeCell ref="M2654:N2654"/>
    <mergeCell ref="S2650:Z2650"/>
    <mergeCell ref="B2651:B2654"/>
    <mergeCell ref="C2651:C2654"/>
    <mergeCell ref="D2651:D2654"/>
    <mergeCell ref="E2651:E2654"/>
    <mergeCell ref="F2651:F2654"/>
    <mergeCell ref="G2651:G2654"/>
    <mergeCell ref="H2651:H2654"/>
    <mergeCell ref="I2651:I2654"/>
    <mergeCell ref="J2651:K2651"/>
    <mergeCell ref="M2643:N2643"/>
    <mergeCell ref="M2644:N2644"/>
    <mergeCell ref="M2645:N2645"/>
    <mergeCell ref="M2646:N2646"/>
    <mergeCell ref="M2647:N2647"/>
    <mergeCell ref="S2649:Z2649"/>
    <mergeCell ref="H2636:H2647"/>
    <mergeCell ref="I2636:I2647"/>
    <mergeCell ref="J2636:J2647"/>
    <mergeCell ref="M2636:N2636"/>
    <mergeCell ref="M2637:N2637"/>
    <mergeCell ref="M2638:N2638"/>
    <mergeCell ref="M2639:N2639"/>
    <mergeCell ref="M2640:N2640"/>
    <mergeCell ref="M2641:N2641"/>
    <mergeCell ref="M2642:N2642"/>
    <mergeCell ref="B2636:B2647"/>
    <mergeCell ref="C2636:C2647"/>
    <mergeCell ref="D2636:D2647"/>
    <mergeCell ref="E2636:E2647"/>
    <mergeCell ref="F2636:F2647"/>
    <mergeCell ref="G2636:G2647"/>
    <mergeCell ref="O2632:Z2632"/>
    <mergeCell ref="AA2632:AA2633"/>
    <mergeCell ref="J2633:J2635"/>
    <mergeCell ref="K2633:K2635"/>
    <mergeCell ref="M2634:N2634"/>
    <mergeCell ref="M2635:N2635"/>
    <mergeCell ref="G2632:G2635"/>
    <mergeCell ref="H2632:H2635"/>
    <mergeCell ref="I2632:I2635"/>
    <mergeCell ref="J2632:K2632"/>
    <mergeCell ref="L2632:L2635"/>
    <mergeCell ref="M2632:N2633"/>
    <mergeCell ref="M2626:N2626"/>
    <mergeCell ref="M2627:N2627"/>
    <mergeCell ref="M2628:N2628"/>
    <mergeCell ref="S2630:Z2630"/>
    <mergeCell ref="S2631:Z2631"/>
    <mergeCell ref="B2632:B2635"/>
    <mergeCell ref="C2632:C2635"/>
    <mergeCell ref="D2632:D2635"/>
    <mergeCell ref="E2632:E2635"/>
    <mergeCell ref="F2632:F2635"/>
    <mergeCell ref="G2620:G2628"/>
    <mergeCell ref="H2620:H2628"/>
    <mergeCell ref="I2620:I2628"/>
    <mergeCell ref="J2620:J2628"/>
    <mergeCell ref="M2620:N2620"/>
    <mergeCell ref="M2621:N2621"/>
    <mergeCell ref="M2622:N2622"/>
    <mergeCell ref="M2623:N2623"/>
    <mergeCell ref="M2624:N2624"/>
    <mergeCell ref="M2625:N2625"/>
    <mergeCell ref="AA2616:AA2617"/>
    <mergeCell ref="J2617:J2619"/>
    <mergeCell ref="K2617:K2619"/>
    <mergeCell ref="M2618:N2618"/>
    <mergeCell ref="M2619:N2619"/>
    <mergeCell ref="B2620:B2628"/>
    <mergeCell ref="C2620:C2628"/>
    <mergeCell ref="D2620:D2628"/>
    <mergeCell ref="E2620:E2628"/>
    <mergeCell ref="F2620:F2628"/>
    <mergeCell ref="H2616:H2619"/>
    <mergeCell ref="I2616:I2619"/>
    <mergeCell ref="J2616:K2616"/>
    <mergeCell ref="L2616:L2619"/>
    <mergeCell ref="M2616:N2617"/>
    <mergeCell ref="O2616:Z2616"/>
    <mergeCell ref="B2616:B2619"/>
    <mergeCell ref="C2616:C2619"/>
    <mergeCell ref="D2616:D2619"/>
    <mergeCell ref="E2616:E2619"/>
    <mergeCell ref="F2616:F2619"/>
    <mergeCell ref="G2616:G2619"/>
    <mergeCell ref="M2609:N2609"/>
    <mergeCell ref="M2610:N2610"/>
    <mergeCell ref="M2611:N2611"/>
    <mergeCell ref="M2612:N2612"/>
    <mergeCell ref="S2614:Z2614"/>
    <mergeCell ref="S2615:Z2615"/>
    <mergeCell ref="H2602:H2612"/>
    <mergeCell ref="I2602:I2612"/>
    <mergeCell ref="J2602:J2612"/>
    <mergeCell ref="M2602:N2602"/>
    <mergeCell ref="M2603:N2603"/>
    <mergeCell ref="M2604:N2604"/>
    <mergeCell ref="M2605:N2605"/>
    <mergeCell ref="M2606:N2606"/>
    <mergeCell ref="M2607:N2607"/>
    <mergeCell ref="M2608:N2608"/>
    <mergeCell ref="B2602:B2612"/>
    <mergeCell ref="C2602:C2612"/>
    <mergeCell ref="D2602:D2612"/>
    <mergeCell ref="E2602:E2612"/>
    <mergeCell ref="F2602:F2612"/>
    <mergeCell ref="G2602:G2612"/>
    <mergeCell ref="L2598:L2601"/>
    <mergeCell ref="M2598:N2599"/>
    <mergeCell ref="O2598:Z2598"/>
    <mergeCell ref="AA2598:AA2599"/>
    <mergeCell ref="J2599:J2601"/>
    <mergeCell ref="K2599:K2601"/>
    <mergeCell ref="M2600:N2600"/>
    <mergeCell ref="M2601:N2601"/>
    <mergeCell ref="T2597:Z2597"/>
    <mergeCell ref="B2598:B2601"/>
    <mergeCell ref="C2598:C2601"/>
    <mergeCell ref="D2598:D2601"/>
    <mergeCell ref="E2598:E2601"/>
    <mergeCell ref="F2598:F2601"/>
    <mergeCell ref="G2598:G2601"/>
    <mergeCell ref="H2598:H2601"/>
    <mergeCell ref="I2598:I2601"/>
    <mergeCell ref="J2598:K2598"/>
    <mergeCell ref="H2593:H2594"/>
    <mergeCell ref="I2593:I2594"/>
    <mergeCell ref="J2593:J2594"/>
    <mergeCell ref="M2593:N2593"/>
    <mergeCell ref="M2594:N2594"/>
    <mergeCell ref="T2596:Z2596"/>
    <mergeCell ref="B2593:B2594"/>
    <mergeCell ref="C2593:C2594"/>
    <mergeCell ref="D2593:D2594"/>
    <mergeCell ref="E2593:E2594"/>
    <mergeCell ref="F2593:F2594"/>
    <mergeCell ref="G2593:G2594"/>
    <mergeCell ref="L2589:L2592"/>
    <mergeCell ref="M2589:N2590"/>
    <mergeCell ref="O2589:Z2589"/>
    <mergeCell ref="AA2589:AA2590"/>
    <mergeCell ref="J2590:J2592"/>
    <mergeCell ref="K2590:K2592"/>
    <mergeCell ref="M2591:N2591"/>
    <mergeCell ref="M2592:N2592"/>
    <mergeCell ref="R2588:Z2588"/>
    <mergeCell ref="B2589:B2592"/>
    <mergeCell ref="C2589:C2592"/>
    <mergeCell ref="D2589:D2592"/>
    <mergeCell ref="E2589:E2592"/>
    <mergeCell ref="F2589:F2592"/>
    <mergeCell ref="G2589:G2592"/>
    <mergeCell ref="H2589:H2592"/>
    <mergeCell ref="I2589:I2592"/>
    <mergeCell ref="J2589:K2589"/>
    <mergeCell ref="M2581:N2581"/>
    <mergeCell ref="M2582:N2582"/>
    <mergeCell ref="M2583:N2583"/>
    <mergeCell ref="M2584:N2584"/>
    <mergeCell ref="M2585:N2585"/>
    <mergeCell ref="R2587:Z2587"/>
    <mergeCell ref="H2574:H2585"/>
    <mergeCell ref="I2574:I2585"/>
    <mergeCell ref="J2574:J2585"/>
    <mergeCell ref="M2574:N2574"/>
    <mergeCell ref="M2575:N2575"/>
    <mergeCell ref="M2576:N2576"/>
    <mergeCell ref="M2577:N2577"/>
    <mergeCell ref="M2578:N2578"/>
    <mergeCell ref="M2579:N2579"/>
    <mergeCell ref="M2580:N2580"/>
    <mergeCell ref="B2574:B2585"/>
    <mergeCell ref="C2574:C2585"/>
    <mergeCell ref="D2574:D2585"/>
    <mergeCell ref="E2574:E2585"/>
    <mergeCell ref="F2574:F2585"/>
    <mergeCell ref="G2574:G2585"/>
    <mergeCell ref="L2570:L2573"/>
    <mergeCell ref="M2570:N2571"/>
    <mergeCell ref="O2570:Z2570"/>
    <mergeCell ref="AA2570:AA2571"/>
    <mergeCell ref="J2571:J2573"/>
    <mergeCell ref="K2571:K2573"/>
    <mergeCell ref="M2572:N2572"/>
    <mergeCell ref="M2573:N2573"/>
    <mergeCell ref="T2569:Z2569"/>
    <mergeCell ref="B2570:B2573"/>
    <mergeCell ref="C2570:C2573"/>
    <mergeCell ref="D2570:D2573"/>
    <mergeCell ref="E2570:E2573"/>
    <mergeCell ref="F2570:F2573"/>
    <mergeCell ref="G2570:G2573"/>
    <mergeCell ref="H2570:H2573"/>
    <mergeCell ref="I2570:I2573"/>
    <mergeCell ref="J2570:K2570"/>
    <mergeCell ref="M2562:N2562"/>
    <mergeCell ref="M2563:N2563"/>
    <mergeCell ref="M2564:N2564"/>
    <mergeCell ref="M2565:N2565"/>
    <mergeCell ref="M2566:N2566"/>
    <mergeCell ref="T2568:Z2568"/>
    <mergeCell ref="G2556:G2566"/>
    <mergeCell ref="H2556:H2566"/>
    <mergeCell ref="I2556:I2566"/>
    <mergeCell ref="J2556:J2566"/>
    <mergeCell ref="M2556:N2556"/>
    <mergeCell ref="M2557:N2557"/>
    <mergeCell ref="M2558:N2558"/>
    <mergeCell ref="M2559:N2559"/>
    <mergeCell ref="M2560:N2560"/>
    <mergeCell ref="M2561:N2561"/>
    <mergeCell ref="AA2552:AA2553"/>
    <mergeCell ref="J2553:J2555"/>
    <mergeCell ref="K2553:K2555"/>
    <mergeCell ref="M2554:N2554"/>
    <mergeCell ref="M2555:N2555"/>
    <mergeCell ref="B2556:B2566"/>
    <mergeCell ref="C2556:C2566"/>
    <mergeCell ref="D2556:D2566"/>
    <mergeCell ref="E2556:E2566"/>
    <mergeCell ref="F2556:F2566"/>
    <mergeCell ref="H2552:H2555"/>
    <mergeCell ref="I2552:I2555"/>
    <mergeCell ref="J2552:K2552"/>
    <mergeCell ref="L2552:L2555"/>
    <mergeCell ref="M2552:N2553"/>
    <mergeCell ref="O2552:Z2552"/>
    <mergeCell ref="M2547:N2547"/>
    <mergeCell ref="M2548:N2548"/>
    <mergeCell ref="R2550:Z2550"/>
    <mergeCell ref="R2551:Z2551"/>
    <mergeCell ref="B2552:B2555"/>
    <mergeCell ref="C2552:C2555"/>
    <mergeCell ref="D2552:D2555"/>
    <mergeCell ref="E2552:E2555"/>
    <mergeCell ref="F2552:F2555"/>
    <mergeCell ref="G2552:G2555"/>
    <mergeCell ref="H2540:H2548"/>
    <mergeCell ref="I2540:I2548"/>
    <mergeCell ref="J2540:J2548"/>
    <mergeCell ref="M2540:N2540"/>
    <mergeCell ref="M2541:N2541"/>
    <mergeCell ref="M2542:N2542"/>
    <mergeCell ref="M2543:N2543"/>
    <mergeCell ref="M2544:N2544"/>
    <mergeCell ref="M2545:N2545"/>
    <mergeCell ref="M2546:N2546"/>
    <mergeCell ref="B2540:B2548"/>
    <mergeCell ref="C2540:C2548"/>
    <mergeCell ref="D2540:D2548"/>
    <mergeCell ref="E2540:E2548"/>
    <mergeCell ref="F2540:F2548"/>
    <mergeCell ref="G2540:G2548"/>
    <mergeCell ref="H2536:H2539"/>
    <mergeCell ref="I2536:I2539"/>
    <mergeCell ref="L2536:L2539"/>
    <mergeCell ref="M2536:N2537"/>
    <mergeCell ref="O2536:Z2536"/>
    <mergeCell ref="AA2536:AA2537"/>
    <mergeCell ref="J2537:J2539"/>
    <mergeCell ref="K2537:K2539"/>
    <mergeCell ref="M2538:N2538"/>
    <mergeCell ref="M2539:N2539"/>
    <mergeCell ref="M2531:N2531"/>
    <mergeCell ref="M2532:N2532"/>
    <mergeCell ref="R2534:Z2534"/>
    <mergeCell ref="R2535:Z2535"/>
    <mergeCell ref="B2536:B2539"/>
    <mergeCell ref="C2536:C2539"/>
    <mergeCell ref="D2536:D2539"/>
    <mergeCell ref="E2536:E2539"/>
    <mergeCell ref="F2536:F2539"/>
    <mergeCell ref="G2536:G2539"/>
    <mergeCell ref="H2524:H2532"/>
    <mergeCell ref="I2524:I2532"/>
    <mergeCell ref="J2524:J2532"/>
    <mergeCell ref="M2524:N2524"/>
    <mergeCell ref="M2525:N2525"/>
    <mergeCell ref="M2526:N2526"/>
    <mergeCell ref="M2527:N2527"/>
    <mergeCell ref="M2528:N2528"/>
    <mergeCell ref="M2529:N2529"/>
    <mergeCell ref="M2530:N2530"/>
    <mergeCell ref="B2524:B2532"/>
    <mergeCell ref="C2524:C2532"/>
    <mergeCell ref="D2524:D2532"/>
    <mergeCell ref="E2524:E2532"/>
    <mergeCell ref="F2524:F2532"/>
    <mergeCell ref="G2524:G2532"/>
    <mergeCell ref="O2520:Z2520"/>
    <mergeCell ref="AA2520:AA2521"/>
    <mergeCell ref="J2521:J2523"/>
    <mergeCell ref="K2521:K2523"/>
    <mergeCell ref="M2522:N2522"/>
    <mergeCell ref="M2523:N2523"/>
    <mergeCell ref="G2520:G2523"/>
    <mergeCell ref="H2520:H2523"/>
    <mergeCell ref="I2520:I2523"/>
    <mergeCell ref="J2520:K2520"/>
    <mergeCell ref="L2520:L2523"/>
    <mergeCell ref="M2520:N2521"/>
    <mergeCell ref="M2514:N2514"/>
    <mergeCell ref="M2515:N2515"/>
    <mergeCell ref="M2516:N2516"/>
    <mergeCell ref="V2518:Z2518"/>
    <mergeCell ref="V2519:Z2519"/>
    <mergeCell ref="B2520:B2523"/>
    <mergeCell ref="C2520:C2523"/>
    <mergeCell ref="D2520:D2523"/>
    <mergeCell ref="E2520:E2523"/>
    <mergeCell ref="F2520:F2523"/>
    <mergeCell ref="M2508:N2508"/>
    <mergeCell ref="M2509:N2509"/>
    <mergeCell ref="M2510:N2510"/>
    <mergeCell ref="M2511:N2511"/>
    <mergeCell ref="M2512:N2512"/>
    <mergeCell ref="M2513:N2513"/>
    <mergeCell ref="M2502:N2502"/>
    <mergeCell ref="M2503:N2503"/>
    <mergeCell ref="M2504:N2504"/>
    <mergeCell ref="M2505:N2505"/>
    <mergeCell ref="M2506:N2506"/>
    <mergeCell ref="M2507:N2507"/>
    <mergeCell ref="M2496:N2496"/>
    <mergeCell ref="M2497:N2497"/>
    <mergeCell ref="M2498:N2498"/>
    <mergeCell ref="M2499:N2499"/>
    <mergeCell ref="M2500:N2500"/>
    <mergeCell ref="M2501:N2501"/>
    <mergeCell ref="G2490:G2516"/>
    <mergeCell ref="H2490:H2516"/>
    <mergeCell ref="I2490:I2516"/>
    <mergeCell ref="J2490:J2516"/>
    <mergeCell ref="M2490:N2490"/>
    <mergeCell ref="M2491:N2491"/>
    <mergeCell ref="M2492:N2492"/>
    <mergeCell ref="M2493:N2493"/>
    <mergeCell ref="M2494:N2494"/>
    <mergeCell ref="M2495:N2495"/>
    <mergeCell ref="AA2486:AA2487"/>
    <mergeCell ref="J2487:J2489"/>
    <mergeCell ref="K2487:K2489"/>
    <mergeCell ref="M2488:N2488"/>
    <mergeCell ref="M2489:N2489"/>
    <mergeCell ref="B2490:B2516"/>
    <mergeCell ref="C2490:C2516"/>
    <mergeCell ref="D2490:D2516"/>
    <mergeCell ref="E2490:E2516"/>
    <mergeCell ref="F2490:F2516"/>
    <mergeCell ref="H2486:H2489"/>
    <mergeCell ref="I2486:I2489"/>
    <mergeCell ref="J2486:K2486"/>
    <mergeCell ref="L2486:L2489"/>
    <mergeCell ref="M2486:N2487"/>
    <mergeCell ref="O2486:Z2486"/>
    <mergeCell ref="M2481:N2481"/>
    <mergeCell ref="M2482:N2482"/>
    <mergeCell ref="R2484:Z2484"/>
    <mergeCell ref="R2485:Z2485"/>
    <mergeCell ref="B2486:B2489"/>
    <mergeCell ref="C2486:C2489"/>
    <mergeCell ref="D2486:D2489"/>
    <mergeCell ref="E2486:E2489"/>
    <mergeCell ref="F2486:F2489"/>
    <mergeCell ref="G2486:G2489"/>
    <mergeCell ref="M2475:N2475"/>
    <mergeCell ref="M2476:N2476"/>
    <mergeCell ref="M2477:N2477"/>
    <mergeCell ref="M2478:N2478"/>
    <mergeCell ref="M2479:N2479"/>
    <mergeCell ref="M2480:N2480"/>
    <mergeCell ref="H2468:H2482"/>
    <mergeCell ref="I2468:I2482"/>
    <mergeCell ref="J2468:J2482"/>
    <mergeCell ref="M2468:N2468"/>
    <mergeCell ref="M2469:N2469"/>
    <mergeCell ref="M2470:N2470"/>
    <mergeCell ref="M2471:N2471"/>
    <mergeCell ref="M2472:N2472"/>
    <mergeCell ref="M2473:N2473"/>
    <mergeCell ref="M2474:N2474"/>
    <mergeCell ref="B2468:B2482"/>
    <mergeCell ref="C2468:C2482"/>
    <mergeCell ref="D2468:D2482"/>
    <mergeCell ref="E2468:E2482"/>
    <mergeCell ref="F2468:F2482"/>
    <mergeCell ref="G2468:G2482"/>
    <mergeCell ref="I2464:I2467"/>
    <mergeCell ref="J2464:K2464"/>
    <mergeCell ref="L2464:L2467"/>
    <mergeCell ref="M2464:N2465"/>
    <mergeCell ref="O2464:Z2464"/>
    <mergeCell ref="AA2464:AA2465"/>
    <mergeCell ref="J2465:J2467"/>
    <mergeCell ref="K2465:K2467"/>
    <mergeCell ref="M2466:N2466"/>
    <mergeCell ref="M2467:N2467"/>
    <mergeCell ref="M2460:N2460"/>
    <mergeCell ref="R2462:Z2462"/>
    <mergeCell ref="R2463:Z2463"/>
    <mergeCell ref="B2464:B2467"/>
    <mergeCell ref="C2464:C2467"/>
    <mergeCell ref="D2464:D2467"/>
    <mergeCell ref="E2464:E2467"/>
    <mergeCell ref="F2464:F2467"/>
    <mergeCell ref="G2464:G2467"/>
    <mergeCell ref="H2464:H2467"/>
    <mergeCell ref="G2454:G2460"/>
    <mergeCell ref="H2454:H2460"/>
    <mergeCell ref="I2454:I2460"/>
    <mergeCell ref="J2454:J2460"/>
    <mergeCell ref="M2454:N2454"/>
    <mergeCell ref="M2455:N2455"/>
    <mergeCell ref="M2456:N2456"/>
    <mergeCell ref="M2457:N2457"/>
    <mergeCell ref="M2458:N2458"/>
    <mergeCell ref="M2459:N2459"/>
    <mergeCell ref="AA2450:AA2451"/>
    <mergeCell ref="J2451:J2453"/>
    <mergeCell ref="K2451:K2453"/>
    <mergeCell ref="M2452:N2452"/>
    <mergeCell ref="M2453:N2453"/>
    <mergeCell ref="B2454:B2460"/>
    <mergeCell ref="C2454:C2460"/>
    <mergeCell ref="D2454:D2460"/>
    <mergeCell ref="E2454:E2460"/>
    <mergeCell ref="F2454:F2460"/>
    <mergeCell ref="H2450:H2453"/>
    <mergeCell ref="I2450:I2453"/>
    <mergeCell ref="J2450:K2450"/>
    <mergeCell ref="L2450:L2453"/>
    <mergeCell ref="M2450:N2451"/>
    <mergeCell ref="O2450:Z2450"/>
    <mergeCell ref="M2446:N2446"/>
    <mergeCell ref="M2447:N2447"/>
    <mergeCell ref="M2448:N2448"/>
    <mergeCell ref="M2449:N2449"/>
    <mergeCell ref="B2450:B2453"/>
    <mergeCell ref="C2450:C2453"/>
    <mergeCell ref="D2450:D2453"/>
    <mergeCell ref="E2450:E2453"/>
    <mergeCell ref="F2450:F2453"/>
    <mergeCell ref="G2450:G2453"/>
    <mergeCell ref="M2440:N2440"/>
    <mergeCell ref="M2441:N2441"/>
    <mergeCell ref="M2442:N2442"/>
    <mergeCell ref="M2443:N2443"/>
    <mergeCell ref="M2444:N2444"/>
    <mergeCell ref="M2445:N2445"/>
    <mergeCell ref="M2434:N2434"/>
    <mergeCell ref="M2435:N2435"/>
    <mergeCell ref="M2436:N2436"/>
    <mergeCell ref="M2437:N2437"/>
    <mergeCell ref="M2438:N2438"/>
    <mergeCell ref="M2439:N2439"/>
    <mergeCell ref="G2428:G2448"/>
    <mergeCell ref="H2428:H2448"/>
    <mergeCell ref="I2428:I2448"/>
    <mergeCell ref="J2428:J2448"/>
    <mergeCell ref="M2428:N2428"/>
    <mergeCell ref="M2429:N2429"/>
    <mergeCell ref="M2430:N2430"/>
    <mergeCell ref="M2431:N2431"/>
    <mergeCell ref="M2432:N2432"/>
    <mergeCell ref="M2433:N2433"/>
    <mergeCell ref="AA2424:AA2425"/>
    <mergeCell ref="J2425:J2427"/>
    <mergeCell ref="K2425:K2427"/>
    <mergeCell ref="M2426:N2426"/>
    <mergeCell ref="M2427:N2427"/>
    <mergeCell ref="B2428:B2448"/>
    <mergeCell ref="C2428:C2448"/>
    <mergeCell ref="D2428:D2448"/>
    <mergeCell ref="E2428:E2448"/>
    <mergeCell ref="F2428:F2448"/>
    <mergeCell ref="H2424:H2427"/>
    <mergeCell ref="I2424:I2427"/>
    <mergeCell ref="J2424:K2424"/>
    <mergeCell ref="L2424:L2427"/>
    <mergeCell ref="M2424:N2425"/>
    <mergeCell ref="O2424:Z2424"/>
    <mergeCell ref="B2424:B2427"/>
    <mergeCell ref="C2424:C2427"/>
    <mergeCell ref="D2424:D2427"/>
    <mergeCell ref="E2424:E2427"/>
    <mergeCell ref="F2424:F2427"/>
    <mergeCell ref="G2424:G2427"/>
    <mergeCell ref="I2404:I2415"/>
    <mergeCell ref="J2404:J2415"/>
    <mergeCell ref="L2404:L2416"/>
    <mergeCell ref="B2418:B2419"/>
    <mergeCell ref="U2421:Z2421"/>
    <mergeCell ref="U2422:Z2422"/>
    <mergeCell ref="O2400:Z2400"/>
    <mergeCell ref="AA2400:AA2401"/>
    <mergeCell ref="K2401:K2403"/>
    <mergeCell ref="B2404:B2415"/>
    <mergeCell ref="C2404:C2415"/>
    <mergeCell ref="D2404:D2415"/>
    <mergeCell ref="E2404:E2415"/>
    <mergeCell ref="F2404:F2415"/>
    <mergeCell ref="G2404:G2415"/>
    <mergeCell ref="H2404:H2415"/>
    <mergeCell ref="G2400:G2403"/>
    <mergeCell ref="H2400:H2403"/>
    <mergeCell ref="I2400:I2403"/>
    <mergeCell ref="J2400:K2400"/>
    <mergeCell ref="L2400:L2403"/>
    <mergeCell ref="M2400:M2401"/>
    <mergeCell ref="I2389:I2394"/>
    <mergeCell ref="J2389:J2394"/>
    <mergeCell ref="L2389:L2394"/>
    <mergeCell ref="S2398:Z2398"/>
    <mergeCell ref="S2399:Z2399"/>
    <mergeCell ref="B2400:B2403"/>
    <mergeCell ref="C2400:C2403"/>
    <mergeCell ref="D2400:D2403"/>
    <mergeCell ref="E2400:E2403"/>
    <mergeCell ref="F2400:F2403"/>
    <mergeCell ref="O2385:Z2385"/>
    <mergeCell ref="AA2385:AA2386"/>
    <mergeCell ref="K2386:K2388"/>
    <mergeCell ref="B2389:B2394"/>
    <mergeCell ref="C2389:C2394"/>
    <mergeCell ref="D2389:D2394"/>
    <mergeCell ref="E2389:E2394"/>
    <mergeCell ref="F2389:F2394"/>
    <mergeCell ref="G2389:G2394"/>
    <mergeCell ref="H2389:H2394"/>
    <mergeCell ref="G2385:G2388"/>
    <mergeCell ref="H2385:H2388"/>
    <mergeCell ref="I2385:I2388"/>
    <mergeCell ref="J2385:K2385"/>
    <mergeCell ref="L2385:L2388"/>
    <mergeCell ref="M2385:M2386"/>
    <mergeCell ref="J2368:J2379"/>
    <mergeCell ref="L2368:L2380"/>
    <mergeCell ref="S2383:Z2383"/>
    <mergeCell ref="E2384:R2384"/>
    <mergeCell ref="S2384:Z2384"/>
    <mergeCell ref="B2385:B2388"/>
    <mergeCell ref="C2385:C2388"/>
    <mergeCell ref="D2385:D2388"/>
    <mergeCell ref="E2385:E2388"/>
    <mergeCell ref="F2385:F2388"/>
    <mergeCell ref="AA2364:AA2365"/>
    <mergeCell ref="K2365:K2367"/>
    <mergeCell ref="B2368:B2379"/>
    <mergeCell ref="C2368:C2379"/>
    <mergeCell ref="D2368:D2379"/>
    <mergeCell ref="E2368:E2379"/>
    <mergeCell ref="F2368:F2379"/>
    <mergeCell ref="G2368:G2379"/>
    <mergeCell ref="H2368:H2379"/>
    <mergeCell ref="I2368:I2379"/>
    <mergeCell ref="H2364:H2367"/>
    <mergeCell ref="I2364:I2367"/>
    <mergeCell ref="J2364:K2364"/>
    <mergeCell ref="L2364:L2367"/>
    <mergeCell ref="M2364:M2365"/>
    <mergeCell ref="O2364:Z2364"/>
    <mergeCell ref="J2344:J2358"/>
    <mergeCell ref="L2344:L2359"/>
    <mergeCell ref="S2362:Z2362"/>
    <mergeCell ref="S2363:Z2363"/>
    <mergeCell ref="B2364:B2367"/>
    <mergeCell ref="C2364:C2367"/>
    <mergeCell ref="D2364:D2367"/>
    <mergeCell ref="E2364:E2367"/>
    <mergeCell ref="F2364:F2367"/>
    <mergeCell ref="G2364:G2367"/>
    <mergeCell ref="AA2340:AA2341"/>
    <mergeCell ref="K2341:K2343"/>
    <mergeCell ref="B2344:B2358"/>
    <mergeCell ref="C2344:C2358"/>
    <mergeCell ref="D2344:D2358"/>
    <mergeCell ref="E2344:E2358"/>
    <mergeCell ref="F2344:F2358"/>
    <mergeCell ref="G2344:G2358"/>
    <mergeCell ref="H2344:H2358"/>
    <mergeCell ref="I2344:I2358"/>
    <mergeCell ref="H2340:H2343"/>
    <mergeCell ref="I2340:I2343"/>
    <mergeCell ref="J2340:K2340"/>
    <mergeCell ref="L2340:L2343"/>
    <mergeCell ref="M2340:M2341"/>
    <mergeCell ref="O2340:Z2340"/>
    <mergeCell ref="J2319:J2334"/>
    <mergeCell ref="L2319:L2335"/>
    <mergeCell ref="S2338:Z2338"/>
    <mergeCell ref="S2339:Z2339"/>
    <mergeCell ref="B2340:B2343"/>
    <mergeCell ref="C2340:C2343"/>
    <mergeCell ref="D2340:D2343"/>
    <mergeCell ref="E2340:E2343"/>
    <mergeCell ref="F2340:F2343"/>
    <mergeCell ref="G2340:G2343"/>
    <mergeCell ref="AA2315:AA2316"/>
    <mergeCell ref="K2316:K2318"/>
    <mergeCell ref="B2319:B2334"/>
    <mergeCell ref="C2319:C2334"/>
    <mergeCell ref="D2319:D2334"/>
    <mergeCell ref="E2319:E2334"/>
    <mergeCell ref="F2319:F2334"/>
    <mergeCell ref="G2319:G2334"/>
    <mergeCell ref="H2319:H2334"/>
    <mergeCell ref="I2319:I2334"/>
    <mergeCell ref="H2315:H2318"/>
    <mergeCell ref="I2315:I2318"/>
    <mergeCell ref="J2315:K2315"/>
    <mergeCell ref="L2315:L2318"/>
    <mergeCell ref="M2315:M2316"/>
    <mergeCell ref="O2315:Z2315"/>
    <mergeCell ref="J2298:J2309"/>
    <mergeCell ref="L2298:L2309"/>
    <mergeCell ref="S2313:Z2313"/>
    <mergeCell ref="S2314:Z2314"/>
    <mergeCell ref="B2315:B2318"/>
    <mergeCell ref="C2315:C2318"/>
    <mergeCell ref="D2315:D2318"/>
    <mergeCell ref="E2315:E2318"/>
    <mergeCell ref="F2315:F2318"/>
    <mergeCell ref="G2315:G2318"/>
    <mergeCell ref="AA2294:AA2295"/>
    <mergeCell ref="K2295:K2297"/>
    <mergeCell ref="B2298:B2309"/>
    <mergeCell ref="C2298:C2309"/>
    <mergeCell ref="D2298:D2309"/>
    <mergeCell ref="E2298:E2309"/>
    <mergeCell ref="F2298:F2309"/>
    <mergeCell ref="G2298:G2309"/>
    <mergeCell ref="H2298:H2309"/>
    <mergeCell ref="I2298:I2309"/>
    <mergeCell ref="H2294:H2297"/>
    <mergeCell ref="I2294:I2297"/>
    <mergeCell ref="J2294:K2294"/>
    <mergeCell ref="L2294:L2297"/>
    <mergeCell ref="M2294:M2295"/>
    <mergeCell ref="O2294:Z2294"/>
    <mergeCell ref="J2276:J2288"/>
    <mergeCell ref="L2276:L2289"/>
    <mergeCell ref="S2292:Z2292"/>
    <mergeCell ref="S2293:Z2293"/>
    <mergeCell ref="B2294:B2297"/>
    <mergeCell ref="C2294:C2297"/>
    <mergeCell ref="D2294:D2297"/>
    <mergeCell ref="E2294:E2297"/>
    <mergeCell ref="F2294:F2297"/>
    <mergeCell ref="G2294:G2297"/>
    <mergeCell ref="AA2272:AA2273"/>
    <mergeCell ref="K2273:K2275"/>
    <mergeCell ref="B2276:B2288"/>
    <mergeCell ref="C2276:C2288"/>
    <mergeCell ref="D2276:D2288"/>
    <mergeCell ref="E2276:E2288"/>
    <mergeCell ref="F2276:F2288"/>
    <mergeCell ref="G2276:G2288"/>
    <mergeCell ref="H2276:H2288"/>
    <mergeCell ref="I2276:I2288"/>
    <mergeCell ref="H2272:H2275"/>
    <mergeCell ref="I2272:I2275"/>
    <mergeCell ref="J2272:K2272"/>
    <mergeCell ref="L2272:L2275"/>
    <mergeCell ref="M2272:M2273"/>
    <mergeCell ref="O2272:Z2272"/>
    <mergeCell ref="J2249:J2266"/>
    <mergeCell ref="L2249:L2267"/>
    <mergeCell ref="S2270:Z2270"/>
    <mergeCell ref="S2271:Z2271"/>
    <mergeCell ref="B2272:B2275"/>
    <mergeCell ref="C2272:C2275"/>
    <mergeCell ref="D2272:D2275"/>
    <mergeCell ref="E2272:E2275"/>
    <mergeCell ref="F2272:F2275"/>
    <mergeCell ref="G2272:G2275"/>
    <mergeCell ref="AA2245:AA2246"/>
    <mergeCell ref="K2246:K2248"/>
    <mergeCell ref="B2249:B2266"/>
    <mergeCell ref="C2249:C2266"/>
    <mergeCell ref="D2249:D2266"/>
    <mergeCell ref="E2249:E2266"/>
    <mergeCell ref="F2249:F2266"/>
    <mergeCell ref="G2249:G2266"/>
    <mergeCell ref="H2249:H2266"/>
    <mergeCell ref="I2249:I2266"/>
    <mergeCell ref="H2245:H2248"/>
    <mergeCell ref="I2245:I2248"/>
    <mergeCell ref="J2245:K2245"/>
    <mergeCell ref="L2245:L2248"/>
    <mergeCell ref="M2245:M2246"/>
    <mergeCell ref="O2245:Z2245"/>
    <mergeCell ref="J2225:J2239"/>
    <mergeCell ref="L2225:L2240"/>
    <mergeCell ref="S2243:Z2243"/>
    <mergeCell ref="S2244:Z2244"/>
    <mergeCell ref="B2245:B2248"/>
    <mergeCell ref="C2245:C2248"/>
    <mergeCell ref="D2245:D2248"/>
    <mergeCell ref="E2245:E2248"/>
    <mergeCell ref="F2245:F2248"/>
    <mergeCell ref="G2245:G2248"/>
    <mergeCell ref="AA2221:AA2222"/>
    <mergeCell ref="K2222:K2224"/>
    <mergeCell ref="B2225:B2239"/>
    <mergeCell ref="C2225:C2239"/>
    <mergeCell ref="D2225:D2239"/>
    <mergeCell ref="E2225:E2239"/>
    <mergeCell ref="F2225:F2239"/>
    <mergeCell ref="G2225:G2239"/>
    <mergeCell ref="H2225:H2239"/>
    <mergeCell ref="I2225:I2239"/>
    <mergeCell ref="H2221:H2224"/>
    <mergeCell ref="I2221:I2224"/>
    <mergeCell ref="J2221:K2221"/>
    <mergeCell ref="L2221:L2224"/>
    <mergeCell ref="M2221:M2222"/>
    <mergeCell ref="O2221:Z2221"/>
    <mergeCell ref="J2195:J2217"/>
    <mergeCell ref="L2195:L2218"/>
    <mergeCell ref="U2219:Z2219"/>
    <mergeCell ref="U2220:Z2220"/>
    <mergeCell ref="B2221:B2224"/>
    <mergeCell ref="C2221:C2224"/>
    <mergeCell ref="D2221:D2224"/>
    <mergeCell ref="E2221:E2224"/>
    <mergeCell ref="F2221:F2224"/>
    <mergeCell ref="G2221:G2224"/>
    <mergeCell ref="AA2191:AA2192"/>
    <mergeCell ref="K2192:K2194"/>
    <mergeCell ref="B2195:B2217"/>
    <mergeCell ref="C2195:C2217"/>
    <mergeCell ref="D2195:D2217"/>
    <mergeCell ref="E2195:E2217"/>
    <mergeCell ref="F2195:F2217"/>
    <mergeCell ref="G2195:G2217"/>
    <mergeCell ref="H2195:H2217"/>
    <mergeCell ref="I2195:I2217"/>
    <mergeCell ref="H2191:H2194"/>
    <mergeCell ref="I2191:I2194"/>
    <mergeCell ref="J2191:K2191"/>
    <mergeCell ref="L2191:L2194"/>
    <mergeCell ref="M2191:M2192"/>
    <mergeCell ref="O2191:Z2191"/>
    <mergeCell ref="I2172:I2187"/>
    <mergeCell ref="L2172:L2187"/>
    <mergeCell ref="U2189:Z2189"/>
    <mergeCell ref="U2190:Z2190"/>
    <mergeCell ref="B2191:B2194"/>
    <mergeCell ref="C2191:C2194"/>
    <mergeCell ref="D2191:D2194"/>
    <mergeCell ref="E2191:E2194"/>
    <mergeCell ref="F2191:F2194"/>
    <mergeCell ref="G2191:G2194"/>
    <mergeCell ref="AA2168:AA2169"/>
    <mergeCell ref="K2169:K2171"/>
    <mergeCell ref="B2172:B2187"/>
    <mergeCell ref="C2172:C2187"/>
    <mergeCell ref="D2172:D2187"/>
    <mergeCell ref="E2172:E2187"/>
    <mergeCell ref="F2172:F2187"/>
    <mergeCell ref="G2172:G2187"/>
    <mergeCell ref="H2172:H2187"/>
    <mergeCell ref="H2168:H2171"/>
    <mergeCell ref="I2168:I2171"/>
    <mergeCell ref="J2168:K2168"/>
    <mergeCell ref="L2168:L2171"/>
    <mergeCell ref="M2168:M2169"/>
    <mergeCell ref="O2168:Z2168"/>
    <mergeCell ref="J2158:J2164"/>
    <mergeCell ref="L2158:L2165"/>
    <mergeCell ref="U2166:Z2166"/>
    <mergeCell ref="U2167:Z2167"/>
    <mergeCell ref="B2168:B2171"/>
    <mergeCell ref="C2168:C2171"/>
    <mergeCell ref="D2168:D2171"/>
    <mergeCell ref="E2168:E2171"/>
    <mergeCell ref="F2168:F2171"/>
    <mergeCell ref="G2168:G2171"/>
    <mergeCell ref="AA2154:AA2155"/>
    <mergeCell ref="K2155:K2157"/>
    <mergeCell ref="B2158:B2164"/>
    <mergeCell ref="C2158:C2164"/>
    <mergeCell ref="D2158:D2164"/>
    <mergeCell ref="E2158:E2164"/>
    <mergeCell ref="F2158:F2164"/>
    <mergeCell ref="G2158:G2164"/>
    <mergeCell ref="H2158:H2164"/>
    <mergeCell ref="I2158:I2164"/>
    <mergeCell ref="H2154:H2157"/>
    <mergeCell ref="I2154:I2157"/>
    <mergeCell ref="J2154:K2154"/>
    <mergeCell ref="L2154:L2157"/>
    <mergeCell ref="M2154:M2155"/>
    <mergeCell ref="O2154:Z2154"/>
    <mergeCell ref="B2154:B2157"/>
    <mergeCell ref="C2154:C2157"/>
    <mergeCell ref="D2154:D2157"/>
    <mergeCell ref="E2154:E2157"/>
    <mergeCell ref="F2154:F2157"/>
    <mergeCell ref="G2154:G2157"/>
    <mergeCell ref="H2133:H2150"/>
    <mergeCell ref="I2133:I2150"/>
    <mergeCell ref="J2133:J2150"/>
    <mergeCell ref="L2133:L2151"/>
    <mergeCell ref="S2152:Z2152"/>
    <mergeCell ref="S2153:Z2153"/>
    <mergeCell ref="B2133:B2150"/>
    <mergeCell ref="C2133:C2150"/>
    <mergeCell ref="D2133:D2150"/>
    <mergeCell ref="E2133:E2150"/>
    <mergeCell ref="F2133:F2150"/>
    <mergeCell ref="G2133:G2150"/>
    <mergeCell ref="I2129:I2132"/>
    <mergeCell ref="J2129:K2129"/>
    <mergeCell ref="L2129:L2132"/>
    <mergeCell ref="M2129:M2130"/>
    <mergeCell ref="O2129:Z2129"/>
    <mergeCell ref="AA2129:AA2130"/>
    <mergeCell ref="K2130:K2132"/>
    <mergeCell ref="L2115:L2125"/>
    <mergeCell ref="S2127:Z2127"/>
    <mergeCell ref="S2128:Z2128"/>
    <mergeCell ref="B2129:B2132"/>
    <mergeCell ref="C2129:C2132"/>
    <mergeCell ref="D2129:D2132"/>
    <mergeCell ref="E2129:E2132"/>
    <mergeCell ref="F2129:F2132"/>
    <mergeCell ref="G2129:G2132"/>
    <mergeCell ref="H2129:H2132"/>
    <mergeCell ref="AA2111:AA2112"/>
    <mergeCell ref="K2112:K2114"/>
    <mergeCell ref="B2115:B2125"/>
    <mergeCell ref="C2115:C2125"/>
    <mergeCell ref="D2115:D2125"/>
    <mergeCell ref="E2115:E2125"/>
    <mergeCell ref="F2115:F2125"/>
    <mergeCell ref="G2115:G2125"/>
    <mergeCell ref="H2115:H2125"/>
    <mergeCell ref="I2115:I2125"/>
    <mergeCell ref="H2111:H2114"/>
    <mergeCell ref="I2111:I2114"/>
    <mergeCell ref="J2111:K2111"/>
    <mergeCell ref="L2111:L2114"/>
    <mergeCell ref="M2111:M2112"/>
    <mergeCell ref="O2111:Z2111"/>
    <mergeCell ref="J2092:J2107"/>
    <mergeCell ref="L2092:L2108"/>
    <mergeCell ref="S2109:Z2109"/>
    <mergeCell ref="S2110:Z2110"/>
    <mergeCell ref="B2111:B2114"/>
    <mergeCell ref="C2111:C2114"/>
    <mergeCell ref="D2111:D2114"/>
    <mergeCell ref="E2111:E2114"/>
    <mergeCell ref="F2111:F2114"/>
    <mergeCell ref="G2111:G2114"/>
    <mergeCell ref="AA2088:AA2089"/>
    <mergeCell ref="K2089:K2091"/>
    <mergeCell ref="B2092:B2107"/>
    <mergeCell ref="C2092:C2107"/>
    <mergeCell ref="D2092:D2107"/>
    <mergeCell ref="E2092:E2107"/>
    <mergeCell ref="F2092:F2107"/>
    <mergeCell ref="G2092:G2107"/>
    <mergeCell ref="H2092:H2107"/>
    <mergeCell ref="I2092:I2107"/>
    <mergeCell ref="H2088:H2091"/>
    <mergeCell ref="I2088:I2091"/>
    <mergeCell ref="J2088:K2088"/>
    <mergeCell ref="L2088:L2091"/>
    <mergeCell ref="M2088:M2089"/>
    <mergeCell ref="O2088:Z2088"/>
    <mergeCell ref="I2082:I2084"/>
    <mergeCell ref="J2082:J2084"/>
    <mergeCell ref="S2086:Z2086"/>
    <mergeCell ref="S2087:Z2087"/>
    <mergeCell ref="B2088:B2091"/>
    <mergeCell ref="C2088:C2091"/>
    <mergeCell ref="D2088:D2091"/>
    <mergeCell ref="E2088:E2091"/>
    <mergeCell ref="F2088:F2091"/>
    <mergeCell ref="G2088:G2091"/>
    <mergeCell ref="AA2078:AA2079"/>
    <mergeCell ref="K2079:K2081"/>
    <mergeCell ref="L2081:L2084"/>
    <mergeCell ref="B2082:B2084"/>
    <mergeCell ref="C2082:C2084"/>
    <mergeCell ref="D2082:D2084"/>
    <mergeCell ref="E2082:E2084"/>
    <mergeCell ref="F2082:F2084"/>
    <mergeCell ref="G2082:G2084"/>
    <mergeCell ref="H2082:H2084"/>
    <mergeCell ref="H2078:H2081"/>
    <mergeCell ref="I2078:I2081"/>
    <mergeCell ref="J2078:K2078"/>
    <mergeCell ref="L2078:L2080"/>
    <mergeCell ref="M2078:M2079"/>
    <mergeCell ref="O2078:Z2078"/>
    <mergeCell ref="J2064:J2074"/>
    <mergeCell ref="L2064:L2074"/>
    <mergeCell ref="S2076:Z2076"/>
    <mergeCell ref="S2077:Z2077"/>
    <mergeCell ref="B2078:B2081"/>
    <mergeCell ref="C2078:C2081"/>
    <mergeCell ref="D2078:D2081"/>
    <mergeCell ref="E2078:E2081"/>
    <mergeCell ref="F2078:F2081"/>
    <mergeCell ref="G2078:G2081"/>
    <mergeCell ref="AA2060:AA2061"/>
    <mergeCell ref="K2061:K2063"/>
    <mergeCell ref="B2064:B2074"/>
    <mergeCell ref="C2064:C2074"/>
    <mergeCell ref="D2064:D2074"/>
    <mergeCell ref="E2064:E2074"/>
    <mergeCell ref="F2064:F2074"/>
    <mergeCell ref="G2064:G2074"/>
    <mergeCell ref="H2064:H2074"/>
    <mergeCell ref="I2064:I2074"/>
    <mergeCell ref="H2060:H2063"/>
    <mergeCell ref="I2060:I2063"/>
    <mergeCell ref="J2060:K2060"/>
    <mergeCell ref="L2060:L2063"/>
    <mergeCell ref="M2060:M2061"/>
    <mergeCell ref="O2060:Z2060"/>
    <mergeCell ref="J2046:J2054"/>
    <mergeCell ref="L2046:L2055"/>
    <mergeCell ref="S2058:Z2058"/>
    <mergeCell ref="S2059:Z2059"/>
    <mergeCell ref="B2060:B2063"/>
    <mergeCell ref="C2060:C2063"/>
    <mergeCell ref="D2060:D2063"/>
    <mergeCell ref="E2060:E2063"/>
    <mergeCell ref="F2060:F2063"/>
    <mergeCell ref="G2060:G2063"/>
    <mergeCell ref="AA2042:AA2043"/>
    <mergeCell ref="K2043:K2045"/>
    <mergeCell ref="B2046:B2054"/>
    <mergeCell ref="C2046:C2054"/>
    <mergeCell ref="D2046:D2054"/>
    <mergeCell ref="E2046:E2054"/>
    <mergeCell ref="F2046:F2054"/>
    <mergeCell ref="G2046:G2054"/>
    <mergeCell ref="H2046:H2054"/>
    <mergeCell ref="I2046:I2054"/>
    <mergeCell ref="H2042:H2045"/>
    <mergeCell ref="I2042:I2045"/>
    <mergeCell ref="J2042:K2042"/>
    <mergeCell ref="L2042:L2045"/>
    <mergeCell ref="M2042:M2043"/>
    <mergeCell ref="O2042:Z2042"/>
    <mergeCell ref="H2022:H2040"/>
    <mergeCell ref="I2022:I2040"/>
    <mergeCell ref="J2022:J2040"/>
    <mergeCell ref="L2022:L2041"/>
    <mergeCell ref="B2042:B2045"/>
    <mergeCell ref="C2042:C2045"/>
    <mergeCell ref="D2042:D2045"/>
    <mergeCell ref="E2042:E2045"/>
    <mergeCell ref="F2042:F2045"/>
    <mergeCell ref="G2042:G2045"/>
    <mergeCell ref="B2022:B2040"/>
    <mergeCell ref="C2022:C2040"/>
    <mergeCell ref="D2022:D2040"/>
    <mergeCell ref="E2022:E2040"/>
    <mergeCell ref="F2022:F2040"/>
    <mergeCell ref="G2022:G2040"/>
    <mergeCell ref="I2018:I2021"/>
    <mergeCell ref="J2018:K2018"/>
    <mergeCell ref="L2018:L2021"/>
    <mergeCell ref="M2018:M2019"/>
    <mergeCell ref="O2018:Z2018"/>
    <mergeCell ref="AA2018:AA2019"/>
    <mergeCell ref="K2019:K2021"/>
    <mergeCell ref="D2014:M2014"/>
    <mergeCell ref="U2015:Z2015"/>
    <mergeCell ref="U2016:Z2016"/>
    <mergeCell ref="B2018:B2021"/>
    <mergeCell ref="C2018:C2021"/>
    <mergeCell ref="D2018:D2021"/>
    <mergeCell ref="E2018:E2021"/>
    <mergeCell ref="F2018:F2021"/>
    <mergeCell ref="G2018:G2021"/>
    <mergeCell ref="H2018:H2021"/>
    <mergeCell ref="M2006:N2006"/>
    <mergeCell ref="M2007:N2007"/>
    <mergeCell ref="M2008:N2008"/>
    <mergeCell ref="M2009:N2009"/>
    <mergeCell ref="B2012:B2013"/>
    <mergeCell ref="D2012:M2012"/>
    <mergeCell ref="D2013:M2013"/>
    <mergeCell ref="M2000:N2000"/>
    <mergeCell ref="M2001:N2001"/>
    <mergeCell ref="M2002:N2002"/>
    <mergeCell ref="M2003:N2003"/>
    <mergeCell ref="M2004:N2004"/>
    <mergeCell ref="M2005:N2005"/>
    <mergeCell ref="H1993:H2009"/>
    <mergeCell ref="I1993:I2009"/>
    <mergeCell ref="L1993:L2010"/>
    <mergeCell ref="M1993:N1993"/>
    <mergeCell ref="M1994:N1994"/>
    <mergeCell ref="M1995:N1995"/>
    <mergeCell ref="M1996:N1996"/>
    <mergeCell ref="M1997:N1997"/>
    <mergeCell ref="M1998:N1998"/>
    <mergeCell ref="M1999:N1999"/>
    <mergeCell ref="B1993:B2009"/>
    <mergeCell ref="C1993:C2009"/>
    <mergeCell ref="D1993:D2009"/>
    <mergeCell ref="E1993:E2009"/>
    <mergeCell ref="F1993:F2009"/>
    <mergeCell ref="G1993:G2009"/>
    <mergeCell ref="J1989:K1989"/>
    <mergeCell ref="L1989:L1992"/>
    <mergeCell ref="M1989:N1990"/>
    <mergeCell ref="O1989:Z1989"/>
    <mergeCell ref="AA1989:AA1990"/>
    <mergeCell ref="K1990:K1992"/>
    <mergeCell ref="M1991:N1991"/>
    <mergeCell ref="M1992:N1992"/>
    <mergeCell ref="B1989:B1992"/>
    <mergeCell ref="C1989:C1992"/>
    <mergeCell ref="D1989:D1992"/>
    <mergeCell ref="E1989:E1992"/>
    <mergeCell ref="F1989:F1992"/>
    <mergeCell ref="G1989:G1992"/>
    <mergeCell ref="H1989:H1992"/>
    <mergeCell ref="I1989:I1992"/>
    <mergeCell ref="M1978:N1978"/>
    <mergeCell ref="M1979:N1979"/>
    <mergeCell ref="M1980:N1980"/>
    <mergeCell ref="M1981:N1981"/>
    <mergeCell ref="M1982:N1982"/>
    <mergeCell ref="M1983:N1983"/>
    <mergeCell ref="M1972:N1972"/>
    <mergeCell ref="M1973:N1973"/>
    <mergeCell ref="M1974:N1974"/>
    <mergeCell ref="M1975:N1975"/>
    <mergeCell ref="M1976:N1976"/>
    <mergeCell ref="M1977:N1977"/>
    <mergeCell ref="M1966:N1966"/>
    <mergeCell ref="M1967:N1967"/>
    <mergeCell ref="M1968:N1968"/>
    <mergeCell ref="M1969:N1969"/>
    <mergeCell ref="M1970:N1970"/>
    <mergeCell ref="M1971:N1971"/>
    <mergeCell ref="H1960:H1983"/>
    <mergeCell ref="I1960:I1983"/>
    <mergeCell ref="J1960:J1983"/>
    <mergeCell ref="L1960:L1984"/>
    <mergeCell ref="M1960:N1960"/>
    <mergeCell ref="M1961:N1961"/>
    <mergeCell ref="M1962:N1962"/>
    <mergeCell ref="M1963:N1963"/>
    <mergeCell ref="M1964:N1964"/>
    <mergeCell ref="M1965:N1965"/>
    <mergeCell ref="Z1987:AA1987"/>
    <mergeCell ref="Z1988:AA1988"/>
    <mergeCell ref="X1987:Y1987"/>
    <mergeCell ref="X1988:Y1988"/>
    <mergeCell ref="AA1956:AA1957"/>
    <mergeCell ref="K1957:K1959"/>
    <mergeCell ref="M1958:N1958"/>
    <mergeCell ref="M1959:N1959"/>
    <mergeCell ref="B1960:B1983"/>
    <mergeCell ref="C1960:C1983"/>
    <mergeCell ref="D1960:D1983"/>
    <mergeCell ref="E1960:E1983"/>
    <mergeCell ref="F1960:F1983"/>
    <mergeCell ref="G1960:G1983"/>
    <mergeCell ref="H1956:H1959"/>
    <mergeCell ref="I1956:I1959"/>
    <mergeCell ref="J1956:K1956"/>
    <mergeCell ref="L1956:L1959"/>
    <mergeCell ref="M1956:N1957"/>
    <mergeCell ref="O1956:Z1956"/>
    <mergeCell ref="B1956:B1959"/>
    <mergeCell ref="C1956:C1959"/>
    <mergeCell ref="D1956:D1959"/>
    <mergeCell ref="E1956:E1959"/>
    <mergeCell ref="F1956:F1959"/>
    <mergeCell ref="G1956:G1959"/>
    <mergeCell ref="M1949:N1949"/>
    <mergeCell ref="M1950:N1950"/>
    <mergeCell ref="M1951:N1951"/>
    <mergeCell ref="M1952:N1952"/>
    <mergeCell ref="W1954:Z1954"/>
    <mergeCell ref="W1955:Z1955"/>
    <mergeCell ref="M1943:N1943"/>
    <mergeCell ref="M1944:N1944"/>
    <mergeCell ref="M1945:N1945"/>
    <mergeCell ref="M1946:N1946"/>
    <mergeCell ref="M1947:N1947"/>
    <mergeCell ref="M1948:N1948"/>
    <mergeCell ref="M1937:N1937"/>
    <mergeCell ref="M1938:N1938"/>
    <mergeCell ref="M1939:N1939"/>
    <mergeCell ref="M1940:N1940"/>
    <mergeCell ref="M1941:N1941"/>
    <mergeCell ref="M1942:N1942"/>
    <mergeCell ref="H1931:H1952"/>
    <mergeCell ref="I1931:I1952"/>
    <mergeCell ref="J1931:J1952"/>
    <mergeCell ref="L1931:L1952"/>
    <mergeCell ref="M1931:N1931"/>
    <mergeCell ref="M1932:N1932"/>
    <mergeCell ref="M1933:N1933"/>
    <mergeCell ref="M1934:N1934"/>
    <mergeCell ref="M1935:N1935"/>
    <mergeCell ref="M1936:N1936"/>
    <mergeCell ref="B1931:B1952"/>
    <mergeCell ref="C1931:C1952"/>
    <mergeCell ref="D1931:D1952"/>
    <mergeCell ref="E1931:E1952"/>
    <mergeCell ref="F1931:F1952"/>
    <mergeCell ref="G1931:G1952"/>
    <mergeCell ref="I1927:I1930"/>
    <mergeCell ref="J1927:K1927"/>
    <mergeCell ref="L1927:L1930"/>
    <mergeCell ref="M1927:N1928"/>
    <mergeCell ref="O1927:Z1927"/>
    <mergeCell ref="AA1927:AA1928"/>
    <mergeCell ref="K1928:K1930"/>
    <mergeCell ref="M1929:N1929"/>
    <mergeCell ref="M1930:N1930"/>
    <mergeCell ref="M1923:N1923"/>
    <mergeCell ref="T1925:Z1925"/>
    <mergeCell ref="T1926:Z1926"/>
    <mergeCell ref="B1927:B1930"/>
    <mergeCell ref="C1927:C1930"/>
    <mergeCell ref="D1927:D1930"/>
    <mergeCell ref="E1927:E1930"/>
    <mergeCell ref="F1927:F1930"/>
    <mergeCell ref="G1927:G1930"/>
    <mergeCell ref="H1927:H1930"/>
    <mergeCell ref="M1917:N1917"/>
    <mergeCell ref="M1918:N1918"/>
    <mergeCell ref="M1919:N1919"/>
    <mergeCell ref="M1920:N1920"/>
    <mergeCell ref="M1921:N1921"/>
    <mergeCell ref="M1922:N1922"/>
    <mergeCell ref="M1911:N1911"/>
    <mergeCell ref="M1912:N1912"/>
    <mergeCell ref="M1913:N1913"/>
    <mergeCell ref="M1914:N1914"/>
    <mergeCell ref="M1915:N1915"/>
    <mergeCell ref="M1916:N1916"/>
    <mergeCell ref="M1905:N1905"/>
    <mergeCell ref="M1906:N1906"/>
    <mergeCell ref="M1907:N1907"/>
    <mergeCell ref="M1908:N1908"/>
    <mergeCell ref="M1909:N1909"/>
    <mergeCell ref="M1910:N1910"/>
    <mergeCell ref="H1899:H1923"/>
    <mergeCell ref="I1899:I1923"/>
    <mergeCell ref="J1899:J1923"/>
    <mergeCell ref="L1899:L1923"/>
    <mergeCell ref="M1899:N1899"/>
    <mergeCell ref="M1900:N1900"/>
    <mergeCell ref="M1901:N1901"/>
    <mergeCell ref="M1902:N1902"/>
    <mergeCell ref="M1903:N1903"/>
    <mergeCell ref="M1904:N1904"/>
    <mergeCell ref="AA1895:AA1896"/>
    <mergeCell ref="K1896:K1898"/>
    <mergeCell ref="M1897:N1897"/>
    <mergeCell ref="M1898:N1898"/>
    <mergeCell ref="B1899:B1923"/>
    <mergeCell ref="C1899:C1923"/>
    <mergeCell ref="D1899:D1923"/>
    <mergeCell ref="E1899:E1923"/>
    <mergeCell ref="F1899:F1923"/>
    <mergeCell ref="G1899:G1923"/>
    <mergeCell ref="H1895:H1898"/>
    <mergeCell ref="I1895:I1898"/>
    <mergeCell ref="J1895:K1895"/>
    <mergeCell ref="L1895:L1898"/>
    <mergeCell ref="M1895:N1896"/>
    <mergeCell ref="O1895:Z1895"/>
    <mergeCell ref="W1893:Z1893"/>
    <mergeCell ref="W1894:Z1894"/>
    <mergeCell ref="B1895:B1898"/>
    <mergeCell ref="C1895:C1898"/>
    <mergeCell ref="D1895:D1898"/>
    <mergeCell ref="E1895:E1898"/>
    <mergeCell ref="F1895:F1898"/>
    <mergeCell ref="G1895:G1898"/>
    <mergeCell ref="M1883:N1883"/>
    <mergeCell ref="M1884:N1884"/>
    <mergeCell ref="M1885:N1885"/>
    <mergeCell ref="M1886:N1886"/>
    <mergeCell ref="M1887:N1887"/>
    <mergeCell ref="M1888:N1888"/>
    <mergeCell ref="M1877:N1877"/>
    <mergeCell ref="M1878:N1878"/>
    <mergeCell ref="M1879:N1879"/>
    <mergeCell ref="M1880:N1880"/>
    <mergeCell ref="M1881:N1881"/>
    <mergeCell ref="M1882:N1882"/>
    <mergeCell ref="M1871:N1871"/>
    <mergeCell ref="M1872:N1872"/>
    <mergeCell ref="M1873:N1873"/>
    <mergeCell ref="M1874:N1874"/>
    <mergeCell ref="M1875:N1875"/>
    <mergeCell ref="M1876:N1876"/>
    <mergeCell ref="G1866:G1890"/>
    <mergeCell ref="H1866:H1890"/>
    <mergeCell ref="I1866:I1890"/>
    <mergeCell ref="J1866:J1890"/>
    <mergeCell ref="L1866:L1890"/>
    <mergeCell ref="M1866:N1866"/>
    <mergeCell ref="M1867:N1867"/>
    <mergeCell ref="M1868:N1868"/>
    <mergeCell ref="M1869:N1869"/>
    <mergeCell ref="M1870:N1870"/>
    <mergeCell ref="O1862:Z1862"/>
    <mergeCell ref="AA1862:AA1863"/>
    <mergeCell ref="K1863:K1865"/>
    <mergeCell ref="M1864:N1864"/>
    <mergeCell ref="M1865:N1865"/>
    <mergeCell ref="B1866:B1890"/>
    <mergeCell ref="C1866:C1890"/>
    <mergeCell ref="D1866:D1890"/>
    <mergeCell ref="E1866:E1890"/>
    <mergeCell ref="F1866:F1890"/>
    <mergeCell ref="G1862:G1865"/>
    <mergeCell ref="H1862:H1865"/>
    <mergeCell ref="I1862:I1865"/>
    <mergeCell ref="J1862:K1862"/>
    <mergeCell ref="L1862:L1865"/>
    <mergeCell ref="M1862:N1863"/>
    <mergeCell ref="M1856:N1856"/>
    <mergeCell ref="M1857:N1857"/>
    <mergeCell ref="M1858:N1858"/>
    <mergeCell ref="S1860:Z1860"/>
    <mergeCell ref="S1861:Z1861"/>
    <mergeCell ref="B1862:B1865"/>
    <mergeCell ref="C1862:C1865"/>
    <mergeCell ref="D1862:D1865"/>
    <mergeCell ref="E1862:E1865"/>
    <mergeCell ref="F1862:F1865"/>
    <mergeCell ref="M1850:N1850"/>
    <mergeCell ref="M1851:N1851"/>
    <mergeCell ref="M1852:N1852"/>
    <mergeCell ref="M1853:N1853"/>
    <mergeCell ref="M1854:N1854"/>
    <mergeCell ref="M1855:N1855"/>
    <mergeCell ref="H1844:H1858"/>
    <mergeCell ref="I1844:I1858"/>
    <mergeCell ref="J1844:J1858"/>
    <mergeCell ref="L1844:L1858"/>
    <mergeCell ref="M1844:N1844"/>
    <mergeCell ref="M1845:N1845"/>
    <mergeCell ref="M1846:N1846"/>
    <mergeCell ref="M1847:N1847"/>
    <mergeCell ref="M1848:N1848"/>
    <mergeCell ref="M1849:N1849"/>
    <mergeCell ref="B1844:B1858"/>
    <mergeCell ref="C1844:C1858"/>
    <mergeCell ref="D1844:D1858"/>
    <mergeCell ref="E1844:E1858"/>
    <mergeCell ref="F1844:F1858"/>
    <mergeCell ref="G1844:G1858"/>
    <mergeCell ref="M1889:N1889"/>
    <mergeCell ref="M1890:N1890"/>
    <mergeCell ref="L1840:L1843"/>
    <mergeCell ref="M1840:N1841"/>
    <mergeCell ref="O1840:Z1840"/>
    <mergeCell ref="AA1840:AA1841"/>
    <mergeCell ref="K1841:K1843"/>
    <mergeCell ref="M1842:N1842"/>
    <mergeCell ref="M1843:N1843"/>
    <mergeCell ref="T1839:Z1839"/>
    <mergeCell ref="B1840:B1843"/>
    <mergeCell ref="C1840:C1843"/>
    <mergeCell ref="D1840:D1843"/>
    <mergeCell ref="E1840:E1843"/>
    <mergeCell ref="F1840:F1843"/>
    <mergeCell ref="G1840:G1843"/>
    <mergeCell ref="H1840:H1843"/>
    <mergeCell ref="I1840:I1843"/>
    <mergeCell ref="J1840:K1840"/>
    <mergeCell ref="M1832:N1832"/>
    <mergeCell ref="M1833:N1833"/>
    <mergeCell ref="M1834:N1834"/>
    <mergeCell ref="M1835:N1835"/>
    <mergeCell ref="M1836:N1836"/>
    <mergeCell ref="T1838:Z1838"/>
    <mergeCell ref="M1826:N1826"/>
    <mergeCell ref="M1827:N1827"/>
    <mergeCell ref="M1828:N1828"/>
    <mergeCell ref="M1829:N1829"/>
    <mergeCell ref="M1830:N1830"/>
    <mergeCell ref="M1831:N1831"/>
    <mergeCell ref="H1820:H1836"/>
    <mergeCell ref="I1820:I1836"/>
    <mergeCell ref="J1820:J1836"/>
    <mergeCell ref="L1820:L1836"/>
    <mergeCell ref="M1820:N1820"/>
    <mergeCell ref="M1821:N1821"/>
    <mergeCell ref="M1822:N1822"/>
    <mergeCell ref="M1823:N1823"/>
    <mergeCell ref="M1824:N1824"/>
    <mergeCell ref="M1825:N1825"/>
    <mergeCell ref="B1820:B1836"/>
    <mergeCell ref="C1820:C1836"/>
    <mergeCell ref="D1820:D1836"/>
    <mergeCell ref="E1820:E1836"/>
    <mergeCell ref="F1820:F1836"/>
    <mergeCell ref="G1820:G1836"/>
    <mergeCell ref="I1816:I1819"/>
    <mergeCell ref="J1816:K1816"/>
    <mergeCell ref="L1816:L1819"/>
    <mergeCell ref="M1816:N1817"/>
    <mergeCell ref="O1816:Z1816"/>
    <mergeCell ref="AA1816:AA1817"/>
    <mergeCell ref="K1817:K1819"/>
    <mergeCell ref="M1818:N1818"/>
    <mergeCell ref="M1819:N1819"/>
    <mergeCell ref="M1810:N1810"/>
    <mergeCell ref="T1814:Z1814"/>
    <mergeCell ref="T1815:Z1815"/>
    <mergeCell ref="B1816:B1819"/>
    <mergeCell ref="C1816:C1819"/>
    <mergeCell ref="D1816:D1819"/>
    <mergeCell ref="E1816:E1819"/>
    <mergeCell ref="F1816:F1819"/>
    <mergeCell ref="G1816:G1819"/>
    <mergeCell ref="H1816:H1819"/>
    <mergeCell ref="M1804:N1804"/>
    <mergeCell ref="M1805:N1805"/>
    <mergeCell ref="M1806:N1806"/>
    <mergeCell ref="M1807:N1807"/>
    <mergeCell ref="M1808:N1808"/>
    <mergeCell ref="M1809:N1809"/>
    <mergeCell ref="H1798:H1810"/>
    <mergeCell ref="I1798:I1810"/>
    <mergeCell ref="J1798:J1810"/>
    <mergeCell ref="L1798:L1811"/>
    <mergeCell ref="M1798:N1798"/>
    <mergeCell ref="M1799:N1799"/>
    <mergeCell ref="M1800:N1800"/>
    <mergeCell ref="M1801:N1801"/>
    <mergeCell ref="M1802:N1802"/>
    <mergeCell ref="M1803:N1803"/>
    <mergeCell ref="AA1794:AA1795"/>
    <mergeCell ref="K1795:K1797"/>
    <mergeCell ref="M1796:N1796"/>
    <mergeCell ref="M1797:N1797"/>
    <mergeCell ref="B1798:B1810"/>
    <mergeCell ref="C1798:C1810"/>
    <mergeCell ref="D1798:D1810"/>
    <mergeCell ref="E1798:E1810"/>
    <mergeCell ref="F1798:F1810"/>
    <mergeCell ref="G1798:G1810"/>
    <mergeCell ref="H1794:H1797"/>
    <mergeCell ref="I1794:I1797"/>
    <mergeCell ref="J1794:K1794"/>
    <mergeCell ref="L1794:L1797"/>
    <mergeCell ref="M1794:N1795"/>
    <mergeCell ref="O1794:Z1794"/>
    <mergeCell ref="M1790:N1790"/>
    <mergeCell ref="S1792:Z1792"/>
    <mergeCell ref="E1793:R1793"/>
    <mergeCell ref="S1793:Z1793"/>
    <mergeCell ref="B1794:B1797"/>
    <mergeCell ref="C1794:C1797"/>
    <mergeCell ref="D1794:D1797"/>
    <mergeCell ref="E1794:E1797"/>
    <mergeCell ref="F1794:F1797"/>
    <mergeCell ref="G1794:G1797"/>
    <mergeCell ref="M1784:N1784"/>
    <mergeCell ref="M1785:N1785"/>
    <mergeCell ref="M1786:N1786"/>
    <mergeCell ref="M1787:N1787"/>
    <mergeCell ref="M1788:N1788"/>
    <mergeCell ref="M1789:N1789"/>
    <mergeCell ref="M1778:N1778"/>
    <mergeCell ref="M1779:N1779"/>
    <mergeCell ref="M1780:N1780"/>
    <mergeCell ref="M1781:N1781"/>
    <mergeCell ref="M1782:N1782"/>
    <mergeCell ref="M1783:N1783"/>
    <mergeCell ref="H1772:H1790"/>
    <mergeCell ref="I1772:I1790"/>
    <mergeCell ref="J1772:J1790"/>
    <mergeCell ref="L1772:L1790"/>
    <mergeCell ref="M1772:N1772"/>
    <mergeCell ref="M1773:N1773"/>
    <mergeCell ref="M1774:N1774"/>
    <mergeCell ref="M1775:N1775"/>
    <mergeCell ref="M1776:N1776"/>
    <mergeCell ref="M1777:N1777"/>
    <mergeCell ref="B1772:B1790"/>
    <mergeCell ref="C1772:C1790"/>
    <mergeCell ref="D1772:D1790"/>
    <mergeCell ref="E1772:E1790"/>
    <mergeCell ref="F1772:F1790"/>
    <mergeCell ref="G1772:G1790"/>
    <mergeCell ref="J1768:K1768"/>
    <mergeCell ref="L1768:L1771"/>
    <mergeCell ref="M1768:N1769"/>
    <mergeCell ref="O1768:Z1768"/>
    <mergeCell ref="AA1768:AA1769"/>
    <mergeCell ref="K1769:K1771"/>
    <mergeCell ref="M1770:N1770"/>
    <mergeCell ref="M1771:N1771"/>
    <mergeCell ref="T1766:Z1766"/>
    <mergeCell ref="T1767:Z1767"/>
    <mergeCell ref="B1768:B1771"/>
    <mergeCell ref="C1768:C1771"/>
    <mergeCell ref="D1768:D1771"/>
    <mergeCell ref="E1768:E1771"/>
    <mergeCell ref="F1768:F1771"/>
    <mergeCell ref="G1768:G1771"/>
    <mergeCell ref="H1768:H1771"/>
    <mergeCell ref="I1768:I1771"/>
    <mergeCell ref="M1759:N1759"/>
    <mergeCell ref="M1760:N1760"/>
    <mergeCell ref="M1761:N1761"/>
    <mergeCell ref="M1762:N1762"/>
    <mergeCell ref="M1763:N1763"/>
    <mergeCell ref="M1764:N1764"/>
    <mergeCell ref="H1753:H1764"/>
    <mergeCell ref="I1753:I1764"/>
    <mergeCell ref="J1753:J1764"/>
    <mergeCell ref="L1753:L1764"/>
    <mergeCell ref="M1753:N1753"/>
    <mergeCell ref="M1754:N1754"/>
    <mergeCell ref="M1755:N1755"/>
    <mergeCell ref="M1756:N1756"/>
    <mergeCell ref="M1757:N1757"/>
    <mergeCell ref="M1758:N1758"/>
    <mergeCell ref="B1753:B1764"/>
    <mergeCell ref="C1753:C1764"/>
    <mergeCell ref="D1753:D1764"/>
    <mergeCell ref="E1753:E1764"/>
    <mergeCell ref="F1753:F1764"/>
    <mergeCell ref="G1753:G1764"/>
    <mergeCell ref="O1749:Z1749"/>
    <mergeCell ref="AA1749:AA1750"/>
    <mergeCell ref="J1750:J1752"/>
    <mergeCell ref="K1750:K1752"/>
    <mergeCell ref="M1751:N1751"/>
    <mergeCell ref="M1752:N1752"/>
    <mergeCell ref="G1749:G1752"/>
    <mergeCell ref="H1749:H1752"/>
    <mergeCell ref="I1749:I1752"/>
    <mergeCell ref="J1749:K1749"/>
    <mergeCell ref="L1749:L1752"/>
    <mergeCell ref="M1749:N1750"/>
    <mergeCell ref="M1743:N1743"/>
    <mergeCell ref="M1744:N1744"/>
    <mergeCell ref="M1745:N1745"/>
    <mergeCell ref="M1746:N1746"/>
    <mergeCell ref="M1747:N1747"/>
    <mergeCell ref="B1749:B1752"/>
    <mergeCell ref="C1749:C1752"/>
    <mergeCell ref="D1749:D1752"/>
    <mergeCell ref="E1749:E1752"/>
    <mergeCell ref="F1749:F1752"/>
    <mergeCell ref="M1737:N1737"/>
    <mergeCell ref="M1738:N1738"/>
    <mergeCell ref="M1739:N1739"/>
    <mergeCell ref="M1740:N1740"/>
    <mergeCell ref="M1741:N1741"/>
    <mergeCell ref="M1742:N1742"/>
    <mergeCell ref="M1731:N1731"/>
    <mergeCell ref="M1732:N1732"/>
    <mergeCell ref="M1733:N1733"/>
    <mergeCell ref="M1734:N1734"/>
    <mergeCell ref="M1735:N1735"/>
    <mergeCell ref="M1736:N1736"/>
    <mergeCell ref="G1726:G1747"/>
    <mergeCell ref="H1726:H1747"/>
    <mergeCell ref="I1726:I1747"/>
    <mergeCell ref="J1726:J1747"/>
    <mergeCell ref="L1726:L1748"/>
    <mergeCell ref="M1726:N1726"/>
    <mergeCell ref="M1727:N1727"/>
    <mergeCell ref="M1728:N1728"/>
    <mergeCell ref="M1729:N1729"/>
    <mergeCell ref="M1730:N1730"/>
    <mergeCell ref="AA1722:AA1723"/>
    <mergeCell ref="J1723:J1725"/>
    <mergeCell ref="K1723:K1725"/>
    <mergeCell ref="M1724:N1724"/>
    <mergeCell ref="M1725:N1725"/>
    <mergeCell ref="B1726:B1747"/>
    <mergeCell ref="C1726:C1747"/>
    <mergeCell ref="D1726:D1747"/>
    <mergeCell ref="E1726:E1747"/>
    <mergeCell ref="F1726:F1747"/>
    <mergeCell ref="H1722:H1725"/>
    <mergeCell ref="I1722:I1725"/>
    <mergeCell ref="J1722:K1722"/>
    <mergeCell ref="L1722:L1725"/>
    <mergeCell ref="M1722:N1723"/>
    <mergeCell ref="O1722:Z1722"/>
    <mergeCell ref="B1722:B1725"/>
    <mergeCell ref="C1722:C1725"/>
    <mergeCell ref="D1722:D1725"/>
    <mergeCell ref="E1722:E1725"/>
    <mergeCell ref="F1722:F1725"/>
    <mergeCell ref="G1722:G1725"/>
    <mergeCell ref="U1718:V1718"/>
    <mergeCell ref="W1718:Z1718"/>
    <mergeCell ref="E1719:I1719"/>
    <mergeCell ref="Q1719:T1719"/>
    <mergeCell ref="U1719:V1719"/>
    <mergeCell ref="W1719:Z1719"/>
    <mergeCell ref="M1710:N1710"/>
    <mergeCell ref="M1711:N1711"/>
    <mergeCell ref="M1712:N1712"/>
    <mergeCell ref="B1715:B1716"/>
    <mergeCell ref="D1718:G1718"/>
    <mergeCell ref="Q1718:T1718"/>
    <mergeCell ref="M1704:N1704"/>
    <mergeCell ref="M1705:N1705"/>
    <mergeCell ref="M1706:N1706"/>
    <mergeCell ref="M1707:N1707"/>
    <mergeCell ref="M1708:N1708"/>
    <mergeCell ref="M1709:N1709"/>
    <mergeCell ref="G1699:G1712"/>
    <mergeCell ref="H1699:H1712"/>
    <mergeCell ref="I1699:I1712"/>
    <mergeCell ref="J1699:J1712"/>
    <mergeCell ref="L1699:L1712"/>
    <mergeCell ref="M1699:N1699"/>
    <mergeCell ref="M1700:N1700"/>
    <mergeCell ref="M1701:N1701"/>
    <mergeCell ref="M1702:N1702"/>
    <mergeCell ref="M1703:N1703"/>
    <mergeCell ref="AA1695:AA1696"/>
    <mergeCell ref="J1696:J1698"/>
    <mergeCell ref="K1696:K1698"/>
    <mergeCell ref="M1697:N1697"/>
    <mergeCell ref="M1698:N1698"/>
    <mergeCell ref="B1699:B1712"/>
    <mergeCell ref="C1699:C1712"/>
    <mergeCell ref="D1699:D1712"/>
    <mergeCell ref="E1699:E1712"/>
    <mergeCell ref="F1699:F1712"/>
    <mergeCell ref="H1695:H1698"/>
    <mergeCell ref="I1695:I1698"/>
    <mergeCell ref="J1695:K1695"/>
    <mergeCell ref="L1695:L1698"/>
    <mergeCell ref="M1695:N1696"/>
    <mergeCell ref="O1695:Z1695"/>
    <mergeCell ref="T1693:Y1693"/>
    <mergeCell ref="Z1693:AA1693"/>
    <mergeCell ref="T1694:Y1694"/>
    <mergeCell ref="Z1694:AA1694"/>
    <mergeCell ref="B1695:B1698"/>
    <mergeCell ref="C1695:C1698"/>
    <mergeCell ref="D1695:D1698"/>
    <mergeCell ref="E1695:E1698"/>
    <mergeCell ref="F1695:F1698"/>
    <mergeCell ref="G1695:G1698"/>
    <mergeCell ref="H1689:H1691"/>
    <mergeCell ref="I1689:I1691"/>
    <mergeCell ref="J1689:J1691"/>
    <mergeCell ref="L1689:L1691"/>
    <mergeCell ref="M1689:N1689"/>
    <mergeCell ref="M1690:N1690"/>
    <mergeCell ref="M1691:N1691"/>
    <mergeCell ref="B1689:B1691"/>
    <mergeCell ref="C1689:C1691"/>
    <mergeCell ref="D1689:D1691"/>
    <mergeCell ref="E1689:E1691"/>
    <mergeCell ref="F1689:F1691"/>
    <mergeCell ref="G1689:G1691"/>
    <mergeCell ref="I1685:I1688"/>
    <mergeCell ref="J1685:K1685"/>
    <mergeCell ref="L1685:L1688"/>
    <mergeCell ref="M1685:N1686"/>
    <mergeCell ref="O1685:Z1685"/>
    <mergeCell ref="AA1685:AA1686"/>
    <mergeCell ref="J1686:J1688"/>
    <mergeCell ref="K1686:K1688"/>
    <mergeCell ref="M1687:N1687"/>
    <mergeCell ref="M1688:N1688"/>
    <mergeCell ref="Z1683:AA1683"/>
    <mergeCell ref="T1684:Y1684"/>
    <mergeCell ref="Z1684:AA1684"/>
    <mergeCell ref="B1685:B1688"/>
    <mergeCell ref="C1685:C1688"/>
    <mergeCell ref="D1685:D1688"/>
    <mergeCell ref="E1685:E1688"/>
    <mergeCell ref="F1685:F1688"/>
    <mergeCell ref="G1685:G1688"/>
    <mergeCell ref="H1685:H1688"/>
    <mergeCell ref="M1677:N1677"/>
    <mergeCell ref="M1678:N1678"/>
    <mergeCell ref="M1679:N1679"/>
    <mergeCell ref="M1680:N1680"/>
    <mergeCell ref="M1681:N1681"/>
    <mergeCell ref="T1683:Y1683"/>
    <mergeCell ref="M1671:N1671"/>
    <mergeCell ref="M1672:N1672"/>
    <mergeCell ref="M1673:N1673"/>
    <mergeCell ref="M1674:N1674"/>
    <mergeCell ref="M1675:N1675"/>
    <mergeCell ref="M1676:N1676"/>
    <mergeCell ref="G1666:G1681"/>
    <mergeCell ref="H1666:H1681"/>
    <mergeCell ref="I1666:I1681"/>
    <mergeCell ref="J1666:J1681"/>
    <mergeCell ref="L1666:L1681"/>
    <mergeCell ref="M1666:N1666"/>
    <mergeCell ref="M1667:N1667"/>
    <mergeCell ref="M1668:N1668"/>
    <mergeCell ref="M1669:N1669"/>
    <mergeCell ref="M1670:N1670"/>
    <mergeCell ref="AA1662:AA1663"/>
    <mergeCell ref="J1663:J1665"/>
    <mergeCell ref="K1663:K1665"/>
    <mergeCell ref="M1664:N1664"/>
    <mergeCell ref="M1665:N1665"/>
    <mergeCell ref="B1666:B1681"/>
    <mergeCell ref="C1666:C1681"/>
    <mergeCell ref="D1666:D1681"/>
    <mergeCell ref="E1666:E1681"/>
    <mergeCell ref="F1666:F1681"/>
    <mergeCell ref="H1662:H1665"/>
    <mergeCell ref="I1662:I1665"/>
    <mergeCell ref="J1662:K1662"/>
    <mergeCell ref="L1662:L1665"/>
    <mergeCell ref="M1662:N1663"/>
    <mergeCell ref="O1662:Z1662"/>
    <mergeCell ref="B1662:B1665"/>
    <mergeCell ref="C1662:C1665"/>
    <mergeCell ref="D1662:D1665"/>
    <mergeCell ref="E1662:E1665"/>
    <mergeCell ref="F1662:F1665"/>
    <mergeCell ref="G1662:G1665"/>
    <mergeCell ref="M1657:N1657"/>
    <mergeCell ref="M1658:N1658"/>
    <mergeCell ref="T1660:Y1660"/>
    <mergeCell ref="Z1660:AA1660"/>
    <mergeCell ref="T1661:Y1661"/>
    <mergeCell ref="Z1661:AA1661"/>
    <mergeCell ref="M1651:N1651"/>
    <mergeCell ref="M1652:N1652"/>
    <mergeCell ref="M1653:N1653"/>
    <mergeCell ref="M1654:N1654"/>
    <mergeCell ref="M1655:N1655"/>
    <mergeCell ref="M1656:N1656"/>
    <mergeCell ref="M1645:N1645"/>
    <mergeCell ref="M1646:N1646"/>
    <mergeCell ref="M1647:N1647"/>
    <mergeCell ref="M1648:N1648"/>
    <mergeCell ref="M1649:N1649"/>
    <mergeCell ref="M1650:N1650"/>
    <mergeCell ref="H1639:H1658"/>
    <mergeCell ref="I1639:I1658"/>
    <mergeCell ref="J1639:J1658"/>
    <mergeCell ref="L1639:L1658"/>
    <mergeCell ref="M1639:N1639"/>
    <mergeCell ref="M1640:N1640"/>
    <mergeCell ref="M1641:N1641"/>
    <mergeCell ref="M1642:N1642"/>
    <mergeCell ref="M1643:N1643"/>
    <mergeCell ref="M1644:N1644"/>
    <mergeCell ref="B1639:B1658"/>
    <mergeCell ref="C1639:C1658"/>
    <mergeCell ref="D1639:D1658"/>
    <mergeCell ref="E1639:E1658"/>
    <mergeCell ref="F1639:F1658"/>
    <mergeCell ref="G1639:G1658"/>
    <mergeCell ref="O1635:Z1635"/>
    <mergeCell ref="AA1635:AA1636"/>
    <mergeCell ref="J1636:J1638"/>
    <mergeCell ref="K1636:K1638"/>
    <mergeCell ref="M1637:N1637"/>
    <mergeCell ref="M1638:N1638"/>
    <mergeCell ref="G1635:G1638"/>
    <mergeCell ref="H1635:H1638"/>
    <mergeCell ref="I1635:I1638"/>
    <mergeCell ref="J1635:K1635"/>
    <mergeCell ref="L1635:L1638"/>
    <mergeCell ref="M1635:N1636"/>
    <mergeCell ref="M1631:N1631"/>
    <mergeCell ref="T1633:Y1633"/>
    <mergeCell ref="Z1633:AA1633"/>
    <mergeCell ref="T1634:Y1634"/>
    <mergeCell ref="Z1634:AA1634"/>
    <mergeCell ref="B1635:B1638"/>
    <mergeCell ref="C1635:C1638"/>
    <mergeCell ref="D1635:D1638"/>
    <mergeCell ref="E1635:E1638"/>
    <mergeCell ref="F1635:F1638"/>
    <mergeCell ref="M1625:N1625"/>
    <mergeCell ref="M1626:N1626"/>
    <mergeCell ref="M1627:N1627"/>
    <mergeCell ref="M1628:N1628"/>
    <mergeCell ref="M1629:N1629"/>
    <mergeCell ref="M1630:N1630"/>
    <mergeCell ref="M1619:N1619"/>
    <mergeCell ref="M1620:N1620"/>
    <mergeCell ref="M1621:N1621"/>
    <mergeCell ref="M1622:N1622"/>
    <mergeCell ref="M1623:N1623"/>
    <mergeCell ref="M1624:N1624"/>
    <mergeCell ref="H1613:H1631"/>
    <mergeCell ref="I1613:I1631"/>
    <mergeCell ref="J1613:J1631"/>
    <mergeCell ref="L1613:L1631"/>
    <mergeCell ref="M1613:N1613"/>
    <mergeCell ref="M1614:N1614"/>
    <mergeCell ref="M1615:N1615"/>
    <mergeCell ref="M1616:N1616"/>
    <mergeCell ref="M1617:N1617"/>
    <mergeCell ref="M1618:N1618"/>
    <mergeCell ref="B1613:B1631"/>
    <mergeCell ref="C1613:C1631"/>
    <mergeCell ref="D1613:D1631"/>
    <mergeCell ref="E1613:E1631"/>
    <mergeCell ref="F1613:F1631"/>
    <mergeCell ref="G1613:G1631"/>
    <mergeCell ref="I1609:I1612"/>
    <mergeCell ref="J1609:K1609"/>
    <mergeCell ref="L1609:L1612"/>
    <mergeCell ref="M1609:N1610"/>
    <mergeCell ref="O1609:Z1609"/>
    <mergeCell ref="AA1609:AA1610"/>
    <mergeCell ref="J1610:J1612"/>
    <mergeCell ref="K1610:K1612"/>
    <mergeCell ref="M1611:N1611"/>
    <mergeCell ref="M1612:N1612"/>
    <mergeCell ref="Z1607:AA1607"/>
    <mergeCell ref="T1608:Y1608"/>
    <mergeCell ref="Z1608:AA1608"/>
    <mergeCell ref="B1609:B1612"/>
    <mergeCell ref="C1609:C1612"/>
    <mergeCell ref="D1609:D1612"/>
    <mergeCell ref="E1609:E1612"/>
    <mergeCell ref="F1609:F1612"/>
    <mergeCell ref="G1609:G1612"/>
    <mergeCell ref="H1609:H1612"/>
    <mergeCell ref="M1605:N1605"/>
    <mergeCell ref="B1607:B1608"/>
    <mergeCell ref="C1607:C1608"/>
    <mergeCell ref="D1607:D1608"/>
    <mergeCell ref="E1607:S1608"/>
    <mergeCell ref="T1607:Y1607"/>
    <mergeCell ref="M1599:N1599"/>
    <mergeCell ref="M1600:N1600"/>
    <mergeCell ref="M1601:N1601"/>
    <mergeCell ref="M1602:N1602"/>
    <mergeCell ref="M1603:N1603"/>
    <mergeCell ref="M1604:N1604"/>
    <mergeCell ref="M1593:N1593"/>
    <mergeCell ref="M1594:N1594"/>
    <mergeCell ref="M1595:N1595"/>
    <mergeCell ref="M1596:N1596"/>
    <mergeCell ref="M1597:N1597"/>
    <mergeCell ref="M1598:N1598"/>
    <mergeCell ref="H1587:H1605"/>
    <mergeCell ref="I1587:I1605"/>
    <mergeCell ref="J1587:J1605"/>
    <mergeCell ref="L1587:L1605"/>
    <mergeCell ref="M1587:N1587"/>
    <mergeCell ref="M1588:N1588"/>
    <mergeCell ref="M1589:N1589"/>
    <mergeCell ref="M1590:N1590"/>
    <mergeCell ref="M1591:N1591"/>
    <mergeCell ref="M1592:N1592"/>
    <mergeCell ref="B1587:B1605"/>
    <mergeCell ref="C1587:C1605"/>
    <mergeCell ref="D1587:D1605"/>
    <mergeCell ref="E1587:E1605"/>
    <mergeCell ref="F1587:F1605"/>
    <mergeCell ref="G1587:G1605"/>
    <mergeCell ref="I1583:I1586"/>
    <mergeCell ref="J1583:K1583"/>
    <mergeCell ref="L1583:L1586"/>
    <mergeCell ref="M1583:N1584"/>
    <mergeCell ref="O1583:Z1583"/>
    <mergeCell ref="AA1583:AA1584"/>
    <mergeCell ref="J1584:J1586"/>
    <mergeCell ref="K1584:K1586"/>
    <mergeCell ref="M1585:N1585"/>
    <mergeCell ref="M1586:N1586"/>
    <mergeCell ref="Z1581:AA1581"/>
    <mergeCell ref="T1582:Y1582"/>
    <mergeCell ref="Z1582:AA1582"/>
    <mergeCell ref="B1583:B1586"/>
    <mergeCell ref="C1583:C1586"/>
    <mergeCell ref="D1583:D1586"/>
    <mergeCell ref="E1583:E1586"/>
    <mergeCell ref="F1583:F1586"/>
    <mergeCell ref="G1583:G1586"/>
    <mergeCell ref="H1583:H1586"/>
    <mergeCell ref="M1575:N1575"/>
    <mergeCell ref="M1576:N1576"/>
    <mergeCell ref="M1577:N1577"/>
    <mergeCell ref="M1578:N1578"/>
    <mergeCell ref="M1579:N1579"/>
    <mergeCell ref="T1581:Y1581"/>
    <mergeCell ref="M1569:N1569"/>
    <mergeCell ref="M1570:N1570"/>
    <mergeCell ref="M1571:N1571"/>
    <mergeCell ref="M1572:N1572"/>
    <mergeCell ref="M1573:N1573"/>
    <mergeCell ref="M1574:N1574"/>
    <mergeCell ref="M1563:N1563"/>
    <mergeCell ref="M1564:N1564"/>
    <mergeCell ref="M1565:N1565"/>
    <mergeCell ref="M1566:N1566"/>
    <mergeCell ref="M1567:N1567"/>
    <mergeCell ref="M1568:N1568"/>
    <mergeCell ref="G1558:G1579"/>
    <mergeCell ref="H1558:H1579"/>
    <mergeCell ref="I1558:I1579"/>
    <mergeCell ref="J1558:J1579"/>
    <mergeCell ref="L1558:L1579"/>
    <mergeCell ref="M1558:N1558"/>
    <mergeCell ref="M1559:N1559"/>
    <mergeCell ref="M1560:N1560"/>
    <mergeCell ref="M1561:N1561"/>
    <mergeCell ref="M1562:N1562"/>
    <mergeCell ref="AA1554:AA1555"/>
    <mergeCell ref="J1555:J1557"/>
    <mergeCell ref="K1555:K1557"/>
    <mergeCell ref="M1556:N1556"/>
    <mergeCell ref="M1557:N1557"/>
    <mergeCell ref="B1558:B1579"/>
    <mergeCell ref="C1558:C1579"/>
    <mergeCell ref="D1558:D1579"/>
    <mergeCell ref="E1558:E1579"/>
    <mergeCell ref="F1558:F1579"/>
    <mergeCell ref="H1554:H1557"/>
    <mergeCell ref="I1554:I1557"/>
    <mergeCell ref="J1554:K1554"/>
    <mergeCell ref="L1554:L1557"/>
    <mergeCell ref="M1554:N1555"/>
    <mergeCell ref="O1554:Z1554"/>
    <mergeCell ref="T1552:Y1552"/>
    <mergeCell ref="Z1552:AA1552"/>
    <mergeCell ref="T1553:Y1553"/>
    <mergeCell ref="Z1553:AA1553"/>
    <mergeCell ref="B1554:B1557"/>
    <mergeCell ref="C1554:C1557"/>
    <mergeCell ref="D1554:D1557"/>
    <mergeCell ref="E1554:E1557"/>
    <mergeCell ref="F1554:F1557"/>
    <mergeCell ref="G1554:G1557"/>
    <mergeCell ref="M1545:N1545"/>
    <mergeCell ref="M1546:N1546"/>
    <mergeCell ref="M1547:N1547"/>
    <mergeCell ref="M1548:N1548"/>
    <mergeCell ref="M1549:N1549"/>
    <mergeCell ref="M1550:N1550"/>
    <mergeCell ref="M1539:N1539"/>
    <mergeCell ref="M1540:N1540"/>
    <mergeCell ref="M1541:N1541"/>
    <mergeCell ref="M1542:N1542"/>
    <mergeCell ref="M1543:N1543"/>
    <mergeCell ref="M1544:N1544"/>
    <mergeCell ref="H1533:H1550"/>
    <mergeCell ref="I1533:I1550"/>
    <mergeCell ref="J1533:J1550"/>
    <mergeCell ref="L1533:L1550"/>
    <mergeCell ref="M1533:N1533"/>
    <mergeCell ref="M1534:N1534"/>
    <mergeCell ref="M1535:N1535"/>
    <mergeCell ref="M1536:N1536"/>
    <mergeCell ref="M1537:N1537"/>
    <mergeCell ref="M1538:N1538"/>
    <mergeCell ref="B1533:B1550"/>
    <mergeCell ref="C1533:C1550"/>
    <mergeCell ref="D1533:D1550"/>
    <mergeCell ref="E1533:E1550"/>
    <mergeCell ref="F1533:F1550"/>
    <mergeCell ref="G1533:G1550"/>
    <mergeCell ref="J1529:K1529"/>
    <mergeCell ref="L1529:L1532"/>
    <mergeCell ref="M1529:N1530"/>
    <mergeCell ref="O1529:Z1529"/>
    <mergeCell ref="AA1529:AA1530"/>
    <mergeCell ref="J1530:J1532"/>
    <mergeCell ref="K1530:K1532"/>
    <mergeCell ref="M1531:N1531"/>
    <mergeCell ref="M1532:N1532"/>
    <mergeCell ref="T1528:Y1528"/>
    <mergeCell ref="Z1528:AA1528"/>
    <mergeCell ref="B1529:B1532"/>
    <mergeCell ref="C1529:C1532"/>
    <mergeCell ref="D1529:D1532"/>
    <mergeCell ref="E1529:E1532"/>
    <mergeCell ref="F1529:F1532"/>
    <mergeCell ref="G1529:G1532"/>
    <mergeCell ref="H1529:H1532"/>
    <mergeCell ref="I1529:I1532"/>
    <mergeCell ref="M1522:N1522"/>
    <mergeCell ref="M1523:N1523"/>
    <mergeCell ref="M1524:N1524"/>
    <mergeCell ref="M1525:N1525"/>
    <mergeCell ref="T1527:Y1527"/>
    <mergeCell ref="Z1527:AA1527"/>
    <mergeCell ref="M1516:N1516"/>
    <mergeCell ref="M1517:N1517"/>
    <mergeCell ref="M1518:N1518"/>
    <mergeCell ref="M1519:N1519"/>
    <mergeCell ref="M1520:N1520"/>
    <mergeCell ref="M1521:N1521"/>
    <mergeCell ref="M1510:N1510"/>
    <mergeCell ref="M1511:N1511"/>
    <mergeCell ref="M1512:N1512"/>
    <mergeCell ref="M1513:N1513"/>
    <mergeCell ref="M1514:N1514"/>
    <mergeCell ref="M1515:N1515"/>
    <mergeCell ref="G1505:G1525"/>
    <mergeCell ref="H1505:H1525"/>
    <mergeCell ref="I1505:I1525"/>
    <mergeCell ref="J1505:J1525"/>
    <mergeCell ref="L1505:L1525"/>
    <mergeCell ref="M1505:N1505"/>
    <mergeCell ref="M1506:N1506"/>
    <mergeCell ref="M1507:N1507"/>
    <mergeCell ref="M1508:N1508"/>
    <mergeCell ref="M1509:N1509"/>
    <mergeCell ref="AA1501:AA1502"/>
    <mergeCell ref="J1502:J1504"/>
    <mergeCell ref="K1502:K1504"/>
    <mergeCell ref="M1503:N1503"/>
    <mergeCell ref="M1504:N1504"/>
    <mergeCell ref="B1505:B1525"/>
    <mergeCell ref="C1505:C1525"/>
    <mergeCell ref="D1505:D1525"/>
    <mergeCell ref="E1505:E1525"/>
    <mergeCell ref="F1505:F1525"/>
    <mergeCell ref="H1501:H1504"/>
    <mergeCell ref="I1501:I1504"/>
    <mergeCell ref="J1501:K1501"/>
    <mergeCell ref="L1501:L1504"/>
    <mergeCell ref="M1501:N1502"/>
    <mergeCell ref="O1501:Z1501"/>
    <mergeCell ref="B1501:B1504"/>
    <mergeCell ref="C1501:C1504"/>
    <mergeCell ref="D1501:D1504"/>
    <mergeCell ref="E1501:E1504"/>
    <mergeCell ref="F1501:F1504"/>
    <mergeCell ref="G1501:G1504"/>
    <mergeCell ref="M1496:N1496"/>
    <mergeCell ref="M1497:N1497"/>
    <mergeCell ref="T1499:Y1499"/>
    <mergeCell ref="Z1499:AA1499"/>
    <mergeCell ref="T1500:Y1500"/>
    <mergeCell ref="Z1500:AA1500"/>
    <mergeCell ref="M1490:N1490"/>
    <mergeCell ref="M1491:N1491"/>
    <mergeCell ref="M1492:N1492"/>
    <mergeCell ref="M1493:N1493"/>
    <mergeCell ref="M1494:N1494"/>
    <mergeCell ref="M1495:N1495"/>
    <mergeCell ref="G1485:G1497"/>
    <mergeCell ref="H1485:H1497"/>
    <mergeCell ref="I1485:I1497"/>
    <mergeCell ref="J1485:J1497"/>
    <mergeCell ref="L1485:L1497"/>
    <mergeCell ref="M1485:N1485"/>
    <mergeCell ref="M1486:N1486"/>
    <mergeCell ref="M1487:N1487"/>
    <mergeCell ref="M1488:N1488"/>
    <mergeCell ref="M1489:N1489"/>
    <mergeCell ref="AA1481:AA1482"/>
    <mergeCell ref="J1482:J1484"/>
    <mergeCell ref="K1482:K1484"/>
    <mergeCell ref="M1483:N1483"/>
    <mergeCell ref="M1484:N1484"/>
    <mergeCell ref="B1485:B1497"/>
    <mergeCell ref="C1485:C1497"/>
    <mergeCell ref="D1485:D1497"/>
    <mergeCell ref="E1485:E1497"/>
    <mergeCell ref="F1485:F1497"/>
    <mergeCell ref="H1481:H1484"/>
    <mergeCell ref="I1481:I1484"/>
    <mergeCell ref="J1481:K1481"/>
    <mergeCell ref="L1481:L1484"/>
    <mergeCell ref="M1481:N1482"/>
    <mergeCell ref="O1481:Z1481"/>
    <mergeCell ref="B1481:B1484"/>
    <mergeCell ref="C1481:C1484"/>
    <mergeCell ref="D1481:D1484"/>
    <mergeCell ref="E1481:E1484"/>
    <mergeCell ref="F1481:F1484"/>
    <mergeCell ref="G1481:G1484"/>
    <mergeCell ref="M1476:N1476"/>
    <mergeCell ref="M1477:N1477"/>
    <mergeCell ref="T1479:Y1479"/>
    <mergeCell ref="Z1479:AA1479"/>
    <mergeCell ref="T1480:Y1480"/>
    <mergeCell ref="Z1480:AA1480"/>
    <mergeCell ref="M1470:N1470"/>
    <mergeCell ref="M1471:N1471"/>
    <mergeCell ref="M1472:N1472"/>
    <mergeCell ref="M1473:N1473"/>
    <mergeCell ref="M1474:N1474"/>
    <mergeCell ref="M1475:N1475"/>
    <mergeCell ref="G1465:G1477"/>
    <mergeCell ref="H1465:H1477"/>
    <mergeCell ref="I1465:I1477"/>
    <mergeCell ref="J1465:J1477"/>
    <mergeCell ref="L1465:L1477"/>
    <mergeCell ref="M1465:N1465"/>
    <mergeCell ref="M1466:N1466"/>
    <mergeCell ref="M1467:N1467"/>
    <mergeCell ref="M1468:N1468"/>
    <mergeCell ref="M1469:N1469"/>
    <mergeCell ref="AA1461:AA1462"/>
    <mergeCell ref="J1462:J1464"/>
    <mergeCell ref="K1462:K1464"/>
    <mergeCell ref="M1463:N1463"/>
    <mergeCell ref="M1464:N1464"/>
    <mergeCell ref="B1465:B1477"/>
    <mergeCell ref="C1465:C1477"/>
    <mergeCell ref="D1465:D1477"/>
    <mergeCell ref="E1465:E1477"/>
    <mergeCell ref="F1465:F1477"/>
    <mergeCell ref="H1461:H1464"/>
    <mergeCell ref="I1461:I1464"/>
    <mergeCell ref="J1461:K1461"/>
    <mergeCell ref="L1461:L1464"/>
    <mergeCell ref="M1461:N1462"/>
    <mergeCell ref="O1461:Z1461"/>
    <mergeCell ref="T1459:Y1459"/>
    <mergeCell ref="Z1459:AA1459"/>
    <mergeCell ref="T1460:Y1460"/>
    <mergeCell ref="Z1460:AA1460"/>
    <mergeCell ref="B1461:B1464"/>
    <mergeCell ref="C1461:C1464"/>
    <mergeCell ref="D1461:D1464"/>
    <mergeCell ref="E1461:E1464"/>
    <mergeCell ref="F1461:F1464"/>
    <mergeCell ref="G1461:G1464"/>
    <mergeCell ref="M1452:N1452"/>
    <mergeCell ref="M1453:N1453"/>
    <mergeCell ref="M1454:N1454"/>
    <mergeCell ref="M1455:N1455"/>
    <mergeCell ref="M1456:N1456"/>
    <mergeCell ref="M1457:N1457"/>
    <mergeCell ref="H1446:H1457"/>
    <mergeCell ref="I1446:I1457"/>
    <mergeCell ref="J1446:J1457"/>
    <mergeCell ref="L1446:L1457"/>
    <mergeCell ref="M1446:N1446"/>
    <mergeCell ref="M1447:N1447"/>
    <mergeCell ref="M1448:N1448"/>
    <mergeCell ref="M1449:N1449"/>
    <mergeCell ref="M1450:N1450"/>
    <mergeCell ref="M1451:N1451"/>
    <mergeCell ref="B1446:B1457"/>
    <mergeCell ref="C1446:C1457"/>
    <mergeCell ref="D1446:D1457"/>
    <mergeCell ref="E1446:E1457"/>
    <mergeCell ref="F1446:F1457"/>
    <mergeCell ref="G1446:G1457"/>
    <mergeCell ref="I1442:I1445"/>
    <mergeCell ref="J1442:K1442"/>
    <mergeCell ref="L1442:L1445"/>
    <mergeCell ref="M1442:N1443"/>
    <mergeCell ref="O1442:Z1442"/>
    <mergeCell ref="AA1442:AA1443"/>
    <mergeCell ref="J1443:J1445"/>
    <mergeCell ref="K1443:K1445"/>
    <mergeCell ref="M1444:N1444"/>
    <mergeCell ref="M1445:N1445"/>
    <mergeCell ref="T1440:Y1440"/>
    <mergeCell ref="T1441:Y1441"/>
    <mergeCell ref="Z1441:AA1441"/>
    <mergeCell ref="B1442:B1445"/>
    <mergeCell ref="C1442:C1445"/>
    <mergeCell ref="D1442:D1445"/>
    <mergeCell ref="E1442:E1445"/>
    <mergeCell ref="F1442:F1445"/>
    <mergeCell ref="G1442:G1445"/>
    <mergeCell ref="H1442:H1445"/>
    <mergeCell ref="M1433:N1433"/>
    <mergeCell ref="M1434:N1434"/>
    <mergeCell ref="M1435:N1435"/>
    <mergeCell ref="M1436:N1436"/>
    <mergeCell ref="M1437:N1437"/>
    <mergeCell ref="M1438:N1438"/>
    <mergeCell ref="H1427:H1438"/>
    <mergeCell ref="I1427:I1438"/>
    <mergeCell ref="J1427:J1438"/>
    <mergeCell ref="L1427:L1438"/>
    <mergeCell ref="M1427:N1427"/>
    <mergeCell ref="M1428:N1428"/>
    <mergeCell ref="M1429:N1429"/>
    <mergeCell ref="M1430:N1430"/>
    <mergeCell ref="M1431:N1431"/>
    <mergeCell ref="M1432:N1432"/>
    <mergeCell ref="B1427:B1438"/>
    <mergeCell ref="C1427:C1438"/>
    <mergeCell ref="D1427:D1438"/>
    <mergeCell ref="E1427:E1438"/>
    <mergeCell ref="F1427:F1438"/>
    <mergeCell ref="G1427:G1438"/>
    <mergeCell ref="Z1440:AA1440"/>
    <mergeCell ref="J1423:K1423"/>
    <mergeCell ref="L1423:L1426"/>
    <mergeCell ref="M1423:N1424"/>
    <mergeCell ref="O1423:Z1423"/>
    <mergeCell ref="AA1423:AA1424"/>
    <mergeCell ref="J1424:J1426"/>
    <mergeCell ref="K1424:K1426"/>
    <mergeCell ref="M1425:N1425"/>
    <mergeCell ref="M1426:N1426"/>
    <mergeCell ref="T1422:Y1422"/>
    <mergeCell ref="Z1422:AA1422"/>
    <mergeCell ref="B1423:B1426"/>
    <mergeCell ref="C1423:C1426"/>
    <mergeCell ref="D1423:D1426"/>
    <mergeCell ref="E1423:E1426"/>
    <mergeCell ref="F1423:F1426"/>
    <mergeCell ref="G1423:G1426"/>
    <mergeCell ref="H1423:H1426"/>
    <mergeCell ref="I1423:I1426"/>
    <mergeCell ref="M1416:N1416"/>
    <mergeCell ref="M1417:N1417"/>
    <mergeCell ref="M1418:N1418"/>
    <mergeCell ref="M1419:N1419"/>
    <mergeCell ref="T1421:Y1421"/>
    <mergeCell ref="Z1421:AA1421"/>
    <mergeCell ref="M1410:N1410"/>
    <mergeCell ref="M1411:N1411"/>
    <mergeCell ref="M1412:N1412"/>
    <mergeCell ref="M1413:N1413"/>
    <mergeCell ref="M1414:N1414"/>
    <mergeCell ref="M1415:N1415"/>
    <mergeCell ref="H1404:H1419"/>
    <mergeCell ref="I1404:I1419"/>
    <mergeCell ref="J1404:J1419"/>
    <mergeCell ref="L1404:L1419"/>
    <mergeCell ref="M1404:N1404"/>
    <mergeCell ref="M1405:N1405"/>
    <mergeCell ref="M1406:N1406"/>
    <mergeCell ref="M1407:N1407"/>
    <mergeCell ref="M1408:N1408"/>
    <mergeCell ref="M1409:N1409"/>
    <mergeCell ref="B1404:B1419"/>
    <mergeCell ref="C1404:C1419"/>
    <mergeCell ref="D1404:D1419"/>
    <mergeCell ref="E1404:E1419"/>
    <mergeCell ref="F1404:F1419"/>
    <mergeCell ref="G1404:G1419"/>
    <mergeCell ref="O1400:Z1400"/>
    <mergeCell ref="AA1400:AA1401"/>
    <mergeCell ref="J1401:J1403"/>
    <mergeCell ref="K1401:K1403"/>
    <mergeCell ref="M1402:N1402"/>
    <mergeCell ref="M1403:N1403"/>
    <mergeCell ref="G1400:G1403"/>
    <mergeCell ref="H1400:H1403"/>
    <mergeCell ref="I1400:I1403"/>
    <mergeCell ref="J1400:K1400"/>
    <mergeCell ref="L1400:L1403"/>
    <mergeCell ref="M1400:N1401"/>
    <mergeCell ref="M1396:N1396"/>
    <mergeCell ref="T1398:Y1398"/>
    <mergeCell ref="Z1398:AA1398"/>
    <mergeCell ref="T1399:Y1399"/>
    <mergeCell ref="Z1399:AA1399"/>
    <mergeCell ref="B1400:B1403"/>
    <mergeCell ref="C1400:C1403"/>
    <mergeCell ref="D1400:D1403"/>
    <mergeCell ref="E1400:E1403"/>
    <mergeCell ref="F1400:F1403"/>
    <mergeCell ref="M1390:N1390"/>
    <mergeCell ref="M1391:N1391"/>
    <mergeCell ref="M1392:N1392"/>
    <mergeCell ref="M1393:N1393"/>
    <mergeCell ref="M1394:N1394"/>
    <mergeCell ref="M1395:N1395"/>
    <mergeCell ref="G1385:G1396"/>
    <mergeCell ref="H1385:H1396"/>
    <mergeCell ref="I1385:I1396"/>
    <mergeCell ref="J1385:J1396"/>
    <mergeCell ref="L1385:L1396"/>
    <mergeCell ref="M1385:N1385"/>
    <mergeCell ref="M1386:N1386"/>
    <mergeCell ref="M1387:N1387"/>
    <mergeCell ref="M1388:N1388"/>
    <mergeCell ref="M1389:N1389"/>
    <mergeCell ref="AA1381:AA1382"/>
    <mergeCell ref="J1382:J1384"/>
    <mergeCell ref="K1382:K1384"/>
    <mergeCell ref="M1383:N1383"/>
    <mergeCell ref="M1384:N1384"/>
    <mergeCell ref="B1385:B1396"/>
    <mergeCell ref="C1385:C1396"/>
    <mergeCell ref="D1385:D1396"/>
    <mergeCell ref="E1385:E1396"/>
    <mergeCell ref="F1385:F1396"/>
    <mergeCell ref="H1381:H1384"/>
    <mergeCell ref="I1381:I1384"/>
    <mergeCell ref="J1381:K1381"/>
    <mergeCell ref="L1381:L1384"/>
    <mergeCell ref="M1381:N1382"/>
    <mergeCell ref="O1381:Z1381"/>
    <mergeCell ref="T1379:Y1379"/>
    <mergeCell ref="Z1379:AA1379"/>
    <mergeCell ref="T1380:Y1380"/>
    <mergeCell ref="Z1380:AA1380"/>
    <mergeCell ref="B1381:B1384"/>
    <mergeCell ref="C1381:C1384"/>
    <mergeCell ref="D1381:D1384"/>
    <mergeCell ref="E1381:E1384"/>
    <mergeCell ref="F1381:F1384"/>
    <mergeCell ref="G1381:G1384"/>
    <mergeCell ref="G1374:G1378"/>
    <mergeCell ref="H1374:H1378"/>
    <mergeCell ref="I1374:I1378"/>
    <mergeCell ref="J1374:J1378"/>
    <mergeCell ref="L1374:L1378"/>
    <mergeCell ref="M1374:N1374"/>
    <mergeCell ref="M1375:N1375"/>
    <mergeCell ref="M1376:N1376"/>
    <mergeCell ref="M1377:N1377"/>
    <mergeCell ref="M1378:N1378"/>
    <mergeCell ref="AA1370:AA1371"/>
    <mergeCell ref="J1371:J1373"/>
    <mergeCell ref="K1371:K1373"/>
    <mergeCell ref="M1372:N1372"/>
    <mergeCell ref="M1373:N1373"/>
    <mergeCell ref="B1374:B1378"/>
    <mergeCell ref="C1374:C1378"/>
    <mergeCell ref="D1374:D1378"/>
    <mergeCell ref="E1374:E1378"/>
    <mergeCell ref="F1374:F1378"/>
    <mergeCell ref="H1370:H1373"/>
    <mergeCell ref="I1370:I1373"/>
    <mergeCell ref="J1370:K1370"/>
    <mergeCell ref="L1370:L1373"/>
    <mergeCell ref="M1370:N1371"/>
    <mergeCell ref="O1370:Z1370"/>
    <mergeCell ref="B1370:B1373"/>
    <mergeCell ref="C1370:C1373"/>
    <mergeCell ref="D1370:D1373"/>
    <mergeCell ref="E1370:E1373"/>
    <mergeCell ref="F1370:F1373"/>
    <mergeCell ref="G1370:G1373"/>
    <mergeCell ref="M1365:N1365"/>
    <mergeCell ref="M1366:N1366"/>
    <mergeCell ref="M1367:N1367"/>
    <mergeCell ref="T1368:Y1368"/>
    <mergeCell ref="Z1368:AA1368"/>
    <mergeCell ref="T1369:Y1369"/>
    <mergeCell ref="Z1369:AA1369"/>
    <mergeCell ref="M1359:N1359"/>
    <mergeCell ref="M1360:N1360"/>
    <mergeCell ref="M1361:N1361"/>
    <mergeCell ref="M1362:N1362"/>
    <mergeCell ref="M1363:N1363"/>
    <mergeCell ref="M1364:N1364"/>
    <mergeCell ref="G1354:G1367"/>
    <mergeCell ref="H1354:H1367"/>
    <mergeCell ref="I1354:I1367"/>
    <mergeCell ref="J1354:J1367"/>
    <mergeCell ref="L1354:L1367"/>
    <mergeCell ref="M1354:N1354"/>
    <mergeCell ref="M1355:N1355"/>
    <mergeCell ref="M1356:N1356"/>
    <mergeCell ref="M1357:N1357"/>
    <mergeCell ref="M1358:N1358"/>
    <mergeCell ref="AA1350:AA1351"/>
    <mergeCell ref="J1351:J1353"/>
    <mergeCell ref="K1351:K1353"/>
    <mergeCell ref="M1352:N1352"/>
    <mergeCell ref="M1353:N1353"/>
    <mergeCell ref="B1354:B1367"/>
    <mergeCell ref="C1354:C1367"/>
    <mergeCell ref="D1354:D1367"/>
    <mergeCell ref="E1354:E1367"/>
    <mergeCell ref="F1354:F1367"/>
    <mergeCell ref="H1350:H1353"/>
    <mergeCell ref="I1350:I1353"/>
    <mergeCell ref="J1350:K1350"/>
    <mergeCell ref="L1350:L1353"/>
    <mergeCell ref="M1350:N1351"/>
    <mergeCell ref="O1350:Z1350"/>
    <mergeCell ref="B1350:B1353"/>
    <mergeCell ref="C1350:C1353"/>
    <mergeCell ref="D1350:D1353"/>
    <mergeCell ref="E1350:E1353"/>
    <mergeCell ref="F1350:F1353"/>
    <mergeCell ref="G1350:G1353"/>
    <mergeCell ref="M1346:N1346"/>
    <mergeCell ref="M1347:N1347"/>
    <mergeCell ref="T1348:Y1348"/>
    <mergeCell ref="Z1348:AA1348"/>
    <mergeCell ref="T1349:Y1349"/>
    <mergeCell ref="Z1349:AA1349"/>
    <mergeCell ref="M1340:N1340"/>
    <mergeCell ref="M1341:N1341"/>
    <mergeCell ref="M1342:N1342"/>
    <mergeCell ref="M1343:N1343"/>
    <mergeCell ref="M1344:N1344"/>
    <mergeCell ref="M1345:N1345"/>
    <mergeCell ref="G1335:G1347"/>
    <mergeCell ref="H1335:H1347"/>
    <mergeCell ref="I1335:I1347"/>
    <mergeCell ref="J1335:J1347"/>
    <mergeCell ref="L1335:L1347"/>
    <mergeCell ref="M1335:N1335"/>
    <mergeCell ref="M1336:N1336"/>
    <mergeCell ref="M1337:N1337"/>
    <mergeCell ref="M1338:N1338"/>
    <mergeCell ref="M1339:N1339"/>
    <mergeCell ref="AA1331:AA1332"/>
    <mergeCell ref="J1332:J1334"/>
    <mergeCell ref="K1332:K1334"/>
    <mergeCell ref="M1333:N1333"/>
    <mergeCell ref="M1334:N1334"/>
    <mergeCell ref="B1335:B1347"/>
    <mergeCell ref="C1335:C1347"/>
    <mergeCell ref="D1335:D1347"/>
    <mergeCell ref="E1335:E1347"/>
    <mergeCell ref="F1335:F1347"/>
    <mergeCell ref="H1331:H1334"/>
    <mergeCell ref="I1331:I1334"/>
    <mergeCell ref="J1331:K1331"/>
    <mergeCell ref="L1331:L1334"/>
    <mergeCell ref="M1331:N1332"/>
    <mergeCell ref="O1331:Z1331"/>
    <mergeCell ref="T1329:Y1329"/>
    <mergeCell ref="Z1329:AA1329"/>
    <mergeCell ref="T1330:Y1330"/>
    <mergeCell ref="Z1330:AA1330"/>
    <mergeCell ref="B1331:B1334"/>
    <mergeCell ref="C1331:C1334"/>
    <mergeCell ref="D1331:D1334"/>
    <mergeCell ref="E1331:E1334"/>
    <mergeCell ref="F1331:F1334"/>
    <mergeCell ref="G1331:G1334"/>
    <mergeCell ref="H1327:H1328"/>
    <mergeCell ref="I1327:I1328"/>
    <mergeCell ref="J1327:J1328"/>
    <mergeCell ref="L1327:L1328"/>
    <mergeCell ref="M1327:N1327"/>
    <mergeCell ref="M1328:N1328"/>
    <mergeCell ref="B1327:B1328"/>
    <mergeCell ref="C1327:C1328"/>
    <mergeCell ref="D1327:D1328"/>
    <mergeCell ref="E1327:E1328"/>
    <mergeCell ref="F1327:F1328"/>
    <mergeCell ref="G1327:G1328"/>
    <mergeCell ref="I1323:I1326"/>
    <mergeCell ref="J1323:K1323"/>
    <mergeCell ref="L1323:L1326"/>
    <mergeCell ref="M1323:N1324"/>
    <mergeCell ref="O1323:Z1323"/>
    <mergeCell ref="AA1323:AA1324"/>
    <mergeCell ref="J1324:J1326"/>
    <mergeCell ref="K1324:K1326"/>
    <mergeCell ref="M1325:N1325"/>
    <mergeCell ref="M1326:N1326"/>
    <mergeCell ref="E1322:S1322"/>
    <mergeCell ref="T1322:Y1322"/>
    <mergeCell ref="Z1322:AA1322"/>
    <mergeCell ref="B1323:B1326"/>
    <mergeCell ref="C1323:C1326"/>
    <mergeCell ref="D1323:D1326"/>
    <mergeCell ref="E1323:E1326"/>
    <mergeCell ref="F1323:F1326"/>
    <mergeCell ref="G1323:G1326"/>
    <mergeCell ref="H1323:H1326"/>
    <mergeCell ref="M1317:N1317"/>
    <mergeCell ref="M1318:N1318"/>
    <mergeCell ref="M1319:N1319"/>
    <mergeCell ref="M1320:N1320"/>
    <mergeCell ref="T1321:Y1321"/>
    <mergeCell ref="Z1321:AA1321"/>
    <mergeCell ref="M1311:N1311"/>
    <mergeCell ref="M1312:N1312"/>
    <mergeCell ref="M1313:N1313"/>
    <mergeCell ref="M1314:N1314"/>
    <mergeCell ref="M1315:N1315"/>
    <mergeCell ref="M1316:N1316"/>
    <mergeCell ref="G1306:G1320"/>
    <mergeCell ref="H1306:H1320"/>
    <mergeCell ref="I1306:I1320"/>
    <mergeCell ref="J1306:J1320"/>
    <mergeCell ref="L1306:L1320"/>
    <mergeCell ref="M1306:N1306"/>
    <mergeCell ref="M1307:N1307"/>
    <mergeCell ref="M1308:N1308"/>
    <mergeCell ref="M1309:N1309"/>
    <mergeCell ref="M1310:N1310"/>
    <mergeCell ref="AA1302:AA1303"/>
    <mergeCell ref="J1303:J1305"/>
    <mergeCell ref="K1303:K1305"/>
    <mergeCell ref="M1304:N1304"/>
    <mergeCell ref="M1305:N1305"/>
    <mergeCell ref="B1306:B1320"/>
    <mergeCell ref="C1306:C1320"/>
    <mergeCell ref="D1306:D1320"/>
    <mergeCell ref="E1306:E1320"/>
    <mergeCell ref="F1306:F1320"/>
    <mergeCell ref="H1302:H1305"/>
    <mergeCell ref="I1302:I1305"/>
    <mergeCell ref="J1302:K1302"/>
    <mergeCell ref="L1302:L1305"/>
    <mergeCell ref="M1302:N1303"/>
    <mergeCell ref="O1302:Z1302"/>
    <mergeCell ref="B1302:B1305"/>
    <mergeCell ref="C1302:C1305"/>
    <mergeCell ref="D1302:D1305"/>
    <mergeCell ref="E1302:E1305"/>
    <mergeCell ref="F1302:F1305"/>
    <mergeCell ref="G1302:G1305"/>
    <mergeCell ref="M1297:N1297"/>
    <mergeCell ref="M1298:N1298"/>
    <mergeCell ref="T1300:Y1300"/>
    <mergeCell ref="Z1300:AA1300"/>
    <mergeCell ref="E1301:S1301"/>
    <mergeCell ref="T1301:Y1301"/>
    <mergeCell ref="Z1301:AA1301"/>
    <mergeCell ref="M1291:N1291"/>
    <mergeCell ref="M1292:N1292"/>
    <mergeCell ref="M1293:N1293"/>
    <mergeCell ref="M1294:N1294"/>
    <mergeCell ref="M1295:N1295"/>
    <mergeCell ref="M1296:N1296"/>
    <mergeCell ref="H1285:H1298"/>
    <mergeCell ref="I1285:I1298"/>
    <mergeCell ref="J1285:J1298"/>
    <mergeCell ref="L1285:L1298"/>
    <mergeCell ref="M1285:N1285"/>
    <mergeCell ref="M1286:N1286"/>
    <mergeCell ref="M1287:N1287"/>
    <mergeCell ref="M1288:N1288"/>
    <mergeCell ref="M1289:N1289"/>
    <mergeCell ref="M1290:N1290"/>
    <mergeCell ref="B1285:B1298"/>
    <mergeCell ref="C1285:C1298"/>
    <mergeCell ref="D1285:D1298"/>
    <mergeCell ref="E1285:E1298"/>
    <mergeCell ref="F1285:F1298"/>
    <mergeCell ref="G1285:G1298"/>
    <mergeCell ref="I1281:I1284"/>
    <mergeCell ref="J1281:K1281"/>
    <mergeCell ref="L1281:L1284"/>
    <mergeCell ref="M1281:N1282"/>
    <mergeCell ref="O1281:Z1281"/>
    <mergeCell ref="AA1281:AA1282"/>
    <mergeCell ref="J1282:J1284"/>
    <mergeCell ref="K1282:K1284"/>
    <mergeCell ref="M1283:N1283"/>
    <mergeCell ref="M1284:N1284"/>
    <mergeCell ref="Z1279:AA1279"/>
    <mergeCell ref="T1280:Y1280"/>
    <mergeCell ref="Z1280:AA1280"/>
    <mergeCell ref="B1281:B1284"/>
    <mergeCell ref="C1281:C1284"/>
    <mergeCell ref="D1281:D1284"/>
    <mergeCell ref="E1281:E1284"/>
    <mergeCell ref="F1281:F1284"/>
    <mergeCell ref="G1281:G1284"/>
    <mergeCell ref="H1281:H1284"/>
    <mergeCell ref="M1274:N1274"/>
    <mergeCell ref="M1275:N1275"/>
    <mergeCell ref="M1276:N1276"/>
    <mergeCell ref="M1277:N1277"/>
    <mergeCell ref="M1278:N1278"/>
    <mergeCell ref="T1279:Y1279"/>
    <mergeCell ref="M1268:N1268"/>
    <mergeCell ref="M1269:N1269"/>
    <mergeCell ref="M1270:N1270"/>
    <mergeCell ref="M1271:N1271"/>
    <mergeCell ref="M1272:N1272"/>
    <mergeCell ref="M1273:N1273"/>
    <mergeCell ref="H1262:H1278"/>
    <mergeCell ref="I1262:I1278"/>
    <mergeCell ref="J1262:J1278"/>
    <mergeCell ref="L1262:L1278"/>
    <mergeCell ref="M1262:N1262"/>
    <mergeCell ref="M1263:N1263"/>
    <mergeCell ref="M1264:N1264"/>
    <mergeCell ref="M1265:N1265"/>
    <mergeCell ref="M1266:N1266"/>
    <mergeCell ref="M1267:N1267"/>
    <mergeCell ref="B1262:B1278"/>
    <mergeCell ref="C1262:C1278"/>
    <mergeCell ref="D1262:D1278"/>
    <mergeCell ref="E1262:E1278"/>
    <mergeCell ref="F1262:F1278"/>
    <mergeCell ref="G1262:G1278"/>
    <mergeCell ref="O1258:Z1258"/>
    <mergeCell ref="AA1258:AA1259"/>
    <mergeCell ref="J1259:J1261"/>
    <mergeCell ref="K1259:K1261"/>
    <mergeCell ref="M1260:N1260"/>
    <mergeCell ref="M1261:N1261"/>
    <mergeCell ref="G1258:G1261"/>
    <mergeCell ref="H1258:H1261"/>
    <mergeCell ref="I1258:I1261"/>
    <mergeCell ref="J1258:K1258"/>
    <mergeCell ref="L1258:L1261"/>
    <mergeCell ref="M1258:N1259"/>
    <mergeCell ref="T1256:Y1256"/>
    <mergeCell ref="Z1256:AA1256"/>
    <mergeCell ref="E1257:S1257"/>
    <mergeCell ref="T1257:Y1257"/>
    <mergeCell ref="Z1257:AA1257"/>
    <mergeCell ref="B1258:B1261"/>
    <mergeCell ref="C1258:C1261"/>
    <mergeCell ref="D1258:D1261"/>
    <mergeCell ref="E1258:E1261"/>
    <mergeCell ref="F1258:F1261"/>
    <mergeCell ref="M1250:N1250"/>
    <mergeCell ref="M1251:N1251"/>
    <mergeCell ref="M1252:N1252"/>
    <mergeCell ref="M1253:N1253"/>
    <mergeCell ref="M1254:N1254"/>
    <mergeCell ref="M1255:N1255"/>
    <mergeCell ref="G1245:G1255"/>
    <mergeCell ref="H1245:H1255"/>
    <mergeCell ref="I1245:I1255"/>
    <mergeCell ref="J1245:J1255"/>
    <mergeCell ref="L1245:L1255"/>
    <mergeCell ref="M1245:N1245"/>
    <mergeCell ref="M1246:N1246"/>
    <mergeCell ref="M1247:N1247"/>
    <mergeCell ref="M1248:N1248"/>
    <mergeCell ref="M1249:N1249"/>
    <mergeCell ref="AA1241:AA1242"/>
    <mergeCell ref="J1242:J1244"/>
    <mergeCell ref="K1242:K1244"/>
    <mergeCell ref="M1243:N1243"/>
    <mergeCell ref="M1244:N1244"/>
    <mergeCell ref="B1245:B1255"/>
    <mergeCell ref="C1245:C1255"/>
    <mergeCell ref="D1245:D1255"/>
    <mergeCell ref="E1245:E1255"/>
    <mergeCell ref="F1245:F1255"/>
    <mergeCell ref="H1241:H1244"/>
    <mergeCell ref="I1241:I1244"/>
    <mergeCell ref="J1241:K1241"/>
    <mergeCell ref="L1241:L1244"/>
    <mergeCell ref="M1241:N1242"/>
    <mergeCell ref="O1241:Z1241"/>
    <mergeCell ref="B1241:B1244"/>
    <mergeCell ref="C1241:C1244"/>
    <mergeCell ref="D1241:D1244"/>
    <mergeCell ref="E1241:E1244"/>
    <mergeCell ref="F1241:F1244"/>
    <mergeCell ref="G1241:G1244"/>
    <mergeCell ref="M1235:N1235"/>
    <mergeCell ref="M1236:N1236"/>
    <mergeCell ref="M1237:N1237"/>
    <mergeCell ref="M1238:N1238"/>
    <mergeCell ref="M1239:N1239"/>
    <mergeCell ref="M1240:N1240"/>
    <mergeCell ref="M1229:N1229"/>
    <mergeCell ref="M1230:N1230"/>
    <mergeCell ref="M1231:N1231"/>
    <mergeCell ref="M1232:N1232"/>
    <mergeCell ref="M1233:N1233"/>
    <mergeCell ref="M1234:N1234"/>
    <mergeCell ref="M1223:N1223"/>
    <mergeCell ref="M1224:N1224"/>
    <mergeCell ref="M1225:N1225"/>
    <mergeCell ref="M1226:N1226"/>
    <mergeCell ref="M1227:N1227"/>
    <mergeCell ref="M1228:N1228"/>
    <mergeCell ref="H1217:H1240"/>
    <mergeCell ref="I1217:I1240"/>
    <mergeCell ref="J1217:J1240"/>
    <mergeCell ref="L1217:L1240"/>
    <mergeCell ref="M1217:N1217"/>
    <mergeCell ref="M1218:N1218"/>
    <mergeCell ref="M1219:N1219"/>
    <mergeCell ref="M1220:N1220"/>
    <mergeCell ref="M1221:N1221"/>
    <mergeCell ref="M1222:N1222"/>
    <mergeCell ref="B1217:B1240"/>
    <mergeCell ref="C1217:C1240"/>
    <mergeCell ref="D1217:D1240"/>
    <mergeCell ref="E1217:E1240"/>
    <mergeCell ref="F1217:F1240"/>
    <mergeCell ref="G1217:G1240"/>
    <mergeCell ref="O1213:Z1213"/>
    <mergeCell ref="AA1213:AA1214"/>
    <mergeCell ref="J1214:J1216"/>
    <mergeCell ref="K1214:K1216"/>
    <mergeCell ref="M1215:N1215"/>
    <mergeCell ref="M1216:N1216"/>
    <mergeCell ref="G1213:G1216"/>
    <mergeCell ref="H1213:H1216"/>
    <mergeCell ref="I1213:I1216"/>
    <mergeCell ref="J1213:K1213"/>
    <mergeCell ref="L1213:L1216"/>
    <mergeCell ref="M1213:N1214"/>
    <mergeCell ref="C1211:P1211"/>
    <mergeCell ref="Q1211:T1211"/>
    <mergeCell ref="U1211:V1211"/>
    <mergeCell ref="W1211:Z1211"/>
    <mergeCell ref="C1212:P1212"/>
    <mergeCell ref="B1213:B1216"/>
    <mergeCell ref="C1213:C1216"/>
    <mergeCell ref="D1213:D1216"/>
    <mergeCell ref="E1213:E1216"/>
    <mergeCell ref="F1213:F1216"/>
    <mergeCell ref="M1207:N1207"/>
    <mergeCell ref="B1208:B1209"/>
    <mergeCell ref="C1208:AA1208"/>
    <mergeCell ref="C1209:AA1209"/>
    <mergeCell ref="C1210:P1210"/>
    <mergeCell ref="Q1210:T1210"/>
    <mergeCell ref="U1210:V1210"/>
    <mergeCell ref="W1210:Z1210"/>
    <mergeCell ref="M1201:N1201"/>
    <mergeCell ref="M1202:N1202"/>
    <mergeCell ref="M1203:N1203"/>
    <mergeCell ref="M1204:N1204"/>
    <mergeCell ref="M1205:N1205"/>
    <mergeCell ref="M1206:N1206"/>
    <mergeCell ref="M1195:N1195"/>
    <mergeCell ref="M1196:N1196"/>
    <mergeCell ref="M1197:N1197"/>
    <mergeCell ref="M1198:N1198"/>
    <mergeCell ref="M1199:N1199"/>
    <mergeCell ref="M1200:N1200"/>
    <mergeCell ref="G1190:G1207"/>
    <mergeCell ref="H1190:H1207"/>
    <mergeCell ref="I1190:I1207"/>
    <mergeCell ref="J1190:J1207"/>
    <mergeCell ref="L1190:L1207"/>
    <mergeCell ref="M1190:N1190"/>
    <mergeCell ref="M1191:N1191"/>
    <mergeCell ref="M1192:N1192"/>
    <mergeCell ref="M1193:N1193"/>
    <mergeCell ref="M1194:N1194"/>
    <mergeCell ref="AA1186:AA1187"/>
    <mergeCell ref="J1187:J1189"/>
    <mergeCell ref="K1187:K1189"/>
    <mergeCell ref="M1188:N1188"/>
    <mergeCell ref="M1189:N1189"/>
    <mergeCell ref="B1190:B1207"/>
    <mergeCell ref="C1190:C1207"/>
    <mergeCell ref="D1190:D1207"/>
    <mergeCell ref="E1190:E1207"/>
    <mergeCell ref="F1190:F1207"/>
    <mergeCell ref="H1186:H1189"/>
    <mergeCell ref="I1186:I1189"/>
    <mergeCell ref="J1186:K1186"/>
    <mergeCell ref="L1186:L1189"/>
    <mergeCell ref="M1186:N1187"/>
    <mergeCell ref="O1186:Z1186"/>
    <mergeCell ref="M1182:N1182"/>
    <mergeCell ref="M1183:N1183"/>
    <mergeCell ref="S1184:Y1184"/>
    <mergeCell ref="S1185:Y1185"/>
    <mergeCell ref="B1186:B1189"/>
    <mergeCell ref="C1186:C1189"/>
    <mergeCell ref="D1186:D1189"/>
    <mergeCell ref="E1186:E1189"/>
    <mergeCell ref="F1186:F1189"/>
    <mergeCell ref="G1186:G1189"/>
    <mergeCell ref="M1176:N1176"/>
    <mergeCell ref="M1177:N1177"/>
    <mergeCell ref="M1178:N1178"/>
    <mergeCell ref="M1179:N1179"/>
    <mergeCell ref="M1180:N1180"/>
    <mergeCell ref="M1181:N1181"/>
    <mergeCell ref="H1170:H1183"/>
    <mergeCell ref="I1170:I1183"/>
    <mergeCell ref="J1170:J1183"/>
    <mergeCell ref="L1170:L1183"/>
    <mergeCell ref="M1170:N1170"/>
    <mergeCell ref="M1171:N1171"/>
    <mergeCell ref="M1172:N1172"/>
    <mergeCell ref="M1173:N1173"/>
    <mergeCell ref="M1174:N1174"/>
    <mergeCell ref="M1175:N1175"/>
    <mergeCell ref="B1170:B1183"/>
    <mergeCell ref="C1170:C1183"/>
    <mergeCell ref="D1170:D1183"/>
    <mergeCell ref="E1170:E1183"/>
    <mergeCell ref="F1170:F1183"/>
    <mergeCell ref="G1170:G1183"/>
    <mergeCell ref="I1166:I1169"/>
    <mergeCell ref="J1166:K1166"/>
    <mergeCell ref="L1166:L1169"/>
    <mergeCell ref="M1166:N1167"/>
    <mergeCell ref="O1166:Z1166"/>
    <mergeCell ref="AA1166:AA1167"/>
    <mergeCell ref="J1167:J1169"/>
    <mergeCell ref="K1167:K1169"/>
    <mergeCell ref="M1168:N1168"/>
    <mergeCell ref="M1169:N1169"/>
    <mergeCell ref="M1163:N1163"/>
    <mergeCell ref="S1164:Y1164"/>
    <mergeCell ref="S1165:Y1165"/>
    <mergeCell ref="B1166:B1169"/>
    <mergeCell ref="C1166:C1169"/>
    <mergeCell ref="D1166:D1169"/>
    <mergeCell ref="E1166:E1169"/>
    <mergeCell ref="F1166:F1169"/>
    <mergeCell ref="G1166:G1169"/>
    <mergeCell ref="H1166:H1169"/>
    <mergeCell ref="M1157:N1157"/>
    <mergeCell ref="M1158:N1158"/>
    <mergeCell ref="M1159:N1159"/>
    <mergeCell ref="M1160:N1160"/>
    <mergeCell ref="M1161:N1161"/>
    <mergeCell ref="M1162:N1162"/>
    <mergeCell ref="M1151:N1151"/>
    <mergeCell ref="M1152:N1152"/>
    <mergeCell ref="M1153:N1153"/>
    <mergeCell ref="M1154:N1154"/>
    <mergeCell ref="M1155:N1155"/>
    <mergeCell ref="M1156:N1156"/>
    <mergeCell ref="G1146:G1163"/>
    <mergeCell ref="H1146:H1163"/>
    <mergeCell ref="I1146:I1163"/>
    <mergeCell ref="J1146:J1163"/>
    <mergeCell ref="L1146:L1163"/>
    <mergeCell ref="M1146:N1146"/>
    <mergeCell ref="M1147:N1147"/>
    <mergeCell ref="M1148:N1148"/>
    <mergeCell ref="M1149:N1149"/>
    <mergeCell ref="M1150:N1150"/>
    <mergeCell ref="AA1142:AA1143"/>
    <mergeCell ref="J1143:J1145"/>
    <mergeCell ref="K1143:K1145"/>
    <mergeCell ref="M1144:N1144"/>
    <mergeCell ref="M1145:N1145"/>
    <mergeCell ref="B1146:B1163"/>
    <mergeCell ref="C1146:C1163"/>
    <mergeCell ref="D1146:D1163"/>
    <mergeCell ref="E1146:E1163"/>
    <mergeCell ref="F1146:F1163"/>
    <mergeCell ref="H1142:H1145"/>
    <mergeCell ref="I1142:I1145"/>
    <mergeCell ref="J1142:K1142"/>
    <mergeCell ref="L1142:L1145"/>
    <mergeCell ref="M1142:N1143"/>
    <mergeCell ref="O1142:Z1142"/>
    <mergeCell ref="M1138:N1138"/>
    <mergeCell ref="M1139:N1139"/>
    <mergeCell ref="S1140:Y1140"/>
    <mergeCell ref="S1141:Y1141"/>
    <mergeCell ref="B1142:B1145"/>
    <mergeCell ref="C1142:C1145"/>
    <mergeCell ref="D1142:D1145"/>
    <mergeCell ref="E1142:E1145"/>
    <mergeCell ref="F1142:F1145"/>
    <mergeCell ref="G1142:G1145"/>
    <mergeCell ref="M1132:N1132"/>
    <mergeCell ref="M1133:N1133"/>
    <mergeCell ref="M1134:N1134"/>
    <mergeCell ref="M1135:N1135"/>
    <mergeCell ref="M1136:N1136"/>
    <mergeCell ref="M1137:N1137"/>
    <mergeCell ref="M1126:N1126"/>
    <mergeCell ref="M1127:N1127"/>
    <mergeCell ref="M1128:N1128"/>
    <mergeCell ref="M1129:N1129"/>
    <mergeCell ref="M1130:N1130"/>
    <mergeCell ref="M1131:N1131"/>
    <mergeCell ref="G1121:G1139"/>
    <mergeCell ref="H1121:H1139"/>
    <mergeCell ref="I1121:I1139"/>
    <mergeCell ref="J1121:J1139"/>
    <mergeCell ref="L1121:L1139"/>
    <mergeCell ref="M1121:N1121"/>
    <mergeCell ref="M1122:N1122"/>
    <mergeCell ref="M1123:N1123"/>
    <mergeCell ref="M1124:N1124"/>
    <mergeCell ref="M1125:N1125"/>
    <mergeCell ref="AA1117:AA1118"/>
    <mergeCell ref="J1118:J1120"/>
    <mergeCell ref="K1118:K1120"/>
    <mergeCell ref="M1119:N1119"/>
    <mergeCell ref="M1120:N1120"/>
    <mergeCell ref="B1121:B1139"/>
    <mergeCell ref="C1121:C1139"/>
    <mergeCell ref="D1121:D1139"/>
    <mergeCell ref="E1121:E1139"/>
    <mergeCell ref="F1121:F1139"/>
    <mergeCell ref="H1117:H1120"/>
    <mergeCell ref="I1117:I1120"/>
    <mergeCell ref="J1117:K1117"/>
    <mergeCell ref="L1117:L1120"/>
    <mergeCell ref="M1117:N1118"/>
    <mergeCell ref="O1117:Z1117"/>
    <mergeCell ref="M1113:N1113"/>
    <mergeCell ref="M1114:N1114"/>
    <mergeCell ref="S1115:Y1115"/>
    <mergeCell ref="S1116:Y1116"/>
    <mergeCell ref="B1117:B1120"/>
    <mergeCell ref="C1117:C1120"/>
    <mergeCell ref="D1117:D1120"/>
    <mergeCell ref="E1117:E1120"/>
    <mergeCell ref="F1117:F1120"/>
    <mergeCell ref="G1117:G1120"/>
    <mergeCell ref="M1107:N1107"/>
    <mergeCell ref="M1108:N1108"/>
    <mergeCell ref="M1109:N1109"/>
    <mergeCell ref="M1110:N1110"/>
    <mergeCell ref="M1111:N1111"/>
    <mergeCell ref="M1112:N1112"/>
    <mergeCell ref="M1101:N1101"/>
    <mergeCell ref="M1102:N1102"/>
    <mergeCell ref="M1103:N1103"/>
    <mergeCell ref="M1104:N1104"/>
    <mergeCell ref="M1105:N1105"/>
    <mergeCell ref="M1106:N1106"/>
    <mergeCell ref="M1095:N1095"/>
    <mergeCell ref="M1096:N1096"/>
    <mergeCell ref="M1097:N1097"/>
    <mergeCell ref="M1098:N1098"/>
    <mergeCell ref="M1099:N1099"/>
    <mergeCell ref="M1100:N1100"/>
    <mergeCell ref="G1090:G1114"/>
    <mergeCell ref="H1090:H1114"/>
    <mergeCell ref="I1090:I1114"/>
    <mergeCell ref="J1090:J1114"/>
    <mergeCell ref="L1090:L1114"/>
    <mergeCell ref="M1090:N1090"/>
    <mergeCell ref="M1091:N1091"/>
    <mergeCell ref="M1092:N1092"/>
    <mergeCell ref="M1093:N1093"/>
    <mergeCell ref="M1094:N1094"/>
    <mergeCell ref="AA1086:AA1087"/>
    <mergeCell ref="J1087:J1089"/>
    <mergeCell ref="K1087:K1089"/>
    <mergeCell ref="M1088:N1088"/>
    <mergeCell ref="M1089:N1089"/>
    <mergeCell ref="B1090:B1114"/>
    <mergeCell ref="C1090:C1114"/>
    <mergeCell ref="D1090:D1114"/>
    <mergeCell ref="E1090:E1114"/>
    <mergeCell ref="F1090:F1114"/>
    <mergeCell ref="H1086:H1089"/>
    <mergeCell ref="I1086:I1089"/>
    <mergeCell ref="J1086:K1086"/>
    <mergeCell ref="L1086:L1089"/>
    <mergeCell ref="M1086:N1087"/>
    <mergeCell ref="O1086:Z1086"/>
    <mergeCell ref="M1082:N1082"/>
    <mergeCell ref="M1083:N1083"/>
    <mergeCell ref="S1084:Y1084"/>
    <mergeCell ref="S1085:Y1085"/>
    <mergeCell ref="B1086:B1089"/>
    <mergeCell ref="C1086:C1089"/>
    <mergeCell ref="D1086:D1089"/>
    <mergeCell ref="E1086:E1089"/>
    <mergeCell ref="F1086:F1089"/>
    <mergeCell ref="G1086:G1089"/>
    <mergeCell ref="H1070:H1083"/>
    <mergeCell ref="I1070:I1083"/>
    <mergeCell ref="J1070:J1083"/>
    <mergeCell ref="L1070:L1083"/>
    <mergeCell ref="M1070:N1070"/>
    <mergeCell ref="M1071:N1071"/>
    <mergeCell ref="M1072:N1072"/>
    <mergeCell ref="M1073:N1073"/>
    <mergeCell ref="M1074:N1074"/>
    <mergeCell ref="M1075:N1075"/>
    <mergeCell ref="B1070:B1083"/>
    <mergeCell ref="C1070:C1083"/>
    <mergeCell ref="D1070:D1083"/>
    <mergeCell ref="E1070:E1083"/>
    <mergeCell ref="F1070:F1083"/>
    <mergeCell ref="G1070:G1083"/>
    <mergeCell ref="M1076:N1076"/>
    <mergeCell ref="M1077:N1077"/>
    <mergeCell ref="M1078:N1078"/>
    <mergeCell ref="M1079:N1079"/>
    <mergeCell ref="M1080:N1080"/>
    <mergeCell ref="M1081:N1081"/>
    <mergeCell ref="I1066:I1069"/>
    <mergeCell ref="J1066:K1066"/>
    <mergeCell ref="L1066:L1069"/>
    <mergeCell ref="M1066:N1067"/>
    <mergeCell ref="O1066:Z1066"/>
    <mergeCell ref="AA1066:AA1067"/>
    <mergeCell ref="J1067:J1069"/>
    <mergeCell ref="K1067:K1069"/>
    <mergeCell ref="M1068:N1068"/>
    <mergeCell ref="M1069:N1069"/>
    <mergeCell ref="M1062:N1062"/>
    <mergeCell ref="V1064:Y1064"/>
    <mergeCell ref="V1065:Y1065"/>
    <mergeCell ref="B1066:B1069"/>
    <mergeCell ref="C1066:C1069"/>
    <mergeCell ref="D1066:D1069"/>
    <mergeCell ref="E1066:E1069"/>
    <mergeCell ref="F1066:F1069"/>
    <mergeCell ref="G1066:G1069"/>
    <mergeCell ref="H1066:H1069"/>
    <mergeCell ref="M1048:N1048"/>
    <mergeCell ref="M1049:N1049"/>
    <mergeCell ref="B1044:B1062"/>
    <mergeCell ref="C1044:C1062"/>
    <mergeCell ref="D1044:D1062"/>
    <mergeCell ref="E1044:E1062"/>
    <mergeCell ref="F1044:F1062"/>
    <mergeCell ref="G1044:G1062"/>
    <mergeCell ref="M1056:N1056"/>
    <mergeCell ref="M1057:N1057"/>
    <mergeCell ref="M1058:N1058"/>
    <mergeCell ref="M1059:N1059"/>
    <mergeCell ref="M1060:N1060"/>
    <mergeCell ref="M1061:N1061"/>
    <mergeCell ref="M1050:N1050"/>
    <mergeCell ref="M1051:N1051"/>
    <mergeCell ref="M1052:N1052"/>
    <mergeCell ref="M1053:N1053"/>
    <mergeCell ref="M1054:N1054"/>
    <mergeCell ref="M1055:N1055"/>
    <mergeCell ref="H1044:H1062"/>
    <mergeCell ref="I1044:I1062"/>
    <mergeCell ref="J1044:J1062"/>
    <mergeCell ref="L1044:L1062"/>
    <mergeCell ref="M1044:N1044"/>
    <mergeCell ref="M1045:N1045"/>
    <mergeCell ref="M1046:N1046"/>
    <mergeCell ref="M1047:N1047"/>
    <mergeCell ref="L1040:L1043"/>
    <mergeCell ref="M1040:N1041"/>
    <mergeCell ref="O1040:Z1040"/>
    <mergeCell ref="AA1040:AA1041"/>
    <mergeCell ref="J1041:J1043"/>
    <mergeCell ref="K1041:K1043"/>
    <mergeCell ref="M1042:N1042"/>
    <mergeCell ref="M1043:N1043"/>
    <mergeCell ref="S1039:Y1039"/>
    <mergeCell ref="B1040:B1043"/>
    <mergeCell ref="C1040:C1043"/>
    <mergeCell ref="D1040:D1043"/>
    <mergeCell ref="E1040:E1043"/>
    <mergeCell ref="F1040:F1043"/>
    <mergeCell ref="G1040:G1043"/>
    <mergeCell ref="H1040:H1043"/>
    <mergeCell ref="I1040:I1043"/>
    <mergeCell ref="J1040:K1040"/>
    <mergeCell ref="M1033:N1033"/>
    <mergeCell ref="M1034:N1034"/>
    <mergeCell ref="M1035:N1035"/>
    <mergeCell ref="M1036:N1036"/>
    <mergeCell ref="M1037:N1037"/>
    <mergeCell ref="S1038:Y1038"/>
    <mergeCell ref="M1027:N1027"/>
    <mergeCell ref="M1028:N1028"/>
    <mergeCell ref="M1029:N1029"/>
    <mergeCell ref="M1030:N1030"/>
    <mergeCell ref="M1031:N1031"/>
    <mergeCell ref="M1032:N1032"/>
    <mergeCell ref="H1021:H1037"/>
    <mergeCell ref="I1021:I1037"/>
    <mergeCell ref="J1021:J1037"/>
    <mergeCell ref="L1021:L1037"/>
    <mergeCell ref="M1021:N1021"/>
    <mergeCell ref="M1022:N1022"/>
    <mergeCell ref="M1023:N1023"/>
    <mergeCell ref="M1024:N1024"/>
    <mergeCell ref="M1025:N1025"/>
    <mergeCell ref="M1026:N1026"/>
    <mergeCell ref="B1021:B1037"/>
    <mergeCell ref="C1021:C1037"/>
    <mergeCell ref="D1021:D1037"/>
    <mergeCell ref="E1021:E1037"/>
    <mergeCell ref="F1021:F1037"/>
    <mergeCell ref="G1021:G1037"/>
    <mergeCell ref="J1017:K1017"/>
    <mergeCell ref="L1017:L1020"/>
    <mergeCell ref="M1017:N1018"/>
    <mergeCell ref="O1017:Z1017"/>
    <mergeCell ref="AA1017:AA1018"/>
    <mergeCell ref="J1018:J1020"/>
    <mergeCell ref="K1018:K1020"/>
    <mergeCell ref="M1019:N1019"/>
    <mergeCell ref="M1020:N1020"/>
    <mergeCell ref="S1016:Y1016"/>
    <mergeCell ref="Z1016:AA1016"/>
    <mergeCell ref="B1017:B1020"/>
    <mergeCell ref="C1017:C1020"/>
    <mergeCell ref="D1017:D1020"/>
    <mergeCell ref="E1017:E1020"/>
    <mergeCell ref="F1017:F1020"/>
    <mergeCell ref="G1017:G1020"/>
    <mergeCell ref="H1017:H1020"/>
    <mergeCell ref="I1017:I1020"/>
    <mergeCell ref="M1011:N1011"/>
    <mergeCell ref="M1012:N1012"/>
    <mergeCell ref="M1013:N1013"/>
    <mergeCell ref="M1014:N1014"/>
    <mergeCell ref="S1015:Y1015"/>
    <mergeCell ref="Z1015:AA1015"/>
    <mergeCell ref="M1005:N1005"/>
    <mergeCell ref="M1006:N1006"/>
    <mergeCell ref="M1007:N1007"/>
    <mergeCell ref="M1008:N1008"/>
    <mergeCell ref="M1009:N1009"/>
    <mergeCell ref="M1010:N1010"/>
    <mergeCell ref="M999:N999"/>
    <mergeCell ref="M1000:N1000"/>
    <mergeCell ref="M1001:N1001"/>
    <mergeCell ref="M1002:N1002"/>
    <mergeCell ref="M1003:N1003"/>
    <mergeCell ref="M1004:N1004"/>
    <mergeCell ref="M993:N993"/>
    <mergeCell ref="M994:N994"/>
    <mergeCell ref="M995:N995"/>
    <mergeCell ref="M996:N996"/>
    <mergeCell ref="M997:N997"/>
    <mergeCell ref="M998:N998"/>
    <mergeCell ref="H987:H1014"/>
    <mergeCell ref="I987:I1014"/>
    <mergeCell ref="J987:J1014"/>
    <mergeCell ref="L987:L1014"/>
    <mergeCell ref="M987:N987"/>
    <mergeCell ref="M988:N988"/>
    <mergeCell ref="M989:N989"/>
    <mergeCell ref="M990:N990"/>
    <mergeCell ref="M991:N991"/>
    <mergeCell ref="M992:N992"/>
    <mergeCell ref="B987:B1014"/>
    <mergeCell ref="C987:C1014"/>
    <mergeCell ref="D987:D1014"/>
    <mergeCell ref="E987:E1014"/>
    <mergeCell ref="F987:F1014"/>
    <mergeCell ref="G987:G1014"/>
    <mergeCell ref="J983:K983"/>
    <mergeCell ref="L983:L986"/>
    <mergeCell ref="M983:N984"/>
    <mergeCell ref="O983:Z983"/>
    <mergeCell ref="AA983:AA984"/>
    <mergeCell ref="J984:J986"/>
    <mergeCell ref="K984:K986"/>
    <mergeCell ref="M985:N985"/>
    <mergeCell ref="M986:N986"/>
    <mergeCell ref="S981:Y981"/>
    <mergeCell ref="S982:Y982"/>
    <mergeCell ref="B983:B986"/>
    <mergeCell ref="C983:C986"/>
    <mergeCell ref="D983:D986"/>
    <mergeCell ref="E983:E986"/>
    <mergeCell ref="F983:F986"/>
    <mergeCell ref="G983:G986"/>
    <mergeCell ref="H983:H986"/>
    <mergeCell ref="I983:I986"/>
    <mergeCell ref="M975:N975"/>
    <mergeCell ref="M976:N976"/>
    <mergeCell ref="M977:N977"/>
    <mergeCell ref="M978:N978"/>
    <mergeCell ref="M979:N979"/>
    <mergeCell ref="M980:N980"/>
    <mergeCell ref="M969:N969"/>
    <mergeCell ref="M970:N970"/>
    <mergeCell ref="M971:N971"/>
    <mergeCell ref="M972:N972"/>
    <mergeCell ref="M973:N973"/>
    <mergeCell ref="M974:N974"/>
    <mergeCell ref="H963:H980"/>
    <mergeCell ref="I963:I980"/>
    <mergeCell ref="J963:J980"/>
    <mergeCell ref="L963:L980"/>
    <mergeCell ref="M963:N963"/>
    <mergeCell ref="M964:N964"/>
    <mergeCell ref="M965:N965"/>
    <mergeCell ref="M966:N966"/>
    <mergeCell ref="M967:N967"/>
    <mergeCell ref="M968:N968"/>
    <mergeCell ref="B963:B980"/>
    <mergeCell ref="C963:C980"/>
    <mergeCell ref="D963:D980"/>
    <mergeCell ref="E963:E980"/>
    <mergeCell ref="F963:F980"/>
    <mergeCell ref="G963:G980"/>
    <mergeCell ref="J959:K959"/>
    <mergeCell ref="L959:L962"/>
    <mergeCell ref="M959:N960"/>
    <mergeCell ref="O959:Z959"/>
    <mergeCell ref="AA959:AA960"/>
    <mergeCell ref="J960:J962"/>
    <mergeCell ref="K960:K962"/>
    <mergeCell ref="M961:N961"/>
    <mergeCell ref="M962:N962"/>
    <mergeCell ref="S957:Y957"/>
    <mergeCell ref="S958:Y958"/>
    <mergeCell ref="B959:B962"/>
    <mergeCell ref="C959:C962"/>
    <mergeCell ref="D959:D962"/>
    <mergeCell ref="E959:E962"/>
    <mergeCell ref="F959:F962"/>
    <mergeCell ref="G959:G962"/>
    <mergeCell ref="H959:H962"/>
    <mergeCell ref="I959:I962"/>
    <mergeCell ref="M951:N951"/>
    <mergeCell ref="M952:N952"/>
    <mergeCell ref="M953:N953"/>
    <mergeCell ref="M954:N954"/>
    <mergeCell ref="M955:N955"/>
    <mergeCell ref="M956:N956"/>
    <mergeCell ref="M945:N945"/>
    <mergeCell ref="M946:N946"/>
    <mergeCell ref="M947:N947"/>
    <mergeCell ref="M948:N948"/>
    <mergeCell ref="M949:N949"/>
    <mergeCell ref="M950:N950"/>
    <mergeCell ref="M939:N939"/>
    <mergeCell ref="M940:N940"/>
    <mergeCell ref="M941:N941"/>
    <mergeCell ref="M942:N942"/>
    <mergeCell ref="M943:N943"/>
    <mergeCell ref="M944:N944"/>
    <mergeCell ref="H933:H956"/>
    <mergeCell ref="I933:I956"/>
    <mergeCell ref="J933:J956"/>
    <mergeCell ref="L933:L956"/>
    <mergeCell ref="M933:N933"/>
    <mergeCell ref="M934:N934"/>
    <mergeCell ref="M935:N935"/>
    <mergeCell ref="M936:N936"/>
    <mergeCell ref="M937:N937"/>
    <mergeCell ref="M938:N938"/>
    <mergeCell ref="B933:B956"/>
    <mergeCell ref="C933:C956"/>
    <mergeCell ref="D933:D956"/>
    <mergeCell ref="E933:E956"/>
    <mergeCell ref="F933:F956"/>
    <mergeCell ref="G933:G956"/>
    <mergeCell ref="I929:I932"/>
    <mergeCell ref="J929:K929"/>
    <mergeCell ref="L929:L932"/>
    <mergeCell ref="M929:N930"/>
    <mergeCell ref="O929:Z929"/>
    <mergeCell ref="AA929:AA930"/>
    <mergeCell ref="J930:J932"/>
    <mergeCell ref="K930:K932"/>
    <mergeCell ref="M931:N931"/>
    <mergeCell ref="M932:N932"/>
    <mergeCell ref="M925:N925"/>
    <mergeCell ref="V927:Y927"/>
    <mergeCell ref="V928:Y928"/>
    <mergeCell ref="B929:B932"/>
    <mergeCell ref="C929:C932"/>
    <mergeCell ref="D929:D932"/>
    <mergeCell ref="E929:E932"/>
    <mergeCell ref="F929:F932"/>
    <mergeCell ref="G929:G932"/>
    <mergeCell ref="H929:H932"/>
    <mergeCell ref="M919:N919"/>
    <mergeCell ref="M920:N920"/>
    <mergeCell ref="M921:N921"/>
    <mergeCell ref="M922:N922"/>
    <mergeCell ref="M923:N923"/>
    <mergeCell ref="M924:N924"/>
    <mergeCell ref="M913:N913"/>
    <mergeCell ref="M914:N914"/>
    <mergeCell ref="M915:N915"/>
    <mergeCell ref="M916:N916"/>
    <mergeCell ref="M917:N917"/>
    <mergeCell ref="M918:N918"/>
    <mergeCell ref="H907:H925"/>
    <mergeCell ref="I907:I925"/>
    <mergeCell ref="J907:J925"/>
    <mergeCell ref="L907:L925"/>
    <mergeCell ref="M907:N907"/>
    <mergeCell ref="M908:N908"/>
    <mergeCell ref="M909:N909"/>
    <mergeCell ref="M910:N910"/>
    <mergeCell ref="M911:N911"/>
    <mergeCell ref="M912:N912"/>
    <mergeCell ref="B907:B925"/>
    <mergeCell ref="C907:C925"/>
    <mergeCell ref="D907:D925"/>
    <mergeCell ref="E907:E925"/>
    <mergeCell ref="F907:F925"/>
    <mergeCell ref="G907:G925"/>
    <mergeCell ref="Z927:AA927"/>
    <mergeCell ref="Z928:AA928"/>
    <mergeCell ref="O903:Z903"/>
    <mergeCell ref="AA903:AA904"/>
    <mergeCell ref="J904:J906"/>
    <mergeCell ref="K904:K906"/>
    <mergeCell ref="M905:N905"/>
    <mergeCell ref="M906:N906"/>
    <mergeCell ref="G903:G906"/>
    <mergeCell ref="H903:H906"/>
    <mergeCell ref="I903:I906"/>
    <mergeCell ref="J903:K903"/>
    <mergeCell ref="L903:L906"/>
    <mergeCell ref="M903:N904"/>
    <mergeCell ref="M899:N899"/>
    <mergeCell ref="S901:Y901"/>
    <mergeCell ref="Z901:AA901"/>
    <mergeCell ref="S902:Y902"/>
    <mergeCell ref="Z902:AA902"/>
    <mergeCell ref="B903:B906"/>
    <mergeCell ref="C903:C906"/>
    <mergeCell ref="D903:D906"/>
    <mergeCell ref="E903:E906"/>
    <mergeCell ref="F903:F906"/>
    <mergeCell ref="M893:N893"/>
    <mergeCell ref="M894:N894"/>
    <mergeCell ref="M895:N895"/>
    <mergeCell ref="M896:N896"/>
    <mergeCell ref="M897:N897"/>
    <mergeCell ref="M898:N898"/>
    <mergeCell ref="M887:N887"/>
    <mergeCell ref="M888:N888"/>
    <mergeCell ref="M889:N889"/>
    <mergeCell ref="M890:N890"/>
    <mergeCell ref="M891:N891"/>
    <mergeCell ref="M892:N892"/>
    <mergeCell ref="G882:G899"/>
    <mergeCell ref="H882:H899"/>
    <mergeCell ref="I882:I899"/>
    <mergeCell ref="J882:J899"/>
    <mergeCell ref="L882:L899"/>
    <mergeCell ref="M882:N882"/>
    <mergeCell ref="M883:N883"/>
    <mergeCell ref="M884:N884"/>
    <mergeCell ref="M885:N885"/>
    <mergeCell ref="M886:N886"/>
    <mergeCell ref="AA878:AA879"/>
    <mergeCell ref="J879:J881"/>
    <mergeCell ref="K879:K881"/>
    <mergeCell ref="M880:N880"/>
    <mergeCell ref="M881:N881"/>
    <mergeCell ref="B882:B899"/>
    <mergeCell ref="C882:C899"/>
    <mergeCell ref="D882:D899"/>
    <mergeCell ref="E882:E899"/>
    <mergeCell ref="F882:F899"/>
    <mergeCell ref="H878:H881"/>
    <mergeCell ref="I878:I881"/>
    <mergeCell ref="J878:K878"/>
    <mergeCell ref="L878:L881"/>
    <mergeCell ref="M878:N879"/>
    <mergeCell ref="O878:Z878"/>
    <mergeCell ref="M873:N873"/>
    <mergeCell ref="M874:N874"/>
    <mergeCell ref="S876:Y876"/>
    <mergeCell ref="S877:Y877"/>
    <mergeCell ref="B878:B881"/>
    <mergeCell ref="C878:C881"/>
    <mergeCell ref="D878:D881"/>
    <mergeCell ref="E878:E881"/>
    <mergeCell ref="F878:F881"/>
    <mergeCell ref="G878:G881"/>
    <mergeCell ref="M867:N867"/>
    <mergeCell ref="M868:N868"/>
    <mergeCell ref="M869:N869"/>
    <mergeCell ref="M870:N870"/>
    <mergeCell ref="M871:N871"/>
    <mergeCell ref="M872:N872"/>
    <mergeCell ref="M861:N861"/>
    <mergeCell ref="M862:N862"/>
    <mergeCell ref="M863:N863"/>
    <mergeCell ref="M864:N864"/>
    <mergeCell ref="M865:N865"/>
    <mergeCell ref="M866:N866"/>
    <mergeCell ref="Z876:AA876"/>
    <mergeCell ref="Z877:AA877"/>
    <mergeCell ref="M855:N855"/>
    <mergeCell ref="M856:N856"/>
    <mergeCell ref="M857:N857"/>
    <mergeCell ref="M858:N858"/>
    <mergeCell ref="M859:N859"/>
    <mergeCell ref="M860:N860"/>
    <mergeCell ref="M854:N854"/>
    <mergeCell ref="B855:B874"/>
    <mergeCell ref="C855:C874"/>
    <mergeCell ref="D855:D874"/>
    <mergeCell ref="E855:E874"/>
    <mergeCell ref="F855:F874"/>
    <mergeCell ref="G855:G874"/>
    <mergeCell ref="H855:H874"/>
    <mergeCell ref="I855:I874"/>
    <mergeCell ref="J855:J874"/>
    <mergeCell ref="I851:I854"/>
    <mergeCell ref="J851:K851"/>
    <mergeCell ref="L851:L853"/>
    <mergeCell ref="M851:N852"/>
    <mergeCell ref="O851:Z851"/>
    <mergeCell ref="AA851:AA852"/>
    <mergeCell ref="J852:J854"/>
    <mergeCell ref="K852:K854"/>
    <mergeCell ref="M853:N853"/>
    <mergeCell ref="L854:L875"/>
    <mergeCell ref="M847:N847"/>
    <mergeCell ref="S849:Y849"/>
    <mergeCell ref="S850:Y850"/>
    <mergeCell ref="B851:B854"/>
    <mergeCell ref="C851:C854"/>
    <mergeCell ref="D851:D854"/>
    <mergeCell ref="E851:E854"/>
    <mergeCell ref="F851:F854"/>
    <mergeCell ref="G851:G854"/>
    <mergeCell ref="H851:H854"/>
    <mergeCell ref="Z849:AA849"/>
    <mergeCell ref="Z850:AA850"/>
    <mergeCell ref="M841:N841"/>
    <mergeCell ref="M842:N842"/>
    <mergeCell ref="M843:N843"/>
    <mergeCell ref="M844:N844"/>
    <mergeCell ref="M845:N845"/>
    <mergeCell ref="M846:N846"/>
    <mergeCell ref="M835:N835"/>
    <mergeCell ref="M836:N836"/>
    <mergeCell ref="M837:N837"/>
    <mergeCell ref="M838:N838"/>
    <mergeCell ref="M839:N839"/>
    <mergeCell ref="M840:N840"/>
    <mergeCell ref="G830:G847"/>
    <mergeCell ref="H830:H847"/>
    <mergeCell ref="I830:I847"/>
    <mergeCell ref="J830:J847"/>
    <mergeCell ref="L830:L847"/>
    <mergeCell ref="M830:N830"/>
    <mergeCell ref="M831:N831"/>
    <mergeCell ref="M832:N832"/>
    <mergeCell ref="M833:N833"/>
    <mergeCell ref="M834:N834"/>
    <mergeCell ref="AA826:AA827"/>
    <mergeCell ref="J827:J829"/>
    <mergeCell ref="K827:K829"/>
    <mergeCell ref="M828:N828"/>
    <mergeCell ref="M829:N829"/>
    <mergeCell ref="B830:B847"/>
    <mergeCell ref="C830:C847"/>
    <mergeCell ref="D830:D847"/>
    <mergeCell ref="E830:E847"/>
    <mergeCell ref="F830:F847"/>
    <mergeCell ref="H826:H829"/>
    <mergeCell ref="I826:I829"/>
    <mergeCell ref="J826:K826"/>
    <mergeCell ref="L826:L829"/>
    <mergeCell ref="M826:N827"/>
    <mergeCell ref="O826:Z826"/>
    <mergeCell ref="S824:Y824"/>
    <mergeCell ref="Z824:AA824"/>
    <mergeCell ref="S825:Y825"/>
    <mergeCell ref="Z825:AA825"/>
    <mergeCell ref="B826:B829"/>
    <mergeCell ref="C826:C829"/>
    <mergeCell ref="D826:D829"/>
    <mergeCell ref="E826:E829"/>
    <mergeCell ref="F826:F829"/>
    <mergeCell ref="G826:G829"/>
    <mergeCell ref="M817:N817"/>
    <mergeCell ref="M818:N818"/>
    <mergeCell ref="M819:N819"/>
    <mergeCell ref="M820:N820"/>
    <mergeCell ref="M821:N821"/>
    <mergeCell ref="M822:N822"/>
    <mergeCell ref="M811:N811"/>
    <mergeCell ref="M812:N812"/>
    <mergeCell ref="M813:N813"/>
    <mergeCell ref="M814:N814"/>
    <mergeCell ref="M815:N815"/>
    <mergeCell ref="M816:N816"/>
    <mergeCell ref="H805:H822"/>
    <mergeCell ref="I805:I822"/>
    <mergeCell ref="J805:J822"/>
    <mergeCell ref="L805:L822"/>
    <mergeCell ref="M805:N805"/>
    <mergeCell ref="M806:N806"/>
    <mergeCell ref="M807:N807"/>
    <mergeCell ref="M808:N808"/>
    <mergeCell ref="M809:N809"/>
    <mergeCell ref="M810:N810"/>
    <mergeCell ref="B805:B822"/>
    <mergeCell ref="C805:C822"/>
    <mergeCell ref="D805:D822"/>
    <mergeCell ref="E805:E822"/>
    <mergeCell ref="F805:F822"/>
    <mergeCell ref="G805:G822"/>
    <mergeCell ref="O801:Z801"/>
    <mergeCell ref="AA801:AA802"/>
    <mergeCell ref="J802:J804"/>
    <mergeCell ref="K802:K804"/>
    <mergeCell ref="M803:N803"/>
    <mergeCell ref="M804:N804"/>
    <mergeCell ref="G801:G804"/>
    <mergeCell ref="H801:H804"/>
    <mergeCell ref="I801:I804"/>
    <mergeCell ref="J801:K801"/>
    <mergeCell ref="L801:L804"/>
    <mergeCell ref="M801:N802"/>
    <mergeCell ref="M797:N797"/>
    <mergeCell ref="S799:Y799"/>
    <mergeCell ref="Z799:AA799"/>
    <mergeCell ref="S800:Y800"/>
    <mergeCell ref="Z800:AA800"/>
    <mergeCell ref="B801:B804"/>
    <mergeCell ref="C801:C804"/>
    <mergeCell ref="D801:D804"/>
    <mergeCell ref="E801:E804"/>
    <mergeCell ref="F801:F804"/>
    <mergeCell ref="M791:N791"/>
    <mergeCell ref="M792:N792"/>
    <mergeCell ref="M793:N793"/>
    <mergeCell ref="M794:N794"/>
    <mergeCell ref="M795:N795"/>
    <mergeCell ref="M796:N796"/>
    <mergeCell ref="M785:N785"/>
    <mergeCell ref="M786:N786"/>
    <mergeCell ref="M787:N787"/>
    <mergeCell ref="M788:N788"/>
    <mergeCell ref="M789:N789"/>
    <mergeCell ref="M790:N790"/>
    <mergeCell ref="G780:G797"/>
    <mergeCell ref="H780:H797"/>
    <mergeCell ref="I780:I797"/>
    <mergeCell ref="J780:J797"/>
    <mergeCell ref="L780:L797"/>
    <mergeCell ref="M780:N780"/>
    <mergeCell ref="M781:N781"/>
    <mergeCell ref="M782:N782"/>
    <mergeCell ref="M783:N783"/>
    <mergeCell ref="M784:N784"/>
    <mergeCell ref="AA776:AA777"/>
    <mergeCell ref="J777:J779"/>
    <mergeCell ref="K777:K779"/>
    <mergeCell ref="M778:N778"/>
    <mergeCell ref="M779:N779"/>
    <mergeCell ref="B780:B797"/>
    <mergeCell ref="C780:C797"/>
    <mergeCell ref="D780:D797"/>
    <mergeCell ref="E780:E797"/>
    <mergeCell ref="F780:F797"/>
    <mergeCell ref="H776:H779"/>
    <mergeCell ref="I776:I779"/>
    <mergeCell ref="J776:K776"/>
    <mergeCell ref="L776:L779"/>
    <mergeCell ref="M776:N777"/>
    <mergeCell ref="O776:Z776"/>
    <mergeCell ref="M771:N771"/>
    <mergeCell ref="M772:N772"/>
    <mergeCell ref="V774:Y774"/>
    <mergeCell ref="V775:Y775"/>
    <mergeCell ref="B776:B779"/>
    <mergeCell ref="C776:C779"/>
    <mergeCell ref="D776:D779"/>
    <mergeCell ref="E776:E779"/>
    <mergeCell ref="F776:F779"/>
    <mergeCell ref="G776:G779"/>
    <mergeCell ref="M765:N765"/>
    <mergeCell ref="M766:N766"/>
    <mergeCell ref="M767:N767"/>
    <mergeCell ref="M768:N768"/>
    <mergeCell ref="M769:N769"/>
    <mergeCell ref="M770:N770"/>
    <mergeCell ref="M759:N759"/>
    <mergeCell ref="M760:N760"/>
    <mergeCell ref="M761:N761"/>
    <mergeCell ref="M762:N762"/>
    <mergeCell ref="M763:N763"/>
    <mergeCell ref="M764:N764"/>
    <mergeCell ref="Z774:AA774"/>
    <mergeCell ref="Z775:AA775"/>
    <mergeCell ref="M753:N753"/>
    <mergeCell ref="M754:N754"/>
    <mergeCell ref="M755:N755"/>
    <mergeCell ref="M756:N756"/>
    <mergeCell ref="M757:N757"/>
    <mergeCell ref="M758:N758"/>
    <mergeCell ref="H747:H772"/>
    <mergeCell ref="I747:I772"/>
    <mergeCell ref="J747:J772"/>
    <mergeCell ref="L747:L771"/>
    <mergeCell ref="M747:N747"/>
    <mergeCell ref="M748:N748"/>
    <mergeCell ref="M749:N749"/>
    <mergeCell ref="M750:N750"/>
    <mergeCell ref="M751:N751"/>
    <mergeCell ref="M752:N752"/>
    <mergeCell ref="B747:B772"/>
    <mergeCell ref="C747:C772"/>
    <mergeCell ref="D747:D772"/>
    <mergeCell ref="E747:E772"/>
    <mergeCell ref="F747:F772"/>
    <mergeCell ref="G747:G772"/>
    <mergeCell ref="I743:I746"/>
    <mergeCell ref="J743:K743"/>
    <mergeCell ref="L743:L746"/>
    <mergeCell ref="M743:N744"/>
    <mergeCell ref="O743:Z743"/>
    <mergeCell ref="AA743:AA744"/>
    <mergeCell ref="J744:J746"/>
    <mergeCell ref="K744:K746"/>
    <mergeCell ref="M745:N745"/>
    <mergeCell ref="M746:N746"/>
    <mergeCell ref="M739:N739"/>
    <mergeCell ref="V741:Y741"/>
    <mergeCell ref="V742:Y742"/>
    <mergeCell ref="B743:B746"/>
    <mergeCell ref="C743:C746"/>
    <mergeCell ref="D743:D746"/>
    <mergeCell ref="E743:E746"/>
    <mergeCell ref="F743:F746"/>
    <mergeCell ref="G743:G746"/>
    <mergeCell ref="H743:H746"/>
    <mergeCell ref="M733:N733"/>
    <mergeCell ref="M734:N734"/>
    <mergeCell ref="M735:N735"/>
    <mergeCell ref="M736:N736"/>
    <mergeCell ref="M737:N737"/>
    <mergeCell ref="M738:N738"/>
    <mergeCell ref="M727:N727"/>
    <mergeCell ref="M728:N728"/>
    <mergeCell ref="M729:N729"/>
    <mergeCell ref="M730:N730"/>
    <mergeCell ref="M731:N731"/>
    <mergeCell ref="M732:N732"/>
    <mergeCell ref="G722:G739"/>
    <mergeCell ref="H722:H739"/>
    <mergeCell ref="I722:I739"/>
    <mergeCell ref="J722:J739"/>
    <mergeCell ref="L722:L739"/>
    <mergeCell ref="M722:N722"/>
    <mergeCell ref="M723:N723"/>
    <mergeCell ref="M724:N724"/>
    <mergeCell ref="M725:N725"/>
    <mergeCell ref="M726:N726"/>
    <mergeCell ref="O718:Z718"/>
    <mergeCell ref="J719:J721"/>
    <mergeCell ref="K719:K721"/>
    <mergeCell ref="M720:N720"/>
    <mergeCell ref="M721:N721"/>
    <mergeCell ref="B722:B739"/>
    <mergeCell ref="C722:C739"/>
    <mergeCell ref="D722:D739"/>
    <mergeCell ref="E722:E739"/>
    <mergeCell ref="F722:F739"/>
    <mergeCell ref="G718:G721"/>
    <mergeCell ref="H718:H721"/>
    <mergeCell ref="I718:I721"/>
    <mergeCell ref="J718:K718"/>
    <mergeCell ref="L718:L721"/>
    <mergeCell ref="M718:N719"/>
    <mergeCell ref="M712:N712"/>
    <mergeCell ref="M713:N713"/>
    <mergeCell ref="M714:N714"/>
    <mergeCell ref="V716:Y716"/>
    <mergeCell ref="V717:Y717"/>
    <mergeCell ref="B718:B721"/>
    <mergeCell ref="C718:C721"/>
    <mergeCell ref="D718:D721"/>
    <mergeCell ref="E718:E721"/>
    <mergeCell ref="F718:F721"/>
    <mergeCell ref="M706:N706"/>
    <mergeCell ref="M707:N707"/>
    <mergeCell ref="M708:N708"/>
    <mergeCell ref="M709:N709"/>
    <mergeCell ref="M710:N710"/>
    <mergeCell ref="M711:N711"/>
    <mergeCell ref="M700:N700"/>
    <mergeCell ref="M701:N701"/>
    <mergeCell ref="M702:N702"/>
    <mergeCell ref="M703:N703"/>
    <mergeCell ref="M704:N704"/>
    <mergeCell ref="M705:N705"/>
    <mergeCell ref="H694:H714"/>
    <mergeCell ref="I694:I714"/>
    <mergeCell ref="J694:J714"/>
    <mergeCell ref="L694:L714"/>
    <mergeCell ref="M694:N694"/>
    <mergeCell ref="M695:N695"/>
    <mergeCell ref="M696:N696"/>
    <mergeCell ref="M697:N697"/>
    <mergeCell ref="M698:N698"/>
    <mergeCell ref="M699:N699"/>
    <mergeCell ref="B694:B714"/>
    <mergeCell ref="C694:C714"/>
    <mergeCell ref="D694:D714"/>
    <mergeCell ref="E694:E714"/>
    <mergeCell ref="F694:F714"/>
    <mergeCell ref="G694:G714"/>
    <mergeCell ref="L690:L693"/>
    <mergeCell ref="M690:N691"/>
    <mergeCell ref="O690:Z690"/>
    <mergeCell ref="AA690:AA691"/>
    <mergeCell ref="J691:J693"/>
    <mergeCell ref="K691:K693"/>
    <mergeCell ref="M692:N692"/>
    <mergeCell ref="M693:N693"/>
    <mergeCell ref="V689:Y689"/>
    <mergeCell ref="B690:B693"/>
    <mergeCell ref="C690:C693"/>
    <mergeCell ref="D690:D693"/>
    <mergeCell ref="E690:E693"/>
    <mergeCell ref="F690:F693"/>
    <mergeCell ref="G690:G693"/>
    <mergeCell ref="H690:H693"/>
    <mergeCell ref="I690:I693"/>
    <mergeCell ref="J690:K690"/>
    <mergeCell ref="M683:N683"/>
    <mergeCell ref="M684:N684"/>
    <mergeCell ref="M685:N685"/>
    <mergeCell ref="M686:N686"/>
    <mergeCell ref="E688:U688"/>
    <mergeCell ref="V688:Y688"/>
    <mergeCell ref="M677:N677"/>
    <mergeCell ref="M678:N678"/>
    <mergeCell ref="M679:N679"/>
    <mergeCell ref="M680:N680"/>
    <mergeCell ref="M681:N681"/>
    <mergeCell ref="M682:N682"/>
    <mergeCell ref="M671:N671"/>
    <mergeCell ref="M672:N672"/>
    <mergeCell ref="M673:N673"/>
    <mergeCell ref="M674:N674"/>
    <mergeCell ref="M675:N675"/>
    <mergeCell ref="M676:N676"/>
    <mergeCell ref="H665:H686"/>
    <mergeCell ref="I665:I686"/>
    <mergeCell ref="J665:J686"/>
    <mergeCell ref="L665:L686"/>
    <mergeCell ref="M665:N665"/>
    <mergeCell ref="M666:N666"/>
    <mergeCell ref="M667:N667"/>
    <mergeCell ref="M668:N668"/>
    <mergeCell ref="M669:N669"/>
    <mergeCell ref="M670:N670"/>
    <mergeCell ref="B665:B686"/>
    <mergeCell ref="C665:C686"/>
    <mergeCell ref="D665:D686"/>
    <mergeCell ref="E665:E686"/>
    <mergeCell ref="F665:F686"/>
    <mergeCell ref="G665:G686"/>
    <mergeCell ref="J661:K661"/>
    <mergeCell ref="L661:L664"/>
    <mergeCell ref="M661:N662"/>
    <mergeCell ref="O661:Z661"/>
    <mergeCell ref="AA661:AA662"/>
    <mergeCell ref="J662:J664"/>
    <mergeCell ref="K662:K664"/>
    <mergeCell ref="M663:N663"/>
    <mergeCell ref="M664:N664"/>
    <mergeCell ref="M658:N658"/>
    <mergeCell ref="M659:N659"/>
    <mergeCell ref="B661:B664"/>
    <mergeCell ref="C661:C664"/>
    <mergeCell ref="D661:D664"/>
    <mergeCell ref="E661:E664"/>
    <mergeCell ref="F661:F664"/>
    <mergeCell ref="G661:G664"/>
    <mergeCell ref="H661:H664"/>
    <mergeCell ref="I661:I664"/>
    <mergeCell ref="M652:N652"/>
    <mergeCell ref="M653:N653"/>
    <mergeCell ref="M654:N654"/>
    <mergeCell ref="M655:N655"/>
    <mergeCell ref="M656:N656"/>
    <mergeCell ref="M657:N657"/>
    <mergeCell ref="G647:G659"/>
    <mergeCell ref="H647:H659"/>
    <mergeCell ref="I647:I659"/>
    <mergeCell ref="J647:J659"/>
    <mergeCell ref="L647:L659"/>
    <mergeCell ref="M647:N647"/>
    <mergeCell ref="M648:N648"/>
    <mergeCell ref="M649:N649"/>
    <mergeCell ref="M650:N650"/>
    <mergeCell ref="M651:N651"/>
    <mergeCell ref="AA643:AA644"/>
    <mergeCell ref="J644:J646"/>
    <mergeCell ref="K644:K646"/>
    <mergeCell ref="M645:N645"/>
    <mergeCell ref="M646:N646"/>
    <mergeCell ref="B647:B659"/>
    <mergeCell ref="C647:C659"/>
    <mergeCell ref="D647:D659"/>
    <mergeCell ref="E647:E659"/>
    <mergeCell ref="F647:F659"/>
    <mergeCell ref="H643:H646"/>
    <mergeCell ref="I643:I646"/>
    <mergeCell ref="J643:K643"/>
    <mergeCell ref="L643:L646"/>
    <mergeCell ref="M643:N644"/>
    <mergeCell ref="O643:Z643"/>
    <mergeCell ref="B643:B646"/>
    <mergeCell ref="C643:C646"/>
    <mergeCell ref="D643:D646"/>
    <mergeCell ref="E643:E646"/>
    <mergeCell ref="F643:F646"/>
    <mergeCell ref="G643:G646"/>
    <mergeCell ref="C639:P639"/>
    <mergeCell ref="Q639:T639"/>
    <mergeCell ref="U639:V639"/>
    <mergeCell ref="W639:Z639"/>
    <mergeCell ref="C640:P640"/>
    <mergeCell ref="Q640:T640"/>
    <mergeCell ref="U640:V640"/>
    <mergeCell ref="W640:Z640"/>
    <mergeCell ref="M632:N632"/>
    <mergeCell ref="M633:N633"/>
    <mergeCell ref="M634:N634"/>
    <mergeCell ref="M635:N635"/>
    <mergeCell ref="B637:B638"/>
    <mergeCell ref="C637:AA637"/>
    <mergeCell ref="C638:AA638"/>
    <mergeCell ref="M626:N626"/>
    <mergeCell ref="M627:N627"/>
    <mergeCell ref="M628:N628"/>
    <mergeCell ref="M629:N629"/>
    <mergeCell ref="M630:N630"/>
    <mergeCell ref="M631:N631"/>
    <mergeCell ref="M620:N620"/>
    <mergeCell ref="M621:N621"/>
    <mergeCell ref="M622:N622"/>
    <mergeCell ref="M623:N623"/>
    <mergeCell ref="M624:N624"/>
    <mergeCell ref="M625:N625"/>
    <mergeCell ref="G615:G635"/>
    <mergeCell ref="H615:H635"/>
    <mergeCell ref="I615:I635"/>
    <mergeCell ref="J615:J635"/>
    <mergeCell ref="L615:L635"/>
    <mergeCell ref="M615:N615"/>
    <mergeCell ref="M616:N616"/>
    <mergeCell ref="M617:N617"/>
    <mergeCell ref="M618:N618"/>
    <mergeCell ref="M619:N619"/>
    <mergeCell ref="AA611:AA612"/>
    <mergeCell ref="J612:J614"/>
    <mergeCell ref="K612:K614"/>
    <mergeCell ref="M613:N613"/>
    <mergeCell ref="M614:N614"/>
    <mergeCell ref="B615:B635"/>
    <mergeCell ref="C615:C635"/>
    <mergeCell ref="D615:D635"/>
    <mergeCell ref="E615:E635"/>
    <mergeCell ref="F615:F635"/>
    <mergeCell ref="H611:H614"/>
    <mergeCell ref="I611:I614"/>
    <mergeCell ref="J611:K611"/>
    <mergeCell ref="L611:L614"/>
    <mergeCell ref="M611:N612"/>
    <mergeCell ref="O611:Z611"/>
    <mergeCell ref="B611:B614"/>
    <mergeCell ref="C611:C614"/>
    <mergeCell ref="D611:D614"/>
    <mergeCell ref="E611:E614"/>
    <mergeCell ref="F611:F614"/>
    <mergeCell ref="G611:G614"/>
    <mergeCell ref="M607:N607"/>
    <mergeCell ref="U609:Y609"/>
    <mergeCell ref="Z609:AA609"/>
    <mergeCell ref="E610:T610"/>
    <mergeCell ref="U610:Y610"/>
    <mergeCell ref="Z610:AA610"/>
    <mergeCell ref="M601:N601"/>
    <mergeCell ref="M602:N602"/>
    <mergeCell ref="M603:N603"/>
    <mergeCell ref="M604:N604"/>
    <mergeCell ref="M605:N605"/>
    <mergeCell ref="M606:N606"/>
    <mergeCell ref="M595:N595"/>
    <mergeCell ref="M596:N596"/>
    <mergeCell ref="M597:N597"/>
    <mergeCell ref="M598:N598"/>
    <mergeCell ref="M599:N599"/>
    <mergeCell ref="M600:N600"/>
    <mergeCell ref="H589:H607"/>
    <mergeCell ref="I589:I607"/>
    <mergeCell ref="J589:J607"/>
    <mergeCell ref="L589:L607"/>
    <mergeCell ref="M589:N589"/>
    <mergeCell ref="M590:N590"/>
    <mergeCell ref="M591:N591"/>
    <mergeCell ref="M592:N592"/>
    <mergeCell ref="M593:N593"/>
    <mergeCell ref="M594:N594"/>
    <mergeCell ref="B589:B607"/>
    <mergeCell ref="C589:C607"/>
    <mergeCell ref="D589:D607"/>
    <mergeCell ref="E589:E607"/>
    <mergeCell ref="F589:F607"/>
    <mergeCell ref="G589:G607"/>
    <mergeCell ref="I585:I588"/>
    <mergeCell ref="J585:K585"/>
    <mergeCell ref="L585:L588"/>
    <mergeCell ref="M585:N586"/>
    <mergeCell ref="O585:Z585"/>
    <mergeCell ref="AA585:AA586"/>
    <mergeCell ref="J586:J588"/>
    <mergeCell ref="K586:K588"/>
    <mergeCell ref="M587:N587"/>
    <mergeCell ref="M588:N588"/>
    <mergeCell ref="E584:T584"/>
    <mergeCell ref="U584:Y584"/>
    <mergeCell ref="Z584:AA584"/>
    <mergeCell ref="B585:B588"/>
    <mergeCell ref="C585:C588"/>
    <mergeCell ref="D585:D588"/>
    <mergeCell ref="E585:E588"/>
    <mergeCell ref="F585:F588"/>
    <mergeCell ref="G585:G588"/>
    <mergeCell ref="H585:H588"/>
    <mergeCell ref="M578:N578"/>
    <mergeCell ref="M579:N579"/>
    <mergeCell ref="M580:N580"/>
    <mergeCell ref="M581:N581"/>
    <mergeCell ref="U583:Y583"/>
    <mergeCell ref="Z583:AA583"/>
    <mergeCell ref="M572:N572"/>
    <mergeCell ref="M573:N573"/>
    <mergeCell ref="M574:N574"/>
    <mergeCell ref="M575:N575"/>
    <mergeCell ref="M576:N576"/>
    <mergeCell ref="M577:N577"/>
    <mergeCell ref="M566:N566"/>
    <mergeCell ref="M567:N567"/>
    <mergeCell ref="M568:N568"/>
    <mergeCell ref="M569:N569"/>
    <mergeCell ref="M570:N570"/>
    <mergeCell ref="M571:N571"/>
    <mergeCell ref="H560:H581"/>
    <mergeCell ref="I560:I581"/>
    <mergeCell ref="J560:J581"/>
    <mergeCell ref="L560:L581"/>
    <mergeCell ref="M560:N560"/>
    <mergeCell ref="M561:N561"/>
    <mergeCell ref="M562:N562"/>
    <mergeCell ref="M563:N563"/>
    <mergeCell ref="M564:N564"/>
    <mergeCell ref="M565:N565"/>
    <mergeCell ref="B560:B581"/>
    <mergeCell ref="C560:C581"/>
    <mergeCell ref="D560:D581"/>
    <mergeCell ref="E560:E581"/>
    <mergeCell ref="F560:F581"/>
    <mergeCell ref="G560:G581"/>
    <mergeCell ref="O556:Z556"/>
    <mergeCell ref="AA556:AA557"/>
    <mergeCell ref="J557:J559"/>
    <mergeCell ref="K557:K559"/>
    <mergeCell ref="M558:N558"/>
    <mergeCell ref="M559:N559"/>
    <mergeCell ref="G556:G559"/>
    <mergeCell ref="H556:H559"/>
    <mergeCell ref="I556:I559"/>
    <mergeCell ref="J556:K556"/>
    <mergeCell ref="L556:L559"/>
    <mergeCell ref="M556:N557"/>
    <mergeCell ref="U554:Y554"/>
    <mergeCell ref="Z554:AA554"/>
    <mergeCell ref="E555:T555"/>
    <mergeCell ref="U555:Y555"/>
    <mergeCell ref="Z555:AA555"/>
    <mergeCell ref="B556:B559"/>
    <mergeCell ref="C556:C559"/>
    <mergeCell ref="D556:D559"/>
    <mergeCell ref="E556:E559"/>
    <mergeCell ref="F556:F559"/>
    <mergeCell ref="M547:N547"/>
    <mergeCell ref="M548:N548"/>
    <mergeCell ref="M549:N549"/>
    <mergeCell ref="M550:N550"/>
    <mergeCell ref="M551:N551"/>
    <mergeCell ref="M552:N552"/>
    <mergeCell ref="M541:N541"/>
    <mergeCell ref="M542:N542"/>
    <mergeCell ref="M543:N543"/>
    <mergeCell ref="M544:N544"/>
    <mergeCell ref="M545:N545"/>
    <mergeCell ref="M546:N546"/>
    <mergeCell ref="H535:H552"/>
    <mergeCell ref="I535:I552"/>
    <mergeCell ref="J535:J552"/>
    <mergeCell ref="L535:L552"/>
    <mergeCell ref="M535:N535"/>
    <mergeCell ref="M536:N536"/>
    <mergeCell ref="M537:N537"/>
    <mergeCell ref="M538:N538"/>
    <mergeCell ref="M539:N539"/>
    <mergeCell ref="M540:N540"/>
    <mergeCell ref="B535:B552"/>
    <mergeCell ref="C535:C552"/>
    <mergeCell ref="D535:D552"/>
    <mergeCell ref="E535:E552"/>
    <mergeCell ref="F535:F552"/>
    <mergeCell ref="G535:G552"/>
    <mergeCell ref="H531:H534"/>
    <mergeCell ref="I531:I534"/>
    <mergeCell ref="L531:L534"/>
    <mergeCell ref="M531:N532"/>
    <mergeCell ref="O531:Z531"/>
    <mergeCell ref="AA531:AA532"/>
    <mergeCell ref="J532:J534"/>
    <mergeCell ref="K532:K534"/>
    <mergeCell ref="M533:N533"/>
    <mergeCell ref="M534:N534"/>
    <mergeCell ref="Z529:AA529"/>
    <mergeCell ref="E530:T530"/>
    <mergeCell ref="U530:Y530"/>
    <mergeCell ref="Z530:AA530"/>
    <mergeCell ref="B531:B534"/>
    <mergeCell ref="C531:C534"/>
    <mergeCell ref="D531:D534"/>
    <mergeCell ref="E531:E534"/>
    <mergeCell ref="F531:F534"/>
    <mergeCell ref="G531:G534"/>
    <mergeCell ref="M523:N523"/>
    <mergeCell ref="M524:N524"/>
    <mergeCell ref="M525:N525"/>
    <mergeCell ref="M526:N526"/>
    <mergeCell ref="M527:N527"/>
    <mergeCell ref="U529:Y529"/>
    <mergeCell ref="M517:N517"/>
    <mergeCell ref="M518:N518"/>
    <mergeCell ref="M519:N519"/>
    <mergeCell ref="M520:N520"/>
    <mergeCell ref="M521:N521"/>
    <mergeCell ref="M522:N522"/>
    <mergeCell ref="M511:N511"/>
    <mergeCell ref="M512:N512"/>
    <mergeCell ref="M513:N513"/>
    <mergeCell ref="M514:N514"/>
    <mergeCell ref="M515:N515"/>
    <mergeCell ref="M516:N516"/>
    <mergeCell ref="G506:G527"/>
    <mergeCell ref="H506:H527"/>
    <mergeCell ref="I506:I527"/>
    <mergeCell ref="J506:J527"/>
    <mergeCell ref="L506:L527"/>
    <mergeCell ref="M506:N506"/>
    <mergeCell ref="M507:N507"/>
    <mergeCell ref="M508:N508"/>
    <mergeCell ref="M509:N509"/>
    <mergeCell ref="M510:N510"/>
    <mergeCell ref="AA502:AA503"/>
    <mergeCell ref="J503:J505"/>
    <mergeCell ref="K503:K505"/>
    <mergeCell ref="M504:N504"/>
    <mergeCell ref="M505:N505"/>
    <mergeCell ref="B506:B527"/>
    <mergeCell ref="C506:C527"/>
    <mergeCell ref="D506:D527"/>
    <mergeCell ref="E506:E527"/>
    <mergeCell ref="F506:F527"/>
    <mergeCell ref="H502:H505"/>
    <mergeCell ref="I502:I505"/>
    <mergeCell ref="J502:K502"/>
    <mergeCell ref="L502:L505"/>
    <mergeCell ref="M502:N503"/>
    <mergeCell ref="O502:Z502"/>
    <mergeCell ref="B502:B505"/>
    <mergeCell ref="C502:C505"/>
    <mergeCell ref="D502:D505"/>
    <mergeCell ref="E502:E505"/>
    <mergeCell ref="F502:F505"/>
    <mergeCell ref="G502:G505"/>
    <mergeCell ref="M499:N499"/>
    <mergeCell ref="U500:Y500"/>
    <mergeCell ref="Z500:AA500"/>
    <mergeCell ref="E501:T501"/>
    <mergeCell ref="U501:Y501"/>
    <mergeCell ref="Z501:AA501"/>
    <mergeCell ref="M493:N493"/>
    <mergeCell ref="M494:N494"/>
    <mergeCell ref="M495:N495"/>
    <mergeCell ref="M496:N496"/>
    <mergeCell ref="M497:N497"/>
    <mergeCell ref="M498:N498"/>
    <mergeCell ref="M487:N487"/>
    <mergeCell ref="M488:N488"/>
    <mergeCell ref="M489:N489"/>
    <mergeCell ref="M490:N490"/>
    <mergeCell ref="M491:N491"/>
    <mergeCell ref="M492:N492"/>
    <mergeCell ref="M481:N481"/>
    <mergeCell ref="M482:N482"/>
    <mergeCell ref="M483:N483"/>
    <mergeCell ref="M484:N484"/>
    <mergeCell ref="M485:N485"/>
    <mergeCell ref="M486:N486"/>
    <mergeCell ref="H475:H499"/>
    <mergeCell ref="I475:I499"/>
    <mergeCell ref="J475:J499"/>
    <mergeCell ref="L475:L499"/>
    <mergeCell ref="M475:N475"/>
    <mergeCell ref="M476:N476"/>
    <mergeCell ref="M477:N477"/>
    <mergeCell ref="M478:N478"/>
    <mergeCell ref="M479:N479"/>
    <mergeCell ref="M480:N480"/>
    <mergeCell ref="B475:B499"/>
    <mergeCell ref="C475:C499"/>
    <mergeCell ref="D475:D499"/>
    <mergeCell ref="E475:E499"/>
    <mergeCell ref="F475:F499"/>
    <mergeCell ref="G475:G499"/>
    <mergeCell ref="O471:Z471"/>
    <mergeCell ref="AA471:AA472"/>
    <mergeCell ref="J472:J474"/>
    <mergeCell ref="K472:K474"/>
    <mergeCell ref="M473:N473"/>
    <mergeCell ref="M474:N474"/>
    <mergeCell ref="G471:G474"/>
    <mergeCell ref="H471:H474"/>
    <mergeCell ref="I471:I474"/>
    <mergeCell ref="J471:K471"/>
    <mergeCell ref="L471:L474"/>
    <mergeCell ref="M471:N472"/>
    <mergeCell ref="U469:Y469"/>
    <mergeCell ref="Z469:AA469"/>
    <mergeCell ref="E470:T470"/>
    <mergeCell ref="U470:Y470"/>
    <mergeCell ref="Z470:AA470"/>
    <mergeCell ref="B471:B474"/>
    <mergeCell ref="C471:C474"/>
    <mergeCell ref="D471:D474"/>
    <mergeCell ref="E471:E474"/>
    <mergeCell ref="F471:F474"/>
    <mergeCell ref="M462:N462"/>
    <mergeCell ref="M463:N463"/>
    <mergeCell ref="M464:N464"/>
    <mergeCell ref="M465:N465"/>
    <mergeCell ref="M466:N466"/>
    <mergeCell ref="M467:N467"/>
    <mergeCell ref="M456:N456"/>
    <mergeCell ref="M457:N457"/>
    <mergeCell ref="M458:N458"/>
    <mergeCell ref="M459:N459"/>
    <mergeCell ref="M460:N460"/>
    <mergeCell ref="M461:N461"/>
    <mergeCell ref="M450:N450"/>
    <mergeCell ref="M451:N451"/>
    <mergeCell ref="M452:N452"/>
    <mergeCell ref="M453:N453"/>
    <mergeCell ref="M454:N454"/>
    <mergeCell ref="M455:N455"/>
    <mergeCell ref="G445:G467"/>
    <mergeCell ref="H445:H467"/>
    <mergeCell ref="I445:I467"/>
    <mergeCell ref="J445:J467"/>
    <mergeCell ref="L445:L467"/>
    <mergeCell ref="M445:N445"/>
    <mergeCell ref="M446:N446"/>
    <mergeCell ref="M447:N447"/>
    <mergeCell ref="M448:N448"/>
    <mergeCell ref="M449:N449"/>
    <mergeCell ref="AA441:AA442"/>
    <mergeCell ref="J442:J444"/>
    <mergeCell ref="K442:K444"/>
    <mergeCell ref="M443:N443"/>
    <mergeCell ref="M444:N444"/>
    <mergeCell ref="B445:B467"/>
    <mergeCell ref="C445:C467"/>
    <mergeCell ref="D445:D467"/>
    <mergeCell ref="E445:E467"/>
    <mergeCell ref="F445:F467"/>
    <mergeCell ref="H441:H444"/>
    <mergeCell ref="I441:I444"/>
    <mergeCell ref="J441:K441"/>
    <mergeCell ref="L441:L444"/>
    <mergeCell ref="M441:N442"/>
    <mergeCell ref="O441:Z441"/>
    <mergeCell ref="B441:B444"/>
    <mergeCell ref="C441:C444"/>
    <mergeCell ref="D441:D444"/>
    <mergeCell ref="E441:E444"/>
    <mergeCell ref="F441:F444"/>
    <mergeCell ref="G441:G444"/>
    <mergeCell ref="M436:N436"/>
    <mergeCell ref="M437:N437"/>
    <mergeCell ref="U439:Y439"/>
    <mergeCell ref="Z439:AA439"/>
    <mergeCell ref="E440:T440"/>
    <mergeCell ref="U440:Y440"/>
    <mergeCell ref="Z440:AA440"/>
    <mergeCell ref="M430:N430"/>
    <mergeCell ref="M431:N431"/>
    <mergeCell ref="M432:N432"/>
    <mergeCell ref="M433:N433"/>
    <mergeCell ref="M434:N434"/>
    <mergeCell ref="M435:N435"/>
    <mergeCell ref="M424:N424"/>
    <mergeCell ref="M425:N425"/>
    <mergeCell ref="M426:N426"/>
    <mergeCell ref="M427:N427"/>
    <mergeCell ref="M428:N428"/>
    <mergeCell ref="M429:N429"/>
    <mergeCell ref="M418:N418"/>
    <mergeCell ref="M419:N419"/>
    <mergeCell ref="M420:N420"/>
    <mergeCell ref="M421:N421"/>
    <mergeCell ref="M422:N422"/>
    <mergeCell ref="M423:N423"/>
    <mergeCell ref="G413:G437"/>
    <mergeCell ref="H413:H437"/>
    <mergeCell ref="I413:I437"/>
    <mergeCell ref="J413:J437"/>
    <mergeCell ref="L413:L437"/>
    <mergeCell ref="M413:N413"/>
    <mergeCell ref="M414:N414"/>
    <mergeCell ref="M415:N415"/>
    <mergeCell ref="M416:N416"/>
    <mergeCell ref="M417:N417"/>
    <mergeCell ref="AA409:AA410"/>
    <mergeCell ref="J410:J412"/>
    <mergeCell ref="K410:K412"/>
    <mergeCell ref="M411:N411"/>
    <mergeCell ref="M412:N412"/>
    <mergeCell ref="B413:B437"/>
    <mergeCell ref="C413:C437"/>
    <mergeCell ref="D413:D437"/>
    <mergeCell ref="E413:E437"/>
    <mergeCell ref="F413:F437"/>
    <mergeCell ref="H409:H412"/>
    <mergeCell ref="I409:I412"/>
    <mergeCell ref="J409:K409"/>
    <mergeCell ref="L409:L412"/>
    <mergeCell ref="M409:N410"/>
    <mergeCell ref="O409:Z409"/>
    <mergeCell ref="B409:B412"/>
    <mergeCell ref="C409:C412"/>
    <mergeCell ref="D409:D412"/>
    <mergeCell ref="E409:E412"/>
    <mergeCell ref="F409:F412"/>
    <mergeCell ref="G409:G412"/>
    <mergeCell ref="U407:Y407"/>
    <mergeCell ref="Z407:AA407"/>
    <mergeCell ref="E408:T408"/>
    <mergeCell ref="U408:Y408"/>
    <mergeCell ref="Z408:AA408"/>
    <mergeCell ref="M397:N397"/>
    <mergeCell ref="M398:N398"/>
    <mergeCell ref="M399:N399"/>
    <mergeCell ref="M400:N400"/>
    <mergeCell ref="M401:N401"/>
    <mergeCell ref="M402:N402"/>
    <mergeCell ref="M391:N391"/>
    <mergeCell ref="M392:N392"/>
    <mergeCell ref="M393:N393"/>
    <mergeCell ref="M394:N394"/>
    <mergeCell ref="M395:N395"/>
    <mergeCell ref="M396:N396"/>
    <mergeCell ref="M385:N385"/>
    <mergeCell ref="M386:N386"/>
    <mergeCell ref="M387:N387"/>
    <mergeCell ref="M388:N388"/>
    <mergeCell ref="M389:N389"/>
    <mergeCell ref="M390:N390"/>
    <mergeCell ref="M379:N379"/>
    <mergeCell ref="M380:N380"/>
    <mergeCell ref="M381:N381"/>
    <mergeCell ref="M382:N382"/>
    <mergeCell ref="M383:N383"/>
    <mergeCell ref="M384:N384"/>
    <mergeCell ref="H373:H405"/>
    <mergeCell ref="I373:I405"/>
    <mergeCell ref="J373:J405"/>
    <mergeCell ref="L373:L405"/>
    <mergeCell ref="M373:N373"/>
    <mergeCell ref="M374:N374"/>
    <mergeCell ref="M375:N375"/>
    <mergeCell ref="M376:N376"/>
    <mergeCell ref="M377:N377"/>
    <mergeCell ref="M378:N378"/>
    <mergeCell ref="B373:B405"/>
    <mergeCell ref="C373:C405"/>
    <mergeCell ref="D373:D405"/>
    <mergeCell ref="E373:E405"/>
    <mergeCell ref="F373:F405"/>
    <mergeCell ref="G373:G405"/>
    <mergeCell ref="O369:Z369"/>
    <mergeCell ref="AA369:AA370"/>
    <mergeCell ref="J370:J372"/>
    <mergeCell ref="K370:K372"/>
    <mergeCell ref="M371:N371"/>
    <mergeCell ref="M372:N372"/>
    <mergeCell ref="G369:G372"/>
    <mergeCell ref="H369:H372"/>
    <mergeCell ref="I369:I372"/>
    <mergeCell ref="J369:K369"/>
    <mergeCell ref="L369:L372"/>
    <mergeCell ref="M369:N370"/>
    <mergeCell ref="U367:Y367"/>
    <mergeCell ref="Z367:AA367"/>
    <mergeCell ref="E368:H368"/>
    <mergeCell ref="U368:Y368"/>
    <mergeCell ref="Z368:AA368"/>
    <mergeCell ref="B369:B372"/>
    <mergeCell ref="C369:C372"/>
    <mergeCell ref="D369:D372"/>
    <mergeCell ref="E369:E372"/>
    <mergeCell ref="F369:F372"/>
    <mergeCell ref="M360:N360"/>
    <mergeCell ref="M361:N361"/>
    <mergeCell ref="M362:N362"/>
    <mergeCell ref="M363:N363"/>
    <mergeCell ref="M364:N364"/>
    <mergeCell ref="M365:N365"/>
    <mergeCell ref="B330:B365"/>
    <mergeCell ref="C330:C365"/>
    <mergeCell ref="D330:D365"/>
    <mergeCell ref="E330:E365"/>
    <mergeCell ref="F330:F365"/>
    <mergeCell ref="G330:G365"/>
    <mergeCell ref="M403:N403"/>
    <mergeCell ref="M404:N404"/>
    <mergeCell ref="M405:N405"/>
    <mergeCell ref="M354:N354"/>
    <mergeCell ref="M355:N355"/>
    <mergeCell ref="M356:N356"/>
    <mergeCell ref="M357:N357"/>
    <mergeCell ref="M358:N358"/>
    <mergeCell ref="M359:N359"/>
    <mergeCell ref="M348:N348"/>
    <mergeCell ref="M349:N349"/>
    <mergeCell ref="M350:N350"/>
    <mergeCell ref="M351:N351"/>
    <mergeCell ref="M352:N352"/>
    <mergeCell ref="M353:N353"/>
    <mergeCell ref="M342:N342"/>
    <mergeCell ref="M343:N343"/>
    <mergeCell ref="M344:N344"/>
    <mergeCell ref="M345:N345"/>
    <mergeCell ref="M346:N346"/>
    <mergeCell ref="M347:N347"/>
    <mergeCell ref="M336:N336"/>
    <mergeCell ref="M337:N337"/>
    <mergeCell ref="M338:N338"/>
    <mergeCell ref="M339:N339"/>
    <mergeCell ref="M340:N340"/>
    <mergeCell ref="M341:N341"/>
    <mergeCell ref="H330:H365"/>
    <mergeCell ref="I330:I365"/>
    <mergeCell ref="J330:J365"/>
    <mergeCell ref="L330:L365"/>
    <mergeCell ref="M330:N330"/>
    <mergeCell ref="M331:N331"/>
    <mergeCell ref="M332:N332"/>
    <mergeCell ref="M333:N333"/>
    <mergeCell ref="M334:N334"/>
    <mergeCell ref="M335:N335"/>
    <mergeCell ref="H326:H329"/>
    <mergeCell ref="I326:I329"/>
    <mergeCell ref="L326:L329"/>
    <mergeCell ref="M326:N327"/>
    <mergeCell ref="O326:Z326"/>
    <mergeCell ref="AA326:AA327"/>
    <mergeCell ref="J327:J329"/>
    <mergeCell ref="K327:K329"/>
    <mergeCell ref="M328:N328"/>
    <mergeCell ref="M329:N329"/>
    <mergeCell ref="B326:B329"/>
    <mergeCell ref="C326:C329"/>
    <mergeCell ref="D326:D329"/>
    <mergeCell ref="E326:E329"/>
    <mergeCell ref="F326:F329"/>
    <mergeCell ref="G326:G329"/>
    <mergeCell ref="M320:N320"/>
    <mergeCell ref="M321:N321"/>
    <mergeCell ref="M322:N322"/>
    <mergeCell ref="U324:Y324"/>
    <mergeCell ref="Z324:AA324"/>
    <mergeCell ref="E325:T325"/>
    <mergeCell ref="U325:Y325"/>
    <mergeCell ref="Z325:AA325"/>
    <mergeCell ref="B297:B322"/>
    <mergeCell ref="C297:C322"/>
    <mergeCell ref="D297:D322"/>
    <mergeCell ref="E297:E322"/>
    <mergeCell ref="F297:F322"/>
    <mergeCell ref="M314:N314"/>
    <mergeCell ref="M315:N315"/>
    <mergeCell ref="M316:N316"/>
    <mergeCell ref="M317:N317"/>
    <mergeCell ref="M318:N318"/>
    <mergeCell ref="M319:N319"/>
    <mergeCell ref="M308:N308"/>
    <mergeCell ref="M309:N309"/>
    <mergeCell ref="M310:N310"/>
    <mergeCell ref="M311:N311"/>
    <mergeCell ref="M312:N312"/>
    <mergeCell ref="M313:N313"/>
    <mergeCell ref="M302:N302"/>
    <mergeCell ref="M303:N303"/>
    <mergeCell ref="M304:N304"/>
    <mergeCell ref="M305:N305"/>
    <mergeCell ref="M306:N306"/>
    <mergeCell ref="M307:N307"/>
    <mergeCell ref="G297:G322"/>
    <mergeCell ref="H297:H322"/>
    <mergeCell ref="I297:I322"/>
    <mergeCell ref="J297:J322"/>
    <mergeCell ref="L297:L322"/>
    <mergeCell ref="M297:N297"/>
    <mergeCell ref="M298:N298"/>
    <mergeCell ref="M299:N299"/>
    <mergeCell ref="M300:N300"/>
    <mergeCell ref="M301:N301"/>
    <mergeCell ref="AA293:AA294"/>
    <mergeCell ref="J294:J296"/>
    <mergeCell ref="K294:K296"/>
    <mergeCell ref="M295:N295"/>
    <mergeCell ref="M296:N296"/>
    <mergeCell ref="H293:H296"/>
    <mergeCell ref="I293:I296"/>
    <mergeCell ref="J293:K293"/>
    <mergeCell ref="L293:L296"/>
    <mergeCell ref="M293:N294"/>
    <mergeCell ref="O293:Z293"/>
    <mergeCell ref="Z291:AA291"/>
    <mergeCell ref="E292:T292"/>
    <mergeCell ref="U292:Y292"/>
    <mergeCell ref="Z292:AA292"/>
    <mergeCell ref="B293:B296"/>
    <mergeCell ref="C293:C296"/>
    <mergeCell ref="D293:D296"/>
    <mergeCell ref="E293:E296"/>
    <mergeCell ref="F293:F296"/>
    <mergeCell ref="G293:G296"/>
    <mergeCell ref="M285:N285"/>
    <mergeCell ref="M286:N286"/>
    <mergeCell ref="M287:N287"/>
    <mergeCell ref="M288:N288"/>
    <mergeCell ref="M289:N289"/>
    <mergeCell ref="U291:Y291"/>
    <mergeCell ref="M279:N279"/>
    <mergeCell ref="M280:N280"/>
    <mergeCell ref="M281:N281"/>
    <mergeCell ref="M282:N282"/>
    <mergeCell ref="M283:N283"/>
    <mergeCell ref="M284:N284"/>
    <mergeCell ref="G274:G289"/>
    <mergeCell ref="H274:H289"/>
    <mergeCell ref="I274:I289"/>
    <mergeCell ref="J274:J289"/>
    <mergeCell ref="L274:L289"/>
    <mergeCell ref="M274:N274"/>
    <mergeCell ref="M275:N275"/>
    <mergeCell ref="M276:N276"/>
    <mergeCell ref="M277:N277"/>
    <mergeCell ref="M278:N278"/>
    <mergeCell ref="AA270:AA271"/>
    <mergeCell ref="J271:J273"/>
    <mergeCell ref="K271:K273"/>
    <mergeCell ref="M272:N272"/>
    <mergeCell ref="M273:N273"/>
    <mergeCell ref="B274:B289"/>
    <mergeCell ref="C274:C289"/>
    <mergeCell ref="D274:D289"/>
    <mergeCell ref="E274:E289"/>
    <mergeCell ref="F274:F289"/>
    <mergeCell ref="H270:H273"/>
    <mergeCell ref="I270:I273"/>
    <mergeCell ref="J270:K270"/>
    <mergeCell ref="L270:L273"/>
    <mergeCell ref="M270:N271"/>
    <mergeCell ref="O270:Z270"/>
    <mergeCell ref="B270:B273"/>
    <mergeCell ref="C270:C273"/>
    <mergeCell ref="D270:D273"/>
    <mergeCell ref="E270:E273"/>
    <mergeCell ref="F270:F273"/>
    <mergeCell ref="G270:G273"/>
    <mergeCell ref="V268:Y268"/>
    <mergeCell ref="Z268:AA268"/>
    <mergeCell ref="E269:U269"/>
    <mergeCell ref="V269:Y269"/>
    <mergeCell ref="Z269:AA269"/>
    <mergeCell ref="M260:N260"/>
    <mergeCell ref="M261:N261"/>
    <mergeCell ref="M262:N262"/>
    <mergeCell ref="M263:N263"/>
    <mergeCell ref="M264:N264"/>
    <mergeCell ref="M265:N265"/>
    <mergeCell ref="M254:N254"/>
    <mergeCell ref="M255:N255"/>
    <mergeCell ref="M256:N256"/>
    <mergeCell ref="M257:N257"/>
    <mergeCell ref="M258:N258"/>
    <mergeCell ref="M259:N259"/>
    <mergeCell ref="M248:N248"/>
    <mergeCell ref="M249:N249"/>
    <mergeCell ref="M250:N250"/>
    <mergeCell ref="M251:N251"/>
    <mergeCell ref="M252:N252"/>
    <mergeCell ref="M253:N253"/>
    <mergeCell ref="G243:G266"/>
    <mergeCell ref="H243:H266"/>
    <mergeCell ref="I243:I266"/>
    <mergeCell ref="J243:J266"/>
    <mergeCell ref="L243:L266"/>
    <mergeCell ref="M243:N243"/>
    <mergeCell ref="M244:N244"/>
    <mergeCell ref="M245:N245"/>
    <mergeCell ref="M246:N246"/>
    <mergeCell ref="M247:N247"/>
    <mergeCell ref="AA239:AA240"/>
    <mergeCell ref="J240:J242"/>
    <mergeCell ref="K240:K242"/>
    <mergeCell ref="M241:N241"/>
    <mergeCell ref="M242:N242"/>
    <mergeCell ref="B243:B266"/>
    <mergeCell ref="C243:C266"/>
    <mergeCell ref="D243:D266"/>
    <mergeCell ref="E243:E266"/>
    <mergeCell ref="F243:F266"/>
    <mergeCell ref="H239:H242"/>
    <mergeCell ref="I239:I242"/>
    <mergeCell ref="J239:K239"/>
    <mergeCell ref="L239:L242"/>
    <mergeCell ref="M239:N240"/>
    <mergeCell ref="O239:Z239"/>
    <mergeCell ref="B239:B242"/>
    <mergeCell ref="C239:C242"/>
    <mergeCell ref="D239:D242"/>
    <mergeCell ref="E239:E242"/>
    <mergeCell ref="F239:F242"/>
    <mergeCell ref="G239:G242"/>
    <mergeCell ref="M235:N235"/>
    <mergeCell ref="V237:Y237"/>
    <mergeCell ref="Z237:AA237"/>
    <mergeCell ref="E238:U238"/>
    <mergeCell ref="V238:Y238"/>
    <mergeCell ref="Z238:AA238"/>
    <mergeCell ref="M229:N229"/>
    <mergeCell ref="M230:N230"/>
    <mergeCell ref="M231:N231"/>
    <mergeCell ref="M232:N232"/>
    <mergeCell ref="M233:N233"/>
    <mergeCell ref="M234:N234"/>
    <mergeCell ref="M266:N266"/>
    <mergeCell ref="M224:N224"/>
    <mergeCell ref="M225:N225"/>
    <mergeCell ref="M226:N226"/>
    <mergeCell ref="M227:N227"/>
    <mergeCell ref="M228:N228"/>
    <mergeCell ref="G218:G235"/>
    <mergeCell ref="H218:H235"/>
    <mergeCell ref="I218:I235"/>
    <mergeCell ref="J218:J235"/>
    <mergeCell ref="L218:L235"/>
    <mergeCell ref="M218:N218"/>
    <mergeCell ref="M219:N219"/>
    <mergeCell ref="M220:N220"/>
    <mergeCell ref="M221:N221"/>
    <mergeCell ref="M222:N222"/>
    <mergeCell ref="AA214:AA215"/>
    <mergeCell ref="J215:J217"/>
    <mergeCell ref="K215:K217"/>
    <mergeCell ref="M216:N216"/>
    <mergeCell ref="M217:N217"/>
    <mergeCell ref="B218:B235"/>
    <mergeCell ref="C218:C235"/>
    <mergeCell ref="D218:D235"/>
    <mergeCell ref="E218:E235"/>
    <mergeCell ref="F218:F235"/>
    <mergeCell ref="H214:H217"/>
    <mergeCell ref="I214:I217"/>
    <mergeCell ref="J214:K214"/>
    <mergeCell ref="L214:L217"/>
    <mergeCell ref="M214:N215"/>
    <mergeCell ref="O214:Z214"/>
    <mergeCell ref="B214:B217"/>
    <mergeCell ref="C214:C217"/>
    <mergeCell ref="D214:D217"/>
    <mergeCell ref="E214:E217"/>
    <mergeCell ref="F214:F217"/>
    <mergeCell ref="G214:G217"/>
    <mergeCell ref="V212:Y212"/>
    <mergeCell ref="Z212:AA212"/>
    <mergeCell ref="E213:U213"/>
    <mergeCell ref="V213:Y213"/>
    <mergeCell ref="Z213:AA213"/>
    <mergeCell ref="M202:N202"/>
    <mergeCell ref="M203:N203"/>
    <mergeCell ref="M204:N204"/>
    <mergeCell ref="M205:N205"/>
    <mergeCell ref="M206:N206"/>
    <mergeCell ref="M207:N207"/>
    <mergeCell ref="M196:N196"/>
    <mergeCell ref="M197:N197"/>
    <mergeCell ref="M198:N198"/>
    <mergeCell ref="M199:N199"/>
    <mergeCell ref="M200:N200"/>
    <mergeCell ref="M201:N201"/>
    <mergeCell ref="G191:G210"/>
    <mergeCell ref="H191:H210"/>
    <mergeCell ref="I191:I210"/>
    <mergeCell ref="J191:J210"/>
    <mergeCell ref="L191:L210"/>
    <mergeCell ref="M191:N191"/>
    <mergeCell ref="M192:N192"/>
    <mergeCell ref="M193:N193"/>
    <mergeCell ref="M194:N194"/>
    <mergeCell ref="M195:N195"/>
    <mergeCell ref="AA187:AA188"/>
    <mergeCell ref="J188:J190"/>
    <mergeCell ref="K188:K190"/>
    <mergeCell ref="M189:N189"/>
    <mergeCell ref="M190:N190"/>
    <mergeCell ref="M223:N223"/>
    <mergeCell ref="B191:B210"/>
    <mergeCell ref="C191:C210"/>
    <mergeCell ref="D191:D210"/>
    <mergeCell ref="E191:E210"/>
    <mergeCell ref="F191:F210"/>
    <mergeCell ref="H187:H190"/>
    <mergeCell ref="I187:I190"/>
    <mergeCell ref="J187:K187"/>
    <mergeCell ref="L187:L190"/>
    <mergeCell ref="M187:N188"/>
    <mergeCell ref="O187:Z187"/>
    <mergeCell ref="B187:B190"/>
    <mergeCell ref="C187:C190"/>
    <mergeCell ref="D187:D190"/>
    <mergeCell ref="E187:E190"/>
    <mergeCell ref="F187:F190"/>
    <mergeCell ref="G187:G190"/>
    <mergeCell ref="M182:N182"/>
    <mergeCell ref="M183:N183"/>
    <mergeCell ref="V185:Y185"/>
    <mergeCell ref="Z185:AA185"/>
    <mergeCell ref="E186:U186"/>
    <mergeCell ref="V186:Y186"/>
    <mergeCell ref="Z186:AA186"/>
    <mergeCell ref="M176:N176"/>
    <mergeCell ref="M177:N177"/>
    <mergeCell ref="M178:N178"/>
    <mergeCell ref="M179:N179"/>
    <mergeCell ref="M180:N180"/>
    <mergeCell ref="M181:N181"/>
    <mergeCell ref="M170:N170"/>
    <mergeCell ref="M171:N171"/>
    <mergeCell ref="M172:N172"/>
    <mergeCell ref="M173:N173"/>
    <mergeCell ref="M174:N174"/>
    <mergeCell ref="M175:N175"/>
    <mergeCell ref="M208:N208"/>
    <mergeCell ref="M209:N209"/>
    <mergeCell ref="M210:N210"/>
    <mergeCell ref="M164:N164"/>
    <mergeCell ref="M165:N165"/>
    <mergeCell ref="M166:N166"/>
    <mergeCell ref="M167:N167"/>
    <mergeCell ref="M168:N168"/>
    <mergeCell ref="M169:N169"/>
    <mergeCell ref="G159:G183"/>
    <mergeCell ref="H159:H183"/>
    <mergeCell ref="I159:I183"/>
    <mergeCell ref="J159:J183"/>
    <mergeCell ref="L159:L183"/>
    <mergeCell ref="M159:N159"/>
    <mergeCell ref="M160:N160"/>
    <mergeCell ref="M161:N161"/>
    <mergeCell ref="M162:N162"/>
    <mergeCell ref="M163:N163"/>
    <mergeCell ref="AA155:AA156"/>
    <mergeCell ref="J156:J158"/>
    <mergeCell ref="K156:K158"/>
    <mergeCell ref="M157:N157"/>
    <mergeCell ref="M158:N158"/>
    <mergeCell ref="B159:B183"/>
    <mergeCell ref="C159:C183"/>
    <mergeCell ref="D159:D183"/>
    <mergeCell ref="E159:E183"/>
    <mergeCell ref="F159:F183"/>
    <mergeCell ref="H155:H158"/>
    <mergeCell ref="I155:I158"/>
    <mergeCell ref="J155:K155"/>
    <mergeCell ref="L155:L158"/>
    <mergeCell ref="M155:N156"/>
    <mergeCell ref="O155:Z155"/>
    <mergeCell ref="M150:N150"/>
    <mergeCell ref="M151:N151"/>
    <mergeCell ref="M152:N152"/>
    <mergeCell ref="M153:N153"/>
    <mergeCell ref="B155:B158"/>
    <mergeCell ref="C155:C158"/>
    <mergeCell ref="D155:D158"/>
    <mergeCell ref="E155:E158"/>
    <mergeCell ref="F155:F158"/>
    <mergeCell ref="G155:G158"/>
    <mergeCell ref="I122:I125"/>
    <mergeCell ref="J122:K122"/>
    <mergeCell ref="L122:L125"/>
    <mergeCell ref="M122:N123"/>
    <mergeCell ref="O122:Z122"/>
    <mergeCell ref="AA122:AA123"/>
    <mergeCell ref="J123:J125"/>
    <mergeCell ref="K123:K125"/>
    <mergeCell ref="E121:U121"/>
    <mergeCell ref="V121:Y121"/>
    <mergeCell ref="Z121:AA121"/>
    <mergeCell ref="B122:B125"/>
    <mergeCell ref="C122:C125"/>
    <mergeCell ref="D122:D125"/>
    <mergeCell ref="E122:E125"/>
    <mergeCell ref="F122:F125"/>
    <mergeCell ref="G122:G125"/>
    <mergeCell ref="H122:H125"/>
    <mergeCell ref="V120:Y120"/>
    <mergeCell ref="Z120:AA120"/>
    <mergeCell ref="G104:G118"/>
    <mergeCell ref="H104:H118"/>
    <mergeCell ref="I104:I118"/>
    <mergeCell ref="J104:J118"/>
    <mergeCell ref="L104:L118"/>
    <mergeCell ref="M144:N144"/>
    <mergeCell ref="M145:N145"/>
    <mergeCell ref="M146:N146"/>
    <mergeCell ref="M147:N147"/>
    <mergeCell ref="M148:N148"/>
    <mergeCell ref="M149:N149"/>
    <mergeCell ref="M138:N138"/>
    <mergeCell ref="M139:N139"/>
    <mergeCell ref="M140:N140"/>
    <mergeCell ref="M141:N141"/>
    <mergeCell ref="M142:N142"/>
    <mergeCell ref="M143:N143"/>
    <mergeCell ref="M132:N132"/>
    <mergeCell ref="M133:N133"/>
    <mergeCell ref="M134:N134"/>
    <mergeCell ref="M135:N135"/>
    <mergeCell ref="M136:N136"/>
    <mergeCell ref="M137:N137"/>
    <mergeCell ref="H126:H153"/>
    <mergeCell ref="I126:I153"/>
    <mergeCell ref="J126:J153"/>
    <mergeCell ref="L126:L153"/>
    <mergeCell ref="M126:N126"/>
    <mergeCell ref="M127:N127"/>
    <mergeCell ref="M128:N128"/>
    <mergeCell ref="M129:N129"/>
    <mergeCell ref="M130:N130"/>
    <mergeCell ref="M131:N131"/>
    <mergeCell ref="B126:B153"/>
    <mergeCell ref="C126:C153"/>
    <mergeCell ref="D126:D153"/>
    <mergeCell ref="E126:E153"/>
    <mergeCell ref="F126:F153"/>
    <mergeCell ref="G126:G153"/>
    <mergeCell ref="AA100:AA101"/>
    <mergeCell ref="J101:J103"/>
    <mergeCell ref="K101:K103"/>
    <mergeCell ref="M102:N102"/>
    <mergeCell ref="M103:N103"/>
    <mergeCell ref="B104:B118"/>
    <mergeCell ref="C104:C118"/>
    <mergeCell ref="D104:D118"/>
    <mergeCell ref="E104:E118"/>
    <mergeCell ref="F104:F118"/>
    <mergeCell ref="H100:H103"/>
    <mergeCell ref="I100:I103"/>
    <mergeCell ref="J100:K100"/>
    <mergeCell ref="L100:L103"/>
    <mergeCell ref="M100:N101"/>
    <mergeCell ref="O100:Z100"/>
    <mergeCell ref="B100:B103"/>
    <mergeCell ref="C100:C103"/>
    <mergeCell ref="D100:D103"/>
    <mergeCell ref="E100:E103"/>
    <mergeCell ref="F100:F103"/>
    <mergeCell ref="G100:G103"/>
    <mergeCell ref="M95:N95"/>
    <mergeCell ref="M96:N96"/>
    <mergeCell ref="V98:Y98"/>
    <mergeCell ref="Z98:AA98"/>
    <mergeCell ref="E99:U99"/>
    <mergeCell ref="V99:Y99"/>
    <mergeCell ref="Z99:AA99"/>
    <mergeCell ref="M89:N89"/>
    <mergeCell ref="M90:N90"/>
    <mergeCell ref="M91:N91"/>
    <mergeCell ref="M92:N92"/>
    <mergeCell ref="M93:N93"/>
    <mergeCell ref="M94:N94"/>
    <mergeCell ref="G72:G96"/>
    <mergeCell ref="H72:H96"/>
    <mergeCell ref="I72:I96"/>
    <mergeCell ref="J72:J96"/>
    <mergeCell ref="L72:L96"/>
    <mergeCell ref="M72:N72"/>
    <mergeCell ref="M73:N73"/>
    <mergeCell ref="M74:N74"/>
    <mergeCell ref="M75:N75"/>
    <mergeCell ref="M76:N76"/>
    <mergeCell ref="M104:N104"/>
    <mergeCell ref="M105:N105"/>
    <mergeCell ref="M106:N106"/>
    <mergeCell ref="M107:N107"/>
    <mergeCell ref="M108:N108"/>
    <mergeCell ref="M109:N109"/>
    <mergeCell ref="M110:N110"/>
    <mergeCell ref="M111:N111"/>
    <mergeCell ref="M112:N112"/>
    <mergeCell ref="M113:N113"/>
    <mergeCell ref="M116:N116"/>
    <mergeCell ref="M117:N117"/>
    <mergeCell ref="M115:N115"/>
    <mergeCell ref="E72:E96"/>
    <mergeCell ref="F72:F96"/>
    <mergeCell ref="D72:D96"/>
    <mergeCell ref="M83:N83"/>
    <mergeCell ref="M84:N84"/>
    <mergeCell ref="M85:N85"/>
    <mergeCell ref="M87:N87"/>
    <mergeCell ref="M88:N88"/>
    <mergeCell ref="M77:N77"/>
    <mergeCell ref="M78:N78"/>
    <mergeCell ref="M79:N79"/>
    <mergeCell ref="M80:N80"/>
    <mergeCell ref="M81:N81"/>
    <mergeCell ref="M82:N82"/>
    <mergeCell ref="A1:AA1"/>
    <mergeCell ref="A2:A6"/>
    <mergeCell ref="C2:F2"/>
    <mergeCell ref="C3:AA3"/>
    <mergeCell ref="C4:AA4"/>
    <mergeCell ref="C5:AA5"/>
    <mergeCell ref="C6:AA6"/>
    <mergeCell ref="K14:K18"/>
    <mergeCell ref="L14:L18"/>
    <mergeCell ref="M14:N14"/>
    <mergeCell ref="M15:N15"/>
    <mergeCell ref="B20:B21"/>
    <mergeCell ref="C20:AA20"/>
    <mergeCell ref="C21:AA21"/>
    <mergeCell ref="AA12:AA13"/>
    <mergeCell ref="B14:B18"/>
    <mergeCell ref="C14:C18"/>
    <mergeCell ref="D14:D18"/>
    <mergeCell ref="E14:E18"/>
    <mergeCell ref="F14:F18"/>
    <mergeCell ref="G14:G18"/>
    <mergeCell ref="H14:H18"/>
    <mergeCell ref="I14:I18"/>
    <mergeCell ref="J14:J18"/>
    <mergeCell ref="H12:H13"/>
    <mergeCell ref="I12:I13"/>
    <mergeCell ref="J12:K12"/>
    <mergeCell ref="L12:L13"/>
    <mergeCell ref="M12:N13"/>
    <mergeCell ref="O12:Z12"/>
    <mergeCell ref="B12:B13"/>
    <mergeCell ref="C12:C13"/>
    <mergeCell ref="D12:D13"/>
    <mergeCell ref="E12:E13"/>
    <mergeCell ref="F12:F13"/>
    <mergeCell ref="G12:G13"/>
    <mergeCell ref="C10:C11"/>
    <mergeCell ref="D10:U11"/>
    <mergeCell ref="V10:Y10"/>
    <mergeCell ref="Z10:AA10"/>
    <mergeCell ref="V11:Y11"/>
    <mergeCell ref="Z11:AA11"/>
    <mergeCell ref="B68:B69"/>
    <mergeCell ref="E25:E26"/>
    <mergeCell ref="F25:F26"/>
    <mergeCell ref="G25:G26"/>
    <mergeCell ref="H25:H26"/>
    <mergeCell ref="I25:I26"/>
    <mergeCell ref="L25:L26"/>
    <mergeCell ref="E68:E69"/>
    <mergeCell ref="B51:B67"/>
    <mergeCell ref="C51:C67"/>
    <mergeCell ref="F51:F67"/>
    <mergeCell ref="G51:G67"/>
    <mergeCell ref="H51:H67"/>
    <mergeCell ref="F68:F69"/>
    <mergeCell ref="AA718:AA719"/>
    <mergeCell ref="J2172:J2187"/>
    <mergeCell ref="J2169:J2171"/>
    <mergeCell ref="J2192:J2194"/>
    <mergeCell ref="J2115:J2125"/>
    <mergeCell ref="J1993:J2009"/>
    <mergeCell ref="O4036:P4036"/>
    <mergeCell ref="O4015:P4015"/>
    <mergeCell ref="C68:C69"/>
    <mergeCell ref="B25:B26"/>
    <mergeCell ref="B27:B47"/>
    <mergeCell ref="C27:C47"/>
    <mergeCell ref="D27:D47"/>
    <mergeCell ref="E27:E47"/>
    <mergeCell ref="F27:F47"/>
    <mergeCell ref="G27:G47"/>
    <mergeCell ref="H27:H47"/>
    <mergeCell ref="I27:I47"/>
    <mergeCell ref="J27:J47"/>
    <mergeCell ref="K27:K47"/>
    <mergeCell ref="L27:L47"/>
    <mergeCell ref="C7:AA7"/>
    <mergeCell ref="B8:B9"/>
    <mergeCell ref="C8:C9"/>
    <mergeCell ref="D8:I9"/>
    <mergeCell ref="V8:Y8"/>
    <mergeCell ref="Z8:AA8"/>
    <mergeCell ref="V9:Y9"/>
    <mergeCell ref="Z9:AA9"/>
    <mergeCell ref="B10:B11"/>
    <mergeCell ref="AA25:AA26"/>
    <mergeCell ref="M27:N27"/>
    <mergeCell ref="M28:N28"/>
    <mergeCell ref="J25:K25"/>
    <mergeCell ref="M25:N26"/>
    <mergeCell ref="O25:Z25"/>
    <mergeCell ref="C24:O24"/>
    <mergeCell ref="P24:S24"/>
    <mergeCell ref="T24:U24"/>
    <mergeCell ref="V24:Y24"/>
    <mergeCell ref="C22:O22"/>
    <mergeCell ref="P22:S22"/>
    <mergeCell ref="T22:U22"/>
    <mergeCell ref="V22:Y22"/>
    <mergeCell ref="Z22:AA22"/>
    <mergeCell ref="C23:O23"/>
    <mergeCell ref="P23:S23"/>
    <mergeCell ref="T23:U23"/>
    <mergeCell ref="V23:Y23"/>
    <mergeCell ref="Z23:AA23"/>
    <mergeCell ref="O49:Z49"/>
    <mergeCell ref="AA49:AA50"/>
    <mergeCell ref="M51:N51"/>
    <mergeCell ref="M52:N52"/>
    <mergeCell ref="M49:N50"/>
    <mergeCell ref="AA68:AA69"/>
    <mergeCell ref="C25:C26"/>
    <mergeCell ref="D25:D26"/>
    <mergeCell ref="M70:N70"/>
    <mergeCell ref="M71:N71"/>
    <mergeCell ref="B72:B96"/>
    <mergeCell ref="C72:C96"/>
    <mergeCell ref="O68:Z68"/>
    <mergeCell ref="M86:N86"/>
    <mergeCell ref="M5766:N5767"/>
    <mergeCell ref="O5766:Z5766"/>
    <mergeCell ref="AA5766:AA5767"/>
    <mergeCell ref="B5768:B5769"/>
    <mergeCell ref="C5768:C5769"/>
    <mergeCell ref="D5768:D5769"/>
    <mergeCell ref="E5768:E5769"/>
    <mergeCell ref="A5752:A5760"/>
    <mergeCell ref="B5753:B5754"/>
    <mergeCell ref="C5753:C5754"/>
    <mergeCell ref="D5753:U5754"/>
    <mergeCell ref="V5753:Y5753"/>
    <mergeCell ref="Z5753:AA5753"/>
    <mergeCell ref="V5754:Y5754"/>
    <mergeCell ref="Z5754:AA5754"/>
    <mergeCell ref="B5755:B5756"/>
    <mergeCell ref="C5755:C5756"/>
    <mergeCell ref="D5755:U5756"/>
    <mergeCell ref="V5755:Y5755"/>
    <mergeCell ref="Z5755:AA5755"/>
    <mergeCell ref="V5756:Y5756"/>
    <mergeCell ref="Z5756:AA5756"/>
    <mergeCell ref="D5757:D5758"/>
    <mergeCell ref="E5757:E5758"/>
    <mergeCell ref="F5757:F5758"/>
    <mergeCell ref="J5757:K5757"/>
    <mergeCell ref="L5757:L5758"/>
    <mergeCell ref="M5757:N5758"/>
    <mergeCell ref="O5757:Z5757"/>
    <mergeCell ref="AA5757:AA5758"/>
    <mergeCell ref="L5743:L5745"/>
    <mergeCell ref="K5743:K5745"/>
    <mergeCell ref="J5743:J5745"/>
    <mergeCell ref="I5743:I5745"/>
    <mergeCell ref="H5743:H5745"/>
    <mergeCell ref="G5743:G5745"/>
    <mergeCell ref="F5743:F5745"/>
    <mergeCell ref="E5743:E5745"/>
    <mergeCell ref="D5743:D5745"/>
    <mergeCell ref="C5743:C5745"/>
    <mergeCell ref="A5736:A5745"/>
    <mergeCell ref="C5732:I5732"/>
    <mergeCell ref="B5759:B5760"/>
    <mergeCell ref="C5759:C5760"/>
    <mergeCell ref="D5759:D5760"/>
    <mergeCell ref="E5759:E5760"/>
    <mergeCell ref="F5759:F5760"/>
    <mergeCell ref="G5759:G5760"/>
    <mergeCell ref="H5759:H5760"/>
    <mergeCell ref="I5759:I5760"/>
    <mergeCell ref="J5759:J5760"/>
    <mergeCell ref="A5746:AA5746"/>
    <mergeCell ref="A5747:A5751"/>
    <mergeCell ref="C5747:F5747"/>
    <mergeCell ref="C5748:AA5748"/>
    <mergeCell ref="C5749:N5749"/>
    <mergeCell ref="C5750:AA5750"/>
    <mergeCell ref="C5751:H5751"/>
    <mergeCell ref="F5768:F5769"/>
    <mergeCell ref="G5768:G5769"/>
    <mergeCell ref="H5768:H5769"/>
    <mergeCell ref="I5768:I5769"/>
    <mergeCell ref="J5768:J5769"/>
    <mergeCell ref="K5768:K5769"/>
    <mergeCell ref="L5768:L5769"/>
    <mergeCell ref="M5768:N5768"/>
    <mergeCell ref="M5769:N5769"/>
    <mergeCell ref="B5757:B5758"/>
    <mergeCell ref="C5757:C5758"/>
    <mergeCell ref="G5757:G5758"/>
    <mergeCell ref="H5757:H5758"/>
    <mergeCell ref="I5757:I5758"/>
    <mergeCell ref="K5759:K5760"/>
    <mergeCell ref="L5759:L5760"/>
    <mergeCell ref="M5759:N5759"/>
    <mergeCell ref="M5760:N5760"/>
    <mergeCell ref="A5731:A5735"/>
    <mergeCell ref="C5733:N5733"/>
    <mergeCell ref="C5734:J5734"/>
    <mergeCell ref="B5743:B5745"/>
    <mergeCell ref="A5761:A5769"/>
    <mergeCell ref="B5762:B5763"/>
    <mergeCell ref="C5762:C5763"/>
    <mergeCell ref="D5762:U5763"/>
    <mergeCell ref="V5762:Y5762"/>
    <mergeCell ref="Z5762:AA5762"/>
    <mergeCell ref="V5763:Y5763"/>
    <mergeCell ref="Z5763:AA5763"/>
    <mergeCell ref="B5764:B5765"/>
    <mergeCell ref="C5764:C5765"/>
    <mergeCell ref="D5764:U5765"/>
    <mergeCell ref="V5764:Y5764"/>
    <mergeCell ref="Z5764:AA5764"/>
    <mergeCell ref="V5765:Y5765"/>
    <mergeCell ref="Z5765:AA5765"/>
    <mergeCell ref="B5766:B5767"/>
    <mergeCell ref="C5766:C5767"/>
    <mergeCell ref="D5766:D5767"/>
    <mergeCell ref="E5766:E5767"/>
    <mergeCell ref="F5766:F5767"/>
    <mergeCell ref="G5766:G5767"/>
    <mergeCell ref="H5766:H5767"/>
    <mergeCell ref="I5766:I5767"/>
    <mergeCell ref="J5766:K5766"/>
    <mergeCell ref="L5766:L5767"/>
    <mergeCell ref="A5967:Y5967"/>
    <mergeCell ref="A5968:A5978"/>
    <mergeCell ref="C5968:F5968"/>
    <mergeCell ref="C5969:Y5969"/>
    <mergeCell ref="C5970:N5970"/>
    <mergeCell ref="C5971:N5971"/>
    <mergeCell ref="C5972:N5972"/>
    <mergeCell ref="C5973:Y5973"/>
    <mergeCell ref="C5974:O5974"/>
    <mergeCell ref="C5975:O5975"/>
    <mergeCell ref="C5976:O5976"/>
    <mergeCell ref="C5977:O5977"/>
    <mergeCell ref="C5978:H5978"/>
    <mergeCell ref="A5979:A5994"/>
    <mergeCell ref="C5979:Y5979"/>
    <mergeCell ref="B5980:B5981"/>
    <mergeCell ref="C5980:C5981"/>
    <mergeCell ref="D5980:D5981"/>
    <mergeCell ref="E5980:E5981"/>
    <mergeCell ref="V5980:Y5980"/>
    <mergeCell ref="V5981:Y5981"/>
    <mergeCell ref="B5982:B5983"/>
    <mergeCell ref="C5982:C5983"/>
    <mergeCell ref="D5982:D5983"/>
    <mergeCell ref="E5982:E5983"/>
    <mergeCell ref="V5983:Y5983"/>
    <mergeCell ref="B5984:B5985"/>
    <mergeCell ref="C5984:C5985"/>
    <mergeCell ref="D5984:D5985"/>
    <mergeCell ref="E5984:E5985"/>
    <mergeCell ref="F5984:F5985"/>
    <mergeCell ref="G5984:G5985"/>
    <mergeCell ref="H5984:H5985"/>
    <mergeCell ref="I5984:I5985"/>
    <mergeCell ref="J5984:K5984"/>
    <mergeCell ref="L5984:L5985"/>
    <mergeCell ref="M5984:N5985"/>
    <mergeCell ref="O5984:Z5984"/>
    <mergeCell ref="AA5984:AA5985"/>
    <mergeCell ref="B5986:B5994"/>
    <mergeCell ref="C5986:C5994"/>
    <mergeCell ref="D5986:D5994"/>
    <mergeCell ref="E5986:E5994"/>
    <mergeCell ref="F5986:F5994"/>
    <mergeCell ref="G5986:G5994"/>
    <mergeCell ref="H5986:H5994"/>
    <mergeCell ref="I5986:I5994"/>
    <mergeCell ref="J5986:J5994"/>
    <mergeCell ref="K5986:K5994"/>
    <mergeCell ref="L5986:L5994"/>
    <mergeCell ref="M5986:N5986"/>
    <mergeCell ref="M5987:N5987"/>
    <mergeCell ref="V5982:Y5982"/>
    <mergeCell ref="Z5980:AA5980"/>
    <mergeCell ref="Z5982:AA5982"/>
    <mergeCell ref="Z5981:AA5981"/>
    <mergeCell ref="A5995:A6000"/>
    <mergeCell ref="C5995:AA5995"/>
    <mergeCell ref="C5996:AA5996"/>
    <mergeCell ref="C5997:AA5997"/>
    <mergeCell ref="B5998:B5999"/>
    <mergeCell ref="C5998:AA5998"/>
    <mergeCell ref="C5999:AA5999"/>
    <mergeCell ref="A6001:A6073"/>
    <mergeCell ref="B6002:B6003"/>
    <mergeCell ref="C6002:C6003"/>
    <mergeCell ref="D6002:P6003"/>
    <mergeCell ref="V6002:Y6002"/>
    <mergeCell ref="Z6002:AA6002"/>
    <mergeCell ref="V6003:Y6003"/>
    <mergeCell ref="Z6003:AA6003"/>
    <mergeCell ref="B6004:B6005"/>
    <mergeCell ref="C6004:C6005"/>
    <mergeCell ref="D6004:P6005"/>
    <mergeCell ref="V6004:Y6004"/>
    <mergeCell ref="Z6004:AA6004"/>
    <mergeCell ref="V6005:Y6005"/>
    <mergeCell ref="Z6005:AA6005"/>
    <mergeCell ref="B6006:B6007"/>
    <mergeCell ref="C6006:C6007"/>
    <mergeCell ref="D6006:D6007"/>
    <mergeCell ref="E6006:E6007"/>
    <mergeCell ref="F6006:F6007"/>
    <mergeCell ref="G6006:G6007"/>
    <mergeCell ref="H6006:H6007"/>
    <mergeCell ref="I6006:I6007"/>
    <mergeCell ref="J6006:K6006"/>
    <mergeCell ref="L6006:L6007"/>
    <mergeCell ref="M6006:N6007"/>
    <mergeCell ref="O6006:Z6006"/>
    <mergeCell ref="AA6006:AA6007"/>
    <mergeCell ref="B6008:B6021"/>
    <mergeCell ref="C6008:C6021"/>
    <mergeCell ref="D6008:D6021"/>
    <mergeCell ref="E6008:E6021"/>
    <mergeCell ref="F6008:F6021"/>
    <mergeCell ref="G6008:G6021"/>
    <mergeCell ref="H6008:H6021"/>
    <mergeCell ref="I6008:I6021"/>
    <mergeCell ref="J6008:J6021"/>
    <mergeCell ref="K6008:K6021"/>
    <mergeCell ref="L6008:L6021"/>
    <mergeCell ref="K6042:K6047"/>
    <mergeCell ref="L6042:L6047"/>
    <mergeCell ref="M6042:N6042"/>
    <mergeCell ref="M6043:N6043"/>
    <mergeCell ref="M6008:N6008"/>
    <mergeCell ref="M6009:N6009"/>
    <mergeCell ref="B6022:B6024"/>
    <mergeCell ref="C6022:C6024"/>
    <mergeCell ref="D6022:D6024"/>
    <mergeCell ref="E6022:E6024"/>
    <mergeCell ref="F6022:F6024"/>
    <mergeCell ref="G6022:G6024"/>
    <mergeCell ref="H6022:H6024"/>
    <mergeCell ref="I6022:I6024"/>
    <mergeCell ref="J6022:J6024"/>
    <mergeCell ref="K6022:K6024"/>
    <mergeCell ref="L6022:L6024"/>
    <mergeCell ref="M6022:N6022"/>
    <mergeCell ref="M6023:N6023"/>
    <mergeCell ref="B6025:B6028"/>
    <mergeCell ref="C6025:C6028"/>
    <mergeCell ref="D6025:D6028"/>
    <mergeCell ref="E6025:E6028"/>
    <mergeCell ref="F6025:F6028"/>
    <mergeCell ref="G6025:G6028"/>
    <mergeCell ref="H6025:H6028"/>
    <mergeCell ref="I6025:I6028"/>
    <mergeCell ref="J6025:J6028"/>
    <mergeCell ref="K6025:K6028"/>
    <mergeCell ref="L6025:L6028"/>
    <mergeCell ref="M6025:N6025"/>
    <mergeCell ref="M6026:N6026"/>
    <mergeCell ref="B6029:B6033"/>
    <mergeCell ref="C6029:C6033"/>
    <mergeCell ref="D6029:D6033"/>
    <mergeCell ref="E6029:E6033"/>
    <mergeCell ref="F6029:F6033"/>
    <mergeCell ref="G6029:G6033"/>
    <mergeCell ref="H6029:H6033"/>
    <mergeCell ref="I6029:I6033"/>
    <mergeCell ref="J6029:J6033"/>
    <mergeCell ref="K6029:K6033"/>
    <mergeCell ref="L6029:L6033"/>
    <mergeCell ref="M6029:N6029"/>
    <mergeCell ref="M6030:N6030"/>
    <mergeCell ref="L6048:L6052"/>
    <mergeCell ref="M6048:N6048"/>
    <mergeCell ref="M6049:N6049"/>
    <mergeCell ref="B6053:B6055"/>
    <mergeCell ref="C6053:C6055"/>
    <mergeCell ref="D6053:D6055"/>
    <mergeCell ref="E6053:E6055"/>
    <mergeCell ref="F6053:F6055"/>
    <mergeCell ref="G6053:G6055"/>
    <mergeCell ref="H6053:H6055"/>
    <mergeCell ref="I6053:I6055"/>
    <mergeCell ref="J6053:J6055"/>
    <mergeCell ref="K6053:K6055"/>
    <mergeCell ref="L6053:L6055"/>
    <mergeCell ref="M6053:N6053"/>
    <mergeCell ref="M6054:N6054"/>
    <mergeCell ref="B6056:B6058"/>
    <mergeCell ref="C6056:C6058"/>
    <mergeCell ref="D6056:D6058"/>
    <mergeCell ref="E6056:E6058"/>
    <mergeCell ref="F6056:F6058"/>
    <mergeCell ref="G6056:G6058"/>
    <mergeCell ref="H6056:H6058"/>
    <mergeCell ref="I6056:I6058"/>
    <mergeCell ref="J6056:J6058"/>
    <mergeCell ref="K6056:K6058"/>
    <mergeCell ref="L6056:L6058"/>
    <mergeCell ref="M6056:N6056"/>
    <mergeCell ref="M6057:N6057"/>
    <mergeCell ref="B6034:B6038"/>
    <mergeCell ref="C6034:C6038"/>
    <mergeCell ref="D6034:D6038"/>
    <mergeCell ref="E6034:E6038"/>
    <mergeCell ref="F6034:F6038"/>
    <mergeCell ref="G6034:G6038"/>
    <mergeCell ref="H6034:H6038"/>
    <mergeCell ref="I6034:I6038"/>
    <mergeCell ref="J6034:J6038"/>
    <mergeCell ref="K6034:K6038"/>
    <mergeCell ref="L6034:L6038"/>
    <mergeCell ref="M6034:N6034"/>
    <mergeCell ref="M6035:N6035"/>
    <mergeCell ref="B6039:B6041"/>
    <mergeCell ref="C6039:C6041"/>
    <mergeCell ref="D6039:D6041"/>
    <mergeCell ref="E6039:E6041"/>
    <mergeCell ref="F6039:F6041"/>
    <mergeCell ref="G6039:G6041"/>
    <mergeCell ref="H6039:H6041"/>
    <mergeCell ref="I6039:I6041"/>
    <mergeCell ref="J6039:J6041"/>
    <mergeCell ref="K6039:K6041"/>
    <mergeCell ref="L6039:L6041"/>
    <mergeCell ref="M6039:N6039"/>
    <mergeCell ref="M6040:N6040"/>
    <mergeCell ref="B6042:B6047"/>
    <mergeCell ref="C6042:C6047"/>
    <mergeCell ref="D6042:D6047"/>
    <mergeCell ref="E6042:E6047"/>
    <mergeCell ref="F6042:F6047"/>
    <mergeCell ref="G6042:G6047"/>
    <mergeCell ref="H6042:H6047"/>
    <mergeCell ref="I6042:I6047"/>
    <mergeCell ref="J6042:J6047"/>
    <mergeCell ref="B5730:AA5730"/>
    <mergeCell ref="B5343:AA5343"/>
    <mergeCell ref="B6070:B6073"/>
    <mergeCell ref="C6070:C6073"/>
    <mergeCell ref="D6070:D6073"/>
    <mergeCell ref="E6070:E6073"/>
    <mergeCell ref="F6070:F6073"/>
    <mergeCell ref="G6070:G6073"/>
    <mergeCell ref="H6070:H6073"/>
    <mergeCell ref="I6070:I6073"/>
    <mergeCell ref="J6070:J6073"/>
    <mergeCell ref="K6070:K6073"/>
    <mergeCell ref="L6070:L6073"/>
    <mergeCell ref="M6070:N6070"/>
    <mergeCell ref="M6071:N6071"/>
    <mergeCell ref="B6059:B6062"/>
    <mergeCell ref="C6059:C6062"/>
    <mergeCell ref="D6059:D6062"/>
    <mergeCell ref="E6059:E6062"/>
    <mergeCell ref="F6059:F6062"/>
    <mergeCell ref="G6059:G6062"/>
    <mergeCell ref="H6059:H6062"/>
    <mergeCell ref="I6059:I6062"/>
    <mergeCell ref="J6059:J6062"/>
    <mergeCell ref="K6059:K6062"/>
    <mergeCell ref="L6059:L6062"/>
    <mergeCell ref="M6059:N6059"/>
    <mergeCell ref="M6060:N6060"/>
    <mergeCell ref="B6063:B6066"/>
    <mergeCell ref="C6063:C6066"/>
    <mergeCell ref="D6063:D6066"/>
    <mergeCell ref="E6063:E6066"/>
    <mergeCell ref="F6063:F6066"/>
    <mergeCell ref="G6063:G6066"/>
    <mergeCell ref="H6063:H6066"/>
    <mergeCell ref="I6063:I6066"/>
    <mergeCell ref="J6063:J6066"/>
    <mergeCell ref="K6063:K6066"/>
    <mergeCell ref="L6063:L6066"/>
    <mergeCell ref="M6063:N6063"/>
    <mergeCell ref="M6064:N6064"/>
    <mergeCell ref="B6067:B6069"/>
    <mergeCell ref="C6067:C6069"/>
    <mergeCell ref="D6067:D6069"/>
    <mergeCell ref="E6067:E6069"/>
    <mergeCell ref="F6067:F6069"/>
    <mergeCell ref="G6067:G6069"/>
    <mergeCell ref="H6067:H6069"/>
    <mergeCell ref="I6067:I6069"/>
    <mergeCell ref="J6067:J6069"/>
    <mergeCell ref="K6067:K6069"/>
    <mergeCell ref="L6067:L6069"/>
    <mergeCell ref="M6067:N6067"/>
    <mergeCell ref="M6068:N6068"/>
    <mergeCell ref="B6048:B6052"/>
    <mergeCell ref="C6048:C6052"/>
    <mergeCell ref="D6048:D6052"/>
    <mergeCell ref="E6048:E6052"/>
    <mergeCell ref="F6048:F6052"/>
    <mergeCell ref="G6048:G6052"/>
    <mergeCell ref="H6048:H6052"/>
    <mergeCell ref="I6048:I6052"/>
    <mergeCell ref="J6048:J6052"/>
    <mergeCell ref="K6048:K6052"/>
  </mergeCells>
  <printOptions horizontalCentered="1" verticalCentered="1"/>
  <pageMargins left="7.874015748031496E-2" right="0.70866141732283472" top="0.98425196850393704" bottom="0.98425196850393704" header="0.31496062992125984" footer="0.31496062992125984"/>
  <pageSetup paperSize="9" scale="34" orientation="landscape" r:id="rId1"/>
  <headerFooter>
    <oddHeader>&amp;C&amp;G</oddHeader>
    <oddFooter>&amp;C&amp;G</oddFooter>
  </headerFooter>
  <rowBreaks count="47" manualBreakCount="47">
    <brk id="146" max="26" man="1"/>
    <brk id="366" max="26" man="1"/>
    <brk id="478" max="26" man="1"/>
    <brk id="798" max="26" man="1"/>
    <brk id="875" max="26" man="1"/>
    <brk id="980" max="26" man="1"/>
    <brk id="1083" max="26" man="1"/>
    <brk id="1183" max="26" man="1"/>
    <brk id="1292" max="26" man="1"/>
    <brk id="1376" max="16383" man="1"/>
    <brk id="1498" max="26" man="1"/>
    <brk id="1708" max="26" man="1"/>
    <brk id="1813" max="26" man="1"/>
    <brk id="1985" max="16383" man="1"/>
    <brk id="2085" max="26" man="1"/>
    <brk id="2188" max="26" man="1"/>
    <brk id="2291" max="26" man="1"/>
    <brk id="2376" max="16383" man="1"/>
    <brk id="2483" max="26" man="1"/>
    <brk id="2766" max="16383" man="1"/>
    <brk id="2965" max="16383" man="1"/>
    <brk id="3062" max="26" man="1"/>
    <brk id="3169" max="26" man="1"/>
    <brk id="3263" max="16383" man="1"/>
    <brk id="3373" max="26" man="1"/>
    <brk id="3480" max="26" man="1"/>
    <brk id="3584" max="26" man="1"/>
    <brk id="3599" max="26" man="1"/>
    <brk id="3920" max="26" man="1"/>
    <brk id="4033" max="26" man="1"/>
    <brk id="4148" max="26" man="1"/>
    <brk id="4263" max="26" man="1"/>
    <brk id="4274" max="26" man="1"/>
    <brk id="4360" max="26" man="1"/>
    <brk id="4435" max="26" man="1"/>
    <brk id="4521" max="26" man="1"/>
    <brk id="4604" max="26" man="1"/>
    <brk id="4756" max="16383" man="1"/>
    <brk id="4908" max="26" man="1"/>
    <brk id="5039" max="16383" man="1"/>
    <brk id="5181" max="26" man="1"/>
    <brk id="5233" max="16383" man="1"/>
    <brk id="5339" max="26" man="1"/>
    <brk id="5395" max="26" man="1"/>
    <brk id="5458" max="26" man="1"/>
    <brk id="5550" max="26" man="1"/>
    <brk id="5966" max="26" man="1"/>
  </rowBreaks>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08"/>
  <sheetViews>
    <sheetView tabSelected="1" view="pageBreakPreview" topLeftCell="A204" zoomScale="70" zoomScaleNormal="100" zoomScaleSheetLayoutView="70" workbookViewId="0">
      <selection activeCell="C217" sqref="C217:J217"/>
    </sheetView>
  </sheetViews>
  <sheetFormatPr baseColWidth="10" defaultRowHeight="15" x14ac:dyDescent="0.25"/>
  <cols>
    <col min="1" max="1" width="3.7109375" style="233" customWidth="1"/>
    <col min="2" max="2" width="17.28515625" style="233" customWidth="1"/>
    <col min="3" max="3" width="18.7109375" style="233" customWidth="1"/>
    <col min="4" max="4" width="13.85546875" style="233" customWidth="1"/>
    <col min="5" max="5" width="11.85546875" style="233" bestFit="1" customWidth="1"/>
    <col min="6" max="6" width="16.28515625" style="233" customWidth="1"/>
    <col min="7" max="7" width="11.85546875" style="233" bestFit="1" customWidth="1"/>
    <col min="8" max="8" width="11.7109375" style="233" customWidth="1"/>
    <col min="9" max="9" width="12" style="233" customWidth="1"/>
    <col min="10" max="10" width="10.42578125" style="233" customWidth="1"/>
    <col min="11" max="11" width="15.42578125" style="233" customWidth="1"/>
    <col min="12" max="12" width="12.85546875" style="233" customWidth="1"/>
    <col min="13" max="13" width="11.42578125" style="233"/>
    <col min="14" max="14" width="20.7109375" style="233" customWidth="1"/>
    <col min="15" max="15" width="13.140625" style="233" customWidth="1"/>
    <col min="16" max="16" width="10.42578125" style="233" customWidth="1"/>
    <col min="17" max="17" width="9.7109375" style="233" customWidth="1"/>
    <col min="18" max="18" width="8.7109375" style="233" customWidth="1"/>
    <col min="19" max="19" width="10.7109375" style="233" customWidth="1"/>
    <col min="20" max="20" width="10.28515625" style="233" customWidth="1"/>
    <col min="21" max="21" width="9" style="233" customWidth="1"/>
    <col min="22" max="22" width="8.28515625" style="233" customWidth="1"/>
    <col min="23" max="23" width="8.5703125" style="233" customWidth="1"/>
    <col min="24" max="24" width="8" style="233" customWidth="1"/>
    <col min="25" max="25" width="8.140625" style="233" customWidth="1"/>
    <col min="26" max="26" width="8.85546875" style="233" customWidth="1"/>
    <col min="27" max="27" width="12.5703125" style="233" customWidth="1"/>
    <col min="28" max="16384" width="11.42578125" style="233"/>
  </cols>
  <sheetData>
    <row r="1" spans="1:34" ht="15.75" x14ac:dyDescent="0.25">
      <c r="A1" s="4267" t="s">
        <v>1169</v>
      </c>
      <c r="B1" s="4268"/>
      <c r="C1" s="4268"/>
      <c r="D1" s="4268"/>
      <c r="E1" s="4268"/>
      <c r="F1" s="4268"/>
      <c r="G1" s="4268"/>
      <c r="H1" s="4268"/>
      <c r="I1" s="4268"/>
      <c r="J1" s="4268"/>
      <c r="K1" s="4268"/>
      <c r="L1" s="4268"/>
      <c r="M1" s="4268"/>
      <c r="N1" s="4268"/>
      <c r="O1" s="4268"/>
      <c r="P1" s="4268"/>
      <c r="Q1" s="4268"/>
      <c r="R1" s="4268"/>
      <c r="S1" s="4268"/>
      <c r="T1" s="4268"/>
      <c r="U1" s="4268"/>
      <c r="V1" s="4268"/>
      <c r="W1" s="4268"/>
      <c r="X1" s="4268"/>
      <c r="Y1" s="4268"/>
      <c r="Z1" s="4268"/>
      <c r="AA1" s="4269"/>
    </row>
    <row r="2" spans="1:34" ht="18" customHeight="1" x14ac:dyDescent="0.25">
      <c r="A2" s="2917" t="s">
        <v>0</v>
      </c>
      <c r="B2" s="2194" t="s">
        <v>1</v>
      </c>
      <c r="C2" s="4078" t="s">
        <v>1172</v>
      </c>
      <c r="D2" s="4079"/>
      <c r="E2" s="4080"/>
      <c r="F2" s="4081"/>
      <c r="G2" s="4082"/>
      <c r="H2" s="4082"/>
      <c r="I2" s="4082"/>
      <c r="J2" s="4082"/>
      <c r="K2" s="4082"/>
      <c r="L2" s="4082"/>
      <c r="M2" s="4082"/>
      <c r="N2" s="4082"/>
      <c r="O2" s="4082"/>
      <c r="P2" s="4082"/>
      <c r="Q2" s="4082"/>
      <c r="R2" s="4082"/>
      <c r="S2" s="4082"/>
      <c r="T2" s="4082"/>
      <c r="U2" s="4082"/>
      <c r="V2" s="4082"/>
      <c r="W2" s="4082"/>
      <c r="X2" s="4082"/>
      <c r="Y2" s="4082"/>
      <c r="Z2" s="4082"/>
      <c r="AA2" s="4083"/>
      <c r="AB2" s="109"/>
      <c r="AC2" s="305"/>
      <c r="AD2" s="34"/>
      <c r="AE2" s="34"/>
      <c r="AF2" s="34"/>
      <c r="AG2" s="34"/>
      <c r="AH2" s="34"/>
    </row>
    <row r="3" spans="1:34" ht="22.5" x14ac:dyDescent="0.25">
      <c r="A3" s="2917"/>
      <c r="B3" s="1285" t="s">
        <v>2</v>
      </c>
      <c r="C3" s="3673" t="s">
        <v>1173</v>
      </c>
      <c r="D3" s="3674"/>
      <c r="E3" s="3674"/>
      <c r="F3" s="3674"/>
      <c r="G3" s="3674"/>
      <c r="H3" s="3674"/>
      <c r="I3" s="3674"/>
      <c r="J3" s="3674"/>
      <c r="K3" s="3674"/>
      <c r="L3" s="3674"/>
      <c r="M3" s="3674"/>
      <c r="N3" s="3674"/>
      <c r="O3" s="3674"/>
      <c r="P3" s="3674"/>
      <c r="Q3" s="3674"/>
      <c r="R3" s="3674"/>
      <c r="S3" s="3674"/>
      <c r="T3" s="3674"/>
      <c r="U3" s="3674"/>
      <c r="V3" s="3674"/>
      <c r="W3" s="419"/>
      <c r="X3" s="419"/>
      <c r="Y3" s="419"/>
      <c r="Z3" s="419"/>
      <c r="AA3" s="420"/>
      <c r="AB3" s="35"/>
      <c r="AC3" s="183"/>
      <c r="AD3" s="34"/>
      <c r="AE3" s="34"/>
      <c r="AF3" s="34"/>
      <c r="AG3" s="34"/>
      <c r="AH3" s="34"/>
    </row>
    <row r="4" spans="1:34" ht="18.75" customHeight="1" x14ac:dyDescent="0.25">
      <c r="A4" s="2917"/>
      <c r="B4" s="1283" t="s">
        <v>4</v>
      </c>
      <c r="C4" s="3673" t="s">
        <v>1174</v>
      </c>
      <c r="D4" s="3674"/>
      <c r="E4" s="3674"/>
      <c r="F4" s="3674"/>
      <c r="G4" s="3674"/>
      <c r="H4" s="3674"/>
      <c r="I4" s="3674"/>
      <c r="J4" s="3674"/>
      <c r="K4" s="3674"/>
      <c r="L4" s="3674"/>
      <c r="M4" s="3674"/>
      <c r="N4" s="3674"/>
      <c r="O4" s="1327"/>
      <c r="P4" s="1327"/>
      <c r="Q4" s="1327"/>
      <c r="R4" s="1327"/>
      <c r="S4" s="1327"/>
      <c r="T4" s="1327"/>
      <c r="U4" s="1327"/>
      <c r="V4" s="1327"/>
      <c r="W4" s="419"/>
      <c r="X4" s="419"/>
      <c r="Y4" s="419"/>
      <c r="Z4" s="419"/>
      <c r="AA4" s="420"/>
      <c r="AB4" s="35"/>
      <c r="AC4" s="183"/>
      <c r="AD4" s="34"/>
      <c r="AE4" s="34"/>
      <c r="AF4" s="34"/>
      <c r="AG4" s="34"/>
      <c r="AH4" s="34"/>
    </row>
    <row r="5" spans="1:34" ht="34.5" customHeight="1" x14ac:dyDescent="0.25">
      <c r="A5" s="2917"/>
      <c r="B5" s="1283" t="s">
        <v>6</v>
      </c>
      <c r="C5" s="4107" t="s">
        <v>2502</v>
      </c>
      <c r="D5" s="4108"/>
      <c r="E5" s="4108"/>
      <c r="F5" s="4108"/>
      <c r="G5" s="4108"/>
      <c r="H5" s="4108"/>
      <c r="I5" s="4108"/>
      <c r="J5" s="4108"/>
      <c r="K5" s="4108"/>
      <c r="L5" s="4108"/>
      <c r="M5" s="4108"/>
      <c r="N5" s="4108"/>
      <c r="O5" s="4108"/>
      <c r="P5" s="4108"/>
      <c r="Q5" s="4108"/>
      <c r="R5" s="4108"/>
      <c r="S5" s="4108"/>
      <c r="T5" s="4108"/>
      <c r="U5" s="4108"/>
      <c r="V5" s="4108"/>
      <c r="W5" s="4108"/>
      <c r="X5" s="4108"/>
      <c r="Y5" s="4108"/>
      <c r="Z5" s="4108"/>
      <c r="AA5" s="4109"/>
      <c r="AB5" s="35"/>
      <c r="AC5" s="183"/>
      <c r="AD5" s="34"/>
      <c r="AE5" s="34"/>
      <c r="AF5" s="34"/>
      <c r="AG5" s="34"/>
      <c r="AH5" s="34"/>
    </row>
    <row r="6" spans="1:34" ht="27.75" customHeight="1" x14ac:dyDescent="0.25">
      <c r="A6" s="2917"/>
      <c r="B6" s="2067" t="s">
        <v>8</v>
      </c>
      <c r="C6" s="3504" t="s">
        <v>1175</v>
      </c>
      <c r="D6" s="3505"/>
      <c r="E6" s="3505"/>
      <c r="F6" s="3505"/>
      <c r="G6" s="3505"/>
      <c r="H6" s="3505"/>
      <c r="I6" s="3505"/>
      <c r="J6" s="3505"/>
      <c r="K6" s="3505"/>
      <c r="L6" s="3505"/>
      <c r="M6" s="3505"/>
      <c r="N6" s="3505"/>
      <c r="O6" s="3505"/>
      <c r="P6" s="3505"/>
      <c r="Q6" s="3505"/>
      <c r="R6" s="3505"/>
      <c r="S6" s="3505"/>
      <c r="T6" s="3505"/>
      <c r="U6" s="3505"/>
      <c r="V6" s="3505"/>
      <c r="W6" s="3505"/>
      <c r="X6" s="3505"/>
      <c r="Y6" s="3505"/>
      <c r="Z6" s="3505"/>
      <c r="AA6" s="3506"/>
      <c r="AB6" s="35"/>
      <c r="AC6" s="183"/>
      <c r="AD6" s="34"/>
      <c r="AE6" s="34"/>
      <c r="AF6" s="34"/>
      <c r="AG6" s="34"/>
      <c r="AH6" s="34"/>
    </row>
    <row r="7" spans="1:34" ht="24" customHeight="1" x14ac:dyDescent="0.25">
      <c r="A7" s="3043" t="s">
        <v>256</v>
      </c>
      <c r="B7" s="1283" t="s">
        <v>11</v>
      </c>
      <c r="C7" s="3687" t="s">
        <v>84</v>
      </c>
      <c r="D7" s="3687"/>
      <c r="E7" s="3687"/>
      <c r="F7" s="3687"/>
      <c r="G7" s="3687"/>
      <c r="H7" s="3687"/>
      <c r="I7" s="3687"/>
      <c r="J7" s="3687"/>
      <c r="K7" s="3687"/>
      <c r="L7" s="3687"/>
      <c r="M7" s="3687"/>
      <c r="N7" s="3687"/>
      <c r="O7" s="3687"/>
      <c r="P7" s="3687"/>
      <c r="Q7" s="3687"/>
      <c r="R7" s="3687"/>
      <c r="S7" s="3687"/>
      <c r="T7" s="3687"/>
      <c r="U7" s="3687"/>
      <c r="V7" s="3687"/>
      <c r="W7" s="38"/>
      <c r="X7" s="38"/>
      <c r="Y7" s="38"/>
      <c r="Z7" s="38"/>
      <c r="AA7" s="38"/>
      <c r="AB7" s="35"/>
      <c r="AC7" s="183"/>
      <c r="AD7" s="34"/>
      <c r="AE7" s="34"/>
      <c r="AF7" s="34"/>
      <c r="AG7" s="34"/>
      <c r="AH7" s="34"/>
    </row>
    <row r="8" spans="1:34" x14ac:dyDescent="0.25">
      <c r="A8" s="3044"/>
      <c r="B8" s="3565" t="s">
        <v>13</v>
      </c>
      <c r="C8" s="4088">
        <v>35</v>
      </c>
      <c r="D8" s="3565" t="s">
        <v>1176</v>
      </c>
      <c r="E8" s="3565"/>
      <c r="F8" s="3565"/>
      <c r="G8" s="3565"/>
      <c r="H8" s="3565"/>
      <c r="I8" s="3565"/>
      <c r="J8" s="3565"/>
      <c r="K8" s="3565"/>
      <c r="L8" s="3565"/>
      <c r="M8" s="3565"/>
      <c r="N8" s="3565"/>
      <c r="O8" s="3565"/>
      <c r="P8" s="3565"/>
      <c r="Q8" s="3565"/>
      <c r="R8" s="3565"/>
      <c r="S8" s="3565"/>
      <c r="T8" s="3565"/>
      <c r="U8" s="3565"/>
      <c r="V8" s="4085" t="s">
        <v>15</v>
      </c>
      <c r="W8" s="4085"/>
      <c r="X8" s="4085"/>
      <c r="Y8" s="4085"/>
      <c r="Z8" s="4085" t="s">
        <v>16</v>
      </c>
      <c r="AA8" s="4085"/>
      <c r="AB8" s="35"/>
      <c r="AC8" s="183"/>
      <c r="AD8" s="34"/>
      <c r="AE8" s="34"/>
      <c r="AF8" s="34"/>
      <c r="AG8" s="34"/>
      <c r="AH8" s="34"/>
    </row>
    <row r="9" spans="1:34" x14ac:dyDescent="0.25">
      <c r="A9" s="3044"/>
      <c r="B9" s="3565"/>
      <c r="C9" s="4088"/>
      <c r="D9" s="3565"/>
      <c r="E9" s="3565"/>
      <c r="F9" s="3565"/>
      <c r="G9" s="3565"/>
      <c r="H9" s="3565"/>
      <c r="I9" s="3565"/>
      <c r="J9" s="3565"/>
      <c r="K9" s="3565"/>
      <c r="L9" s="3565"/>
      <c r="M9" s="3565"/>
      <c r="N9" s="3565"/>
      <c r="O9" s="3565"/>
      <c r="P9" s="3565"/>
      <c r="Q9" s="3565"/>
      <c r="R9" s="3565"/>
      <c r="S9" s="3565"/>
      <c r="T9" s="3565"/>
      <c r="U9" s="3565"/>
      <c r="V9" s="4087" t="s">
        <v>1177</v>
      </c>
      <c r="W9" s="4087"/>
      <c r="X9" s="4087"/>
      <c r="Y9" s="4087"/>
      <c r="Z9" s="4087" t="s">
        <v>1178</v>
      </c>
      <c r="AA9" s="4087"/>
      <c r="AB9" s="35"/>
      <c r="AC9" s="183"/>
      <c r="AD9" s="34"/>
      <c r="AE9" s="34"/>
      <c r="AF9" s="34"/>
      <c r="AG9" s="34"/>
      <c r="AH9" s="34"/>
    </row>
    <row r="10" spans="1:34" ht="16.5" customHeight="1" x14ac:dyDescent="0.25">
      <c r="A10" s="3044"/>
      <c r="B10" s="3565"/>
      <c r="C10" s="4088"/>
      <c r="D10" s="3565"/>
      <c r="E10" s="3565"/>
      <c r="F10" s="3565"/>
      <c r="G10" s="3565"/>
      <c r="H10" s="3565"/>
      <c r="I10" s="3565"/>
      <c r="J10" s="3565"/>
      <c r="K10" s="3565"/>
      <c r="L10" s="3565"/>
      <c r="M10" s="3565"/>
      <c r="N10" s="3565"/>
      <c r="O10" s="3565"/>
      <c r="P10" s="3565"/>
      <c r="Q10" s="3565"/>
      <c r="R10" s="3565"/>
      <c r="S10" s="3565"/>
      <c r="T10" s="3565"/>
      <c r="U10" s="3565"/>
      <c r="V10" s="4087"/>
      <c r="W10" s="4087"/>
      <c r="X10" s="4087"/>
      <c r="Y10" s="4087"/>
      <c r="Z10" s="4087"/>
      <c r="AA10" s="4087"/>
      <c r="AB10" s="35"/>
      <c r="AC10" s="183"/>
      <c r="AD10" s="34"/>
      <c r="AE10" s="34"/>
      <c r="AF10" s="34"/>
      <c r="AG10" s="34"/>
      <c r="AH10" s="34"/>
    </row>
    <row r="11" spans="1:34" ht="21.75" customHeight="1" x14ac:dyDescent="0.25">
      <c r="A11" s="3044"/>
      <c r="B11" s="3565"/>
      <c r="C11" s="4088"/>
      <c r="D11" s="3565"/>
      <c r="E11" s="3565"/>
      <c r="F11" s="3565"/>
      <c r="G11" s="3565"/>
      <c r="H11" s="3565"/>
      <c r="I11" s="3565"/>
      <c r="J11" s="3565"/>
      <c r="K11" s="3565"/>
      <c r="L11" s="3565"/>
      <c r="M11" s="3565"/>
      <c r="N11" s="3565"/>
      <c r="O11" s="3565"/>
      <c r="P11" s="3565"/>
      <c r="Q11" s="3565"/>
      <c r="R11" s="3565"/>
      <c r="S11" s="3565"/>
      <c r="T11" s="3565"/>
      <c r="U11" s="3565"/>
      <c r="V11" s="4087" t="s">
        <v>1179</v>
      </c>
      <c r="W11" s="4087"/>
      <c r="X11" s="4087"/>
      <c r="Y11" s="4087"/>
      <c r="Z11" s="4087" t="s">
        <v>1178</v>
      </c>
      <c r="AA11" s="4087"/>
      <c r="AB11" s="35"/>
      <c r="AC11" s="183"/>
      <c r="AD11" s="34"/>
      <c r="AE11" s="34"/>
      <c r="AF11" s="34"/>
      <c r="AG11" s="34"/>
      <c r="AH11" s="34"/>
    </row>
    <row r="12" spans="1:34" ht="34.5" customHeight="1" x14ac:dyDescent="0.25">
      <c r="A12" s="3044"/>
      <c r="B12" s="3565"/>
      <c r="C12" s="4088"/>
      <c r="D12" s="3565"/>
      <c r="E12" s="3565"/>
      <c r="F12" s="3565"/>
      <c r="G12" s="3565"/>
      <c r="H12" s="3565"/>
      <c r="I12" s="3565"/>
      <c r="J12" s="3565"/>
      <c r="K12" s="3565"/>
      <c r="L12" s="3565"/>
      <c r="M12" s="3565"/>
      <c r="N12" s="3565"/>
      <c r="O12" s="3565"/>
      <c r="P12" s="3565"/>
      <c r="Q12" s="3565"/>
      <c r="R12" s="3565"/>
      <c r="S12" s="3565"/>
      <c r="T12" s="3565"/>
      <c r="U12" s="3565"/>
      <c r="V12" s="4087" t="s">
        <v>1180</v>
      </c>
      <c r="W12" s="4087"/>
      <c r="X12" s="4087"/>
      <c r="Y12" s="4087"/>
      <c r="Z12" s="4087" t="s">
        <v>1178</v>
      </c>
      <c r="AA12" s="4087"/>
      <c r="AB12" s="35"/>
      <c r="AC12" s="183"/>
      <c r="AD12" s="34"/>
      <c r="AE12" s="34"/>
      <c r="AF12" s="34"/>
      <c r="AG12" s="34"/>
      <c r="AH12" s="34"/>
    </row>
    <row r="13" spans="1:34" x14ac:dyDescent="0.25">
      <c r="A13" s="3044"/>
      <c r="B13" s="3565" t="s">
        <v>18</v>
      </c>
      <c r="C13" s="4084">
        <v>3000473</v>
      </c>
      <c r="D13" s="3565" t="s">
        <v>1181</v>
      </c>
      <c r="E13" s="3565"/>
      <c r="F13" s="3565"/>
      <c r="G13" s="3565"/>
      <c r="H13" s="3565"/>
      <c r="I13" s="3565"/>
      <c r="J13" s="3565"/>
      <c r="K13" s="3565"/>
      <c r="L13" s="3565"/>
      <c r="M13" s="3565"/>
      <c r="N13" s="3565"/>
      <c r="O13" s="3565"/>
      <c r="P13" s="3565"/>
      <c r="Q13" s="3565"/>
      <c r="R13" s="3565"/>
      <c r="S13" s="3565"/>
      <c r="T13" s="3565"/>
      <c r="U13" s="3565"/>
      <c r="V13" s="4085" t="s">
        <v>15</v>
      </c>
      <c r="W13" s="4085"/>
      <c r="X13" s="4085"/>
      <c r="Y13" s="4085"/>
      <c r="Z13" s="4085" t="s">
        <v>16</v>
      </c>
      <c r="AA13" s="4085"/>
      <c r="AB13" s="35"/>
      <c r="AC13" s="183"/>
      <c r="AD13" s="34"/>
      <c r="AE13" s="34"/>
      <c r="AF13" s="34"/>
      <c r="AG13" s="34"/>
      <c r="AH13" s="34"/>
    </row>
    <row r="14" spans="1:34" ht="22.5" customHeight="1" x14ac:dyDescent="0.25">
      <c r="A14" s="3044"/>
      <c r="B14" s="3565"/>
      <c r="C14" s="4084"/>
      <c r="D14" s="3565"/>
      <c r="E14" s="3565"/>
      <c r="F14" s="3565"/>
      <c r="G14" s="3565"/>
      <c r="H14" s="3565"/>
      <c r="I14" s="3565"/>
      <c r="J14" s="3565"/>
      <c r="K14" s="3565"/>
      <c r="L14" s="3565"/>
      <c r="M14" s="3565"/>
      <c r="N14" s="3565"/>
      <c r="O14" s="3565"/>
      <c r="P14" s="3565"/>
      <c r="Q14" s="3565"/>
      <c r="R14" s="3565"/>
      <c r="S14" s="3565"/>
      <c r="T14" s="3565"/>
      <c r="U14" s="3565"/>
      <c r="V14" s="3565" t="s">
        <v>1182</v>
      </c>
      <c r="W14" s="3565"/>
      <c r="X14" s="3565"/>
      <c r="Y14" s="3565"/>
      <c r="Z14" s="4086" t="s">
        <v>1073</v>
      </c>
      <c r="AA14" s="4086"/>
      <c r="AB14" s="35"/>
      <c r="AC14" s="183"/>
      <c r="AD14" s="34"/>
      <c r="AE14" s="34"/>
      <c r="AF14" s="34"/>
      <c r="AG14" s="34"/>
      <c r="AH14" s="34"/>
    </row>
    <row r="15" spans="1:34" ht="15" customHeight="1" x14ac:dyDescent="0.25">
      <c r="A15" s="532"/>
      <c r="B15" s="2999" t="s">
        <v>20</v>
      </c>
      <c r="C15" s="2847" t="s">
        <v>21</v>
      </c>
      <c r="D15" s="2847" t="s">
        <v>22</v>
      </c>
      <c r="E15" s="2847" t="s">
        <v>23</v>
      </c>
      <c r="F15" s="2847" t="s">
        <v>164</v>
      </c>
      <c r="G15" s="2847" t="s">
        <v>25</v>
      </c>
      <c r="H15" s="2847" t="s">
        <v>26</v>
      </c>
      <c r="I15" s="2847" t="s">
        <v>27</v>
      </c>
      <c r="J15" s="2847" t="s">
        <v>28</v>
      </c>
      <c r="K15" s="2847"/>
      <c r="L15" s="2847" t="s">
        <v>29</v>
      </c>
      <c r="M15" s="2986" t="s">
        <v>30</v>
      </c>
      <c r="N15" s="2987"/>
      <c r="O15" s="2916" t="s">
        <v>31</v>
      </c>
      <c r="P15" s="2916"/>
      <c r="Q15" s="2916"/>
      <c r="R15" s="2916"/>
      <c r="S15" s="2916"/>
      <c r="T15" s="2916"/>
      <c r="U15" s="2916"/>
      <c r="V15" s="2916"/>
      <c r="W15" s="2916"/>
      <c r="X15" s="2916"/>
      <c r="Y15" s="2916"/>
      <c r="Z15" s="2916"/>
      <c r="AA15" s="2916" t="s">
        <v>32</v>
      </c>
      <c r="AB15" s="35"/>
      <c r="AC15" s="183"/>
      <c r="AD15" s="34"/>
      <c r="AE15" s="34"/>
      <c r="AF15" s="34"/>
      <c r="AG15" s="34"/>
      <c r="AH15" s="34"/>
    </row>
    <row r="16" spans="1:34" ht="20.25" customHeight="1" x14ac:dyDescent="0.25">
      <c r="A16" s="532"/>
      <c r="B16" s="2999"/>
      <c r="C16" s="2847"/>
      <c r="D16" s="2847"/>
      <c r="E16" s="2847"/>
      <c r="F16" s="2847"/>
      <c r="G16" s="2847"/>
      <c r="H16" s="2847"/>
      <c r="I16" s="2847"/>
      <c r="J16" s="1284" t="s">
        <v>33</v>
      </c>
      <c r="K16" s="1284" t="s">
        <v>34</v>
      </c>
      <c r="L16" s="2847"/>
      <c r="M16" s="3000"/>
      <c r="N16" s="3001"/>
      <c r="O16" s="1294" t="s">
        <v>35</v>
      </c>
      <c r="P16" s="1294" t="s">
        <v>36</v>
      </c>
      <c r="Q16" s="1294" t="s">
        <v>37</v>
      </c>
      <c r="R16" s="1294" t="s">
        <v>38</v>
      </c>
      <c r="S16" s="1294" t="s">
        <v>39</v>
      </c>
      <c r="T16" s="1294" t="s">
        <v>40</v>
      </c>
      <c r="U16" s="1294" t="s">
        <v>41</v>
      </c>
      <c r="V16" s="1294" t="s">
        <v>42</v>
      </c>
      <c r="W16" s="1294" t="s">
        <v>43</v>
      </c>
      <c r="X16" s="1294" t="s">
        <v>44</v>
      </c>
      <c r="Y16" s="1294" t="s">
        <v>45</v>
      </c>
      <c r="Z16" s="1294" t="s">
        <v>46</v>
      </c>
      <c r="AA16" s="2916"/>
      <c r="AB16" s="35"/>
      <c r="AC16" s="183"/>
      <c r="AD16" s="34"/>
      <c r="AE16" s="34"/>
      <c r="AF16" s="34"/>
      <c r="AG16" s="34"/>
      <c r="AH16" s="34"/>
    </row>
    <row r="17" spans="1:34" x14ac:dyDescent="0.25">
      <c r="A17" s="532"/>
      <c r="B17" s="4270">
        <v>5004460</v>
      </c>
      <c r="C17" s="3603" t="s">
        <v>2504</v>
      </c>
      <c r="D17" s="4090" t="s">
        <v>1347</v>
      </c>
      <c r="E17" s="4090" t="s">
        <v>1183</v>
      </c>
      <c r="F17" s="4090" t="s">
        <v>1184</v>
      </c>
      <c r="G17" s="4090" t="s">
        <v>1185</v>
      </c>
      <c r="H17" s="4096"/>
      <c r="I17" s="4090" t="s">
        <v>2503</v>
      </c>
      <c r="J17" s="4090">
        <v>100</v>
      </c>
      <c r="K17" s="4115">
        <f>SUM(K19:K36)</f>
        <v>374724.39999999997</v>
      </c>
      <c r="L17" s="4096" t="s">
        <v>1186</v>
      </c>
      <c r="M17" s="4110" t="s">
        <v>1344</v>
      </c>
      <c r="N17" s="4111"/>
      <c r="O17" s="1313">
        <v>100</v>
      </c>
      <c r="P17" s="1313">
        <v>100</v>
      </c>
      <c r="Q17" s="1313">
        <v>100</v>
      </c>
      <c r="R17" s="1313">
        <v>100</v>
      </c>
      <c r="S17" s="1313">
        <v>100</v>
      </c>
      <c r="T17" s="1313">
        <v>100</v>
      </c>
      <c r="U17" s="1313">
        <v>100</v>
      </c>
      <c r="V17" s="1313">
        <v>100</v>
      </c>
      <c r="W17" s="1313">
        <v>100</v>
      </c>
      <c r="X17" s="1313">
        <v>100</v>
      </c>
      <c r="Y17" s="1313">
        <v>100</v>
      </c>
      <c r="Z17" s="1313">
        <v>100</v>
      </c>
      <c r="AA17" s="1492">
        <f t="shared" ref="AA17" si="0">SUM(O17:Z17)</f>
        <v>1200</v>
      </c>
      <c r="AB17" s="35"/>
      <c r="AC17" s="183"/>
      <c r="AD17" s="34"/>
      <c r="AE17" s="34"/>
      <c r="AF17" s="34"/>
      <c r="AG17" s="34"/>
      <c r="AH17" s="34"/>
    </row>
    <row r="18" spans="1:34" ht="45.75" customHeight="1" x14ac:dyDescent="0.25">
      <c r="A18" s="532"/>
      <c r="B18" s="4271"/>
      <c r="C18" s="3605"/>
      <c r="D18" s="4091"/>
      <c r="E18" s="4091"/>
      <c r="F18" s="4091"/>
      <c r="G18" s="4091"/>
      <c r="H18" s="4097"/>
      <c r="I18" s="4091"/>
      <c r="J18" s="4091"/>
      <c r="K18" s="4116"/>
      <c r="L18" s="4097"/>
      <c r="M18" s="4112" t="s">
        <v>111</v>
      </c>
      <c r="N18" s="4113"/>
      <c r="O18" s="1493">
        <f t="shared" ref="O18:Z18" si="1">SUM(O19:O36)</f>
        <v>32614.370000000003</v>
      </c>
      <c r="P18" s="1493">
        <f t="shared" si="1"/>
        <v>45629.93</v>
      </c>
      <c r="Q18" s="1493">
        <f t="shared" si="1"/>
        <v>31614.370000000003</v>
      </c>
      <c r="R18" s="1493">
        <f t="shared" si="1"/>
        <v>31614.370000000003</v>
      </c>
      <c r="S18" s="1493">
        <f t="shared" si="1"/>
        <v>31614.370000000003</v>
      </c>
      <c r="T18" s="1493">
        <f t="shared" si="1"/>
        <v>31282.370000000003</v>
      </c>
      <c r="U18" s="1493">
        <f t="shared" si="1"/>
        <v>30192.370000000003</v>
      </c>
      <c r="V18" s="1493">
        <f t="shared" si="1"/>
        <v>27492.370000000003</v>
      </c>
      <c r="W18" s="1493">
        <f t="shared" si="1"/>
        <v>27492.370000000003</v>
      </c>
      <c r="X18" s="1493">
        <f t="shared" si="1"/>
        <v>27492.370000000003</v>
      </c>
      <c r="Y18" s="1493">
        <f t="shared" si="1"/>
        <v>27492.370000000003</v>
      </c>
      <c r="Z18" s="1493">
        <f t="shared" si="1"/>
        <v>30192.370000000003</v>
      </c>
      <c r="AA18" s="974">
        <f>SUM(O18:Z18)</f>
        <v>374724</v>
      </c>
      <c r="AB18" s="35"/>
      <c r="AC18" s="183"/>
      <c r="AD18" s="34"/>
      <c r="AE18" s="34"/>
      <c r="AF18" s="34"/>
      <c r="AG18" s="34"/>
      <c r="AH18" s="34"/>
    </row>
    <row r="19" spans="1:34" x14ac:dyDescent="0.25">
      <c r="A19" s="532"/>
      <c r="B19" s="4093" t="s">
        <v>1187</v>
      </c>
      <c r="C19" s="4094" t="s">
        <v>1188</v>
      </c>
      <c r="D19" s="3573"/>
      <c r="E19" s="2421">
        <v>17</v>
      </c>
      <c r="F19" s="2421">
        <v>54</v>
      </c>
      <c r="G19" s="2421">
        <v>119</v>
      </c>
      <c r="H19" s="2421" t="s">
        <v>1343</v>
      </c>
      <c r="I19" s="2421" t="s">
        <v>1189</v>
      </c>
      <c r="J19" s="2421">
        <v>4</v>
      </c>
      <c r="K19" s="4089">
        <v>202533.36</v>
      </c>
      <c r="L19" s="3600" t="s">
        <v>1345</v>
      </c>
      <c r="M19" s="1315" t="s">
        <v>208</v>
      </c>
      <c r="N19" s="1319" t="s">
        <v>1190</v>
      </c>
      <c r="O19" s="386">
        <v>14141</v>
      </c>
      <c r="P19" s="386">
        <v>14141</v>
      </c>
      <c r="Q19" s="386">
        <v>14141</v>
      </c>
      <c r="R19" s="386">
        <v>14141</v>
      </c>
      <c r="S19" s="386">
        <v>14141</v>
      </c>
      <c r="T19" s="386">
        <v>14141</v>
      </c>
      <c r="U19" s="386">
        <v>14141</v>
      </c>
      <c r="V19" s="386">
        <v>14141</v>
      </c>
      <c r="W19" s="386">
        <v>14141</v>
      </c>
      <c r="X19" s="386">
        <v>14141</v>
      </c>
      <c r="Y19" s="386">
        <v>14141</v>
      </c>
      <c r="Z19" s="386">
        <v>14141</v>
      </c>
      <c r="AA19" s="1492">
        <f>SUM(O19:Z19)</f>
        <v>169692</v>
      </c>
      <c r="AB19" s="35"/>
      <c r="AC19" s="183"/>
      <c r="AD19" s="34"/>
      <c r="AE19" s="34"/>
      <c r="AF19" s="34"/>
      <c r="AG19" s="34"/>
      <c r="AH19" s="34"/>
    </row>
    <row r="20" spans="1:34" x14ac:dyDescent="0.25">
      <c r="A20" s="532"/>
      <c r="B20" s="4093"/>
      <c r="C20" s="4094"/>
      <c r="D20" s="3573"/>
      <c r="E20" s="2421"/>
      <c r="F20" s="2421"/>
      <c r="G20" s="2421"/>
      <c r="H20" s="2421"/>
      <c r="I20" s="2421"/>
      <c r="J20" s="2421"/>
      <c r="K20" s="4089"/>
      <c r="L20" s="3600"/>
      <c r="M20" s="1315" t="s">
        <v>210</v>
      </c>
      <c r="N20" s="1317" t="s">
        <v>1191</v>
      </c>
      <c r="O20" s="387">
        <v>519.65000000000009</v>
      </c>
      <c r="P20" s="387">
        <v>519.65000000000009</v>
      </c>
      <c r="Q20" s="387">
        <v>519.65000000000009</v>
      </c>
      <c r="R20" s="387">
        <v>519.65000000000009</v>
      </c>
      <c r="S20" s="387">
        <v>519.65000000000009</v>
      </c>
      <c r="T20" s="387">
        <v>519.65000000000009</v>
      </c>
      <c r="U20" s="387">
        <v>519.65000000000009</v>
      </c>
      <c r="V20" s="387">
        <v>519.65000000000009</v>
      </c>
      <c r="W20" s="387">
        <v>519.65000000000009</v>
      </c>
      <c r="X20" s="387">
        <v>519.65000000000009</v>
      </c>
      <c r="Y20" s="387">
        <v>519.65000000000009</v>
      </c>
      <c r="Z20" s="387">
        <v>519.65000000000009</v>
      </c>
      <c r="AA20" s="1492">
        <f t="shared" ref="AA20:AA25" si="2">SUM(O20:Z20)</f>
        <v>6235.7999999999993</v>
      </c>
      <c r="AB20" s="35"/>
      <c r="AC20" s="183"/>
      <c r="AD20" s="34"/>
      <c r="AE20" s="34"/>
      <c r="AF20" s="34"/>
      <c r="AG20" s="34"/>
      <c r="AH20" s="34"/>
    </row>
    <row r="21" spans="1:34" x14ac:dyDescent="0.25">
      <c r="A21" s="532"/>
      <c r="B21" s="4093"/>
      <c r="C21" s="4094"/>
      <c r="D21" s="3573"/>
      <c r="E21" s="2421"/>
      <c r="F21" s="2421"/>
      <c r="G21" s="2421"/>
      <c r="H21" s="2421"/>
      <c r="I21" s="2421"/>
      <c r="J21" s="2421"/>
      <c r="K21" s="4089"/>
      <c r="L21" s="3600"/>
      <c r="M21" s="1315" t="s">
        <v>172</v>
      </c>
      <c r="N21" s="1317" t="s">
        <v>173</v>
      </c>
      <c r="O21" s="387"/>
      <c r="P21" s="387"/>
      <c r="Q21" s="387"/>
      <c r="R21" s="387"/>
      <c r="S21" s="387"/>
      <c r="T21" s="387"/>
      <c r="U21" s="387">
        <v>1500</v>
      </c>
      <c r="V21" s="387"/>
      <c r="W21" s="387"/>
      <c r="X21" s="387"/>
      <c r="Y21" s="387"/>
      <c r="Z21" s="387">
        <v>1500</v>
      </c>
      <c r="AA21" s="1492">
        <f t="shared" si="2"/>
        <v>3000</v>
      </c>
      <c r="AB21" s="35"/>
      <c r="AC21" s="183"/>
      <c r="AD21" s="34"/>
      <c r="AE21" s="34"/>
      <c r="AF21" s="34"/>
      <c r="AG21" s="34"/>
      <c r="AH21" s="34"/>
    </row>
    <row r="22" spans="1:34" ht="21.75" customHeight="1" x14ac:dyDescent="0.25">
      <c r="A22" s="532"/>
      <c r="B22" s="4093"/>
      <c r="C22" s="4094"/>
      <c r="D22" s="3573"/>
      <c r="E22" s="2421"/>
      <c r="F22" s="2421"/>
      <c r="G22" s="2421"/>
      <c r="H22" s="2421"/>
      <c r="I22" s="2421"/>
      <c r="J22" s="2421"/>
      <c r="K22" s="4089"/>
      <c r="L22" s="3600"/>
      <c r="M22" s="969" t="s">
        <v>184</v>
      </c>
      <c r="N22" s="388" t="s">
        <v>1192</v>
      </c>
      <c r="O22" s="387"/>
      <c r="P22" s="387">
        <v>6015.56</v>
      </c>
      <c r="Q22" s="387"/>
      <c r="R22" s="387"/>
      <c r="S22" s="387"/>
      <c r="T22" s="387"/>
      <c r="U22" s="387"/>
      <c r="V22" s="387"/>
      <c r="W22" s="387"/>
      <c r="X22" s="387"/>
      <c r="Y22" s="387"/>
      <c r="Z22" s="387"/>
      <c r="AA22" s="1492">
        <f t="shared" si="2"/>
        <v>6015.56</v>
      </c>
      <c r="AB22" s="35"/>
      <c r="AC22" s="183"/>
      <c r="AD22" s="34"/>
      <c r="AE22" s="34"/>
      <c r="AF22" s="34"/>
      <c r="AG22" s="34"/>
      <c r="AH22" s="34"/>
    </row>
    <row r="23" spans="1:34" x14ac:dyDescent="0.25">
      <c r="A23" s="532"/>
      <c r="B23" s="4093"/>
      <c r="C23" s="4094"/>
      <c r="D23" s="3573"/>
      <c r="E23" s="2421"/>
      <c r="F23" s="2421"/>
      <c r="G23" s="2421"/>
      <c r="H23" s="2421" t="s">
        <v>1193</v>
      </c>
      <c r="I23" s="2421" t="s">
        <v>1194</v>
      </c>
      <c r="J23" s="2421">
        <v>0.5</v>
      </c>
      <c r="K23" s="4089"/>
      <c r="L23" s="3600"/>
      <c r="M23" s="1531"/>
      <c r="N23" s="1317" t="s">
        <v>1195</v>
      </c>
      <c r="O23" s="387"/>
      <c r="P23" s="387">
        <v>8000</v>
      </c>
      <c r="Q23" s="387"/>
      <c r="R23" s="387"/>
      <c r="S23" s="387"/>
      <c r="T23" s="387"/>
      <c r="U23" s="387"/>
      <c r="V23" s="387"/>
      <c r="W23" s="387"/>
      <c r="X23" s="387"/>
      <c r="Y23" s="387"/>
      <c r="Z23" s="387"/>
      <c r="AA23" s="1492">
        <f t="shared" si="2"/>
        <v>8000</v>
      </c>
      <c r="AB23" s="35"/>
      <c r="AC23" s="183"/>
      <c r="AD23" s="34"/>
      <c r="AE23" s="34"/>
      <c r="AF23" s="34"/>
      <c r="AG23" s="34"/>
      <c r="AH23" s="34"/>
    </row>
    <row r="24" spans="1:34" x14ac:dyDescent="0.25">
      <c r="A24" s="532"/>
      <c r="B24" s="4093"/>
      <c r="C24" s="4094"/>
      <c r="D24" s="3573"/>
      <c r="E24" s="2421"/>
      <c r="F24" s="2421"/>
      <c r="G24" s="2421"/>
      <c r="H24" s="2421"/>
      <c r="I24" s="2421"/>
      <c r="J24" s="2421"/>
      <c r="K24" s="4089"/>
      <c r="L24" s="3600"/>
      <c r="M24" s="1531" t="s">
        <v>541</v>
      </c>
      <c r="N24" s="388" t="s">
        <v>1196</v>
      </c>
      <c r="O24" s="387">
        <v>560</v>
      </c>
      <c r="P24" s="387">
        <v>560</v>
      </c>
      <c r="Q24" s="387">
        <v>560</v>
      </c>
      <c r="R24" s="387">
        <v>560</v>
      </c>
      <c r="S24" s="387">
        <v>560</v>
      </c>
      <c r="T24" s="387">
        <v>560</v>
      </c>
      <c r="U24" s="390"/>
      <c r="V24" s="390"/>
      <c r="W24" s="390"/>
      <c r="X24" s="390"/>
      <c r="Y24" s="390"/>
      <c r="Z24" s="390"/>
      <c r="AA24" s="1492">
        <f t="shared" si="2"/>
        <v>3360</v>
      </c>
      <c r="AB24" s="35"/>
      <c r="AC24" s="183"/>
      <c r="AD24" s="34"/>
      <c r="AE24" s="34"/>
      <c r="AF24" s="34"/>
      <c r="AG24" s="34"/>
      <c r="AH24" s="34"/>
    </row>
    <row r="25" spans="1:34" x14ac:dyDescent="0.25">
      <c r="A25" s="532"/>
      <c r="B25" s="4093"/>
      <c r="C25" s="4094"/>
      <c r="D25" s="3573"/>
      <c r="E25" s="2421"/>
      <c r="F25" s="2421"/>
      <c r="G25" s="2421"/>
      <c r="H25" s="2421"/>
      <c r="I25" s="2421"/>
      <c r="J25" s="2421"/>
      <c r="K25" s="4089"/>
      <c r="L25" s="3600"/>
      <c r="M25" s="1531" t="s">
        <v>194</v>
      </c>
      <c r="N25" s="388" t="s">
        <v>1197</v>
      </c>
      <c r="O25" s="387">
        <v>1066</v>
      </c>
      <c r="P25" s="387">
        <v>1066</v>
      </c>
      <c r="Q25" s="387">
        <v>1066</v>
      </c>
      <c r="R25" s="387">
        <v>1066</v>
      </c>
      <c r="S25" s="387">
        <v>1066</v>
      </c>
      <c r="T25" s="387">
        <v>900</v>
      </c>
      <c r="U25" s="390"/>
      <c r="V25" s="390"/>
      <c r="W25" s="390"/>
      <c r="X25" s="390"/>
      <c r="Y25" s="390"/>
      <c r="Z25" s="390"/>
      <c r="AA25" s="1492">
        <f t="shared" si="2"/>
        <v>6230</v>
      </c>
      <c r="AB25" s="35"/>
      <c r="AC25" s="183"/>
      <c r="AD25" s="34"/>
      <c r="AE25" s="34"/>
      <c r="AF25" s="34"/>
      <c r="AG25" s="34"/>
      <c r="AH25" s="34"/>
    </row>
    <row r="26" spans="1:34" x14ac:dyDescent="0.25">
      <c r="A26" s="532"/>
      <c r="B26" s="4092" t="s">
        <v>1198</v>
      </c>
      <c r="C26" s="3700" t="s">
        <v>1199</v>
      </c>
      <c r="D26" s="3573"/>
      <c r="E26" s="2421">
        <v>17</v>
      </c>
      <c r="F26" s="2421">
        <v>54</v>
      </c>
      <c r="G26" s="2421">
        <v>119</v>
      </c>
      <c r="H26" s="2421" t="s">
        <v>1200</v>
      </c>
      <c r="I26" s="2421" t="s">
        <v>1073</v>
      </c>
      <c r="J26" s="3483">
        <v>2</v>
      </c>
      <c r="K26" s="4098">
        <v>130035.48</v>
      </c>
      <c r="L26" s="2421" t="s">
        <v>1346</v>
      </c>
      <c r="M26" s="1315" t="s">
        <v>208</v>
      </c>
      <c r="N26" s="1319" t="s">
        <v>1190</v>
      </c>
      <c r="O26" s="387">
        <v>9312</v>
      </c>
      <c r="P26" s="387">
        <v>9312</v>
      </c>
      <c r="Q26" s="387">
        <v>9312</v>
      </c>
      <c r="R26" s="387">
        <v>9312</v>
      </c>
      <c r="S26" s="387">
        <v>9312</v>
      </c>
      <c r="T26" s="387">
        <v>9312</v>
      </c>
      <c r="U26" s="387">
        <v>9312</v>
      </c>
      <c r="V26" s="387">
        <v>9312</v>
      </c>
      <c r="W26" s="387">
        <v>9312</v>
      </c>
      <c r="X26" s="387">
        <v>9312</v>
      </c>
      <c r="Y26" s="387">
        <v>9312</v>
      </c>
      <c r="Z26" s="387">
        <v>9312</v>
      </c>
      <c r="AA26" s="1492">
        <f>SUM(O26:Z26)</f>
        <v>111744</v>
      </c>
      <c r="AB26" s="35"/>
      <c r="AC26" s="183"/>
      <c r="AD26" s="34"/>
      <c r="AE26" s="34"/>
      <c r="AF26" s="34"/>
      <c r="AG26" s="34"/>
      <c r="AH26" s="34"/>
    </row>
    <row r="27" spans="1:34" x14ac:dyDescent="0.25">
      <c r="A27" s="532"/>
      <c r="B27" s="4092"/>
      <c r="C27" s="4095"/>
      <c r="D27" s="3573"/>
      <c r="E27" s="2421"/>
      <c r="F27" s="2421"/>
      <c r="G27" s="2421"/>
      <c r="H27" s="2421"/>
      <c r="I27" s="2421"/>
      <c r="J27" s="3483"/>
      <c r="K27" s="4098"/>
      <c r="L27" s="2421"/>
      <c r="M27" s="1315" t="s">
        <v>210</v>
      </c>
      <c r="N27" s="1317" t="s">
        <v>1191</v>
      </c>
      <c r="O27" s="387">
        <v>311.79000000000002</v>
      </c>
      <c r="P27" s="387">
        <v>311.79000000000002</v>
      </c>
      <c r="Q27" s="387">
        <v>311.79000000000002</v>
      </c>
      <c r="R27" s="387">
        <v>311.79000000000002</v>
      </c>
      <c r="S27" s="387">
        <v>311.79000000000002</v>
      </c>
      <c r="T27" s="387">
        <v>311.79000000000002</v>
      </c>
      <c r="U27" s="387">
        <v>311.79000000000002</v>
      </c>
      <c r="V27" s="387">
        <v>311.79000000000002</v>
      </c>
      <c r="W27" s="387">
        <v>311.79000000000002</v>
      </c>
      <c r="X27" s="387">
        <v>311.79000000000002</v>
      </c>
      <c r="Y27" s="387">
        <v>311.79000000000002</v>
      </c>
      <c r="Z27" s="387">
        <v>311.79000000000002</v>
      </c>
      <c r="AA27" s="1492">
        <f t="shared" ref="AA27:AA31" si="3">SUM(O27:Z27)</f>
        <v>3741.48</v>
      </c>
      <c r="AB27" s="35"/>
      <c r="AC27" s="183"/>
      <c r="AD27" s="34"/>
      <c r="AE27" s="34"/>
      <c r="AF27" s="34"/>
      <c r="AG27" s="34"/>
      <c r="AH27" s="34"/>
    </row>
    <row r="28" spans="1:34" x14ac:dyDescent="0.25">
      <c r="A28" s="532"/>
      <c r="B28" s="4092"/>
      <c r="C28" s="4095"/>
      <c r="D28" s="3573"/>
      <c r="E28" s="2421"/>
      <c r="F28" s="2421"/>
      <c r="G28" s="2421"/>
      <c r="H28" s="2421" t="s">
        <v>1201</v>
      </c>
      <c r="I28" s="3483" t="s">
        <v>1202</v>
      </c>
      <c r="J28" s="3483">
        <v>2</v>
      </c>
      <c r="K28" s="4098"/>
      <c r="L28" s="2421"/>
      <c r="M28" s="1315" t="s">
        <v>172</v>
      </c>
      <c r="N28" s="1317" t="s">
        <v>173</v>
      </c>
      <c r="O28" s="387"/>
      <c r="P28" s="387"/>
      <c r="Q28" s="387"/>
      <c r="R28" s="387"/>
      <c r="S28" s="387"/>
      <c r="T28" s="387"/>
      <c r="U28" s="387">
        <v>900</v>
      </c>
      <c r="V28" s="387"/>
      <c r="W28" s="387"/>
      <c r="X28" s="387"/>
      <c r="Y28" s="387"/>
      <c r="Z28" s="387">
        <v>900</v>
      </c>
      <c r="AA28" s="1492">
        <f t="shared" si="3"/>
        <v>1800</v>
      </c>
      <c r="AB28" s="35"/>
      <c r="AC28" s="183"/>
      <c r="AD28" s="34"/>
      <c r="AE28" s="34"/>
      <c r="AF28" s="34"/>
      <c r="AG28" s="34"/>
      <c r="AH28" s="34"/>
    </row>
    <row r="29" spans="1:34" x14ac:dyDescent="0.25">
      <c r="A29" s="532"/>
      <c r="B29" s="4092"/>
      <c r="C29" s="4095"/>
      <c r="D29" s="3573"/>
      <c r="E29" s="2421"/>
      <c r="F29" s="2421"/>
      <c r="G29" s="2421"/>
      <c r="H29" s="2421"/>
      <c r="I29" s="3483"/>
      <c r="J29" s="3483"/>
      <c r="K29" s="4098"/>
      <c r="L29" s="2421"/>
      <c r="M29" s="969" t="s">
        <v>180</v>
      </c>
      <c r="N29" s="388" t="s">
        <v>1203</v>
      </c>
      <c r="O29" s="387">
        <v>1000</v>
      </c>
      <c r="P29" s="387"/>
      <c r="Q29" s="390"/>
      <c r="R29" s="390"/>
      <c r="S29" s="390"/>
      <c r="T29" s="390"/>
      <c r="U29" s="390"/>
      <c r="V29" s="390"/>
      <c r="W29" s="390"/>
      <c r="X29" s="390"/>
      <c r="Y29" s="390"/>
      <c r="Z29" s="390"/>
      <c r="AA29" s="1492">
        <f t="shared" si="3"/>
        <v>1000</v>
      </c>
      <c r="AB29" s="35"/>
      <c r="AC29" s="183"/>
      <c r="AD29" s="34"/>
      <c r="AE29" s="34"/>
      <c r="AF29" s="34"/>
      <c r="AG29" s="34"/>
      <c r="AH29" s="34"/>
    </row>
    <row r="30" spans="1:34" x14ac:dyDescent="0.25">
      <c r="A30" s="532"/>
      <c r="B30" s="4092"/>
      <c r="C30" s="4095"/>
      <c r="D30" s="3573"/>
      <c r="E30" s="2421"/>
      <c r="F30" s="2421"/>
      <c r="G30" s="2421"/>
      <c r="H30" s="2421" t="s">
        <v>1204</v>
      </c>
      <c r="I30" s="3483" t="s">
        <v>1205</v>
      </c>
      <c r="J30" s="3483">
        <v>50</v>
      </c>
      <c r="K30" s="4098"/>
      <c r="L30" s="2421"/>
      <c r="M30" s="1531" t="s">
        <v>541</v>
      </c>
      <c r="N30" s="388" t="s">
        <v>1196</v>
      </c>
      <c r="O30" s="387">
        <v>560</v>
      </c>
      <c r="P30" s="387">
        <v>560</v>
      </c>
      <c r="Q30" s="387">
        <v>560</v>
      </c>
      <c r="R30" s="387">
        <v>560</v>
      </c>
      <c r="S30" s="387">
        <v>560</v>
      </c>
      <c r="T30" s="387">
        <v>560</v>
      </c>
      <c r="U30" s="390"/>
      <c r="V30" s="390"/>
      <c r="W30" s="390"/>
      <c r="X30" s="390"/>
      <c r="Y30" s="390"/>
      <c r="Z30" s="390"/>
      <c r="AA30" s="1492">
        <f t="shared" si="3"/>
        <v>3360</v>
      </c>
      <c r="AB30" s="35"/>
      <c r="AC30" s="183"/>
      <c r="AD30" s="34"/>
      <c r="AE30" s="34"/>
      <c r="AF30" s="34"/>
      <c r="AG30" s="34"/>
      <c r="AH30" s="34"/>
    </row>
    <row r="31" spans="1:34" ht="19.5" customHeight="1" x14ac:dyDescent="0.25">
      <c r="A31" s="532"/>
      <c r="B31" s="4092"/>
      <c r="C31" s="3701"/>
      <c r="D31" s="3573"/>
      <c r="E31" s="2421"/>
      <c r="F31" s="2421"/>
      <c r="G31" s="2421"/>
      <c r="H31" s="2421"/>
      <c r="I31" s="3483"/>
      <c r="J31" s="3483"/>
      <c r="K31" s="4098"/>
      <c r="L31" s="2421"/>
      <c r="M31" s="1531" t="s">
        <v>194</v>
      </c>
      <c r="N31" s="388" t="s">
        <v>1197</v>
      </c>
      <c r="O31" s="387">
        <v>1426</v>
      </c>
      <c r="P31" s="387">
        <v>1426</v>
      </c>
      <c r="Q31" s="387">
        <v>1426</v>
      </c>
      <c r="R31" s="387">
        <v>1426</v>
      </c>
      <c r="S31" s="387">
        <v>1426</v>
      </c>
      <c r="T31" s="387">
        <v>1260</v>
      </c>
      <c r="U31" s="390"/>
      <c r="V31" s="390"/>
      <c r="W31" s="390"/>
      <c r="X31" s="390"/>
      <c r="Y31" s="390"/>
      <c r="Z31" s="390"/>
      <c r="AA31" s="1492">
        <f t="shared" si="3"/>
        <v>8390</v>
      </c>
      <c r="AB31" s="35"/>
      <c r="AC31" s="183"/>
      <c r="AD31" s="34"/>
      <c r="AE31" s="34"/>
      <c r="AF31" s="34"/>
      <c r="AG31" s="34"/>
      <c r="AH31" s="34"/>
    </row>
    <row r="32" spans="1:34" x14ac:dyDescent="0.25">
      <c r="A32" s="532"/>
      <c r="B32" s="4092" t="s">
        <v>1206</v>
      </c>
      <c r="C32" s="3208" t="s">
        <v>1207</v>
      </c>
      <c r="D32" s="3573"/>
      <c r="E32" s="2421">
        <v>17</v>
      </c>
      <c r="F32" s="2421">
        <v>54</v>
      </c>
      <c r="G32" s="2421">
        <v>119</v>
      </c>
      <c r="H32" s="2421" t="s">
        <v>1208</v>
      </c>
      <c r="I32" s="3558" t="s">
        <v>1209</v>
      </c>
      <c r="J32" s="3558">
        <v>12</v>
      </c>
      <c r="K32" s="4098">
        <v>42155.56</v>
      </c>
      <c r="L32" s="2421" t="s">
        <v>1210</v>
      </c>
      <c r="M32" s="1315" t="s">
        <v>208</v>
      </c>
      <c r="N32" s="1319" t="s">
        <v>1190</v>
      </c>
      <c r="O32" s="387">
        <v>3104</v>
      </c>
      <c r="P32" s="387">
        <v>3104</v>
      </c>
      <c r="Q32" s="387">
        <v>3104</v>
      </c>
      <c r="R32" s="387">
        <v>3104</v>
      </c>
      <c r="S32" s="387">
        <v>3104</v>
      </c>
      <c r="T32" s="387">
        <v>3104</v>
      </c>
      <c r="U32" s="387">
        <v>3104</v>
      </c>
      <c r="V32" s="387">
        <v>3104</v>
      </c>
      <c r="W32" s="387">
        <v>3104</v>
      </c>
      <c r="X32" s="387">
        <v>3104</v>
      </c>
      <c r="Y32" s="387">
        <v>3104</v>
      </c>
      <c r="Z32" s="387">
        <v>3104</v>
      </c>
      <c r="AA32" s="1492">
        <f>SUM(O32:Z32)</f>
        <v>37248</v>
      </c>
      <c r="AB32" s="35"/>
      <c r="AC32" s="183"/>
      <c r="AD32" s="34"/>
      <c r="AE32" s="34"/>
      <c r="AF32" s="34"/>
      <c r="AG32" s="34"/>
      <c r="AH32" s="34"/>
    </row>
    <row r="33" spans="1:34" x14ac:dyDescent="0.25">
      <c r="A33" s="532"/>
      <c r="B33" s="4092"/>
      <c r="C33" s="3208"/>
      <c r="D33" s="3573"/>
      <c r="E33" s="2421"/>
      <c r="F33" s="2421"/>
      <c r="G33" s="2421"/>
      <c r="H33" s="2421"/>
      <c r="I33" s="3558"/>
      <c r="J33" s="3558"/>
      <c r="K33" s="4098"/>
      <c r="L33" s="2421"/>
      <c r="M33" s="1315" t="s">
        <v>210</v>
      </c>
      <c r="N33" s="1317" t="s">
        <v>1191</v>
      </c>
      <c r="O33" s="387">
        <v>103.93</v>
      </c>
      <c r="P33" s="387">
        <v>103.93</v>
      </c>
      <c r="Q33" s="387">
        <v>103.93</v>
      </c>
      <c r="R33" s="387">
        <v>103.93</v>
      </c>
      <c r="S33" s="387">
        <v>103.93</v>
      </c>
      <c r="T33" s="387">
        <v>103.93</v>
      </c>
      <c r="U33" s="387">
        <v>103.93</v>
      </c>
      <c r="V33" s="387">
        <v>103.93</v>
      </c>
      <c r="W33" s="387">
        <v>103.93</v>
      </c>
      <c r="X33" s="387">
        <v>103.93</v>
      </c>
      <c r="Y33" s="387">
        <v>103.93</v>
      </c>
      <c r="Z33" s="387">
        <v>103.93</v>
      </c>
      <c r="AA33" s="1492">
        <f t="shared" ref="AA33:AA36" si="4">SUM(O33:Z33)</f>
        <v>1247.1600000000005</v>
      </c>
      <c r="AB33" s="35"/>
      <c r="AC33" s="183"/>
      <c r="AD33" s="34"/>
      <c r="AE33" s="34"/>
      <c r="AF33" s="34"/>
      <c r="AG33" s="34"/>
      <c r="AH33" s="34"/>
    </row>
    <row r="34" spans="1:34" ht="22.5" customHeight="1" x14ac:dyDescent="0.25">
      <c r="A34" s="532"/>
      <c r="B34" s="4092"/>
      <c r="C34" s="3208"/>
      <c r="D34" s="3573"/>
      <c r="E34" s="2421"/>
      <c r="F34" s="2421"/>
      <c r="G34" s="2421"/>
      <c r="H34" s="2421"/>
      <c r="I34" s="3558"/>
      <c r="J34" s="3558"/>
      <c r="K34" s="4098"/>
      <c r="L34" s="2421"/>
      <c r="M34" s="1315" t="s">
        <v>172</v>
      </c>
      <c r="N34" s="1317" t="s">
        <v>173</v>
      </c>
      <c r="O34" s="387"/>
      <c r="P34" s="387"/>
      <c r="Q34" s="387"/>
      <c r="R34" s="387"/>
      <c r="S34" s="387"/>
      <c r="T34" s="387"/>
      <c r="U34" s="387">
        <v>300</v>
      </c>
      <c r="V34" s="387"/>
      <c r="W34" s="387"/>
      <c r="X34" s="387"/>
      <c r="Y34" s="387"/>
      <c r="Z34" s="387">
        <v>300</v>
      </c>
      <c r="AA34" s="1492">
        <f t="shared" si="4"/>
        <v>600</v>
      </c>
      <c r="AB34" s="35"/>
      <c r="AC34" s="183"/>
      <c r="AD34" s="34"/>
      <c r="AE34" s="34"/>
      <c r="AF34" s="34"/>
      <c r="AG34" s="34"/>
      <c r="AH34" s="34"/>
    </row>
    <row r="35" spans="1:34" x14ac:dyDescent="0.25">
      <c r="A35" s="532"/>
      <c r="B35" s="4092"/>
      <c r="C35" s="3208"/>
      <c r="D35" s="3573"/>
      <c r="E35" s="2421">
        <v>17</v>
      </c>
      <c r="F35" s="2421">
        <v>54</v>
      </c>
      <c r="G35" s="2421">
        <v>119</v>
      </c>
      <c r="H35" s="2421" t="s">
        <v>1211</v>
      </c>
      <c r="I35" s="3558" t="s">
        <v>1212</v>
      </c>
      <c r="J35" s="3558">
        <v>0.5</v>
      </c>
      <c r="K35" s="4098"/>
      <c r="L35" s="2421"/>
      <c r="M35" s="1531" t="s">
        <v>541</v>
      </c>
      <c r="N35" s="388" t="s">
        <v>1196</v>
      </c>
      <c r="O35" s="387">
        <v>150</v>
      </c>
      <c r="P35" s="387">
        <v>150</v>
      </c>
      <c r="Q35" s="387">
        <v>150</v>
      </c>
      <c r="R35" s="387">
        <v>150</v>
      </c>
      <c r="S35" s="387">
        <v>150</v>
      </c>
      <c r="T35" s="387">
        <v>150</v>
      </c>
      <c r="U35" s="387"/>
      <c r="V35" s="390"/>
      <c r="W35" s="390"/>
      <c r="X35" s="390"/>
      <c r="Y35" s="390"/>
      <c r="Z35" s="390"/>
      <c r="AA35" s="1492">
        <f t="shared" si="4"/>
        <v>900</v>
      </c>
      <c r="AB35" s="35"/>
      <c r="AC35" s="183"/>
      <c r="AD35" s="34"/>
      <c r="AE35" s="34"/>
      <c r="AF35" s="34"/>
      <c r="AG35" s="34"/>
      <c r="AH35" s="34"/>
    </row>
    <row r="36" spans="1:34" x14ac:dyDescent="0.25">
      <c r="A36" s="18"/>
      <c r="B36" s="4092"/>
      <c r="C36" s="3208"/>
      <c r="D36" s="3573"/>
      <c r="E36" s="2421"/>
      <c r="F36" s="2421"/>
      <c r="G36" s="2421"/>
      <c r="H36" s="2421"/>
      <c r="I36" s="3558"/>
      <c r="J36" s="3558"/>
      <c r="K36" s="4098"/>
      <c r="L36" s="2421"/>
      <c r="M36" s="1531" t="s">
        <v>194</v>
      </c>
      <c r="N36" s="388" t="s">
        <v>1197</v>
      </c>
      <c r="O36" s="387">
        <v>360</v>
      </c>
      <c r="P36" s="387">
        <v>360</v>
      </c>
      <c r="Q36" s="387">
        <v>360</v>
      </c>
      <c r="R36" s="387">
        <v>360</v>
      </c>
      <c r="S36" s="387">
        <v>360</v>
      </c>
      <c r="T36" s="387">
        <v>360</v>
      </c>
      <c r="U36" s="387"/>
      <c r="V36" s="390"/>
      <c r="W36" s="390"/>
      <c r="X36" s="390"/>
      <c r="Y36" s="390"/>
      <c r="Z36" s="390"/>
      <c r="AA36" s="1492">
        <f t="shared" si="4"/>
        <v>2160</v>
      </c>
      <c r="AB36" s="35"/>
      <c r="AC36" s="183"/>
      <c r="AD36" s="34"/>
      <c r="AE36" s="34"/>
      <c r="AF36" s="34"/>
      <c r="AG36" s="34"/>
      <c r="AH36" s="34"/>
    </row>
    <row r="37" spans="1:34" ht="36" customHeight="1" x14ac:dyDescent="0.25">
      <c r="A37" s="179"/>
      <c r="B37" s="1288" t="s">
        <v>6</v>
      </c>
      <c r="C37" s="2840" t="s">
        <v>1373</v>
      </c>
      <c r="D37" s="2840"/>
      <c r="E37" s="2840"/>
      <c r="F37" s="2840"/>
      <c r="G37" s="2840"/>
      <c r="H37" s="2840"/>
      <c r="I37" s="2840"/>
      <c r="J37" s="2840"/>
      <c r="K37" s="2840"/>
      <c r="L37" s="2840"/>
      <c r="M37" s="2840"/>
      <c r="N37" s="2840"/>
      <c r="O37" s="2840"/>
      <c r="P37" s="2840"/>
      <c r="Q37" s="2840"/>
      <c r="R37" s="2840"/>
      <c r="S37" s="2840"/>
      <c r="T37" s="2840"/>
      <c r="U37" s="2840"/>
      <c r="V37" s="2840"/>
      <c r="W37" s="2840"/>
      <c r="X37" s="2840"/>
      <c r="Y37" s="2840"/>
      <c r="Z37" s="2840"/>
      <c r="AA37" s="2840"/>
      <c r="AB37" s="35"/>
      <c r="AC37" s="183"/>
      <c r="AD37" s="34"/>
      <c r="AE37" s="34"/>
      <c r="AF37" s="34"/>
      <c r="AG37" s="34"/>
      <c r="AH37" s="34"/>
    </row>
    <row r="38" spans="1:34" ht="24.75" customHeight="1" x14ac:dyDescent="0.25">
      <c r="A38" s="179"/>
      <c r="B38" s="2068" t="s">
        <v>8</v>
      </c>
      <c r="C38" s="3504" t="s">
        <v>1374</v>
      </c>
      <c r="D38" s="3505"/>
      <c r="E38" s="3505"/>
      <c r="F38" s="3505"/>
      <c r="G38" s="3505"/>
      <c r="H38" s="3505"/>
      <c r="I38" s="343"/>
      <c r="J38" s="343"/>
      <c r="K38" s="343"/>
      <c r="L38" s="343"/>
      <c r="M38" s="343"/>
      <c r="N38" s="343"/>
      <c r="O38" s="343"/>
      <c r="P38" s="343"/>
      <c r="Q38" s="343"/>
      <c r="R38" s="343"/>
      <c r="S38" s="343"/>
      <c r="T38" s="343"/>
      <c r="U38" s="343"/>
      <c r="V38" s="343"/>
      <c r="W38" s="343"/>
      <c r="X38" s="343"/>
      <c r="Y38" s="343"/>
      <c r="Z38" s="343"/>
      <c r="AA38" s="391"/>
      <c r="AB38" s="35"/>
      <c r="AC38" s="183"/>
      <c r="AD38" s="34"/>
      <c r="AE38" s="34"/>
      <c r="AF38" s="34"/>
      <c r="AG38" s="34"/>
      <c r="AH38" s="34"/>
    </row>
    <row r="39" spans="1:34" ht="21.75" customHeight="1" x14ac:dyDescent="0.25">
      <c r="A39" s="179"/>
      <c r="B39" s="1288" t="s">
        <v>11</v>
      </c>
      <c r="C39" s="3045" t="s">
        <v>84</v>
      </c>
      <c r="D39" s="3046"/>
      <c r="E39" s="3046"/>
      <c r="F39" s="3046"/>
      <c r="G39" s="3046"/>
      <c r="H39" s="3046"/>
      <c r="I39" s="3046"/>
      <c r="J39" s="3046"/>
      <c r="K39" s="3046"/>
      <c r="L39" s="3046"/>
      <c r="M39" s="3046"/>
      <c r="N39" s="3046"/>
      <c r="O39" s="3046"/>
      <c r="P39" s="3046"/>
      <c r="Q39" s="3046"/>
      <c r="R39" s="3046"/>
      <c r="S39" s="3046"/>
      <c r="T39" s="3046"/>
      <c r="U39" s="3046"/>
      <c r="V39" s="3046"/>
      <c r="W39" s="3046"/>
      <c r="X39" s="3046"/>
      <c r="Y39" s="3046"/>
      <c r="Z39" s="3046"/>
      <c r="AA39" s="3205"/>
      <c r="AB39" s="35"/>
      <c r="AC39" s="183"/>
      <c r="AD39" s="34"/>
      <c r="AE39" s="34"/>
      <c r="AF39" s="34"/>
      <c r="AG39" s="34"/>
      <c r="AH39" s="34"/>
    </row>
    <row r="40" spans="1:34" x14ac:dyDescent="0.25">
      <c r="A40" s="179"/>
      <c r="B40" s="3436" t="s">
        <v>13</v>
      </c>
      <c r="C40" s="2914">
        <v>57</v>
      </c>
      <c r="D40" s="2918" t="s">
        <v>1375</v>
      </c>
      <c r="E40" s="2919"/>
      <c r="F40" s="2919"/>
      <c r="G40" s="2919"/>
      <c r="H40" s="2919"/>
      <c r="I40" s="2919"/>
      <c r="J40" s="28"/>
      <c r="K40" s="28"/>
      <c r="L40" s="28"/>
      <c r="M40" s="28"/>
      <c r="N40" s="28"/>
      <c r="O40" s="28"/>
      <c r="P40" s="28"/>
      <c r="Q40" s="28"/>
      <c r="R40" s="28"/>
      <c r="S40" s="28"/>
      <c r="T40" s="28"/>
      <c r="U40" s="29"/>
      <c r="V40" s="2922" t="s">
        <v>15</v>
      </c>
      <c r="W40" s="2922"/>
      <c r="X40" s="2922"/>
      <c r="Y40" s="2922"/>
      <c r="Z40" s="2922" t="s">
        <v>16</v>
      </c>
      <c r="AA40" s="2922"/>
      <c r="AB40" s="35"/>
      <c r="AC40" s="183"/>
      <c r="AD40" s="34"/>
      <c r="AE40" s="34"/>
      <c r="AF40" s="34"/>
      <c r="AG40" s="34"/>
      <c r="AH40" s="34"/>
    </row>
    <row r="41" spans="1:34" x14ac:dyDescent="0.25">
      <c r="A41" s="179"/>
      <c r="B41" s="3436"/>
      <c r="C41" s="2915"/>
      <c r="D41" s="2920"/>
      <c r="E41" s="2921"/>
      <c r="F41" s="2921"/>
      <c r="G41" s="2921"/>
      <c r="H41" s="2921"/>
      <c r="I41" s="2921"/>
      <c r="J41" s="31"/>
      <c r="K41" s="31"/>
      <c r="L41" s="31"/>
      <c r="M41" s="31"/>
      <c r="N41" s="31"/>
      <c r="O41" s="31"/>
      <c r="P41" s="31"/>
      <c r="Q41" s="31"/>
      <c r="R41" s="31"/>
      <c r="S41" s="31"/>
      <c r="T41" s="31"/>
      <c r="U41" s="30"/>
      <c r="V41" s="2918"/>
      <c r="W41" s="2919"/>
      <c r="X41" s="2919"/>
      <c r="Y41" s="2923"/>
      <c r="Z41" s="3019"/>
      <c r="AA41" s="3020"/>
      <c r="AB41" s="35"/>
      <c r="AC41" s="183"/>
      <c r="AD41" s="34"/>
      <c r="AE41" s="34"/>
      <c r="AF41" s="34"/>
      <c r="AG41" s="34"/>
      <c r="AH41" s="34"/>
    </row>
    <row r="42" spans="1:34" x14ac:dyDescent="0.25">
      <c r="A42" s="179"/>
      <c r="B42" s="4120" t="s">
        <v>20</v>
      </c>
      <c r="C42" s="2999" t="s">
        <v>1376</v>
      </c>
      <c r="D42" s="2847" t="s">
        <v>22</v>
      </c>
      <c r="E42" s="2847" t="s">
        <v>23</v>
      </c>
      <c r="F42" s="2847" t="s">
        <v>24</v>
      </c>
      <c r="G42" s="2847" t="s">
        <v>25</v>
      </c>
      <c r="H42" s="2847" t="s">
        <v>26</v>
      </c>
      <c r="I42" s="2847" t="s">
        <v>27</v>
      </c>
      <c r="J42" s="2986" t="s">
        <v>28</v>
      </c>
      <c r="K42" s="2987"/>
      <c r="L42" s="2847" t="s">
        <v>29</v>
      </c>
      <c r="M42" s="2986" t="s">
        <v>30</v>
      </c>
      <c r="N42" s="2987"/>
      <c r="O42" s="2990" t="s">
        <v>31</v>
      </c>
      <c r="P42" s="2991"/>
      <c r="Q42" s="2991"/>
      <c r="R42" s="2991"/>
      <c r="S42" s="2991"/>
      <c r="T42" s="2991"/>
      <c r="U42" s="2991"/>
      <c r="V42" s="2991"/>
      <c r="W42" s="2991"/>
      <c r="X42" s="2991"/>
      <c r="Y42" s="2991"/>
      <c r="Z42" s="2992"/>
      <c r="AA42" s="4114" t="s">
        <v>32</v>
      </c>
      <c r="AB42" s="35"/>
      <c r="AC42" s="183"/>
      <c r="AD42" s="34"/>
      <c r="AE42" s="34"/>
      <c r="AF42" s="34"/>
      <c r="AG42" s="34"/>
      <c r="AH42" s="34"/>
    </row>
    <row r="43" spans="1:34" x14ac:dyDescent="0.25">
      <c r="A43" s="179"/>
      <c r="B43" s="4121"/>
      <c r="C43" s="2999"/>
      <c r="D43" s="2847"/>
      <c r="E43" s="2847"/>
      <c r="F43" s="2847"/>
      <c r="G43" s="2847"/>
      <c r="H43" s="2847"/>
      <c r="I43" s="2847"/>
      <c r="J43" s="1284" t="s">
        <v>33</v>
      </c>
      <c r="K43" s="1284" t="s">
        <v>34</v>
      </c>
      <c r="L43" s="2847"/>
      <c r="M43" s="3000"/>
      <c r="N43" s="3001"/>
      <c r="O43" s="1294" t="s">
        <v>35</v>
      </c>
      <c r="P43" s="1294" t="s">
        <v>36</v>
      </c>
      <c r="Q43" s="1294" t="s">
        <v>37</v>
      </c>
      <c r="R43" s="1294" t="s">
        <v>38</v>
      </c>
      <c r="S43" s="1294" t="s">
        <v>39</v>
      </c>
      <c r="T43" s="1294" t="s">
        <v>40</v>
      </c>
      <c r="U43" s="1294" t="s">
        <v>41</v>
      </c>
      <c r="V43" s="1294" t="s">
        <v>42</v>
      </c>
      <c r="W43" s="1294" t="s">
        <v>43</v>
      </c>
      <c r="X43" s="1294" t="s">
        <v>44</v>
      </c>
      <c r="Y43" s="1294" t="s">
        <v>45</v>
      </c>
      <c r="Z43" s="1294" t="s">
        <v>46</v>
      </c>
      <c r="AA43" s="4114"/>
      <c r="AB43" s="35"/>
      <c r="AC43" s="183"/>
      <c r="AD43" s="34"/>
      <c r="AE43" s="34"/>
      <c r="AF43" s="34"/>
      <c r="AG43" s="34"/>
      <c r="AH43" s="34"/>
    </row>
    <row r="44" spans="1:34" ht="33.75" x14ac:dyDescent="0.25">
      <c r="A44" s="179"/>
      <c r="B44" s="2969">
        <v>6000028</v>
      </c>
      <c r="C44" s="2438" t="s">
        <v>1377</v>
      </c>
      <c r="D44" s="3068"/>
      <c r="E44" s="3253">
        <v>17</v>
      </c>
      <c r="F44" s="3256">
        <v>54</v>
      </c>
      <c r="G44" s="3256">
        <v>119</v>
      </c>
      <c r="H44" s="2514" t="s">
        <v>3260</v>
      </c>
      <c r="I44" s="2514" t="s">
        <v>2505</v>
      </c>
      <c r="J44" s="2952">
        <v>310</v>
      </c>
      <c r="K44" s="4117">
        <v>350000</v>
      </c>
      <c r="L44" s="3068" t="s">
        <v>1379</v>
      </c>
      <c r="M44" s="2647" t="s">
        <v>287</v>
      </c>
      <c r="N44" s="2648"/>
      <c r="O44" s="1322" t="s">
        <v>1382</v>
      </c>
      <c r="P44" s="1322" t="s">
        <v>1383</v>
      </c>
      <c r="Q44" s="1322" t="s">
        <v>1383</v>
      </c>
      <c r="R44" s="1322" t="s">
        <v>1383</v>
      </c>
      <c r="S44" s="1322" t="s">
        <v>1384</v>
      </c>
      <c r="T44" s="1322" t="s">
        <v>1384</v>
      </c>
      <c r="U44" s="1322" t="s">
        <v>1384</v>
      </c>
      <c r="V44" s="1322" t="s">
        <v>1384</v>
      </c>
      <c r="W44" s="1322" t="s">
        <v>1384</v>
      </c>
      <c r="X44" s="1322" t="s">
        <v>1385</v>
      </c>
      <c r="Y44" s="1322" t="s">
        <v>1385</v>
      </c>
      <c r="Z44" s="1322" t="s">
        <v>1386</v>
      </c>
      <c r="AA44" s="1486">
        <v>310</v>
      </c>
      <c r="AB44" s="35"/>
      <c r="AC44" s="183"/>
      <c r="AD44" s="34"/>
      <c r="AE44" s="34"/>
      <c r="AF44" s="34"/>
      <c r="AG44" s="34"/>
      <c r="AH44" s="34"/>
    </row>
    <row r="45" spans="1:34" x14ac:dyDescent="0.25">
      <c r="A45" s="179"/>
      <c r="B45" s="2970"/>
      <c r="C45" s="2456"/>
      <c r="D45" s="3069"/>
      <c r="E45" s="3254"/>
      <c r="F45" s="3257"/>
      <c r="G45" s="3257"/>
      <c r="H45" s="2515"/>
      <c r="I45" s="2515"/>
      <c r="J45" s="2953"/>
      <c r="K45" s="4118"/>
      <c r="L45" s="3069"/>
      <c r="M45" s="2647" t="s">
        <v>34</v>
      </c>
      <c r="N45" s="2648"/>
      <c r="O45" s="1322">
        <f>SUBTOTAL(9,O46)</f>
        <v>130000</v>
      </c>
      <c r="P45" s="1322">
        <f t="shared" ref="P45:Z45" si="5">SUBTOTAL(9,P46)</f>
        <v>160000</v>
      </c>
      <c r="Q45" s="1322">
        <f t="shared" si="5"/>
        <v>100000</v>
      </c>
      <c r="R45" s="1322">
        <f t="shared" si="5"/>
        <v>110000</v>
      </c>
      <c r="S45" s="1322">
        <f t="shared" si="5"/>
        <v>80000</v>
      </c>
      <c r="T45" s="1322">
        <f t="shared" si="5"/>
        <v>70000</v>
      </c>
      <c r="U45" s="1322">
        <f t="shared" si="5"/>
        <v>70000</v>
      </c>
      <c r="V45" s="1322">
        <f t="shared" si="5"/>
        <v>80000</v>
      </c>
      <c r="W45" s="1322">
        <f t="shared" si="5"/>
        <v>80000</v>
      </c>
      <c r="X45" s="1322">
        <f t="shared" si="5"/>
        <v>80000</v>
      </c>
      <c r="Y45" s="1322">
        <f t="shared" si="5"/>
        <v>100000</v>
      </c>
      <c r="Z45" s="1322">
        <f t="shared" si="5"/>
        <v>110000</v>
      </c>
      <c r="AA45" s="367">
        <f>SUM(O45:Z45)</f>
        <v>1170000</v>
      </c>
      <c r="AB45" s="35"/>
      <c r="AC45" s="183"/>
      <c r="AD45" s="34"/>
      <c r="AE45" s="34"/>
      <c r="AF45" s="34"/>
      <c r="AG45" s="34"/>
      <c r="AH45" s="34"/>
    </row>
    <row r="46" spans="1:34" ht="22.5" x14ac:dyDescent="0.25">
      <c r="A46" s="179"/>
      <c r="B46" s="2970"/>
      <c r="C46" s="2456"/>
      <c r="D46" s="3069"/>
      <c r="E46" s="3254"/>
      <c r="F46" s="3257"/>
      <c r="G46" s="3257"/>
      <c r="H46" s="2515"/>
      <c r="I46" s="2515"/>
      <c r="J46" s="2953"/>
      <c r="K46" s="4118"/>
      <c r="L46" s="3069"/>
      <c r="M46" s="1281" t="s">
        <v>1380</v>
      </c>
      <c r="N46" s="1281" t="s">
        <v>1381</v>
      </c>
      <c r="O46" s="3500">
        <v>130000</v>
      </c>
      <c r="P46" s="3500">
        <v>160000</v>
      </c>
      <c r="Q46" s="3500">
        <v>100000</v>
      </c>
      <c r="R46" s="3500">
        <v>110000</v>
      </c>
      <c r="S46" s="3500">
        <v>80000</v>
      </c>
      <c r="T46" s="3500">
        <v>70000</v>
      </c>
      <c r="U46" s="3500">
        <v>70000</v>
      </c>
      <c r="V46" s="3500">
        <v>80000</v>
      </c>
      <c r="W46" s="3500">
        <v>80000</v>
      </c>
      <c r="X46" s="3500">
        <v>80000</v>
      </c>
      <c r="Y46" s="3500">
        <v>100000</v>
      </c>
      <c r="Z46" s="3500">
        <v>110000</v>
      </c>
      <c r="AA46" s="1487">
        <v>160000</v>
      </c>
      <c r="AB46" s="35"/>
      <c r="AC46" s="183"/>
      <c r="AD46" s="34"/>
      <c r="AE46" s="34"/>
      <c r="AF46" s="34"/>
      <c r="AG46" s="34"/>
      <c r="AH46" s="34"/>
    </row>
    <row r="47" spans="1:34" ht="22.5" x14ac:dyDescent="0.25">
      <c r="A47" s="179"/>
      <c r="B47" s="2970"/>
      <c r="C47" s="2456"/>
      <c r="D47" s="3069"/>
      <c r="E47" s="3254"/>
      <c r="F47" s="3257"/>
      <c r="G47" s="3257"/>
      <c r="H47" s="2515"/>
      <c r="I47" s="2515"/>
      <c r="J47" s="2953"/>
      <c r="K47" s="4118"/>
      <c r="L47" s="3069"/>
      <c r="M47" s="1282" t="s">
        <v>1387</v>
      </c>
      <c r="N47" s="1281" t="s">
        <v>117</v>
      </c>
      <c r="O47" s="3501"/>
      <c r="P47" s="3501"/>
      <c r="Q47" s="3501"/>
      <c r="R47" s="3501"/>
      <c r="S47" s="3501"/>
      <c r="T47" s="3501"/>
      <c r="U47" s="3501"/>
      <c r="V47" s="3501"/>
      <c r="W47" s="3501"/>
      <c r="X47" s="3501"/>
      <c r="Y47" s="3501"/>
      <c r="Z47" s="3501"/>
      <c r="AA47" s="1487">
        <v>720000</v>
      </c>
      <c r="AB47" s="35"/>
      <c r="AC47" s="183"/>
      <c r="AD47" s="34"/>
      <c r="AE47" s="34"/>
      <c r="AF47" s="34"/>
      <c r="AG47" s="34"/>
      <c r="AH47" s="34"/>
    </row>
    <row r="48" spans="1:34" ht="22.5" x14ac:dyDescent="0.25">
      <c r="A48" s="179"/>
      <c r="B48" s="2971"/>
      <c r="C48" s="2450"/>
      <c r="D48" s="3070"/>
      <c r="E48" s="3255"/>
      <c r="F48" s="3258"/>
      <c r="G48" s="3258"/>
      <c r="H48" s="2516"/>
      <c r="I48" s="2516"/>
      <c r="J48" s="2954"/>
      <c r="K48" s="4119"/>
      <c r="L48" s="3070"/>
      <c r="M48" s="1339" t="s">
        <v>112</v>
      </c>
      <c r="N48" s="1282" t="s">
        <v>1388</v>
      </c>
      <c r="O48" s="3492"/>
      <c r="P48" s="3492"/>
      <c r="Q48" s="3492"/>
      <c r="R48" s="3492"/>
      <c r="S48" s="3492"/>
      <c r="T48" s="3492"/>
      <c r="U48" s="3492"/>
      <c r="V48" s="3492"/>
      <c r="W48" s="3492"/>
      <c r="X48" s="3492"/>
      <c r="Y48" s="3492"/>
      <c r="Z48" s="3492"/>
      <c r="AA48" s="1488">
        <v>290000</v>
      </c>
      <c r="AB48" s="35"/>
      <c r="AC48" s="183"/>
      <c r="AD48" s="34"/>
      <c r="AE48" s="34"/>
      <c r="AF48" s="34"/>
      <c r="AG48" s="34"/>
      <c r="AH48" s="34"/>
    </row>
    <row r="49" spans="1:34" ht="45" x14ac:dyDescent="0.25">
      <c r="A49" s="179"/>
      <c r="B49" s="2945">
        <v>6000027</v>
      </c>
      <c r="C49" s="3190" t="s">
        <v>1389</v>
      </c>
      <c r="D49" s="2431"/>
      <c r="E49" s="2431">
        <v>17</v>
      </c>
      <c r="F49" s="2431">
        <v>54</v>
      </c>
      <c r="G49" s="3256">
        <v>119</v>
      </c>
      <c r="H49" s="2514" t="s">
        <v>1378</v>
      </c>
      <c r="I49" s="2431" t="s">
        <v>2505</v>
      </c>
      <c r="J49" s="3199">
        <v>530</v>
      </c>
      <c r="K49" s="4057">
        <v>1823141</v>
      </c>
      <c r="L49" s="3233" t="s">
        <v>1379</v>
      </c>
      <c r="M49" s="2647" t="s">
        <v>33</v>
      </c>
      <c r="N49" s="2648"/>
      <c r="O49" s="1322" t="s">
        <v>1390</v>
      </c>
      <c r="P49" s="1322" t="s">
        <v>1390</v>
      </c>
      <c r="Q49" s="1298" t="s">
        <v>1391</v>
      </c>
      <c r="R49" s="1298" t="s">
        <v>1391</v>
      </c>
      <c r="S49" s="1298" t="s">
        <v>1391</v>
      </c>
      <c r="T49" s="1298" t="s">
        <v>1391</v>
      </c>
      <c r="U49" s="1322" t="s">
        <v>1392</v>
      </c>
      <c r="V49" s="1322" t="s">
        <v>1392</v>
      </c>
      <c r="W49" s="1298" t="s">
        <v>1393</v>
      </c>
      <c r="X49" s="1298" t="s">
        <v>1393</v>
      </c>
      <c r="Y49" s="1298" t="s">
        <v>1393</v>
      </c>
      <c r="Z49" s="1298" t="s">
        <v>1394</v>
      </c>
      <c r="AA49" s="1489">
        <v>530</v>
      </c>
      <c r="AB49" s="35"/>
      <c r="AC49" s="183"/>
      <c r="AD49" s="34"/>
      <c r="AE49" s="34"/>
      <c r="AF49" s="34"/>
      <c r="AG49" s="34"/>
      <c r="AH49" s="34"/>
    </row>
    <row r="50" spans="1:34" x14ac:dyDescent="0.25">
      <c r="A50" s="179"/>
      <c r="B50" s="2946"/>
      <c r="C50" s="3191"/>
      <c r="D50" s="2432"/>
      <c r="E50" s="2432"/>
      <c r="F50" s="2432"/>
      <c r="G50" s="3257"/>
      <c r="H50" s="2515"/>
      <c r="I50" s="2432"/>
      <c r="J50" s="3200"/>
      <c r="K50" s="4058"/>
      <c r="L50" s="3234"/>
      <c r="M50" s="2647" t="s">
        <v>34</v>
      </c>
      <c r="N50" s="2648"/>
      <c r="O50" s="392">
        <f>SUBTOTAL(9,O51)</f>
        <v>110000</v>
      </c>
      <c r="P50" s="392">
        <f t="shared" ref="P50:Z50" si="6">SUBTOTAL(9,P51)</f>
        <v>140000</v>
      </c>
      <c r="Q50" s="392">
        <f t="shared" si="6"/>
        <v>130000</v>
      </c>
      <c r="R50" s="392">
        <f t="shared" si="6"/>
        <v>168141</v>
      </c>
      <c r="S50" s="392">
        <f t="shared" si="6"/>
        <v>100000</v>
      </c>
      <c r="T50" s="392">
        <f t="shared" si="6"/>
        <v>170000</v>
      </c>
      <c r="U50" s="392">
        <f t="shared" si="6"/>
        <v>180000</v>
      </c>
      <c r="V50" s="392">
        <f t="shared" si="6"/>
        <v>180000</v>
      </c>
      <c r="W50" s="392">
        <f t="shared" si="6"/>
        <v>105000</v>
      </c>
      <c r="X50" s="392">
        <f t="shared" si="6"/>
        <v>180000</v>
      </c>
      <c r="Y50" s="392">
        <f t="shared" si="6"/>
        <v>170000</v>
      </c>
      <c r="Z50" s="392">
        <f t="shared" si="6"/>
        <v>190000</v>
      </c>
      <c r="AA50" s="1490">
        <f>SUM(O51:Z54)</f>
        <v>1823141</v>
      </c>
      <c r="AB50" s="35"/>
      <c r="AC50" s="183"/>
      <c r="AD50" s="34"/>
      <c r="AE50" s="34"/>
      <c r="AF50" s="34"/>
      <c r="AG50" s="34"/>
      <c r="AH50" s="34"/>
    </row>
    <row r="51" spans="1:34" x14ac:dyDescent="0.25">
      <c r="A51" s="179"/>
      <c r="B51" s="2946"/>
      <c r="C51" s="3191"/>
      <c r="D51" s="2432"/>
      <c r="E51" s="2432"/>
      <c r="F51" s="2432"/>
      <c r="G51" s="3257"/>
      <c r="H51" s="2515"/>
      <c r="I51" s="2432"/>
      <c r="J51" s="3200"/>
      <c r="K51" s="4058"/>
      <c r="L51" s="3234"/>
      <c r="M51" s="4122" t="s">
        <v>1380</v>
      </c>
      <c r="N51" s="4122" t="s">
        <v>1381</v>
      </c>
      <c r="O51" s="4060">
        <v>110000</v>
      </c>
      <c r="P51" s="4060">
        <v>140000</v>
      </c>
      <c r="Q51" s="4060">
        <v>130000</v>
      </c>
      <c r="R51" s="4060">
        <v>168141</v>
      </c>
      <c r="S51" s="4060">
        <v>100000</v>
      </c>
      <c r="T51" s="4060">
        <v>170000</v>
      </c>
      <c r="U51" s="4060">
        <v>180000</v>
      </c>
      <c r="V51" s="4060">
        <v>180000</v>
      </c>
      <c r="W51" s="4060">
        <v>105000</v>
      </c>
      <c r="X51" s="4060">
        <v>180000</v>
      </c>
      <c r="Y51" s="4060">
        <v>170000</v>
      </c>
      <c r="Z51" s="4060">
        <v>190000</v>
      </c>
      <c r="AA51" s="4099">
        <v>250000</v>
      </c>
      <c r="AB51" s="35"/>
      <c r="AC51" s="183"/>
      <c r="AD51" s="34"/>
      <c r="AE51" s="34"/>
      <c r="AF51" s="34"/>
      <c r="AG51" s="34"/>
      <c r="AH51" s="34"/>
    </row>
    <row r="52" spans="1:34" x14ac:dyDescent="0.25">
      <c r="A52" s="179"/>
      <c r="B52" s="2946"/>
      <c r="C52" s="3191"/>
      <c r="D52" s="2432"/>
      <c r="E52" s="2432"/>
      <c r="F52" s="2432"/>
      <c r="G52" s="3257"/>
      <c r="H52" s="2515"/>
      <c r="I52" s="2432"/>
      <c r="J52" s="3200"/>
      <c r="K52" s="4058"/>
      <c r="L52" s="3234"/>
      <c r="M52" s="4123"/>
      <c r="N52" s="4123"/>
      <c r="O52" s="4060"/>
      <c r="P52" s="4060"/>
      <c r="Q52" s="4060"/>
      <c r="R52" s="4060"/>
      <c r="S52" s="4060"/>
      <c r="T52" s="4060"/>
      <c r="U52" s="4060"/>
      <c r="V52" s="4060"/>
      <c r="W52" s="4060"/>
      <c r="X52" s="4060"/>
      <c r="Y52" s="4060"/>
      <c r="Z52" s="4060"/>
      <c r="AA52" s="4100"/>
      <c r="AB52" s="35"/>
      <c r="AC52" s="183"/>
      <c r="AD52" s="34"/>
      <c r="AE52" s="34"/>
      <c r="AF52" s="34"/>
      <c r="AG52" s="34"/>
      <c r="AH52" s="34"/>
    </row>
    <row r="53" spans="1:34" ht="22.5" x14ac:dyDescent="0.25">
      <c r="A53" s="179"/>
      <c r="B53" s="2946"/>
      <c r="C53" s="3191"/>
      <c r="D53" s="2432"/>
      <c r="E53" s="2432"/>
      <c r="F53" s="2432"/>
      <c r="G53" s="3257"/>
      <c r="H53" s="2515"/>
      <c r="I53" s="2432"/>
      <c r="J53" s="3200"/>
      <c r="K53" s="4058"/>
      <c r="L53" s="3234"/>
      <c r="M53" s="1282" t="s">
        <v>1387</v>
      </c>
      <c r="N53" s="1282" t="s">
        <v>117</v>
      </c>
      <c r="O53" s="4060"/>
      <c r="P53" s="4060"/>
      <c r="Q53" s="4060"/>
      <c r="R53" s="4060"/>
      <c r="S53" s="4060"/>
      <c r="T53" s="4060"/>
      <c r="U53" s="4060"/>
      <c r="V53" s="4060"/>
      <c r="W53" s="4060"/>
      <c r="X53" s="4060"/>
      <c r="Y53" s="4060"/>
      <c r="Z53" s="4060"/>
      <c r="AA53" s="1491">
        <v>860000</v>
      </c>
      <c r="AB53" s="35"/>
      <c r="AC53" s="183"/>
      <c r="AD53" s="34"/>
      <c r="AE53" s="34"/>
      <c r="AF53" s="34"/>
      <c r="AG53" s="34"/>
      <c r="AH53" s="34"/>
    </row>
    <row r="54" spans="1:34" ht="28.5" customHeight="1" x14ac:dyDescent="0.25">
      <c r="A54" s="179"/>
      <c r="B54" s="2947"/>
      <c r="C54" s="2439"/>
      <c r="D54" s="2437"/>
      <c r="E54" s="2437"/>
      <c r="F54" s="2437"/>
      <c r="G54" s="3258"/>
      <c r="H54" s="2516"/>
      <c r="I54" s="2437"/>
      <c r="J54" s="3201"/>
      <c r="K54" s="4059"/>
      <c r="L54" s="3235"/>
      <c r="M54" s="1339" t="s">
        <v>112</v>
      </c>
      <c r="N54" s="1282" t="s">
        <v>1388</v>
      </c>
      <c r="O54" s="4060"/>
      <c r="P54" s="4060"/>
      <c r="Q54" s="4060"/>
      <c r="R54" s="4060"/>
      <c r="S54" s="4060"/>
      <c r="T54" s="4060"/>
      <c r="U54" s="4060"/>
      <c r="V54" s="4060"/>
      <c r="W54" s="4060"/>
      <c r="X54" s="4060"/>
      <c r="Y54" s="4060"/>
      <c r="Z54" s="4060"/>
      <c r="AA54" s="1491">
        <v>713141</v>
      </c>
      <c r="AB54" s="35"/>
      <c r="AC54" s="183"/>
      <c r="AD54" s="34"/>
      <c r="AE54" s="34"/>
      <c r="AF54" s="34"/>
      <c r="AG54" s="34"/>
      <c r="AH54" s="34"/>
    </row>
    <row r="55" spans="1:34" ht="46.5" customHeight="1" x14ac:dyDescent="0.25">
      <c r="A55" s="179"/>
      <c r="B55" s="2945">
        <v>6000028</v>
      </c>
      <c r="C55" s="3190" t="s">
        <v>1395</v>
      </c>
      <c r="D55" s="2421"/>
      <c r="E55" s="2421">
        <v>17</v>
      </c>
      <c r="F55" s="2421">
        <v>54</v>
      </c>
      <c r="G55" s="2421">
        <v>122</v>
      </c>
      <c r="H55" s="2420" t="s">
        <v>1396</v>
      </c>
      <c r="I55" s="2421" t="s">
        <v>2505</v>
      </c>
      <c r="J55" s="2421">
        <v>120</v>
      </c>
      <c r="K55" s="4060">
        <v>797608</v>
      </c>
      <c r="L55" s="3233" t="s">
        <v>1379</v>
      </c>
      <c r="M55" s="2647" t="s">
        <v>33</v>
      </c>
      <c r="N55" s="2648"/>
      <c r="O55" s="1322"/>
      <c r="P55" s="1325"/>
      <c r="Q55" s="1325"/>
      <c r="R55" s="1325"/>
      <c r="S55" s="1322" t="s">
        <v>1397</v>
      </c>
      <c r="T55" s="1322" t="s">
        <v>1397</v>
      </c>
      <c r="U55" s="1322" t="s">
        <v>1397</v>
      </c>
      <c r="V55" s="1322" t="s">
        <v>1397</v>
      </c>
      <c r="W55" s="1322" t="s">
        <v>1397</v>
      </c>
      <c r="X55" s="1297" t="s">
        <v>1398</v>
      </c>
      <c r="Y55" s="1297" t="s">
        <v>1398</v>
      </c>
      <c r="Z55" s="1297" t="s">
        <v>1398</v>
      </c>
      <c r="AA55" s="1490">
        <v>180</v>
      </c>
      <c r="AB55" s="35"/>
      <c r="AC55" s="183"/>
      <c r="AD55" s="34"/>
      <c r="AE55" s="34"/>
      <c r="AF55" s="34"/>
      <c r="AG55" s="34"/>
      <c r="AH55" s="34"/>
    </row>
    <row r="56" spans="1:34" x14ac:dyDescent="0.25">
      <c r="A56" s="179"/>
      <c r="B56" s="2946"/>
      <c r="C56" s="3191"/>
      <c r="D56" s="2421"/>
      <c r="E56" s="2421"/>
      <c r="F56" s="2421"/>
      <c r="G56" s="2421"/>
      <c r="H56" s="2420"/>
      <c r="I56" s="2421"/>
      <c r="J56" s="2421"/>
      <c r="K56" s="4060"/>
      <c r="L56" s="3234"/>
      <c r="M56" s="2647" t="s">
        <v>34</v>
      </c>
      <c r="N56" s="2648"/>
      <c r="O56" s="1328">
        <f>SUBTOTAL(9,O57)</f>
        <v>0</v>
      </c>
      <c r="P56" s="1328">
        <f>SUBTOTAL(9,P57)</f>
        <v>0</v>
      </c>
      <c r="Q56" s="1328">
        <f t="shared" ref="Q56:Z56" si="7">SUBTOTAL(9,Q57)</f>
        <v>0</v>
      </c>
      <c r="R56" s="1328">
        <f t="shared" si="7"/>
        <v>60000</v>
      </c>
      <c r="S56" s="1328">
        <f t="shared" si="7"/>
        <v>70000</v>
      </c>
      <c r="T56" s="1328">
        <f t="shared" si="7"/>
        <v>70000</v>
      </c>
      <c r="U56" s="1328">
        <f t="shared" si="7"/>
        <v>80000</v>
      </c>
      <c r="V56" s="1328">
        <f t="shared" si="7"/>
        <v>70000</v>
      </c>
      <c r="W56" s="1328">
        <f t="shared" si="7"/>
        <v>60000</v>
      </c>
      <c r="X56" s="1328">
        <f t="shared" si="7"/>
        <v>90000</v>
      </c>
      <c r="Y56" s="1328">
        <f t="shared" si="7"/>
        <v>90000</v>
      </c>
      <c r="Z56" s="1328">
        <f t="shared" si="7"/>
        <v>122608</v>
      </c>
      <c r="AA56" s="1482">
        <f>SUM(O56:Z56)</f>
        <v>712608</v>
      </c>
      <c r="AB56" s="35"/>
      <c r="AC56" s="183"/>
      <c r="AD56" s="34"/>
      <c r="AE56" s="34"/>
      <c r="AF56" s="34"/>
      <c r="AG56" s="34"/>
      <c r="AH56" s="34"/>
    </row>
    <row r="57" spans="1:34" ht="15" customHeight="1" x14ac:dyDescent="0.25">
      <c r="A57" s="179"/>
      <c r="B57" s="2946"/>
      <c r="C57" s="3191"/>
      <c r="D57" s="2421"/>
      <c r="E57" s="2421"/>
      <c r="F57" s="2421"/>
      <c r="G57" s="2421"/>
      <c r="H57" s="2420"/>
      <c r="I57" s="2421"/>
      <c r="J57" s="2421"/>
      <c r="K57" s="4060"/>
      <c r="L57" s="3234"/>
      <c r="M57" s="4054" t="s">
        <v>555</v>
      </c>
      <c r="N57" s="2438" t="s">
        <v>556</v>
      </c>
      <c r="O57" s="4057"/>
      <c r="P57" s="4057"/>
      <c r="Q57" s="4057"/>
      <c r="R57" s="4057">
        <v>60000</v>
      </c>
      <c r="S57" s="4057">
        <v>70000</v>
      </c>
      <c r="T57" s="4057">
        <v>70000</v>
      </c>
      <c r="U57" s="4057">
        <v>80000</v>
      </c>
      <c r="V57" s="4057">
        <v>70000</v>
      </c>
      <c r="W57" s="4057">
        <v>60000</v>
      </c>
      <c r="X57" s="4057">
        <v>90000</v>
      </c>
      <c r="Y57" s="4057">
        <v>90000</v>
      </c>
      <c r="Z57" s="4101">
        <v>122608</v>
      </c>
      <c r="AA57" s="4104">
        <v>25000</v>
      </c>
      <c r="AB57" s="35"/>
      <c r="AC57" s="183"/>
      <c r="AD57" s="34"/>
      <c r="AE57" s="34"/>
      <c r="AF57" s="34"/>
      <c r="AG57" s="34"/>
      <c r="AH57" s="34"/>
    </row>
    <row r="58" spans="1:34" x14ac:dyDescent="0.25">
      <c r="A58" s="179"/>
      <c r="B58" s="2946"/>
      <c r="C58" s="3191"/>
      <c r="D58" s="2421"/>
      <c r="E58" s="2421"/>
      <c r="F58" s="2421"/>
      <c r="G58" s="2421"/>
      <c r="H58" s="2420"/>
      <c r="I58" s="2421"/>
      <c r="J58" s="2421"/>
      <c r="K58" s="4060"/>
      <c r="L58" s="3234"/>
      <c r="M58" s="4055"/>
      <c r="N58" s="2450"/>
      <c r="O58" s="4058"/>
      <c r="P58" s="4058"/>
      <c r="Q58" s="4058"/>
      <c r="R58" s="3200"/>
      <c r="S58" s="3200"/>
      <c r="T58" s="3200"/>
      <c r="U58" s="3200"/>
      <c r="V58" s="3200"/>
      <c r="W58" s="3200"/>
      <c r="X58" s="3200"/>
      <c r="Y58" s="3200"/>
      <c r="Z58" s="4102"/>
      <c r="AA58" s="4105"/>
      <c r="AB58" s="35"/>
      <c r="AC58" s="183"/>
      <c r="AD58" s="34"/>
      <c r="AE58" s="34"/>
      <c r="AF58" s="34"/>
      <c r="AG58" s="34"/>
      <c r="AH58" s="34"/>
    </row>
    <row r="59" spans="1:34" x14ac:dyDescent="0.25">
      <c r="A59" s="179"/>
      <c r="B59" s="2946"/>
      <c r="C59" s="3191"/>
      <c r="D59" s="2421"/>
      <c r="E59" s="2421"/>
      <c r="F59" s="2421"/>
      <c r="G59" s="2421"/>
      <c r="H59" s="2420"/>
      <c r="I59" s="2421"/>
      <c r="J59" s="2421"/>
      <c r="K59" s="4060"/>
      <c r="L59" s="3234"/>
      <c r="M59" s="1339" t="s">
        <v>1399</v>
      </c>
      <c r="N59" s="1282" t="s">
        <v>1400</v>
      </c>
      <c r="O59" s="4058"/>
      <c r="P59" s="4058"/>
      <c r="Q59" s="4058"/>
      <c r="R59" s="3200"/>
      <c r="S59" s="3200"/>
      <c r="T59" s="3200"/>
      <c r="U59" s="3200"/>
      <c r="V59" s="3200"/>
      <c r="W59" s="3200"/>
      <c r="X59" s="3200"/>
      <c r="Y59" s="3200"/>
      <c r="Z59" s="4102"/>
      <c r="AA59" s="393">
        <v>30000</v>
      </c>
      <c r="AB59" s="35"/>
      <c r="AC59" s="183"/>
      <c r="AD59" s="34"/>
      <c r="AE59" s="34"/>
      <c r="AF59" s="34"/>
      <c r="AG59" s="34"/>
      <c r="AH59" s="34"/>
    </row>
    <row r="60" spans="1:34" ht="22.5" x14ac:dyDescent="0.25">
      <c r="A60" s="179"/>
      <c r="B60" s="2946"/>
      <c r="C60" s="3191"/>
      <c r="D60" s="2421"/>
      <c r="E60" s="2421"/>
      <c r="F60" s="2421"/>
      <c r="G60" s="2421"/>
      <c r="H60" s="2420"/>
      <c r="I60" s="2421"/>
      <c r="J60" s="2421"/>
      <c r="K60" s="4060"/>
      <c r="L60" s="3234"/>
      <c r="M60" s="1466" t="s">
        <v>1380</v>
      </c>
      <c r="N60" s="1466" t="s">
        <v>1381</v>
      </c>
      <c r="O60" s="4058"/>
      <c r="P60" s="4058"/>
      <c r="Q60" s="4058"/>
      <c r="R60" s="3200"/>
      <c r="S60" s="3200"/>
      <c r="T60" s="3200"/>
      <c r="U60" s="3200"/>
      <c r="V60" s="3200"/>
      <c r="W60" s="3200"/>
      <c r="X60" s="3200"/>
      <c r="Y60" s="3200"/>
      <c r="Z60" s="4102"/>
      <c r="AA60" s="393">
        <v>160000</v>
      </c>
      <c r="AB60" s="35"/>
      <c r="AC60" s="183"/>
      <c r="AD60" s="34"/>
      <c r="AE60" s="34"/>
      <c r="AF60" s="34"/>
      <c r="AG60" s="34"/>
      <c r="AH60" s="34"/>
    </row>
    <row r="61" spans="1:34" ht="22.5" x14ac:dyDescent="0.25">
      <c r="A61" s="179"/>
      <c r="B61" s="2946"/>
      <c r="C61" s="3191"/>
      <c r="D61" s="2421"/>
      <c r="E61" s="2421"/>
      <c r="F61" s="2421"/>
      <c r="G61" s="2421"/>
      <c r="H61" s="2420"/>
      <c r="I61" s="2421"/>
      <c r="J61" s="2421"/>
      <c r="K61" s="4060"/>
      <c r="L61" s="3234"/>
      <c r="M61" s="1282" t="s">
        <v>1387</v>
      </c>
      <c r="N61" s="1282" t="s">
        <v>117</v>
      </c>
      <c r="O61" s="4058"/>
      <c r="P61" s="4058"/>
      <c r="Q61" s="4058"/>
      <c r="R61" s="3200"/>
      <c r="S61" s="3200"/>
      <c r="T61" s="3200"/>
      <c r="U61" s="3200"/>
      <c r="V61" s="3200"/>
      <c r="W61" s="3200"/>
      <c r="X61" s="3200"/>
      <c r="Y61" s="3200"/>
      <c r="Z61" s="4102"/>
      <c r="AA61" s="393">
        <v>350000</v>
      </c>
      <c r="AB61" s="35"/>
      <c r="AC61" s="183"/>
      <c r="AD61" s="34"/>
      <c r="AE61" s="34"/>
      <c r="AF61" s="34"/>
      <c r="AG61" s="34"/>
      <c r="AH61" s="34"/>
    </row>
    <row r="62" spans="1:34" ht="18" customHeight="1" x14ac:dyDescent="0.25">
      <c r="A62" s="179"/>
      <c r="B62" s="2947"/>
      <c r="C62" s="2439"/>
      <c r="D62" s="2421"/>
      <c r="E62" s="2421"/>
      <c r="F62" s="2421"/>
      <c r="G62" s="2421"/>
      <c r="H62" s="2420"/>
      <c r="I62" s="2421"/>
      <c r="J62" s="2421"/>
      <c r="K62" s="4060"/>
      <c r="L62" s="3235"/>
      <c r="M62" s="1339" t="s">
        <v>112</v>
      </c>
      <c r="N62" s="1282" t="s">
        <v>1388</v>
      </c>
      <c r="O62" s="4059"/>
      <c r="P62" s="4059"/>
      <c r="Q62" s="4059"/>
      <c r="R62" s="3201"/>
      <c r="S62" s="3201"/>
      <c r="T62" s="3201"/>
      <c r="U62" s="3201"/>
      <c r="V62" s="3201"/>
      <c r="W62" s="3201"/>
      <c r="X62" s="3201"/>
      <c r="Y62" s="3201"/>
      <c r="Z62" s="4103"/>
      <c r="AA62" s="393">
        <v>287608</v>
      </c>
      <c r="AB62" s="35"/>
      <c r="AC62" s="183"/>
      <c r="AD62" s="34"/>
      <c r="AE62" s="34"/>
      <c r="AF62" s="34"/>
      <c r="AG62" s="34"/>
      <c r="AH62" s="34"/>
    </row>
    <row r="63" spans="1:34" x14ac:dyDescent="0.25">
      <c r="A63" s="179"/>
      <c r="B63" s="2945">
        <v>6000027</v>
      </c>
      <c r="C63" s="3190" t="s">
        <v>3277</v>
      </c>
      <c r="D63" s="3068"/>
      <c r="E63" s="4057"/>
      <c r="F63" s="2431">
        <v>54</v>
      </c>
      <c r="G63" s="2431">
        <v>119</v>
      </c>
      <c r="H63" s="2514" t="s">
        <v>1401</v>
      </c>
      <c r="I63" s="2431" t="s">
        <v>1402</v>
      </c>
      <c r="J63" s="2431">
        <v>1</v>
      </c>
      <c r="K63" s="4057">
        <v>218253</v>
      </c>
      <c r="L63" s="3233" t="s">
        <v>1379</v>
      </c>
      <c r="M63" s="2647" t="s">
        <v>33</v>
      </c>
      <c r="N63" s="2648"/>
      <c r="O63" s="1328"/>
      <c r="P63" s="1328"/>
      <c r="Q63" s="1328"/>
      <c r="R63" s="1328"/>
      <c r="S63" s="1328"/>
      <c r="T63" s="1328"/>
      <c r="U63" s="1328"/>
      <c r="V63" s="4076" t="s">
        <v>1403</v>
      </c>
      <c r="W63" s="4106"/>
      <c r="X63" s="4106"/>
      <c r="Y63" s="4077"/>
      <c r="Z63" s="1328"/>
      <c r="AA63" s="1484">
        <v>1</v>
      </c>
      <c r="AB63" s="35"/>
      <c r="AC63" s="183"/>
      <c r="AD63" s="34"/>
      <c r="AE63" s="34"/>
      <c r="AF63" s="34"/>
      <c r="AG63" s="34"/>
      <c r="AH63" s="34"/>
    </row>
    <row r="64" spans="1:34" x14ac:dyDescent="0.25">
      <c r="A64" s="179"/>
      <c r="B64" s="2946"/>
      <c r="C64" s="3191"/>
      <c r="D64" s="3069"/>
      <c r="E64" s="4058"/>
      <c r="F64" s="2432"/>
      <c r="G64" s="2432"/>
      <c r="H64" s="2515"/>
      <c r="I64" s="2432"/>
      <c r="J64" s="2432"/>
      <c r="K64" s="4058"/>
      <c r="L64" s="3234"/>
      <c r="M64" s="2647" t="s">
        <v>34</v>
      </c>
      <c r="N64" s="2648"/>
      <c r="O64" s="394">
        <f>SUBTOTAL(9,O65)</f>
        <v>0</v>
      </c>
      <c r="P64" s="394">
        <f t="shared" ref="P64:Z64" si="8">SUBTOTAL(9,P65)</f>
        <v>0</v>
      </c>
      <c r="Q64" s="394">
        <f t="shared" si="8"/>
        <v>0</v>
      </c>
      <c r="R64" s="394">
        <f t="shared" si="8"/>
        <v>0</v>
      </c>
      <c r="S64" s="394">
        <f t="shared" si="8"/>
        <v>0</v>
      </c>
      <c r="T64" s="394">
        <f t="shared" si="8"/>
        <v>0</v>
      </c>
      <c r="U64" s="394">
        <f t="shared" si="8"/>
        <v>0</v>
      </c>
      <c r="V64" s="394">
        <f t="shared" si="8"/>
        <v>18000</v>
      </c>
      <c r="W64" s="394">
        <f t="shared" si="8"/>
        <v>10000</v>
      </c>
      <c r="X64" s="394">
        <f t="shared" si="8"/>
        <v>100000</v>
      </c>
      <c r="Y64" s="394">
        <f t="shared" si="8"/>
        <v>90000</v>
      </c>
      <c r="Z64" s="394">
        <f t="shared" si="8"/>
        <v>0</v>
      </c>
      <c r="AA64" s="1482">
        <f>SUM(V64:Z64)</f>
        <v>218000</v>
      </c>
      <c r="AB64" s="35"/>
      <c r="AC64" s="183"/>
      <c r="AD64" s="34"/>
      <c r="AE64" s="34"/>
      <c r="AF64" s="34"/>
      <c r="AG64" s="34"/>
      <c r="AH64" s="34"/>
    </row>
    <row r="65" spans="1:34" ht="15" customHeight="1" x14ac:dyDescent="0.25">
      <c r="A65" s="179"/>
      <c r="B65" s="2946"/>
      <c r="C65" s="3191"/>
      <c r="D65" s="3069"/>
      <c r="E65" s="4058"/>
      <c r="F65" s="2432"/>
      <c r="G65" s="2432"/>
      <c r="H65" s="2515"/>
      <c r="I65" s="2432"/>
      <c r="J65" s="2432"/>
      <c r="K65" s="4058"/>
      <c r="L65" s="3234"/>
      <c r="M65" s="4054" t="s">
        <v>555</v>
      </c>
      <c r="N65" s="2438" t="s">
        <v>556</v>
      </c>
      <c r="O65" s="2941"/>
      <c r="P65" s="2941"/>
      <c r="Q65" s="2941"/>
      <c r="R65" s="2941"/>
      <c r="S65" s="2941"/>
      <c r="T65" s="2941"/>
      <c r="U65" s="2941"/>
      <c r="V65" s="4060">
        <v>18000</v>
      </c>
      <c r="W65" s="4060">
        <v>10000</v>
      </c>
      <c r="X65" s="4060">
        <v>100000</v>
      </c>
      <c r="Y65" s="4060">
        <v>90000</v>
      </c>
      <c r="Z65" s="2941"/>
      <c r="AA65" s="4104">
        <v>10000</v>
      </c>
      <c r="AB65" s="35"/>
      <c r="AC65" s="183"/>
      <c r="AD65" s="34"/>
      <c r="AE65" s="34"/>
      <c r="AF65" s="34"/>
      <c r="AG65" s="34"/>
      <c r="AH65" s="34"/>
    </row>
    <row r="66" spans="1:34" x14ac:dyDescent="0.25">
      <c r="A66" s="179"/>
      <c r="B66" s="2946"/>
      <c r="C66" s="3191"/>
      <c r="D66" s="3069"/>
      <c r="E66" s="4058"/>
      <c r="F66" s="2432"/>
      <c r="G66" s="2432"/>
      <c r="H66" s="2515"/>
      <c r="I66" s="2432"/>
      <c r="J66" s="2432"/>
      <c r="K66" s="4058"/>
      <c r="L66" s="3234"/>
      <c r="M66" s="4055"/>
      <c r="N66" s="2450"/>
      <c r="O66" s="2941"/>
      <c r="P66" s="2941"/>
      <c r="Q66" s="2941"/>
      <c r="R66" s="2941"/>
      <c r="S66" s="2941"/>
      <c r="T66" s="2941"/>
      <c r="U66" s="2941"/>
      <c r="V66" s="4060"/>
      <c r="W66" s="4060"/>
      <c r="X66" s="4060"/>
      <c r="Y66" s="4060"/>
      <c r="Z66" s="2941"/>
      <c r="AA66" s="4105"/>
      <c r="AB66" s="35"/>
      <c r="AC66" s="183"/>
      <c r="AD66" s="34"/>
      <c r="AE66" s="34"/>
      <c r="AF66" s="34"/>
      <c r="AG66" s="34"/>
      <c r="AH66" s="34"/>
    </row>
    <row r="67" spans="1:34" x14ac:dyDescent="0.25">
      <c r="A67" s="179"/>
      <c r="B67" s="2946"/>
      <c r="C67" s="3191"/>
      <c r="D67" s="3069"/>
      <c r="E67" s="4058"/>
      <c r="F67" s="2432"/>
      <c r="G67" s="2432"/>
      <c r="H67" s="2515"/>
      <c r="I67" s="2432"/>
      <c r="J67" s="2432"/>
      <c r="K67" s="4058"/>
      <c r="L67" s="3234"/>
      <c r="M67" s="1339" t="s">
        <v>1399</v>
      </c>
      <c r="N67" s="1282" t="s">
        <v>1400</v>
      </c>
      <c r="O67" s="2941"/>
      <c r="P67" s="2941"/>
      <c r="Q67" s="2941"/>
      <c r="R67" s="2941"/>
      <c r="S67" s="2941"/>
      <c r="T67" s="2941"/>
      <c r="U67" s="2941"/>
      <c r="V67" s="4060"/>
      <c r="W67" s="4060"/>
      <c r="X67" s="4060"/>
      <c r="Y67" s="4060"/>
      <c r="Z67" s="2941"/>
      <c r="AA67" s="393">
        <v>10000</v>
      </c>
      <c r="AB67" s="35"/>
      <c r="AC67" s="183"/>
      <c r="AD67" s="34"/>
      <c r="AE67" s="34"/>
      <c r="AF67" s="34"/>
      <c r="AG67" s="34"/>
      <c r="AH67" s="34"/>
    </row>
    <row r="68" spans="1:34" ht="22.5" x14ac:dyDescent="0.25">
      <c r="A68" s="179"/>
      <c r="B68" s="2946"/>
      <c r="C68" s="3191"/>
      <c r="D68" s="3069"/>
      <c r="E68" s="4058"/>
      <c r="F68" s="2432"/>
      <c r="G68" s="2432"/>
      <c r="H68" s="2515"/>
      <c r="I68" s="2432"/>
      <c r="J68" s="2432"/>
      <c r="K68" s="4058"/>
      <c r="L68" s="3234"/>
      <c r="M68" s="1466" t="s">
        <v>1380</v>
      </c>
      <c r="N68" s="1466" t="s">
        <v>1381</v>
      </c>
      <c r="O68" s="2941"/>
      <c r="P68" s="2941"/>
      <c r="Q68" s="2941"/>
      <c r="R68" s="2941"/>
      <c r="S68" s="2941"/>
      <c r="T68" s="2941"/>
      <c r="U68" s="2941"/>
      <c r="V68" s="4060"/>
      <c r="W68" s="4060"/>
      <c r="X68" s="4060"/>
      <c r="Y68" s="4060"/>
      <c r="Z68" s="2941"/>
      <c r="AA68" s="393">
        <v>40000</v>
      </c>
      <c r="AB68" s="35"/>
      <c r="AC68" s="183"/>
      <c r="AD68" s="34"/>
      <c r="AE68" s="34"/>
      <c r="AF68" s="34"/>
      <c r="AG68" s="34"/>
      <c r="AH68" s="34"/>
    </row>
    <row r="69" spans="1:34" ht="51" customHeight="1" x14ac:dyDescent="0.25">
      <c r="A69" s="179"/>
      <c r="B69" s="2947"/>
      <c r="C69" s="2439"/>
      <c r="D69" s="3070"/>
      <c r="E69" s="4059"/>
      <c r="F69" s="2437"/>
      <c r="G69" s="2437"/>
      <c r="H69" s="2516"/>
      <c r="I69" s="2437"/>
      <c r="J69" s="2437"/>
      <c r="K69" s="4059"/>
      <c r="L69" s="3235"/>
      <c r="M69" s="1282" t="s">
        <v>1387</v>
      </c>
      <c r="N69" s="1282" t="s">
        <v>117</v>
      </c>
      <c r="O69" s="2941"/>
      <c r="P69" s="2941"/>
      <c r="Q69" s="2941"/>
      <c r="R69" s="2941"/>
      <c r="S69" s="2941"/>
      <c r="T69" s="2941"/>
      <c r="U69" s="2941"/>
      <c r="V69" s="4060"/>
      <c r="W69" s="4060"/>
      <c r="X69" s="4060"/>
      <c r="Y69" s="4060"/>
      <c r="Z69" s="2941"/>
      <c r="AA69" s="1485">
        <v>158253</v>
      </c>
      <c r="AB69" s="35"/>
      <c r="AC69" s="183"/>
      <c r="AD69" s="34"/>
      <c r="AE69" s="34"/>
      <c r="AF69" s="34"/>
      <c r="AG69" s="34"/>
      <c r="AH69" s="34"/>
    </row>
    <row r="70" spans="1:34" x14ac:dyDescent="0.25">
      <c r="A70" s="179"/>
      <c r="B70" s="2945">
        <v>6000028</v>
      </c>
      <c r="C70" s="3190" t="s">
        <v>1404</v>
      </c>
      <c r="D70" s="4057"/>
      <c r="E70" s="4060"/>
      <c r="F70" s="2421">
        <v>54</v>
      </c>
      <c r="G70" s="2421">
        <v>119</v>
      </c>
      <c r="H70" s="2420" t="s">
        <v>1405</v>
      </c>
      <c r="I70" s="2421" t="s">
        <v>1406</v>
      </c>
      <c r="J70" s="2421">
        <v>3</v>
      </c>
      <c r="K70" s="4060">
        <v>566740</v>
      </c>
      <c r="L70" s="2922" t="s">
        <v>1379</v>
      </c>
      <c r="M70" s="2647" t="s">
        <v>33</v>
      </c>
      <c r="N70" s="2648"/>
      <c r="O70" s="1321"/>
      <c r="P70" s="3371" t="s">
        <v>1407</v>
      </c>
      <c r="Q70" s="3372"/>
      <c r="R70" s="1321"/>
      <c r="S70" s="1321"/>
      <c r="T70" s="1321"/>
      <c r="U70" s="1321"/>
      <c r="V70" s="4073" t="s">
        <v>1408</v>
      </c>
      <c r="W70" s="4074"/>
      <c r="X70" s="4075"/>
      <c r="Y70" s="4073" t="s">
        <v>1409</v>
      </c>
      <c r="Z70" s="4075"/>
      <c r="AA70" s="1479">
        <v>3</v>
      </c>
      <c r="AB70" s="35"/>
      <c r="AC70" s="183"/>
      <c r="AD70" s="34"/>
      <c r="AE70" s="34"/>
      <c r="AF70" s="34"/>
      <c r="AG70" s="34"/>
      <c r="AH70" s="34"/>
    </row>
    <row r="71" spans="1:34" x14ac:dyDescent="0.25">
      <c r="A71" s="179"/>
      <c r="B71" s="2946"/>
      <c r="C71" s="3191"/>
      <c r="D71" s="4058"/>
      <c r="E71" s="4060"/>
      <c r="F71" s="2421"/>
      <c r="G71" s="2421"/>
      <c r="H71" s="2420"/>
      <c r="I71" s="2421"/>
      <c r="J71" s="2421"/>
      <c r="K71" s="4060"/>
      <c r="L71" s="2922"/>
      <c r="M71" s="2647" t="s">
        <v>34</v>
      </c>
      <c r="N71" s="2648"/>
      <c r="O71" s="1321"/>
      <c r="P71" s="395">
        <f>SUBTOTAL(9,P72)</f>
        <v>50000</v>
      </c>
      <c r="Q71" s="395">
        <f t="shared" ref="Q71:Z71" si="9">SUBTOTAL(9,Q72)</f>
        <v>50000</v>
      </c>
      <c r="R71" s="395">
        <f t="shared" si="9"/>
        <v>0</v>
      </c>
      <c r="S71" s="395">
        <f t="shared" si="9"/>
        <v>10000</v>
      </c>
      <c r="T71" s="395">
        <f t="shared" si="9"/>
        <v>20000</v>
      </c>
      <c r="U71" s="395">
        <f t="shared" si="9"/>
        <v>30000</v>
      </c>
      <c r="V71" s="395">
        <f t="shared" si="9"/>
        <v>66740</v>
      </c>
      <c r="W71" s="395">
        <f t="shared" si="9"/>
        <v>90000</v>
      </c>
      <c r="X71" s="395">
        <f t="shared" si="9"/>
        <v>100000</v>
      </c>
      <c r="Y71" s="395">
        <f t="shared" si="9"/>
        <v>90000</v>
      </c>
      <c r="Z71" s="395">
        <f t="shared" si="9"/>
        <v>60000</v>
      </c>
      <c r="AA71" s="1479">
        <f>SUBTOTAL(9,AA72:AA77)</f>
        <v>566740</v>
      </c>
      <c r="AB71" s="35"/>
      <c r="AC71" s="183"/>
      <c r="AD71" s="34"/>
      <c r="AE71" s="34"/>
      <c r="AF71" s="34"/>
      <c r="AG71" s="34"/>
      <c r="AH71" s="34"/>
    </row>
    <row r="72" spans="1:34" ht="15" customHeight="1" x14ac:dyDescent="0.25">
      <c r="A72" s="179"/>
      <c r="B72" s="2946"/>
      <c r="C72" s="3191"/>
      <c r="D72" s="4058"/>
      <c r="E72" s="4060"/>
      <c r="F72" s="2421"/>
      <c r="G72" s="2421"/>
      <c r="H72" s="2420"/>
      <c r="I72" s="2421"/>
      <c r="J72" s="2421"/>
      <c r="K72" s="4060"/>
      <c r="L72" s="2922"/>
      <c r="M72" s="4054" t="s">
        <v>555</v>
      </c>
      <c r="N72" s="2438" t="s">
        <v>556</v>
      </c>
      <c r="O72" s="4057"/>
      <c r="P72" s="4060">
        <v>50000</v>
      </c>
      <c r="Q72" s="4060">
        <v>50000</v>
      </c>
      <c r="R72" s="4060"/>
      <c r="S72" s="4060">
        <v>10000</v>
      </c>
      <c r="T72" s="4060">
        <v>20000</v>
      </c>
      <c r="U72" s="4060">
        <v>30000</v>
      </c>
      <c r="V72" s="4060">
        <v>66740</v>
      </c>
      <c r="W72" s="4060">
        <v>90000</v>
      </c>
      <c r="X72" s="4060">
        <v>100000</v>
      </c>
      <c r="Y72" s="4060">
        <v>90000</v>
      </c>
      <c r="Z72" s="4060">
        <v>60000</v>
      </c>
      <c r="AA72" s="4057">
        <v>30000</v>
      </c>
      <c r="AB72" s="35"/>
      <c r="AC72" s="183"/>
      <c r="AD72" s="34"/>
      <c r="AE72" s="34"/>
      <c r="AF72" s="34"/>
      <c r="AG72" s="34"/>
      <c r="AH72" s="34"/>
    </row>
    <row r="73" spans="1:34" ht="7.5" customHeight="1" x14ac:dyDescent="0.25">
      <c r="A73" s="179"/>
      <c r="B73" s="2946"/>
      <c r="C73" s="3191"/>
      <c r="D73" s="4058"/>
      <c r="E73" s="4060"/>
      <c r="F73" s="2421"/>
      <c r="G73" s="2421"/>
      <c r="H73" s="2420"/>
      <c r="I73" s="2421"/>
      <c r="J73" s="2421"/>
      <c r="K73" s="4060"/>
      <c r="L73" s="2922"/>
      <c r="M73" s="4055"/>
      <c r="N73" s="2450"/>
      <c r="O73" s="4058"/>
      <c r="P73" s="4060"/>
      <c r="Q73" s="4060"/>
      <c r="R73" s="4060"/>
      <c r="S73" s="4060"/>
      <c r="T73" s="4060"/>
      <c r="U73" s="4060"/>
      <c r="V73" s="4060"/>
      <c r="W73" s="4060"/>
      <c r="X73" s="4060"/>
      <c r="Y73" s="4060"/>
      <c r="Z73" s="4060"/>
      <c r="AA73" s="4059"/>
      <c r="AB73" s="35"/>
      <c r="AC73" s="183"/>
      <c r="AD73" s="34"/>
      <c r="AE73" s="34"/>
      <c r="AF73" s="34"/>
      <c r="AG73" s="34"/>
      <c r="AH73" s="34"/>
    </row>
    <row r="74" spans="1:34" x14ac:dyDescent="0.25">
      <c r="A74" s="179"/>
      <c r="B74" s="2946"/>
      <c r="C74" s="3191"/>
      <c r="D74" s="4058"/>
      <c r="E74" s="4060"/>
      <c r="F74" s="2421"/>
      <c r="G74" s="2421"/>
      <c r="H74" s="2420"/>
      <c r="I74" s="2421"/>
      <c r="J74" s="2421"/>
      <c r="K74" s="4060"/>
      <c r="L74" s="2922"/>
      <c r="M74" s="1339" t="s">
        <v>1399</v>
      </c>
      <c r="N74" s="1282" t="s">
        <v>1400</v>
      </c>
      <c r="O74" s="4058"/>
      <c r="P74" s="4060"/>
      <c r="Q74" s="4060"/>
      <c r="R74" s="4060"/>
      <c r="S74" s="4060"/>
      <c r="T74" s="4060"/>
      <c r="U74" s="4060"/>
      <c r="V74" s="4060"/>
      <c r="W74" s="4060"/>
      <c r="X74" s="4060"/>
      <c r="Y74" s="4060"/>
      <c r="Z74" s="4060"/>
      <c r="AA74" s="393">
        <v>30000</v>
      </c>
      <c r="AB74" s="35"/>
      <c r="AC74" s="183"/>
      <c r="AD74" s="34"/>
      <c r="AE74" s="34"/>
      <c r="AF74" s="34"/>
      <c r="AG74" s="34"/>
      <c r="AH74" s="34"/>
    </row>
    <row r="75" spans="1:34" ht="22.5" x14ac:dyDescent="0.25">
      <c r="A75" s="179"/>
      <c r="B75" s="2946"/>
      <c r="C75" s="3191"/>
      <c r="D75" s="4058"/>
      <c r="E75" s="4060"/>
      <c r="F75" s="2421"/>
      <c r="G75" s="2421"/>
      <c r="H75" s="2420"/>
      <c r="I75" s="2421"/>
      <c r="J75" s="2421"/>
      <c r="K75" s="4060"/>
      <c r="L75" s="2922"/>
      <c r="M75" s="1466" t="s">
        <v>1380</v>
      </c>
      <c r="N75" s="1466" t="s">
        <v>1381</v>
      </c>
      <c r="O75" s="4058"/>
      <c r="P75" s="4060"/>
      <c r="Q75" s="4060"/>
      <c r="R75" s="4060"/>
      <c r="S75" s="4060"/>
      <c r="T75" s="4060"/>
      <c r="U75" s="4060"/>
      <c r="V75" s="4060"/>
      <c r="W75" s="4060"/>
      <c r="X75" s="4060"/>
      <c r="Y75" s="4060"/>
      <c r="Z75" s="4060"/>
      <c r="AA75" s="393">
        <v>60000</v>
      </c>
      <c r="AB75" s="35"/>
      <c r="AC75" s="183"/>
      <c r="AD75" s="34"/>
      <c r="AE75" s="34"/>
      <c r="AF75" s="34"/>
      <c r="AG75" s="34"/>
      <c r="AH75" s="34"/>
    </row>
    <row r="76" spans="1:34" ht="25.5" customHeight="1" x14ac:dyDescent="0.25">
      <c r="A76" s="179"/>
      <c r="B76" s="2946"/>
      <c r="C76" s="3191"/>
      <c r="D76" s="4058"/>
      <c r="E76" s="4060"/>
      <c r="F76" s="2421"/>
      <c r="G76" s="2421"/>
      <c r="H76" s="2420"/>
      <c r="I76" s="2421"/>
      <c r="J76" s="2421"/>
      <c r="K76" s="4060"/>
      <c r="L76" s="2922"/>
      <c r="M76" s="1282" t="s">
        <v>1387</v>
      </c>
      <c r="N76" s="1282" t="s">
        <v>117</v>
      </c>
      <c r="O76" s="4058"/>
      <c r="P76" s="4060"/>
      <c r="Q76" s="4060"/>
      <c r="R76" s="4060"/>
      <c r="S76" s="4060"/>
      <c r="T76" s="4060"/>
      <c r="U76" s="4060"/>
      <c r="V76" s="4060"/>
      <c r="W76" s="4060"/>
      <c r="X76" s="4060"/>
      <c r="Y76" s="4060"/>
      <c r="Z76" s="4060"/>
      <c r="AA76" s="393">
        <v>336740</v>
      </c>
      <c r="AB76" s="35"/>
      <c r="AC76" s="183"/>
      <c r="AD76" s="34"/>
      <c r="AE76" s="34"/>
      <c r="AF76" s="34"/>
      <c r="AG76" s="34"/>
      <c r="AH76" s="34"/>
    </row>
    <row r="77" spans="1:34" ht="21.75" customHeight="1" x14ac:dyDescent="0.25">
      <c r="A77" s="179"/>
      <c r="B77" s="2947"/>
      <c r="C77" s="2439"/>
      <c r="D77" s="4059"/>
      <c r="E77" s="4060"/>
      <c r="F77" s="2421"/>
      <c r="G77" s="2421"/>
      <c r="H77" s="2420"/>
      <c r="I77" s="2421"/>
      <c r="J77" s="2421"/>
      <c r="K77" s="4060"/>
      <c r="L77" s="2922"/>
      <c r="M77" s="1320" t="s">
        <v>1410</v>
      </c>
      <c r="N77" s="1287" t="s">
        <v>1411</v>
      </c>
      <c r="O77" s="4059"/>
      <c r="P77" s="4060"/>
      <c r="Q77" s="4060"/>
      <c r="R77" s="4060"/>
      <c r="S77" s="4060"/>
      <c r="T77" s="4060"/>
      <c r="U77" s="4060"/>
      <c r="V77" s="4060"/>
      <c r="W77" s="4060"/>
      <c r="X77" s="4060"/>
      <c r="Y77" s="4060"/>
      <c r="Z77" s="4060"/>
      <c r="AA77" s="1480">
        <v>110000</v>
      </c>
      <c r="AB77" s="35"/>
      <c r="AC77" s="183"/>
      <c r="AD77" s="34"/>
      <c r="AE77" s="34"/>
      <c r="AF77" s="34"/>
      <c r="AG77" s="34"/>
      <c r="AH77" s="34"/>
    </row>
    <row r="78" spans="1:34" x14ac:dyDescent="0.25">
      <c r="A78" s="179"/>
      <c r="B78" s="4066">
        <v>6000028</v>
      </c>
      <c r="C78" s="4054" t="s">
        <v>1412</v>
      </c>
      <c r="D78" s="4057"/>
      <c r="E78" s="2421">
        <v>17</v>
      </c>
      <c r="F78" s="2421">
        <v>54</v>
      </c>
      <c r="G78" s="2421">
        <v>119</v>
      </c>
      <c r="H78" s="2427" t="s">
        <v>1413</v>
      </c>
      <c r="I78" s="3403" t="s">
        <v>1414</v>
      </c>
      <c r="J78" s="2421">
        <v>3</v>
      </c>
      <c r="K78" s="4070">
        <v>500000</v>
      </c>
      <c r="L78" s="3294" t="s">
        <v>1415</v>
      </c>
      <c r="M78" s="2647" t="s">
        <v>33</v>
      </c>
      <c r="N78" s="2648"/>
      <c r="O78" s="1328"/>
      <c r="P78" s="4073" t="s">
        <v>1407</v>
      </c>
      <c r="Q78" s="4074"/>
      <c r="R78" s="4075"/>
      <c r="S78" s="4073" t="s">
        <v>1416</v>
      </c>
      <c r="T78" s="4074"/>
      <c r="U78" s="4075"/>
      <c r="V78" s="4073" t="s">
        <v>1417</v>
      </c>
      <c r="W78" s="4074"/>
      <c r="X78" s="4074"/>
      <c r="Y78" s="4074"/>
      <c r="Z78" s="4075"/>
      <c r="AA78" s="1481">
        <v>3</v>
      </c>
      <c r="AB78" s="35"/>
      <c r="AC78" s="183"/>
      <c r="AD78" s="34"/>
      <c r="AE78" s="34"/>
      <c r="AF78" s="34"/>
      <c r="AG78" s="34"/>
      <c r="AH78" s="34"/>
    </row>
    <row r="79" spans="1:34" x14ac:dyDescent="0.25">
      <c r="A79" s="179"/>
      <c r="B79" s="4067"/>
      <c r="C79" s="4069"/>
      <c r="D79" s="4058"/>
      <c r="E79" s="2421"/>
      <c r="F79" s="2421"/>
      <c r="G79" s="2421"/>
      <c r="H79" s="2430"/>
      <c r="I79" s="3404"/>
      <c r="J79" s="2421"/>
      <c r="K79" s="4071"/>
      <c r="L79" s="3295"/>
      <c r="M79" s="2647" t="s">
        <v>34</v>
      </c>
      <c r="N79" s="2648"/>
      <c r="O79" s="1326"/>
      <c r="P79" s="395">
        <v>20000</v>
      </c>
      <c r="Q79" s="395">
        <v>30000</v>
      </c>
      <c r="R79" s="395">
        <v>50000</v>
      </c>
      <c r="S79" s="395">
        <v>40000</v>
      </c>
      <c r="T79" s="395">
        <v>80000</v>
      </c>
      <c r="U79" s="395">
        <v>40000</v>
      </c>
      <c r="V79" s="395">
        <v>50000</v>
      </c>
      <c r="W79" s="395">
        <v>40000</v>
      </c>
      <c r="X79" s="395">
        <v>40000</v>
      </c>
      <c r="Y79" s="395">
        <v>50000</v>
      </c>
      <c r="Z79" s="395">
        <v>60000</v>
      </c>
      <c r="AA79" s="1482">
        <f>SUM(O79:Z79)</f>
        <v>500000</v>
      </c>
      <c r="AB79" s="35"/>
      <c r="AC79" s="183"/>
      <c r="AD79" s="34"/>
      <c r="AE79" s="34"/>
      <c r="AF79" s="34"/>
      <c r="AG79" s="34"/>
      <c r="AH79" s="34"/>
    </row>
    <row r="80" spans="1:34" ht="15" customHeight="1" x14ac:dyDescent="0.25">
      <c r="A80" s="179"/>
      <c r="B80" s="4067"/>
      <c r="C80" s="4069"/>
      <c r="D80" s="4058"/>
      <c r="E80" s="2421"/>
      <c r="F80" s="2421">
        <v>54</v>
      </c>
      <c r="G80" s="2421">
        <v>119</v>
      </c>
      <c r="H80" s="2430"/>
      <c r="I80" s="3404"/>
      <c r="J80" s="2421"/>
      <c r="K80" s="4071"/>
      <c r="L80" s="3295"/>
      <c r="M80" s="4054" t="s">
        <v>555</v>
      </c>
      <c r="N80" s="2424" t="s">
        <v>556</v>
      </c>
      <c r="O80" s="35"/>
      <c r="P80" s="4056">
        <v>20000</v>
      </c>
      <c r="Q80" s="4056">
        <v>30000</v>
      </c>
      <c r="R80" s="4056">
        <v>50000</v>
      </c>
      <c r="S80" s="4056">
        <v>40000</v>
      </c>
      <c r="T80" s="4056">
        <v>80000</v>
      </c>
      <c r="U80" s="4056">
        <v>40000</v>
      </c>
      <c r="V80" s="4056">
        <v>50000</v>
      </c>
      <c r="W80" s="4056">
        <v>40000</v>
      </c>
      <c r="X80" s="4056">
        <v>40000</v>
      </c>
      <c r="Y80" s="4056">
        <v>50000</v>
      </c>
      <c r="Z80" s="4056">
        <v>60000</v>
      </c>
      <c r="AA80" s="4124">
        <v>30000</v>
      </c>
      <c r="AB80" s="35"/>
      <c r="AC80" s="183"/>
      <c r="AD80" s="34"/>
      <c r="AE80" s="34"/>
      <c r="AF80" s="34"/>
      <c r="AG80" s="34"/>
      <c r="AH80" s="34"/>
    </row>
    <row r="81" spans="1:34" x14ac:dyDescent="0.25">
      <c r="A81" s="179"/>
      <c r="B81" s="4067"/>
      <c r="C81" s="4069"/>
      <c r="D81" s="4058"/>
      <c r="E81" s="2421"/>
      <c r="F81" s="2421"/>
      <c r="G81" s="2421"/>
      <c r="H81" s="2430"/>
      <c r="I81" s="3404"/>
      <c r="J81" s="2421"/>
      <c r="K81" s="4071"/>
      <c r="L81" s="3295"/>
      <c r="M81" s="4055"/>
      <c r="N81" s="2425"/>
      <c r="O81" s="397"/>
      <c r="P81" s="4056"/>
      <c r="Q81" s="4056"/>
      <c r="R81" s="4056"/>
      <c r="S81" s="4056"/>
      <c r="T81" s="4056"/>
      <c r="U81" s="4056"/>
      <c r="V81" s="4056"/>
      <c r="W81" s="4056"/>
      <c r="X81" s="4056"/>
      <c r="Y81" s="4056"/>
      <c r="Z81" s="4056"/>
      <c r="AA81" s="4125"/>
      <c r="AB81" s="35"/>
      <c r="AC81" s="183"/>
      <c r="AD81" s="34"/>
      <c r="AE81" s="34"/>
      <c r="AF81" s="34"/>
      <c r="AG81" s="34"/>
      <c r="AH81" s="34"/>
    </row>
    <row r="82" spans="1:34" x14ac:dyDescent="0.25">
      <c r="A82" s="179"/>
      <c r="B82" s="4067"/>
      <c r="C82" s="4069"/>
      <c r="D82" s="4058"/>
      <c r="E82" s="2421"/>
      <c r="F82" s="2421"/>
      <c r="G82" s="2421"/>
      <c r="H82" s="2430"/>
      <c r="I82" s="3404"/>
      <c r="J82" s="2421"/>
      <c r="K82" s="4071"/>
      <c r="L82" s="3295"/>
      <c r="M82" s="1339" t="s">
        <v>1399</v>
      </c>
      <c r="N82" s="696" t="s">
        <v>1400</v>
      </c>
      <c r="O82" s="398"/>
      <c r="P82" s="4056"/>
      <c r="Q82" s="4056"/>
      <c r="R82" s="4056"/>
      <c r="S82" s="4056"/>
      <c r="T82" s="4056"/>
      <c r="U82" s="4056"/>
      <c r="V82" s="4056"/>
      <c r="W82" s="4056"/>
      <c r="X82" s="4056"/>
      <c r="Y82" s="4056"/>
      <c r="Z82" s="4056"/>
      <c r="AA82" s="399">
        <v>200000</v>
      </c>
      <c r="AB82" s="35"/>
      <c r="AC82" s="183"/>
      <c r="AD82" s="34"/>
      <c r="AE82" s="34"/>
      <c r="AF82" s="34"/>
      <c r="AG82" s="34"/>
      <c r="AH82" s="34"/>
    </row>
    <row r="83" spans="1:34" ht="22.5" x14ac:dyDescent="0.25">
      <c r="A83" s="179"/>
      <c r="B83" s="4067"/>
      <c r="C83" s="4069"/>
      <c r="D83" s="4058"/>
      <c r="E83" s="2421"/>
      <c r="F83" s="2421"/>
      <c r="G83" s="2421"/>
      <c r="H83" s="2430"/>
      <c r="I83" s="3404"/>
      <c r="J83" s="2421"/>
      <c r="K83" s="4071"/>
      <c r="L83" s="3295"/>
      <c r="M83" s="1467" t="s">
        <v>1380</v>
      </c>
      <c r="N83" s="1467" t="s">
        <v>1381</v>
      </c>
      <c r="O83" s="398"/>
      <c r="P83" s="4056"/>
      <c r="Q83" s="4056"/>
      <c r="R83" s="4056"/>
      <c r="S83" s="4056"/>
      <c r="T83" s="4056"/>
      <c r="U83" s="4056"/>
      <c r="V83" s="4056"/>
      <c r="W83" s="4056"/>
      <c r="X83" s="4056"/>
      <c r="Y83" s="4056"/>
      <c r="Z83" s="4056"/>
      <c r="AA83" s="399">
        <v>120000</v>
      </c>
      <c r="AB83" s="35"/>
      <c r="AC83" s="183"/>
      <c r="AD83" s="34"/>
      <c r="AE83" s="34"/>
      <c r="AF83" s="34"/>
      <c r="AG83" s="34"/>
      <c r="AH83" s="34"/>
    </row>
    <row r="84" spans="1:34" ht="20.25" customHeight="1" x14ac:dyDescent="0.25">
      <c r="A84" s="179"/>
      <c r="B84" s="4068"/>
      <c r="C84" s="4055"/>
      <c r="D84" s="4059"/>
      <c r="E84" s="2421"/>
      <c r="F84" s="2421"/>
      <c r="G84" s="2421"/>
      <c r="H84" s="2434"/>
      <c r="I84" s="3405"/>
      <c r="J84" s="2421"/>
      <c r="K84" s="4072"/>
      <c r="L84" s="3296"/>
      <c r="M84" s="696" t="s">
        <v>1387</v>
      </c>
      <c r="N84" s="696" t="s">
        <v>117</v>
      </c>
      <c r="O84" s="400"/>
      <c r="P84" s="4056"/>
      <c r="Q84" s="4056"/>
      <c r="R84" s="4056"/>
      <c r="S84" s="4056"/>
      <c r="T84" s="4056"/>
      <c r="U84" s="4056"/>
      <c r="V84" s="4056"/>
      <c r="W84" s="4056"/>
      <c r="X84" s="4056"/>
      <c r="Y84" s="4056"/>
      <c r="Z84" s="4056"/>
      <c r="AA84" s="399">
        <v>150000</v>
      </c>
      <c r="AB84" s="35"/>
      <c r="AC84" s="183"/>
      <c r="AD84" s="34"/>
      <c r="AE84" s="34"/>
      <c r="AF84" s="34"/>
      <c r="AG84" s="34"/>
      <c r="AH84" s="34"/>
    </row>
    <row r="85" spans="1:34" x14ac:dyDescent="0.25">
      <c r="A85" s="179"/>
      <c r="B85" s="2945">
        <v>6000008</v>
      </c>
      <c r="C85" s="4132" t="s">
        <v>1418</v>
      </c>
      <c r="D85" s="4057"/>
      <c r="E85" s="2431">
        <v>17</v>
      </c>
      <c r="F85" s="2431">
        <v>54</v>
      </c>
      <c r="G85" s="2431">
        <v>119</v>
      </c>
      <c r="H85" s="2427" t="s">
        <v>1419</v>
      </c>
      <c r="I85" s="3403" t="s">
        <v>1420</v>
      </c>
      <c r="J85" s="2431">
        <v>2</v>
      </c>
      <c r="K85" s="4070">
        <f>4255742+324062+47461+53840+50825+952065</f>
        <v>5683995</v>
      </c>
      <c r="L85" s="3294" t="s">
        <v>1421</v>
      </c>
      <c r="M85" s="2647" t="s">
        <v>33</v>
      </c>
      <c r="N85" s="2648"/>
      <c r="O85" s="400"/>
      <c r="P85" s="4076" t="s">
        <v>1422</v>
      </c>
      <c r="Q85" s="4077"/>
      <c r="R85" s="4073" t="s">
        <v>1423</v>
      </c>
      <c r="S85" s="4075"/>
      <c r="T85" s="4073" t="s">
        <v>1424</v>
      </c>
      <c r="U85" s="4074"/>
      <c r="V85" s="4075"/>
      <c r="W85" s="1328"/>
      <c r="X85" s="1328"/>
      <c r="Y85" s="1328"/>
      <c r="Z85" s="1329"/>
      <c r="AA85" s="1483">
        <v>3</v>
      </c>
      <c r="AB85" s="35"/>
      <c r="AC85" s="183"/>
      <c r="AD85" s="34"/>
      <c r="AE85" s="34"/>
      <c r="AF85" s="34"/>
      <c r="AG85" s="34"/>
      <c r="AH85" s="34"/>
    </row>
    <row r="86" spans="1:34" x14ac:dyDescent="0.25">
      <c r="A86" s="179"/>
      <c r="B86" s="2946"/>
      <c r="C86" s="4133"/>
      <c r="D86" s="4058"/>
      <c r="E86" s="2432"/>
      <c r="F86" s="2432"/>
      <c r="G86" s="2432"/>
      <c r="H86" s="2430"/>
      <c r="I86" s="3404"/>
      <c r="J86" s="2432"/>
      <c r="K86" s="4071"/>
      <c r="L86" s="3295"/>
      <c r="M86" s="2647" t="s">
        <v>34</v>
      </c>
      <c r="N86" s="2648"/>
      <c r="O86" s="400"/>
      <c r="P86" s="1328">
        <v>55000</v>
      </c>
      <c r="Q86" s="1328">
        <v>65000</v>
      </c>
      <c r="R86" s="1328">
        <v>45000</v>
      </c>
      <c r="S86" s="1328">
        <v>45000</v>
      </c>
      <c r="T86" s="1328">
        <v>15000</v>
      </c>
      <c r="U86" s="1328">
        <v>15000</v>
      </c>
      <c r="V86" s="1328">
        <v>10000</v>
      </c>
      <c r="W86" s="1328"/>
      <c r="X86" s="1328"/>
      <c r="Y86" s="1328"/>
      <c r="Z86" s="1329"/>
      <c r="AA86" s="427">
        <f>SUM(O86:Z86)</f>
        <v>250000</v>
      </c>
      <c r="AB86" s="35"/>
      <c r="AC86" s="183"/>
      <c r="AD86" s="34"/>
      <c r="AE86" s="34"/>
      <c r="AF86" s="34"/>
      <c r="AG86" s="34"/>
      <c r="AH86" s="34"/>
    </row>
    <row r="87" spans="1:34" ht="15" customHeight="1" x14ac:dyDescent="0.25">
      <c r="A87" s="179"/>
      <c r="B87" s="2946"/>
      <c r="C87" s="4133"/>
      <c r="D87" s="4058"/>
      <c r="E87" s="2432"/>
      <c r="F87" s="2432">
        <v>54</v>
      </c>
      <c r="G87" s="2432">
        <v>119</v>
      </c>
      <c r="H87" s="2430"/>
      <c r="I87" s="3404"/>
      <c r="J87" s="2432"/>
      <c r="K87" s="4071"/>
      <c r="L87" s="3295"/>
      <c r="M87" s="2424" t="s">
        <v>1387</v>
      </c>
      <c r="N87" s="2424" t="s">
        <v>117</v>
      </c>
      <c r="O87" s="401"/>
      <c r="P87" s="4060">
        <v>55000</v>
      </c>
      <c r="Q87" s="4060">
        <v>65000</v>
      </c>
      <c r="R87" s="4060">
        <v>45000</v>
      </c>
      <c r="S87" s="4060">
        <v>45000</v>
      </c>
      <c r="T87" s="4060">
        <v>15000</v>
      </c>
      <c r="U87" s="4060">
        <v>15000</v>
      </c>
      <c r="V87" s="4060">
        <v>10000</v>
      </c>
      <c r="W87" s="4060"/>
      <c r="X87" s="4060"/>
      <c r="Y87" s="4060"/>
      <c r="Z87" s="4060"/>
      <c r="AA87" s="4070">
        <v>250000</v>
      </c>
      <c r="AB87" s="35"/>
      <c r="AC87" s="183"/>
      <c r="AD87" s="34"/>
      <c r="AE87" s="34"/>
      <c r="AF87" s="34"/>
      <c r="AG87" s="34"/>
      <c r="AH87" s="34"/>
    </row>
    <row r="88" spans="1:34" ht="45.75" customHeight="1" x14ac:dyDescent="0.25">
      <c r="A88" s="179"/>
      <c r="B88" s="2947"/>
      <c r="C88" s="4134"/>
      <c r="D88" s="4059"/>
      <c r="E88" s="2437"/>
      <c r="F88" s="2437"/>
      <c r="G88" s="2437"/>
      <c r="H88" s="2434"/>
      <c r="I88" s="3405"/>
      <c r="J88" s="2437"/>
      <c r="K88" s="4072"/>
      <c r="L88" s="3296"/>
      <c r="M88" s="2425"/>
      <c r="N88" s="2425"/>
      <c r="O88" s="401"/>
      <c r="P88" s="4060"/>
      <c r="Q88" s="4060"/>
      <c r="R88" s="4060"/>
      <c r="S88" s="4060"/>
      <c r="T88" s="4060"/>
      <c r="U88" s="4060"/>
      <c r="V88" s="4060"/>
      <c r="W88" s="4060"/>
      <c r="X88" s="4060"/>
      <c r="Y88" s="4060"/>
      <c r="Z88" s="4060"/>
      <c r="AA88" s="4072"/>
      <c r="AB88" s="35"/>
      <c r="AC88" s="183"/>
      <c r="AD88" s="34"/>
      <c r="AE88" s="34"/>
      <c r="AF88" s="34"/>
      <c r="AG88" s="34"/>
      <c r="AH88" s="34"/>
    </row>
    <row r="89" spans="1:34" x14ac:dyDescent="0.25">
      <c r="A89" s="179"/>
      <c r="B89" s="1295"/>
      <c r="C89" s="361"/>
      <c r="D89" s="361"/>
      <c r="E89" s="361"/>
      <c r="F89" s="361"/>
      <c r="G89" s="361"/>
      <c r="H89" s="361"/>
      <c r="I89" s="361"/>
      <c r="J89" s="361"/>
      <c r="K89" s="1794"/>
      <c r="L89" s="361"/>
      <c r="M89" s="361"/>
      <c r="N89" s="361"/>
      <c r="O89" s="361"/>
      <c r="P89" s="361"/>
      <c r="Q89" s="361"/>
      <c r="R89" s="361"/>
      <c r="S89" s="361"/>
      <c r="T89" s="361"/>
      <c r="U89" s="361"/>
      <c r="V89" s="361"/>
      <c r="W89" s="109"/>
      <c r="X89" s="109"/>
      <c r="Y89" s="109"/>
      <c r="Z89" s="109"/>
      <c r="AA89" s="109"/>
      <c r="AB89" s="35"/>
      <c r="AC89" s="183"/>
      <c r="AD89" s="34"/>
      <c r="AE89" s="34"/>
      <c r="AF89" s="34"/>
      <c r="AG89" s="34"/>
      <c r="AH89" s="34"/>
    </row>
    <row r="90" spans="1:34" x14ac:dyDescent="0.25">
      <c r="A90" s="179"/>
      <c r="B90" s="4126" t="s">
        <v>6</v>
      </c>
      <c r="C90" s="4128" t="s">
        <v>1425</v>
      </c>
      <c r="D90" s="4129"/>
      <c r="E90" s="4129"/>
      <c r="F90" s="4129"/>
      <c r="G90" s="4129"/>
      <c r="H90" s="4129"/>
      <c r="I90" s="4129"/>
      <c r="J90" s="4129"/>
      <c r="K90" s="4129"/>
      <c r="L90" s="4129"/>
      <c r="M90" s="4129"/>
      <c r="N90" s="4129"/>
      <c r="O90" s="4129"/>
      <c r="P90" s="4129"/>
      <c r="Q90" s="4129"/>
      <c r="R90" s="4129"/>
      <c r="S90" s="4129"/>
      <c r="T90" s="4129"/>
      <c r="U90" s="4129"/>
      <c r="V90" s="4129"/>
      <c r="W90" s="410"/>
      <c r="X90" s="410"/>
      <c r="Y90" s="410"/>
      <c r="Z90" s="410"/>
      <c r="AA90" s="417"/>
      <c r="AB90" s="35"/>
      <c r="AC90" s="183"/>
      <c r="AD90" s="34"/>
      <c r="AE90" s="34"/>
      <c r="AF90" s="34"/>
      <c r="AG90" s="34"/>
      <c r="AH90" s="34"/>
    </row>
    <row r="91" spans="1:34" x14ac:dyDescent="0.25">
      <c r="A91" s="179"/>
      <c r="B91" s="4127"/>
      <c r="C91" s="4128" t="s">
        <v>1426</v>
      </c>
      <c r="D91" s="4129"/>
      <c r="E91" s="4129"/>
      <c r="F91" s="4129"/>
      <c r="G91" s="4129"/>
      <c r="H91" s="4129"/>
      <c r="I91" s="4129"/>
      <c r="J91" s="4129"/>
      <c r="K91" s="4129"/>
      <c r="L91" s="4129"/>
      <c r="M91" s="4129"/>
      <c r="N91" s="4129"/>
      <c r="O91" s="4129"/>
      <c r="P91" s="4129"/>
      <c r="Q91" s="4129"/>
      <c r="R91" s="4129"/>
      <c r="S91" s="4129"/>
      <c r="T91" s="4129"/>
      <c r="U91" s="4129"/>
      <c r="V91" s="4129"/>
      <c r="W91" s="410"/>
      <c r="X91" s="410"/>
      <c r="Y91" s="410"/>
      <c r="Z91" s="410"/>
      <c r="AA91" s="417"/>
      <c r="AB91" s="35"/>
      <c r="AC91" s="183"/>
      <c r="AD91" s="34"/>
      <c r="AE91" s="34"/>
      <c r="AF91" s="34"/>
      <c r="AG91" s="34"/>
      <c r="AH91" s="34"/>
    </row>
    <row r="92" spans="1:34" x14ac:dyDescent="0.25">
      <c r="A92" s="179"/>
      <c r="B92" s="4127"/>
      <c r="C92" s="4128" t="s">
        <v>1427</v>
      </c>
      <c r="D92" s="4129"/>
      <c r="E92" s="4129"/>
      <c r="F92" s="4129"/>
      <c r="G92" s="4129"/>
      <c r="H92" s="4129"/>
      <c r="I92" s="4129"/>
      <c r="J92" s="4129"/>
      <c r="K92" s="4129"/>
      <c r="L92" s="4129"/>
      <c r="M92" s="4129"/>
      <c r="N92" s="4129"/>
      <c r="O92" s="4129"/>
      <c r="P92" s="4129"/>
      <c r="Q92" s="4129"/>
      <c r="R92" s="4129"/>
      <c r="S92" s="4129"/>
      <c r="T92" s="4129"/>
      <c r="U92" s="4129"/>
      <c r="V92" s="4129"/>
      <c r="W92" s="410"/>
      <c r="X92" s="410"/>
      <c r="Y92" s="410"/>
      <c r="Z92" s="410"/>
      <c r="AA92" s="417"/>
      <c r="AB92" s="35"/>
      <c r="AC92" s="183"/>
      <c r="AD92" s="34"/>
      <c r="AE92" s="34"/>
      <c r="AF92" s="34"/>
      <c r="AG92" s="34"/>
      <c r="AH92" s="34"/>
    </row>
    <row r="93" spans="1:34" x14ac:dyDescent="0.25">
      <c r="A93" s="179"/>
      <c r="B93" s="4127"/>
      <c r="C93" s="4128" t="s">
        <v>1428</v>
      </c>
      <c r="D93" s="4129"/>
      <c r="E93" s="4129"/>
      <c r="F93" s="4129"/>
      <c r="G93" s="4129"/>
      <c r="H93" s="4129"/>
      <c r="I93" s="4129"/>
      <c r="J93" s="4129"/>
      <c r="K93" s="4129"/>
      <c r="L93" s="4129"/>
      <c r="M93" s="4129"/>
      <c r="N93" s="4129"/>
      <c r="O93" s="4129"/>
      <c r="P93" s="4129"/>
      <c r="Q93" s="4129"/>
      <c r="R93" s="4129"/>
      <c r="S93" s="4129"/>
      <c r="T93" s="4129"/>
      <c r="U93" s="4129"/>
      <c r="V93" s="4129"/>
      <c r="W93" s="410"/>
      <c r="X93" s="410"/>
      <c r="Y93" s="410"/>
      <c r="Z93" s="410"/>
      <c r="AA93" s="417"/>
      <c r="AB93" s="35"/>
      <c r="AC93" s="183"/>
      <c r="AD93" s="34"/>
      <c r="AE93" s="34"/>
      <c r="AF93" s="34"/>
      <c r="AG93" s="34"/>
      <c r="AH93" s="34"/>
    </row>
    <row r="94" spans="1:34" ht="15.75" thickBot="1" x14ac:dyDescent="0.3">
      <c r="A94" s="179"/>
      <c r="B94" s="4127"/>
      <c r="C94" s="4130" t="s">
        <v>1429</v>
      </c>
      <c r="D94" s="4131"/>
      <c r="E94" s="4131"/>
      <c r="F94" s="4131"/>
      <c r="G94" s="4131"/>
      <c r="H94" s="4131"/>
      <c r="I94" s="4131"/>
      <c r="J94" s="4131"/>
      <c r="K94" s="4131"/>
      <c r="L94" s="4131"/>
      <c r="M94" s="4131"/>
      <c r="N94" s="4131"/>
      <c r="O94" s="4131"/>
      <c r="P94" s="4131"/>
      <c r="Q94" s="4131"/>
      <c r="R94" s="4131"/>
      <c r="S94" s="4131"/>
      <c r="T94" s="4131"/>
      <c r="U94" s="4131"/>
      <c r="V94" s="4131"/>
      <c r="W94" s="411"/>
      <c r="X94" s="411"/>
      <c r="Y94" s="411"/>
      <c r="Z94" s="411"/>
      <c r="AA94" s="421"/>
      <c r="AB94" s="35"/>
      <c r="AC94" s="183"/>
      <c r="AD94" s="34"/>
      <c r="AE94" s="34"/>
      <c r="AF94" s="34"/>
      <c r="AG94" s="34"/>
      <c r="AH94" s="34"/>
    </row>
    <row r="95" spans="1:34" ht="22.5" customHeight="1" thickBot="1" x14ac:dyDescent="0.3">
      <c r="A95" s="179"/>
      <c r="B95" s="78" t="s">
        <v>8</v>
      </c>
      <c r="C95" s="563" t="s">
        <v>1430</v>
      </c>
      <c r="D95" s="2069"/>
      <c r="E95" s="2070"/>
      <c r="F95" s="2070"/>
      <c r="G95" s="2070"/>
      <c r="H95" s="2070"/>
      <c r="I95" s="2070"/>
      <c r="J95" s="2070"/>
      <c r="K95" s="2070"/>
      <c r="L95" s="2070"/>
      <c r="M95" s="2070"/>
      <c r="N95" s="2070"/>
      <c r="O95" s="2070"/>
      <c r="P95" s="2070"/>
      <c r="Q95" s="2070"/>
      <c r="R95" s="2070"/>
      <c r="S95" s="2070"/>
      <c r="T95" s="2070"/>
      <c r="U95" s="2070"/>
      <c r="V95" s="2071"/>
      <c r="W95" s="2072"/>
      <c r="X95" s="2072"/>
      <c r="Y95" s="2072"/>
      <c r="Z95" s="2072"/>
      <c r="AA95" s="2073"/>
      <c r="AB95" s="35"/>
      <c r="AC95" s="183"/>
      <c r="AD95" s="34"/>
      <c r="AE95" s="34"/>
      <c r="AF95" s="34"/>
      <c r="AG95" s="34"/>
      <c r="AH95" s="34"/>
    </row>
    <row r="96" spans="1:34" ht="24.75" customHeight="1" thickBot="1" x14ac:dyDescent="0.3">
      <c r="A96" s="179"/>
      <c r="B96" s="1336" t="s">
        <v>11</v>
      </c>
      <c r="C96" s="4147" t="s">
        <v>84</v>
      </c>
      <c r="D96" s="4148"/>
      <c r="E96" s="4148"/>
      <c r="F96" s="4148"/>
      <c r="G96" s="4148"/>
      <c r="H96" s="4148"/>
      <c r="I96" s="4148"/>
      <c r="J96" s="4148"/>
      <c r="K96" s="4148"/>
      <c r="L96" s="4148"/>
      <c r="M96" s="4148"/>
      <c r="N96" s="4148"/>
      <c r="O96" s="4148"/>
      <c r="P96" s="4148"/>
      <c r="Q96" s="4148"/>
      <c r="R96" s="4148"/>
      <c r="S96" s="4148"/>
      <c r="T96" s="4148"/>
      <c r="U96" s="4148"/>
      <c r="V96" s="4149"/>
      <c r="W96" s="412"/>
      <c r="X96" s="412"/>
      <c r="Y96" s="412"/>
      <c r="Z96" s="412"/>
      <c r="AA96" s="422"/>
      <c r="AB96" s="35"/>
      <c r="AC96" s="183"/>
      <c r="AD96" s="34"/>
      <c r="AE96" s="34"/>
      <c r="AF96" s="34"/>
      <c r="AG96" s="34"/>
      <c r="AH96" s="34"/>
    </row>
    <row r="97" spans="1:34" x14ac:dyDescent="0.25">
      <c r="A97" s="179"/>
      <c r="B97" s="4127" t="s">
        <v>13</v>
      </c>
      <c r="C97" s="4150">
        <v>35</v>
      </c>
      <c r="D97" s="4151" t="s">
        <v>1176</v>
      </c>
      <c r="E97" s="4152"/>
      <c r="F97" s="4152"/>
      <c r="G97" s="4152"/>
      <c r="H97" s="4152"/>
      <c r="I97" s="4152"/>
      <c r="J97" s="4152"/>
      <c r="K97" s="4152"/>
      <c r="L97" s="4152"/>
      <c r="M97" s="4152"/>
      <c r="N97" s="4152"/>
      <c r="O97" s="4152"/>
      <c r="P97" s="4152"/>
      <c r="Q97" s="4152"/>
      <c r="R97" s="4152"/>
      <c r="S97" s="4152"/>
      <c r="T97" s="4152"/>
      <c r="U97" s="4153"/>
      <c r="V97" s="3286" t="s">
        <v>15</v>
      </c>
      <c r="W97" s="4154"/>
      <c r="X97" s="4154"/>
      <c r="Y97" s="4136"/>
      <c r="Z97" s="4135" t="s">
        <v>16</v>
      </c>
      <c r="AA97" s="4136"/>
      <c r="AB97" s="35"/>
      <c r="AC97" s="183"/>
      <c r="AD97" s="34"/>
      <c r="AE97" s="34"/>
      <c r="AF97" s="34"/>
      <c r="AG97" s="34"/>
      <c r="AH97" s="34"/>
    </row>
    <row r="98" spans="1:34" x14ac:dyDescent="0.25">
      <c r="A98" s="179"/>
      <c r="B98" s="4127"/>
      <c r="C98" s="4150"/>
      <c r="D98" s="4151"/>
      <c r="E98" s="4152"/>
      <c r="F98" s="4152"/>
      <c r="G98" s="4152"/>
      <c r="H98" s="4152"/>
      <c r="I98" s="4152"/>
      <c r="J98" s="4152"/>
      <c r="K98" s="4152"/>
      <c r="L98" s="4152"/>
      <c r="M98" s="4152"/>
      <c r="N98" s="4152"/>
      <c r="O98" s="4152"/>
      <c r="P98" s="4152"/>
      <c r="Q98" s="4152"/>
      <c r="R98" s="4152"/>
      <c r="S98" s="4152"/>
      <c r="T98" s="4152"/>
      <c r="U98" s="4153"/>
      <c r="V98" s="4137" t="s">
        <v>1177</v>
      </c>
      <c r="W98" s="4138"/>
      <c r="X98" s="4138"/>
      <c r="Y98" s="4139"/>
      <c r="Z98" s="3344" t="s">
        <v>1178</v>
      </c>
      <c r="AA98" s="3346"/>
      <c r="AB98" s="35"/>
      <c r="AC98" s="183"/>
      <c r="AD98" s="34"/>
      <c r="AE98" s="34"/>
      <c r="AF98" s="34"/>
      <c r="AG98" s="34"/>
      <c r="AH98" s="34"/>
    </row>
    <row r="99" spans="1:34" ht="22.5" customHeight="1" x14ac:dyDescent="0.25">
      <c r="A99" s="179"/>
      <c r="B99" s="4127"/>
      <c r="C99" s="4150"/>
      <c r="D99" s="4151"/>
      <c r="E99" s="4152"/>
      <c r="F99" s="4152"/>
      <c r="G99" s="4152"/>
      <c r="H99" s="4152"/>
      <c r="I99" s="4152"/>
      <c r="J99" s="4152"/>
      <c r="K99" s="4152"/>
      <c r="L99" s="4152"/>
      <c r="M99" s="4152"/>
      <c r="N99" s="4152"/>
      <c r="O99" s="4152"/>
      <c r="P99" s="4152"/>
      <c r="Q99" s="4152"/>
      <c r="R99" s="4152"/>
      <c r="S99" s="4152"/>
      <c r="T99" s="4152"/>
      <c r="U99" s="4153"/>
      <c r="V99" s="4140"/>
      <c r="W99" s="4141"/>
      <c r="X99" s="4141"/>
      <c r="Y99" s="4142"/>
      <c r="Z99" s="3286"/>
      <c r="AA99" s="4143"/>
      <c r="AB99" s="35"/>
      <c r="AC99" s="183"/>
      <c r="AD99" s="34"/>
      <c r="AE99" s="34"/>
      <c r="AF99" s="34"/>
      <c r="AG99" s="34"/>
      <c r="AH99" s="34"/>
    </row>
    <row r="100" spans="1:34" ht="44.25" customHeight="1" x14ac:dyDescent="0.25">
      <c r="A100" s="179"/>
      <c r="B100" s="4127"/>
      <c r="C100" s="4150"/>
      <c r="D100" s="4151"/>
      <c r="E100" s="4152"/>
      <c r="F100" s="4152"/>
      <c r="G100" s="4152"/>
      <c r="H100" s="4152"/>
      <c r="I100" s="4152"/>
      <c r="J100" s="4152"/>
      <c r="K100" s="4152"/>
      <c r="L100" s="4152"/>
      <c r="M100" s="4152"/>
      <c r="N100" s="4152"/>
      <c r="O100" s="4152"/>
      <c r="P100" s="4152"/>
      <c r="Q100" s="4152"/>
      <c r="R100" s="4152"/>
      <c r="S100" s="4152"/>
      <c r="T100" s="4152"/>
      <c r="U100" s="4153"/>
      <c r="V100" s="4144" t="s">
        <v>1179</v>
      </c>
      <c r="W100" s="4145"/>
      <c r="X100" s="4145"/>
      <c r="Y100" s="4146"/>
      <c r="Z100" s="4063" t="s">
        <v>1178</v>
      </c>
      <c r="AA100" s="4065"/>
      <c r="AB100" s="35"/>
      <c r="AC100" s="183"/>
      <c r="AD100" s="34"/>
      <c r="AE100" s="34"/>
      <c r="AF100" s="34"/>
      <c r="AG100" s="34"/>
      <c r="AH100" s="34"/>
    </row>
    <row r="101" spans="1:34" ht="48" customHeight="1" x14ac:dyDescent="0.25">
      <c r="A101" s="179"/>
      <c r="B101" s="4127"/>
      <c r="C101" s="4150"/>
      <c r="D101" s="4151"/>
      <c r="E101" s="4152"/>
      <c r="F101" s="4152"/>
      <c r="G101" s="4152"/>
      <c r="H101" s="4152"/>
      <c r="I101" s="4152"/>
      <c r="J101" s="4152"/>
      <c r="K101" s="4152"/>
      <c r="L101" s="4152"/>
      <c r="M101" s="4152"/>
      <c r="N101" s="4152"/>
      <c r="O101" s="4152"/>
      <c r="P101" s="4152"/>
      <c r="Q101" s="4152"/>
      <c r="R101" s="4152"/>
      <c r="S101" s="4152"/>
      <c r="T101" s="4152"/>
      <c r="U101" s="4153"/>
      <c r="V101" s="4137" t="s">
        <v>1180</v>
      </c>
      <c r="W101" s="4138"/>
      <c r="X101" s="4138"/>
      <c r="Y101" s="4139"/>
      <c r="Z101" s="3344" t="s">
        <v>1178</v>
      </c>
      <c r="AA101" s="3346"/>
      <c r="AB101" s="35"/>
      <c r="AC101" s="183"/>
      <c r="AD101" s="34"/>
      <c r="AE101" s="34"/>
      <c r="AF101" s="34"/>
      <c r="AG101" s="34"/>
      <c r="AH101" s="34"/>
    </row>
    <row r="102" spans="1:34" x14ac:dyDescent="0.25">
      <c r="A102" s="179"/>
      <c r="B102" s="4155" t="s">
        <v>18</v>
      </c>
      <c r="C102" s="4156">
        <v>3000001</v>
      </c>
      <c r="D102" s="4137" t="s">
        <v>1431</v>
      </c>
      <c r="E102" s="4138"/>
      <c r="F102" s="4138"/>
      <c r="G102" s="4138"/>
      <c r="H102" s="4138"/>
      <c r="I102" s="4138"/>
      <c r="J102" s="4138"/>
      <c r="K102" s="4138"/>
      <c r="L102" s="4138"/>
      <c r="M102" s="4138"/>
      <c r="N102" s="4138"/>
      <c r="O102" s="4138"/>
      <c r="P102" s="4138"/>
      <c r="Q102" s="4138"/>
      <c r="R102" s="4138"/>
      <c r="S102" s="4138"/>
      <c r="T102" s="4138"/>
      <c r="U102" s="4139"/>
      <c r="V102" s="4063" t="s">
        <v>15</v>
      </c>
      <c r="W102" s="4064"/>
      <c r="X102" s="4064"/>
      <c r="Y102" s="4065"/>
      <c r="Z102" s="4063" t="s">
        <v>16</v>
      </c>
      <c r="AA102" s="4065"/>
      <c r="AB102" s="35"/>
      <c r="AC102" s="183"/>
      <c r="AD102" s="34"/>
      <c r="AE102" s="34"/>
      <c r="AF102" s="34"/>
      <c r="AG102" s="34"/>
      <c r="AH102" s="34"/>
    </row>
    <row r="103" spans="1:34" x14ac:dyDescent="0.25">
      <c r="A103" s="179"/>
      <c r="B103" s="4155"/>
      <c r="C103" s="4157"/>
      <c r="D103" s="4140"/>
      <c r="E103" s="4141"/>
      <c r="F103" s="4141"/>
      <c r="G103" s="4141"/>
      <c r="H103" s="4141"/>
      <c r="I103" s="4141"/>
      <c r="J103" s="4141"/>
      <c r="K103" s="4141"/>
      <c r="L103" s="4141"/>
      <c r="M103" s="4141"/>
      <c r="N103" s="4141"/>
      <c r="O103" s="4141"/>
      <c r="P103" s="4141"/>
      <c r="Q103" s="4141"/>
      <c r="R103" s="4141"/>
      <c r="S103" s="4141"/>
      <c r="T103" s="4141"/>
      <c r="U103" s="4142"/>
      <c r="V103" s="4144"/>
      <c r="W103" s="4145"/>
      <c r="X103" s="4145"/>
      <c r="Y103" s="4146"/>
      <c r="Z103" s="4158"/>
      <c r="AA103" s="4159"/>
      <c r="AB103" s="35"/>
      <c r="AC103" s="183"/>
      <c r="AD103" s="34"/>
      <c r="AE103" s="34"/>
      <c r="AF103" s="34"/>
      <c r="AG103" s="34"/>
      <c r="AH103" s="34"/>
    </row>
    <row r="104" spans="1:34" x14ac:dyDescent="0.25">
      <c r="A104" s="179"/>
      <c r="B104" s="3516" t="s">
        <v>20</v>
      </c>
      <c r="C104" s="2847" t="s">
        <v>21</v>
      </c>
      <c r="D104" s="2847" t="s">
        <v>22</v>
      </c>
      <c r="E104" s="2847" t="s">
        <v>23</v>
      </c>
      <c r="F104" s="2847" t="s">
        <v>164</v>
      </c>
      <c r="G104" s="2988" t="s">
        <v>25</v>
      </c>
      <c r="H104" s="2988" t="s">
        <v>26</v>
      </c>
      <c r="I104" s="2988" t="s">
        <v>27</v>
      </c>
      <c r="J104" s="3206" t="s">
        <v>28</v>
      </c>
      <c r="K104" s="3207"/>
      <c r="L104" s="2988" t="s">
        <v>29</v>
      </c>
      <c r="M104" s="2988" t="s">
        <v>1432</v>
      </c>
      <c r="N104" s="2988" t="s">
        <v>530</v>
      </c>
      <c r="O104" s="2990" t="s">
        <v>31</v>
      </c>
      <c r="P104" s="2991"/>
      <c r="Q104" s="2991"/>
      <c r="R104" s="2991"/>
      <c r="S104" s="2991"/>
      <c r="T104" s="2991"/>
      <c r="U104" s="2991"/>
      <c r="V104" s="2991"/>
      <c r="W104" s="2991"/>
      <c r="X104" s="2991"/>
      <c r="Y104" s="2991"/>
      <c r="Z104" s="2992"/>
      <c r="AA104" s="4160" t="s">
        <v>32</v>
      </c>
      <c r="AB104" s="35"/>
      <c r="AC104" s="183"/>
      <c r="AD104" s="34"/>
      <c r="AE104" s="34"/>
      <c r="AF104" s="34"/>
      <c r="AG104" s="34"/>
      <c r="AH104" s="34"/>
    </row>
    <row r="105" spans="1:34" ht="23.25" customHeight="1" x14ac:dyDescent="0.25">
      <c r="A105" s="179"/>
      <c r="B105" s="3516"/>
      <c r="C105" s="2847"/>
      <c r="D105" s="2847"/>
      <c r="E105" s="2847"/>
      <c r="F105" s="2847"/>
      <c r="G105" s="2989"/>
      <c r="H105" s="2989"/>
      <c r="I105" s="2989"/>
      <c r="J105" s="1284" t="s">
        <v>33</v>
      </c>
      <c r="K105" s="1284" t="s">
        <v>34</v>
      </c>
      <c r="L105" s="2989"/>
      <c r="M105" s="2989"/>
      <c r="N105" s="2989"/>
      <c r="O105" s="1294" t="s">
        <v>35</v>
      </c>
      <c r="P105" s="1294" t="s">
        <v>36</v>
      </c>
      <c r="Q105" s="1294" t="s">
        <v>37</v>
      </c>
      <c r="R105" s="1294" t="s">
        <v>38</v>
      </c>
      <c r="S105" s="1294" t="s">
        <v>39</v>
      </c>
      <c r="T105" s="1294" t="s">
        <v>40</v>
      </c>
      <c r="U105" s="1294" t="s">
        <v>41</v>
      </c>
      <c r="V105" s="1294" t="s">
        <v>42</v>
      </c>
      <c r="W105" s="1294" t="s">
        <v>43</v>
      </c>
      <c r="X105" s="1294" t="s">
        <v>44</v>
      </c>
      <c r="Y105" s="1294" t="s">
        <v>45</v>
      </c>
      <c r="Z105" s="1294" t="s">
        <v>46</v>
      </c>
      <c r="AA105" s="4161"/>
      <c r="AB105" s="35"/>
      <c r="AC105" s="183"/>
      <c r="AD105" s="34"/>
      <c r="AE105" s="34"/>
      <c r="AF105" s="34"/>
      <c r="AG105" s="34"/>
      <c r="AH105" s="34"/>
    </row>
    <row r="106" spans="1:34" x14ac:dyDescent="0.25">
      <c r="A106" s="179"/>
      <c r="B106" s="418"/>
      <c r="C106" s="1296"/>
      <c r="D106" s="1299"/>
      <c r="E106" s="1299"/>
      <c r="F106" s="1299"/>
      <c r="G106" s="1299"/>
      <c r="H106" s="1299"/>
      <c r="I106" s="1299"/>
      <c r="J106" s="1299"/>
      <c r="K106" s="413">
        <f>+K107+K108+K109</f>
        <v>324062</v>
      </c>
      <c r="L106" s="1296"/>
      <c r="M106" s="4063" t="s">
        <v>111</v>
      </c>
      <c r="N106" s="4065"/>
      <c r="O106" s="434">
        <f t="shared" ref="O106:Z106" si="10">SUM(O107:O109)</f>
        <v>26505.166666666668</v>
      </c>
      <c r="P106" s="434">
        <f t="shared" si="10"/>
        <v>25655.55</v>
      </c>
      <c r="Q106" s="434">
        <f t="shared" si="10"/>
        <v>25655.55</v>
      </c>
      <c r="R106" s="434">
        <f t="shared" si="10"/>
        <v>25655.55</v>
      </c>
      <c r="S106" s="434">
        <f>SUM(S107:S109)</f>
        <v>25655.55</v>
      </c>
      <c r="T106" s="434">
        <f t="shared" si="10"/>
        <v>25655.55</v>
      </c>
      <c r="U106" s="434">
        <f t="shared" si="10"/>
        <v>28655.55</v>
      </c>
      <c r="V106" s="434">
        <f t="shared" si="10"/>
        <v>25655.55</v>
      </c>
      <c r="W106" s="434">
        <f t="shared" si="10"/>
        <v>25655.55</v>
      </c>
      <c r="X106" s="434">
        <f t="shared" si="10"/>
        <v>25655.55</v>
      </c>
      <c r="Y106" s="434">
        <f t="shared" si="10"/>
        <v>25655.55</v>
      </c>
      <c r="Z106" s="434">
        <f t="shared" si="10"/>
        <v>28655.55</v>
      </c>
      <c r="AA106" s="434">
        <f>SUM(AA107:AA109)</f>
        <v>314716.21666666667</v>
      </c>
      <c r="AB106" s="35"/>
      <c r="AC106" s="183"/>
      <c r="AD106" s="34"/>
      <c r="AE106" s="34"/>
      <c r="AF106" s="34"/>
      <c r="AG106" s="34"/>
      <c r="AH106" s="34"/>
    </row>
    <row r="107" spans="1:34" ht="33.75" x14ac:dyDescent="0.25">
      <c r="A107" s="179"/>
      <c r="B107" s="2424">
        <v>5000276</v>
      </c>
      <c r="C107" s="2427" t="s">
        <v>966</v>
      </c>
      <c r="D107" s="696" t="s">
        <v>1360</v>
      </c>
      <c r="E107" s="1301">
        <v>17</v>
      </c>
      <c r="F107" s="1301">
        <v>54</v>
      </c>
      <c r="G107" s="1301">
        <v>119</v>
      </c>
      <c r="H107" s="1301"/>
      <c r="I107" s="1301" t="s">
        <v>17</v>
      </c>
      <c r="J107" s="1301">
        <v>10</v>
      </c>
      <c r="K107" s="414">
        <f>324062-(K108+K109)</f>
        <v>305590.40000000002</v>
      </c>
      <c r="L107" s="2427" t="s">
        <v>1430</v>
      </c>
      <c r="M107" s="696" t="s">
        <v>208</v>
      </c>
      <c r="N107" s="696" t="s">
        <v>1190</v>
      </c>
      <c r="O107" s="260">
        <f>K107/12</f>
        <v>25465.866666666669</v>
      </c>
      <c r="P107" s="260">
        <v>24720</v>
      </c>
      <c r="Q107" s="260">
        <v>24720</v>
      </c>
      <c r="R107" s="260">
        <v>24720</v>
      </c>
      <c r="S107" s="260">
        <v>24720</v>
      </c>
      <c r="T107" s="260">
        <v>24720</v>
      </c>
      <c r="U107" s="260">
        <v>24720</v>
      </c>
      <c r="V107" s="260">
        <v>24720</v>
      </c>
      <c r="W107" s="260">
        <v>24720</v>
      </c>
      <c r="X107" s="260">
        <v>24720</v>
      </c>
      <c r="Y107" s="260">
        <v>24720</v>
      </c>
      <c r="Z107" s="260">
        <v>24720</v>
      </c>
      <c r="AA107" s="260">
        <f>SUM(O107:Z107)</f>
        <v>297385.8666666667</v>
      </c>
      <c r="AB107" s="35"/>
      <c r="AC107" s="183"/>
      <c r="AD107" s="34"/>
      <c r="AE107" s="34"/>
      <c r="AF107" s="34"/>
      <c r="AG107" s="34"/>
      <c r="AH107" s="34"/>
    </row>
    <row r="108" spans="1:34" ht="22.5" x14ac:dyDescent="0.25">
      <c r="A108" s="179"/>
      <c r="B108" s="2433"/>
      <c r="C108" s="2430"/>
      <c r="D108" s="696" t="s">
        <v>1433</v>
      </c>
      <c r="E108" s="1301">
        <v>17</v>
      </c>
      <c r="F108" s="1301">
        <v>54</v>
      </c>
      <c r="G108" s="1301">
        <v>119</v>
      </c>
      <c r="H108" s="1301"/>
      <c r="I108" s="1301" t="s">
        <v>1434</v>
      </c>
      <c r="J108" s="1301">
        <v>10</v>
      </c>
      <c r="K108" s="414">
        <f>103.93*12*10</f>
        <v>12471.6</v>
      </c>
      <c r="L108" s="2430"/>
      <c r="M108" s="696" t="s">
        <v>210</v>
      </c>
      <c r="N108" s="696" t="s">
        <v>1191</v>
      </c>
      <c r="O108" s="260">
        <f>K108/12</f>
        <v>1039.3</v>
      </c>
      <c r="P108" s="260">
        <v>935.55000000000007</v>
      </c>
      <c r="Q108" s="260">
        <v>935.55000000000007</v>
      </c>
      <c r="R108" s="260">
        <v>935.55000000000007</v>
      </c>
      <c r="S108" s="260">
        <v>935.55000000000007</v>
      </c>
      <c r="T108" s="260">
        <v>935.55000000000007</v>
      </c>
      <c r="U108" s="260">
        <v>935.55000000000007</v>
      </c>
      <c r="V108" s="260">
        <v>935.55000000000007</v>
      </c>
      <c r="W108" s="260">
        <v>935.55000000000007</v>
      </c>
      <c r="X108" s="260">
        <v>935.55000000000007</v>
      </c>
      <c r="Y108" s="260">
        <v>935.55000000000007</v>
      </c>
      <c r="Z108" s="260">
        <v>935.55000000000007</v>
      </c>
      <c r="AA108" s="260">
        <f t="shared" ref="AA108" si="11">SUM(O108:Z108)</f>
        <v>11330.349999999999</v>
      </c>
      <c r="AB108" s="35"/>
      <c r="AC108" s="183"/>
      <c r="AD108" s="34"/>
      <c r="AE108" s="34"/>
      <c r="AF108" s="34"/>
      <c r="AG108" s="34"/>
      <c r="AH108" s="34"/>
    </row>
    <row r="109" spans="1:34" ht="36" customHeight="1" x14ac:dyDescent="0.25">
      <c r="A109" s="179"/>
      <c r="B109" s="2425"/>
      <c r="C109" s="2434"/>
      <c r="D109" s="696" t="s">
        <v>173</v>
      </c>
      <c r="E109" s="1301">
        <v>17</v>
      </c>
      <c r="F109" s="1301">
        <v>54</v>
      </c>
      <c r="G109" s="1301">
        <v>119</v>
      </c>
      <c r="H109" s="1301"/>
      <c r="I109" s="1301" t="s">
        <v>1434</v>
      </c>
      <c r="J109" s="1301">
        <v>20</v>
      </c>
      <c r="K109" s="414">
        <f>600*10</f>
        <v>6000</v>
      </c>
      <c r="L109" s="2434"/>
      <c r="M109" s="696"/>
      <c r="N109" s="696" t="s">
        <v>173</v>
      </c>
      <c r="O109" s="260">
        <v>0</v>
      </c>
      <c r="P109" s="260">
        <v>0</v>
      </c>
      <c r="Q109" s="260">
        <v>0</v>
      </c>
      <c r="R109" s="260">
        <v>0</v>
      </c>
      <c r="S109" s="260">
        <v>0</v>
      </c>
      <c r="T109" s="260">
        <v>0</v>
      </c>
      <c r="U109" s="260">
        <f>K109/2</f>
        <v>3000</v>
      </c>
      <c r="V109" s="260">
        <v>0</v>
      </c>
      <c r="W109" s="260">
        <v>0</v>
      </c>
      <c r="X109" s="260">
        <v>0</v>
      </c>
      <c r="Y109" s="260">
        <v>0</v>
      </c>
      <c r="Z109" s="260">
        <f>K109/2</f>
        <v>3000</v>
      </c>
      <c r="AA109" s="260">
        <f>SUM(O109:Z109)</f>
        <v>6000</v>
      </c>
      <c r="AB109" s="35"/>
      <c r="AC109" s="183"/>
      <c r="AD109" s="34"/>
      <c r="AE109" s="34"/>
      <c r="AF109" s="34"/>
      <c r="AG109" s="34"/>
      <c r="AH109" s="34"/>
    </row>
    <row r="110" spans="1:34" x14ac:dyDescent="0.25">
      <c r="A110" s="179"/>
      <c r="B110" s="4162" t="s">
        <v>18</v>
      </c>
      <c r="C110" s="4156">
        <v>3000342</v>
      </c>
      <c r="D110" s="4137" t="s">
        <v>1435</v>
      </c>
      <c r="E110" s="4138"/>
      <c r="F110" s="4138"/>
      <c r="G110" s="4138"/>
      <c r="H110" s="4138"/>
      <c r="I110" s="4138"/>
      <c r="J110" s="4138"/>
      <c r="K110" s="4138"/>
      <c r="L110" s="4138"/>
      <c r="M110" s="4138"/>
      <c r="N110" s="4138"/>
      <c r="O110" s="4138"/>
      <c r="P110" s="4138"/>
      <c r="Q110" s="4138"/>
      <c r="R110" s="4138"/>
      <c r="S110" s="4138"/>
      <c r="T110" s="4138"/>
      <c r="U110" s="4139"/>
      <c r="V110" s="4063" t="s">
        <v>15</v>
      </c>
      <c r="W110" s="4064"/>
      <c r="X110" s="4064"/>
      <c r="Y110" s="4065"/>
      <c r="Z110" s="4063" t="s">
        <v>16</v>
      </c>
      <c r="AA110" s="4065"/>
      <c r="AB110" s="35"/>
      <c r="AC110" s="183"/>
      <c r="AD110" s="34"/>
      <c r="AE110" s="34"/>
      <c r="AF110" s="34"/>
      <c r="AG110" s="34"/>
      <c r="AH110" s="34"/>
    </row>
    <row r="111" spans="1:34" x14ac:dyDescent="0.25">
      <c r="A111" s="179"/>
      <c r="B111" s="4162"/>
      <c r="C111" s="4157"/>
      <c r="D111" s="4140"/>
      <c r="E111" s="4141"/>
      <c r="F111" s="4141"/>
      <c r="G111" s="4141"/>
      <c r="H111" s="4141"/>
      <c r="I111" s="4141"/>
      <c r="J111" s="4141"/>
      <c r="K111" s="4141"/>
      <c r="L111" s="4141"/>
      <c r="M111" s="4141"/>
      <c r="N111" s="4141"/>
      <c r="O111" s="4141"/>
      <c r="P111" s="4141"/>
      <c r="Q111" s="4141"/>
      <c r="R111" s="4141"/>
      <c r="S111" s="4141"/>
      <c r="T111" s="4141"/>
      <c r="U111" s="4142"/>
      <c r="V111" s="4144"/>
      <c r="W111" s="4145"/>
      <c r="X111" s="4145"/>
      <c r="Y111" s="4146"/>
      <c r="Z111" s="4158"/>
      <c r="AA111" s="4159"/>
      <c r="AB111" s="35"/>
      <c r="AC111" s="183"/>
      <c r="AD111" s="34"/>
      <c r="AE111" s="34"/>
      <c r="AF111" s="34"/>
      <c r="AG111" s="34"/>
      <c r="AH111" s="34"/>
    </row>
    <row r="112" spans="1:34" x14ac:dyDescent="0.25">
      <c r="A112" s="179"/>
      <c r="B112" s="3435" t="s">
        <v>20</v>
      </c>
      <c r="C112" s="2847" t="s">
        <v>21</v>
      </c>
      <c r="D112" s="2847" t="s">
        <v>22</v>
      </c>
      <c r="E112" s="2847" t="s">
        <v>23</v>
      </c>
      <c r="F112" s="2847" t="s">
        <v>164</v>
      </c>
      <c r="G112" s="2988" t="s">
        <v>25</v>
      </c>
      <c r="H112" s="2988" t="s">
        <v>26</v>
      </c>
      <c r="I112" s="2988" t="s">
        <v>27</v>
      </c>
      <c r="J112" s="3206" t="s">
        <v>28</v>
      </c>
      <c r="K112" s="3207"/>
      <c r="L112" s="2988" t="s">
        <v>29</v>
      </c>
      <c r="M112" s="2988" t="s">
        <v>1432</v>
      </c>
      <c r="N112" s="2988" t="s">
        <v>530</v>
      </c>
      <c r="O112" s="2990" t="s">
        <v>31</v>
      </c>
      <c r="P112" s="2991"/>
      <c r="Q112" s="2991"/>
      <c r="R112" s="2991"/>
      <c r="S112" s="2991"/>
      <c r="T112" s="2991"/>
      <c r="U112" s="2991"/>
      <c r="V112" s="2991"/>
      <c r="W112" s="2991"/>
      <c r="X112" s="2991"/>
      <c r="Y112" s="2991"/>
      <c r="Z112" s="2992"/>
      <c r="AA112" s="4160" t="s">
        <v>32</v>
      </c>
      <c r="AB112" s="35"/>
      <c r="AC112" s="183"/>
      <c r="AD112" s="34"/>
      <c r="AE112" s="34"/>
      <c r="AF112" s="34"/>
      <c r="AG112" s="34"/>
      <c r="AH112" s="34"/>
    </row>
    <row r="113" spans="1:34" x14ac:dyDescent="0.25">
      <c r="A113" s="179"/>
      <c r="B113" s="3435"/>
      <c r="C113" s="2847"/>
      <c r="D113" s="2847"/>
      <c r="E113" s="2847"/>
      <c r="F113" s="2847"/>
      <c r="G113" s="2989"/>
      <c r="H113" s="2989"/>
      <c r="I113" s="2989"/>
      <c r="J113" s="1284" t="s">
        <v>33</v>
      </c>
      <c r="K113" s="1284" t="s">
        <v>34</v>
      </c>
      <c r="L113" s="2989"/>
      <c r="M113" s="2989"/>
      <c r="N113" s="2989"/>
      <c r="O113" s="1294" t="s">
        <v>35</v>
      </c>
      <c r="P113" s="1294" t="s">
        <v>36</v>
      </c>
      <c r="Q113" s="1294" t="s">
        <v>37</v>
      </c>
      <c r="R113" s="1294" t="s">
        <v>38</v>
      </c>
      <c r="S113" s="1294" t="s">
        <v>39</v>
      </c>
      <c r="T113" s="1294" t="s">
        <v>40</v>
      </c>
      <c r="U113" s="1294" t="s">
        <v>41</v>
      </c>
      <c r="V113" s="1294" t="s">
        <v>42</v>
      </c>
      <c r="W113" s="1294" t="s">
        <v>43</v>
      </c>
      <c r="X113" s="1294" t="s">
        <v>44</v>
      </c>
      <c r="Y113" s="1294" t="s">
        <v>45</v>
      </c>
      <c r="Z113" s="1294" t="s">
        <v>46</v>
      </c>
      <c r="AA113" s="4161"/>
      <c r="AB113" s="35"/>
      <c r="AC113" s="183"/>
      <c r="AD113" s="34"/>
      <c r="AE113" s="34"/>
      <c r="AF113" s="34"/>
      <c r="AG113" s="34"/>
      <c r="AH113" s="34"/>
    </row>
    <row r="114" spans="1:34" x14ac:dyDescent="0.25">
      <c r="A114" s="179"/>
      <c r="B114" s="1336"/>
      <c r="C114" s="1299"/>
      <c r="D114" s="1299"/>
      <c r="E114" s="1299"/>
      <c r="F114" s="1299"/>
      <c r="G114" s="1299"/>
      <c r="H114" s="1299"/>
      <c r="I114" s="1299"/>
      <c r="J114" s="1299"/>
      <c r="L114" s="1299"/>
      <c r="M114" s="1324"/>
      <c r="N114" s="1318" t="s">
        <v>51</v>
      </c>
      <c r="O114" s="1347"/>
      <c r="P114" s="1347"/>
      <c r="Q114" s="1347"/>
      <c r="R114" s="1347"/>
      <c r="S114" s="1347"/>
      <c r="T114" s="1347"/>
      <c r="U114" s="1347"/>
      <c r="V114" s="1347"/>
      <c r="W114" s="1347"/>
      <c r="X114" s="1347">
        <v>2</v>
      </c>
      <c r="Y114" s="1347">
        <v>2</v>
      </c>
      <c r="Z114" s="1347"/>
      <c r="AA114" s="1474">
        <f>SUM(O114:Z114)</f>
        <v>4</v>
      </c>
      <c r="AB114" s="35"/>
      <c r="AC114" s="183"/>
      <c r="AD114" s="34"/>
      <c r="AE114" s="34"/>
      <c r="AF114" s="34"/>
      <c r="AG114" s="34"/>
      <c r="AH114" s="34"/>
    </row>
    <row r="115" spans="1:34" ht="54.75" customHeight="1" x14ac:dyDescent="0.25">
      <c r="A115" s="179"/>
      <c r="B115" s="1337">
        <v>5004398</v>
      </c>
      <c r="C115" s="1494" t="s">
        <v>1436</v>
      </c>
      <c r="D115" s="433" t="s">
        <v>48</v>
      </c>
      <c r="E115" s="1340" t="s">
        <v>2506</v>
      </c>
      <c r="F115" s="1340" t="s">
        <v>2507</v>
      </c>
      <c r="G115" s="1340" t="s">
        <v>2508</v>
      </c>
      <c r="H115" s="1323"/>
      <c r="I115" s="1303" t="s">
        <v>2503</v>
      </c>
      <c r="J115" s="1303">
        <v>4</v>
      </c>
      <c r="K115" s="1737">
        <f>+K116</f>
        <v>47461</v>
      </c>
      <c r="L115" s="424"/>
      <c r="M115" s="1303"/>
      <c r="N115" s="1277" t="s">
        <v>111</v>
      </c>
      <c r="O115" s="434">
        <f t="shared" ref="O115:AA115" si="12">+SUM(O116:O124)</f>
        <v>2000</v>
      </c>
      <c r="P115" s="434">
        <f t="shared" si="12"/>
        <v>2000</v>
      </c>
      <c r="Q115" s="434">
        <f t="shared" si="12"/>
        <v>18700</v>
      </c>
      <c r="R115" s="434">
        <f t="shared" si="12"/>
        <v>2200</v>
      </c>
      <c r="S115" s="434">
        <f t="shared" si="12"/>
        <v>3200</v>
      </c>
      <c r="T115" s="434">
        <f t="shared" si="12"/>
        <v>6600</v>
      </c>
      <c r="U115" s="434">
        <f t="shared" si="12"/>
        <v>2400</v>
      </c>
      <c r="V115" s="434">
        <f t="shared" si="12"/>
        <v>3100</v>
      </c>
      <c r="W115" s="434">
        <f t="shared" si="12"/>
        <v>3800</v>
      </c>
      <c r="X115" s="434">
        <f t="shared" si="12"/>
        <v>3461</v>
      </c>
      <c r="Y115" s="434">
        <f t="shared" si="12"/>
        <v>0</v>
      </c>
      <c r="Z115" s="434">
        <f t="shared" si="12"/>
        <v>0</v>
      </c>
      <c r="AA115" s="1474">
        <f t="shared" si="12"/>
        <v>47461</v>
      </c>
      <c r="AB115" s="35"/>
      <c r="AC115" s="183"/>
      <c r="AD115" s="34"/>
      <c r="AE115" s="34"/>
      <c r="AF115" s="34"/>
      <c r="AG115" s="34"/>
      <c r="AH115" s="34"/>
    </row>
    <row r="116" spans="1:34" x14ac:dyDescent="0.25">
      <c r="A116" s="179"/>
      <c r="B116" s="4068" t="s">
        <v>1187</v>
      </c>
      <c r="C116" s="4055" t="s">
        <v>1437</v>
      </c>
      <c r="D116" s="3893"/>
      <c r="E116" s="4165"/>
      <c r="F116" s="4165"/>
      <c r="G116" s="4165"/>
      <c r="H116" s="3404" t="s">
        <v>1438</v>
      </c>
      <c r="I116" s="3404" t="s">
        <v>2509</v>
      </c>
      <c r="J116" s="3404">
        <v>4</v>
      </c>
      <c r="K116" s="4264">
        <v>47461</v>
      </c>
      <c r="L116" s="3404" t="s">
        <v>1430</v>
      </c>
      <c r="M116" s="423" t="s">
        <v>184</v>
      </c>
      <c r="N116" s="1343" t="s">
        <v>1192</v>
      </c>
      <c r="O116" s="435"/>
      <c r="P116" s="435"/>
      <c r="Q116" s="435">
        <v>4000</v>
      </c>
      <c r="R116" s="435"/>
      <c r="S116" s="435"/>
      <c r="T116" s="435"/>
      <c r="U116" s="435"/>
      <c r="V116" s="435"/>
      <c r="W116" s="435"/>
      <c r="X116" s="435"/>
      <c r="Y116" s="435"/>
      <c r="Z116" s="435"/>
      <c r="AA116" s="1478">
        <f>SUM(O116:Z116)</f>
        <v>4000</v>
      </c>
      <c r="AB116" s="35"/>
      <c r="AC116" s="183"/>
      <c r="AD116" s="34"/>
      <c r="AE116" s="34"/>
      <c r="AF116" s="34"/>
      <c r="AG116" s="34"/>
      <c r="AH116" s="34"/>
    </row>
    <row r="117" spans="1:34" x14ac:dyDescent="0.25">
      <c r="A117" s="179"/>
      <c r="B117" s="4163"/>
      <c r="C117" s="2416"/>
      <c r="D117" s="4164"/>
      <c r="E117" s="4166"/>
      <c r="F117" s="4166"/>
      <c r="G117" s="4166"/>
      <c r="H117" s="3404"/>
      <c r="I117" s="3404"/>
      <c r="J117" s="3404"/>
      <c r="K117" s="4264"/>
      <c r="L117" s="3404"/>
      <c r="M117" s="415" t="s">
        <v>180</v>
      </c>
      <c r="N117" s="416" t="s">
        <v>1203</v>
      </c>
      <c r="O117" s="430"/>
      <c r="P117" s="430"/>
      <c r="Q117" s="430">
        <v>10000</v>
      </c>
      <c r="R117" s="430"/>
      <c r="S117" s="430"/>
      <c r="T117" s="430"/>
      <c r="U117" s="430"/>
      <c r="V117" s="430"/>
      <c r="W117" s="430"/>
      <c r="X117" s="430"/>
      <c r="Y117" s="430"/>
      <c r="Z117" s="430"/>
      <c r="AA117" s="1735">
        <f t="shared" ref="AA117:AA124" si="13">SUM(O117:Z117)</f>
        <v>10000</v>
      </c>
      <c r="AB117" s="35"/>
      <c r="AC117" s="183"/>
      <c r="AD117" s="34"/>
      <c r="AE117" s="34"/>
      <c r="AF117" s="34"/>
      <c r="AG117" s="34"/>
      <c r="AH117" s="34"/>
    </row>
    <row r="118" spans="1:34" x14ac:dyDescent="0.25">
      <c r="A118" s="179"/>
      <c r="B118" s="4163"/>
      <c r="C118" s="2416"/>
      <c r="D118" s="4164"/>
      <c r="E118" s="4166"/>
      <c r="F118" s="4166"/>
      <c r="G118" s="4166"/>
      <c r="H118" s="3404"/>
      <c r="I118" s="3404"/>
      <c r="J118" s="3404"/>
      <c r="K118" s="4264"/>
      <c r="L118" s="3404"/>
      <c r="M118" s="417" t="s">
        <v>541</v>
      </c>
      <c r="N118" s="416" t="s">
        <v>1439</v>
      </c>
      <c r="O118" s="429"/>
      <c r="P118" s="429"/>
      <c r="Q118" s="429">
        <v>1200</v>
      </c>
      <c r="R118" s="429"/>
      <c r="S118" s="429"/>
      <c r="T118" s="429">
        <v>2000</v>
      </c>
      <c r="U118" s="429"/>
      <c r="V118" s="429"/>
      <c r="W118" s="429">
        <v>1600</v>
      </c>
      <c r="X118" s="429"/>
      <c r="Y118" s="429"/>
      <c r="Z118" s="429"/>
      <c r="AA118" s="1735">
        <f t="shared" si="13"/>
        <v>4800</v>
      </c>
      <c r="AB118" s="35"/>
      <c r="AC118" s="183"/>
      <c r="AD118" s="34"/>
      <c r="AE118" s="34"/>
      <c r="AF118" s="34"/>
      <c r="AG118" s="34"/>
      <c r="AH118" s="34"/>
    </row>
    <row r="119" spans="1:34" x14ac:dyDescent="0.25">
      <c r="A119" s="179"/>
      <c r="B119" s="4163"/>
      <c r="C119" s="2416"/>
      <c r="D119" s="4164"/>
      <c r="E119" s="4166"/>
      <c r="F119" s="4166"/>
      <c r="G119" s="4166"/>
      <c r="H119" s="3404"/>
      <c r="I119" s="3404"/>
      <c r="J119" s="3404"/>
      <c r="K119" s="4264"/>
      <c r="L119" s="3404"/>
      <c r="M119" s="417" t="s">
        <v>194</v>
      </c>
      <c r="N119" s="416" t="s">
        <v>1440</v>
      </c>
      <c r="O119" s="429">
        <v>2000</v>
      </c>
      <c r="P119" s="429">
        <v>2000</v>
      </c>
      <c r="Q119" s="429">
        <v>2000</v>
      </c>
      <c r="R119" s="429">
        <v>2000</v>
      </c>
      <c r="S119" s="429">
        <v>2000</v>
      </c>
      <c r="T119" s="429">
        <v>3400</v>
      </c>
      <c r="U119" s="429">
        <v>2000</v>
      </c>
      <c r="V119" s="429">
        <v>2000</v>
      </c>
      <c r="W119" s="429">
        <v>2000</v>
      </c>
      <c r="X119" s="429">
        <v>2000</v>
      </c>
      <c r="Y119" s="429"/>
      <c r="Z119" s="429"/>
      <c r="AA119" s="1735">
        <f t="shared" si="13"/>
        <v>21400</v>
      </c>
      <c r="AB119" s="35"/>
      <c r="AC119" s="183"/>
      <c r="AD119" s="34"/>
      <c r="AE119" s="34"/>
      <c r="AF119" s="34"/>
      <c r="AG119" s="34"/>
      <c r="AH119" s="34"/>
    </row>
    <row r="120" spans="1:34" x14ac:dyDescent="0.25">
      <c r="A120" s="179"/>
      <c r="B120" s="4163"/>
      <c r="C120" s="2416"/>
      <c r="D120" s="4164"/>
      <c r="E120" s="4166"/>
      <c r="F120" s="4166"/>
      <c r="G120" s="4166"/>
      <c r="H120" s="3404"/>
      <c r="I120" s="3404"/>
      <c r="J120" s="3404"/>
      <c r="K120" s="4264"/>
      <c r="L120" s="3404"/>
      <c r="M120" s="417" t="s">
        <v>200</v>
      </c>
      <c r="N120" s="416" t="s">
        <v>1441</v>
      </c>
      <c r="O120" s="429"/>
      <c r="P120" s="429"/>
      <c r="Q120" s="429">
        <v>300</v>
      </c>
      <c r="R120" s="429"/>
      <c r="S120" s="429"/>
      <c r="T120" s="429"/>
      <c r="U120" s="429">
        <v>300</v>
      </c>
      <c r="V120" s="429"/>
      <c r="W120" s="429"/>
      <c r="X120" s="429"/>
      <c r="Y120" s="429"/>
      <c r="Z120" s="429"/>
      <c r="AA120" s="1735">
        <f t="shared" si="13"/>
        <v>600</v>
      </c>
      <c r="AB120" s="35"/>
      <c r="AC120" s="183"/>
      <c r="AD120" s="34"/>
      <c r="AE120" s="34"/>
      <c r="AF120" s="34"/>
      <c r="AG120" s="34"/>
      <c r="AH120" s="34"/>
    </row>
    <row r="121" spans="1:34" x14ac:dyDescent="0.25">
      <c r="A121" s="179"/>
      <c r="B121" s="4163"/>
      <c r="C121" s="2416"/>
      <c r="D121" s="4164"/>
      <c r="E121" s="4166"/>
      <c r="F121" s="4166"/>
      <c r="G121" s="4166"/>
      <c r="H121" s="3404"/>
      <c r="I121" s="3404"/>
      <c r="J121" s="3404"/>
      <c r="K121" s="4264"/>
      <c r="L121" s="3404"/>
      <c r="M121" s="417" t="s">
        <v>178</v>
      </c>
      <c r="N121" s="416" t="s">
        <v>1442</v>
      </c>
      <c r="O121" s="429"/>
      <c r="P121" s="429"/>
      <c r="Q121" s="429">
        <v>200</v>
      </c>
      <c r="R121" s="429">
        <v>200</v>
      </c>
      <c r="S121" s="429">
        <v>200</v>
      </c>
      <c r="T121" s="429">
        <v>200</v>
      </c>
      <c r="U121" s="429">
        <v>100</v>
      </c>
      <c r="V121" s="429">
        <v>100</v>
      </c>
      <c r="W121" s="429">
        <v>200</v>
      </c>
      <c r="X121" s="429"/>
      <c r="Y121" s="429"/>
      <c r="Z121" s="429"/>
      <c r="AA121" s="1735">
        <f t="shared" si="13"/>
        <v>1200</v>
      </c>
      <c r="AB121" s="35"/>
      <c r="AC121" s="183"/>
      <c r="AD121" s="34"/>
      <c r="AE121" s="34"/>
      <c r="AF121" s="34"/>
      <c r="AG121" s="34"/>
      <c r="AH121" s="34"/>
    </row>
    <row r="122" spans="1:34" x14ac:dyDescent="0.25">
      <c r="A122" s="179"/>
      <c r="B122" s="4163"/>
      <c r="C122" s="2416"/>
      <c r="D122" s="4164"/>
      <c r="E122" s="4166"/>
      <c r="F122" s="4166"/>
      <c r="G122" s="4166"/>
      <c r="H122" s="3404"/>
      <c r="I122" s="3404"/>
      <c r="J122" s="3404"/>
      <c r="K122" s="4264"/>
      <c r="L122" s="3404"/>
      <c r="M122" s="417" t="s">
        <v>1443</v>
      </c>
      <c r="N122" s="416" t="s">
        <v>1444</v>
      </c>
      <c r="O122" s="429"/>
      <c r="P122" s="429"/>
      <c r="Q122" s="429">
        <v>1000</v>
      </c>
      <c r="R122" s="429"/>
      <c r="S122" s="429"/>
      <c r="T122" s="429">
        <v>1000</v>
      </c>
      <c r="U122" s="429"/>
      <c r="V122" s="429">
        <v>1000</v>
      </c>
      <c r="W122" s="429"/>
      <c r="X122" s="429">
        <v>461</v>
      </c>
      <c r="Y122" s="429"/>
      <c r="Z122" s="429"/>
      <c r="AA122" s="1735">
        <f t="shared" si="13"/>
        <v>3461</v>
      </c>
      <c r="AB122" s="35"/>
      <c r="AC122" s="183"/>
      <c r="AD122" s="34"/>
      <c r="AE122" s="34"/>
      <c r="AF122" s="34"/>
      <c r="AG122" s="34"/>
      <c r="AH122" s="34"/>
    </row>
    <row r="123" spans="1:34" x14ac:dyDescent="0.25">
      <c r="A123" s="179"/>
      <c r="B123" s="4163"/>
      <c r="C123" s="2416"/>
      <c r="D123" s="4164"/>
      <c r="E123" s="4166"/>
      <c r="F123" s="4166"/>
      <c r="G123" s="4166"/>
      <c r="H123" s="3404"/>
      <c r="I123" s="3404"/>
      <c r="J123" s="3404"/>
      <c r="K123" s="4264"/>
      <c r="L123" s="3404"/>
      <c r="M123" s="256" t="s">
        <v>215</v>
      </c>
      <c r="N123" s="256" t="s">
        <v>1445</v>
      </c>
      <c r="O123" s="429"/>
      <c r="P123" s="429"/>
      <c r="Q123" s="429"/>
      <c r="R123" s="429"/>
      <c r="S123" s="429">
        <v>250</v>
      </c>
      <c r="T123" s="429"/>
      <c r="U123" s="429"/>
      <c r="V123" s="429"/>
      <c r="W123" s="429"/>
      <c r="X123" s="429">
        <v>250</v>
      </c>
      <c r="Y123" s="429"/>
      <c r="Z123" s="429"/>
      <c r="AA123" s="1735">
        <f t="shared" si="13"/>
        <v>500</v>
      </c>
      <c r="AB123" s="35"/>
      <c r="AC123" s="183"/>
      <c r="AD123" s="34"/>
      <c r="AE123" s="34"/>
      <c r="AF123" s="34"/>
      <c r="AG123" s="34"/>
      <c r="AH123" s="34"/>
    </row>
    <row r="124" spans="1:34" ht="49.5" customHeight="1" x14ac:dyDescent="0.25">
      <c r="A124" s="179"/>
      <c r="B124" s="4163"/>
      <c r="C124" s="2416"/>
      <c r="D124" s="4164"/>
      <c r="E124" s="4167"/>
      <c r="F124" s="4167"/>
      <c r="G124" s="4167"/>
      <c r="H124" s="3405"/>
      <c r="I124" s="3405"/>
      <c r="J124" s="3405"/>
      <c r="K124" s="4264"/>
      <c r="L124" s="3405"/>
      <c r="M124" s="416" t="s">
        <v>217</v>
      </c>
      <c r="N124" s="416" t="s">
        <v>218</v>
      </c>
      <c r="O124" s="430"/>
      <c r="P124" s="430"/>
      <c r="Q124" s="430"/>
      <c r="R124" s="430"/>
      <c r="S124" s="430">
        <v>750</v>
      </c>
      <c r="T124" s="430"/>
      <c r="U124" s="430"/>
      <c r="V124" s="430"/>
      <c r="W124" s="430"/>
      <c r="X124" s="430">
        <v>750</v>
      </c>
      <c r="Y124" s="430"/>
      <c r="Z124" s="430"/>
      <c r="AA124" s="1735">
        <f t="shared" si="13"/>
        <v>1500</v>
      </c>
      <c r="AB124" s="35"/>
      <c r="AC124" s="183"/>
      <c r="AD124" s="34"/>
      <c r="AE124" s="34"/>
      <c r="AF124" s="34"/>
      <c r="AG124" s="34"/>
      <c r="AH124" s="34"/>
    </row>
    <row r="125" spans="1:34" x14ac:dyDescent="0.25">
      <c r="A125" s="179"/>
      <c r="B125" s="4126" t="s">
        <v>18</v>
      </c>
      <c r="C125" s="4169">
        <v>3000469</v>
      </c>
      <c r="D125" s="4151" t="s">
        <v>1446</v>
      </c>
      <c r="E125" s="4152"/>
      <c r="F125" s="4152"/>
      <c r="G125" s="4152"/>
      <c r="H125" s="4152"/>
      <c r="I125" s="4152"/>
      <c r="J125" s="4152"/>
      <c r="K125" s="4152"/>
      <c r="L125" s="4152"/>
      <c r="M125" s="4152"/>
      <c r="N125" s="4152"/>
      <c r="O125" s="4152"/>
      <c r="P125" s="4152"/>
      <c r="Q125" s="4152"/>
      <c r="R125" s="4152"/>
      <c r="S125" s="4152"/>
      <c r="T125" s="4152"/>
      <c r="U125" s="4153"/>
      <c r="V125" s="4063" t="s">
        <v>15</v>
      </c>
      <c r="W125" s="4064"/>
      <c r="X125" s="4064"/>
      <c r="Y125" s="4065"/>
      <c r="Z125" s="4063" t="s">
        <v>16</v>
      </c>
      <c r="AA125" s="4065"/>
      <c r="AB125" s="35"/>
      <c r="AC125" s="183"/>
      <c r="AD125" s="34"/>
      <c r="AE125" s="34"/>
      <c r="AF125" s="34"/>
      <c r="AG125" s="34"/>
      <c r="AH125" s="34"/>
    </row>
    <row r="126" spans="1:34" ht="12" customHeight="1" x14ac:dyDescent="0.25">
      <c r="A126" s="179"/>
      <c r="B126" s="4168"/>
      <c r="C126" s="4157"/>
      <c r="D126" s="4140"/>
      <c r="E126" s="4141"/>
      <c r="F126" s="4141"/>
      <c r="G126" s="4141"/>
      <c r="H126" s="4141"/>
      <c r="I126" s="4141"/>
      <c r="J126" s="4141"/>
      <c r="K126" s="4141"/>
      <c r="L126" s="4141"/>
      <c r="M126" s="4141"/>
      <c r="N126" s="4141"/>
      <c r="O126" s="4141"/>
      <c r="P126" s="4141"/>
      <c r="Q126" s="4141"/>
      <c r="R126" s="4141"/>
      <c r="S126" s="4141"/>
      <c r="T126" s="4141"/>
      <c r="U126" s="4142"/>
      <c r="V126" s="4144"/>
      <c r="W126" s="4145"/>
      <c r="X126" s="4145"/>
      <c r="Y126" s="4146"/>
      <c r="Z126" s="4144"/>
      <c r="AA126" s="4146"/>
      <c r="AB126" s="35"/>
      <c r="AC126" s="183"/>
      <c r="AD126" s="34"/>
      <c r="AE126" s="34"/>
      <c r="AF126" s="34"/>
      <c r="AG126" s="34"/>
      <c r="AH126" s="34"/>
    </row>
    <row r="127" spans="1:34" ht="15" customHeight="1" x14ac:dyDescent="0.25">
      <c r="A127" s="179"/>
      <c r="B127" s="3015" t="s">
        <v>20</v>
      </c>
      <c r="C127" s="2847" t="s">
        <v>21</v>
      </c>
      <c r="D127" s="2847" t="s">
        <v>22</v>
      </c>
      <c r="E127" s="2847" t="s">
        <v>23</v>
      </c>
      <c r="F127" s="2847" t="s">
        <v>164</v>
      </c>
      <c r="G127" s="2988" t="s">
        <v>25</v>
      </c>
      <c r="H127" s="2988" t="s">
        <v>26</v>
      </c>
      <c r="I127" s="2988" t="s">
        <v>27</v>
      </c>
      <c r="J127" s="3206" t="s">
        <v>28</v>
      </c>
      <c r="K127" s="3207"/>
      <c r="L127" s="2988" t="s">
        <v>29</v>
      </c>
      <c r="M127" s="2847" t="s">
        <v>30</v>
      </c>
      <c r="N127" s="2847"/>
      <c r="O127" s="2990" t="s">
        <v>31</v>
      </c>
      <c r="P127" s="2991"/>
      <c r="Q127" s="2991"/>
      <c r="R127" s="2991"/>
      <c r="S127" s="2991"/>
      <c r="T127" s="2991"/>
      <c r="U127" s="2991"/>
      <c r="V127" s="2991"/>
      <c r="W127" s="2991"/>
      <c r="X127" s="2991"/>
      <c r="Y127" s="2991"/>
      <c r="Z127" s="2992"/>
      <c r="AA127" s="2916" t="s">
        <v>32</v>
      </c>
      <c r="AB127" s="35"/>
      <c r="AC127" s="183"/>
      <c r="AD127" s="34"/>
      <c r="AE127" s="34"/>
      <c r="AF127" s="34"/>
      <c r="AG127" s="34"/>
      <c r="AH127" s="34"/>
    </row>
    <row r="128" spans="1:34" x14ac:dyDescent="0.25">
      <c r="A128" s="179"/>
      <c r="B128" s="3016"/>
      <c r="C128" s="2988"/>
      <c r="D128" s="2988"/>
      <c r="E128" s="2988"/>
      <c r="F128" s="2988"/>
      <c r="G128" s="3186"/>
      <c r="H128" s="3186"/>
      <c r="I128" s="3186"/>
      <c r="J128" s="1286" t="s">
        <v>33</v>
      </c>
      <c r="K128" s="1286" t="s">
        <v>34</v>
      </c>
      <c r="L128" s="3186"/>
      <c r="M128" s="2847"/>
      <c r="N128" s="2847"/>
      <c r="O128" s="1294" t="s">
        <v>35</v>
      </c>
      <c r="P128" s="1294" t="s">
        <v>36</v>
      </c>
      <c r="Q128" s="1294" t="s">
        <v>37</v>
      </c>
      <c r="R128" s="1294" t="s">
        <v>38</v>
      </c>
      <c r="S128" s="1294" t="s">
        <v>39</v>
      </c>
      <c r="T128" s="1294" t="s">
        <v>40</v>
      </c>
      <c r="U128" s="1294" t="s">
        <v>41</v>
      </c>
      <c r="V128" s="1294" t="s">
        <v>42</v>
      </c>
      <c r="W128" s="1294" t="s">
        <v>43</v>
      </c>
      <c r="X128" s="1294" t="s">
        <v>44</v>
      </c>
      <c r="Y128" s="1294" t="s">
        <v>45</v>
      </c>
      <c r="Z128" s="1294" t="s">
        <v>46</v>
      </c>
      <c r="AA128" s="2916"/>
      <c r="AB128" s="35"/>
      <c r="AC128" s="183"/>
      <c r="AD128" s="34"/>
      <c r="AE128" s="34"/>
      <c r="AF128" s="34"/>
      <c r="AG128" s="34"/>
      <c r="AH128" s="34"/>
    </row>
    <row r="129" spans="1:34" ht="90" customHeight="1" x14ac:dyDescent="0.25">
      <c r="A129" s="179"/>
      <c r="B129" s="4066">
        <v>5004401</v>
      </c>
      <c r="C129" s="4054" t="s">
        <v>1447</v>
      </c>
      <c r="D129" s="3891">
        <v>4</v>
      </c>
      <c r="E129" s="3891">
        <v>17</v>
      </c>
      <c r="F129" s="3891">
        <v>54</v>
      </c>
      <c r="G129" s="3891">
        <v>119</v>
      </c>
      <c r="H129" s="3891"/>
      <c r="I129" s="4066" t="s">
        <v>3278</v>
      </c>
      <c r="J129" s="3891"/>
      <c r="K129" s="4265">
        <v>53840</v>
      </c>
      <c r="L129" s="3403"/>
      <c r="M129" s="2647" t="s">
        <v>1344</v>
      </c>
      <c r="N129" s="2648"/>
      <c r="O129" s="260"/>
      <c r="P129" s="260"/>
      <c r="Q129" s="260">
        <v>2</v>
      </c>
      <c r="R129" s="260"/>
      <c r="S129" s="260">
        <v>2</v>
      </c>
      <c r="T129" s="260"/>
      <c r="U129" s="260">
        <v>2</v>
      </c>
      <c r="V129" s="260"/>
      <c r="W129" s="260">
        <v>2</v>
      </c>
      <c r="X129" s="260"/>
      <c r="Y129" s="260">
        <v>2</v>
      </c>
      <c r="Z129" s="260"/>
      <c r="AA129" s="1475">
        <f>SUM(O129:Z129)</f>
        <v>10</v>
      </c>
      <c r="AB129" s="35"/>
      <c r="AC129" s="183"/>
      <c r="AD129" s="34"/>
      <c r="AE129" s="34"/>
      <c r="AF129" s="34"/>
      <c r="AG129" s="34"/>
      <c r="AH129" s="34"/>
    </row>
    <row r="130" spans="1:34" x14ac:dyDescent="0.25">
      <c r="A130" s="179"/>
      <c r="B130" s="4068"/>
      <c r="C130" s="4055"/>
      <c r="D130" s="3893"/>
      <c r="E130" s="3893"/>
      <c r="F130" s="3893"/>
      <c r="G130" s="3893"/>
      <c r="H130" s="3893"/>
      <c r="I130" s="4068"/>
      <c r="J130" s="3893"/>
      <c r="K130" s="4266"/>
      <c r="L130" s="3405"/>
      <c r="M130" s="3058" t="s">
        <v>111</v>
      </c>
      <c r="N130" s="3084"/>
      <c r="O130" s="428">
        <f>+SUM(O131:O141)</f>
        <v>1700</v>
      </c>
      <c r="P130" s="428">
        <f t="shared" ref="P130:Z130" si="14">+SUM(P131:P141)</f>
        <v>2200</v>
      </c>
      <c r="Q130" s="428">
        <f t="shared" si="14"/>
        <v>27150</v>
      </c>
      <c r="R130" s="428">
        <f t="shared" si="14"/>
        <v>1950</v>
      </c>
      <c r="S130" s="428">
        <f t="shared" si="14"/>
        <v>5950</v>
      </c>
      <c r="T130" s="428">
        <f t="shared" si="14"/>
        <v>3290</v>
      </c>
      <c r="U130" s="428">
        <f t="shared" si="14"/>
        <v>3900</v>
      </c>
      <c r="V130" s="428">
        <f t="shared" si="14"/>
        <v>2550</v>
      </c>
      <c r="W130" s="428">
        <f t="shared" si="14"/>
        <v>4700</v>
      </c>
      <c r="X130" s="428">
        <f t="shared" si="14"/>
        <v>4900</v>
      </c>
      <c r="Y130" s="428">
        <f t="shared" si="14"/>
        <v>700</v>
      </c>
      <c r="Z130" s="428">
        <f t="shared" si="14"/>
        <v>0</v>
      </c>
      <c r="AA130" s="1476">
        <f>SUM(O130:Z130)</f>
        <v>58990</v>
      </c>
      <c r="AB130" s="35"/>
      <c r="AC130" s="183"/>
      <c r="AD130" s="34"/>
      <c r="AE130" s="34"/>
      <c r="AF130" s="34"/>
      <c r="AG130" s="34"/>
      <c r="AH130" s="34"/>
    </row>
    <row r="131" spans="1:34" x14ac:dyDescent="0.25">
      <c r="A131" s="179"/>
      <c r="B131" s="4163" t="s">
        <v>1449</v>
      </c>
      <c r="C131" s="2416" t="s">
        <v>1450</v>
      </c>
      <c r="D131" s="4164"/>
      <c r="E131" s="4164"/>
      <c r="F131" s="4164"/>
      <c r="G131" s="3891"/>
      <c r="H131" s="2427" t="s">
        <v>1451</v>
      </c>
      <c r="I131" s="3403" t="s">
        <v>61</v>
      </c>
      <c r="J131" s="2427">
        <v>10</v>
      </c>
      <c r="K131" s="4191">
        <v>53840</v>
      </c>
      <c r="L131" s="3403" t="s">
        <v>1430</v>
      </c>
      <c r="M131" s="1338" t="s">
        <v>184</v>
      </c>
      <c r="N131" s="416" t="s">
        <v>1192</v>
      </c>
      <c r="O131" s="431"/>
      <c r="P131" s="431"/>
      <c r="Q131" s="431">
        <v>8000</v>
      </c>
      <c r="R131" s="431"/>
      <c r="S131" s="431"/>
      <c r="T131" s="431"/>
      <c r="U131" s="431"/>
      <c r="V131" s="431"/>
      <c r="W131" s="401">
        <f>+SUM(W132:W141)</f>
        <v>2350</v>
      </c>
      <c r="X131" s="401">
        <f>+SUM(X132:X141)</f>
        <v>2450</v>
      </c>
      <c r="Y131" s="401">
        <f>+SUM(Y132:Y141)</f>
        <v>350</v>
      </c>
      <c r="Z131" s="401">
        <f>+SUM(Z132:Z141)</f>
        <v>0</v>
      </c>
      <c r="AA131" s="1477">
        <f>SUM(O131:Z131)</f>
        <v>13150</v>
      </c>
      <c r="AB131" s="35"/>
      <c r="AC131" s="183"/>
      <c r="AD131" s="34"/>
      <c r="AE131" s="34"/>
      <c r="AF131" s="34"/>
      <c r="AG131" s="34"/>
      <c r="AH131" s="34"/>
    </row>
    <row r="132" spans="1:34" x14ac:dyDescent="0.25">
      <c r="A132" s="179"/>
      <c r="B132" s="4163"/>
      <c r="C132" s="2416"/>
      <c r="D132" s="4164"/>
      <c r="E132" s="4164"/>
      <c r="F132" s="4164"/>
      <c r="G132" s="3892"/>
      <c r="H132" s="2430"/>
      <c r="I132" s="3404"/>
      <c r="J132" s="2430"/>
      <c r="K132" s="4192"/>
      <c r="L132" s="3404"/>
      <c r="M132" s="1341" t="s">
        <v>200</v>
      </c>
      <c r="N132" s="1342" t="s">
        <v>1441</v>
      </c>
      <c r="O132" s="431"/>
      <c r="P132" s="431"/>
      <c r="Q132" s="431">
        <v>500</v>
      </c>
      <c r="R132" s="431"/>
      <c r="S132" s="431">
        <v>3000</v>
      </c>
      <c r="T132" s="431"/>
      <c r="U132" s="431">
        <v>500</v>
      </c>
      <c r="V132" s="431">
        <v>250</v>
      </c>
      <c r="W132" s="431"/>
      <c r="X132" s="431"/>
      <c r="Y132" s="431"/>
      <c r="Z132" s="431"/>
      <c r="AA132" s="1736">
        <f t="shared" ref="AA132:AA141" si="15">SUM(O132:Z132)</f>
        <v>4250</v>
      </c>
      <c r="AB132" s="35"/>
      <c r="AC132" s="183"/>
      <c r="AD132" s="34"/>
      <c r="AE132" s="34"/>
      <c r="AF132" s="34"/>
      <c r="AG132" s="34"/>
      <c r="AH132" s="34"/>
    </row>
    <row r="133" spans="1:34" x14ac:dyDescent="0.25">
      <c r="A133" s="179"/>
      <c r="B133" s="4163"/>
      <c r="C133" s="2416"/>
      <c r="D133" s="4164"/>
      <c r="E133" s="4164"/>
      <c r="F133" s="4164"/>
      <c r="G133" s="3892"/>
      <c r="H133" s="2430"/>
      <c r="I133" s="3404"/>
      <c r="J133" s="2430"/>
      <c r="K133" s="4192"/>
      <c r="L133" s="3404"/>
      <c r="M133" s="256" t="s">
        <v>178</v>
      </c>
      <c r="N133" s="416" t="s">
        <v>1442</v>
      </c>
      <c r="O133" s="432"/>
      <c r="P133" s="432"/>
      <c r="Q133" s="432"/>
      <c r="R133" s="432"/>
      <c r="S133" s="432">
        <v>1000</v>
      </c>
      <c r="T133" s="432"/>
      <c r="U133" s="432">
        <v>200</v>
      </c>
      <c r="V133" s="432">
        <v>300</v>
      </c>
      <c r="W133" s="431">
        <v>200</v>
      </c>
      <c r="X133" s="431">
        <v>300</v>
      </c>
      <c r="Y133" s="431">
        <v>250</v>
      </c>
      <c r="Z133" s="431"/>
      <c r="AA133" s="1736">
        <f t="shared" si="15"/>
        <v>2250</v>
      </c>
      <c r="AB133" s="35"/>
      <c r="AC133" s="183"/>
      <c r="AD133" s="34"/>
      <c r="AE133" s="34"/>
      <c r="AF133" s="34"/>
      <c r="AG133" s="34"/>
      <c r="AH133" s="34"/>
    </row>
    <row r="134" spans="1:34" x14ac:dyDescent="0.25">
      <c r="A134" s="179"/>
      <c r="B134" s="4163"/>
      <c r="C134" s="2416"/>
      <c r="D134" s="4164"/>
      <c r="E134" s="4164"/>
      <c r="F134" s="4164"/>
      <c r="G134" s="3892"/>
      <c r="H134" s="2430"/>
      <c r="I134" s="3404"/>
      <c r="J134" s="2430"/>
      <c r="K134" s="4192"/>
      <c r="L134" s="3404"/>
      <c r="M134" s="1338" t="s">
        <v>180</v>
      </c>
      <c r="N134" s="416" t="s">
        <v>1203</v>
      </c>
      <c r="O134" s="432"/>
      <c r="P134" s="432"/>
      <c r="Q134" s="432">
        <v>12000</v>
      </c>
      <c r="R134" s="432"/>
      <c r="S134" s="432"/>
      <c r="T134" s="432"/>
      <c r="U134" s="432"/>
      <c r="V134" s="432"/>
      <c r="W134" s="432">
        <v>250</v>
      </c>
      <c r="X134" s="432">
        <v>250</v>
      </c>
      <c r="Y134" s="432"/>
      <c r="Z134" s="432"/>
      <c r="AA134" s="1736">
        <f t="shared" si="15"/>
        <v>12500</v>
      </c>
      <c r="AB134" s="35"/>
      <c r="AC134" s="183"/>
      <c r="AD134" s="34"/>
      <c r="AE134" s="34"/>
      <c r="AF134" s="34"/>
      <c r="AG134" s="34"/>
      <c r="AH134" s="34"/>
    </row>
    <row r="135" spans="1:34" x14ac:dyDescent="0.25">
      <c r="A135" s="179"/>
      <c r="B135" s="4163"/>
      <c r="C135" s="2416"/>
      <c r="D135" s="4164"/>
      <c r="E135" s="4164"/>
      <c r="F135" s="4164"/>
      <c r="G135" s="3892"/>
      <c r="H135" s="2430"/>
      <c r="I135" s="3404"/>
      <c r="J135" s="2430"/>
      <c r="K135" s="4192"/>
      <c r="L135" s="3404"/>
      <c r="M135" s="1338" t="s">
        <v>541</v>
      </c>
      <c r="N135" s="416" t="s">
        <v>1439</v>
      </c>
      <c r="O135" s="432"/>
      <c r="P135" s="432"/>
      <c r="Q135" s="432">
        <v>200</v>
      </c>
      <c r="R135" s="432">
        <v>250</v>
      </c>
      <c r="S135" s="432">
        <v>250</v>
      </c>
      <c r="T135" s="432">
        <v>250</v>
      </c>
      <c r="U135" s="432">
        <v>250</v>
      </c>
      <c r="V135" s="432">
        <v>300</v>
      </c>
      <c r="W135" s="432"/>
      <c r="X135" s="432"/>
      <c r="Y135" s="432"/>
      <c r="Z135" s="432"/>
      <c r="AA135" s="1736">
        <f t="shared" si="15"/>
        <v>1500</v>
      </c>
      <c r="AB135" s="35"/>
      <c r="AC135" s="183"/>
      <c r="AD135" s="34"/>
      <c r="AE135" s="34"/>
      <c r="AF135" s="34"/>
      <c r="AG135" s="34"/>
      <c r="AH135" s="34"/>
    </row>
    <row r="136" spans="1:34" x14ac:dyDescent="0.25">
      <c r="A136" s="179"/>
      <c r="B136" s="4163"/>
      <c r="C136" s="2416"/>
      <c r="D136" s="4164"/>
      <c r="E136" s="4164"/>
      <c r="F136" s="4164"/>
      <c r="G136" s="3892"/>
      <c r="H136" s="2430"/>
      <c r="I136" s="3404"/>
      <c r="J136" s="2430"/>
      <c r="K136" s="4192"/>
      <c r="L136" s="3404"/>
      <c r="M136" s="1338" t="s">
        <v>194</v>
      </c>
      <c r="N136" s="416" t="s">
        <v>1440</v>
      </c>
      <c r="O136" s="432">
        <v>1700</v>
      </c>
      <c r="P136" s="432">
        <v>1700</v>
      </c>
      <c r="Q136" s="432">
        <v>1700</v>
      </c>
      <c r="R136" s="432">
        <v>1700</v>
      </c>
      <c r="S136" s="432">
        <v>1700</v>
      </c>
      <c r="T136" s="432">
        <v>1700</v>
      </c>
      <c r="U136" s="432">
        <v>1700</v>
      </c>
      <c r="V136" s="432">
        <v>1700</v>
      </c>
      <c r="W136" s="432">
        <v>200</v>
      </c>
      <c r="X136" s="432">
        <v>200</v>
      </c>
      <c r="Y136" s="432">
        <v>100</v>
      </c>
      <c r="Z136" s="432"/>
      <c r="AA136" s="1736">
        <f t="shared" si="15"/>
        <v>14100</v>
      </c>
      <c r="AB136" s="35"/>
      <c r="AC136" s="183"/>
      <c r="AD136" s="34"/>
      <c r="AE136" s="34"/>
      <c r="AF136" s="34"/>
      <c r="AG136" s="34"/>
      <c r="AH136" s="34"/>
    </row>
    <row r="137" spans="1:34" x14ac:dyDescent="0.25">
      <c r="A137" s="179"/>
      <c r="B137" s="4163"/>
      <c r="C137" s="2416"/>
      <c r="D137" s="4164"/>
      <c r="E137" s="4164"/>
      <c r="F137" s="4164"/>
      <c r="G137" s="3892"/>
      <c r="H137" s="2430"/>
      <c r="I137" s="3404"/>
      <c r="J137" s="2430"/>
      <c r="K137" s="4192"/>
      <c r="L137" s="3404"/>
      <c r="M137" s="256" t="s">
        <v>1443</v>
      </c>
      <c r="N137" s="416" t="s">
        <v>1444</v>
      </c>
      <c r="O137" s="432"/>
      <c r="P137" s="432"/>
      <c r="Q137" s="432">
        <v>3000</v>
      </c>
      <c r="R137" s="432"/>
      <c r="S137" s="432"/>
      <c r="T137" s="432"/>
      <c r="U137" s="432"/>
      <c r="V137" s="432"/>
      <c r="W137" s="432">
        <v>1700</v>
      </c>
      <c r="X137" s="432">
        <v>1700</v>
      </c>
      <c r="Y137" s="432"/>
      <c r="Z137" s="432"/>
      <c r="AA137" s="1736">
        <f t="shared" si="15"/>
        <v>6400</v>
      </c>
      <c r="AB137" s="35"/>
      <c r="AC137" s="183"/>
      <c r="AD137" s="34"/>
      <c r="AE137" s="34"/>
      <c r="AF137" s="34"/>
      <c r="AG137" s="34"/>
      <c r="AH137" s="34"/>
    </row>
    <row r="138" spans="1:34" ht="33.75" x14ac:dyDescent="0.25">
      <c r="A138" s="179"/>
      <c r="B138" s="4163"/>
      <c r="C138" s="2416"/>
      <c r="D138" s="4164"/>
      <c r="E138" s="4164"/>
      <c r="F138" s="4164"/>
      <c r="G138" s="3892"/>
      <c r="H138" s="2430"/>
      <c r="I138" s="3404"/>
      <c r="J138" s="2430"/>
      <c r="K138" s="4192"/>
      <c r="L138" s="3404"/>
      <c r="M138" s="1338" t="s">
        <v>1452</v>
      </c>
      <c r="N138" s="307" t="s">
        <v>1453</v>
      </c>
      <c r="O138" s="432"/>
      <c r="P138" s="432"/>
      <c r="Q138" s="432">
        <v>500</v>
      </c>
      <c r="R138" s="432"/>
      <c r="S138" s="432"/>
      <c r="T138" s="432">
        <v>500</v>
      </c>
      <c r="U138" s="432"/>
      <c r="V138" s="432"/>
      <c r="W138" s="432"/>
      <c r="X138" s="432"/>
      <c r="Y138" s="432"/>
      <c r="Z138" s="432"/>
      <c r="AA138" s="1736">
        <f t="shared" si="15"/>
        <v>1000</v>
      </c>
      <c r="AB138" s="35"/>
      <c r="AC138" s="183"/>
      <c r="AD138" s="34"/>
      <c r="AE138" s="34"/>
      <c r="AF138" s="34"/>
      <c r="AG138" s="34"/>
      <c r="AH138" s="34"/>
    </row>
    <row r="139" spans="1:34" x14ac:dyDescent="0.25">
      <c r="A139" s="179"/>
      <c r="B139" s="4163"/>
      <c r="C139" s="2416"/>
      <c r="D139" s="4164"/>
      <c r="E139" s="4164"/>
      <c r="F139" s="4164"/>
      <c r="G139" s="3892"/>
      <c r="H139" s="2430"/>
      <c r="I139" s="3404"/>
      <c r="J139" s="2430"/>
      <c r="K139" s="4192"/>
      <c r="L139" s="3404"/>
      <c r="M139" s="1338" t="s">
        <v>1454</v>
      </c>
      <c r="N139" s="307" t="s">
        <v>1455</v>
      </c>
      <c r="O139" s="432"/>
      <c r="P139" s="432"/>
      <c r="Q139" s="432"/>
      <c r="R139" s="432"/>
      <c r="S139" s="432"/>
      <c r="T139" s="432">
        <v>840</v>
      </c>
      <c r="U139" s="432"/>
      <c r="V139" s="432"/>
      <c r="W139" s="432"/>
      <c r="X139" s="432"/>
      <c r="Y139" s="432"/>
      <c r="Z139" s="432"/>
      <c r="AA139" s="1736">
        <f t="shared" si="15"/>
        <v>840</v>
      </c>
      <c r="AB139" s="35"/>
      <c r="AC139" s="183"/>
      <c r="AD139" s="34"/>
      <c r="AE139" s="34"/>
      <c r="AF139" s="34"/>
      <c r="AG139" s="34"/>
      <c r="AH139" s="34"/>
    </row>
    <row r="140" spans="1:34" x14ac:dyDescent="0.25">
      <c r="A140" s="179"/>
      <c r="B140" s="4163"/>
      <c r="C140" s="2416"/>
      <c r="D140" s="4164"/>
      <c r="E140" s="4164"/>
      <c r="F140" s="4164"/>
      <c r="G140" s="3892"/>
      <c r="H140" s="2430"/>
      <c r="I140" s="3404"/>
      <c r="J140" s="2430"/>
      <c r="K140" s="4192"/>
      <c r="L140" s="3404"/>
      <c r="M140" s="256" t="s">
        <v>215</v>
      </c>
      <c r="N140" s="256" t="s">
        <v>1445</v>
      </c>
      <c r="O140" s="432"/>
      <c r="P140" s="432">
        <v>500</v>
      </c>
      <c r="Q140" s="432"/>
      <c r="R140" s="432"/>
      <c r="S140" s="432"/>
      <c r="T140" s="432"/>
      <c r="U140" s="432"/>
      <c r="V140" s="432"/>
      <c r="W140" s="432"/>
      <c r="X140" s="432"/>
      <c r="Y140" s="432"/>
      <c r="Z140" s="432"/>
      <c r="AA140" s="1736">
        <f t="shared" si="15"/>
        <v>500</v>
      </c>
      <c r="AB140" s="35"/>
      <c r="AC140" s="183"/>
      <c r="AD140" s="34"/>
      <c r="AE140" s="34"/>
      <c r="AF140" s="34"/>
      <c r="AG140" s="34"/>
      <c r="AH140" s="34"/>
    </row>
    <row r="141" spans="1:34" ht="30.75" customHeight="1" x14ac:dyDescent="0.25">
      <c r="A141" s="179"/>
      <c r="B141" s="4163"/>
      <c r="C141" s="2416"/>
      <c r="D141" s="4164"/>
      <c r="E141" s="4164"/>
      <c r="F141" s="4164"/>
      <c r="G141" s="3893"/>
      <c r="H141" s="2434"/>
      <c r="I141" s="3405"/>
      <c r="J141" s="2434"/>
      <c r="K141" s="4193"/>
      <c r="L141" s="3405"/>
      <c r="M141" s="416" t="s">
        <v>217</v>
      </c>
      <c r="N141" s="416" t="s">
        <v>218</v>
      </c>
      <c r="O141" s="432"/>
      <c r="P141" s="432"/>
      <c r="Q141" s="432">
        <v>1250</v>
      </c>
      <c r="R141" s="432"/>
      <c r="S141" s="432"/>
      <c r="T141" s="432"/>
      <c r="U141" s="432">
        <v>1250</v>
      </c>
      <c r="V141" s="432"/>
      <c r="W141" s="432"/>
      <c r="X141" s="432"/>
      <c r="Y141" s="432"/>
      <c r="Z141" s="432"/>
      <c r="AA141" s="1736">
        <f t="shared" si="15"/>
        <v>2500</v>
      </c>
      <c r="AB141" s="35"/>
      <c r="AC141" s="183"/>
      <c r="AD141" s="34"/>
      <c r="AE141" s="34"/>
      <c r="AF141" s="34"/>
      <c r="AG141" s="34"/>
      <c r="AH141" s="34"/>
    </row>
    <row r="142" spans="1:34" x14ac:dyDescent="0.25">
      <c r="A142" s="179"/>
      <c r="B142" s="4170" t="s">
        <v>18</v>
      </c>
      <c r="C142" s="4169">
        <v>3000471</v>
      </c>
      <c r="D142" s="4151" t="s">
        <v>2512</v>
      </c>
      <c r="E142" s="4152"/>
      <c r="F142" s="4152"/>
      <c r="G142" s="4152"/>
      <c r="H142" s="4152"/>
      <c r="I142" s="4152"/>
      <c r="J142" s="4152"/>
      <c r="K142" s="4152"/>
      <c r="L142" s="4152"/>
      <c r="M142" s="4152"/>
      <c r="N142" s="4152"/>
      <c r="O142" s="4152"/>
      <c r="P142" s="4152"/>
      <c r="Q142" s="4152"/>
      <c r="R142" s="4152"/>
      <c r="S142" s="4152"/>
      <c r="T142" s="4152"/>
      <c r="U142" s="4153"/>
      <c r="V142" s="4063" t="s">
        <v>15</v>
      </c>
      <c r="W142" s="4064"/>
      <c r="X142" s="4064"/>
      <c r="Y142" s="4065"/>
      <c r="Z142" s="4063" t="s">
        <v>16</v>
      </c>
      <c r="AA142" s="4065"/>
      <c r="AB142" s="35"/>
      <c r="AC142" s="183"/>
      <c r="AD142" s="34"/>
      <c r="AE142" s="34"/>
      <c r="AF142" s="34"/>
      <c r="AG142" s="34"/>
      <c r="AH142" s="34"/>
    </row>
    <row r="143" spans="1:34" x14ac:dyDescent="0.25">
      <c r="A143" s="179"/>
      <c r="B143" s="4170"/>
      <c r="C143" s="4157"/>
      <c r="D143" s="4140"/>
      <c r="E143" s="4141"/>
      <c r="F143" s="4141"/>
      <c r="G143" s="4141"/>
      <c r="H143" s="4141"/>
      <c r="I143" s="4141"/>
      <c r="J143" s="4141"/>
      <c r="K143" s="4141"/>
      <c r="L143" s="4141"/>
      <c r="M143" s="4141"/>
      <c r="N143" s="4141"/>
      <c r="O143" s="4141"/>
      <c r="P143" s="4141"/>
      <c r="Q143" s="4141"/>
      <c r="R143" s="4141"/>
      <c r="S143" s="4141"/>
      <c r="T143" s="4141"/>
      <c r="U143" s="4142"/>
      <c r="V143" s="4144"/>
      <c r="W143" s="4145"/>
      <c r="X143" s="4145"/>
      <c r="Y143" s="4146"/>
      <c r="Z143" s="4158"/>
      <c r="AA143" s="4159"/>
      <c r="AB143" s="35"/>
      <c r="AC143" s="183"/>
      <c r="AD143" s="34"/>
      <c r="AE143" s="34"/>
      <c r="AF143" s="34"/>
      <c r="AG143" s="34"/>
      <c r="AH143" s="34"/>
    </row>
    <row r="144" spans="1:34" ht="15" customHeight="1" x14ac:dyDescent="0.25">
      <c r="A144" s="179"/>
      <c r="B144" s="3015" t="s">
        <v>20</v>
      </c>
      <c r="C144" s="2847" t="s">
        <v>21</v>
      </c>
      <c r="D144" s="2847" t="s">
        <v>22</v>
      </c>
      <c r="E144" s="2847" t="s">
        <v>23</v>
      </c>
      <c r="F144" s="2847" t="s">
        <v>164</v>
      </c>
      <c r="G144" s="2847" t="s">
        <v>25</v>
      </c>
      <c r="H144" s="2847" t="s">
        <v>26</v>
      </c>
      <c r="I144" s="2847" t="s">
        <v>27</v>
      </c>
      <c r="J144" s="2847" t="s">
        <v>28</v>
      </c>
      <c r="K144" s="2847"/>
      <c r="L144" s="2847" t="s">
        <v>29</v>
      </c>
      <c r="M144" s="2986" t="s">
        <v>30</v>
      </c>
      <c r="N144" s="2987"/>
      <c r="O144" s="2990" t="s">
        <v>31</v>
      </c>
      <c r="P144" s="2991"/>
      <c r="Q144" s="2991"/>
      <c r="R144" s="2991"/>
      <c r="S144" s="2991"/>
      <c r="T144" s="2991"/>
      <c r="U144" s="2991"/>
      <c r="V144" s="2991"/>
      <c r="W144" s="2991"/>
      <c r="X144" s="2991"/>
      <c r="Y144" s="2991"/>
      <c r="Z144" s="2992"/>
      <c r="AA144" s="4160" t="s">
        <v>32</v>
      </c>
      <c r="AB144" s="35"/>
      <c r="AC144" s="183"/>
      <c r="AD144" s="34"/>
      <c r="AE144" s="34"/>
      <c r="AF144" s="34"/>
      <c r="AG144" s="34"/>
      <c r="AH144" s="34"/>
    </row>
    <row r="145" spans="1:34" ht="24" customHeight="1" x14ac:dyDescent="0.25">
      <c r="A145" s="179"/>
      <c r="B145" s="3016"/>
      <c r="C145" s="2847"/>
      <c r="D145" s="2847"/>
      <c r="E145" s="2847"/>
      <c r="F145" s="2847"/>
      <c r="G145" s="2847"/>
      <c r="H145" s="2847"/>
      <c r="I145" s="2847"/>
      <c r="J145" s="1284" t="s">
        <v>33</v>
      </c>
      <c r="K145" s="1284" t="s">
        <v>34</v>
      </c>
      <c r="L145" s="2847"/>
      <c r="M145" s="3000"/>
      <c r="N145" s="3001"/>
      <c r="O145" s="1294" t="s">
        <v>35</v>
      </c>
      <c r="P145" s="1294" t="s">
        <v>36</v>
      </c>
      <c r="Q145" s="1294" t="s">
        <v>37</v>
      </c>
      <c r="R145" s="1294" t="s">
        <v>38</v>
      </c>
      <c r="S145" s="1294" t="s">
        <v>39</v>
      </c>
      <c r="T145" s="1294" t="s">
        <v>40</v>
      </c>
      <c r="U145" s="1294" t="s">
        <v>41</v>
      </c>
      <c r="V145" s="1294" t="s">
        <v>42</v>
      </c>
      <c r="W145" s="1294" t="s">
        <v>43</v>
      </c>
      <c r="X145" s="1294" t="s">
        <v>44</v>
      </c>
      <c r="Y145" s="1294" t="s">
        <v>45</v>
      </c>
      <c r="Z145" s="1294" t="s">
        <v>46</v>
      </c>
      <c r="AA145" s="4161"/>
      <c r="AB145" s="35"/>
      <c r="AC145" s="183"/>
      <c r="AD145" s="34"/>
      <c r="AE145" s="34"/>
      <c r="AF145" s="34"/>
      <c r="AG145" s="34"/>
      <c r="AH145" s="34"/>
    </row>
    <row r="146" spans="1:34" x14ac:dyDescent="0.25">
      <c r="A146" s="179"/>
      <c r="B146" s="2424">
        <v>5004454</v>
      </c>
      <c r="C146" s="4171" t="s">
        <v>1456</v>
      </c>
      <c r="D146" s="4173" t="s">
        <v>2449</v>
      </c>
      <c r="E146" s="4173" t="s">
        <v>2506</v>
      </c>
      <c r="F146" s="4173" t="s">
        <v>2510</v>
      </c>
      <c r="G146" s="4173" t="s">
        <v>2511</v>
      </c>
      <c r="H146" s="4175"/>
      <c r="I146" s="4175"/>
      <c r="J146" s="4176">
        <v>2</v>
      </c>
      <c r="K146" s="4262">
        <v>50825</v>
      </c>
      <c r="L146" s="2427" t="s">
        <v>3261</v>
      </c>
      <c r="M146" s="4137" t="s">
        <v>1344</v>
      </c>
      <c r="N146" s="4139"/>
      <c r="O146" s="426"/>
      <c r="P146" s="426"/>
      <c r="Q146" s="426"/>
      <c r="R146" s="426"/>
      <c r="S146" s="426"/>
      <c r="T146" s="426">
        <v>1</v>
      </c>
      <c r="U146" s="426"/>
      <c r="V146" s="426"/>
      <c r="W146" s="426"/>
      <c r="X146" s="426"/>
      <c r="Y146" s="426">
        <v>1</v>
      </c>
      <c r="Z146" s="426"/>
      <c r="AA146" s="428">
        <f>SUM(O146:Z146)</f>
        <v>2</v>
      </c>
      <c r="AB146" s="35"/>
      <c r="AC146" s="183"/>
      <c r="AD146" s="34"/>
      <c r="AE146" s="34"/>
      <c r="AF146" s="34"/>
      <c r="AG146" s="34"/>
      <c r="AH146" s="34"/>
    </row>
    <row r="147" spans="1:34" ht="45" customHeight="1" x14ac:dyDescent="0.25">
      <c r="A147" s="179"/>
      <c r="B147" s="2425"/>
      <c r="C147" s="4172"/>
      <c r="D147" s="4174"/>
      <c r="E147" s="4174"/>
      <c r="F147" s="4174"/>
      <c r="G147" s="4174"/>
      <c r="H147" s="4174"/>
      <c r="I147" s="4174"/>
      <c r="J147" s="4177"/>
      <c r="K147" s="4263"/>
      <c r="L147" s="2434"/>
      <c r="M147" s="4170" t="s">
        <v>111</v>
      </c>
      <c r="N147" s="4170"/>
      <c r="O147" s="428">
        <f t="shared" ref="O147:Z147" si="16">+SUM(O148:O158)</f>
        <v>500</v>
      </c>
      <c r="P147" s="428">
        <f t="shared" si="16"/>
        <v>6000</v>
      </c>
      <c r="Q147" s="428">
        <f t="shared" si="16"/>
        <v>25975</v>
      </c>
      <c r="R147" s="428">
        <f t="shared" si="16"/>
        <v>2500</v>
      </c>
      <c r="S147" s="428">
        <f t="shared" si="16"/>
        <v>3650</v>
      </c>
      <c r="T147" s="428">
        <f t="shared" si="16"/>
        <v>3500</v>
      </c>
      <c r="U147" s="428">
        <f t="shared" si="16"/>
        <v>3400</v>
      </c>
      <c r="V147" s="428">
        <f t="shared" si="16"/>
        <v>2000</v>
      </c>
      <c r="W147" s="428">
        <f t="shared" si="16"/>
        <v>1150</v>
      </c>
      <c r="X147" s="428">
        <f t="shared" si="16"/>
        <v>500</v>
      </c>
      <c r="Y147" s="428">
        <f t="shared" si="16"/>
        <v>1650</v>
      </c>
      <c r="Z147" s="428">
        <f t="shared" si="16"/>
        <v>0</v>
      </c>
      <c r="AA147" s="428">
        <f>SUM(O147:Z147)</f>
        <v>50825</v>
      </c>
      <c r="AB147" s="35"/>
      <c r="AC147" s="183"/>
      <c r="AD147" s="34"/>
      <c r="AE147" s="34"/>
      <c r="AF147" s="34"/>
      <c r="AG147" s="34"/>
      <c r="AH147" s="34"/>
    </row>
    <row r="148" spans="1:34" x14ac:dyDescent="0.25">
      <c r="A148" s="179"/>
      <c r="B148" s="4066" t="s">
        <v>1187</v>
      </c>
      <c r="C148" s="3403" t="s">
        <v>1457</v>
      </c>
      <c r="D148" s="3891" t="s">
        <v>2449</v>
      </c>
      <c r="E148" s="3891" t="s">
        <v>2506</v>
      </c>
      <c r="F148" s="3891" t="s">
        <v>2510</v>
      </c>
      <c r="G148" s="3891" t="s">
        <v>2511</v>
      </c>
      <c r="H148" s="3403" t="s">
        <v>1458</v>
      </c>
      <c r="I148" s="4179" t="s">
        <v>1459</v>
      </c>
      <c r="J148" s="4179">
        <v>2</v>
      </c>
      <c r="K148" s="4183">
        <v>50825</v>
      </c>
      <c r="L148" s="3403" t="s">
        <v>1430</v>
      </c>
      <c r="M148" s="1338" t="s">
        <v>184</v>
      </c>
      <c r="N148" s="416" t="s">
        <v>1192</v>
      </c>
      <c r="O148" s="399"/>
      <c r="P148" s="399"/>
      <c r="Q148" s="399">
        <v>4000</v>
      </c>
      <c r="R148" s="399"/>
      <c r="S148" s="399"/>
      <c r="T148" s="399"/>
      <c r="U148" s="399"/>
      <c r="V148" s="399"/>
      <c r="W148" s="399"/>
      <c r="X148" s="399"/>
      <c r="Y148" s="399"/>
      <c r="Z148" s="399"/>
      <c r="AA148" s="399">
        <f>SUM(O148:Z148)</f>
        <v>4000</v>
      </c>
      <c r="AB148" s="35"/>
      <c r="AC148" s="183"/>
      <c r="AD148" s="34"/>
      <c r="AE148" s="34"/>
      <c r="AF148" s="34"/>
      <c r="AG148" s="34"/>
      <c r="AH148" s="34"/>
    </row>
    <row r="149" spans="1:34" x14ac:dyDescent="0.25">
      <c r="A149" s="179"/>
      <c r="B149" s="4067"/>
      <c r="C149" s="3404"/>
      <c r="D149" s="3892"/>
      <c r="E149" s="3892"/>
      <c r="F149" s="3892"/>
      <c r="G149" s="3892"/>
      <c r="H149" s="3404"/>
      <c r="I149" s="4180"/>
      <c r="J149" s="4180"/>
      <c r="K149" s="4184"/>
      <c r="L149" s="3404"/>
      <c r="M149" s="1341" t="s">
        <v>200</v>
      </c>
      <c r="N149" s="1342" t="s">
        <v>1441</v>
      </c>
      <c r="O149" s="399"/>
      <c r="P149" s="399"/>
      <c r="Q149" s="399">
        <v>2000</v>
      </c>
      <c r="R149" s="399">
        <v>1000</v>
      </c>
      <c r="S149" s="399">
        <v>1000</v>
      </c>
      <c r="T149" s="399">
        <v>1000</v>
      </c>
      <c r="U149" s="399"/>
      <c r="V149" s="399"/>
      <c r="W149" s="399"/>
      <c r="X149" s="399"/>
      <c r="Y149" s="399"/>
      <c r="Z149" s="399"/>
      <c r="AA149" s="399">
        <f t="shared" ref="AA149:AA157" si="17">SUM(O149:Z149)</f>
        <v>5000</v>
      </c>
      <c r="AB149" s="35"/>
      <c r="AC149" s="183"/>
      <c r="AD149" s="34"/>
      <c r="AE149" s="34"/>
      <c r="AF149" s="34"/>
      <c r="AG149" s="34"/>
      <c r="AH149" s="34"/>
    </row>
    <row r="150" spans="1:34" x14ac:dyDescent="0.25">
      <c r="A150" s="179"/>
      <c r="B150" s="4067"/>
      <c r="C150" s="3404"/>
      <c r="D150" s="3892"/>
      <c r="E150" s="3892"/>
      <c r="F150" s="3892"/>
      <c r="G150" s="3892"/>
      <c r="H150" s="3404"/>
      <c r="I150" s="4180"/>
      <c r="J150" s="4180"/>
      <c r="K150" s="4184"/>
      <c r="L150" s="3404"/>
      <c r="M150" s="256" t="s">
        <v>178</v>
      </c>
      <c r="N150" s="416" t="s">
        <v>1442</v>
      </c>
      <c r="O150" s="399"/>
      <c r="P150" s="399"/>
      <c r="Q150" s="399">
        <v>400</v>
      </c>
      <c r="R150" s="399"/>
      <c r="S150" s="399">
        <v>400</v>
      </c>
      <c r="T150" s="399"/>
      <c r="U150" s="399">
        <v>400</v>
      </c>
      <c r="V150" s="399"/>
      <c r="W150" s="399">
        <v>400</v>
      </c>
      <c r="X150" s="399"/>
      <c r="Y150" s="399">
        <v>400</v>
      </c>
      <c r="Z150" s="399"/>
      <c r="AA150" s="399">
        <f t="shared" si="17"/>
        <v>2000</v>
      </c>
      <c r="AB150" s="35"/>
      <c r="AC150" s="183"/>
      <c r="AD150" s="34"/>
      <c r="AE150" s="34"/>
      <c r="AF150" s="34"/>
      <c r="AG150" s="34"/>
      <c r="AH150" s="34"/>
    </row>
    <row r="151" spans="1:34" x14ac:dyDescent="0.25">
      <c r="A151" s="179"/>
      <c r="B151" s="4067"/>
      <c r="C151" s="3404"/>
      <c r="D151" s="3892"/>
      <c r="E151" s="3892"/>
      <c r="F151" s="3892"/>
      <c r="G151" s="3892"/>
      <c r="H151" s="3404"/>
      <c r="I151" s="4180"/>
      <c r="J151" s="4180"/>
      <c r="K151" s="4184"/>
      <c r="L151" s="3404"/>
      <c r="M151" s="1338" t="s">
        <v>180</v>
      </c>
      <c r="N151" s="416" t="s">
        <v>1203</v>
      </c>
      <c r="O151" s="399"/>
      <c r="P151" s="399"/>
      <c r="Q151" s="399">
        <v>18325</v>
      </c>
      <c r="R151" s="399"/>
      <c r="S151" s="399"/>
      <c r="T151" s="399"/>
      <c r="U151" s="399"/>
      <c r="V151" s="399"/>
      <c r="W151" s="399"/>
      <c r="X151" s="399"/>
      <c r="Y151" s="399"/>
      <c r="Z151" s="399"/>
      <c r="AA151" s="399">
        <f t="shared" si="17"/>
        <v>18325</v>
      </c>
      <c r="AB151" s="35"/>
      <c r="AC151" s="183"/>
      <c r="AD151" s="34"/>
      <c r="AE151" s="34"/>
      <c r="AF151" s="34"/>
      <c r="AG151" s="34"/>
      <c r="AH151" s="34"/>
    </row>
    <row r="152" spans="1:34" x14ac:dyDescent="0.25">
      <c r="A152" s="179"/>
      <c r="B152" s="4067"/>
      <c r="C152" s="3404"/>
      <c r="D152" s="3892"/>
      <c r="E152" s="3892"/>
      <c r="F152" s="3892"/>
      <c r="G152" s="3892"/>
      <c r="H152" s="3404"/>
      <c r="I152" s="4180"/>
      <c r="J152" s="4180"/>
      <c r="K152" s="4184"/>
      <c r="L152" s="3404"/>
      <c r="M152" s="1338" t="s">
        <v>541</v>
      </c>
      <c r="N152" s="416" t="s">
        <v>1439</v>
      </c>
      <c r="O152" s="399"/>
      <c r="P152" s="399"/>
      <c r="Q152" s="399">
        <v>250</v>
      </c>
      <c r="R152" s="399"/>
      <c r="S152" s="399">
        <v>250</v>
      </c>
      <c r="T152" s="399">
        <v>500</v>
      </c>
      <c r="U152" s="399">
        <v>500</v>
      </c>
      <c r="V152" s="399"/>
      <c r="W152" s="399">
        <v>250</v>
      </c>
      <c r="X152" s="399"/>
      <c r="Y152" s="399">
        <v>250</v>
      </c>
      <c r="Z152" s="399"/>
      <c r="AA152" s="399">
        <f t="shared" si="17"/>
        <v>2000</v>
      </c>
      <c r="AB152" s="35"/>
      <c r="AC152" s="183"/>
      <c r="AD152" s="34"/>
      <c r="AE152" s="34"/>
      <c r="AF152" s="34"/>
      <c r="AG152" s="34"/>
      <c r="AH152" s="34"/>
    </row>
    <row r="153" spans="1:34" x14ac:dyDescent="0.25">
      <c r="A153" s="179"/>
      <c r="B153" s="4067"/>
      <c r="C153" s="3404"/>
      <c r="D153" s="3892"/>
      <c r="E153" s="3892"/>
      <c r="F153" s="3892"/>
      <c r="G153" s="3892"/>
      <c r="H153" s="3404"/>
      <c r="I153" s="4180"/>
      <c r="J153" s="4180"/>
      <c r="K153" s="4184"/>
      <c r="L153" s="3404"/>
      <c r="M153" s="1338" t="s">
        <v>194</v>
      </c>
      <c r="N153" s="416" t="s">
        <v>1440</v>
      </c>
      <c r="O153" s="399">
        <v>500</v>
      </c>
      <c r="P153" s="399">
        <v>1000</v>
      </c>
      <c r="Q153" s="399">
        <v>1000</v>
      </c>
      <c r="R153" s="399">
        <v>1000</v>
      </c>
      <c r="S153" s="399">
        <v>500</v>
      </c>
      <c r="T153" s="399">
        <v>1000</v>
      </c>
      <c r="U153" s="399">
        <v>1000</v>
      </c>
      <c r="V153" s="399">
        <v>500</v>
      </c>
      <c r="W153" s="399">
        <v>500</v>
      </c>
      <c r="X153" s="399">
        <v>500</v>
      </c>
      <c r="Y153" s="399">
        <v>500</v>
      </c>
      <c r="Z153" s="399"/>
      <c r="AA153" s="399">
        <f>SUM(O153:Z153)</f>
        <v>8000</v>
      </c>
      <c r="AB153" s="35"/>
      <c r="AC153" s="183"/>
      <c r="AD153" s="34"/>
      <c r="AE153" s="34"/>
      <c r="AF153" s="34"/>
      <c r="AG153" s="34"/>
      <c r="AH153" s="34"/>
    </row>
    <row r="154" spans="1:34" x14ac:dyDescent="0.25">
      <c r="A154" s="179"/>
      <c r="B154" s="4067"/>
      <c r="C154" s="3404"/>
      <c r="D154" s="3892"/>
      <c r="E154" s="3892"/>
      <c r="F154" s="3892"/>
      <c r="G154" s="3892"/>
      <c r="H154" s="3404"/>
      <c r="I154" s="4180"/>
      <c r="J154" s="4180"/>
      <c r="K154" s="4184"/>
      <c r="L154" s="3404"/>
      <c r="M154" s="256" t="s">
        <v>1443</v>
      </c>
      <c r="N154" s="416" t="s">
        <v>1444</v>
      </c>
      <c r="O154" s="399"/>
      <c r="P154" s="399">
        <v>1500</v>
      </c>
      <c r="Q154" s="399"/>
      <c r="R154" s="399"/>
      <c r="S154" s="399"/>
      <c r="T154" s="399">
        <v>1000</v>
      </c>
      <c r="U154" s="399">
        <v>1500</v>
      </c>
      <c r="V154" s="399"/>
      <c r="W154" s="399"/>
      <c r="X154" s="399"/>
      <c r="Y154" s="399"/>
      <c r="Z154" s="399"/>
      <c r="AA154" s="399">
        <f t="shared" si="17"/>
        <v>4000</v>
      </c>
      <c r="AB154" s="35"/>
      <c r="AC154" s="183"/>
      <c r="AD154" s="34"/>
      <c r="AE154" s="34"/>
      <c r="AF154" s="34"/>
      <c r="AG154" s="34"/>
      <c r="AH154" s="34"/>
    </row>
    <row r="155" spans="1:34" ht="33.75" x14ac:dyDescent="0.25">
      <c r="A155" s="179"/>
      <c r="B155" s="4067"/>
      <c r="C155" s="3404"/>
      <c r="D155" s="3892"/>
      <c r="E155" s="3892"/>
      <c r="F155" s="3892"/>
      <c r="G155" s="3892"/>
      <c r="H155" s="3404"/>
      <c r="I155" s="4180"/>
      <c r="J155" s="4180"/>
      <c r="K155" s="4184"/>
      <c r="L155" s="3404"/>
      <c r="M155" s="1338" t="s">
        <v>1452</v>
      </c>
      <c r="N155" s="307" t="s">
        <v>1453</v>
      </c>
      <c r="O155" s="399"/>
      <c r="P155" s="399">
        <v>2000</v>
      </c>
      <c r="Q155" s="399"/>
      <c r="R155" s="399"/>
      <c r="S155" s="399"/>
      <c r="T155" s="399"/>
      <c r="U155" s="399"/>
      <c r="V155" s="399"/>
      <c r="W155" s="399"/>
      <c r="X155" s="399"/>
      <c r="Y155" s="399"/>
      <c r="Z155" s="399"/>
      <c r="AA155" s="399">
        <f t="shared" si="17"/>
        <v>2000</v>
      </c>
      <c r="AB155" s="35"/>
      <c r="AC155" s="183"/>
      <c r="AD155" s="34"/>
      <c r="AE155" s="34"/>
      <c r="AF155" s="34"/>
      <c r="AG155" s="34"/>
      <c r="AH155" s="34"/>
    </row>
    <row r="156" spans="1:34" x14ac:dyDescent="0.25">
      <c r="A156" s="179"/>
      <c r="B156" s="4067"/>
      <c r="C156" s="3404"/>
      <c r="D156" s="3892"/>
      <c r="E156" s="3892"/>
      <c r="F156" s="3892"/>
      <c r="G156" s="3892"/>
      <c r="H156" s="3404"/>
      <c r="I156" s="4180"/>
      <c r="J156" s="4180"/>
      <c r="K156" s="4184"/>
      <c r="L156" s="3404"/>
      <c r="M156" s="1338" t="s">
        <v>1454</v>
      </c>
      <c r="N156" s="307" t="s">
        <v>1455</v>
      </c>
      <c r="O156" s="399"/>
      <c r="P156" s="399"/>
      <c r="Q156" s="399"/>
      <c r="R156" s="399"/>
      <c r="S156" s="399">
        <v>1500</v>
      </c>
      <c r="T156" s="399"/>
      <c r="U156" s="399"/>
      <c r="V156" s="399"/>
      <c r="W156" s="399"/>
      <c r="X156" s="399"/>
      <c r="Y156" s="399"/>
      <c r="Z156" s="399"/>
      <c r="AA156" s="399">
        <f t="shared" si="17"/>
        <v>1500</v>
      </c>
      <c r="AB156" s="35"/>
      <c r="AC156" s="183"/>
      <c r="AD156" s="34"/>
      <c r="AE156" s="34"/>
      <c r="AF156" s="34"/>
      <c r="AG156" s="34"/>
      <c r="AH156" s="34"/>
    </row>
    <row r="157" spans="1:34" x14ac:dyDescent="0.25">
      <c r="A157" s="179"/>
      <c r="B157" s="4067"/>
      <c r="C157" s="3404"/>
      <c r="D157" s="3892"/>
      <c r="E157" s="3892"/>
      <c r="F157" s="3892"/>
      <c r="G157" s="3892"/>
      <c r="H157" s="3404"/>
      <c r="I157" s="4180"/>
      <c r="J157" s="4180"/>
      <c r="K157" s="4184"/>
      <c r="L157" s="3404"/>
      <c r="M157" s="256" t="s">
        <v>215</v>
      </c>
      <c r="N157" s="256" t="s">
        <v>1445</v>
      </c>
      <c r="O157" s="399"/>
      <c r="P157" s="399"/>
      <c r="Q157" s="399"/>
      <c r="R157" s="399">
        <v>500</v>
      </c>
      <c r="S157" s="399"/>
      <c r="T157" s="399"/>
      <c r="U157" s="399"/>
      <c r="V157" s="399"/>
      <c r="W157" s="399"/>
      <c r="X157" s="399"/>
      <c r="Y157" s="399">
        <v>500</v>
      </c>
      <c r="Z157" s="399"/>
      <c r="AA157" s="399">
        <f t="shared" si="17"/>
        <v>1000</v>
      </c>
      <c r="AB157" s="35"/>
      <c r="AC157" s="183"/>
      <c r="AD157" s="34"/>
      <c r="AE157" s="34"/>
      <c r="AF157" s="34"/>
      <c r="AG157" s="34"/>
      <c r="AH157" s="34"/>
    </row>
    <row r="158" spans="1:34" x14ac:dyDescent="0.25">
      <c r="A158" s="179"/>
      <c r="B158" s="4068"/>
      <c r="C158" s="3405"/>
      <c r="D158" s="3893"/>
      <c r="E158" s="3893"/>
      <c r="F158" s="3893"/>
      <c r="G158" s="3893"/>
      <c r="H158" s="3405"/>
      <c r="I158" s="4181"/>
      <c r="J158" s="4181"/>
      <c r="K158" s="4185"/>
      <c r="L158" s="3405"/>
      <c r="M158" s="256" t="s">
        <v>217</v>
      </c>
      <c r="N158" s="256" t="s">
        <v>218</v>
      </c>
      <c r="O158" s="399"/>
      <c r="P158" s="399">
        <v>1500</v>
      </c>
      <c r="Q158" s="399"/>
      <c r="R158" s="399"/>
      <c r="S158" s="399"/>
      <c r="T158" s="399"/>
      <c r="U158" s="399"/>
      <c r="V158" s="399">
        <v>1500</v>
      </c>
      <c r="W158" s="399"/>
      <c r="X158" s="399"/>
      <c r="Y158" s="399"/>
      <c r="Z158" s="399"/>
      <c r="AA158" s="399">
        <f>SUM(O158:Z158)</f>
        <v>3000</v>
      </c>
      <c r="AB158" s="35"/>
      <c r="AC158" s="183"/>
      <c r="AD158" s="34"/>
      <c r="AE158" s="34"/>
      <c r="AF158" s="34"/>
      <c r="AG158" s="34"/>
      <c r="AH158" s="34"/>
    </row>
    <row r="159" spans="1:34" ht="15.75" customHeight="1" x14ac:dyDescent="0.25">
      <c r="A159" s="179"/>
      <c r="B159" s="4170" t="s">
        <v>18</v>
      </c>
      <c r="C159" s="4178">
        <v>3000471</v>
      </c>
      <c r="D159" s="1330"/>
      <c r="E159" s="1331"/>
      <c r="F159" s="1331"/>
      <c r="G159" s="1331"/>
      <c r="H159" s="1331"/>
      <c r="I159" s="1331"/>
      <c r="J159" s="1331"/>
      <c r="K159" s="1331"/>
      <c r="L159" s="1331"/>
      <c r="M159" s="1331"/>
      <c r="N159" s="1331"/>
      <c r="O159" s="1331"/>
      <c r="P159" s="1331"/>
      <c r="Q159" s="1331"/>
      <c r="R159" s="1331"/>
      <c r="S159" s="1331"/>
      <c r="T159" s="1331"/>
      <c r="U159" s="1332"/>
      <c r="V159" s="4063" t="s">
        <v>15</v>
      </c>
      <c r="W159" s="4064"/>
      <c r="X159" s="4064"/>
      <c r="Y159" s="4065"/>
      <c r="Z159" s="3308" t="s">
        <v>16</v>
      </c>
      <c r="AA159" s="3308"/>
      <c r="AB159" s="35"/>
      <c r="AC159" s="183"/>
      <c r="AD159" s="34"/>
      <c r="AE159" s="34"/>
      <c r="AF159" s="34"/>
      <c r="AG159" s="34"/>
      <c r="AH159" s="34"/>
    </row>
    <row r="160" spans="1:34" ht="11.25" customHeight="1" x14ac:dyDescent="0.25">
      <c r="A160" s="179"/>
      <c r="B160" s="4170"/>
      <c r="C160" s="4178"/>
      <c r="D160" s="1333"/>
      <c r="E160" s="1334"/>
      <c r="F160" s="1334"/>
      <c r="G160" s="1334"/>
      <c r="H160" s="1334"/>
      <c r="I160" s="1334"/>
      <c r="J160" s="1334"/>
      <c r="K160" s="1334"/>
      <c r="L160" s="1334"/>
      <c r="M160" s="1334"/>
      <c r="N160" s="1334"/>
      <c r="O160" s="1334"/>
      <c r="P160" s="1334"/>
      <c r="Q160" s="1334"/>
      <c r="R160" s="1334"/>
      <c r="S160" s="1334"/>
      <c r="T160" s="1334"/>
      <c r="U160" s="1335"/>
      <c r="V160" s="4063"/>
      <c r="W160" s="4064"/>
      <c r="X160" s="4064"/>
      <c r="Y160" s="4065"/>
      <c r="Z160" s="4162"/>
      <c r="AA160" s="4162"/>
      <c r="AB160" s="35"/>
      <c r="AC160" s="183"/>
      <c r="AD160" s="34"/>
      <c r="AE160" s="34"/>
      <c r="AF160" s="34"/>
      <c r="AG160" s="34"/>
      <c r="AH160" s="34"/>
    </row>
    <row r="161" spans="1:34" ht="15" customHeight="1" x14ac:dyDescent="0.25">
      <c r="A161" s="179"/>
      <c r="B161" s="3435" t="s">
        <v>20</v>
      </c>
      <c r="C161" s="2847" t="s">
        <v>21</v>
      </c>
      <c r="D161" s="2847" t="s">
        <v>22</v>
      </c>
      <c r="E161" s="2847" t="s">
        <v>23</v>
      </c>
      <c r="F161" s="2847" t="s">
        <v>164</v>
      </c>
      <c r="G161" s="2847" t="s">
        <v>25</v>
      </c>
      <c r="H161" s="2847" t="s">
        <v>26</v>
      </c>
      <c r="I161" s="2847" t="s">
        <v>27</v>
      </c>
      <c r="J161" s="2847" t="s">
        <v>28</v>
      </c>
      <c r="K161" s="2847"/>
      <c r="L161" s="2847" t="s">
        <v>29</v>
      </c>
      <c r="M161" s="2986" t="s">
        <v>30</v>
      </c>
      <c r="N161" s="2987"/>
      <c r="O161" s="2916" t="s">
        <v>31</v>
      </c>
      <c r="P161" s="2916"/>
      <c r="Q161" s="2916"/>
      <c r="R161" s="2916"/>
      <c r="S161" s="2916"/>
      <c r="T161" s="2916"/>
      <c r="U161" s="2916"/>
      <c r="V161" s="2916"/>
      <c r="W161" s="2916"/>
      <c r="X161" s="2916"/>
      <c r="Y161" s="2916"/>
      <c r="Z161" s="2916"/>
      <c r="AA161" s="2916" t="s">
        <v>32</v>
      </c>
      <c r="AB161" s="35"/>
      <c r="AC161" s="183"/>
      <c r="AD161" s="34"/>
      <c r="AE161" s="34"/>
      <c r="AF161" s="34"/>
      <c r="AG161" s="34"/>
      <c r="AH161" s="34"/>
    </row>
    <row r="162" spans="1:34" ht="20.25" customHeight="1" x14ac:dyDescent="0.25">
      <c r="A162" s="179"/>
      <c r="B162" s="3435"/>
      <c r="C162" s="2847"/>
      <c r="D162" s="2847"/>
      <c r="E162" s="2847"/>
      <c r="F162" s="2847"/>
      <c r="G162" s="2847"/>
      <c r="H162" s="2847"/>
      <c r="I162" s="2847"/>
      <c r="J162" s="1284" t="s">
        <v>33</v>
      </c>
      <c r="K162" s="1284" t="s">
        <v>34</v>
      </c>
      <c r="L162" s="2847"/>
      <c r="M162" s="3000"/>
      <c r="N162" s="3001"/>
      <c r="O162" s="1294" t="s">
        <v>35</v>
      </c>
      <c r="P162" s="1294" t="s">
        <v>36</v>
      </c>
      <c r="Q162" s="1294" t="s">
        <v>37</v>
      </c>
      <c r="R162" s="1294" t="s">
        <v>38</v>
      </c>
      <c r="S162" s="1294" t="s">
        <v>39</v>
      </c>
      <c r="T162" s="1294" t="s">
        <v>40</v>
      </c>
      <c r="U162" s="1294" t="s">
        <v>41</v>
      </c>
      <c r="V162" s="1294" t="s">
        <v>42</v>
      </c>
      <c r="W162" s="1294" t="s">
        <v>43</v>
      </c>
      <c r="X162" s="1294" t="s">
        <v>44</v>
      </c>
      <c r="Y162" s="1294" t="s">
        <v>45</v>
      </c>
      <c r="Z162" s="1294" t="s">
        <v>46</v>
      </c>
      <c r="AA162" s="2916"/>
      <c r="AB162" s="35"/>
      <c r="AC162" s="183"/>
      <c r="AD162" s="34"/>
      <c r="AE162" s="34"/>
      <c r="AF162" s="34"/>
      <c r="AG162" s="34"/>
      <c r="AH162" s="34"/>
    </row>
    <row r="163" spans="1:34" ht="20.25" customHeight="1" x14ac:dyDescent="0.25">
      <c r="A163" s="179"/>
      <c r="B163" s="4066">
        <v>57907</v>
      </c>
      <c r="C163" s="3403" t="s">
        <v>1460</v>
      </c>
      <c r="D163" s="3068"/>
      <c r="E163" s="4182" t="s">
        <v>2506</v>
      </c>
      <c r="F163" s="4182" t="s">
        <v>2518</v>
      </c>
      <c r="G163" s="4182" t="s">
        <v>2519</v>
      </c>
      <c r="H163" s="3403" t="s">
        <v>1461</v>
      </c>
      <c r="I163" s="3891" t="s">
        <v>2520</v>
      </c>
      <c r="J163" s="4183">
        <v>1000</v>
      </c>
      <c r="K163" s="4191">
        <v>952065</v>
      </c>
      <c r="L163" s="3403" t="s">
        <v>1430</v>
      </c>
      <c r="M163" s="2627" t="s">
        <v>1344</v>
      </c>
      <c r="N163" s="2627"/>
      <c r="O163" s="436">
        <v>83</v>
      </c>
      <c r="P163" s="436">
        <v>83</v>
      </c>
      <c r="Q163" s="436">
        <v>83</v>
      </c>
      <c r="R163" s="436">
        <v>83</v>
      </c>
      <c r="S163" s="436">
        <v>83</v>
      </c>
      <c r="T163" s="436">
        <v>84</v>
      </c>
      <c r="U163" s="436">
        <v>84</v>
      </c>
      <c r="V163" s="436">
        <v>83</v>
      </c>
      <c r="W163" s="436">
        <v>83</v>
      </c>
      <c r="X163" s="436">
        <v>84</v>
      </c>
      <c r="Y163" s="436">
        <v>83</v>
      </c>
      <c r="Z163" s="436">
        <v>84</v>
      </c>
      <c r="AA163" s="437">
        <f>SUM(O163:Z163)</f>
        <v>1000</v>
      </c>
      <c r="AB163" s="35"/>
      <c r="AC163" s="183"/>
      <c r="AD163" s="34"/>
      <c r="AE163" s="34"/>
      <c r="AF163" s="34"/>
      <c r="AG163" s="34"/>
      <c r="AH163" s="34"/>
    </row>
    <row r="164" spans="1:34" x14ac:dyDescent="0.25">
      <c r="A164" s="179"/>
      <c r="B164" s="4067"/>
      <c r="C164" s="3404"/>
      <c r="D164" s="3069"/>
      <c r="E164" s="3892"/>
      <c r="F164" s="3892"/>
      <c r="G164" s="3892"/>
      <c r="H164" s="3404"/>
      <c r="I164" s="3892"/>
      <c r="J164" s="4184"/>
      <c r="K164" s="4192"/>
      <c r="L164" s="3404"/>
      <c r="M164" s="2627" t="s">
        <v>111</v>
      </c>
      <c r="N164" s="2627"/>
      <c r="O164" s="372">
        <f>SUM(O165:O191)</f>
        <v>45593</v>
      </c>
      <c r="P164" s="372">
        <f t="shared" ref="P164:Z164" si="18">SUM(P165:P191)</f>
        <v>109731</v>
      </c>
      <c r="Q164" s="372">
        <f t="shared" si="18"/>
        <v>154008</v>
      </c>
      <c r="R164" s="372">
        <f t="shared" si="18"/>
        <v>92133</v>
      </c>
      <c r="S164" s="372">
        <f t="shared" si="18"/>
        <v>76693</v>
      </c>
      <c r="T164" s="372">
        <f t="shared" si="18"/>
        <v>70343</v>
      </c>
      <c r="U164" s="372">
        <f t="shared" si="18"/>
        <v>90683</v>
      </c>
      <c r="V164" s="372">
        <f t="shared" si="18"/>
        <v>67263</v>
      </c>
      <c r="W164" s="372">
        <f t="shared" si="18"/>
        <v>66593</v>
      </c>
      <c r="X164" s="372">
        <f t="shared" si="18"/>
        <v>65993</v>
      </c>
      <c r="Y164" s="372">
        <f t="shared" si="18"/>
        <v>67339</v>
      </c>
      <c r="Z164" s="372">
        <f t="shared" si="18"/>
        <v>45693</v>
      </c>
      <c r="AA164" s="1473">
        <f>SUM(O164:Z164)</f>
        <v>952065</v>
      </c>
      <c r="AB164" s="35"/>
      <c r="AC164" s="183"/>
      <c r="AD164" s="34"/>
      <c r="AE164" s="34"/>
      <c r="AF164" s="34"/>
      <c r="AG164" s="34"/>
      <c r="AH164" s="34"/>
    </row>
    <row r="165" spans="1:34" ht="15" customHeight="1" x14ac:dyDescent="0.25">
      <c r="A165" s="179"/>
      <c r="B165" s="4067"/>
      <c r="C165" s="3404"/>
      <c r="D165" s="3069"/>
      <c r="E165" s="3892"/>
      <c r="F165" s="3892"/>
      <c r="G165" s="3892"/>
      <c r="H165" s="3404"/>
      <c r="I165" s="3892"/>
      <c r="J165" s="4184"/>
      <c r="K165" s="4192"/>
      <c r="L165" s="3404"/>
      <c r="M165" s="256" t="s">
        <v>213</v>
      </c>
      <c r="N165" s="256" t="s">
        <v>1462</v>
      </c>
      <c r="O165" s="1529"/>
      <c r="P165" s="1529"/>
      <c r="Q165" s="1529">
        <v>856</v>
      </c>
      <c r="R165" s="1529"/>
      <c r="S165" s="1529"/>
      <c r="T165" s="1529"/>
      <c r="U165" s="1529"/>
      <c r="V165" s="1529"/>
      <c r="W165" s="1529"/>
      <c r="X165" s="1529"/>
      <c r="Y165" s="1529">
        <v>1746</v>
      </c>
      <c r="Z165" s="1529"/>
      <c r="AA165" s="1529">
        <f>SUM(O165:Z165)</f>
        <v>2602</v>
      </c>
      <c r="AB165" s="35"/>
      <c r="AC165" s="183"/>
      <c r="AD165" s="34"/>
      <c r="AE165" s="34"/>
      <c r="AF165" s="34"/>
      <c r="AG165" s="34"/>
      <c r="AH165" s="34"/>
    </row>
    <row r="166" spans="1:34" x14ac:dyDescent="0.25">
      <c r="A166" s="179"/>
      <c r="B166" s="4067"/>
      <c r="C166" s="3404"/>
      <c r="D166" s="3069"/>
      <c r="E166" s="3892"/>
      <c r="F166" s="3892"/>
      <c r="G166" s="3892"/>
      <c r="H166" s="3404"/>
      <c r="I166" s="3892"/>
      <c r="J166" s="4184"/>
      <c r="K166" s="4192"/>
      <c r="L166" s="3404"/>
      <c r="M166" s="256" t="s">
        <v>1103</v>
      </c>
      <c r="N166" s="256" t="s">
        <v>1104</v>
      </c>
      <c r="O166" s="1529"/>
      <c r="P166" s="1529"/>
      <c r="Q166" s="1529">
        <v>368</v>
      </c>
      <c r="R166" s="1529"/>
      <c r="S166" s="1529"/>
      <c r="T166" s="1529"/>
      <c r="U166" s="1529"/>
      <c r="V166" s="1529"/>
      <c r="W166" s="1529"/>
      <c r="X166" s="1529"/>
      <c r="Y166" s="1529"/>
      <c r="Z166" s="1529"/>
      <c r="AA166" s="1529">
        <f t="shared" ref="AA166:AA191" si="19">SUM(O166:Z166)</f>
        <v>368</v>
      </c>
      <c r="AB166" s="35"/>
      <c r="AC166" s="183"/>
      <c r="AD166" s="34"/>
      <c r="AE166" s="34"/>
      <c r="AF166" s="34"/>
      <c r="AG166" s="34"/>
      <c r="AH166" s="34"/>
    </row>
    <row r="167" spans="1:34" x14ac:dyDescent="0.25">
      <c r="A167" s="179"/>
      <c r="B167" s="4067"/>
      <c r="C167" s="3404"/>
      <c r="D167" s="3069"/>
      <c r="E167" s="3892"/>
      <c r="F167" s="3892"/>
      <c r="G167" s="3892"/>
      <c r="H167" s="3404"/>
      <c r="I167" s="3892"/>
      <c r="J167" s="4184"/>
      <c r="K167" s="4192"/>
      <c r="L167" s="3404"/>
      <c r="M167" s="256" t="s">
        <v>180</v>
      </c>
      <c r="N167" s="256" t="s">
        <v>1463</v>
      </c>
      <c r="O167" s="1529"/>
      <c r="P167" s="1529"/>
      <c r="Q167" s="1529">
        <v>26000</v>
      </c>
      <c r="R167" s="1529"/>
      <c r="S167" s="1529"/>
      <c r="T167" s="1529"/>
      <c r="U167" s="1529"/>
      <c r="V167" s="1529"/>
      <c r="W167" s="1529"/>
      <c r="X167" s="1529"/>
      <c r="Y167" s="1529"/>
      <c r="Z167" s="1529"/>
      <c r="AA167" s="1529">
        <f t="shared" si="19"/>
        <v>26000</v>
      </c>
      <c r="AB167" s="35"/>
      <c r="AC167" s="183"/>
      <c r="AD167" s="34"/>
      <c r="AE167" s="34"/>
      <c r="AF167" s="34"/>
      <c r="AG167" s="34"/>
      <c r="AH167" s="34"/>
    </row>
    <row r="168" spans="1:34" x14ac:dyDescent="0.25">
      <c r="A168" s="179"/>
      <c r="B168" s="4067"/>
      <c r="C168" s="3404"/>
      <c r="D168" s="3069"/>
      <c r="E168" s="3892"/>
      <c r="F168" s="3892"/>
      <c r="G168" s="3892"/>
      <c r="H168" s="3404"/>
      <c r="I168" s="3892"/>
      <c r="J168" s="4184"/>
      <c r="K168" s="4192"/>
      <c r="L168" s="3404"/>
      <c r="M168" s="256" t="s">
        <v>184</v>
      </c>
      <c r="N168" s="256" t="s">
        <v>1367</v>
      </c>
      <c r="O168" s="1529"/>
      <c r="P168" s="1529">
        <v>5600</v>
      </c>
      <c r="Q168" s="1529"/>
      <c r="R168" s="1529"/>
      <c r="S168" s="1529"/>
      <c r="T168" s="1529"/>
      <c r="U168" s="1529"/>
      <c r="V168" s="1529"/>
      <c r="W168" s="1529"/>
      <c r="X168" s="1529"/>
      <c r="Y168" s="1529"/>
      <c r="Z168" s="1529"/>
      <c r="AA168" s="1529">
        <f t="shared" si="19"/>
        <v>5600</v>
      </c>
      <c r="AB168" s="35"/>
      <c r="AC168" s="183"/>
      <c r="AD168" s="34"/>
      <c r="AE168" s="34"/>
      <c r="AF168" s="34"/>
      <c r="AG168" s="34"/>
      <c r="AH168" s="34"/>
    </row>
    <row r="169" spans="1:34" x14ac:dyDescent="0.25">
      <c r="A169" s="179"/>
      <c r="B169" s="4067"/>
      <c r="C169" s="3404"/>
      <c r="D169" s="3069"/>
      <c r="E169" s="3892"/>
      <c r="F169" s="3892"/>
      <c r="G169" s="3892"/>
      <c r="H169" s="3404"/>
      <c r="I169" s="3892"/>
      <c r="J169" s="4184"/>
      <c r="K169" s="4192"/>
      <c r="L169" s="3404"/>
      <c r="M169" s="256" t="s">
        <v>186</v>
      </c>
      <c r="N169" s="256" t="s">
        <v>187</v>
      </c>
      <c r="O169" s="1529"/>
      <c r="P169" s="1529">
        <v>5988</v>
      </c>
      <c r="Q169" s="1529"/>
      <c r="R169" s="1529"/>
      <c r="S169" s="1529"/>
      <c r="T169" s="1529"/>
      <c r="U169" s="1529"/>
      <c r="V169" s="1529"/>
      <c r="W169" s="1529"/>
      <c r="X169" s="1529"/>
      <c r="Y169" s="1529"/>
      <c r="Z169" s="1529"/>
      <c r="AA169" s="1529">
        <f t="shared" si="19"/>
        <v>5988</v>
      </c>
      <c r="AB169" s="35"/>
      <c r="AC169" s="183"/>
      <c r="AD169" s="34"/>
      <c r="AE169" s="34"/>
      <c r="AF169" s="34"/>
      <c r="AG169" s="34"/>
      <c r="AH169" s="34"/>
    </row>
    <row r="170" spans="1:34" x14ac:dyDescent="0.25">
      <c r="A170" s="179"/>
      <c r="B170" s="4067"/>
      <c r="C170" s="3404"/>
      <c r="D170" s="3069"/>
      <c r="E170" s="3892"/>
      <c r="F170" s="3892"/>
      <c r="G170" s="3892"/>
      <c r="H170" s="3404"/>
      <c r="I170" s="3892"/>
      <c r="J170" s="4184"/>
      <c r="K170" s="4192"/>
      <c r="L170" s="3404"/>
      <c r="M170" s="256" t="s">
        <v>217</v>
      </c>
      <c r="N170" s="256" t="s">
        <v>218</v>
      </c>
      <c r="O170" s="1529"/>
      <c r="P170" s="1529">
        <v>3500</v>
      </c>
      <c r="Q170" s="1529"/>
      <c r="R170" s="1529"/>
      <c r="S170" s="1529"/>
      <c r="T170" s="1529"/>
      <c r="U170" s="1529"/>
      <c r="V170" s="1529"/>
      <c r="W170" s="1529"/>
      <c r="X170" s="1529"/>
      <c r="Y170" s="1529"/>
      <c r="Z170" s="1529"/>
      <c r="AA170" s="1529">
        <f t="shared" si="19"/>
        <v>3500</v>
      </c>
      <c r="AB170" s="35"/>
      <c r="AC170" s="183"/>
      <c r="AD170" s="34"/>
      <c r="AE170" s="34"/>
      <c r="AF170" s="34"/>
      <c r="AG170" s="34"/>
      <c r="AH170" s="34"/>
    </row>
    <row r="171" spans="1:34" x14ac:dyDescent="0.25">
      <c r="A171" s="179"/>
      <c r="B171" s="4067"/>
      <c r="C171" s="3404"/>
      <c r="D171" s="3069"/>
      <c r="E171" s="3892"/>
      <c r="F171" s="3892"/>
      <c r="G171" s="3892"/>
      <c r="H171" s="3404"/>
      <c r="I171" s="3892"/>
      <c r="J171" s="4184"/>
      <c r="K171" s="4192"/>
      <c r="L171" s="3404"/>
      <c r="M171" s="256" t="s">
        <v>1061</v>
      </c>
      <c r="N171" s="256" t="s">
        <v>1464</v>
      </c>
      <c r="O171" s="1529"/>
      <c r="P171" s="1529"/>
      <c r="Q171" s="1529">
        <v>541</v>
      </c>
      <c r="R171" s="1529"/>
      <c r="S171" s="1529"/>
      <c r="T171" s="1529"/>
      <c r="U171" s="1529"/>
      <c r="V171" s="1529"/>
      <c r="W171" s="1529"/>
      <c r="X171" s="1529"/>
      <c r="Y171" s="1529"/>
      <c r="Z171" s="1529"/>
      <c r="AA171" s="1529">
        <f t="shared" si="19"/>
        <v>541</v>
      </c>
      <c r="AB171" s="35"/>
      <c r="AC171" s="183"/>
      <c r="AD171" s="34"/>
      <c r="AE171" s="34"/>
      <c r="AF171" s="34"/>
      <c r="AG171" s="34"/>
      <c r="AH171" s="34"/>
    </row>
    <row r="172" spans="1:34" x14ac:dyDescent="0.25">
      <c r="A172" s="179"/>
      <c r="B172" s="4067"/>
      <c r="C172" s="3404"/>
      <c r="D172" s="3069"/>
      <c r="E172" s="3892"/>
      <c r="F172" s="3892"/>
      <c r="G172" s="3892"/>
      <c r="H172" s="3404"/>
      <c r="I172" s="3892"/>
      <c r="J172" s="4184"/>
      <c r="K172" s="4192"/>
      <c r="L172" s="3404"/>
      <c r="M172" s="256" t="s">
        <v>539</v>
      </c>
      <c r="N172" s="256" t="s">
        <v>1465</v>
      </c>
      <c r="O172" s="1529"/>
      <c r="P172" s="1529">
        <v>10000</v>
      </c>
      <c r="Q172" s="1529">
        <v>50000</v>
      </c>
      <c r="R172" s="1529">
        <v>15000</v>
      </c>
      <c r="S172" s="1529">
        <v>5000</v>
      </c>
      <c r="T172" s="1529">
        <v>3000</v>
      </c>
      <c r="U172" s="1529">
        <v>10000</v>
      </c>
      <c r="V172" s="1529">
        <v>5000</v>
      </c>
      <c r="W172" s="1529"/>
      <c r="X172" s="1529"/>
      <c r="Y172" s="1529"/>
      <c r="Z172" s="1529"/>
      <c r="AA172" s="1529">
        <f t="shared" si="19"/>
        <v>98000</v>
      </c>
      <c r="AB172" s="35"/>
      <c r="AC172" s="183"/>
      <c r="AD172" s="34"/>
      <c r="AE172" s="34"/>
      <c r="AF172" s="34"/>
      <c r="AG172" s="34"/>
      <c r="AH172" s="34"/>
    </row>
    <row r="173" spans="1:34" x14ac:dyDescent="0.25">
      <c r="A173" s="179"/>
      <c r="B173" s="4067"/>
      <c r="C173" s="3404"/>
      <c r="D173" s="3069"/>
      <c r="E173" s="3892"/>
      <c r="F173" s="3892"/>
      <c r="G173" s="3892"/>
      <c r="H173" s="3404"/>
      <c r="I173" s="3892"/>
      <c r="J173" s="4184"/>
      <c r="K173" s="4192"/>
      <c r="L173" s="3404"/>
      <c r="M173" s="256" t="s">
        <v>1466</v>
      </c>
      <c r="N173" s="256" t="s">
        <v>1467</v>
      </c>
      <c r="O173" s="1529"/>
      <c r="P173" s="1529">
        <v>23000</v>
      </c>
      <c r="Q173" s="1529">
        <v>2000</v>
      </c>
      <c r="R173" s="1529"/>
      <c r="S173" s="1529"/>
      <c r="T173" s="1529"/>
      <c r="U173" s="1529">
        <v>10800</v>
      </c>
      <c r="V173" s="1529"/>
      <c r="W173" s="1529"/>
      <c r="X173" s="1529"/>
      <c r="Y173" s="1529"/>
      <c r="Z173" s="1529"/>
      <c r="AA173" s="1529">
        <f t="shared" si="19"/>
        <v>35800</v>
      </c>
      <c r="AB173" s="35"/>
      <c r="AC173" s="183"/>
      <c r="AD173" s="34"/>
      <c r="AE173" s="34"/>
      <c r="AF173" s="34"/>
      <c r="AG173" s="34"/>
      <c r="AH173" s="34"/>
    </row>
    <row r="174" spans="1:34" x14ac:dyDescent="0.25">
      <c r="A174" s="179"/>
      <c r="B174" s="4067"/>
      <c r="C174" s="3404"/>
      <c r="D174" s="3069"/>
      <c r="E174" s="3892"/>
      <c r="F174" s="3892"/>
      <c r="G174" s="3892"/>
      <c r="H174" s="3404"/>
      <c r="I174" s="3892"/>
      <c r="J174" s="4184"/>
      <c r="K174" s="4192"/>
      <c r="L174" s="3404"/>
      <c r="M174" s="256" t="s">
        <v>541</v>
      </c>
      <c r="N174" s="256" t="s">
        <v>1468</v>
      </c>
      <c r="O174" s="1529"/>
      <c r="P174" s="1529">
        <v>200</v>
      </c>
      <c r="Q174" s="1529"/>
      <c r="R174" s="1529"/>
      <c r="S174" s="1529"/>
      <c r="T174" s="1529"/>
      <c r="U174" s="1529"/>
      <c r="V174" s="1529">
        <v>370</v>
      </c>
      <c r="W174" s="1529">
        <v>200</v>
      </c>
      <c r="X174" s="1529"/>
      <c r="Y174" s="1529"/>
      <c r="Z174" s="1529"/>
      <c r="AA174" s="1529">
        <f t="shared" si="19"/>
        <v>770</v>
      </c>
      <c r="AB174" s="35"/>
      <c r="AC174" s="183"/>
      <c r="AD174" s="34"/>
      <c r="AE174" s="34"/>
      <c r="AF174" s="34"/>
      <c r="AG174" s="34"/>
      <c r="AH174" s="34"/>
    </row>
    <row r="175" spans="1:34" x14ac:dyDescent="0.25">
      <c r="A175" s="179"/>
      <c r="B175" s="4067"/>
      <c r="C175" s="3404"/>
      <c r="D175" s="3069"/>
      <c r="E175" s="3892"/>
      <c r="F175" s="3892"/>
      <c r="G175" s="3892"/>
      <c r="H175" s="3404"/>
      <c r="I175" s="3892"/>
      <c r="J175" s="4184"/>
      <c r="K175" s="4192"/>
      <c r="L175" s="3404"/>
      <c r="M175" s="256" t="s">
        <v>194</v>
      </c>
      <c r="N175" s="256" t="s">
        <v>1469</v>
      </c>
      <c r="O175" s="1529"/>
      <c r="P175" s="1529">
        <v>4000</v>
      </c>
      <c r="Q175" s="1529">
        <v>4000</v>
      </c>
      <c r="R175" s="1529">
        <v>4000</v>
      </c>
      <c r="S175" s="1529">
        <v>4000</v>
      </c>
      <c r="T175" s="1529">
        <v>3000</v>
      </c>
      <c r="U175" s="1529">
        <v>2490</v>
      </c>
      <c r="V175" s="1529">
        <v>2000</v>
      </c>
      <c r="W175" s="1529">
        <v>2000</v>
      </c>
      <c r="X175" s="1529">
        <v>2000</v>
      </c>
      <c r="Y175" s="1529">
        <v>2000</v>
      </c>
      <c r="Z175" s="1529"/>
      <c r="AA175" s="1529">
        <f t="shared" si="19"/>
        <v>29490</v>
      </c>
      <c r="AB175" s="35"/>
      <c r="AC175" s="183"/>
      <c r="AD175" s="34"/>
      <c r="AE175" s="34"/>
      <c r="AF175" s="34"/>
      <c r="AG175" s="34"/>
      <c r="AH175" s="34"/>
    </row>
    <row r="176" spans="1:34" x14ac:dyDescent="0.25">
      <c r="A176" s="179"/>
      <c r="B176" s="4067"/>
      <c r="C176" s="3404"/>
      <c r="D176" s="3069"/>
      <c r="E176" s="3892"/>
      <c r="F176" s="3892"/>
      <c r="G176" s="3892"/>
      <c r="H176" s="3404"/>
      <c r="I176" s="3892"/>
      <c r="J176" s="4184"/>
      <c r="K176" s="4192"/>
      <c r="L176" s="3404"/>
      <c r="M176" s="256" t="s">
        <v>195</v>
      </c>
      <c r="N176" s="256" t="s">
        <v>1470</v>
      </c>
      <c r="O176" s="1529"/>
      <c r="P176" s="1529">
        <v>3000</v>
      </c>
      <c r="Q176" s="1529">
        <v>1500</v>
      </c>
      <c r="R176" s="1529">
        <v>1600</v>
      </c>
      <c r="S176" s="1529">
        <v>1500</v>
      </c>
      <c r="T176" s="1529">
        <v>1800</v>
      </c>
      <c r="U176" s="1529">
        <v>1600</v>
      </c>
      <c r="V176" s="1529">
        <v>1700</v>
      </c>
      <c r="W176" s="1529">
        <v>1700</v>
      </c>
      <c r="X176" s="1529">
        <v>1700</v>
      </c>
      <c r="Y176" s="1529">
        <v>1700</v>
      </c>
      <c r="Z176" s="1529"/>
      <c r="AA176" s="1529">
        <f t="shared" si="19"/>
        <v>17800</v>
      </c>
      <c r="AB176" s="35"/>
      <c r="AC176" s="183"/>
      <c r="AD176" s="34"/>
      <c r="AE176" s="34"/>
      <c r="AF176" s="34"/>
      <c r="AG176" s="34"/>
      <c r="AH176" s="34"/>
    </row>
    <row r="177" spans="1:34" x14ac:dyDescent="0.25">
      <c r="A177" s="179"/>
      <c r="B177" s="4067"/>
      <c r="C177" s="3404"/>
      <c r="D177" s="3069"/>
      <c r="E177" s="3892"/>
      <c r="F177" s="3892"/>
      <c r="G177" s="3892"/>
      <c r="H177" s="3404"/>
      <c r="I177" s="3892"/>
      <c r="J177" s="4184"/>
      <c r="K177" s="4192"/>
      <c r="L177" s="3404"/>
      <c r="M177" s="256" t="s">
        <v>196</v>
      </c>
      <c r="N177" s="256" t="s">
        <v>1471</v>
      </c>
      <c r="O177" s="1529"/>
      <c r="P177" s="1529">
        <v>350</v>
      </c>
      <c r="Q177" s="1529">
        <v>150</v>
      </c>
      <c r="R177" s="1529">
        <v>100</v>
      </c>
      <c r="S177" s="1529">
        <v>100</v>
      </c>
      <c r="T177" s="1529">
        <v>150</v>
      </c>
      <c r="U177" s="1529">
        <v>100</v>
      </c>
      <c r="V177" s="1529">
        <v>100</v>
      </c>
      <c r="W177" s="1529">
        <v>100</v>
      </c>
      <c r="X177" s="1529">
        <v>100</v>
      </c>
      <c r="Y177" s="1529">
        <v>100</v>
      </c>
      <c r="Z177" s="1529">
        <v>100</v>
      </c>
      <c r="AA177" s="1529">
        <f t="shared" si="19"/>
        <v>1450</v>
      </c>
      <c r="AB177" s="35"/>
      <c r="AC177" s="183"/>
      <c r="AD177" s="34"/>
      <c r="AE177" s="34"/>
      <c r="AF177" s="34"/>
      <c r="AG177" s="34"/>
      <c r="AH177" s="34"/>
    </row>
    <row r="178" spans="1:34" x14ac:dyDescent="0.25">
      <c r="A178" s="179"/>
      <c r="B178" s="4067"/>
      <c r="C178" s="3404"/>
      <c r="D178" s="3069"/>
      <c r="E178" s="3892"/>
      <c r="F178" s="3892"/>
      <c r="G178" s="3892"/>
      <c r="H178" s="3404"/>
      <c r="I178" s="3892"/>
      <c r="J178" s="4184"/>
      <c r="K178" s="4192"/>
      <c r="L178" s="3404"/>
      <c r="M178" s="256" t="s">
        <v>1443</v>
      </c>
      <c r="N178" s="256" t="s">
        <v>1472</v>
      </c>
      <c r="O178" s="1529"/>
      <c r="P178" s="1529"/>
      <c r="Q178" s="1529"/>
      <c r="R178" s="1529"/>
      <c r="S178" s="1529">
        <v>4500</v>
      </c>
      <c r="T178" s="1529"/>
      <c r="U178" s="1529"/>
      <c r="V178" s="1529">
        <v>2000</v>
      </c>
      <c r="W178" s="1529"/>
      <c r="X178" s="1529">
        <v>3000</v>
      </c>
      <c r="Y178" s="1529">
        <v>2700</v>
      </c>
      <c r="Z178" s="1529"/>
      <c r="AA178" s="1529">
        <f t="shared" si="19"/>
        <v>12200</v>
      </c>
      <c r="AB178" s="35"/>
      <c r="AC178" s="183"/>
      <c r="AD178" s="34"/>
      <c r="AE178" s="34"/>
      <c r="AF178" s="34"/>
      <c r="AG178" s="34"/>
      <c r="AH178" s="34"/>
    </row>
    <row r="179" spans="1:34" x14ac:dyDescent="0.25">
      <c r="A179" s="179"/>
      <c r="B179" s="4067"/>
      <c r="C179" s="3404"/>
      <c r="D179" s="3069"/>
      <c r="E179" s="3892"/>
      <c r="F179" s="3892"/>
      <c r="G179" s="3892"/>
      <c r="H179" s="3404"/>
      <c r="I179" s="3892"/>
      <c r="J179" s="4184"/>
      <c r="K179" s="4192"/>
      <c r="L179" s="3404"/>
      <c r="M179" s="256" t="s">
        <v>200</v>
      </c>
      <c r="N179" s="256" t="s">
        <v>1473</v>
      </c>
      <c r="O179" s="1529"/>
      <c r="P179" s="1529"/>
      <c r="Q179" s="1529">
        <v>2500</v>
      </c>
      <c r="R179" s="1529"/>
      <c r="S179" s="1529"/>
      <c r="T179" s="1529"/>
      <c r="U179" s="1529">
        <v>1600</v>
      </c>
      <c r="V179" s="1529"/>
      <c r="W179" s="1529">
        <v>2000</v>
      </c>
      <c r="X179" s="1529"/>
      <c r="Y179" s="1529"/>
      <c r="Z179" s="1529"/>
      <c r="AA179" s="1529">
        <f t="shared" si="19"/>
        <v>6100</v>
      </c>
      <c r="AB179" s="35"/>
      <c r="AC179" s="183"/>
      <c r="AD179" s="34"/>
      <c r="AE179" s="34"/>
      <c r="AF179" s="34"/>
      <c r="AG179" s="34"/>
      <c r="AH179" s="34"/>
    </row>
    <row r="180" spans="1:34" x14ac:dyDescent="0.25">
      <c r="A180" s="179"/>
      <c r="B180" s="4067"/>
      <c r="C180" s="3404"/>
      <c r="D180" s="3069"/>
      <c r="E180" s="3892"/>
      <c r="F180" s="3892"/>
      <c r="G180" s="3892"/>
      <c r="H180" s="3404"/>
      <c r="I180" s="3892"/>
      <c r="J180" s="4184"/>
      <c r="K180" s="4192"/>
      <c r="L180" s="3404"/>
      <c r="M180" s="256" t="s">
        <v>1001</v>
      </c>
      <c r="N180" s="256" t="s">
        <v>218</v>
      </c>
      <c r="O180" s="1529"/>
      <c r="P180" s="1529">
        <v>1000</v>
      </c>
      <c r="Q180" s="1529"/>
      <c r="R180" s="1529"/>
      <c r="S180" s="1529"/>
      <c r="T180" s="1529"/>
      <c r="U180" s="1529"/>
      <c r="V180" s="1529"/>
      <c r="W180" s="1529"/>
      <c r="X180" s="1529"/>
      <c r="Y180" s="1529"/>
      <c r="Z180" s="1529"/>
      <c r="AA180" s="1529">
        <f t="shared" si="19"/>
        <v>1000</v>
      </c>
      <c r="AB180" s="35"/>
      <c r="AC180" s="183"/>
      <c r="AD180" s="34"/>
      <c r="AE180" s="34"/>
      <c r="AF180" s="34"/>
      <c r="AG180" s="34"/>
      <c r="AH180" s="34"/>
    </row>
    <row r="181" spans="1:34" x14ac:dyDescent="0.25">
      <c r="A181" s="179"/>
      <c r="B181" s="4067"/>
      <c r="C181" s="3404"/>
      <c r="D181" s="3069"/>
      <c r="E181" s="3892"/>
      <c r="F181" s="3892"/>
      <c r="G181" s="3892"/>
      <c r="H181" s="3404"/>
      <c r="I181" s="3892"/>
      <c r="J181" s="4184"/>
      <c r="K181" s="4192"/>
      <c r="L181" s="3404"/>
      <c r="M181" s="256" t="s">
        <v>228</v>
      </c>
      <c r="N181" s="256" t="s">
        <v>1474</v>
      </c>
      <c r="O181" s="1529"/>
      <c r="P181" s="1529"/>
      <c r="Q181" s="1529">
        <v>10500</v>
      </c>
      <c r="R181" s="1529">
        <v>13000</v>
      </c>
      <c r="S181" s="1529">
        <v>9000</v>
      </c>
      <c r="T181" s="1529">
        <v>3000</v>
      </c>
      <c r="U181" s="1529"/>
      <c r="V181" s="1529">
        <v>3000</v>
      </c>
      <c r="W181" s="1529"/>
      <c r="X181" s="1529">
        <v>10600</v>
      </c>
      <c r="Y181" s="1529">
        <v>5500</v>
      </c>
      <c r="Z181" s="1529"/>
      <c r="AA181" s="1529">
        <f t="shared" si="19"/>
        <v>54600</v>
      </c>
      <c r="AB181" s="35"/>
      <c r="AC181" s="183"/>
      <c r="AD181" s="34"/>
      <c r="AE181" s="34"/>
      <c r="AF181" s="34"/>
      <c r="AG181" s="34"/>
      <c r="AH181" s="34"/>
    </row>
    <row r="182" spans="1:34" x14ac:dyDescent="0.25">
      <c r="A182" s="179"/>
      <c r="B182" s="4067"/>
      <c r="C182" s="3404"/>
      <c r="D182" s="3069"/>
      <c r="E182" s="3892"/>
      <c r="F182" s="3892"/>
      <c r="G182" s="3892"/>
      <c r="H182" s="3404"/>
      <c r="I182" s="3892"/>
      <c r="J182" s="4184"/>
      <c r="K182" s="4192"/>
      <c r="L182" s="3404"/>
      <c r="M182" s="256" t="s">
        <v>1475</v>
      </c>
      <c r="N182" s="256" t="s">
        <v>218</v>
      </c>
      <c r="O182" s="1529"/>
      <c r="P182" s="1529"/>
      <c r="Q182" s="1529"/>
      <c r="R182" s="1529"/>
      <c r="S182" s="1529"/>
      <c r="T182" s="1529">
        <v>10800</v>
      </c>
      <c r="U182" s="1529"/>
      <c r="V182" s="1529"/>
      <c r="W182" s="1529"/>
      <c r="X182" s="1529"/>
      <c r="Y182" s="1529"/>
      <c r="Z182" s="1529"/>
      <c r="AA182" s="1529">
        <f t="shared" si="19"/>
        <v>10800</v>
      </c>
      <c r="AB182" s="35"/>
      <c r="AC182" s="183"/>
      <c r="AD182" s="34"/>
      <c r="AE182" s="34"/>
      <c r="AF182" s="34"/>
      <c r="AG182" s="34"/>
      <c r="AH182" s="34"/>
    </row>
    <row r="183" spans="1:34" x14ac:dyDescent="0.25">
      <c r="A183" s="179"/>
      <c r="B183" s="4067"/>
      <c r="C183" s="3404"/>
      <c r="D183" s="3069"/>
      <c r="E183" s="3892"/>
      <c r="F183" s="3892"/>
      <c r="G183" s="3892"/>
      <c r="H183" s="3404"/>
      <c r="I183" s="3892"/>
      <c r="J183" s="4184"/>
      <c r="K183" s="4192"/>
      <c r="L183" s="3404"/>
      <c r="M183" s="256" t="s">
        <v>1476</v>
      </c>
      <c r="N183" s="256" t="s">
        <v>1477</v>
      </c>
      <c r="O183" s="1529"/>
      <c r="P183" s="1529"/>
      <c r="Q183" s="1529"/>
      <c r="R183" s="1529">
        <v>840</v>
      </c>
      <c r="S183" s="1529"/>
      <c r="T183" s="1529"/>
      <c r="U183" s="1529"/>
      <c r="V183" s="1529"/>
      <c r="W183" s="1529"/>
      <c r="X183" s="1529"/>
      <c r="Y183" s="1529"/>
      <c r="Z183" s="1529"/>
      <c r="AA183" s="1529">
        <f t="shared" si="19"/>
        <v>840</v>
      </c>
      <c r="AB183" s="35"/>
      <c r="AC183" s="183"/>
      <c r="AD183" s="34"/>
      <c r="AE183" s="34"/>
      <c r="AF183" s="34"/>
      <c r="AG183" s="34"/>
      <c r="AH183" s="34"/>
    </row>
    <row r="184" spans="1:34" x14ac:dyDescent="0.25">
      <c r="A184" s="179"/>
      <c r="B184" s="4067"/>
      <c r="C184" s="3404"/>
      <c r="D184" s="3069"/>
      <c r="E184" s="3892"/>
      <c r="F184" s="3892"/>
      <c r="G184" s="3892"/>
      <c r="H184" s="3404"/>
      <c r="I184" s="3892"/>
      <c r="J184" s="4184"/>
      <c r="K184" s="4192"/>
      <c r="L184" s="3404"/>
      <c r="M184" s="256" t="s">
        <v>206</v>
      </c>
      <c r="N184" s="256" t="s">
        <v>1478</v>
      </c>
      <c r="O184" s="1529"/>
      <c r="P184" s="1529">
        <v>6500</v>
      </c>
      <c r="Q184" s="1529">
        <v>8000</v>
      </c>
      <c r="R184" s="1529">
        <v>11000</v>
      </c>
      <c r="S184" s="1529">
        <v>7000</v>
      </c>
      <c r="T184" s="1529">
        <v>3000</v>
      </c>
      <c r="U184" s="1529">
        <v>7000</v>
      </c>
      <c r="V184" s="1529">
        <v>2500</v>
      </c>
      <c r="W184" s="1529">
        <v>15000</v>
      </c>
      <c r="X184" s="1529">
        <v>3000</v>
      </c>
      <c r="Y184" s="1529">
        <v>8000</v>
      </c>
      <c r="Z184" s="1529"/>
      <c r="AA184" s="1529">
        <f t="shared" si="19"/>
        <v>71000</v>
      </c>
      <c r="AB184" s="35"/>
      <c r="AC184" s="183"/>
      <c r="AD184" s="34"/>
      <c r="AE184" s="34"/>
      <c r="AF184" s="34"/>
      <c r="AG184" s="34"/>
      <c r="AH184" s="34"/>
    </row>
    <row r="185" spans="1:34" x14ac:dyDescent="0.25">
      <c r="A185" s="179"/>
      <c r="B185" s="4067"/>
      <c r="C185" s="3404"/>
      <c r="D185" s="3069"/>
      <c r="E185" s="3892"/>
      <c r="F185" s="3892"/>
      <c r="G185" s="3892"/>
      <c r="H185" s="3404"/>
      <c r="I185" s="3892"/>
      <c r="J185" s="4184"/>
      <c r="K185" s="4192"/>
      <c r="L185" s="3404"/>
      <c r="M185" s="256" t="s">
        <v>208</v>
      </c>
      <c r="N185" s="256" t="s">
        <v>1360</v>
      </c>
      <c r="O185" s="1529">
        <v>44167</v>
      </c>
      <c r="P185" s="1529">
        <v>44167</v>
      </c>
      <c r="Q185" s="1529">
        <v>44167</v>
      </c>
      <c r="R185" s="1529">
        <v>44167</v>
      </c>
      <c r="S185" s="1529">
        <v>44167</v>
      </c>
      <c r="T185" s="1529">
        <v>44167</v>
      </c>
      <c r="U185" s="1529">
        <v>44167</v>
      </c>
      <c r="V185" s="1529">
        <v>44167</v>
      </c>
      <c r="W185" s="1529">
        <v>44167</v>
      </c>
      <c r="X185" s="1529">
        <v>44167</v>
      </c>
      <c r="Y185" s="1529">
        <v>44167</v>
      </c>
      <c r="Z185" s="1529">
        <v>44167</v>
      </c>
      <c r="AA185" s="1529">
        <f t="shared" si="19"/>
        <v>530004</v>
      </c>
      <c r="AB185" s="35"/>
      <c r="AC185" s="183"/>
      <c r="AD185" s="34"/>
      <c r="AE185" s="34"/>
      <c r="AF185" s="34"/>
      <c r="AG185" s="34"/>
      <c r="AH185" s="34"/>
    </row>
    <row r="186" spans="1:34" x14ac:dyDescent="0.25">
      <c r="A186" s="179"/>
      <c r="B186" s="4067"/>
      <c r="C186" s="3404"/>
      <c r="D186" s="3069"/>
      <c r="E186" s="3892"/>
      <c r="F186" s="3892"/>
      <c r="G186" s="3892"/>
      <c r="H186" s="3404"/>
      <c r="I186" s="3892"/>
      <c r="J186" s="4184"/>
      <c r="K186" s="4192"/>
      <c r="L186" s="3404"/>
      <c r="M186" s="256" t="s">
        <v>210</v>
      </c>
      <c r="N186" s="256" t="s">
        <v>177</v>
      </c>
      <c r="O186" s="1529">
        <v>1426</v>
      </c>
      <c r="P186" s="1529">
        <v>1426</v>
      </c>
      <c r="Q186" s="1529">
        <v>1426</v>
      </c>
      <c r="R186" s="1529">
        <v>1426</v>
      </c>
      <c r="S186" s="1529">
        <v>1426</v>
      </c>
      <c r="T186" s="1529">
        <v>1426</v>
      </c>
      <c r="U186" s="1529">
        <v>1426</v>
      </c>
      <c r="V186" s="1529">
        <v>1426</v>
      </c>
      <c r="W186" s="1529">
        <v>1426</v>
      </c>
      <c r="X186" s="1529">
        <v>1426</v>
      </c>
      <c r="Y186" s="1529">
        <v>1426</v>
      </c>
      <c r="Z186" s="1529">
        <v>1426</v>
      </c>
      <c r="AA186" s="1529">
        <f t="shared" si="19"/>
        <v>17112</v>
      </c>
      <c r="AB186" s="35"/>
      <c r="AC186" s="183"/>
      <c r="AD186" s="34"/>
      <c r="AE186" s="34"/>
      <c r="AF186" s="34"/>
      <c r="AG186" s="34"/>
      <c r="AH186" s="34"/>
    </row>
    <row r="187" spans="1:34" x14ac:dyDescent="0.25">
      <c r="A187" s="179"/>
      <c r="B187" s="4067"/>
      <c r="C187" s="3404"/>
      <c r="D187" s="3069"/>
      <c r="E187" s="3892"/>
      <c r="F187" s="3892"/>
      <c r="G187" s="3892"/>
      <c r="H187" s="3404"/>
      <c r="I187" s="3892"/>
      <c r="J187" s="4184"/>
      <c r="K187" s="4192"/>
      <c r="L187" s="3404"/>
      <c r="M187" s="256" t="s">
        <v>555</v>
      </c>
      <c r="N187" s="256" t="s">
        <v>556</v>
      </c>
      <c r="O187" s="1530"/>
      <c r="P187" s="1529">
        <v>1000</v>
      </c>
      <c r="Q187" s="1529"/>
      <c r="R187" s="1529"/>
      <c r="S187" s="1529"/>
      <c r="T187" s="1529"/>
      <c r="U187" s="1529"/>
      <c r="V187" s="1529"/>
      <c r="W187" s="1529"/>
      <c r="X187" s="1529"/>
      <c r="Y187" s="1529"/>
      <c r="Z187" s="1529"/>
      <c r="AA187" s="1529">
        <f t="shared" si="19"/>
        <v>1000</v>
      </c>
      <c r="AB187" s="35"/>
      <c r="AC187" s="183"/>
      <c r="AD187" s="34"/>
      <c r="AE187" s="34"/>
      <c r="AF187" s="34"/>
      <c r="AG187" s="34"/>
      <c r="AH187" s="34"/>
    </row>
    <row r="188" spans="1:34" x14ac:dyDescent="0.25">
      <c r="A188" s="179"/>
      <c r="B188" s="4067"/>
      <c r="C188" s="3404"/>
      <c r="D188" s="3069"/>
      <c r="E188" s="3892"/>
      <c r="F188" s="3892"/>
      <c r="G188" s="3892"/>
      <c r="H188" s="3404"/>
      <c r="I188" s="3892"/>
      <c r="J188" s="4184"/>
      <c r="K188" s="4192"/>
      <c r="L188" s="3404"/>
      <c r="M188" s="256" t="s">
        <v>1399</v>
      </c>
      <c r="N188" s="256" t="s">
        <v>1195</v>
      </c>
      <c r="O188" s="1529"/>
      <c r="P188" s="1529"/>
      <c r="Q188" s="1529">
        <v>2000</v>
      </c>
      <c r="R188" s="1529"/>
      <c r="S188" s="1529"/>
      <c r="T188" s="1529"/>
      <c r="U188" s="1529"/>
      <c r="V188" s="1529"/>
      <c r="W188" s="1529"/>
      <c r="X188" s="1529"/>
      <c r="Y188" s="1529"/>
      <c r="Z188" s="1529"/>
      <c r="AA188" s="1529">
        <f t="shared" si="19"/>
        <v>2000</v>
      </c>
      <c r="AB188" s="35"/>
      <c r="AC188" s="183"/>
      <c r="AD188" s="34"/>
      <c r="AE188" s="34"/>
      <c r="AF188" s="34"/>
      <c r="AG188" s="34"/>
      <c r="AH188" s="34"/>
    </row>
    <row r="189" spans="1:34" x14ac:dyDescent="0.25">
      <c r="A189" s="179"/>
      <c r="B189" s="4067"/>
      <c r="C189" s="3404"/>
      <c r="D189" s="3069"/>
      <c r="E189" s="3892"/>
      <c r="F189" s="3892"/>
      <c r="G189" s="3892"/>
      <c r="H189" s="3404"/>
      <c r="I189" s="3892"/>
      <c r="J189" s="4184"/>
      <c r="K189" s="4192"/>
      <c r="L189" s="3404"/>
      <c r="M189" s="256" t="s">
        <v>1479</v>
      </c>
      <c r="N189" s="256" t="s">
        <v>1480</v>
      </c>
      <c r="O189" s="1529"/>
      <c r="P189" s="1529"/>
      <c r="Q189" s="1529"/>
      <c r="R189" s="1529">
        <v>1000</v>
      </c>
      <c r="S189" s="1529"/>
      <c r="T189" s="1529"/>
      <c r="U189" s="1529"/>
      <c r="V189" s="1529"/>
      <c r="W189" s="1529"/>
      <c r="X189" s="1529"/>
      <c r="Y189" s="1529"/>
      <c r="Z189" s="1529"/>
      <c r="AA189" s="1529">
        <f t="shared" si="19"/>
        <v>1000</v>
      </c>
      <c r="AB189" s="35"/>
      <c r="AC189" s="183"/>
      <c r="AD189" s="34"/>
      <c r="AE189" s="34"/>
      <c r="AF189" s="34"/>
      <c r="AG189" s="34"/>
      <c r="AH189" s="34"/>
    </row>
    <row r="190" spans="1:34" x14ac:dyDescent="0.25">
      <c r="A190" s="179"/>
      <c r="B190" s="4067"/>
      <c r="C190" s="3404"/>
      <c r="D190" s="3069"/>
      <c r="E190" s="3892"/>
      <c r="F190" s="3892"/>
      <c r="G190" s="3892"/>
      <c r="H190" s="3404"/>
      <c r="I190" s="3892"/>
      <c r="J190" s="4184"/>
      <c r="K190" s="4192"/>
      <c r="L190" s="3404"/>
      <c r="M190" s="256" t="s">
        <v>1481</v>
      </c>
      <c r="N190" s="256" t="s">
        <v>1482</v>
      </c>
      <c r="O190" s="1529"/>
      <c r="P190" s="1529"/>
      <c r="Q190" s="1529"/>
      <c r="R190" s="1529"/>
      <c r="S190" s="1529"/>
      <c r="T190" s="1529"/>
      <c r="U190" s="1529"/>
      <c r="V190" s="1529">
        <v>5000</v>
      </c>
      <c r="W190" s="1529"/>
      <c r="X190" s="1529"/>
      <c r="Y190" s="1529"/>
      <c r="Z190" s="1529"/>
      <c r="AA190" s="1529">
        <f t="shared" si="19"/>
        <v>5000</v>
      </c>
      <c r="AB190" s="35"/>
      <c r="AC190" s="183"/>
      <c r="AD190" s="34"/>
      <c r="AE190" s="34"/>
      <c r="AF190" s="34"/>
      <c r="AG190" s="34"/>
      <c r="AH190" s="34"/>
    </row>
    <row r="191" spans="1:34" x14ac:dyDescent="0.25">
      <c r="A191" s="179"/>
      <c r="B191" s="4068"/>
      <c r="C191" s="3405"/>
      <c r="D191" s="3070"/>
      <c r="E191" s="3893"/>
      <c r="F191" s="3893"/>
      <c r="G191" s="3893"/>
      <c r="H191" s="3405"/>
      <c r="I191" s="3893"/>
      <c r="J191" s="4185"/>
      <c r="K191" s="4193"/>
      <c r="L191" s="3405"/>
      <c r="M191" s="256" t="s">
        <v>1483</v>
      </c>
      <c r="N191" s="256" t="s">
        <v>1484</v>
      </c>
      <c r="O191" s="1529"/>
      <c r="P191" s="1529"/>
      <c r="Q191" s="1529"/>
      <c r="R191" s="1529"/>
      <c r="S191" s="1529"/>
      <c r="T191" s="1529"/>
      <c r="U191" s="1529">
        <v>11500</v>
      </c>
      <c r="V191" s="1529"/>
      <c r="W191" s="1529"/>
      <c r="X191" s="1529"/>
      <c r="Y191" s="1529"/>
      <c r="Z191" s="1529"/>
      <c r="AA191" s="1529">
        <f t="shared" si="19"/>
        <v>11500</v>
      </c>
      <c r="AB191" s="35"/>
      <c r="AC191" s="183"/>
      <c r="AD191" s="34"/>
      <c r="AE191" s="34"/>
      <c r="AF191" s="34"/>
      <c r="AG191" s="34"/>
      <c r="AH191" s="34"/>
    </row>
    <row r="192" spans="1:34" ht="34.5" customHeight="1" x14ac:dyDescent="0.25">
      <c r="A192" s="179"/>
      <c r="B192" s="1960" t="s">
        <v>1485</v>
      </c>
      <c r="C192" s="1532" t="s">
        <v>1486</v>
      </c>
      <c r="D192" s="99"/>
      <c r="E192" s="99"/>
      <c r="F192" s="99"/>
      <c r="G192" s="1533"/>
      <c r="H192" s="99"/>
      <c r="I192" s="99"/>
      <c r="J192" s="99"/>
      <c r="K192" s="99"/>
      <c r="L192" s="99"/>
      <c r="M192" s="99"/>
      <c r="N192" s="99"/>
      <c r="O192" s="1534"/>
      <c r="P192" s="1534"/>
      <c r="Q192" s="1534"/>
      <c r="R192" s="1534"/>
      <c r="S192" s="1534"/>
      <c r="T192" s="1534"/>
      <c r="U192" s="1534"/>
      <c r="V192" s="1534"/>
      <c r="W192" s="1534"/>
      <c r="X192" s="1534"/>
      <c r="Y192" s="1471"/>
      <c r="Z192" s="1471"/>
      <c r="AA192" s="1472"/>
      <c r="AB192" s="35"/>
      <c r="AC192" s="183"/>
      <c r="AD192" s="34"/>
      <c r="AE192" s="34"/>
      <c r="AF192" s="34"/>
      <c r="AG192" s="34"/>
      <c r="AH192" s="34"/>
    </row>
    <row r="193" spans="1:34" ht="15" customHeight="1" x14ac:dyDescent="0.25">
      <c r="A193" s="179"/>
      <c r="B193" s="2999" t="s">
        <v>20</v>
      </c>
      <c r="C193" s="2847" t="s">
        <v>21</v>
      </c>
      <c r="D193" s="2847" t="s">
        <v>22</v>
      </c>
      <c r="E193" s="1308" t="s">
        <v>23</v>
      </c>
      <c r="F193" s="1308" t="s">
        <v>164</v>
      </c>
      <c r="G193" s="2988" t="s">
        <v>25</v>
      </c>
      <c r="H193" s="1308" t="s">
        <v>26</v>
      </c>
      <c r="I193" s="2988" t="s">
        <v>27</v>
      </c>
      <c r="J193" s="359" t="s">
        <v>28</v>
      </c>
      <c r="K193" s="360"/>
      <c r="L193" s="2988" t="s">
        <v>29</v>
      </c>
      <c r="M193" s="3516" t="s">
        <v>1487</v>
      </c>
      <c r="N193" s="3516"/>
      <c r="O193" s="2916" t="s">
        <v>31</v>
      </c>
      <c r="P193" s="2916"/>
      <c r="Q193" s="2916"/>
      <c r="R193" s="2916"/>
      <c r="S193" s="2916"/>
      <c r="T193" s="2916"/>
      <c r="U193" s="2916"/>
      <c r="V193" s="2916"/>
      <c r="W193" s="2916"/>
      <c r="X193" s="2916"/>
      <c r="Y193" s="2916"/>
      <c r="Z193" s="2916"/>
      <c r="AA193" s="2916" t="s">
        <v>32</v>
      </c>
      <c r="AB193" s="35"/>
      <c r="AC193" s="183"/>
      <c r="AD193" s="34"/>
      <c r="AE193" s="34"/>
      <c r="AF193" s="34"/>
      <c r="AG193" s="34"/>
      <c r="AH193" s="34"/>
    </row>
    <row r="194" spans="1:34" ht="23.25" customHeight="1" x14ac:dyDescent="0.25">
      <c r="A194" s="179"/>
      <c r="B194" s="2999"/>
      <c r="C194" s="2847"/>
      <c r="D194" s="2847"/>
      <c r="E194" s="106"/>
      <c r="F194" s="106"/>
      <c r="G194" s="2989"/>
      <c r="H194" s="106"/>
      <c r="I194" s="2989"/>
      <c r="J194" s="1308" t="s">
        <v>33</v>
      </c>
      <c r="K194" s="1308" t="s">
        <v>34</v>
      </c>
      <c r="L194" s="2989"/>
      <c r="M194" s="3516"/>
      <c r="N194" s="3516"/>
      <c r="O194" s="1294" t="s">
        <v>35</v>
      </c>
      <c r="P194" s="1294" t="s">
        <v>36</v>
      </c>
      <c r="Q194" s="1294" t="s">
        <v>37</v>
      </c>
      <c r="R194" s="1294" t="s">
        <v>38</v>
      </c>
      <c r="S194" s="1294" t="s">
        <v>39</v>
      </c>
      <c r="T194" s="1294" t="s">
        <v>40</v>
      </c>
      <c r="U194" s="1294" t="s">
        <v>41</v>
      </c>
      <c r="V194" s="1294" t="s">
        <v>42</v>
      </c>
      <c r="W194" s="1294" t="s">
        <v>43</v>
      </c>
      <c r="X194" s="1294" t="s">
        <v>44</v>
      </c>
      <c r="Y194" s="1294" t="s">
        <v>45</v>
      </c>
      <c r="Z194" s="1294" t="s">
        <v>46</v>
      </c>
      <c r="AA194" s="2916"/>
      <c r="AB194" s="35"/>
      <c r="AC194" s="183"/>
      <c r="AD194" s="34"/>
      <c r="AE194" s="34"/>
      <c r="AF194" s="34"/>
      <c r="AG194" s="34"/>
      <c r="AH194" s="34"/>
    </row>
    <row r="195" spans="1:34" ht="15" customHeight="1" x14ac:dyDescent="0.25">
      <c r="A195" s="179"/>
      <c r="B195" s="1304"/>
      <c r="C195" s="4054" t="s">
        <v>1489</v>
      </c>
      <c r="D195" s="4165" t="s">
        <v>2521</v>
      </c>
      <c r="E195" s="4165" t="s">
        <v>2506</v>
      </c>
      <c r="F195" s="4165" t="s">
        <v>2518</v>
      </c>
      <c r="G195" s="4165" t="s">
        <v>2519</v>
      </c>
      <c r="H195" s="3403" t="s">
        <v>1490</v>
      </c>
      <c r="I195" s="3403" t="s">
        <v>2515</v>
      </c>
      <c r="J195" s="3403">
        <v>10</v>
      </c>
      <c r="K195" s="4191"/>
      <c r="L195" s="3403" t="s">
        <v>1491</v>
      </c>
      <c r="M195" s="3607" t="s">
        <v>1488</v>
      </c>
      <c r="N195" s="3607"/>
      <c r="O195" s="427"/>
      <c r="P195" s="427"/>
      <c r="Q195" s="427"/>
      <c r="R195" s="427"/>
      <c r="S195" s="427"/>
      <c r="T195" s="427"/>
      <c r="U195" s="427"/>
      <c r="V195" s="427"/>
      <c r="W195" s="427"/>
      <c r="X195" s="427">
        <v>10</v>
      </c>
      <c r="Y195" s="427"/>
      <c r="Z195" s="427"/>
      <c r="AA195" s="427">
        <f>SUM(O195:Z195)</f>
        <v>10</v>
      </c>
      <c r="AB195" s="35"/>
      <c r="AC195" s="183"/>
      <c r="AD195" s="34"/>
      <c r="AE195" s="34"/>
      <c r="AF195" s="34"/>
      <c r="AG195" s="34"/>
      <c r="AH195" s="34"/>
    </row>
    <row r="196" spans="1:34" x14ac:dyDescent="0.25">
      <c r="A196" s="179"/>
      <c r="B196" s="1304"/>
      <c r="C196" s="4069"/>
      <c r="D196" s="3404"/>
      <c r="E196" s="3404"/>
      <c r="F196" s="3404"/>
      <c r="G196" s="3404"/>
      <c r="H196" s="3404"/>
      <c r="I196" s="3404"/>
      <c r="J196" s="3404"/>
      <c r="K196" s="4192"/>
      <c r="L196" s="3404"/>
      <c r="M196" s="3607" t="s">
        <v>34</v>
      </c>
      <c r="N196" s="3607"/>
      <c r="O196" s="427"/>
      <c r="P196" s="427">
        <f>SUM(P197:P199)</f>
        <v>10000</v>
      </c>
      <c r="Q196" s="427">
        <f>SUM(Q197:Q199)</f>
        <v>13000</v>
      </c>
      <c r="R196" s="427">
        <f t="shared" ref="R196:Z196" si="20">SUM(R197:R199)</f>
        <v>0</v>
      </c>
      <c r="S196" s="427">
        <f t="shared" si="20"/>
        <v>0</v>
      </c>
      <c r="T196" s="427">
        <f t="shared" si="20"/>
        <v>57000</v>
      </c>
      <c r="U196" s="427">
        <f t="shared" si="20"/>
        <v>12000</v>
      </c>
      <c r="V196" s="427">
        <f t="shared" si="20"/>
        <v>0</v>
      </c>
      <c r="W196" s="427">
        <f t="shared" si="20"/>
        <v>0</v>
      </c>
      <c r="X196" s="427">
        <f t="shared" si="20"/>
        <v>63000</v>
      </c>
      <c r="Y196" s="427">
        <f t="shared" si="20"/>
        <v>5000</v>
      </c>
      <c r="Z196" s="427">
        <f t="shared" si="20"/>
        <v>0</v>
      </c>
      <c r="AA196" s="428">
        <f>+SUM(AA197:AA199)</f>
        <v>160000</v>
      </c>
      <c r="AB196" s="35"/>
      <c r="AC196" s="183"/>
      <c r="AD196" s="34"/>
      <c r="AE196" s="34"/>
      <c r="AF196" s="34"/>
      <c r="AG196" s="34"/>
      <c r="AH196" s="34"/>
    </row>
    <row r="197" spans="1:34" ht="15" customHeight="1" x14ac:dyDescent="0.25">
      <c r="A197" s="179"/>
      <c r="B197" s="4068">
        <v>57907</v>
      </c>
      <c r="C197" s="4069"/>
      <c r="D197" s="3404"/>
      <c r="E197" s="3404"/>
      <c r="F197" s="3404"/>
      <c r="G197" s="3404"/>
      <c r="H197" s="3404"/>
      <c r="I197" s="3404"/>
      <c r="J197" s="3404"/>
      <c r="K197" s="4192"/>
      <c r="L197" s="3404"/>
      <c r="M197" s="256" t="s">
        <v>1492</v>
      </c>
      <c r="N197" s="256" t="s">
        <v>1478</v>
      </c>
      <c r="O197" s="399"/>
      <c r="P197" s="399">
        <v>5000</v>
      </c>
      <c r="Q197" s="399">
        <v>5000</v>
      </c>
      <c r="R197" s="399"/>
      <c r="S197" s="399"/>
      <c r="T197" s="399">
        <v>7000</v>
      </c>
      <c r="U197" s="399">
        <v>5000</v>
      </c>
      <c r="V197" s="399"/>
      <c r="W197" s="399"/>
      <c r="X197" s="399">
        <v>8000</v>
      </c>
      <c r="Y197" s="399">
        <v>5000</v>
      </c>
      <c r="Z197" s="399"/>
      <c r="AA197" s="399">
        <f>+(SUM(O197:Z197))</f>
        <v>35000</v>
      </c>
      <c r="AB197" s="35"/>
      <c r="AC197" s="183"/>
      <c r="AD197" s="34"/>
      <c r="AE197" s="34"/>
      <c r="AF197" s="34"/>
      <c r="AG197" s="34"/>
      <c r="AH197" s="34"/>
    </row>
    <row r="198" spans="1:34" x14ac:dyDescent="0.25">
      <c r="A198" s="179"/>
      <c r="B198" s="4163"/>
      <c r="C198" s="4069"/>
      <c r="D198" s="3404"/>
      <c r="E198" s="3404"/>
      <c r="F198" s="3404"/>
      <c r="G198" s="3404"/>
      <c r="H198" s="3404"/>
      <c r="I198" s="3404"/>
      <c r="J198" s="3404"/>
      <c r="K198" s="4192"/>
      <c r="L198" s="3404"/>
      <c r="M198" s="256" t="s">
        <v>1493</v>
      </c>
      <c r="N198" s="256" t="s">
        <v>1336</v>
      </c>
      <c r="O198" s="399"/>
      <c r="P198" s="399"/>
      <c r="Q198" s="399">
        <v>8000</v>
      </c>
      <c r="R198" s="399"/>
      <c r="S198" s="399"/>
      <c r="T198" s="399"/>
      <c r="U198" s="399">
        <v>7000</v>
      </c>
      <c r="V198" s="399"/>
      <c r="W198" s="399"/>
      <c r="X198" s="399">
        <v>5000</v>
      </c>
      <c r="Y198" s="399"/>
      <c r="Z198" s="399"/>
      <c r="AA198" s="399">
        <f>+(SUM(O198:Z198))</f>
        <v>20000</v>
      </c>
      <c r="AB198" s="35"/>
      <c r="AC198" s="183"/>
      <c r="AD198" s="34"/>
      <c r="AE198" s="34"/>
      <c r="AF198" s="34"/>
      <c r="AG198" s="34"/>
      <c r="AH198" s="34"/>
    </row>
    <row r="199" spans="1:34" x14ac:dyDescent="0.25">
      <c r="A199" s="179"/>
      <c r="B199" s="4163"/>
      <c r="C199" s="4055"/>
      <c r="D199" s="3405"/>
      <c r="E199" s="3405"/>
      <c r="F199" s="3405"/>
      <c r="G199" s="3405"/>
      <c r="H199" s="3405"/>
      <c r="I199" s="3405"/>
      <c r="J199" s="3405"/>
      <c r="K199" s="4193"/>
      <c r="L199" s="3405"/>
      <c r="M199" s="256" t="s">
        <v>1494</v>
      </c>
      <c r="N199" s="256" t="s">
        <v>1495</v>
      </c>
      <c r="O199" s="399"/>
      <c r="P199" s="399">
        <v>5000</v>
      </c>
      <c r="Q199" s="399"/>
      <c r="R199" s="399"/>
      <c r="S199" s="399"/>
      <c r="T199" s="399">
        <v>50000</v>
      </c>
      <c r="U199" s="399"/>
      <c r="V199" s="399"/>
      <c r="W199" s="399"/>
      <c r="X199" s="399">
        <v>50000</v>
      </c>
      <c r="Y199" s="399"/>
      <c r="Z199" s="399"/>
      <c r="AA199" s="399">
        <f>+SUM(O199:Z199)</f>
        <v>105000</v>
      </c>
      <c r="AB199" s="35"/>
      <c r="AC199" s="1535"/>
      <c r="AD199" s="34"/>
      <c r="AE199" s="34"/>
      <c r="AF199" s="34"/>
      <c r="AG199" s="34"/>
      <c r="AH199" s="34"/>
    </row>
    <row r="200" spans="1:34" ht="15" customHeight="1" x14ac:dyDescent="0.25">
      <c r="A200" s="179"/>
      <c r="B200" s="4163"/>
      <c r="C200" s="4054" t="s">
        <v>1496</v>
      </c>
      <c r="D200" s="4165" t="s">
        <v>2521</v>
      </c>
      <c r="E200" s="4165" t="s">
        <v>2506</v>
      </c>
      <c r="F200" s="4165" t="s">
        <v>2518</v>
      </c>
      <c r="G200" s="4165" t="s">
        <v>2518</v>
      </c>
      <c r="H200" s="3403" t="s">
        <v>1497</v>
      </c>
      <c r="I200" s="4164" t="s">
        <v>2516</v>
      </c>
      <c r="J200" s="4164">
        <v>350</v>
      </c>
      <c r="K200" s="4186"/>
      <c r="L200" s="3403" t="s">
        <v>1498</v>
      </c>
      <c r="M200" s="4189" t="s">
        <v>1488</v>
      </c>
      <c r="N200" s="4189"/>
      <c r="O200" s="438"/>
      <c r="P200" s="438"/>
      <c r="Q200" s="438"/>
      <c r="R200" s="438"/>
      <c r="S200" s="438"/>
      <c r="T200" s="438">
        <v>50</v>
      </c>
      <c r="U200" s="438">
        <v>50</v>
      </c>
      <c r="V200" s="438">
        <v>50</v>
      </c>
      <c r="W200" s="438">
        <v>50</v>
      </c>
      <c r="X200" s="438">
        <v>50</v>
      </c>
      <c r="Y200" s="438">
        <v>50</v>
      </c>
      <c r="Z200" s="438">
        <v>50</v>
      </c>
      <c r="AA200" s="438">
        <f>SUM(O200:Z200)</f>
        <v>350</v>
      </c>
      <c r="AB200" s="35"/>
      <c r="AC200" s="1535"/>
      <c r="AD200" s="34"/>
      <c r="AE200" s="34"/>
      <c r="AF200" s="34"/>
      <c r="AG200" s="34"/>
      <c r="AH200" s="34"/>
    </row>
    <row r="201" spans="1:34" x14ac:dyDescent="0.25">
      <c r="A201" s="179"/>
      <c r="B201" s="4163"/>
      <c r="C201" s="4069"/>
      <c r="D201" s="3404"/>
      <c r="E201" s="3404"/>
      <c r="F201" s="3404"/>
      <c r="G201" s="3404"/>
      <c r="H201" s="3404"/>
      <c r="I201" s="4164"/>
      <c r="J201" s="4164"/>
      <c r="K201" s="4186"/>
      <c r="L201" s="3404"/>
      <c r="M201" s="4189" t="s">
        <v>34</v>
      </c>
      <c r="N201" s="4189"/>
      <c r="O201" s="438"/>
      <c r="P201" s="438">
        <f>SUM(P202:P205)</f>
        <v>0</v>
      </c>
      <c r="Q201" s="438">
        <f>SUM(Q202:Q205)</f>
        <v>18000</v>
      </c>
      <c r="R201" s="438"/>
      <c r="S201" s="438">
        <f t="shared" ref="S201:Z201" si="21">SUM(S202:S205)</f>
        <v>95688</v>
      </c>
      <c r="T201" s="438">
        <f t="shared" si="21"/>
        <v>0</v>
      </c>
      <c r="U201" s="438">
        <f t="shared" si="21"/>
        <v>20000</v>
      </c>
      <c r="V201" s="438">
        <f t="shared" si="21"/>
        <v>0</v>
      </c>
      <c r="W201" s="438">
        <f t="shared" si="21"/>
        <v>0</v>
      </c>
      <c r="X201" s="438">
        <f t="shared" si="21"/>
        <v>15000</v>
      </c>
      <c r="Y201" s="438">
        <f t="shared" si="21"/>
        <v>3000</v>
      </c>
      <c r="Z201" s="438">
        <f t="shared" si="21"/>
        <v>0</v>
      </c>
      <c r="AA201" s="438">
        <f>SUM(O201:Z201)</f>
        <v>151688</v>
      </c>
      <c r="AB201" s="35"/>
      <c r="AC201" s="1535"/>
      <c r="AD201" s="34"/>
      <c r="AE201" s="34"/>
      <c r="AF201" s="34"/>
      <c r="AG201" s="34"/>
      <c r="AH201" s="34"/>
    </row>
    <row r="202" spans="1:34" x14ac:dyDescent="0.25">
      <c r="A202" s="179"/>
      <c r="B202" s="4163"/>
      <c r="C202" s="4069"/>
      <c r="D202" s="3404"/>
      <c r="E202" s="3404"/>
      <c r="F202" s="3404"/>
      <c r="G202" s="3404"/>
      <c r="H202" s="3404"/>
      <c r="I202" s="4164"/>
      <c r="J202" s="4164"/>
      <c r="K202" s="4186"/>
      <c r="L202" s="3404"/>
      <c r="M202" s="256" t="s">
        <v>1499</v>
      </c>
      <c r="N202" s="256" t="s">
        <v>218</v>
      </c>
      <c r="O202" s="399"/>
      <c r="P202" s="399"/>
      <c r="Q202" s="399"/>
      <c r="R202" s="399"/>
      <c r="S202" s="399">
        <v>95688</v>
      </c>
      <c r="T202" s="399"/>
      <c r="U202" s="399"/>
      <c r="V202" s="399"/>
      <c r="W202" s="399"/>
      <c r="X202" s="399"/>
      <c r="Y202" s="399"/>
      <c r="Z202" s="399"/>
      <c r="AA202" s="438">
        <f t="shared" ref="AA202:AA212" si="22">SUM(O202:Z202)</f>
        <v>95688</v>
      </c>
      <c r="AB202" s="35"/>
      <c r="AC202" s="1536"/>
      <c r="AD202" s="34"/>
      <c r="AE202" s="34"/>
      <c r="AF202" s="34"/>
      <c r="AG202" s="34"/>
      <c r="AH202" s="34"/>
    </row>
    <row r="203" spans="1:34" x14ac:dyDescent="0.25">
      <c r="A203" s="179"/>
      <c r="B203" s="4163"/>
      <c r="C203" s="4069"/>
      <c r="D203" s="3404"/>
      <c r="E203" s="3404"/>
      <c r="F203" s="3404"/>
      <c r="G203" s="3404"/>
      <c r="H203" s="3404"/>
      <c r="I203" s="4164"/>
      <c r="J203" s="4164"/>
      <c r="K203" s="4186"/>
      <c r="L203" s="3404"/>
      <c r="M203" s="256" t="s">
        <v>1493</v>
      </c>
      <c r="N203" s="256" t="s">
        <v>1336</v>
      </c>
      <c r="O203" s="399"/>
      <c r="P203" s="399"/>
      <c r="Q203" s="399">
        <v>4000</v>
      </c>
      <c r="R203" s="399"/>
      <c r="S203" s="399"/>
      <c r="T203" s="399"/>
      <c r="U203" s="399">
        <v>4000</v>
      </c>
      <c r="V203" s="399"/>
      <c r="W203" s="399"/>
      <c r="X203" s="399"/>
      <c r="Y203" s="399">
        <v>3000</v>
      </c>
      <c r="Z203" s="399"/>
      <c r="AA203" s="438">
        <f t="shared" si="22"/>
        <v>11000</v>
      </c>
      <c r="AB203" s="35"/>
      <c r="AC203" s="1535"/>
      <c r="AD203" s="34"/>
      <c r="AE203" s="34"/>
      <c r="AF203" s="34"/>
      <c r="AG203" s="34"/>
      <c r="AH203" s="34"/>
    </row>
    <row r="204" spans="1:34" x14ac:dyDescent="0.25">
      <c r="A204" s="179"/>
      <c r="B204" s="4163"/>
      <c r="C204" s="4069"/>
      <c r="D204" s="3404"/>
      <c r="E204" s="3404"/>
      <c r="F204" s="3404"/>
      <c r="G204" s="3404"/>
      <c r="H204" s="3404"/>
      <c r="I204" s="4164"/>
      <c r="J204" s="4164"/>
      <c r="K204" s="4186"/>
      <c r="L204" s="3404"/>
      <c r="M204" s="256" t="s">
        <v>1500</v>
      </c>
      <c r="N204" s="256" t="s">
        <v>1465</v>
      </c>
      <c r="O204" s="399"/>
      <c r="P204" s="399"/>
      <c r="Q204" s="399">
        <v>7000</v>
      </c>
      <c r="R204" s="399"/>
      <c r="S204" s="399"/>
      <c r="T204" s="399"/>
      <c r="U204" s="399">
        <v>8000</v>
      </c>
      <c r="V204" s="399"/>
      <c r="W204" s="399"/>
      <c r="X204" s="399">
        <v>5000</v>
      </c>
      <c r="Y204" s="399"/>
      <c r="Z204" s="399"/>
      <c r="AA204" s="438">
        <f t="shared" si="22"/>
        <v>20000</v>
      </c>
      <c r="AB204" s="35"/>
      <c r="AC204" s="1535"/>
      <c r="AD204" s="34"/>
      <c r="AE204" s="34"/>
      <c r="AF204" s="34"/>
      <c r="AG204" s="34"/>
      <c r="AH204" s="34"/>
    </row>
    <row r="205" spans="1:34" x14ac:dyDescent="0.25">
      <c r="A205" s="179"/>
      <c r="B205" s="4163"/>
      <c r="C205" s="4055"/>
      <c r="D205" s="3405"/>
      <c r="E205" s="3405"/>
      <c r="F205" s="3405"/>
      <c r="G205" s="3405"/>
      <c r="H205" s="3405"/>
      <c r="I205" s="4164"/>
      <c r="J205" s="4164"/>
      <c r="K205" s="4186"/>
      <c r="L205" s="3405"/>
      <c r="M205" s="256" t="s">
        <v>180</v>
      </c>
      <c r="N205" s="256" t="s">
        <v>1463</v>
      </c>
      <c r="O205" s="399"/>
      <c r="P205" s="399"/>
      <c r="Q205" s="399">
        <v>7000</v>
      </c>
      <c r="R205" s="399"/>
      <c r="S205" s="399"/>
      <c r="T205" s="399"/>
      <c r="U205" s="399">
        <v>8000</v>
      </c>
      <c r="V205" s="399"/>
      <c r="W205" s="399"/>
      <c r="X205" s="399">
        <v>10000</v>
      </c>
      <c r="Y205" s="399"/>
      <c r="Z205" s="399"/>
      <c r="AA205" s="438">
        <f t="shared" si="22"/>
        <v>25000</v>
      </c>
      <c r="AB205" s="35"/>
      <c r="AC205" s="1535"/>
      <c r="AD205" s="34"/>
      <c r="AE205" s="34"/>
      <c r="AF205" s="34"/>
      <c r="AG205" s="34"/>
      <c r="AH205" s="34"/>
    </row>
    <row r="206" spans="1:34" x14ac:dyDescent="0.25">
      <c r="A206" s="179"/>
      <c r="B206" s="4163"/>
      <c r="C206" s="4054" t="s">
        <v>1501</v>
      </c>
      <c r="D206" s="4187" t="s">
        <v>2521</v>
      </c>
      <c r="E206" s="4187" t="s">
        <v>2506</v>
      </c>
      <c r="F206" s="4187" t="s">
        <v>2518</v>
      </c>
      <c r="G206" s="4164">
        <v>126</v>
      </c>
      <c r="H206" s="3347" t="s">
        <v>1461</v>
      </c>
      <c r="I206" s="4164" t="s">
        <v>2513</v>
      </c>
      <c r="J206" s="4164">
        <v>1000</v>
      </c>
      <c r="K206" s="4186"/>
      <c r="L206" s="3347" t="s">
        <v>1491</v>
      </c>
      <c r="M206" s="4190" t="s">
        <v>1488</v>
      </c>
      <c r="N206" s="4190"/>
      <c r="O206" s="439"/>
      <c r="P206" s="440">
        <v>100</v>
      </c>
      <c r="Q206" s="439">
        <v>100</v>
      </c>
      <c r="R206" s="439">
        <v>100</v>
      </c>
      <c r="S206" s="439">
        <v>100</v>
      </c>
      <c r="T206" s="439">
        <v>100</v>
      </c>
      <c r="U206" s="439">
        <v>100</v>
      </c>
      <c r="V206" s="439">
        <v>100</v>
      </c>
      <c r="W206" s="439">
        <v>100</v>
      </c>
      <c r="X206" s="439">
        <v>100</v>
      </c>
      <c r="Y206" s="439">
        <v>50</v>
      </c>
      <c r="Z206" s="439">
        <v>50</v>
      </c>
      <c r="AA206" s="438">
        <f t="shared" si="22"/>
        <v>1000</v>
      </c>
      <c r="AB206" s="35"/>
      <c r="AC206" s="1535"/>
      <c r="AD206" s="34"/>
      <c r="AE206" s="34"/>
      <c r="AF206" s="34"/>
      <c r="AG206" s="34"/>
      <c r="AH206" s="34"/>
    </row>
    <row r="207" spans="1:34" x14ac:dyDescent="0.25">
      <c r="A207" s="179"/>
      <c r="B207" s="4163"/>
      <c r="C207" s="4069"/>
      <c r="D207" s="4164"/>
      <c r="E207" s="4164"/>
      <c r="F207" s="4164"/>
      <c r="G207" s="4164"/>
      <c r="H207" s="3347"/>
      <c r="I207" s="4164"/>
      <c r="J207" s="4164"/>
      <c r="K207" s="4186"/>
      <c r="L207" s="3347"/>
      <c r="M207" s="4189" t="s">
        <v>34</v>
      </c>
      <c r="N207" s="4189"/>
      <c r="O207" s="438"/>
      <c r="P207" s="438">
        <f>SUM(P208:P212)</f>
        <v>16000</v>
      </c>
      <c r="Q207" s="438">
        <f t="shared" ref="Q207:Z207" si="23">SUM(Q208:Q212)</f>
        <v>16000</v>
      </c>
      <c r="R207" s="438">
        <f t="shared" si="23"/>
        <v>16000</v>
      </c>
      <c r="S207" s="438">
        <f t="shared" si="23"/>
        <v>17500</v>
      </c>
      <c r="T207" s="438">
        <f t="shared" si="23"/>
        <v>18000</v>
      </c>
      <c r="U207" s="438">
        <f t="shared" si="23"/>
        <v>8000</v>
      </c>
      <c r="V207" s="438">
        <f t="shared" si="23"/>
        <v>8000</v>
      </c>
      <c r="W207" s="438">
        <f t="shared" si="23"/>
        <v>8000</v>
      </c>
      <c r="X207" s="438">
        <f t="shared" si="23"/>
        <v>17000</v>
      </c>
      <c r="Y207" s="438">
        <f t="shared" si="23"/>
        <v>10000</v>
      </c>
      <c r="Z207" s="438">
        <f t="shared" si="23"/>
        <v>7000</v>
      </c>
      <c r="AA207" s="438">
        <f t="shared" si="22"/>
        <v>141500</v>
      </c>
      <c r="AB207" s="35"/>
      <c r="AC207" s="1535"/>
      <c r="AD207" s="34"/>
      <c r="AE207" s="34"/>
      <c r="AF207" s="34"/>
      <c r="AG207" s="34"/>
      <c r="AH207" s="34"/>
    </row>
    <row r="208" spans="1:34" x14ac:dyDescent="0.25">
      <c r="A208" s="179"/>
      <c r="B208" s="4163"/>
      <c r="C208" s="4069"/>
      <c r="D208" s="4164"/>
      <c r="E208" s="4164"/>
      <c r="F208" s="4164"/>
      <c r="G208" s="4164"/>
      <c r="H208" s="3347"/>
      <c r="I208" s="4164"/>
      <c r="J208" s="4164"/>
      <c r="K208" s="4186"/>
      <c r="L208" s="3347"/>
      <c r="M208" s="256" t="s">
        <v>1500</v>
      </c>
      <c r="N208" s="256" t="s">
        <v>1465</v>
      </c>
      <c r="O208" s="399"/>
      <c r="P208" s="399">
        <v>5000</v>
      </c>
      <c r="Q208" s="399">
        <v>5000</v>
      </c>
      <c r="R208" s="399">
        <v>5000</v>
      </c>
      <c r="S208" s="399">
        <v>5000</v>
      </c>
      <c r="T208" s="399">
        <v>5000</v>
      </c>
      <c r="U208" s="399">
        <v>5000</v>
      </c>
      <c r="V208" s="399">
        <v>5000</v>
      </c>
      <c r="W208" s="399">
        <v>5000</v>
      </c>
      <c r="X208" s="399">
        <v>5000</v>
      </c>
      <c r="Y208" s="399">
        <v>5000</v>
      </c>
      <c r="Z208" s="399">
        <v>5000</v>
      </c>
      <c r="AA208" s="438">
        <f t="shared" si="22"/>
        <v>55000</v>
      </c>
      <c r="AB208" s="35"/>
      <c r="AC208" s="183"/>
      <c r="AD208" s="34"/>
      <c r="AE208" s="34"/>
      <c r="AF208" s="34"/>
      <c r="AG208" s="34"/>
      <c r="AH208" s="34"/>
    </row>
    <row r="209" spans="1:34" x14ac:dyDescent="0.25">
      <c r="A209" s="179"/>
      <c r="B209" s="4163"/>
      <c r="C209" s="4069"/>
      <c r="D209" s="4164"/>
      <c r="E209" s="4164"/>
      <c r="F209" s="4164"/>
      <c r="G209" s="4164"/>
      <c r="H209" s="3347"/>
      <c r="I209" s="4164"/>
      <c r="J209" s="4164"/>
      <c r="K209" s="4186"/>
      <c r="L209" s="3347"/>
      <c r="M209" s="256" t="s">
        <v>1492</v>
      </c>
      <c r="N209" s="256" t="s">
        <v>1478</v>
      </c>
      <c r="O209" s="399"/>
      <c r="P209" s="399"/>
      <c r="Q209" s="399"/>
      <c r="R209" s="399"/>
      <c r="S209" s="399"/>
      <c r="T209" s="399"/>
      <c r="U209" s="399"/>
      <c r="V209" s="399"/>
      <c r="W209" s="399"/>
      <c r="X209" s="399"/>
      <c r="Y209" s="399"/>
      <c r="Z209" s="399"/>
      <c r="AA209" s="438">
        <f t="shared" si="22"/>
        <v>0</v>
      </c>
      <c r="AB209" s="35"/>
      <c r="AC209" s="183"/>
      <c r="AD209" s="34"/>
      <c r="AE209" s="34"/>
      <c r="AF209" s="34"/>
      <c r="AG209" s="34"/>
      <c r="AH209" s="34"/>
    </row>
    <row r="210" spans="1:34" x14ac:dyDescent="0.25">
      <c r="A210" s="179"/>
      <c r="B210" s="4163"/>
      <c r="C210" s="4069"/>
      <c r="D210" s="4164"/>
      <c r="E210" s="4164"/>
      <c r="F210" s="4164"/>
      <c r="G210" s="4164"/>
      <c r="H210" s="3347"/>
      <c r="I210" s="4164"/>
      <c r="J210" s="4164"/>
      <c r="K210" s="4186"/>
      <c r="L210" s="3347"/>
      <c r="M210" s="256" t="s">
        <v>1502</v>
      </c>
      <c r="N210" s="256" t="s">
        <v>1467</v>
      </c>
      <c r="O210" s="399"/>
      <c r="P210" s="399"/>
      <c r="Q210" s="399"/>
      <c r="R210" s="399"/>
      <c r="S210" s="399"/>
      <c r="T210" s="399">
        <v>10000</v>
      </c>
      <c r="U210" s="399"/>
      <c r="V210" s="399"/>
      <c r="W210" s="399"/>
      <c r="X210" s="399">
        <v>8000</v>
      </c>
      <c r="Y210" s="399"/>
      <c r="Z210" s="399"/>
      <c r="AA210" s="438">
        <f t="shared" si="22"/>
        <v>18000</v>
      </c>
      <c r="AB210" s="35"/>
      <c r="AC210" s="183"/>
      <c r="AD210" s="34"/>
      <c r="AE210" s="34"/>
      <c r="AF210" s="34"/>
      <c r="AG210" s="34"/>
      <c r="AH210" s="34"/>
    </row>
    <row r="211" spans="1:34" x14ac:dyDescent="0.25">
      <c r="A211" s="179"/>
      <c r="B211" s="4163"/>
      <c r="C211" s="4069"/>
      <c r="D211" s="4164"/>
      <c r="E211" s="4164"/>
      <c r="F211" s="4164"/>
      <c r="G211" s="4164"/>
      <c r="H211" s="3347"/>
      <c r="I211" s="4164"/>
      <c r="J211" s="4164"/>
      <c r="K211" s="4186"/>
      <c r="L211" s="3347"/>
      <c r="M211" s="256" t="s">
        <v>1503</v>
      </c>
      <c r="N211" s="256" t="s">
        <v>1368</v>
      </c>
      <c r="O211" s="399"/>
      <c r="P211" s="399">
        <v>3000</v>
      </c>
      <c r="Q211" s="399">
        <v>3000</v>
      </c>
      <c r="R211" s="399">
        <v>3000</v>
      </c>
      <c r="S211" s="399">
        <v>3000</v>
      </c>
      <c r="T211" s="399">
        <v>3000</v>
      </c>
      <c r="U211" s="399">
        <v>3000</v>
      </c>
      <c r="V211" s="399">
        <v>3000</v>
      </c>
      <c r="W211" s="399">
        <v>3000</v>
      </c>
      <c r="X211" s="399">
        <v>4000</v>
      </c>
      <c r="Y211" s="399">
        <v>5000</v>
      </c>
      <c r="Z211" s="399">
        <v>2000</v>
      </c>
      <c r="AA211" s="438">
        <f t="shared" si="22"/>
        <v>35000</v>
      </c>
      <c r="AB211" s="35"/>
      <c r="AC211" s="183"/>
      <c r="AD211" s="34"/>
      <c r="AE211" s="34"/>
      <c r="AF211" s="34"/>
      <c r="AG211" s="34"/>
      <c r="AH211" s="34"/>
    </row>
    <row r="212" spans="1:34" x14ac:dyDescent="0.25">
      <c r="A212" s="179"/>
      <c r="B212" s="4163"/>
      <c r="C212" s="4055"/>
      <c r="D212" s="4164"/>
      <c r="E212" s="4164"/>
      <c r="F212" s="4164"/>
      <c r="G212" s="4164"/>
      <c r="H212" s="3347"/>
      <c r="I212" s="4164"/>
      <c r="J212" s="4164"/>
      <c r="K212" s="4186"/>
      <c r="L212" s="3347"/>
      <c r="M212" s="256" t="s">
        <v>1493</v>
      </c>
      <c r="N212" s="256" t="s">
        <v>1504</v>
      </c>
      <c r="O212" s="399"/>
      <c r="P212" s="399">
        <v>8000</v>
      </c>
      <c r="Q212" s="399">
        <v>8000</v>
      </c>
      <c r="R212" s="399">
        <v>8000</v>
      </c>
      <c r="S212" s="399">
        <v>9500</v>
      </c>
      <c r="T212" s="399"/>
      <c r="U212" s="399"/>
      <c r="V212" s="399"/>
      <c r="W212" s="399"/>
      <c r="X212" s="399"/>
      <c r="Y212" s="399"/>
      <c r="Z212" s="399"/>
      <c r="AA212" s="438">
        <f t="shared" si="22"/>
        <v>33500</v>
      </c>
      <c r="AB212" s="35"/>
      <c r="AC212" s="183"/>
      <c r="AD212" s="34"/>
      <c r="AE212" s="34"/>
      <c r="AF212" s="34"/>
      <c r="AG212" s="34"/>
      <c r="AH212" s="34"/>
    </row>
    <row r="213" spans="1:34" ht="16.5" customHeight="1" x14ac:dyDescent="0.25">
      <c r="A213" s="179"/>
      <c r="B213" s="4163"/>
      <c r="C213" s="4054" t="s">
        <v>1505</v>
      </c>
      <c r="D213" s="4187" t="s">
        <v>2521</v>
      </c>
      <c r="E213" s="4187" t="s">
        <v>2506</v>
      </c>
      <c r="F213" s="4187" t="s">
        <v>2518</v>
      </c>
      <c r="G213" s="4164">
        <v>126</v>
      </c>
      <c r="H213" s="3347" t="s">
        <v>1506</v>
      </c>
      <c r="I213" s="4164" t="s">
        <v>2514</v>
      </c>
      <c r="J213" s="4164">
        <v>100</v>
      </c>
      <c r="K213" s="4186"/>
      <c r="L213" s="3403" t="s">
        <v>1491</v>
      </c>
      <c r="M213" s="3850" t="s">
        <v>1488</v>
      </c>
      <c r="N213" s="4188"/>
      <c r="O213" s="425"/>
      <c r="P213" s="425"/>
      <c r="Q213" s="425">
        <v>10</v>
      </c>
      <c r="R213" s="425">
        <v>10</v>
      </c>
      <c r="S213" s="425">
        <v>5</v>
      </c>
      <c r="T213" s="425">
        <v>5</v>
      </c>
      <c r="U213" s="425">
        <v>5</v>
      </c>
      <c r="V213" s="425">
        <v>5</v>
      </c>
      <c r="W213" s="425">
        <v>20</v>
      </c>
      <c r="X213" s="425">
        <v>20</v>
      </c>
      <c r="Y213" s="425">
        <v>20</v>
      </c>
      <c r="Z213" s="425"/>
      <c r="AA213" s="425">
        <f>SUM(O213:Z213)</f>
        <v>100</v>
      </c>
      <c r="AB213" s="35"/>
      <c r="AC213" s="183"/>
      <c r="AD213" s="34"/>
      <c r="AE213" s="34"/>
      <c r="AF213" s="34"/>
      <c r="AG213" s="34"/>
      <c r="AH213" s="34"/>
    </row>
    <row r="214" spans="1:34" x14ac:dyDescent="0.25">
      <c r="A214" s="179"/>
      <c r="B214" s="4163"/>
      <c r="C214" s="4069"/>
      <c r="D214" s="4164"/>
      <c r="E214" s="4164"/>
      <c r="F214" s="4164"/>
      <c r="G214" s="4164"/>
      <c r="H214" s="3347"/>
      <c r="I214" s="4164"/>
      <c r="J214" s="4164"/>
      <c r="K214" s="4186"/>
      <c r="L214" s="3404"/>
      <c r="M214" s="4189" t="s">
        <v>34</v>
      </c>
      <c r="N214" s="4189"/>
      <c r="O214" s="438"/>
      <c r="P214" s="438">
        <f>SUM(P215:P216)</f>
        <v>4000</v>
      </c>
      <c r="Q214" s="425">
        <f t="shared" ref="Q214:Z214" si="24">SUM(Q215:Q216)</f>
        <v>4000</v>
      </c>
      <c r="R214" s="425">
        <f t="shared" si="24"/>
        <v>7000</v>
      </c>
      <c r="S214" s="425">
        <f t="shared" si="24"/>
        <v>0</v>
      </c>
      <c r="T214" s="425">
        <f t="shared" si="24"/>
        <v>0</v>
      </c>
      <c r="U214" s="425">
        <f t="shared" si="24"/>
        <v>3000</v>
      </c>
      <c r="V214" s="425">
        <f t="shared" si="24"/>
        <v>0</v>
      </c>
      <c r="W214" s="425">
        <f t="shared" si="24"/>
        <v>0</v>
      </c>
      <c r="X214" s="425">
        <f t="shared" si="24"/>
        <v>5000</v>
      </c>
      <c r="Y214" s="425">
        <f t="shared" si="24"/>
        <v>0</v>
      </c>
      <c r="Z214" s="425">
        <f t="shared" si="24"/>
        <v>0</v>
      </c>
      <c r="AA214" s="438">
        <v>23000</v>
      </c>
      <c r="AB214" s="35"/>
      <c r="AC214" s="183"/>
      <c r="AD214" s="34"/>
      <c r="AE214" s="34"/>
      <c r="AF214" s="34"/>
      <c r="AG214" s="34"/>
      <c r="AH214" s="34"/>
    </row>
    <row r="215" spans="1:34" x14ac:dyDescent="0.25">
      <c r="A215" s="179"/>
      <c r="B215" s="4163"/>
      <c r="C215" s="4069"/>
      <c r="D215" s="4164"/>
      <c r="E215" s="4164"/>
      <c r="F215" s="4164"/>
      <c r="G215" s="4164"/>
      <c r="H215" s="3347"/>
      <c r="I215" s="4164"/>
      <c r="J215" s="4164"/>
      <c r="K215" s="4186"/>
      <c r="L215" s="3404"/>
      <c r="M215" s="256" t="s">
        <v>1493</v>
      </c>
      <c r="N215" s="256" t="s">
        <v>1507</v>
      </c>
      <c r="O215" s="399"/>
      <c r="P215" s="399">
        <v>4000</v>
      </c>
      <c r="Q215" s="399">
        <v>4000</v>
      </c>
      <c r="R215" s="399">
        <v>4000</v>
      </c>
      <c r="S215" s="399"/>
      <c r="T215" s="399"/>
      <c r="U215" s="399"/>
      <c r="V215" s="399"/>
      <c r="W215" s="399"/>
      <c r="X215" s="399"/>
      <c r="Y215" s="399"/>
      <c r="Z215" s="399"/>
      <c r="AA215" s="399">
        <f>+SUM(O215:Z215)</f>
        <v>12000</v>
      </c>
      <c r="AB215" s="35"/>
      <c r="AC215" s="183"/>
      <c r="AD215" s="34"/>
      <c r="AE215" s="34"/>
      <c r="AF215" s="34"/>
      <c r="AG215" s="34"/>
      <c r="AH215" s="34"/>
    </row>
    <row r="216" spans="1:34" x14ac:dyDescent="0.25">
      <c r="A216" s="179"/>
      <c r="B216" s="4163"/>
      <c r="C216" s="4055"/>
      <c r="D216" s="4164"/>
      <c r="E216" s="4164"/>
      <c r="F216" s="4164"/>
      <c r="G216" s="4164"/>
      <c r="H216" s="3347"/>
      <c r="I216" s="4164"/>
      <c r="J216" s="4164"/>
      <c r="K216" s="4186"/>
      <c r="L216" s="3405"/>
      <c r="M216" s="256" t="s">
        <v>1508</v>
      </c>
      <c r="N216" s="256" t="s">
        <v>1509</v>
      </c>
      <c r="O216" s="399"/>
      <c r="P216" s="399"/>
      <c r="Q216" s="399"/>
      <c r="R216" s="399">
        <v>3000</v>
      </c>
      <c r="S216" s="399"/>
      <c r="T216" s="399"/>
      <c r="U216" s="399">
        <v>3000</v>
      </c>
      <c r="V216" s="399"/>
      <c r="W216" s="399"/>
      <c r="X216" s="399">
        <v>5000</v>
      </c>
      <c r="Y216" s="399"/>
      <c r="Z216" s="399"/>
      <c r="AA216" s="399">
        <f>+SUM(O216:Z216)</f>
        <v>11000</v>
      </c>
      <c r="AB216" s="35"/>
      <c r="AC216" s="183"/>
      <c r="AD216" s="34"/>
      <c r="AE216" s="34"/>
      <c r="AF216" s="34"/>
      <c r="AG216" s="34"/>
      <c r="AH216" s="34"/>
    </row>
    <row r="217" spans="1:34" ht="38.25" customHeight="1" x14ac:dyDescent="0.25">
      <c r="A217" s="179"/>
      <c r="B217" s="1293" t="s">
        <v>2</v>
      </c>
      <c r="C217" s="4061" t="s">
        <v>2437</v>
      </c>
      <c r="D217" s="4062"/>
      <c r="E217" s="4062"/>
      <c r="F217" s="4062"/>
      <c r="G217" s="4062"/>
      <c r="H217" s="4062"/>
      <c r="I217" s="4062"/>
      <c r="J217" s="4062"/>
      <c r="K217" s="1348"/>
      <c r="L217" s="1348"/>
      <c r="M217" s="1348"/>
      <c r="N217" s="1348"/>
      <c r="O217" s="1348"/>
      <c r="P217" s="1348"/>
      <c r="Q217" s="1348"/>
      <c r="R217" s="1348"/>
      <c r="S217" s="1348"/>
      <c r="T217" s="1348"/>
      <c r="U217" s="1348"/>
      <c r="V217" s="1348"/>
      <c r="W217" s="1348"/>
      <c r="X217" s="1348"/>
      <c r="Y217" s="402"/>
      <c r="Z217" s="402"/>
      <c r="AA217" s="402"/>
      <c r="AB217" s="402"/>
      <c r="AC217" s="403"/>
      <c r="AD217" s="34"/>
      <c r="AE217" s="34"/>
      <c r="AF217" s="34"/>
      <c r="AG217" s="34"/>
      <c r="AH217" s="34"/>
    </row>
    <row r="218" spans="1:34" x14ac:dyDescent="0.25">
      <c r="A218" s="179"/>
      <c r="B218" s="1293" t="s">
        <v>4</v>
      </c>
      <c r="C218" s="4272" t="s">
        <v>2438</v>
      </c>
      <c r="D218" s="4273"/>
      <c r="E218" s="4273"/>
      <c r="F218" s="4273"/>
      <c r="G218" s="4273"/>
      <c r="H218" s="4273"/>
      <c r="I218" s="4273"/>
      <c r="J218" s="4273"/>
      <c r="K218" s="4273"/>
      <c r="L218" s="4273"/>
      <c r="M218" s="4273"/>
      <c r="N218" s="374"/>
      <c r="O218" s="374"/>
      <c r="P218" s="374"/>
      <c r="Q218" s="374"/>
      <c r="R218" s="374"/>
      <c r="S218" s="374"/>
      <c r="T218" s="374"/>
      <c r="U218" s="374"/>
      <c r="V218" s="374"/>
      <c r="W218" s="374"/>
      <c r="X218" s="374"/>
      <c r="Y218" s="402"/>
      <c r="Z218" s="402"/>
      <c r="AA218" s="402"/>
      <c r="AB218" s="402"/>
      <c r="AC218" s="403"/>
      <c r="AD218" s="34"/>
      <c r="AE218" s="34"/>
      <c r="AF218" s="34"/>
      <c r="AG218" s="34"/>
      <c r="AH218" s="34"/>
    </row>
    <row r="219" spans="1:34" ht="36" customHeight="1" x14ac:dyDescent="0.25">
      <c r="A219" s="179"/>
      <c r="B219" s="1293" t="s">
        <v>6</v>
      </c>
      <c r="C219" s="4061" t="s">
        <v>2439</v>
      </c>
      <c r="D219" s="4062"/>
      <c r="E219" s="4062"/>
      <c r="F219" s="4062"/>
      <c r="G219" s="4062"/>
      <c r="H219" s="4062"/>
      <c r="I219" s="1348"/>
      <c r="J219" s="1348"/>
      <c r="K219" s="1348"/>
      <c r="L219" s="1348"/>
      <c r="M219" s="1348"/>
      <c r="N219" s="1348"/>
      <c r="O219" s="1348"/>
      <c r="P219" s="1348"/>
      <c r="Q219" s="1348"/>
      <c r="R219" s="1348"/>
      <c r="S219" s="1348"/>
      <c r="T219" s="1348"/>
      <c r="U219" s="1348"/>
      <c r="V219" s="1348"/>
      <c r="W219" s="1348"/>
      <c r="X219" s="1348"/>
      <c r="Y219" s="402"/>
      <c r="Z219" s="402"/>
      <c r="AA219" s="402"/>
      <c r="AB219" s="402"/>
      <c r="AC219" s="403"/>
      <c r="AD219" s="34"/>
      <c r="AE219" s="34"/>
      <c r="AF219" s="34"/>
      <c r="AG219" s="34"/>
      <c r="AH219" s="34"/>
    </row>
    <row r="220" spans="1:34" ht="27" customHeight="1" x14ac:dyDescent="0.25">
      <c r="A220" s="179"/>
      <c r="B220" s="2074" t="s">
        <v>8</v>
      </c>
      <c r="C220" s="1549" t="s">
        <v>2517</v>
      </c>
      <c r="D220" s="1356"/>
      <c r="E220" s="1357"/>
      <c r="F220" s="1357"/>
      <c r="G220" s="1357"/>
      <c r="H220" s="1357"/>
      <c r="I220" s="1357"/>
      <c r="J220" s="1357"/>
      <c r="K220" s="1357"/>
      <c r="L220" s="1357"/>
      <c r="M220" s="441"/>
      <c r="N220" s="1357"/>
      <c r="O220" s="1357"/>
      <c r="P220" s="1357"/>
      <c r="Q220" s="1357"/>
      <c r="R220" s="1357"/>
      <c r="S220" s="1357"/>
      <c r="T220" s="1357"/>
      <c r="U220" s="1357"/>
      <c r="V220" s="1357"/>
      <c r="W220" s="1357"/>
      <c r="X220" s="1357"/>
      <c r="Y220" s="442"/>
      <c r="Z220" s="442"/>
      <c r="AA220" s="442"/>
      <c r="AB220" s="442"/>
      <c r="AC220" s="443"/>
      <c r="AD220" s="34"/>
      <c r="AE220" s="34"/>
      <c r="AF220" s="34"/>
      <c r="AG220" s="34"/>
      <c r="AH220" s="34"/>
    </row>
    <row r="221" spans="1:34" ht="26.25" customHeight="1" x14ac:dyDescent="0.25">
      <c r="A221" s="179"/>
      <c r="B221" s="1293" t="s">
        <v>11</v>
      </c>
      <c r="C221" s="4194" t="s">
        <v>84</v>
      </c>
      <c r="D221" s="4195"/>
      <c r="E221" s="4195"/>
      <c r="F221" s="4195"/>
      <c r="G221" s="4195"/>
      <c r="H221" s="4195"/>
      <c r="I221" s="4195"/>
      <c r="J221" s="4195"/>
      <c r="K221" s="4195"/>
      <c r="L221" s="4195"/>
      <c r="M221" s="4195"/>
      <c r="N221" s="4195"/>
      <c r="O221" s="4195"/>
      <c r="P221" s="4195"/>
      <c r="Q221" s="4195"/>
      <c r="R221" s="4195"/>
      <c r="S221" s="4195"/>
      <c r="T221" s="4195"/>
      <c r="U221" s="4195"/>
      <c r="V221" s="4195"/>
      <c r="W221" s="4195"/>
      <c r="X221" s="4195"/>
      <c r="Y221" s="402"/>
      <c r="Z221" s="402"/>
      <c r="AA221" s="402"/>
      <c r="AB221" s="402"/>
      <c r="AC221" s="403"/>
      <c r="AD221" s="34"/>
      <c r="AE221" s="34"/>
      <c r="AF221" s="34"/>
      <c r="AG221" s="34"/>
      <c r="AH221" s="34"/>
    </row>
    <row r="222" spans="1:34" x14ac:dyDescent="0.25">
      <c r="A222" s="179"/>
      <c r="B222" s="3216" t="s">
        <v>13</v>
      </c>
      <c r="C222" s="4197" t="s">
        <v>2440</v>
      </c>
      <c r="D222" s="4199" t="s">
        <v>2441</v>
      </c>
      <c r="E222" s="4200"/>
      <c r="F222" s="4200"/>
      <c r="G222" s="4200"/>
      <c r="H222" s="4200"/>
      <c r="I222" s="4200"/>
      <c r="J222" s="4200"/>
      <c r="K222" s="4200"/>
      <c r="L222" s="4200"/>
      <c r="M222" s="4200"/>
      <c r="N222" s="4200"/>
      <c r="O222" s="4200"/>
      <c r="P222" s="4200"/>
      <c r="Q222" s="4200"/>
      <c r="R222" s="4200"/>
      <c r="S222" s="4205"/>
      <c r="T222" s="4206"/>
      <c r="U222" s="4206"/>
      <c r="V222" s="4206"/>
      <c r="W222" s="4206"/>
      <c r="X222" s="3377" t="s">
        <v>15</v>
      </c>
      <c r="Y222" s="3378"/>
      <c r="Z222" s="3378"/>
      <c r="AA222" s="3379"/>
      <c r="AB222" s="3377" t="s">
        <v>16</v>
      </c>
      <c r="AC222" s="3379"/>
      <c r="AD222" s="34"/>
      <c r="AE222" s="34"/>
      <c r="AF222" s="34"/>
      <c r="AG222" s="34"/>
      <c r="AH222" s="34"/>
    </row>
    <row r="223" spans="1:34" x14ac:dyDescent="0.25">
      <c r="A223" s="179"/>
      <c r="B223" s="3216"/>
      <c r="C223" s="4198"/>
      <c r="D223" s="4201"/>
      <c r="E223" s="4202"/>
      <c r="F223" s="4202"/>
      <c r="G223" s="4202"/>
      <c r="H223" s="4202"/>
      <c r="I223" s="4202"/>
      <c r="J223" s="4202"/>
      <c r="K223" s="4202"/>
      <c r="L223" s="4202"/>
      <c r="M223" s="4202"/>
      <c r="N223" s="4202"/>
      <c r="O223" s="4202"/>
      <c r="P223" s="4202"/>
      <c r="Q223" s="4202"/>
      <c r="R223" s="4202"/>
      <c r="S223" s="4205"/>
      <c r="T223" s="4206"/>
      <c r="U223" s="4206"/>
      <c r="V223" s="4206"/>
      <c r="W223" s="4206"/>
      <c r="X223" s="4209" t="s">
        <v>2442</v>
      </c>
      <c r="Y223" s="4210"/>
      <c r="Z223" s="4210"/>
      <c r="AA223" s="4211"/>
      <c r="AB223" s="4215" t="s">
        <v>2443</v>
      </c>
      <c r="AC223" s="4216"/>
      <c r="AD223" s="34"/>
      <c r="AE223" s="34"/>
      <c r="AF223" s="34"/>
      <c r="AG223" s="34"/>
      <c r="AH223" s="34"/>
    </row>
    <row r="224" spans="1:34" ht="11.25" customHeight="1" x14ac:dyDescent="0.25">
      <c r="A224" s="179"/>
      <c r="B224" s="4196"/>
      <c r="C224" s="4198"/>
      <c r="D224" s="4203"/>
      <c r="E224" s="4204"/>
      <c r="F224" s="4204"/>
      <c r="G224" s="4204"/>
      <c r="H224" s="4204"/>
      <c r="I224" s="4204"/>
      <c r="J224" s="4204"/>
      <c r="K224" s="4204"/>
      <c r="L224" s="4204"/>
      <c r="M224" s="4204"/>
      <c r="N224" s="4204"/>
      <c r="O224" s="4204"/>
      <c r="P224" s="4204"/>
      <c r="Q224" s="4204"/>
      <c r="R224" s="4204"/>
      <c r="S224" s="4207"/>
      <c r="T224" s="4208"/>
      <c r="U224" s="4208"/>
      <c r="V224" s="4208"/>
      <c r="W224" s="4208"/>
      <c r="X224" s="4212"/>
      <c r="Y224" s="4213"/>
      <c r="Z224" s="4213"/>
      <c r="AA224" s="4214"/>
      <c r="AB224" s="4217"/>
      <c r="AC224" s="4218"/>
      <c r="AD224" s="34"/>
      <c r="AE224" s="34"/>
      <c r="AF224" s="34"/>
      <c r="AG224" s="34"/>
      <c r="AH224" s="34"/>
    </row>
    <row r="225" spans="1:34" x14ac:dyDescent="0.25">
      <c r="A225" s="179"/>
      <c r="B225" s="3565" t="s">
        <v>18</v>
      </c>
      <c r="C225" s="4219">
        <v>3000734</v>
      </c>
      <c r="D225" s="4221" t="s">
        <v>2444</v>
      </c>
      <c r="E225" s="4222"/>
      <c r="F225" s="4222"/>
      <c r="G225" s="4222"/>
      <c r="H225" s="4222"/>
      <c r="I225" s="4222"/>
      <c r="J225" s="4222"/>
      <c r="K225" s="4222"/>
      <c r="L225" s="4222"/>
      <c r="M225" s="4222"/>
      <c r="N225" s="4222"/>
      <c r="O225" s="4222"/>
      <c r="P225" s="4222"/>
      <c r="Q225" s="4222"/>
      <c r="R225" s="4222"/>
      <c r="S225" s="444"/>
      <c r="T225" s="444"/>
      <c r="U225" s="444"/>
      <c r="V225" s="444"/>
      <c r="W225" s="445"/>
      <c r="X225" s="4225" t="s">
        <v>15</v>
      </c>
      <c r="Y225" s="4226"/>
      <c r="Z225" s="4226"/>
      <c r="AA225" s="4227"/>
      <c r="AB225" s="4225" t="s">
        <v>16</v>
      </c>
      <c r="AC225" s="4227"/>
      <c r="AD225" s="34"/>
      <c r="AE225" s="34"/>
      <c r="AF225" s="34"/>
      <c r="AG225" s="34"/>
      <c r="AH225" s="34"/>
    </row>
    <row r="226" spans="1:34" ht="24" customHeight="1" x14ac:dyDescent="0.25">
      <c r="A226" s="179"/>
      <c r="B226" s="3565"/>
      <c r="C226" s="4220"/>
      <c r="D226" s="4223"/>
      <c r="E226" s="4224"/>
      <c r="F226" s="4224"/>
      <c r="G226" s="4224"/>
      <c r="H226" s="4224"/>
      <c r="I226" s="4224"/>
      <c r="J226" s="4224"/>
      <c r="K226" s="4224"/>
      <c r="L226" s="4224"/>
      <c r="M226" s="4224"/>
      <c r="N226" s="4224"/>
      <c r="O226" s="4224"/>
      <c r="P226" s="4224"/>
      <c r="Q226" s="4224"/>
      <c r="R226" s="4224"/>
      <c r="S226" s="446"/>
      <c r="T226" s="446"/>
      <c r="U226" s="446"/>
      <c r="V226" s="446"/>
      <c r="W226" s="447"/>
      <c r="X226" s="3518" t="s">
        <v>2445</v>
      </c>
      <c r="Y226" s="4228"/>
      <c r="Z226" s="4228"/>
      <c r="AA226" s="3519"/>
      <c r="AB226" s="4229" t="s">
        <v>2446</v>
      </c>
      <c r="AC226" s="4230"/>
      <c r="AD226" s="34"/>
      <c r="AE226" s="34"/>
      <c r="AF226" s="34"/>
      <c r="AG226" s="34"/>
      <c r="AH226" s="34"/>
    </row>
    <row r="227" spans="1:34" x14ac:dyDescent="0.25">
      <c r="A227" s="179"/>
      <c r="B227" s="3525" t="s">
        <v>20</v>
      </c>
      <c r="C227" s="3577" t="s">
        <v>21</v>
      </c>
      <c r="D227" s="3577" t="s">
        <v>22</v>
      </c>
      <c r="E227" s="3577" t="s">
        <v>23</v>
      </c>
      <c r="F227" s="3577" t="s">
        <v>164</v>
      </c>
      <c r="G227" s="3577" t="s">
        <v>25</v>
      </c>
      <c r="H227" s="3577" t="s">
        <v>26</v>
      </c>
      <c r="I227" s="3577" t="s">
        <v>27</v>
      </c>
      <c r="J227" s="3912" t="s">
        <v>28</v>
      </c>
      <c r="K227" s="3913"/>
      <c r="L227" s="3577" t="s">
        <v>29</v>
      </c>
      <c r="M227" s="3577" t="s">
        <v>1432</v>
      </c>
      <c r="N227" s="2374" t="s">
        <v>530</v>
      </c>
      <c r="O227" s="3577" t="s">
        <v>2447</v>
      </c>
      <c r="P227" s="3577" t="s">
        <v>2044</v>
      </c>
      <c r="Q227" s="2400" t="s">
        <v>31</v>
      </c>
      <c r="R227" s="2401"/>
      <c r="S227" s="4231"/>
      <c r="T227" s="4231"/>
      <c r="U227" s="4231"/>
      <c r="V227" s="4231"/>
      <c r="W227" s="4231"/>
      <c r="X227" s="2401"/>
      <c r="Y227" s="2401"/>
      <c r="Z227" s="2401"/>
      <c r="AA227" s="2401"/>
      <c r="AB227" s="2402"/>
      <c r="AC227" s="2399" t="s">
        <v>32</v>
      </c>
      <c r="AD227" s="34"/>
      <c r="AE227" s="34"/>
      <c r="AF227" s="34"/>
      <c r="AG227" s="34"/>
      <c r="AH227" s="34"/>
    </row>
    <row r="228" spans="1:34" ht="20.25" customHeight="1" x14ac:dyDescent="0.25">
      <c r="A228" s="179"/>
      <c r="B228" s="3525"/>
      <c r="C228" s="3577"/>
      <c r="D228" s="3577"/>
      <c r="E228" s="3577"/>
      <c r="F228" s="3577"/>
      <c r="G228" s="3577"/>
      <c r="H228" s="3577"/>
      <c r="I228" s="3577"/>
      <c r="J228" s="1311" t="s">
        <v>33</v>
      </c>
      <c r="K228" s="1311" t="s">
        <v>34</v>
      </c>
      <c r="L228" s="3577"/>
      <c r="M228" s="3577"/>
      <c r="N228" s="2375"/>
      <c r="O228" s="3577"/>
      <c r="P228" s="3577"/>
      <c r="Q228" s="1310" t="s">
        <v>35</v>
      </c>
      <c r="R228" s="1310" t="s">
        <v>36</v>
      </c>
      <c r="S228" s="1310" t="s">
        <v>37</v>
      </c>
      <c r="T228" s="1310" t="s">
        <v>38</v>
      </c>
      <c r="U228" s="1310" t="s">
        <v>39</v>
      </c>
      <c r="V228" s="1310" t="s">
        <v>40</v>
      </c>
      <c r="W228" s="1310" t="s">
        <v>41</v>
      </c>
      <c r="X228" s="1310" t="s">
        <v>42</v>
      </c>
      <c r="Y228" s="1310" t="s">
        <v>43</v>
      </c>
      <c r="Z228" s="1310" t="s">
        <v>44</v>
      </c>
      <c r="AA228" s="1310" t="s">
        <v>45</v>
      </c>
      <c r="AB228" s="1310" t="s">
        <v>46</v>
      </c>
      <c r="AC228" s="2399"/>
      <c r="AD228" s="34"/>
      <c r="AE228" s="34"/>
      <c r="AF228" s="34"/>
      <c r="AG228" s="34"/>
      <c r="AH228" s="34"/>
    </row>
    <row r="229" spans="1:34" ht="23.25" x14ac:dyDescent="0.25">
      <c r="A229" s="179"/>
      <c r="B229" s="2480">
        <v>5005560</v>
      </c>
      <c r="C229" s="2480" t="s">
        <v>2448</v>
      </c>
      <c r="D229" s="2480" t="s">
        <v>2448</v>
      </c>
      <c r="E229" s="4232" t="s">
        <v>2449</v>
      </c>
      <c r="F229" s="4232" t="s">
        <v>2450</v>
      </c>
      <c r="G229" s="4232" t="s">
        <v>2451</v>
      </c>
      <c r="H229" s="2473" t="s">
        <v>2452</v>
      </c>
      <c r="I229" s="2473" t="s">
        <v>2453</v>
      </c>
      <c r="J229" s="4234">
        <v>2</v>
      </c>
      <c r="K229" s="4234">
        <v>37644</v>
      </c>
      <c r="L229" s="2473" t="s">
        <v>2454</v>
      </c>
      <c r="M229" s="4061" t="s">
        <v>111</v>
      </c>
      <c r="N229" s="4062"/>
      <c r="O229" s="4259"/>
      <c r="P229" s="375" t="s">
        <v>2455</v>
      </c>
      <c r="Q229" s="1346">
        <v>0</v>
      </c>
      <c r="R229" s="1346">
        <v>0</v>
      </c>
      <c r="S229" s="1346">
        <v>0</v>
      </c>
      <c r="T229" s="1346">
        <v>0</v>
      </c>
      <c r="U229" s="1346">
        <v>1</v>
      </c>
      <c r="V229" s="1346">
        <v>0</v>
      </c>
      <c r="W229" s="1346">
        <v>0</v>
      </c>
      <c r="X229" s="1346">
        <v>0</v>
      </c>
      <c r="Y229" s="1346">
        <v>0</v>
      </c>
      <c r="Z229" s="1346">
        <v>1</v>
      </c>
      <c r="AA229" s="1346">
        <v>0</v>
      </c>
      <c r="AB229" s="1346">
        <v>0</v>
      </c>
      <c r="AC229" s="1468">
        <f>SUM(Q229:AB229)</f>
        <v>2</v>
      </c>
      <c r="AD229" s="34"/>
      <c r="AE229" s="34"/>
      <c r="AF229" s="34"/>
      <c r="AG229" s="34"/>
      <c r="AH229" s="34"/>
    </row>
    <row r="230" spans="1:34" x14ac:dyDescent="0.25">
      <c r="A230" s="179"/>
      <c r="B230" s="2481"/>
      <c r="C230" s="2481"/>
      <c r="D230" s="2481"/>
      <c r="E230" s="2474"/>
      <c r="F230" s="2474"/>
      <c r="G230" s="2474"/>
      <c r="H230" s="2474"/>
      <c r="I230" s="2474"/>
      <c r="J230" s="4235"/>
      <c r="K230" s="4235"/>
      <c r="L230" s="2474"/>
      <c r="M230" s="1290" t="s">
        <v>2456</v>
      </c>
      <c r="N230" s="377" t="s">
        <v>1472</v>
      </c>
      <c r="O230" s="378">
        <v>15000</v>
      </c>
      <c r="P230" s="3394" t="s">
        <v>1340</v>
      </c>
      <c r="Q230" s="379">
        <v>0</v>
      </c>
      <c r="R230" s="379">
        <v>3000</v>
      </c>
      <c r="S230" s="379">
        <v>2000</v>
      </c>
      <c r="T230" s="379">
        <v>0</v>
      </c>
      <c r="U230" s="379">
        <v>3000</v>
      </c>
      <c r="V230" s="379">
        <v>0</v>
      </c>
      <c r="W230" s="379">
        <v>3000</v>
      </c>
      <c r="X230" s="379">
        <v>0</v>
      </c>
      <c r="Y230" s="379">
        <v>2000</v>
      </c>
      <c r="Z230" s="379">
        <v>0</v>
      </c>
      <c r="AA230" s="379">
        <v>2000</v>
      </c>
      <c r="AB230" s="379">
        <v>0</v>
      </c>
      <c r="AC230" s="1468">
        <f t="shared" ref="AC230:AC234" si="25">SUM(Q230:AB230)</f>
        <v>15000</v>
      </c>
      <c r="AD230" s="34"/>
      <c r="AE230" s="34"/>
      <c r="AF230" s="34"/>
      <c r="AG230" s="34"/>
      <c r="AH230" s="34"/>
    </row>
    <row r="231" spans="1:34" ht="33.75" x14ac:dyDescent="0.25">
      <c r="A231" s="179"/>
      <c r="B231" s="2481"/>
      <c r="C231" s="2481"/>
      <c r="D231" s="2481"/>
      <c r="E231" s="2474"/>
      <c r="F231" s="2474"/>
      <c r="G231" s="2474"/>
      <c r="H231" s="2474"/>
      <c r="I231" s="2474"/>
      <c r="J231" s="4235"/>
      <c r="K231" s="4235"/>
      <c r="L231" s="2474"/>
      <c r="M231" s="1290" t="s">
        <v>2265</v>
      </c>
      <c r="N231" s="1290" t="s">
        <v>201</v>
      </c>
      <c r="O231" s="380">
        <v>5000</v>
      </c>
      <c r="P231" s="4260"/>
      <c r="Q231" s="379">
        <v>0</v>
      </c>
      <c r="R231" s="379">
        <v>0</v>
      </c>
      <c r="S231" s="379">
        <v>2500</v>
      </c>
      <c r="T231" s="379">
        <v>0</v>
      </c>
      <c r="U231" s="379">
        <v>0</v>
      </c>
      <c r="V231" s="379">
        <v>0</v>
      </c>
      <c r="W231" s="379">
        <v>0</v>
      </c>
      <c r="X231" s="379">
        <v>2500</v>
      </c>
      <c r="Y231" s="379">
        <v>0</v>
      </c>
      <c r="Z231" s="379">
        <v>0</v>
      </c>
      <c r="AA231" s="379">
        <v>0</v>
      </c>
      <c r="AB231" s="379">
        <v>0</v>
      </c>
      <c r="AC231" s="1468">
        <f t="shared" si="25"/>
        <v>5000</v>
      </c>
      <c r="AD231" s="34"/>
      <c r="AE231" s="34"/>
      <c r="AF231" s="34"/>
      <c r="AG231" s="34"/>
      <c r="AH231" s="34"/>
    </row>
    <row r="232" spans="1:34" ht="22.5" customHeight="1" x14ac:dyDescent="0.25">
      <c r="A232" s="179"/>
      <c r="B232" s="2481"/>
      <c r="C232" s="2481"/>
      <c r="D232" s="2481"/>
      <c r="E232" s="2474"/>
      <c r="F232" s="2474"/>
      <c r="G232" s="2474"/>
      <c r="H232" s="2474"/>
      <c r="I232" s="2474"/>
      <c r="J232" s="4235"/>
      <c r="K232" s="4235"/>
      <c r="L232" s="2474"/>
      <c r="M232" s="1290" t="s">
        <v>2284</v>
      </c>
      <c r="N232" s="1290" t="s">
        <v>2457</v>
      </c>
      <c r="O232" s="381">
        <v>3500</v>
      </c>
      <c r="P232" s="4260"/>
      <c r="Q232" s="379">
        <v>0</v>
      </c>
      <c r="R232" s="379">
        <v>0</v>
      </c>
      <c r="S232" s="379">
        <v>1500</v>
      </c>
      <c r="T232" s="379">
        <v>0</v>
      </c>
      <c r="U232" s="379">
        <v>0</v>
      </c>
      <c r="V232" s="379">
        <v>0</v>
      </c>
      <c r="W232" s="379">
        <v>0</v>
      </c>
      <c r="X232" s="379">
        <v>0</v>
      </c>
      <c r="Y232" s="379">
        <v>0</v>
      </c>
      <c r="Z232" s="379">
        <v>2000</v>
      </c>
      <c r="AA232" s="379">
        <v>0</v>
      </c>
      <c r="AB232" s="379">
        <v>0</v>
      </c>
      <c r="AC232" s="1468">
        <f t="shared" si="25"/>
        <v>3500</v>
      </c>
      <c r="AD232" s="34"/>
      <c r="AE232" s="34"/>
      <c r="AF232" s="34"/>
      <c r="AG232" s="34"/>
      <c r="AH232" s="34"/>
    </row>
    <row r="233" spans="1:34" ht="24" customHeight="1" x14ac:dyDescent="0.25">
      <c r="A233" s="179"/>
      <c r="B233" s="2481"/>
      <c r="C233" s="2481"/>
      <c r="D233" s="2481"/>
      <c r="E233" s="2474"/>
      <c r="F233" s="2474"/>
      <c r="G233" s="2474"/>
      <c r="H233" s="2474"/>
      <c r="I233" s="2474"/>
      <c r="J233" s="4235"/>
      <c r="K233" s="4235"/>
      <c r="L233" s="2474"/>
      <c r="M233" s="1290" t="s">
        <v>2293</v>
      </c>
      <c r="N233" s="1309" t="s">
        <v>2458</v>
      </c>
      <c r="O233" s="382">
        <v>12144</v>
      </c>
      <c r="P233" s="4260"/>
      <c r="Q233" s="379">
        <v>0</v>
      </c>
      <c r="R233" s="379">
        <v>0</v>
      </c>
      <c r="S233" s="379">
        <v>4000</v>
      </c>
      <c r="T233" s="379">
        <v>0</v>
      </c>
      <c r="U233" s="379">
        <v>0</v>
      </c>
      <c r="V233" s="379">
        <v>4000</v>
      </c>
      <c r="W233" s="379">
        <v>0</v>
      </c>
      <c r="X233" s="379">
        <v>0</v>
      </c>
      <c r="Y233" s="379">
        <v>0</v>
      </c>
      <c r="Z233" s="379">
        <v>4144</v>
      </c>
      <c r="AA233" s="379">
        <v>0</v>
      </c>
      <c r="AB233" s="379">
        <v>0</v>
      </c>
      <c r="AC233" s="1468">
        <f t="shared" si="25"/>
        <v>12144</v>
      </c>
      <c r="AD233" s="34"/>
      <c r="AE233" s="34"/>
      <c r="AF233" s="34"/>
      <c r="AG233" s="34"/>
      <c r="AH233" s="34"/>
    </row>
    <row r="234" spans="1:34" x14ac:dyDescent="0.25">
      <c r="A234" s="179"/>
      <c r="B234" s="2481"/>
      <c r="C234" s="2481"/>
      <c r="D234" s="2481"/>
      <c r="E234" s="2474"/>
      <c r="F234" s="2474"/>
      <c r="G234" s="2474"/>
      <c r="H234" s="2474"/>
      <c r="I234" s="4233"/>
      <c r="J234" s="4235"/>
      <c r="K234" s="4235"/>
      <c r="L234" s="2474"/>
      <c r="M234" s="1290" t="s">
        <v>2103</v>
      </c>
      <c r="N234" s="1309" t="s">
        <v>1478</v>
      </c>
      <c r="O234" s="893">
        <v>2000</v>
      </c>
      <c r="P234" s="4260"/>
      <c r="Q234" s="383">
        <v>0</v>
      </c>
      <c r="R234" s="383">
        <v>0</v>
      </c>
      <c r="S234" s="383">
        <v>0</v>
      </c>
      <c r="T234" s="383">
        <v>0</v>
      </c>
      <c r="U234" s="383">
        <v>0</v>
      </c>
      <c r="V234" s="383">
        <v>2000</v>
      </c>
      <c r="W234" s="383">
        <v>0</v>
      </c>
      <c r="X234" s="383">
        <v>0</v>
      </c>
      <c r="Y234" s="383">
        <v>0</v>
      </c>
      <c r="Z234" s="383">
        <v>0</v>
      </c>
      <c r="AA234" s="383">
        <v>0</v>
      </c>
      <c r="AB234" s="383">
        <v>0</v>
      </c>
      <c r="AC234" s="1468">
        <f t="shared" si="25"/>
        <v>2000</v>
      </c>
      <c r="AD234" s="34"/>
      <c r="AE234" s="34"/>
      <c r="AF234" s="34"/>
      <c r="AG234" s="34"/>
      <c r="AH234" s="34"/>
    </row>
    <row r="235" spans="1:34" x14ac:dyDescent="0.25">
      <c r="A235" s="179"/>
      <c r="B235" s="4236">
        <v>5005561</v>
      </c>
      <c r="C235" s="3567" t="s">
        <v>2459</v>
      </c>
      <c r="D235" s="3567" t="s">
        <v>2459</v>
      </c>
      <c r="E235" s="3671" t="s">
        <v>2449</v>
      </c>
      <c r="F235" s="3671" t="s">
        <v>2450</v>
      </c>
      <c r="G235" s="3671" t="s">
        <v>2451</v>
      </c>
      <c r="H235" s="3390" t="s">
        <v>2460</v>
      </c>
      <c r="I235" s="3390" t="s">
        <v>2461</v>
      </c>
      <c r="J235" s="4237">
        <v>4</v>
      </c>
      <c r="K235" s="4237">
        <v>134242</v>
      </c>
      <c r="L235" s="3558" t="s">
        <v>2454</v>
      </c>
      <c r="M235" s="4061" t="s">
        <v>111</v>
      </c>
      <c r="N235" s="4062"/>
      <c r="O235" s="4259"/>
      <c r="P235" s="1300" t="s">
        <v>51</v>
      </c>
      <c r="Q235" s="1346">
        <v>0</v>
      </c>
      <c r="R235" s="1346">
        <v>0</v>
      </c>
      <c r="S235" s="1346">
        <v>0</v>
      </c>
      <c r="T235" s="1346">
        <v>2</v>
      </c>
      <c r="U235" s="1346">
        <v>0</v>
      </c>
      <c r="V235" s="1346">
        <v>0</v>
      </c>
      <c r="W235" s="1346">
        <v>0</v>
      </c>
      <c r="X235" s="1346">
        <v>0</v>
      </c>
      <c r="Y235" s="1346">
        <v>0</v>
      </c>
      <c r="Z235" s="1346">
        <v>2</v>
      </c>
      <c r="AA235" s="1346">
        <v>0</v>
      </c>
      <c r="AB235" s="1346">
        <v>0</v>
      </c>
      <c r="AC235" s="1468">
        <f t="shared" ref="AC235:AC247" si="26">SUM(Q235:AB235)</f>
        <v>4</v>
      </c>
      <c r="AD235" s="34"/>
      <c r="AE235" s="34"/>
      <c r="AF235" s="34"/>
      <c r="AG235" s="34"/>
      <c r="AH235" s="34"/>
    </row>
    <row r="236" spans="1:34" ht="22.5" x14ac:dyDescent="0.25">
      <c r="A236" s="179"/>
      <c r="B236" s="4236"/>
      <c r="C236" s="3567"/>
      <c r="D236" s="3567"/>
      <c r="E236" s="3390"/>
      <c r="F236" s="3390"/>
      <c r="G236" s="3390"/>
      <c r="H236" s="3390"/>
      <c r="I236" s="3390"/>
      <c r="J236" s="4237"/>
      <c r="K236" s="4237"/>
      <c r="L236" s="3558"/>
      <c r="M236" s="1290" t="s">
        <v>2284</v>
      </c>
      <c r="N236" s="377" t="s">
        <v>2457</v>
      </c>
      <c r="O236" s="378">
        <v>28000</v>
      </c>
      <c r="P236" s="3383" t="s">
        <v>1340</v>
      </c>
      <c r="Q236" s="379">
        <v>0</v>
      </c>
      <c r="R236" s="379">
        <v>0</v>
      </c>
      <c r="S236" s="379">
        <v>14000</v>
      </c>
      <c r="T236" s="379">
        <v>0</v>
      </c>
      <c r="U236" s="379">
        <v>0</v>
      </c>
      <c r="V236" s="379">
        <v>0</v>
      </c>
      <c r="W236" s="379">
        <v>0</v>
      </c>
      <c r="X236" s="379">
        <v>0</v>
      </c>
      <c r="Y236" s="379">
        <v>14000</v>
      </c>
      <c r="Z236" s="379">
        <v>0</v>
      </c>
      <c r="AA236" s="379">
        <v>0</v>
      </c>
      <c r="AB236" s="379">
        <v>0</v>
      </c>
      <c r="AC236" s="1468">
        <f t="shared" si="26"/>
        <v>28000</v>
      </c>
      <c r="AD236" s="34"/>
      <c r="AE236" s="34"/>
      <c r="AF236" s="34"/>
      <c r="AG236" s="34"/>
      <c r="AH236" s="34"/>
    </row>
    <row r="237" spans="1:34" x14ac:dyDescent="0.25">
      <c r="A237" s="179"/>
      <c r="B237" s="4236"/>
      <c r="C237" s="3567"/>
      <c r="D237" s="3567"/>
      <c r="E237" s="3390"/>
      <c r="F237" s="3390"/>
      <c r="G237" s="3390"/>
      <c r="H237" s="3390"/>
      <c r="I237" s="3390"/>
      <c r="J237" s="4237"/>
      <c r="K237" s="4237"/>
      <c r="L237" s="3558"/>
      <c r="M237" s="1290" t="s">
        <v>2285</v>
      </c>
      <c r="N237" s="377" t="s">
        <v>1104</v>
      </c>
      <c r="O237" s="378">
        <v>12000</v>
      </c>
      <c r="P237" s="3391"/>
      <c r="Q237" s="379">
        <v>0</v>
      </c>
      <c r="R237" s="379">
        <v>0</v>
      </c>
      <c r="S237" s="379">
        <v>6000</v>
      </c>
      <c r="T237" s="379">
        <v>0</v>
      </c>
      <c r="U237" s="379">
        <v>0</v>
      </c>
      <c r="V237" s="379">
        <v>0</v>
      </c>
      <c r="W237" s="379">
        <v>0</v>
      </c>
      <c r="X237" s="379">
        <v>0</v>
      </c>
      <c r="Y237" s="379">
        <v>6000</v>
      </c>
      <c r="Z237" s="379">
        <v>0</v>
      </c>
      <c r="AA237" s="379">
        <v>0</v>
      </c>
      <c r="AB237" s="379">
        <v>0</v>
      </c>
      <c r="AC237" s="1468">
        <f t="shared" ref="AC237:AC243" si="27">SUM(Q237:AB237)</f>
        <v>12000</v>
      </c>
      <c r="AD237" s="34"/>
      <c r="AE237" s="34"/>
      <c r="AF237" s="34"/>
      <c r="AG237" s="34"/>
      <c r="AH237" s="34"/>
    </row>
    <row r="238" spans="1:34" x14ac:dyDescent="0.25">
      <c r="A238" s="179"/>
      <c r="B238" s="4236"/>
      <c r="C238" s="3567"/>
      <c r="D238" s="3567"/>
      <c r="E238" s="3390"/>
      <c r="F238" s="3390"/>
      <c r="G238" s="3390"/>
      <c r="H238" s="3390"/>
      <c r="I238" s="3390"/>
      <c r="J238" s="4237"/>
      <c r="K238" s="4237"/>
      <c r="L238" s="3558"/>
      <c r="M238" s="1290" t="s">
        <v>2287</v>
      </c>
      <c r="N238" s="377" t="s">
        <v>1463</v>
      </c>
      <c r="O238" s="378">
        <v>1500</v>
      </c>
      <c r="P238" s="3391"/>
      <c r="Q238" s="379">
        <v>0</v>
      </c>
      <c r="R238" s="379">
        <v>1500</v>
      </c>
      <c r="S238" s="379">
        <v>0</v>
      </c>
      <c r="T238" s="379">
        <v>0</v>
      </c>
      <c r="U238" s="379">
        <v>0</v>
      </c>
      <c r="V238" s="379">
        <v>0</v>
      </c>
      <c r="W238" s="379">
        <v>0</v>
      </c>
      <c r="X238" s="379">
        <v>0</v>
      </c>
      <c r="Y238" s="379">
        <v>0</v>
      </c>
      <c r="Z238" s="379">
        <v>0</v>
      </c>
      <c r="AA238" s="379">
        <v>0</v>
      </c>
      <c r="AB238" s="379">
        <v>0</v>
      </c>
      <c r="AC238" s="1468">
        <f t="shared" si="27"/>
        <v>1500</v>
      </c>
      <c r="AD238" s="34"/>
      <c r="AE238" s="34"/>
      <c r="AF238" s="34"/>
      <c r="AG238" s="34"/>
      <c r="AH238" s="34"/>
    </row>
    <row r="239" spans="1:34" x14ac:dyDescent="0.25">
      <c r="A239" s="179"/>
      <c r="B239" s="4236"/>
      <c r="C239" s="3567"/>
      <c r="D239" s="3567"/>
      <c r="E239" s="3390"/>
      <c r="F239" s="3390"/>
      <c r="G239" s="3390"/>
      <c r="H239" s="3390"/>
      <c r="I239" s="3390"/>
      <c r="J239" s="4237"/>
      <c r="K239" s="4237"/>
      <c r="L239" s="3558"/>
      <c r="M239" s="1290" t="s">
        <v>2289</v>
      </c>
      <c r="N239" s="377" t="s">
        <v>183</v>
      </c>
      <c r="O239" s="378">
        <v>2000</v>
      </c>
      <c r="P239" s="3391"/>
      <c r="Q239" s="379">
        <v>0</v>
      </c>
      <c r="R239" s="379">
        <v>400</v>
      </c>
      <c r="S239" s="379">
        <v>0</v>
      </c>
      <c r="T239" s="379">
        <v>0</v>
      </c>
      <c r="U239" s="379">
        <v>400</v>
      </c>
      <c r="V239" s="379">
        <v>0</v>
      </c>
      <c r="W239" s="379">
        <v>0</v>
      </c>
      <c r="X239" s="379">
        <v>400</v>
      </c>
      <c r="Y239" s="379">
        <v>0</v>
      </c>
      <c r="Z239" s="379">
        <v>400</v>
      </c>
      <c r="AA239" s="379">
        <v>0</v>
      </c>
      <c r="AB239" s="379">
        <v>400</v>
      </c>
      <c r="AC239" s="1468">
        <f t="shared" si="27"/>
        <v>2000</v>
      </c>
      <c r="AD239" s="34"/>
      <c r="AE239" s="34"/>
      <c r="AF239" s="34"/>
      <c r="AG239" s="34"/>
      <c r="AH239" s="34"/>
    </row>
    <row r="240" spans="1:34" ht="22.5" x14ac:dyDescent="0.25">
      <c r="A240" s="179"/>
      <c r="B240" s="4236"/>
      <c r="C240" s="3567"/>
      <c r="D240" s="3567"/>
      <c r="E240" s="3390"/>
      <c r="F240" s="3390"/>
      <c r="G240" s="3390"/>
      <c r="H240" s="3390"/>
      <c r="I240" s="3390"/>
      <c r="J240" s="4237"/>
      <c r="K240" s="4237"/>
      <c r="L240" s="3558"/>
      <c r="M240" s="1290" t="s">
        <v>2253</v>
      </c>
      <c r="N240" s="377" t="s">
        <v>2462</v>
      </c>
      <c r="O240" s="378">
        <v>4942</v>
      </c>
      <c r="P240" s="3391"/>
      <c r="Q240" s="379">
        <v>0</v>
      </c>
      <c r="R240" s="379">
        <v>4942</v>
      </c>
      <c r="S240" s="379">
        <v>0</v>
      </c>
      <c r="T240" s="379">
        <v>0</v>
      </c>
      <c r="U240" s="379">
        <v>0</v>
      </c>
      <c r="V240" s="379">
        <v>0</v>
      </c>
      <c r="W240" s="379">
        <v>0</v>
      </c>
      <c r="X240" s="379">
        <v>0</v>
      </c>
      <c r="Y240" s="379">
        <v>0</v>
      </c>
      <c r="Z240" s="379">
        <v>0</v>
      </c>
      <c r="AA240" s="379">
        <v>0</v>
      </c>
      <c r="AB240" s="379">
        <v>0</v>
      </c>
      <c r="AC240" s="1468">
        <f t="shared" si="27"/>
        <v>4942</v>
      </c>
      <c r="AD240" s="34"/>
      <c r="AE240" s="34"/>
      <c r="AF240" s="34"/>
      <c r="AG240" s="34"/>
      <c r="AH240" s="34"/>
    </row>
    <row r="241" spans="1:34" ht="22.5" x14ac:dyDescent="0.25">
      <c r="A241" s="179"/>
      <c r="B241" s="4236"/>
      <c r="C241" s="3567"/>
      <c r="D241" s="3567"/>
      <c r="E241" s="3390"/>
      <c r="F241" s="3390"/>
      <c r="G241" s="3390"/>
      <c r="H241" s="3390"/>
      <c r="I241" s="3390"/>
      <c r="J241" s="4237"/>
      <c r="K241" s="4237"/>
      <c r="L241" s="3558"/>
      <c r="M241" s="1290" t="s">
        <v>2259</v>
      </c>
      <c r="N241" s="377" t="s">
        <v>2463</v>
      </c>
      <c r="O241" s="378">
        <v>40000</v>
      </c>
      <c r="P241" s="3391"/>
      <c r="Q241" s="379">
        <v>0</v>
      </c>
      <c r="R241" s="379">
        <v>10000</v>
      </c>
      <c r="S241" s="379">
        <v>0</v>
      </c>
      <c r="T241" s="379">
        <v>0</v>
      </c>
      <c r="U241" s="379">
        <v>15000</v>
      </c>
      <c r="V241" s="379">
        <v>0</v>
      </c>
      <c r="W241" s="379">
        <v>0</v>
      </c>
      <c r="X241" s="379">
        <v>0</v>
      </c>
      <c r="Y241" s="379">
        <v>15000</v>
      </c>
      <c r="Z241" s="379">
        <v>0</v>
      </c>
      <c r="AA241" s="379">
        <v>0</v>
      </c>
      <c r="AB241" s="379">
        <v>0</v>
      </c>
      <c r="AC241" s="1468">
        <f t="shared" si="27"/>
        <v>40000</v>
      </c>
      <c r="AD241" s="34"/>
      <c r="AE241" s="34"/>
      <c r="AF241" s="34"/>
      <c r="AG241" s="34"/>
      <c r="AH241" s="34"/>
    </row>
    <row r="242" spans="1:34" ht="22.5" x14ac:dyDescent="0.25">
      <c r="A242" s="179"/>
      <c r="B242" s="4236"/>
      <c r="C242" s="3567"/>
      <c r="D242" s="3567"/>
      <c r="E242" s="3390"/>
      <c r="F242" s="3390"/>
      <c r="G242" s="3390"/>
      <c r="H242" s="3390"/>
      <c r="I242" s="3390"/>
      <c r="J242" s="4237"/>
      <c r="K242" s="4237"/>
      <c r="L242" s="3558"/>
      <c r="M242" s="1290" t="s">
        <v>2066</v>
      </c>
      <c r="N242" s="377" t="s">
        <v>1196</v>
      </c>
      <c r="O242" s="378">
        <v>5000</v>
      </c>
      <c r="P242" s="3391"/>
      <c r="Q242" s="379">
        <v>0</v>
      </c>
      <c r="R242" s="379">
        <v>800</v>
      </c>
      <c r="S242" s="379">
        <v>0</v>
      </c>
      <c r="T242" s="379">
        <v>800</v>
      </c>
      <c r="U242" s="379">
        <v>0</v>
      </c>
      <c r="V242" s="379">
        <v>800</v>
      </c>
      <c r="W242" s="379">
        <v>0</v>
      </c>
      <c r="X242" s="379">
        <v>850</v>
      </c>
      <c r="Y242" s="379">
        <v>0</v>
      </c>
      <c r="Z242" s="379">
        <v>800</v>
      </c>
      <c r="AA242" s="379">
        <v>0</v>
      </c>
      <c r="AB242" s="379">
        <v>950</v>
      </c>
      <c r="AC242" s="1468">
        <f t="shared" si="27"/>
        <v>5000</v>
      </c>
      <c r="AD242" s="34"/>
      <c r="AE242" s="34"/>
      <c r="AF242" s="34"/>
      <c r="AG242" s="34"/>
      <c r="AH242" s="34"/>
    </row>
    <row r="243" spans="1:34" ht="22.5" x14ac:dyDescent="0.25">
      <c r="A243" s="179"/>
      <c r="B243" s="4236"/>
      <c r="C243" s="3567"/>
      <c r="D243" s="3567"/>
      <c r="E243" s="3390"/>
      <c r="F243" s="3390"/>
      <c r="G243" s="3390"/>
      <c r="H243" s="3390"/>
      <c r="I243" s="3390"/>
      <c r="J243" s="4237"/>
      <c r="K243" s="4237"/>
      <c r="L243" s="3558"/>
      <c r="M243" s="1290" t="s">
        <v>2263</v>
      </c>
      <c r="N243" s="377" t="s">
        <v>2380</v>
      </c>
      <c r="O243" s="378">
        <v>10000</v>
      </c>
      <c r="P243" s="3391"/>
      <c r="Q243" s="379">
        <v>500</v>
      </c>
      <c r="R243" s="379">
        <v>500</v>
      </c>
      <c r="S243" s="379">
        <v>1000</v>
      </c>
      <c r="T243" s="379">
        <v>1000</v>
      </c>
      <c r="U243" s="379">
        <v>1000</v>
      </c>
      <c r="V243" s="379">
        <v>1000</v>
      </c>
      <c r="W243" s="379">
        <v>1000</v>
      </c>
      <c r="X243" s="379">
        <v>1000</v>
      </c>
      <c r="Y243" s="379">
        <v>1000</v>
      </c>
      <c r="Z243" s="379">
        <v>1000</v>
      </c>
      <c r="AA243" s="379">
        <v>500</v>
      </c>
      <c r="AB243" s="379">
        <v>500</v>
      </c>
      <c r="AC243" s="1468">
        <f t="shared" si="27"/>
        <v>10000</v>
      </c>
      <c r="AD243" s="34"/>
      <c r="AE243" s="34"/>
      <c r="AF243" s="34"/>
      <c r="AG243" s="34"/>
      <c r="AH243" s="34"/>
    </row>
    <row r="244" spans="1:34" x14ac:dyDescent="0.25">
      <c r="A244" s="179"/>
      <c r="B244" s="4236"/>
      <c r="C244" s="3567"/>
      <c r="D244" s="3567"/>
      <c r="E244" s="3390"/>
      <c r="F244" s="3390"/>
      <c r="G244" s="3390"/>
      <c r="H244" s="3390"/>
      <c r="I244" s="3390"/>
      <c r="J244" s="4237"/>
      <c r="K244" s="4237"/>
      <c r="L244" s="3558"/>
      <c r="M244" s="1290" t="s">
        <v>2456</v>
      </c>
      <c r="N244" s="1290" t="s">
        <v>1472</v>
      </c>
      <c r="O244" s="380">
        <v>5000</v>
      </c>
      <c r="P244" s="3391"/>
      <c r="Q244" s="379">
        <v>0</v>
      </c>
      <c r="R244" s="379">
        <v>0</v>
      </c>
      <c r="S244" s="379">
        <v>0</v>
      </c>
      <c r="T244" s="379">
        <v>2500</v>
      </c>
      <c r="U244" s="379">
        <v>0</v>
      </c>
      <c r="V244" s="379">
        <v>0</v>
      </c>
      <c r="W244" s="379">
        <v>0</v>
      </c>
      <c r="X244" s="379">
        <v>0</v>
      </c>
      <c r="Y244" s="379">
        <v>0</v>
      </c>
      <c r="Z244" s="379">
        <v>2500</v>
      </c>
      <c r="AA244" s="379">
        <v>0</v>
      </c>
      <c r="AB244" s="379">
        <v>0</v>
      </c>
      <c r="AC244" s="1468">
        <f t="shared" si="26"/>
        <v>5000</v>
      </c>
      <c r="AD244" s="34"/>
      <c r="AE244" s="34"/>
      <c r="AF244" s="34"/>
      <c r="AG244" s="34"/>
      <c r="AH244" s="34"/>
    </row>
    <row r="245" spans="1:34" ht="22.5" x14ac:dyDescent="0.25">
      <c r="A245" s="179"/>
      <c r="B245" s="4236"/>
      <c r="C245" s="3567"/>
      <c r="D245" s="3567"/>
      <c r="E245" s="3390"/>
      <c r="F245" s="3390"/>
      <c r="G245" s="3390"/>
      <c r="H245" s="3390"/>
      <c r="I245" s="3390"/>
      <c r="J245" s="4237"/>
      <c r="K245" s="4237"/>
      <c r="L245" s="3558"/>
      <c r="M245" s="1290" t="s">
        <v>2265</v>
      </c>
      <c r="N245" s="1290" t="s">
        <v>2457</v>
      </c>
      <c r="O245" s="381">
        <v>5000</v>
      </c>
      <c r="P245" s="3391"/>
      <c r="Q245" s="379">
        <v>0</v>
      </c>
      <c r="R245" s="379">
        <v>0</v>
      </c>
      <c r="S245" s="379">
        <v>5000</v>
      </c>
      <c r="T245" s="379">
        <v>0</v>
      </c>
      <c r="U245" s="379">
        <v>0</v>
      </c>
      <c r="V245" s="379">
        <v>0</v>
      </c>
      <c r="W245" s="379">
        <v>0</v>
      </c>
      <c r="X245" s="379">
        <v>0</v>
      </c>
      <c r="Y245" s="379">
        <v>0</v>
      </c>
      <c r="Z245" s="379">
        <v>0</v>
      </c>
      <c r="AA245" s="379">
        <v>0</v>
      </c>
      <c r="AB245" s="379">
        <v>0</v>
      </c>
      <c r="AC245" s="1468">
        <f t="shared" si="26"/>
        <v>5000</v>
      </c>
      <c r="AD245" s="34"/>
      <c r="AE245" s="34"/>
      <c r="AF245" s="34"/>
      <c r="AG245" s="34"/>
      <c r="AH245" s="34"/>
    </row>
    <row r="246" spans="1:34" ht="33.75" x14ac:dyDescent="0.25">
      <c r="A246" s="179"/>
      <c r="B246" s="4236"/>
      <c r="C246" s="3567"/>
      <c r="D246" s="3567"/>
      <c r="E246" s="3390"/>
      <c r="F246" s="3390"/>
      <c r="G246" s="3390"/>
      <c r="H246" s="3390"/>
      <c r="I246" s="3390"/>
      <c r="J246" s="4237"/>
      <c r="K246" s="4237"/>
      <c r="L246" s="3558"/>
      <c r="M246" s="1290" t="s">
        <v>2464</v>
      </c>
      <c r="N246" s="384" t="s">
        <v>2465</v>
      </c>
      <c r="O246" s="382">
        <v>10800</v>
      </c>
      <c r="P246" s="3391"/>
      <c r="Q246" s="379">
        <v>0</v>
      </c>
      <c r="R246" s="379">
        <v>2000</v>
      </c>
      <c r="S246" s="379">
        <v>0</v>
      </c>
      <c r="T246" s="379">
        <v>2000</v>
      </c>
      <c r="U246" s="379">
        <v>0</v>
      </c>
      <c r="V246" s="379">
        <v>2000</v>
      </c>
      <c r="W246" s="379">
        <v>0</v>
      </c>
      <c r="X246" s="379">
        <v>2000</v>
      </c>
      <c r="Y246" s="379">
        <v>0</v>
      </c>
      <c r="Z246" s="379">
        <v>2000</v>
      </c>
      <c r="AA246" s="379">
        <v>0</v>
      </c>
      <c r="AB246" s="379">
        <v>800</v>
      </c>
      <c r="AC246" s="1468">
        <f t="shared" si="26"/>
        <v>10800</v>
      </c>
      <c r="AD246" s="34"/>
      <c r="AE246" s="34"/>
      <c r="AF246" s="34"/>
      <c r="AG246" s="34"/>
      <c r="AH246" s="34"/>
    </row>
    <row r="247" spans="1:34" ht="22.5" x14ac:dyDescent="0.25">
      <c r="A247" s="179"/>
      <c r="B247" s="4236"/>
      <c r="C247" s="3567"/>
      <c r="D247" s="3567"/>
      <c r="E247" s="3390"/>
      <c r="F247" s="3390"/>
      <c r="G247" s="3390"/>
      <c r="H247" s="3390"/>
      <c r="I247" s="3390"/>
      <c r="J247" s="4237"/>
      <c r="K247" s="4237"/>
      <c r="L247" s="3558"/>
      <c r="M247" s="1290" t="s">
        <v>2466</v>
      </c>
      <c r="N247" s="1309" t="s">
        <v>2467</v>
      </c>
      <c r="O247" s="893">
        <v>10000</v>
      </c>
      <c r="P247" s="3375"/>
      <c r="Q247" s="383">
        <v>0</v>
      </c>
      <c r="R247" s="383">
        <v>0</v>
      </c>
      <c r="S247" s="383">
        <v>10000</v>
      </c>
      <c r="T247" s="383">
        <v>0</v>
      </c>
      <c r="U247" s="383">
        <v>0</v>
      </c>
      <c r="V247" s="383">
        <v>0</v>
      </c>
      <c r="W247" s="383">
        <v>0</v>
      </c>
      <c r="X247" s="383">
        <v>0</v>
      </c>
      <c r="Y247" s="383">
        <v>0</v>
      </c>
      <c r="Z247" s="383">
        <v>0</v>
      </c>
      <c r="AA247" s="383">
        <v>0</v>
      </c>
      <c r="AB247" s="383">
        <v>0</v>
      </c>
      <c r="AC247" s="1468">
        <f t="shared" si="26"/>
        <v>10000</v>
      </c>
      <c r="AD247" s="34"/>
      <c r="AE247" s="34"/>
      <c r="AF247" s="34"/>
      <c r="AG247" s="34"/>
      <c r="AH247" s="34"/>
    </row>
    <row r="248" spans="1:34" x14ac:dyDescent="0.25">
      <c r="A248" s="179"/>
      <c r="B248" s="4236">
        <v>5005611</v>
      </c>
      <c r="C248" s="3567" t="s">
        <v>2468</v>
      </c>
      <c r="D248" s="3567" t="s">
        <v>2468</v>
      </c>
      <c r="E248" s="3671" t="s">
        <v>2449</v>
      </c>
      <c r="F248" s="3671" t="s">
        <v>2450</v>
      </c>
      <c r="G248" s="3671" t="s">
        <v>2451</v>
      </c>
      <c r="H248" s="3390" t="s">
        <v>2469</v>
      </c>
      <c r="I248" s="3390" t="s">
        <v>2470</v>
      </c>
      <c r="J248" s="4237">
        <v>280</v>
      </c>
      <c r="K248" s="4237">
        <v>829168</v>
      </c>
      <c r="L248" s="3558" t="s">
        <v>2454</v>
      </c>
      <c r="M248" s="4061" t="s">
        <v>111</v>
      </c>
      <c r="N248" s="4062"/>
      <c r="O248" s="4259"/>
      <c r="P248" s="1300" t="s">
        <v>51</v>
      </c>
      <c r="Q248" s="1346">
        <v>20</v>
      </c>
      <c r="R248" s="1346">
        <v>30</v>
      </c>
      <c r="S248" s="1346">
        <v>30</v>
      </c>
      <c r="T248" s="1346">
        <v>40</v>
      </c>
      <c r="U248" s="1346">
        <v>30</v>
      </c>
      <c r="V248" s="1346">
        <v>20</v>
      </c>
      <c r="W248" s="1346">
        <v>15</v>
      </c>
      <c r="X248" s="1346">
        <v>10</v>
      </c>
      <c r="Y248" s="1346">
        <v>10</v>
      </c>
      <c r="Z248" s="1346">
        <v>20</v>
      </c>
      <c r="AA248" s="1346">
        <v>25</v>
      </c>
      <c r="AB248" s="1346">
        <v>30</v>
      </c>
      <c r="AC248" s="1468">
        <f t="shared" ref="AC248:AC264" si="28">SUM(Q248:AB248)</f>
        <v>280</v>
      </c>
      <c r="AD248" s="34"/>
      <c r="AE248" s="34"/>
      <c r="AF248" s="34"/>
      <c r="AG248" s="34"/>
      <c r="AH248" s="34"/>
    </row>
    <row r="249" spans="1:34" ht="22.5" x14ac:dyDescent="0.25">
      <c r="A249" s="179"/>
      <c r="B249" s="4236"/>
      <c r="C249" s="3567"/>
      <c r="D249" s="3567"/>
      <c r="E249" s="3390"/>
      <c r="F249" s="3390"/>
      <c r="G249" s="3390"/>
      <c r="H249" s="3390"/>
      <c r="I249" s="3390"/>
      <c r="J249" s="4237"/>
      <c r="K249" s="4237"/>
      <c r="L249" s="3558"/>
      <c r="M249" s="1290" t="s">
        <v>2471</v>
      </c>
      <c r="N249" s="377" t="s">
        <v>2472</v>
      </c>
      <c r="O249" s="378">
        <v>700000</v>
      </c>
      <c r="P249" s="3383" t="s">
        <v>1340</v>
      </c>
      <c r="Q249" s="379">
        <v>0</v>
      </c>
      <c r="R249" s="379">
        <v>0</v>
      </c>
      <c r="S249" s="379">
        <v>700000</v>
      </c>
      <c r="T249" s="379">
        <v>0</v>
      </c>
      <c r="U249" s="379">
        <v>0</v>
      </c>
      <c r="V249" s="379">
        <v>0</v>
      </c>
      <c r="W249" s="379">
        <v>0</v>
      </c>
      <c r="X249" s="379">
        <v>0</v>
      </c>
      <c r="Y249" s="379">
        <v>0</v>
      </c>
      <c r="Z249" s="379">
        <v>0</v>
      </c>
      <c r="AA249" s="379">
        <v>0</v>
      </c>
      <c r="AB249" s="379">
        <v>0</v>
      </c>
      <c r="AC249" s="1468">
        <f t="shared" si="28"/>
        <v>700000</v>
      </c>
      <c r="AD249" s="34"/>
      <c r="AE249" s="34"/>
      <c r="AF249" s="34"/>
      <c r="AG249" s="34"/>
      <c r="AH249" s="34"/>
    </row>
    <row r="250" spans="1:34" ht="22.5" x14ac:dyDescent="0.25">
      <c r="A250" s="179"/>
      <c r="B250" s="4236"/>
      <c r="C250" s="3567"/>
      <c r="D250" s="3567"/>
      <c r="E250" s="3390"/>
      <c r="F250" s="3390"/>
      <c r="G250" s="3390"/>
      <c r="H250" s="3390"/>
      <c r="I250" s="3390"/>
      <c r="J250" s="4237"/>
      <c r="K250" s="4237"/>
      <c r="L250" s="3558"/>
      <c r="M250" s="1290" t="s">
        <v>2253</v>
      </c>
      <c r="N250" s="377" t="s">
        <v>2462</v>
      </c>
      <c r="O250" s="378">
        <v>1000</v>
      </c>
      <c r="P250" s="3391"/>
      <c r="Q250" s="379">
        <v>0</v>
      </c>
      <c r="R250" s="379">
        <v>1000</v>
      </c>
      <c r="S250" s="379">
        <v>0</v>
      </c>
      <c r="T250" s="379">
        <v>0</v>
      </c>
      <c r="U250" s="379">
        <v>0</v>
      </c>
      <c r="V250" s="379">
        <v>0</v>
      </c>
      <c r="W250" s="379">
        <v>0</v>
      </c>
      <c r="X250" s="379">
        <v>0</v>
      </c>
      <c r="Y250" s="379">
        <v>0</v>
      </c>
      <c r="Z250" s="379">
        <v>0</v>
      </c>
      <c r="AA250" s="379">
        <v>0</v>
      </c>
      <c r="AB250" s="379">
        <v>0</v>
      </c>
      <c r="AC250" s="1468">
        <f t="shared" si="28"/>
        <v>1000</v>
      </c>
      <c r="AD250" s="34"/>
      <c r="AE250" s="34"/>
      <c r="AF250" s="34"/>
      <c r="AG250" s="34"/>
      <c r="AH250" s="34"/>
    </row>
    <row r="251" spans="1:34" x14ac:dyDescent="0.25">
      <c r="A251" s="179"/>
      <c r="B251" s="4236"/>
      <c r="C251" s="3567"/>
      <c r="D251" s="3567"/>
      <c r="E251" s="3390"/>
      <c r="F251" s="3390"/>
      <c r="G251" s="3390"/>
      <c r="H251" s="3390"/>
      <c r="I251" s="3390"/>
      <c r="J251" s="4237"/>
      <c r="K251" s="4237"/>
      <c r="L251" s="3558"/>
      <c r="M251" s="1290" t="s">
        <v>2254</v>
      </c>
      <c r="N251" s="377" t="s">
        <v>2473</v>
      </c>
      <c r="O251" s="378">
        <v>5275</v>
      </c>
      <c r="P251" s="3391"/>
      <c r="Q251" s="379">
        <v>0</v>
      </c>
      <c r="R251" s="379">
        <v>2500</v>
      </c>
      <c r="S251" s="379">
        <v>0</v>
      </c>
      <c r="T251" s="379">
        <v>0</v>
      </c>
      <c r="U251" s="379">
        <v>0</v>
      </c>
      <c r="V251" s="379">
        <v>0</v>
      </c>
      <c r="W251" s="379">
        <v>0</v>
      </c>
      <c r="X251" s="379">
        <v>2775</v>
      </c>
      <c r="Y251" s="379">
        <v>0</v>
      </c>
      <c r="Z251" s="379">
        <v>0</v>
      </c>
      <c r="AA251" s="379">
        <v>0</v>
      </c>
      <c r="AB251" s="379">
        <v>0</v>
      </c>
      <c r="AC251" s="1468">
        <f t="shared" si="28"/>
        <v>5275</v>
      </c>
      <c r="AD251" s="34"/>
      <c r="AE251" s="34"/>
      <c r="AF251" s="34"/>
      <c r="AG251" s="34"/>
      <c r="AH251" s="34"/>
    </row>
    <row r="252" spans="1:34" ht="22.5" x14ac:dyDescent="0.25">
      <c r="A252" s="179"/>
      <c r="B252" s="4236"/>
      <c r="C252" s="3567"/>
      <c r="D252" s="3567"/>
      <c r="E252" s="3390"/>
      <c r="F252" s="3390"/>
      <c r="G252" s="3390"/>
      <c r="H252" s="3390"/>
      <c r="I252" s="3390"/>
      <c r="J252" s="4237"/>
      <c r="K252" s="4237"/>
      <c r="L252" s="3558"/>
      <c r="M252" s="1290" t="s">
        <v>2256</v>
      </c>
      <c r="N252" s="377" t="s">
        <v>2474</v>
      </c>
      <c r="O252" s="378">
        <v>5000</v>
      </c>
      <c r="P252" s="3391"/>
      <c r="Q252" s="379">
        <v>0</v>
      </c>
      <c r="R252" s="379">
        <v>800</v>
      </c>
      <c r="S252" s="379">
        <v>0</v>
      </c>
      <c r="T252" s="379">
        <v>800</v>
      </c>
      <c r="U252" s="379">
        <v>0</v>
      </c>
      <c r="V252" s="379">
        <v>800</v>
      </c>
      <c r="W252" s="379">
        <v>200</v>
      </c>
      <c r="X252" s="379">
        <v>800</v>
      </c>
      <c r="Y252" s="379">
        <v>0</v>
      </c>
      <c r="Z252" s="379">
        <v>800</v>
      </c>
      <c r="AA252" s="379">
        <v>0</v>
      </c>
      <c r="AB252" s="379">
        <v>800</v>
      </c>
      <c r="AC252" s="1468">
        <f t="shared" si="28"/>
        <v>5000</v>
      </c>
      <c r="AD252" s="34"/>
      <c r="AE252" s="34"/>
      <c r="AF252" s="34"/>
      <c r="AG252" s="34"/>
      <c r="AH252" s="34"/>
    </row>
    <row r="253" spans="1:34" ht="22.5" x14ac:dyDescent="0.25">
      <c r="A253" s="179"/>
      <c r="B253" s="4236"/>
      <c r="C253" s="3567"/>
      <c r="D253" s="3567"/>
      <c r="E253" s="3390"/>
      <c r="F253" s="3390"/>
      <c r="G253" s="3390"/>
      <c r="H253" s="3390"/>
      <c r="I253" s="3390"/>
      <c r="J253" s="4237"/>
      <c r="K253" s="4237"/>
      <c r="L253" s="3558"/>
      <c r="M253" s="1290" t="s">
        <v>2259</v>
      </c>
      <c r="N253" s="377" t="s">
        <v>2463</v>
      </c>
      <c r="O253" s="378">
        <v>1000</v>
      </c>
      <c r="P253" s="3391"/>
      <c r="Q253" s="379">
        <v>0</v>
      </c>
      <c r="R253" s="379">
        <v>0</v>
      </c>
      <c r="S253" s="379">
        <v>1000</v>
      </c>
      <c r="T253" s="379">
        <v>0</v>
      </c>
      <c r="U253" s="379">
        <v>0</v>
      </c>
      <c r="V253" s="379">
        <v>0</v>
      </c>
      <c r="W253" s="379">
        <v>0</v>
      </c>
      <c r="X253" s="379">
        <v>0</v>
      </c>
      <c r="Y253" s="379">
        <v>0</v>
      </c>
      <c r="Z253" s="379">
        <v>0</v>
      </c>
      <c r="AA253" s="379">
        <v>0</v>
      </c>
      <c r="AB253" s="379">
        <v>0</v>
      </c>
      <c r="AC253" s="1468">
        <f t="shared" si="28"/>
        <v>1000</v>
      </c>
      <c r="AD253" s="34"/>
      <c r="AE253" s="34"/>
      <c r="AF253" s="34"/>
      <c r="AG253" s="34"/>
      <c r="AH253" s="34"/>
    </row>
    <row r="254" spans="1:34" x14ac:dyDescent="0.25">
      <c r="A254" s="179"/>
      <c r="B254" s="4236"/>
      <c r="C254" s="3567"/>
      <c r="D254" s="3567"/>
      <c r="E254" s="3390"/>
      <c r="F254" s="3390"/>
      <c r="G254" s="3390"/>
      <c r="H254" s="3390"/>
      <c r="I254" s="3390"/>
      <c r="J254" s="4237"/>
      <c r="K254" s="4237"/>
      <c r="L254" s="3558"/>
      <c r="M254" s="1290" t="s">
        <v>2475</v>
      </c>
      <c r="N254" s="377" t="s">
        <v>2476</v>
      </c>
      <c r="O254" s="378">
        <v>3000</v>
      </c>
      <c r="P254" s="3391"/>
      <c r="Q254" s="379">
        <v>0</v>
      </c>
      <c r="R254" s="379">
        <v>0</v>
      </c>
      <c r="S254" s="379">
        <v>3000</v>
      </c>
      <c r="T254" s="379">
        <v>0</v>
      </c>
      <c r="U254" s="379">
        <v>0</v>
      </c>
      <c r="V254" s="379">
        <v>0</v>
      </c>
      <c r="W254" s="379">
        <v>0</v>
      </c>
      <c r="X254" s="379">
        <v>0</v>
      </c>
      <c r="Y254" s="379">
        <v>0</v>
      </c>
      <c r="Z254" s="379">
        <v>0</v>
      </c>
      <c r="AA254" s="379">
        <v>0</v>
      </c>
      <c r="AB254" s="379">
        <v>0</v>
      </c>
      <c r="AC254" s="1468">
        <f t="shared" si="28"/>
        <v>3000</v>
      </c>
      <c r="AD254" s="34"/>
      <c r="AE254" s="34"/>
      <c r="AF254" s="34"/>
      <c r="AG254" s="34"/>
      <c r="AH254" s="34"/>
    </row>
    <row r="255" spans="1:34" ht="22.5" x14ac:dyDescent="0.25">
      <c r="A255" s="179"/>
      <c r="B255" s="4236"/>
      <c r="C255" s="3567"/>
      <c r="D255" s="3567"/>
      <c r="E255" s="3390"/>
      <c r="F255" s="3390"/>
      <c r="G255" s="3390"/>
      <c r="H255" s="3390"/>
      <c r="I255" s="3390"/>
      <c r="J255" s="4237"/>
      <c r="K255" s="4237"/>
      <c r="L255" s="3558"/>
      <c r="M255" s="1290" t="s">
        <v>2066</v>
      </c>
      <c r="N255" s="377" t="s">
        <v>1196</v>
      </c>
      <c r="O255" s="378">
        <v>2000</v>
      </c>
      <c r="P255" s="3391"/>
      <c r="Q255" s="379">
        <v>0</v>
      </c>
      <c r="R255" s="379">
        <v>300</v>
      </c>
      <c r="S255" s="379">
        <v>0</v>
      </c>
      <c r="T255" s="379">
        <v>300</v>
      </c>
      <c r="U255" s="379">
        <v>100</v>
      </c>
      <c r="V255" s="379">
        <v>300</v>
      </c>
      <c r="W255" s="379">
        <v>0</v>
      </c>
      <c r="X255" s="379">
        <v>300</v>
      </c>
      <c r="Y255" s="379">
        <v>100</v>
      </c>
      <c r="Z255" s="379">
        <v>300</v>
      </c>
      <c r="AA255" s="379">
        <v>0</v>
      </c>
      <c r="AB255" s="379">
        <v>300</v>
      </c>
      <c r="AC255" s="1468">
        <f t="shared" si="28"/>
        <v>2000</v>
      </c>
      <c r="AD255" s="34"/>
      <c r="AE255" s="34"/>
      <c r="AF255" s="34"/>
      <c r="AG255" s="34"/>
      <c r="AH255" s="34"/>
    </row>
    <row r="256" spans="1:34" ht="22.5" x14ac:dyDescent="0.25">
      <c r="A256" s="179"/>
      <c r="B256" s="4236"/>
      <c r="C256" s="3567"/>
      <c r="D256" s="3567"/>
      <c r="E256" s="3390"/>
      <c r="F256" s="3390"/>
      <c r="G256" s="3390"/>
      <c r="H256" s="3390"/>
      <c r="I256" s="3390"/>
      <c r="J256" s="4237"/>
      <c r="K256" s="4237"/>
      <c r="L256" s="3558"/>
      <c r="M256" s="1290" t="s">
        <v>2263</v>
      </c>
      <c r="N256" s="377" t="s">
        <v>2380</v>
      </c>
      <c r="O256" s="378">
        <v>4000</v>
      </c>
      <c r="P256" s="3391"/>
      <c r="Q256" s="379">
        <v>300</v>
      </c>
      <c r="R256" s="379">
        <v>400</v>
      </c>
      <c r="S256" s="379">
        <v>300</v>
      </c>
      <c r="T256" s="379">
        <v>400</v>
      </c>
      <c r="U256" s="379">
        <v>300</v>
      </c>
      <c r="V256" s="379">
        <v>300</v>
      </c>
      <c r="W256" s="379">
        <v>300</v>
      </c>
      <c r="X256" s="379">
        <v>400</v>
      </c>
      <c r="Y256" s="379">
        <v>300</v>
      </c>
      <c r="Z256" s="379">
        <v>300</v>
      </c>
      <c r="AA256" s="379">
        <v>300</v>
      </c>
      <c r="AB256" s="379">
        <v>400</v>
      </c>
      <c r="AC256" s="1468">
        <f t="shared" si="28"/>
        <v>4000</v>
      </c>
      <c r="AD256" s="34"/>
      <c r="AE256" s="34"/>
      <c r="AF256" s="34"/>
      <c r="AG256" s="34"/>
      <c r="AH256" s="34"/>
    </row>
    <row r="257" spans="1:34" ht="33.75" x14ac:dyDescent="0.25">
      <c r="A257" s="179"/>
      <c r="B257" s="4236"/>
      <c r="C257" s="3567"/>
      <c r="D257" s="3567"/>
      <c r="E257" s="3390"/>
      <c r="F257" s="3390"/>
      <c r="G257" s="3390"/>
      <c r="H257" s="3390"/>
      <c r="I257" s="3390"/>
      <c r="J257" s="4237"/>
      <c r="K257" s="4237"/>
      <c r="L257" s="3558"/>
      <c r="M257" s="1290" t="s">
        <v>2265</v>
      </c>
      <c r="N257" s="377" t="s">
        <v>201</v>
      </c>
      <c r="O257" s="378">
        <v>500</v>
      </c>
      <c r="P257" s="3391"/>
      <c r="Q257" s="379">
        <v>0</v>
      </c>
      <c r="R257" s="379">
        <v>500</v>
      </c>
      <c r="S257" s="379">
        <v>0</v>
      </c>
      <c r="T257" s="379">
        <v>0</v>
      </c>
      <c r="U257" s="379">
        <v>0</v>
      </c>
      <c r="V257" s="379">
        <v>0</v>
      </c>
      <c r="W257" s="379">
        <v>0</v>
      </c>
      <c r="X257" s="379">
        <v>0</v>
      </c>
      <c r="Y257" s="379">
        <v>0</v>
      </c>
      <c r="Z257" s="379">
        <v>0</v>
      </c>
      <c r="AA257" s="379">
        <v>0</v>
      </c>
      <c r="AB257" s="379">
        <v>0</v>
      </c>
      <c r="AC257" s="1468">
        <f t="shared" si="28"/>
        <v>500</v>
      </c>
      <c r="AD257" s="34"/>
      <c r="AE257" s="34"/>
      <c r="AF257" s="34"/>
      <c r="AG257" s="34"/>
      <c r="AH257" s="34"/>
    </row>
    <row r="258" spans="1:34" ht="22.5" x14ac:dyDescent="0.25">
      <c r="A258" s="179"/>
      <c r="B258" s="4236"/>
      <c r="C258" s="3567"/>
      <c r="D258" s="3567"/>
      <c r="E258" s="3390"/>
      <c r="F258" s="3390"/>
      <c r="G258" s="3390"/>
      <c r="H258" s="3390"/>
      <c r="I258" s="3390"/>
      <c r="J258" s="4237"/>
      <c r="K258" s="4237"/>
      <c r="L258" s="3558"/>
      <c r="M258" s="1290" t="s">
        <v>2269</v>
      </c>
      <c r="N258" s="377" t="s">
        <v>2477</v>
      </c>
      <c r="O258" s="378">
        <v>5000</v>
      </c>
      <c r="P258" s="3391"/>
      <c r="Q258" s="379">
        <v>0</v>
      </c>
      <c r="R258" s="379">
        <v>800</v>
      </c>
      <c r="S258" s="379">
        <v>0</v>
      </c>
      <c r="T258" s="379">
        <v>800</v>
      </c>
      <c r="U258" s="379">
        <v>0</v>
      </c>
      <c r="V258" s="379">
        <v>800</v>
      </c>
      <c r="W258" s="379">
        <v>0</v>
      </c>
      <c r="X258" s="379">
        <v>800</v>
      </c>
      <c r="Y258" s="379">
        <v>0</v>
      </c>
      <c r="Z258" s="379">
        <v>800</v>
      </c>
      <c r="AA258" s="379">
        <v>200</v>
      </c>
      <c r="AB258" s="379">
        <v>800</v>
      </c>
      <c r="AC258" s="1468">
        <f t="shared" si="28"/>
        <v>5000</v>
      </c>
      <c r="AD258" s="34"/>
      <c r="AE258" s="34"/>
      <c r="AF258" s="34"/>
      <c r="AG258" s="34"/>
      <c r="AH258" s="34"/>
    </row>
    <row r="259" spans="1:34" ht="22.5" x14ac:dyDescent="0.25">
      <c r="A259" s="179"/>
      <c r="B259" s="4236"/>
      <c r="C259" s="3567"/>
      <c r="D259" s="3567"/>
      <c r="E259" s="3390"/>
      <c r="F259" s="3390"/>
      <c r="G259" s="3390"/>
      <c r="H259" s="3390"/>
      <c r="I259" s="3390"/>
      <c r="J259" s="4237"/>
      <c r="K259" s="4237"/>
      <c r="L259" s="3558"/>
      <c r="M259" s="1290" t="s">
        <v>2271</v>
      </c>
      <c r="N259" s="377" t="s">
        <v>2478</v>
      </c>
      <c r="O259" s="378">
        <v>2650</v>
      </c>
      <c r="P259" s="3391"/>
      <c r="Q259" s="379">
        <v>0</v>
      </c>
      <c r="R259" s="379">
        <v>0</v>
      </c>
      <c r="S259" s="379">
        <v>1350</v>
      </c>
      <c r="T259" s="379">
        <v>0</v>
      </c>
      <c r="U259" s="379">
        <v>0</v>
      </c>
      <c r="V259" s="379">
        <v>0</v>
      </c>
      <c r="W259" s="379">
        <v>1000</v>
      </c>
      <c r="X259" s="379">
        <v>0</v>
      </c>
      <c r="Y259" s="379">
        <v>0</v>
      </c>
      <c r="Z259" s="379">
        <v>0</v>
      </c>
      <c r="AA259" s="379">
        <v>300</v>
      </c>
      <c r="AB259" s="379">
        <v>0</v>
      </c>
      <c r="AC259" s="1468">
        <f t="shared" si="28"/>
        <v>2650</v>
      </c>
      <c r="AD259" s="34"/>
      <c r="AE259" s="34"/>
      <c r="AF259" s="34"/>
      <c r="AG259" s="34"/>
      <c r="AH259" s="34"/>
    </row>
    <row r="260" spans="1:34" x14ac:dyDescent="0.25">
      <c r="A260" s="179"/>
      <c r="B260" s="4236"/>
      <c r="C260" s="3567"/>
      <c r="D260" s="3567"/>
      <c r="E260" s="3390"/>
      <c r="F260" s="3390"/>
      <c r="G260" s="3390"/>
      <c r="H260" s="3390"/>
      <c r="I260" s="3390"/>
      <c r="J260" s="4237"/>
      <c r="K260" s="4237"/>
      <c r="L260" s="3558"/>
      <c r="M260" s="1290" t="s">
        <v>2308</v>
      </c>
      <c r="N260" s="377" t="s">
        <v>2479</v>
      </c>
      <c r="O260" s="378">
        <v>14000</v>
      </c>
      <c r="P260" s="3391"/>
      <c r="Q260" s="379">
        <v>0</v>
      </c>
      <c r="R260" s="379">
        <v>7000</v>
      </c>
      <c r="S260" s="379">
        <v>0</v>
      </c>
      <c r="T260" s="379">
        <v>0</v>
      </c>
      <c r="U260" s="379">
        <v>0</v>
      </c>
      <c r="V260" s="379">
        <v>0</v>
      </c>
      <c r="W260" s="379">
        <v>7000</v>
      </c>
      <c r="X260" s="379">
        <v>0</v>
      </c>
      <c r="Y260" s="379">
        <v>0</v>
      </c>
      <c r="Z260" s="379">
        <v>0</v>
      </c>
      <c r="AA260" s="379">
        <v>0</v>
      </c>
      <c r="AB260" s="379">
        <v>0</v>
      </c>
      <c r="AC260" s="1468">
        <f t="shared" si="28"/>
        <v>14000</v>
      </c>
      <c r="AD260" s="34"/>
      <c r="AE260" s="34"/>
      <c r="AF260" s="34"/>
      <c r="AG260" s="34"/>
      <c r="AH260" s="34"/>
    </row>
    <row r="261" spans="1:34" ht="22.5" x14ac:dyDescent="0.25">
      <c r="A261" s="179"/>
      <c r="B261" s="4236"/>
      <c r="C261" s="3567"/>
      <c r="D261" s="3567"/>
      <c r="E261" s="3390"/>
      <c r="F261" s="3390"/>
      <c r="G261" s="3390"/>
      <c r="H261" s="3390"/>
      <c r="I261" s="3390"/>
      <c r="J261" s="4237"/>
      <c r="K261" s="4237"/>
      <c r="L261" s="3558"/>
      <c r="M261" s="1290" t="s">
        <v>2480</v>
      </c>
      <c r="N261" s="1290" t="s">
        <v>2481</v>
      </c>
      <c r="O261" s="378">
        <v>1700</v>
      </c>
      <c r="P261" s="3391"/>
      <c r="Q261" s="379">
        <v>0</v>
      </c>
      <c r="R261" s="379">
        <v>850</v>
      </c>
      <c r="S261" s="379">
        <v>0</v>
      </c>
      <c r="T261" s="379">
        <v>0</v>
      </c>
      <c r="U261" s="379">
        <v>0</v>
      </c>
      <c r="V261" s="379">
        <v>0</v>
      </c>
      <c r="W261" s="379">
        <v>850</v>
      </c>
      <c r="X261" s="379">
        <v>0</v>
      </c>
      <c r="Y261" s="379">
        <v>0</v>
      </c>
      <c r="Z261" s="379">
        <v>0</v>
      </c>
      <c r="AA261" s="379">
        <v>0</v>
      </c>
      <c r="AB261" s="379">
        <v>0</v>
      </c>
      <c r="AC261" s="1468">
        <f t="shared" si="28"/>
        <v>1700</v>
      </c>
      <c r="AD261" s="34"/>
      <c r="AE261" s="34"/>
      <c r="AF261" s="34"/>
      <c r="AG261" s="34"/>
      <c r="AH261" s="34"/>
    </row>
    <row r="262" spans="1:34" ht="22.5" x14ac:dyDescent="0.25">
      <c r="A262" s="179"/>
      <c r="B262" s="4236"/>
      <c r="C262" s="3567"/>
      <c r="D262" s="3567"/>
      <c r="E262" s="3390"/>
      <c r="F262" s="3390"/>
      <c r="G262" s="3390"/>
      <c r="H262" s="3390"/>
      <c r="I262" s="3390"/>
      <c r="J262" s="4237"/>
      <c r="K262" s="4237"/>
      <c r="L262" s="3558"/>
      <c r="M262" s="1290" t="s">
        <v>2482</v>
      </c>
      <c r="N262" s="1290" t="s">
        <v>2483</v>
      </c>
      <c r="O262" s="378">
        <v>6500</v>
      </c>
      <c r="P262" s="3391"/>
      <c r="Q262" s="379">
        <v>0</v>
      </c>
      <c r="R262" s="379">
        <v>1500</v>
      </c>
      <c r="S262" s="379">
        <v>0</v>
      </c>
      <c r="T262" s="379">
        <v>1500</v>
      </c>
      <c r="U262" s="379">
        <v>0</v>
      </c>
      <c r="V262" s="379">
        <v>0</v>
      </c>
      <c r="W262" s="379">
        <v>0</v>
      </c>
      <c r="X262" s="379">
        <v>0</v>
      </c>
      <c r="Y262" s="379">
        <v>1500</v>
      </c>
      <c r="Z262" s="379">
        <v>1000</v>
      </c>
      <c r="AA262" s="379">
        <v>1000</v>
      </c>
      <c r="AB262" s="379">
        <v>0</v>
      </c>
      <c r="AC262" s="1468">
        <f t="shared" si="28"/>
        <v>6500</v>
      </c>
      <c r="AD262" s="34"/>
      <c r="AE262" s="34"/>
      <c r="AF262" s="34"/>
      <c r="AG262" s="34"/>
      <c r="AH262" s="34"/>
    </row>
    <row r="263" spans="1:34" ht="22.5" x14ac:dyDescent="0.25">
      <c r="A263" s="179"/>
      <c r="B263" s="4236"/>
      <c r="C263" s="3567"/>
      <c r="D263" s="3567"/>
      <c r="E263" s="3390"/>
      <c r="F263" s="3390"/>
      <c r="G263" s="3390"/>
      <c r="H263" s="3390"/>
      <c r="I263" s="3390"/>
      <c r="J263" s="4237"/>
      <c r="K263" s="4237"/>
      <c r="L263" s="3558"/>
      <c r="M263" s="1290" t="s">
        <v>2176</v>
      </c>
      <c r="N263" s="384" t="s">
        <v>1360</v>
      </c>
      <c r="O263" s="378">
        <v>73800</v>
      </c>
      <c r="P263" s="3391"/>
      <c r="Q263" s="379">
        <v>6150</v>
      </c>
      <c r="R263" s="379">
        <v>6150</v>
      </c>
      <c r="S263" s="379">
        <v>6150</v>
      </c>
      <c r="T263" s="379">
        <v>6150</v>
      </c>
      <c r="U263" s="379">
        <v>6150</v>
      </c>
      <c r="V263" s="379">
        <v>6150</v>
      </c>
      <c r="W263" s="379">
        <v>6150</v>
      </c>
      <c r="X263" s="379">
        <v>6150</v>
      </c>
      <c r="Y263" s="379">
        <v>6150</v>
      </c>
      <c r="Z263" s="379">
        <v>6150</v>
      </c>
      <c r="AA263" s="379">
        <v>6150</v>
      </c>
      <c r="AB263" s="379">
        <v>6150</v>
      </c>
      <c r="AC263" s="1468">
        <f t="shared" si="28"/>
        <v>73800</v>
      </c>
      <c r="AD263" s="34"/>
      <c r="AE263" s="34"/>
      <c r="AF263" s="34"/>
      <c r="AG263" s="34"/>
      <c r="AH263" s="34"/>
    </row>
    <row r="264" spans="1:34" ht="22.5" x14ac:dyDescent="0.25">
      <c r="A264" s="179"/>
      <c r="B264" s="4236"/>
      <c r="C264" s="3567"/>
      <c r="D264" s="3567"/>
      <c r="E264" s="3390"/>
      <c r="F264" s="3390"/>
      <c r="G264" s="3390"/>
      <c r="H264" s="3390"/>
      <c r="I264" s="3390"/>
      <c r="J264" s="4237"/>
      <c r="K264" s="4237"/>
      <c r="L264" s="3558"/>
      <c r="M264" s="1290" t="s">
        <v>2177</v>
      </c>
      <c r="N264" s="1309" t="s">
        <v>2484</v>
      </c>
      <c r="O264" s="381">
        <v>3743</v>
      </c>
      <c r="P264" s="3375"/>
      <c r="Q264" s="383">
        <v>311.91000000000003</v>
      </c>
      <c r="R264" s="383">
        <v>311.91000000000003</v>
      </c>
      <c r="S264" s="383">
        <v>311.91000000000003</v>
      </c>
      <c r="T264" s="383">
        <v>311.91000000000003</v>
      </c>
      <c r="U264" s="383">
        <v>311.91000000000003</v>
      </c>
      <c r="V264" s="383">
        <v>311.91000000000003</v>
      </c>
      <c r="W264" s="383">
        <v>311.91000000000003</v>
      </c>
      <c r="X264" s="383">
        <v>311.91000000000003</v>
      </c>
      <c r="Y264" s="383">
        <v>311.91000000000003</v>
      </c>
      <c r="Z264" s="383">
        <v>311.91000000000003</v>
      </c>
      <c r="AA264" s="383">
        <v>312</v>
      </c>
      <c r="AB264" s="383">
        <v>311.89999999999998</v>
      </c>
      <c r="AC264" s="1468">
        <f t="shared" si="28"/>
        <v>3743</v>
      </c>
      <c r="AD264" s="34"/>
      <c r="AE264" s="34"/>
      <c r="AF264" s="34"/>
      <c r="AG264" s="34"/>
      <c r="AH264" s="34"/>
    </row>
    <row r="265" spans="1:34" x14ac:dyDescent="0.25">
      <c r="A265" s="179"/>
      <c r="B265" s="4236">
        <v>5005612</v>
      </c>
      <c r="C265" s="3567" t="s">
        <v>2485</v>
      </c>
      <c r="D265" s="3567" t="s">
        <v>2485</v>
      </c>
      <c r="E265" s="3671" t="s">
        <v>2449</v>
      </c>
      <c r="F265" s="3671" t="s">
        <v>2450</v>
      </c>
      <c r="G265" s="3671" t="s">
        <v>2451</v>
      </c>
      <c r="H265" s="3390" t="s">
        <v>2486</v>
      </c>
      <c r="I265" s="3390" t="s">
        <v>2453</v>
      </c>
      <c r="J265" s="4237">
        <v>12</v>
      </c>
      <c r="K265" s="4237">
        <v>281972</v>
      </c>
      <c r="L265" s="3558" t="s">
        <v>2454</v>
      </c>
      <c r="M265" s="4061" t="s">
        <v>111</v>
      </c>
      <c r="N265" s="4062"/>
      <c r="O265" s="4259"/>
      <c r="P265" s="1300" t="s">
        <v>51</v>
      </c>
      <c r="Q265" s="1346">
        <v>1</v>
      </c>
      <c r="R265" s="1346">
        <v>1</v>
      </c>
      <c r="S265" s="1346">
        <v>1</v>
      </c>
      <c r="T265" s="1346">
        <v>1</v>
      </c>
      <c r="U265" s="1346">
        <v>1</v>
      </c>
      <c r="V265" s="1346">
        <v>1</v>
      </c>
      <c r="W265" s="1346">
        <v>1</v>
      </c>
      <c r="X265" s="1346">
        <v>1</v>
      </c>
      <c r="Y265" s="1346">
        <v>1</v>
      </c>
      <c r="Z265" s="1346">
        <v>1</v>
      </c>
      <c r="AA265" s="1346">
        <v>1</v>
      </c>
      <c r="AB265" s="1346">
        <v>1</v>
      </c>
      <c r="AC265" s="1468">
        <f t="shared" ref="AC265:AC281" si="29">SUM(Q265:AB265)</f>
        <v>12</v>
      </c>
      <c r="AD265" s="34"/>
      <c r="AE265" s="34"/>
      <c r="AF265" s="34"/>
      <c r="AG265" s="34"/>
      <c r="AH265" s="34"/>
    </row>
    <row r="266" spans="1:34" ht="22.5" x14ac:dyDescent="0.25">
      <c r="A266" s="179"/>
      <c r="B266" s="4236"/>
      <c r="C266" s="3567"/>
      <c r="D266" s="3567"/>
      <c r="E266" s="3390"/>
      <c r="F266" s="3390"/>
      <c r="G266" s="3390"/>
      <c r="H266" s="3390"/>
      <c r="I266" s="3390"/>
      <c r="J266" s="4237"/>
      <c r="K266" s="4237"/>
      <c r="L266" s="3558"/>
      <c r="M266" s="1290" t="s">
        <v>2282</v>
      </c>
      <c r="N266" s="377" t="s">
        <v>1971</v>
      </c>
      <c r="O266" s="381">
        <v>2190</v>
      </c>
      <c r="P266" s="3383" t="s">
        <v>1340</v>
      </c>
      <c r="Q266" s="379">
        <v>0</v>
      </c>
      <c r="R266" s="379">
        <v>400</v>
      </c>
      <c r="S266" s="379">
        <v>0</v>
      </c>
      <c r="T266" s="379">
        <v>400</v>
      </c>
      <c r="U266" s="379">
        <v>0</v>
      </c>
      <c r="V266" s="379">
        <v>400</v>
      </c>
      <c r="W266" s="379">
        <v>0</v>
      </c>
      <c r="X266" s="379">
        <v>400</v>
      </c>
      <c r="Y266" s="379">
        <v>0</v>
      </c>
      <c r="Z266" s="379">
        <v>400</v>
      </c>
      <c r="AA266" s="379">
        <v>190</v>
      </c>
      <c r="AB266" s="379">
        <v>0</v>
      </c>
      <c r="AC266" s="1468">
        <f t="shared" si="29"/>
        <v>2190</v>
      </c>
      <c r="AD266" s="34"/>
      <c r="AE266" s="34"/>
      <c r="AF266" s="34"/>
      <c r="AG266" s="34"/>
      <c r="AH266" s="34"/>
    </row>
    <row r="267" spans="1:34" ht="22.5" x14ac:dyDescent="0.25">
      <c r="A267" s="179"/>
      <c r="B267" s="4236"/>
      <c r="C267" s="3567"/>
      <c r="D267" s="3567"/>
      <c r="E267" s="3390"/>
      <c r="F267" s="3390"/>
      <c r="G267" s="3390"/>
      <c r="H267" s="3390"/>
      <c r="I267" s="3390"/>
      <c r="J267" s="4237"/>
      <c r="K267" s="4237"/>
      <c r="L267" s="3558"/>
      <c r="M267" s="1290" t="s">
        <v>2284</v>
      </c>
      <c r="N267" s="377" t="s">
        <v>2457</v>
      </c>
      <c r="O267" s="381">
        <v>1400</v>
      </c>
      <c r="P267" s="3391"/>
      <c r="Q267" s="379">
        <v>0</v>
      </c>
      <c r="R267" s="379">
        <v>0</v>
      </c>
      <c r="S267" s="379">
        <v>1400</v>
      </c>
      <c r="T267" s="379">
        <v>0</v>
      </c>
      <c r="U267" s="379">
        <v>0</v>
      </c>
      <c r="V267" s="379">
        <v>0</v>
      </c>
      <c r="W267" s="379">
        <v>0</v>
      </c>
      <c r="X267" s="379">
        <v>0</v>
      </c>
      <c r="Y267" s="379">
        <v>0</v>
      </c>
      <c r="Z267" s="379">
        <v>0</v>
      </c>
      <c r="AA267" s="379">
        <v>0</v>
      </c>
      <c r="AB267" s="379">
        <v>0</v>
      </c>
      <c r="AC267" s="1468">
        <f t="shared" si="29"/>
        <v>1400</v>
      </c>
      <c r="AD267" s="34"/>
      <c r="AE267" s="34"/>
      <c r="AF267" s="34"/>
      <c r="AG267" s="34"/>
      <c r="AH267" s="34"/>
    </row>
    <row r="268" spans="1:34" x14ac:dyDescent="0.25">
      <c r="A268" s="179"/>
      <c r="B268" s="4236"/>
      <c r="C268" s="3567"/>
      <c r="D268" s="3567"/>
      <c r="E268" s="3390"/>
      <c r="F268" s="3390"/>
      <c r="G268" s="3390"/>
      <c r="H268" s="3390"/>
      <c r="I268" s="3390"/>
      <c r="J268" s="4237"/>
      <c r="K268" s="4237"/>
      <c r="L268" s="3558"/>
      <c r="M268" s="1290" t="s">
        <v>2287</v>
      </c>
      <c r="N268" s="377" t="s">
        <v>1463</v>
      </c>
      <c r="O268" s="381">
        <v>7200</v>
      </c>
      <c r="P268" s="3391"/>
      <c r="Q268" s="379">
        <v>0</v>
      </c>
      <c r="R268" s="379">
        <v>0</v>
      </c>
      <c r="S268" s="379">
        <v>7200</v>
      </c>
      <c r="T268" s="379">
        <v>0</v>
      </c>
      <c r="U268" s="379">
        <v>0</v>
      </c>
      <c r="V268" s="379">
        <v>0</v>
      </c>
      <c r="W268" s="379">
        <v>0</v>
      </c>
      <c r="X268" s="379">
        <v>0</v>
      </c>
      <c r="Y268" s="379">
        <v>0</v>
      </c>
      <c r="Z268" s="379">
        <v>0</v>
      </c>
      <c r="AA268" s="379">
        <v>0</v>
      </c>
      <c r="AB268" s="379">
        <v>0</v>
      </c>
      <c r="AC268" s="1468">
        <f t="shared" si="29"/>
        <v>7200</v>
      </c>
      <c r="AD268" s="34"/>
      <c r="AE268" s="34"/>
      <c r="AF268" s="34"/>
      <c r="AG268" s="34"/>
      <c r="AH268" s="34"/>
    </row>
    <row r="269" spans="1:34" ht="22.5" x14ac:dyDescent="0.25">
      <c r="A269" s="179"/>
      <c r="B269" s="4236"/>
      <c r="C269" s="3567"/>
      <c r="D269" s="3567"/>
      <c r="E269" s="3390"/>
      <c r="F269" s="3390"/>
      <c r="G269" s="3390"/>
      <c r="H269" s="3390"/>
      <c r="I269" s="3390"/>
      <c r="J269" s="4237"/>
      <c r="K269" s="4237"/>
      <c r="L269" s="3558"/>
      <c r="M269" s="1290" t="s">
        <v>2289</v>
      </c>
      <c r="N269" s="377" t="s">
        <v>2487</v>
      </c>
      <c r="O269" s="381">
        <v>10000</v>
      </c>
      <c r="P269" s="3391"/>
      <c r="Q269" s="379">
        <v>0</v>
      </c>
      <c r="R269" s="379">
        <v>0</v>
      </c>
      <c r="S269" s="379">
        <v>10000</v>
      </c>
      <c r="T269" s="379">
        <v>0</v>
      </c>
      <c r="U269" s="379">
        <v>0</v>
      </c>
      <c r="V269" s="379">
        <v>0</v>
      </c>
      <c r="W269" s="379">
        <v>0</v>
      </c>
      <c r="X269" s="379">
        <v>0</v>
      </c>
      <c r="Y269" s="379">
        <v>0</v>
      </c>
      <c r="Z269" s="379">
        <v>0</v>
      </c>
      <c r="AA269" s="379">
        <v>0</v>
      </c>
      <c r="AB269" s="379">
        <v>0</v>
      </c>
      <c r="AC269" s="1468">
        <f t="shared" si="29"/>
        <v>10000</v>
      </c>
      <c r="AD269" s="34"/>
      <c r="AE269" s="34"/>
      <c r="AF269" s="34"/>
      <c r="AG269" s="34"/>
      <c r="AH269" s="34"/>
    </row>
    <row r="270" spans="1:34" ht="22.5" x14ac:dyDescent="0.25">
      <c r="A270" s="179"/>
      <c r="B270" s="4236"/>
      <c r="C270" s="3567"/>
      <c r="D270" s="3567"/>
      <c r="E270" s="3390"/>
      <c r="F270" s="3390"/>
      <c r="G270" s="3390"/>
      <c r="H270" s="3390"/>
      <c r="I270" s="3390"/>
      <c r="J270" s="4237"/>
      <c r="K270" s="4237"/>
      <c r="L270" s="3558"/>
      <c r="M270" s="1290" t="s">
        <v>2253</v>
      </c>
      <c r="N270" s="377" t="s">
        <v>2462</v>
      </c>
      <c r="O270" s="381">
        <v>10000</v>
      </c>
      <c r="P270" s="3391"/>
      <c r="Q270" s="379">
        <v>0</v>
      </c>
      <c r="R270" s="379">
        <v>0</v>
      </c>
      <c r="S270" s="379">
        <v>10000</v>
      </c>
      <c r="T270" s="379">
        <v>0</v>
      </c>
      <c r="U270" s="379">
        <v>0</v>
      </c>
      <c r="V270" s="379">
        <v>0</v>
      </c>
      <c r="W270" s="379">
        <v>0</v>
      </c>
      <c r="X270" s="379">
        <v>0</v>
      </c>
      <c r="Y270" s="379">
        <v>0</v>
      </c>
      <c r="Z270" s="379">
        <v>0</v>
      </c>
      <c r="AA270" s="379">
        <v>0</v>
      </c>
      <c r="AB270" s="379">
        <v>0</v>
      </c>
      <c r="AC270" s="1468">
        <f t="shared" si="29"/>
        <v>10000</v>
      </c>
      <c r="AD270" s="34"/>
      <c r="AE270" s="34"/>
      <c r="AF270" s="34"/>
      <c r="AG270" s="34"/>
      <c r="AH270" s="34"/>
    </row>
    <row r="271" spans="1:34" x14ac:dyDescent="0.25">
      <c r="A271" s="179"/>
      <c r="B271" s="4236"/>
      <c r="C271" s="3567"/>
      <c r="D271" s="3567"/>
      <c r="E271" s="3390"/>
      <c r="F271" s="3390"/>
      <c r="G271" s="3390"/>
      <c r="H271" s="3390"/>
      <c r="I271" s="3390"/>
      <c r="J271" s="4237"/>
      <c r="K271" s="4237"/>
      <c r="L271" s="3558"/>
      <c r="M271" s="1290" t="s">
        <v>2254</v>
      </c>
      <c r="N271" s="377" t="s">
        <v>2473</v>
      </c>
      <c r="O271" s="381">
        <v>615</v>
      </c>
      <c r="P271" s="3391"/>
      <c r="Q271" s="379">
        <v>0</v>
      </c>
      <c r="R271" s="379">
        <v>0</v>
      </c>
      <c r="S271" s="379">
        <v>615</v>
      </c>
      <c r="T271" s="379">
        <v>0</v>
      </c>
      <c r="U271" s="379">
        <v>0</v>
      </c>
      <c r="V271" s="379">
        <v>0</v>
      </c>
      <c r="W271" s="379">
        <v>0</v>
      </c>
      <c r="X271" s="379">
        <v>0</v>
      </c>
      <c r="Y271" s="379">
        <v>0</v>
      </c>
      <c r="Z271" s="379">
        <v>0</v>
      </c>
      <c r="AA271" s="379">
        <v>0</v>
      </c>
      <c r="AB271" s="379">
        <v>0</v>
      </c>
      <c r="AC271" s="1468">
        <f t="shared" si="29"/>
        <v>615</v>
      </c>
      <c r="AD271" s="34"/>
      <c r="AE271" s="34"/>
      <c r="AF271" s="34"/>
      <c r="AG271" s="34"/>
      <c r="AH271" s="34"/>
    </row>
    <row r="272" spans="1:34" ht="22.5" x14ac:dyDescent="0.25">
      <c r="A272" s="179"/>
      <c r="B272" s="4236"/>
      <c r="C272" s="3567"/>
      <c r="D272" s="3567"/>
      <c r="E272" s="3390"/>
      <c r="F272" s="3390"/>
      <c r="G272" s="3390"/>
      <c r="H272" s="3390"/>
      <c r="I272" s="3390"/>
      <c r="J272" s="4237"/>
      <c r="K272" s="4237"/>
      <c r="L272" s="3558"/>
      <c r="M272" s="1290" t="s">
        <v>2290</v>
      </c>
      <c r="N272" s="377" t="s">
        <v>2488</v>
      </c>
      <c r="O272" s="381">
        <v>270</v>
      </c>
      <c r="P272" s="3391"/>
      <c r="Q272" s="379">
        <v>0</v>
      </c>
      <c r="R272" s="379">
        <v>0</v>
      </c>
      <c r="S272" s="379">
        <v>270</v>
      </c>
      <c r="T272" s="379">
        <v>0</v>
      </c>
      <c r="U272" s="379">
        <v>0</v>
      </c>
      <c r="V272" s="379">
        <v>0</v>
      </c>
      <c r="W272" s="379">
        <v>0</v>
      </c>
      <c r="X272" s="379">
        <v>0</v>
      </c>
      <c r="Y272" s="379">
        <v>0</v>
      </c>
      <c r="Z272" s="379">
        <v>0</v>
      </c>
      <c r="AA272" s="379">
        <v>0</v>
      </c>
      <c r="AB272" s="379">
        <v>0</v>
      </c>
      <c r="AC272" s="1468">
        <f t="shared" si="29"/>
        <v>270</v>
      </c>
      <c r="AD272" s="34"/>
      <c r="AE272" s="34"/>
      <c r="AF272" s="34"/>
      <c r="AG272" s="34"/>
      <c r="AH272" s="34"/>
    </row>
    <row r="273" spans="1:34" x14ac:dyDescent="0.25">
      <c r="A273" s="179"/>
      <c r="B273" s="4236"/>
      <c r="C273" s="3567"/>
      <c r="D273" s="3567"/>
      <c r="E273" s="3390"/>
      <c r="F273" s="3390"/>
      <c r="G273" s="3390"/>
      <c r="H273" s="3390"/>
      <c r="I273" s="3390"/>
      <c r="J273" s="4237"/>
      <c r="K273" s="4237"/>
      <c r="L273" s="3558"/>
      <c r="M273" s="1290" t="s">
        <v>2256</v>
      </c>
      <c r="N273" s="377" t="s">
        <v>2489</v>
      </c>
      <c r="O273" s="381">
        <v>5000</v>
      </c>
      <c r="P273" s="3391"/>
      <c r="Q273" s="379">
        <v>0</v>
      </c>
      <c r="R273" s="379">
        <v>800</v>
      </c>
      <c r="S273" s="379">
        <v>0</v>
      </c>
      <c r="T273" s="379">
        <v>800</v>
      </c>
      <c r="U273" s="379">
        <v>0</v>
      </c>
      <c r="V273" s="379">
        <v>800</v>
      </c>
      <c r="W273" s="379">
        <v>0</v>
      </c>
      <c r="X273" s="379">
        <v>800</v>
      </c>
      <c r="Y273" s="379">
        <v>0</v>
      </c>
      <c r="Z273" s="379">
        <v>800</v>
      </c>
      <c r="AA273" s="379">
        <v>200</v>
      </c>
      <c r="AB273" s="379">
        <v>800</v>
      </c>
      <c r="AC273" s="1468">
        <f t="shared" si="29"/>
        <v>5000</v>
      </c>
      <c r="AD273" s="34"/>
      <c r="AE273" s="34"/>
      <c r="AF273" s="34"/>
      <c r="AG273" s="34"/>
      <c r="AH273" s="34"/>
    </row>
    <row r="274" spans="1:34" ht="22.5" x14ac:dyDescent="0.25">
      <c r="A274" s="179"/>
      <c r="B274" s="4236"/>
      <c r="C274" s="3567"/>
      <c r="D274" s="3567"/>
      <c r="E274" s="3390"/>
      <c r="F274" s="3390"/>
      <c r="G274" s="3390"/>
      <c r="H274" s="3390"/>
      <c r="I274" s="3390"/>
      <c r="J274" s="4237"/>
      <c r="K274" s="4237"/>
      <c r="L274" s="3558"/>
      <c r="M274" s="1290" t="s">
        <v>2263</v>
      </c>
      <c r="N274" s="377" t="s">
        <v>2380</v>
      </c>
      <c r="O274" s="381">
        <v>10080</v>
      </c>
      <c r="P274" s="3391"/>
      <c r="Q274" s="379">
        <v>800</v>
      </c>
      <c r="R274" s="379">
        <v>800</v>
      </c>
      <c r="S274" s="379">
        <v>800</v>
      </c>
      <c r="T274" s="379">
        <v>1000</v>
      </c>
      <c r="U274" s="379">
        <v>800</v>
      </c>
      <c r="V274" s="379">
        <v>1000</v>
      </c>
      <c r="W274" s="379">
        <v>800</v>
      </c>
      <c r="X274" s="379">
        <v>880</v>
      </c>
      <c r="Y274" s="379">
        <v>800</v>
      </c>
      <c r="Z274" s="379">
        <v>800</v>
      </c>
      <c r="AA274" s="379">
        <v>800</v>
      </c>
      <c r="AB274" s="379">
        <v>800</v>
      </c>
      <c r="AC274" s="1468">
        <f t="shared" si="29"/>
        <v>10080</v>
      </c>
      <c r="AD274" s="34"/>
      <c r="AE274" s="34"/>
      <c r="AF274" s="34"/>
      <c r="AG274" s="34"/>
      <c r="AH274" s="34"/>
    </row>
    <row r="275" spans="1:34" x14ac:dyDescent="0.25">
      <c r="A275" s="179"/>
      <c r="B275" s="4236"/>
      <c r="C275" s="3567"/>
      <c r="D275" s="3567"/>
      <c r="E275" s="3390"/>
      <c r="F275" s="3390"/>
      <c r="G275" s="3390"/>
      <c r="H275" s="3390"/>
      <c r="I275" s="3390"/>
      <c r="J275" s="4237"/>
      <c r="K275" s="4237"/>
      <c r="L275" s="3558"/>
      <c r="M275" s="1290" t="s">
        <v>2300</v>
      </c>
      <c r="N275" s="377" t="s">
        <v>2490</v>
      </c>
      <c r="O275" s="381">
        <v>840</v>
      </c>
      <c r="P275" s="3391"/>
      <c r="Q275" s="379">
        <v>70</v>
      </c>
      <c r="R275" s="379">
        <v>70</v>
      </c>
      <c r="S275" s="379">
        <v>70</v>
      </c>
      <c r="T275" s="379">
        <v>70</v>
      </c>
      <c r="U275" s="379">
        <v>70</v>
      </c>
      <c r="V275" s="379">
        <v>70</v>
      </c>
      <c r="W275" s="379">
        <v>70</v>
      </c>
      <c r="X275" s="379">
        <v>70</v>
      </c>
      <c r="Y275" s="379">
        <v>70</v>
      </c>
      <c r="Z275" s="379">
        <v>70</v>
      </c>
      <c r="AA275" s="379">
        <v>70</v>
      </c>
      <c r="AB275" s="379">
        <v>70</v>
      </c>
      <c r="AC275" s="1468">
        <f t="shared" si="29"/>
        <v>840</v>
      </c>
      <c r="AD275" s="34"/>
      <c r="AE275" s="34"/>
      <c r="AF275" s="34"/>
      <c r="AG275" s="34"/>
      <c r="AH275" s="34"/>
    </row>
    <row r="276" spans="1:34" ht="22.5" x14ac:dyDescent="0.25">
      <c r="A276" s="179"/>
      <c r="B276" s="4236"/>
      <c r="C276" s="3567"/>
      <c r="D276" s="3567"/>
      <c r="E276" s="3390"/>
      <c r="F276" s="3390"/>
      <c r="G276" s="3390"/>
      <c r="H276" s="3390"/>
      <c r="I276" s="3390"/>
      <c r="J276" s="4237"/>
      <c r="K276" s="4237"/>
      <c r="L276" s="3558"/>
      <c r="M276" s="1290" t="s">
        <v>2491</v>
      </c>
      <c r="N276" s="377" t="s">
        <v>2492</v>
      </c>
      <c r="O276" s="381">
        <v>960</v>
      </c>
      <c r="P276" s="3391"/>
      <c r="Q276" s="379">
        <v>80</v>
      </c>
      <c r="R276" s="379">
        <v>80</v>
      </c>
      <c r="S276" s="379">
        <v>80</v>
      </c>
      <c r="T276" s="379">
        <v>80</v>
      </c>
      <c r="U276" s="379">
        <v>80</v>
      </c>
      <c r="V276" s="379">
        <v>80</v>
      </c>
      <c r="W276" s="379">
        <v>80</v>
      </c>
      <c r="X276" s="379">
        <v>80</v>
      </c>
      <c r="Y276" s="379">
        <v>80</v>
      </c>
      <c r="Z276" s="379">
        <v>80</v>
      </c>
      <c r="AA276" s="379">
        <v>80</v>
      </c>
      <c r="AB276" s="379">
        <v>80</v>
      </c>
      <c r="AC276" s="1468">
        <f t="shared" si="29"/>
        <v>960</v>
      </c>
      <c r="AD276" s="34"/>
      <c r="AE276" s="34"/>
      <c r="AF276" s="34"/>
      <c r="AG276" s="34"/>
      <c r="AH276" s="34"/>
    </row>
    <row r="277" spans="1:34" x14ac:dyDescent="0.25">
      <c r="A277" s="179"/>
      <c r="B277" s="4236"/>
      <c r="C277" s="3567"/>
      <c r="D277" s="3567"/>
      <c r="E277" s="3390"/>
      <c r="F277" s="3390"/>
      <c r="G277" s="3390"/>
      <c r="H277" s="3390"/>
      <c r="I277" s="3390"/>
      <c r="J277" s="4237"/>
      <c r="K277" s="4237"/>
      <c r="L277" s="3558"/>
      <c r="M277" s="1290" t="s">
        <v>2456</v>
      </c>
      <c r="N277" s="377" t="s">
        <v>1472</v>
      </c>
      <c r="O277" s="381">
        <v>6857</v>
      </c>
      <c r="P277" s="3391"/>
      <c r="Q277" s="379">
        <v>0</v>
      </c>
      <c r="R277" s="379">
        <v>0</v>
      </c>
      <c r="S277" s="379">
        <v>1700</v>
      </c>
      <c r="T277" s="379">
        <v>0</v>
      </c>
      <c r="U277" s="379">
        <v>0</v>
      </c>
      <c r="V277" s="379">
        <v>1700</v>
      </c>
      <c r="W277" s="379">
        <v>0</v>
      </c>
      <c r="X277" s="379">
        <v>0</v>
      </c>
      <c r="Y277" s="379">
        <v>1700</v>
      </c>
      <c r="Z277" s="379">
        <v>0</v>
      </c>
      <c r="AA277" s="379">
        <v>0</v>
      </c>
      <c r="AB277" s="379">
        <v>1757</v>
      </c>
      <c r="AC277" s="1468">
        <f t="shared" si="29"/>
        <v>6857</v>
      </c>
      <c r="AD277" s="34"/>
      <c r="AE277" s="34"/>
      <c r="AF277" s="34"/>
      <c r="AG277" s="34"/>
      <c r="AH277" s="34"/>
    </row>
    <row r="278" spans="1:34" ht="33.75" x14ac:dyDescent="0.25">
      <c r="A278" s="179"/>
      <c r="B278" s="4236"/>
      <c r="C278" s="3567"/>
      <c r="D278" s="3567"/>
      <c r="E278" s="3390"/>
      <c r="F278" s="3390"/>
      <c r="G278" s="3390"/>
      <c r="H278" s="3390"/>
      <c r="I278" s="3390"/>
      <c r="J278" s="4237"/>
      <c r="K278" s="4237"/>
      <c r="L278" s="3558"/>
      <c r="M278" s="1290" t="s">
        <v>2265</v>
      </c>
      <c r="N278" s="1290" t="s">
        <v>201</v>
      </c>
      <c r="O278" s="381">
        <v>4000</v>
      </c>
      <c r="P278" s="3391"/>
      <c r="Q278" s="379">
        <v>0</v>
      </c>
      <c r="R278" s="379">
        <v>0</v>
      </c>
      <c r="S278" s="379">
        <v>2000</v>
      </c>
      <c r="T278" s="379">
        <v>0</v>
      </c>
      <c r="U278" s="379">
        <v>0</v>
      </c>
      <c r="V278" s="379">
        <v>0</v>
      </c>
      <c r="W278" s="379">
        <v>0</v>
      </c>
      <c r="X278" s="379">
        <v>2000</v>
      </c>
      <c r="Y278" s="379">
        <v>0</v>
      </c>
      <c r="Z278" s="379">
        <v>0</v>
      </c>
      <c r="AA278" s="379">
        <v>0</v>
      </c>
      <c r="AB278" s="379">
        <v>0</v>
      </c>
      <c r="AC278" s="1468">
        <f t="shared" si="29"/>
        <v>4000</v>
      </c>
      <c r="AD278" s="34"/>
      <c r="AE278" s="34"/>
      <c r="AF278" s="34"/>
      <c r="AG278" s="34"/>
      <c r="AH278" s="34"/>
    </row>
    <row r="279" spans="1:34" ht="22.5" x14ac:dyDescent="0.25">
      <c r="A279" s="179"/>
      <c r="B279" s="4236"/>
      <c r="C279" s="3567"/>
      <c r="D279" s="3567"/>
      <c r="E279" s="3390"/>
      <c r="F279" s="3390"/>
      <c r="G279" s="3390"/>
      <c r="H279" s="3390"/>
      <c r="I279" s="3390"/>
      <c r="J279" s="4237"/>
      <c r="K279" s="4237"/>
      <c r="L279" s="3558"/>
      <c r="M279" s="1290" t="s">
        <v>2271</v>
      </c>
      <c r="N279" s="1290" t="s">
        <v>2478</v>
      </c>
      <c r="O279" s="381">
        <v>5000</v>
      </c>
      <c r="P279" s="3391"/>
      <c r="Q279" s="379">
        <v>0</v>
      </c>
      <c r="R279" s="379">
        <v>0</v>
      </c>
      <c r="S279" s="379">
        <v>2500</v>
      </c>
      <c r="T279" s="379">
        <v>0</v>
      </c>
      <c r="U279" s="379">
        <v>0</v>
      </c>
      <c r="V279" s="379">
        <v>0</v>
      </c>
      <c r="W279" s="379">
        <v>0</v>
      </c>
      <c r="X279" s="379">
        <v>2500</v>
      </c>
      <c r="Y279" s="379">
        <v>0</v>
      </c>
      <c r="Z279" s="379">
        <v>0</v>
      </c>
      <c r="AA279" s="379">
        <v>0</v>
      </c>
      <c r="AB279" s="379">
        <v>0</v>
      </c>
      <c r="AC279" s="1468">
        <f t="shared" si="29"/>
        <v>5000</v>
      </c>
      <c r="AD279" s="34"/>
      <c r="AE279" s="34"/>
      <c r="AF279" s="34"/>
      <c r="AG279" s="34"/>
      <c r="AH279" s="34"/>
    </row>
    <row r="280" spans="1:34" ht="22.5" x14ac:dyDescent="0.25">
      <c r="A280" s="179"/>
      <c r="B280" s="4236"/>
      <c r="C280" s="3567"/>
      <c r="D280" s="3567"/>
      <c r="E280" s="3390"/>
      <c r="F280" s="3390"/>
      <c r="G280" s="3390"/>
      <c r="H280" s="3390"/>
      <c r="I280" s="3390"/>
      <c r="J280" s="4237"/>
      <c r="K280" s="4237"/>
      <c r="L280" s="3558"/>
      <c r="M280" s="1290" t="s">
        <v>2176</v>
      </c>
      <c r="N280" s="384" t="s">
        <v>1360</v>
      </c>
      <c r="O280" s="381">
        <v>205200</v>
      </c>
      <c r="P280" s="3391"/>
      <c r="Q280" s="379">
        <v>17100</v>
      </c>
      <c r="R280" s="379">
        <v>17100</v>
      </c>
      <c r="S280" s="379">
        <v>17100</v>
      </c>
      <c r="T280" s="379">
        <v>17100</v>
      </c>
      <c r="U280" s="379">
        <v>17100</v>
      </c>
      <c r="V280" s="379">
        <v>17100</v>
      </c>
      <c r="W280" s="379">
        <v>17100</v>
      </c>
      <c r="X280" s="379">
        <v>17100</v>
      </c>
      <c r="Y280" s="379">
        <v>17100</v>
      </c>
      <c r="Z280" s="379">
        <v>17100</v>
      </c>
      <c r="AA280" s="379">
        <v>17100</v>
      </c>
      <c r="AB280" s="379">
        <v>17100</v>
      </c>
      <c r="AC280" s="1468">
        <f t="shared" si="29"/>
        <v>205200</v>
      </c>
      <c r="AD280" s="34"/>
      <c r="AE280" s="34"/>
      <c r="AF280" s="34"/>
      <c r="AG280" s="34"/>
      <c r="AH280" s="34"/>
    </row>
    <row r="281" spans="1:34" ht="22.5" x14ac:dyDescent="0.25">
      <c r="A281" s="179"/>
      <c r="B281" s="4236"/>
      <c r="C281" s="3567"/>
      <c r="D281" s="3567"/>
      <c r="E281" s="3390"/>
      <c r="F281" s="3390"/>
      <c r="G281" s="3390"/>
      <c r="H281" s="3390"/>
      <c r="I281" s="3390"/>
      <c r="J281" s="4237"/>
      <c r="K281" s="4237"/>
      <c r="L281" s="3558"/>
      <c r="M281" s="1290" t="s">
        <v>2177</v>
      </c>
      <c r="N281" s="1309" t="s">
        <v>2484</v>
      </c>
      <c r="O281" s="381">
        <v>12360</v>
      </c>
      <c r="P281" s="3375"/>
      <c r="Q281" s="383">
        <v>1030</v>
      </c>
      <c r="R281" s="383">
        <v>1030</v>
      </c>
      <c r="S281" s="383">
        <v>1030</v>
      </c>
      <c r="T281" s="383">
        <v>1030</v>
      </c>
      <c r="U281" s="383">
        <v>1030</v>
      </c>
      <c r="V281" s="383">
        <v>1030</v>
      </c>
      <c r="W281" s="383">
        <v>1030</v>
      </c>
      <c r="X281" s="383">
        <v>1030</v>
      </c>
      <c r="Y281" s="383">
        <v>1030</v>
      </c>
      <c r="Z281" s="383">
        <v>1030</v>
      </c>
      <c r="AA281" s="383">
        <v>1030</v>
      </c>
      <c r="AB281" s="383">
        <v>1030</v>
      </c>
      <c r="AC281" s="1468">
        <f t="shared" si="29"/>
        <v>12360</v>
      </c>
      <c r="AD281" s="34"/>
      <c r="AE281" s="34"/>
      <c r="AF281" s="34"/>
      <c r="AG281" s="34"/>
      <c r="AH281" s="34"/>
    </row>
    <row r="282" spans="1:34" x14ac:dyDescent="0.25">
      <c r="A282" s="179"/>
      <c r="B282" s="4238" t="s">
        <v>18</v>
      </c>
      <c r="C282" s="4240">
        <v>3000738</v>
      </c>
      <c r="D282" s="4242" t="s">
        <v>2493</v>
      </c>
      <c r="E282" s="4243"/>
      <c r="F282" s="4243"/>
      <c r="G282" s="4243"/>
      <c r="H282" s="4243"/>
      <c r="I282" s="4243"/>
      <c r="J282" s="4243"/>
      <c r="K282" s="4243"/>
      <c r="L282" s="4243"/>
      <c r="M282" s="4243"/>
      <c r="N282" s="4243"/>
      <c r="O282" s="4243"/>
      <c r="P282" s="4243"/>
      <c r="Q282" s="4243"/>
      <c r="R282" s="4243"/>
      <c r="S282" s="408"/>
      <c r="T282" s="408"/>
      <c r="U282" s="408"/>
      <c r="V282" s="408"/>
      <c r="W282" s="409"/>
      <c r="X282" s="4246" t="s">
        <v>15</v>
      </c>
      <c r="Y282" s="4247"/>
      <c r="Z282" s="4247"/>
      <c r="AA282" s="4248"/>
      <c r="AB282" s="4246" t="s">
        <v>16</v>
      </c>
      <c r="AC282" s="4248"/>
      <c r="AD282" s="34"/>
      <c r="AE282" s="34"/>
      <c r="AF282" s="34"/>
      <c r="AG282" s="34"/>
      <c r="AH282" s="34"/>
    </row>
    <row r="283" spans="1:34" ht="39.75" customHeight="1" x14ac:dyDescent="0.25">
      <c r="A283" s="179"/>
      <c r="B283" s="4239"/>
      <c r="C283" s="4241"/>
      <c r="D283" s="4244"/>
      <c r="E283" s="4245"/>
      <c r="F283" s="4245"/>
      <c r="G283" s="4245"/>
      <c r="H283" s="4245"/>
      <c r="I283" s="4245"/>
      <c r="J283" s="4245"/>
      <c r="K283" s="4245"/>
      <c r="L283" s="4245"/>
      <c r="M283" s="4245"/>
      <c r="N283" s="4245"/>
      <c r="O283" s="4245"/>
      <c r="P283" s="4245"/>
      <c r="Q283" s="4245"/>
      <c r="R283" s="4245"/>
      <c r="S283" s="406"/>
      <c r="T283" s="406"/>
      <c r="U283" s="406"/>
      <c r="V283" s="406"/>
      <c r="W283" s="407"/>
      <c r="X283" s="4249" t="s">
        <v>2494</v>
      </c>
      <c r="Y283" s="4250"/>
      <c r="Z283" s="4250"/>
      <c r="AA283" s="4251"/>
      <c r="AB283" s="4252" t="s">
        <v>661</v>
      </c>
      <c r="AC283" s="4253"/>
      <c r="AD283" s="34"/>
      <c r="AE283" s="34"/>
      <c r="AF283" s="34"/>
      <c r="AG283" s="34"/>
      <c r="AH283" s="34"/>
    </row>
    <row r="284" spans="1:34" x14ac:dyDescent="0.25">
      <c r="A284" s="179"/>
      <c r="B284" s="4254" t="s">
        <v>20</v>
      </c>
      <c r="C284" s="3577" t="s">
        <v>21</v>
      </c>
      <c r="D284" s="3577" t="s">
        <v>22</v>
      </c>
      <c r="E284" s="3577" t="s">
        <v>23</v>
      </c>
      <c r="F284" s="3577" t="s">
        <v>164</v>
      </c>
      <c r="G284" s="3577" t="s">
        <v>25</v>
      </c>
      <c r="H284" s="3577" t="s">
        <v>26</v>
      </c>
      <c r="I284" s="3577" t="s">
        <v>27</v>
      </c>
      <c r="J284" s="3912" t="s">
        <v>28</v>
      </c>
      <c r="K284" s="3913"/>
      <c r="L284" s="3577" t="s">
        <v>29</v>
      </c>
      <c r="M284" s="3577" t="s">
        <v>1432</v>
      </c>
      <c r="N284" s="2374" t="s">
        <v>530</v>
      </c>
      <c r="O284" s="3577" t="s">
        <v>2447</v>
      </c>
      <c r="P284" s="3577" t="s">
        <v>2044</v>
      </c>
      <c r="Q284" s="2400" t="s">
        <v>31</v>
      </c>
      <c r="R284" s="2401"/>
      <c r="S284" s="4231"/>
      <c r="T284" s="4231"/>
      <c r="U284" s="4231"/>
      <c r="V284" s="4231"/>
      <c r="W284" s="4231"/>
      <c r="X284" s="2401"/>
      <c r="Y284" s="2401"/>
      <c r="Z284" s="2401"/>
      <c r="AA284" s="2401"/>
      <c r="AB284" s="2402"/>
      <c r="AC284" s="2399" t="s">
        <v>32</v>
      </c>
      <c r="AD284" s="34"/>
      <c r="AE284" s="34"/>
      <c r="AF284" s="34"/>
      <c r="AG284" s="34"/>
      <c r="AH284" s="34"/>
    </row>
    <row r="285" spans="1:34" x14ac:dyDescent="0.25">
      <c r="A285" s="179"/>
      <c r="B285" s="4255"/>
      <c r="C285" s="3577"/>
      <c r="D285" s="3577"/>
      <c r="E285" s="3577"/>
      <c r="F285" s="3577"/>
      <c r="G285" s="3577"/>
      <c r="H285" s="3577"/>
      <c r="I285" s="3577"/>
      <c r="J285" s="1311" t="s">
        <v>33</v>
      </c>
      <c r="K285" s="1311" t="s">
        <v>34</v>
      </c>
      <c r="L285" s="3577"/>
      <c r="M285" s="3577"/>
      <c r="N285" s="2375"/>
      <c r="O285" s="3577"/>
      <c r="P285" s="3577"/>
      <c r="Q285" s="1310" t="s">
        <v>35</v>
      </c>
      <c r="R285" s="1310" t="s">
        <v>36</v>
      </c>
      <c r="S285" s="1310" t="s">
        <v>37</v>
      </c>
      <c r="T285" s="1310" t="s">
        <v>38</v>
      </c>
      <c r="U285" s="1310" t="s">
        <v>39</v>
      </c>
      <c r="V285" s="1310" t="s">
        <v>40</v>
      </c>
      <c r="W285" s="1310" t="s">
        <v>41</v>
      </c>
      <c r="X285" s="1310" t="s">
        <v>42</v>
      </c>
      <c r="Y285" s="1310" t="s">
        <v>43</v>
      </c>
      <c r="Z285" s="1310" t="s">
        <v>44</v>
      </c>
      <c r="AA285" s="1310" t="s">
        <v>45</v>
      </c>
      <c r="AB285" s="1310" t="s">
        <v>46</v>
      </c>
      <c r="AC285" s="2399"/>
      <c r="AD285" s="34"/>
      <c r="AE285" s="34"/>
      <c r="AF285" s="34"/>
      <c r="AG285" s="34"/>
      <c r="AH285" s="34"/>
    </row>
    <row r="286" spans="1:34" x14ac:dyDescent="0.25">
      <c r="A286" s="179"/>
      <c r="B286" s="2480">
        <v>5005580</v>
      </c>
      <c r="C286" s="2480" t="s">
        <v>2495</v>
      </c>
      <c r="D286" s="2480" t="s">
        <v>2495</v>
      </c>
      <c r="E286" s="4232" t="s">
        <v>2449</v>
      </c>
      <c r="F286" s="4232" t="s">
        <v>2450</v>
      </c>
      <c r="G286" s="4232" t="s">
        <v>2451</v>
      </c>
      <c r="H286" s="2473" t="s">
        <v>2496</v>
      </c>
      <c r="I286" s="2473" t="s">
        <v>661</v>
      </c>
      <c r="J286" s="4234">
        <v>200</v>
      </c>
      <c r="K286" s="4234">
        <v>188136</v>
      </c>
      <c r="L286" s="2473" t="s">
        <v>2454</v>
      </c>
      <c r="M286" s="4061" t="s">
        <v>111</v>
      </c>
      <c r="N286" s="4062"/>
      <c r="O286" s="4259"/>
      <c r="P286" s="1302" t="s">
        <v>51</v>
      </c>
      <c r="Q286" s="1346">
        <v>0</v>
      </c>
      <c r="R286" s="1346">
        <v>40</v>
      </c>
      <c r="S286" s="1346">
        <v>0</v>
      </c>
      <c r="T286" s="1346">
        <v>40</v>
      </c>
      <c r="U286" s="1346">
        <v>0</v>
      </c>
      <c r="V286" s="1346">
        <v>40</v>
      </c>
      <c r="W286" s="1346">
        <v>0</v>
      </c>
      <c r="X286" s="1346">
        <v>40</v>
      </c>
      <c r="Y286" s="1346">
        <v>0</v>
      </c>
      <c r="Z286" s="1346">
        <v>40</v>
      </c>
      <c r="AA286" s="1346">
        <v>0</v>
      </c>
      <c r="AB286" s="1346">
        <v>0</v>
      </c>
      <c r="AC286" s="1468">
        <f>SUM(Q286:AB286)</f>
        <v>200</v>
      </c>
      <c r="AD286" s="34"/>
      <c r="AE286" s="34"/>
      <c r="AF286" s="34"/>
      <c r="AG286" s="34"/>
      <c r="AH286" s="34"/>
    </row>
    <row r="287" spans="1:34" ht="22.5" x14ac:dyDescent="0.25">
      <c r="A287" s="179"/>
      <c r="B287" s="2481"/>
      <c r="C287" s="2481"/>
      <c r="D287" s="2481"/>
      <c r="E287" s="2474"/>
      <c r="F287" s="2474"/>
      <c r="G287" s="2474"/>
      <c r="H287" s="2474"/>
      <c r="I287" s="2474"/>
      <c r="J287" s="4235"/>
      <c r="K287" s="4235"/>
      <c r="L287" s="2474"/>
      <c r="M287" s="1290" t="s">
        <v>2253</v>
      </c>
      <c r="N287" s="377" t="s">
        <v>2462</v>
      </c>
      <c r="O287" s="381">
        <v>3000</v>
      </c>
      <c r="P287" s="3394" t="s">
        <v>1340</v>
      </c>
      <c r="Q287" s="1344">
        <v>0</v>
      </c>
      <c r="R287" s="1344">
        <v>3000</v>
      </c>
      <c r="S287" s="1344">
        <v>0</v>
      </c>
      <c r="T287" s="1344">
        <v>0</v>
      </c>
      <c r="U287" s="1344">
        <v>0</v>
      </c>
      <c r="V287" s="1344">
        <v>0</v>
      </c>
      <c r="W287" s="1344">
        <v>0</v>
      </c>
      <c r="X287" s="1344">
        <v>0</v>
      </c>
      <c r="Y287" s="1344">
        <v>0</v>
      </c>
      <c r="Z287" s="1344">
        <v>0</v>
      </c>
      <c r="AA287" s="1344">
        <v>0</v>
      </c>
      <c r="AB287" s="1344">
        <v>0</v>
      </c>
      <c r="AC287" s="1468">
        <f t="shared" ref="AC287:AC295" si="30">SUM(Q287:AB287)</f>
        <v>3000</v>
      </c>
      <c r="AD287" s="34"/>
      <c r="AE287" s="34"/>
      <c r="AF287" s="34"/>
      <c r="AG287" s="34"/>
      <c r="AH287" s="34"/>
    </row>
    <row r="288" spans="1:34" ht="33.75" x14ac:dyDescent="0.25">
      <c r="A288" s="179"/>
      <c r="B288" s="2481"/>
      <c r="C288" s="2481"/>
      <c r="D288" s="2481"/>
      <c r="E288" s="2474"/>
      <c r="F288" s="2474"/>
      <c r="G288" s="2474"/>
      <c r="H288" s="2474"/>
      <c r="I288" s="2474"/>
      <c r="J288" s="4235"/>
      <c r="K288" s="4235"/>
      <c r="L288" s="2474"/>
      <c r="M288" s="1290" t="s">
        <v>2265</v>
      </c>
      <c r="N288" s="377" t="s">
        <v>201</v>
      </c>
      <c r="O288" s="381">
        <v>12000</v>
      </c>
      <c r="P288" s="4260"/>
      <c r="Q288" s="1344">
        <v>0</v>
      </c>
      <c r="R288" s="1344">
        <v>3000</v>
      </c>
      <c r="S288" s="1344">
        <v>0</v>
      </c>
      <c r="T288" s="1344">
        <v>0</v>
      </c>
      <c r="U288" s="1344">
        <v>3000</v>
      </c>
      <c r="V288" s="1344">
        <v>0</v>
      </c>
      <c r="W288" s="1344">
        <v>0</v>
      </c>
      <c r="X288" s="1344">
        <v>3000</v>
      </c>
      <c r="Y288" s="1344">
        <v>0</v>
      </c>
      <c r="Z288" s="1344">
        <v>0</v>
      </c>
      <c r="AA288" s="1344">
        <v>3000</v>
      </c>
      <c r="AB288" s="1344">
        <v>0</v>
      </c>
      <c r="AC288" s="1468">
        <f t="shared" si="30"/>
        <v>12000</v>
      </c>
      <c r="AD288" s="34"/>
      <c r="AE288" s="34"/>
      <c r="AF288" s="34"/>
      <c r="AG288" s="34"/>
      <c r="AH288" s="34"/>
    </row>
    <row r="289" spans="1:34" ht="33.75" x14ac:dyDescent="0.25">
      <c r="A289" s="179"/>
      <c r="B289" s="2481"/>
      <c r="C289" s="2481"/>
      <c r="D289" s="2481"/>
      <c r="E289" s="2474"/>
      <c r="F289" s="2474"/>
      <c r="G289" s="2474"/>
      <c r="H289" s="2474"/>
      <c r="I289" s="2474"/>
      <c r="J289" s="4235"/>
      <c r="K289" s="4235"/>
      <c r="L289" s="2474"/>
      <c r="M289" s="1290" t="s">
        <v>2464</v>
      </c>
      <c r="N289" s="377" t="s">
        <v>2465</v>
      </c>
      <c r="O289" s="381">
        <v>12000</v>
      </c>
      <c r="P289" s="4260"/>
      <c r="Q289" s="1344">
        <v>1000</v>
      </c>
      <c r="R289" s="1344">
        <v>1000</v>
      </c>
      <c r="S289" s="1344">
        <v>1000</v>
      </c>
      <c r="T289" s="1344">
        <v>1000</v>
      </c>
      <c r="U289" s="1344">
        <v>1000</v>
      </c>
      <c r="V289" s="1344">
        <v>1000</v>
      </c>
      <c r="W289" s="1344">
        <v>1000</v>
      </c>
      <c r="X289" s="1344">
        <v>1000</v>
      </c>
      <c r="Y289" s="1344">
        <v>1000</v>
      </c>
      <c r="Z289" s="1344">
        <v>1000</v>
      </c>
      <c r="AA289" s="1344">
        <v>1000</v>
      </c>
      <c r="AB289" s="1344">
        <v>1000</v>
      </c>
      <c r="AC289" s="1468">
        <f t="shared" si="30"/>
        <v>12000</v>
      </c>
      <c r="AD289" s="34"/>
      <c r="AE289" s="34"/>
      <c r="AF289" s="34"/>
      <c r="AG289" s="34"/>
      <c r="AH289" s="34"/>
    </row>
    <row r="290" spans="1:34" x14ac:dyDescent="0.25">
      <c r="A290" s="179"/>
      <c r="B290" s="2481"/>
      <c r="C290" s="2481"/>
      <c r="D290" s="2481"/>
      <c r="E290" s="2474"/>
      <c r="F290" s="2474"/>
      <c r="G290" s="2474"/>
      <c r="H290" s="2474"/>
      <c r="I290" s="2474"/>
      <c r="J290" s="4235"/>
      <c r="K290" s="4235"/>
      <c r="L290" s="2474"/>
      <c r="M290" s="1290" t="s">
        <v>2287</v>
      </c>
      <c r="N290" s="377" t="s">
        <v>1463</v>
      </c>
      <c r="O290" s="381">
        <v>2500</v>
      </c>
      <c r="P290" s="4260"/>
      <c r="Q290" s="1344">
        <v>0</v>
      </c>
      <c r="R290" s="1344">
        <v>2500</v>
      </c>
      <c r="S290" s="1344">
        <v>0</v>
      </c>
      <c r="T290" s="1344">
        <v>0</v>
      </c>
      <c r="U290" s="1344">
        <v>0</v>
      </c>
      <c r="V290" s="1344">
        <v>0</v>
      </c>
      <c r="W290" s="1344">
        <v>0</v>
      </c>
      <c r="X290" s="1344">
        <v>0</v>
      </c>
      <c r="Y290" s="1344">
        <v>0</v>
      </c>
      <c r="Z290" s="1344">
        <v>0</v>
      </c>
      <c r="AA290" s="1344">
        <v>0</v>
      </c>
      <c r="AB290" s="1344">
        <v>0</v>
      </c>
      <c r="AC290" s="1468">
        <f t="shared" si="30"/>
        <v>2500</v>
      </c>
      <c r="AD290" s="34"/>
      <c r="AE290" s="34"/>
      <c r="AF290" s="34"/>
      <c r="AG290" s="34"/>
      <c r="AH290" s="34"/>
    </row>
    <row r="291" spans="1:34" ht="22.5" x14ac:dyDescent="0.25">
      <c r="A291" s="179"/>
      <c r="B291" s="2481"/>
      <c r="C291" s="2481"/>
      <c r="D291" s="2481"/>
      <c r="E291" s="2474"/>
      <c r="F291" s="2474"/>
      <c r="G291" s="2474"/>
      <c r="H291" s="2474"/>
      <c r="I291" s="2474"/>
      <c r="J291" s="4235"/>
      <c r="K291" s="4235"/>
      <c r="L291" s="2474"/>
      <c r="M291" s="1290" t="s">
        <v>2263</v>
      </c>
      <c r="N291" s="377" t="s">
        <v>2380</v>
      </c>
      <c r="O291" s="381">
        <v>2800</v>
      </c>
      <c r="P291" s="4260"/>
      <c r="Q291" s="1344">
        <v>200</v>
      </c>
      <c r="R291" s="1344">
        <v>200</v>
      </c>
      <c r="S291" s="1344">
        <v>200</v>
      </c>
      <c r="T291" s="1344">
        <v>300</v>
      </c>
      <c r="U291" s="1344">
        <v>200</v>
      </c>
      <c r="V291" s="1344">
        <v>300</v>
      </c>
      <c r="W291" s="1344">
        <v>200</v>
      </c>
      <c r="X291" s="1344">
        <v>300</v>
      </c>
      <c r="Y291" s="1344">
        <v>200</v>
      </c>
      <c r="Z291" s="1344">
        <v>300</v>
      </c>
      <c r="AA291" s="1344">
        <v>200</v>
      </c>
      <c r="AB291" s="1344">
        <v>200</v>
      </c>
      <c r="AC291" s="1468">
        <f t="shared" si="30"/>
        <v>2800</v>
      </c>
      <c r="AD291" s="34"/>
      <c r="AE291" s="34"/>
      <c r="AF291" s="34"/>
      <c r="AG291" s="34"/>
      <c r="AH291" s="34"/>
    </row>
    <row r="292" spans="1:34" x14ac:dyDescent="0.25">
      <c r="A292" s="179"/>
      <c r="B292" s="2481"/>
      <c r="C292" s="2481"/>
      <c r="D292" s="2481"/>
      <c r="E292" s="2474"/>
      <c r="F292" s="2474"/>
      <c r="G292" s="2474"/>
      <c r="H292" s="2474"/>
      <c r="I292" s="2474"/>
      <c r="J292" s="4235"/>
      <c r="K292" s="4235"/>
      <c r="L292" s="2474"/>
      <c r="M292" s="1290" t="s">
        <v>2103</v>
      </c>
      <c r="N292" s="1290" t="s">
        <v>1478</v>
      </c>
      <c r="O292" s="381">
        <v>1500</v>
      </c>
      <c r="P292" s="4260"/>
      <c r="Q292" s="1344">
        <v>0</v>
      </c>
      <c r="R292" s="1344">
        <v>0</v>
      </c>
      <c r="S292" s="1344">
        <v>1500</v>
      </c>
      <c r="T292" s="1344">
        <v>0</v>
      </c>
      <c r="U292" s="1344">
        <v>0</v>
      </c>
      <c r="V292" s="1344">
        <v>0</v>
      </c>
      <c r="W292" s="1344">
        <v>0</v>
      </c>
      <c r="X292" s="1344">
        <v>0</v>
      </c>
      <c r="Y292" s="1344">
        <v>0</v>
      </c>
      <c r="Z292" s="1344">
        <v>0</v>
      </c>
      <c r="AA292" s="1344">
        <v>0</v>
      </c>
      <c r="AB292" s="1344">
        <v>0</v>
      </c>
      <c r="AC292" s="1468">
        <f t="shared" si="30"/>
        <v>1500</v>
      </c>
      <c r="AD292" s="34"/>
      <c r="AE292" s="34"/>
      <c r="AF292" s="34"/>
      <c r="AG292" s="34"/>
      <c r="AH292" s="34"/>
    </row>
    <row r="293" spans="1:34" x14ac:dyDescent="0.25">
      <c r="A293" s="179"/>
      <c r="B293" s="2481"/>
      <c r="C293" s="2481"/>
      <c r="D293" s="2481"/>
      <c r="E293" s="2474"/>
      <c r="F293" s="2474"/>
      <c r="G293" s="2474"/>
      <c r="H293" s="2474"/>
      <c r="I293" s="2474"/>
      <c r="J293" s="4235"/>
      <c r="K293" s="4235"/>
      <c r="L293" s="2474"/>
      <c r="M293" s="1290" t="s">
        <v>2456</v>
      </c>
      <c r="N293" s="1290" t="s">
        <v>1472</v>
      </c>
      <c r="O293" s="381">
        <v>20000</v>
      </c>
      <c r="P293" s="4260"/>
      <c r="Q293" s="1344">
        <v>0</v>
      </c>
      <c r="R293" s="1344">
        <v>5000</v>
      </c>
      <c r="S293" s="1344">
        <v>0</v>
      </c>
      <c r="T293" s="1344">
        <v>0</v>
      </c>
      <c r="U293" s="1344">
        <v>5000</v>
      </c>
      <c r="V293" s="1344">
        <v>0</v>
      </c>
      <c r="W293" s="1344">
        <v>0</v>
      </c>
      <c r="X293" s="1344">
        <v>5000</v>
      </c>
      <c r="Y293" s="1344">
        <v>0</v>
      </c>
      <c r="Z293" s="1344">
        <v>0</v>
      </c>
      <c r="AA293" s="1344">
        <v>5000</v>
      </c>
      <c r="AB293" s="1344">
        <v>0</v>
      </c>
      <c r="AC293" s="1468">
        <f t="shared" si="30"/>
        <v>20000</v>
      </c>
      <c r="AD293" s="34"/>
      <c r="AE293" s="34"/>
      <c r="AF293" s="34"/>
      <c r="AG293" s="34"/>
      <c r="AH293" s="34"/>
    </row>
    <row r="294" spans="1:34" ht="22.5" x14ac:dyDescent="0.25">
      <c r="A294" s="179"/>
      <c r="B294" s="2481"/>
      <c r="C294" s="2481"/>
      <c r="D294" s="2481"/>
      <c r="E294" s="2474"/>
      <c r="F294" s="2474"/>
      <c r="G294" s="2474"/>
      <c r="H294" s="2474"/>
      <c r="I294" s="2474"/>
      <c r="J294" s="4235"/>
      <c r="K294" s="4235"/>
      <c r="L294" s="2474"/>
      <c r="M294" s="1290" t="s">
        <v>2176</v>
      </c>
      <c r="N294" s="1309" t="s">
        <v>1360</v>
      </c>
      <c r="O294" s="381">
        <v>128342</v>
      </c>
      <c r="P294" s="4260"/>
      <c r="Q294" s="1344">
        <v>10695</v>
      </c>
      <c r="R294" s="1344">
        <v>10695</v>
      </c>
      <c r="S294" s="1344">
        <v>10695</v>
      </c>
      <c r="T294" s="1344">
        <v>10695</v>
      </c>
      <c r="U294" s="1344">
        <v>10695</v>
      </c>
      <c r="V294" s="1344">
        <v>10695</v>
      </c>
      <c r="W294" s="1344">
        <v>10695</v>
      </c>
      <c r="X294" s="1344">
        <v>10695</v>
      </c>
      <c r="Y294" s="1344">
        <v>10696</v>
      </c>
      <c r="Z294" s="1344">
        <v>10696</v>
      </c>
      <c r="AA294" s="1344">
        <v>10695</v>
      </c>
      <c r="AB294" s="1344">
        <v>10695</v>
      </c>
      <c r="AC294" s="1468">
        <f t="shared" si="30"/>
        <v>128342</v>
      </c>
      <c r="AD294" s="34"/>
      <c r="AE294" s="34"/>
      <c r="AF294" s="34"/>
      <c r="AG294" s="34"/>
      <c r="AH294" s="34"/>
    </row>
    <row r="295" spans="1:34" ht="22.5" x14ac:dyDescent="0.25">
      <c r="A295" s="179"/>
      <c r="B295" s="2482"/>
      <c r="C295" s="2482"/>
      <c r="D295" s="2482"/>
      <c r="E295" s="4233"/>
      <c r="F295" s="4233"/>
      <c r="G295" s="4233"/>
      <c r="H295" s="4233"/>
      <c r="I295" s="4233"/>
      <c r="J295" s="4258"/>
      <c r="K295" s="4258"/>
      <c r="L295" s="4233"/>
      <c r="M295" s="1290" t="s">
        <v>2177</v>
      </c>
      <c r="N295" s="1309" t="s">
        <v>2484</v>
      </c>
      <c r="O295" s="381">
        <v>5994</v>
      </c>
      <c r="P295" s="4261"/>
      <c r="Q295" s="1346">
        <v>500</v>
      </c>
      <c r="R295" s="1346">
        <v>500</v>
      </c>
      <c r="S295" s="1346">
        <v>500</v>
      </c>
      <c r="T295" s="1346">
        <v>499</v>
      </c>
      <c r="U295" s="1346">
        <v>499</v>
      </c>
      <c r="V295" s="1346">
        <v>499</v>
      </c>
      <c r="W295" s="1346">
        <v>499</v>
      </c>
      <c r="X295" s="1346">
        <v>499</v>
      </c>
      <c r="Y295" s="1346">
        <v>499</v>
      </c>
      <c r="Z295" s="1346">
        <v>500</v>
      </c>
      <c r="AA295" s="1346">
        <v>500</v>
      </c>
      <c r="AB295" s="1346">
        <v>500</v>
      </c>
      <c r="AC295" s="1468">
        <f t="shared" si="30"/>
        <v>5994</v>
      </c>
      <c r="AD295" s="34"/>
      <c r="AE295" s="34"/>
      <c r="AF295" s="34"/>
      <c r="AG295" s="34"/>
      <c r="AH295" s="34"/>
    </row>
    <row r="296" spans="1:34" x14ac:dyDescent="0.25">
      <c r="A296" s="179"/>
      <c r="B296" s="4256" t="s">
        <v>18</v>
      </c>
      <c r="C296" s="4240">
        <v>3000739</v>
      </c>
      <c r="D296" s="4242" t="s">
        <v>2497</v>
      </c>
      <c r="E296" s="4243"/>
      <c r="F296" s="4243"/>
      <c r="G296" s="4243"/>
      <c r="H296" s="4243"/>
      <c r="I296" s="4243"/>
      <c r="J296" s="4243"/>
      <c r="K296" s="4243"/>
      <c r="L296" s="4243"/>
      <c r="M296" s="4243"/>
      <c r="N296" s="4243"/>
      <c r="O296" s="4243"/>
      <c r="P296" s="4243"/>
      <c r="Q296" s="4243"/>
      <c r="R296" s="4243"/>
      <c r="S296" s="404"/>
      <c r="T296" s="404"/>
      <c r="U296" s="404"/>
      <c r="V296" s="404"/>
      <c r="W296" s="405"/>
      <c r="X296" s="4246" t="s">
        <v>15</v>
      </c>
      <c r="Y296" s="4247"/>
      <c r="Z296" s="4247"/>
      <c r="AA296" s="4248"/>
      <c r="AB296" s="4246" t="s">
        <v>16</v>
      </c>
      <c r="AC296" s="4248"/>
      <c r="AD296" s="34"/>
      <c r="AE296" s="34"/>
      <c r="AF296" s="34"/>
      <c r="AG296" s="34"/>
      <c r="AH296" s="34"/>
    </row>
    <row r="297" spans="1:34" ht="37.5" customHeight="1" x14ac:dyDescent="0.25">
      <c r="A297" s="179"/>
      <c r="B297" s="4257"/>
      <c r="C297" s="4241"/>
      <c r="D297" s="4244"/>
      <c r="E297" s="4245"/>
      <c r="F297" s="4245"/>
      <c r="G297" s="4245"/>
      <c r="H297" s="4245"/>
      <c r="I297" s="4245"/>
      <c r="J297" s="4245"/>
      <c r="K297" s="4245"/>
      <c r="L297" s="4245"/>
      <c r="M297" s="4245"/>
      <c r="N297" s="4245"/>
      <c r="O297" s="4245"/>
      <c r="P297" s="4245"/>
      <c r="Q297" s="4245"/>
      <c r="R297" s="4245"/>
      <c r="S297" s="406"/>
      <c r="T297" s="406"/>
      <c r="U297" s="406"/>
      <c r="V297" s="406"/>
      <c r="W297" s="407"/>
      <c r="X297" s="4249" t="s">
        <v>2494</v>
      </c>
      <c r="Y297" s="4250"/>
      <c r="Z297" s="4250"/>
      <c r="AA297" s="4251"/>
      <c r="AB297" s="4252" t="s">
        <v>661</v>
      </c>
      <c r="AC297" s="4253"/>
      <c r="AD297" s="34"/>
      <c r="AE297" s="34"/>
      <c r="AF297" s="34"/>
      <c r="AG297" s="34"/>
      <c r="AH297" s="34"/>
    </row>
    <row r="298" spans="1:34" x14ac:dyDescent="0.25">
      <c r="A298" s="179"/>
      <c r="B298" s="3525" t="s">
        <v>20</v>
      </c>
      <c r="C298" s="3577" t="s">
        <v>21</v>
      </c>
      <c r="D298" s="3577" t="s">
        <v>22</v>
      </c>
      <c r="E298" s="3577" t="s">
        <v>23</v>
      </c>
      <c r="F298" s="3577" t="s">
        <v>164</v>
      </c>
      <c r="G298" s="3577" t="s">
        <v>25</v>
      </c>
      <c r="H298" s="3577" t="s">
        <v>26</v>
      </c>
      <c r="I298" s="3577" t="s">
        <v>27</v>
      </c>
      <c r="J298" s="3912" t="s">
        <v>28</v>
      </c>
      <c r="K298" s="3913"/>
      <c r="L298" s="3577" t="s">
        <v>29</v>
      </c>
      <c r="M298" s="3577" t="s">
        <v>1432</v>
      </c>
      <c r="N298" s="2374" t="s">
        <v>530</v>
      </c>
      <c r="O298" s="3577" t="s">
        <v>2447</v>
      </c>
      <c r="P298" s="3577" t="s">
        <v>2044</v>
      </c>
      <c r="Q298" s="2400" t="s">
        <v>31</v>
      </c>
      <c r="R298" s="2401"/>
      <c r="S298" s="4231"/>
      <c r="T298" s="4231"/>
      <c r="U298" s="4231"/>
      <c r="V298" s="4231"/>
      <c r="W298" s="4231"/>
      <c r="X298" s="2401"/>
      <c r="Y298" s="2401"/>
      <c r="Z298" s="2401"/>
      <c r="AA298" s="2401"/>
      <c r="AB298" s="2402"/>
      <c r="AC298" s="2399" t="s">
        <v>32</v>
      </c>
      <c r="AD298" s="34"/>
      <c r="AE298" s="34"/>
      <c r="AF298" s="34"/>
      <c r="AG298" s="34"/>
      <c r="AH298" s="34"/>
    </row>
    <row r="299" spans="1:34" ht="20.25" customHeight="1" x14ac:dyDescent="0.25">
      <c r="A299" s="179"/>
      <c r="B299" s="3525"/>
      <c r="C299" s="3577"/>
      <c r="D299" s="3577"/>
      <c r="E299" s="3577"/>
      <c r="F299" s="3577"/>
      <c r="G299" s="3577"/>
      <c r="H299" s="3577"/>
      <c r="I299" s="3577"/>
      <c r="J299" s="1311" t="s">
        <v>33</v>
      </c>
      <c r="K299" s="1311" t="s">
        <v>34</v>
      </c>
      <c r="L299" s="3577"/>
      <c r="M299" s="3577"/>
      <c r="N299" s="2375"/>
      <c r="O299" s="3577"/>
      <c r="P299" s="3577"/>
      <c r="Q299" s="1310" t="s">
        <v>35</v>
      </c>
      <c r="R299" s="1310" t="s">
        <v>36</v>
      </c>
      <c r="S299" s="1310" t="s">
        <v>37</v>
      </c>
      <c r="T299" s="1310" t="s">
        <v>38</v>
      </c>
      <c r="U299" s="1310" t="s">
        <v>39</v>
      </c>
      <c r="V299" s="1310" t="s">
        <v>40</v>
      </c>
      <c r="W299" s="1310" t="s">
        <v>41</v>
      </c>
      <c r="X299" s="1310" t="s">
        <v>42</v>
      </c>
      <c r="Y299" s="1310" t="s">
        <v>43</v>
      </c>
      <c r="Z299" s="1310" t="s">
        <v>44</v>
      </c>
      <c r="AA299" s="1310" t="s">
        <v>45</v>
      </c>
      <c r="AB299" s="1310" t="s">
        <v>46</v>
      </c>
      <c r="AC299" s="2399"/>
      <c r="AD299" s="34"/>
      <c r="AE299" s="34"/>
      <c r="AF299" s="34"/>
      <c r="AG299" s="34"/>
      <c r="AH299" s="34"/>
    </row>
    <row r="300" spans="1:34" x14ac:dyDescent="0.25">
      <c r="A300" s="179"/>
      <c r="B300" s="2480">
        <v>5005581</v>
      </c>
      <c r="C300" s="2480" t="s">
        <v>2498</v>
      </c>
      <c r="D300" s="2480" t="s">
        <v>2498</v>
      </c>
      <c r="E300" s="4232" t="s">
        <v>2449</v>
      </c>
      <c r="F300" s="4232" t="s">
        <v>2450</v>
      </c>
      <c r="G300" s="4232" t="s">
        <v>2451</v>
      </c>
      <c r="H300" s="2473" t="s">
        <v>2499</v>
      </c>
      <c r="I300" s="2473" t="s">
        <v>1042</v>
      </c>
      <c r="J300" s="4234">
        <v>4</v>
      </c>
      <c r="K300" s="4234">
        <v>39600</v>
      </c>
      <c r="L300" s="2473" t="s">
        <v>2454</v>
      </c>
      <c r="M300" s="4061" t="s">
        <v>111</v>
      </c>
      <c r="N300" s="4062"/>
      <c r="O300" s="4259"/>
      <c r="P300" s="1302" t="s">
        <v>51</v>
      </c>
      <c r="Q300" s="1346">
        <v>0</v>
      </c>
      <c r="R300" s="1346">
        <v>1</v>
      </c>
      <c r="S300" s="1346">
        <v>0</v>
      </c>
      <c r="T300" s="1346">
        <v>0</v>
      </c>
      <c r="U300" s="1346">
        <v>1</v>
      </c>
      <c r="V300" s="1346">
        <v>0</v>
      </c>
      <c r="W300" s="1346">
        <v>0</v>
      </c>
      <c r="X300" s="1346">
        <v>1</v>
      </c>
      <c r="Y300" s="1346">
        <v>0</v>
      </c>
      <c r="Z300" s="1346">
        <v>0</v>
      </c>
      <c r="AA300" s="1346">
        <v>1</v>
      </c>
      <c r="AB300" s="1312">
        <v>0</v>
      </c>
      <c r="AC300" s="1470">
        <f>SUM(Q300:AB300)</f>
        <v>4</v>
      </c>
      <c r="AD300" s="34"/>
      <c r="AE300" s="34"/>
      <c r="AF300" s="34"/>
      <c r="AG300" s="34"/>
      <c r="AH300" s="34"/>
    </row>
    <row r="301" spans="1:34" x14ac:dyDescent="0.25">
      <c r="A301" s="179"/>
      <c r="B301" s="2481"/>
      <c r="C301" s="2481"/>
      <c r="D301" s="2481"/>
      <c r="E301" s="2474"/>
      <c r="F301" s="2474"/>
      <c r="G301" s="2474"/>
      <c r="H301" s="2474"/>
      <c r="I301" s="2474"/>
      <c r="J301" s="4235"/>
      <c r="K301" s="4235"/>
      <c r="L301" s="2474"/>
      <c r="M301" s="1290" t="s">
        <v>2456</v>
      </c>
      <c r="N301" s="377" t="s">
        <v>1472</v>
      </c>
      <c r="O301" s="381">
        <v>24000</v>
      </c>
      <c r="P301" s="3394" t="s">
        <v>1340</v>
      </c>
      <c r="Q301" s="1344">
        <v>0</v>
      </c>
      <c r="R301" s="1344">
        <v>6000</v>
      </c>
      <c r="S301" s="1344">
        <v>0</v>
      </c>
      <c r="T301" s="1344">
        <v>0</v>
      </c>
      <c r="U301" s="1344">
        <v>6000</v>
      </c>
      <c r="V301" s="1344">
        <v>0</v>
      </c>
      <c r="W301" s="1344">
        <v>0</v>
      </c>
      <c r="X301" s="1344">
        <v>6000</v>
      </c>
      <c r="Y301" s="1344">
        <v>0</v>
      </c>
      <c r="Z301" s="1344">
        <v>0</v>
      </c>
      <c r="AA301" s="1344">
        <v>6000</v>
      </c>
      <c r="AB301" s="1469">
        <v>0</v>
      </c>
      <c r="AC301" s="1468">
        <f t="shared" ref="AC301:AC303" si="31">SUM(Q301:AB301)</f>
        <v>24000</v>
      </c>
      <c r="AD301" s="34"/>
      <c r="AE301" s="34"/>
      <c r="AF301" s="34"/>
      <c r="AG301" s="34"/>
      <c r="AH301" s="34"/>
    </row>
    <row r="302" spans="1:34" ht="33.75" x14ac:dyDescent="0.25">
      <c r="A302" s="179"/>
      <c r="B302" s="2481"/>
      <c r="C302" s="2481"/>
      <c r="D302" s="2481"/>
      <c r="E302" s="2474"/>
      <c r="F302" s="2474"/>
      <c r="G302" s="2474"/>
      <c r="H302" s="2474"/>
      <c r="I302" s="2474"/>
      <c r="J302" s="4235"/>
      <c r="K302" s="4235"/>
      <c r="L302" s="2474"/>
      <c r="M302" s="1290" t="s">
        <v>2265</v>
      </c>
      <c r="N302" s="1309" t="s">
        <v>201</v>
      </c>
      <c r="O302" s="381">
        <v>3600</v>
      </c>
      <c r="P302" s="4260"/>
      <c r="Q302" s="1344">
        <v>0</v>
      </c>
      <c r="R302" s="1344">
        <v>900</v>
      </c>
      <c r="S302" s="1344">
        <v>0</v>
      </c>
      <c r="T302" s="1344">
        <v>0</v>
      </c>
      <c r="U302" s="1344">
        <v>900</v>
      </c>
      <c r="V302" s="1344">
        <v>0</v>
      </c>
      <c r="W302" s="1344">
        <v>0</v>
      </c>
      <c r="X302" s="1344">
        <v>900</v>
      </c>
      <c r="Y302" s="1344">
        <v>0</v>
      </c>
      <c r="Z302" s="1344">
        <v>0</v>
      </c>
      <c r="AA302" s="1344">
        <v>900</v>
      </c>
      <c r="AB302" s="1344">
        <v>0</v>
      </c>
      <c r="AC302" s="1468">
        <f t="shared" si="31"/>
        <v>3600</v>
      </c>
      <c r="AD302" s="34"/>
      <c r="AE302" s="34"/>
      <c r="AF302" s="34"/>
      <c r="AG302" s="34"/>
      <c r="AH302" s="34"/>
    </row>
    <row r="303" spans="1:34" ht="22.5" x14ac:dyDescent="0.25">
      <c r="A303" s="179"/>
      <c r="B303" s="2482"/>
      <c r="C303" s="2482"/>
      <c r="D303" s="2482"/>
      <c r="E303" s="4233"/>
      <c r="F303" s="4233"/>
      <c r="G303" s="4233"/>
      <c r="H303" s="4233"/>
      <c r="I303" s="4233"/>
      <c r="J303" s="4258"/>
      <c r="K303" s="4258"/>
      <c r="L303" s="4233"/>
      <c r="M303" s="1290" t="s">
        <v>2293</v>
      </c>
      <c r="N303" s="1309" t="s">
        <v>2458</v>
      </c>
      <c r="O303" s="381">
        <v>12000</v>
      </c>
      <c r="P303" s="4261"/>
      <c r="Q303" s="1346">
        <v>0</v>
      </c>
      <c r="R303" s="1346">
        <v>3000</v>
      </c>
      <c r="S303" s="1346">
        <v>0</v>
      </c>
      <c r="T303" s="1346">
        <v>0</v>
      </c>
      <c r="U303" s="1346">
        <v>3000</v>
      </c>
      <c r="V303" s="1346">
        <v>0</v>
      </c>
      <c r="W303" s="1346">
        <v>0</v>
      </c>
      <c r="X303" s="1346">
        <v>3000</v>
      </c>
      <c r="Y303" s="1346">
        <v>0</v>
      </c>
      <c r="Z303" s="1346">
        <v>0</v>
      </c>
      <c r="AA303" s="1346">
        <v>3000</v>
      </c>
      <c r="AB303" s="1346">
        <v>0</v>
      </c>
      <c r="AC303" s="1468">
        <f t="shared" si="31"/>
        <v>12000</v>
      </c>
      <c r="AD303" s="34"/>
      <c r="AE303" s="34"/>
      <c r="AF303" s="34"/>
      <c r="AG303" s="34"/>
      <c r="AH303" s="34"/>
    </row>
    <row r="304" spans="1:34" x14ac:dyDescent="0.25">
      <c r="A304" s="179"/>
      <c r="B304" s="2480">
        <v>5005583</v>
      </c>
      <c r="C304" s="2480" t="s">
        <v>2500</v>
      </c>
      <c r="D304" s="2480" t="s">
        <v>2500</v>
      </c>
      <c r="E304" s="4232" t="s">
        <v>2449</v>
      </c>
      <c r="F304" s="4232" t="s">
        <v>2450</v>
      </c>
      <c r="G304" s="4232" t="s">
        <v>2451</v>
      </c>
      <c r="H304" s="2473" t="s">
        <v>2501</v>
      </c>
      <c r="I304" s="2473" t="s">
        <v>661</v>
      </c>
      <c r="J304" s="4234">
        <v>350</v>
      </c>
      <c r="K304" s="4234">
        <v>65800</v>
      </c>
      <c r="L304" s="2473" t="s">
        <v>2454</v>
      </c>
      <c r="M304" s="4061" t="s">
        <v>111</v>
      </c>
      <c r="N304" s="4062"/>
      <c r="O304" s="4259"/>
      <c r="P304" s="1302" t="s">
        <v>51</v>
      </c>
      <c r="Q304" s="1346">
        <v>0</v>
      </c>
      <c r="R304" s="1346">
        <v>50</v>
      </c>
      <c r="S304" s="1346">
        <v>0</v>
      </c>
      <c r="T304" s="1346">
        <v>100</v>
      </c>
      <c r="U304" s="1346">
        <v>0</v>
      </c>
      <c r="V304" s="1346">
        <v>50</v>
      </c>
      <c r="W304" s="1346">
        <v>0</v>
      </c>
      <c r="X304" s="1346">
        <v>100</v>
      </c>
      <c r="Y304" s="1346">
        <v>0</v>
      </c>
      <c r="Z304" s="1346">
        <v>50</v>
      </c>
      <c r="AA304" s="1346">
        <v>0</v>
      </c>
      <c r="AB304" s="1346">
        <v>0</v>
      </c>
      <c r="AC304" s="1468">
        <f>SUM(Q304:AB304)</f>
        <v>350</v>
      </c>
      <c r="AD304" s="34"/>
      <c r="AE304" s="34"/>
      <c r="AF304" s="34"/>
      <c r="AG304" s="34"/>
      <c r="AH304" s="34"/>
    </row>
    <row r="305" spans="1:34" x14ac:dyDescent="0.25">
      <c r="A305" s="179"/>
      <c r="B305" s="2481"/>
      <c r="C305" s="2481"/>
      <c r="D305" s="2481"/>
      <c r="E305" s="2474"/>
      <c r="F305" s="2474"/>
      <c r="G305" s="2474"/>
      <c r="H305" s="2474"/>
      <c r="I305" s="2474"/>
      <c r="J305" s="4235"/>
      <c r="K305" s="4235"/>
      <c r="L305" s="2474"/>
      <c r="M305" s="1290" t="s">
        <v>2287</v>
      </c>
      <c r="N305" s="377" t="s">
        <v>1463</v>
      </c>
      <c r="O305" s="381">
        <v>2500</v>
      </c>
      <c r="P305" s="3394" t="s">
        <v>1340</v>
      </c>
      <c r="Q305" s="1344">
        <v>0</v>
      </c>
      <c r="R305" s="1344">
        <v>2500</v>
      </c>
      <c r="S305" s="1344">
        <v>0</v>
      </c>
      <c r="T305" s="1344">
        <v>0</v>
      </c>
      <c r="U305" s="1344">
        <v>0</v>
      </c>
      <c r="V305" s="1344">
        <v>0</v>
      </c>
      <c r="W305" s="1344">
        <v>0</v>
      </c>
      <c r="X305" s="1344">
        <v>0</v>
      </c>
      <c r="Y305" s="1344">
        <v>0</v>
      </c>
      <c r="Z305" s="1344">
        <v>0</v>
      </c>
      <c r="AA305" s="1344">
        <v>0</v>
      </c>
      <c r="AB305" s="1344">
        <v>0</v>
      </c>
      <c r="AC305" s="1468">
        <f t="shared" ref="AC305:AC311" si="32">SUM(Q305:AB305)</f>
        <v>2500</v>
      </c>
      <c r="AD305" s="34"/>
      <c r="AE305" s="34"/>
      <c r="AF305" s="34"/>
      <c r="AG305" s="34"/>
      <c r="AH305" s="34"/>
    </row>
    <row r="306" spans="1:34" ht="22.5" x14ac:dyDescent="0.25">
      <c r="A306" s="179"/>
      <c r="B306" s="2481"/>
      <c r="C306" s="2481"/>
      <c r="D306" s="2481"/>
      <c r="E306" s="2474"/>
      <c r="F306" s="2474"/>
      <c r="G306" s="2474"/>
      <c r="H306" s="2474"/>
      <c r="I306" s="2474"/>
      <c r="J306" s="4235"/>
      <c r="K306" s="4235"/>
      <c r="L306" s="2474"/>
      <c r="M306" s="1290" t="s">
        <v>2284</v>
      </c>
      <c r="N306" s="377" t="s">
        <v>2457</v>
      </c>
      <c r="O306" s="381">
        <v>28000</v>
      </c>
      <c r="P306" s="4260"/>
      <c r="Q306" s="1344">
        <v>0</v>
      </c>
      <c r="R306" s="1344">
        <v>28000</v>
      </c>
      <c r="S306" s="1344">
        <v>0</v>
      </c>
      <c r="T306" s="1344">
        <v>0</v>
      </c>
      <c r="U306" s="1344">
        <v>0</v>
      </c>
      <c r="V306" s="1344">
        <v>0</v>
      </c>
      <c r="W306" s="1344">
        <v>0</v>
      </c>
      <c r="X306" s="1344">
        <v>0</v>
      </c>
      <c r="Y306" s="1344">
        <v>0</v>
      </c>
      <c r="Z306" s="1344">
        <v>0</v>
      </c>
      <c r="AA306" s="1344">
        <v>0</v>
      </c>
      <c r="AB306" s="1344">
        <v>0</v>
      </c>
      <c r="AC306" s="1468">
        <f t="shared" si="32"/>
        <v>28000</v>
      </c>
      <c r="AD306" s="34"/>
      <c r="AE306" s="34"/>
      <c r="AF306" s="34"/>
      <c r="AG306" s="34"/>
      <c r="AH306" s="34"/>
    </row>
    <row r="307" spans="1:34" ht="22.5" x14ac:dyDescent="0.25">
      <c r="A307" s="179"/>
      <c r="B307" s="2481"/>
      <c r="C307" s="2481"/>
      <c r="D307" s="2481"/>
      <c r="E307" s="2474"/>
      <c r="F307" s="2474"/>
      <c r="G307" s="2474"/>
      <c r="H307" s="2474"/>
      <c r="I307" s="2474"/>
      <c r="J307" s="4235"/>
      <c r="K307" s="4235"/>
      <c r="L307" s="2474"/>
      <c r="M307" s="1290" t="s">
        <v>2253</v>
      </c>
      <c r="N307" s="377" t="s">
        <v>2462</v>
      </c>
      <c r="O307" s="381">
        <v>3000</v>
      </c>
      <c r="P307" s="4260"/>
      <c r="Q307" s="1344">
        <v>0</v>
      </c>
      <c r="R307" s="1344">
        <v>3000</v>
      </c>
      <c r="S307" s="1344">
        <v>0</v>
      </c>
      <c r="T307" s="1344">
        <v>0</v>
      </c>
      <c r="U307" s="1344">
        <v>0</v>
      </c>
      <c r="V307" s="1344">
        <v>0</v>
      </c>
      <c r="W307" s="1344">
        <v>0</v>
      </c>
      <c r="X307" s="1344">
        <v>0</v>
      </c>
      <c r="Y307" s="1344">
        <v>0</v>
      </c>
      <c r="Z307" s="1344">
        <v>0</v>
      </c>
      <c r="AA307" s="1344">
        <v>0</v>
      </c>
      <c r="AB307" s="1344">
        <v>0</v>
      </c>
      <c r="AC307" s="1468">
        <f t="shared" si="32"/>
        <v>3000</v>
      </c>
      <c r="AD307" s="34"/>
      <c r="AE307" s="34"/>
      <c r="AF307" s="34"/>
      <c r="AG307" s="34"/>
      <c r="AH307" s="34"/>
    </row>
    <row r="308" spans="1:34" ht="33.75" x14ac:dyDescent="0.25">
      <c r="A308" s="179"/>
      <c r="B308" s="2481"/>
      <c r="C308" s="2481"/>
      <c r="D308" s="2481"/>
      <c r="E308" s="2474"/>
      <c r="F308" s="2474"/>
      <c r="G308" s="2474"/>
      <c r="H308" s="2474"/>
      <c r="I308" s="2474"/>
      <c r="J308" s="4235"/>
      <c r="K308" s="4235"/>
      <c r="L308" s="2474"/>
      <c r="M308" s="1290" t="s">
        <v>2265</v>
      </c>
      <c r="N308" s="1290" t="s">
        <v>201</v>
      </c>
      <c r="O308" s="381">
        <v>17500</v>
      </c>
      <c r="P308" s="4260"/>
      <c r="Q308" s="1344">
        <v>0</v>
      </c>
      <c r="R308" s="1344">
        <v>4000</v>
      </c>
      <c r="S308" s="1344">
        <v>0</v>
      </c>
      <c r="T308" s="1344">
        <v>0</v>
      </c>
      <c r="U308" s="1344">
        <v>4000</v>
      </c>
      <c r="V308" s="1344">
        <v>0</v>
      </c>
      <c r="W308" s="1344">
        <v>0</v>
      </c>
      <c r="X308" s="1344">
        <v>4000</v>
      </c>
      <c r="Y308" s="1344">
        <v>0</v>
      </c>
      <c r="Z308" s="1344">
        <v>0</v>
      </c>
      <c r="AA308" s="1344">
        <v>4000</v>
      </c>
      <c r="AB308" s="1344">
        <v>1500</v>
      </c>
      <c r="AC308" s="1468">
        <f t="shared" si="32"/>
        <v>17500</v>
      </c>
      <c r="AD308" s="34"/>
      <c r="AE308" s="34"/>
      <c r="AF308" s="34"/>
      <c r="AG308" s="34"/>
      <c r="AH308" s="34"/>
    </row>
    <row r="309" spans="1:34" ht="22.5" x14ac:dyDescent="0.25">
      <c r="A309" s="179"/>
      <c r="B309" s="2481"/>
      <c r="C309" s="2481"/>
      <c r="D309" s="2481"/>
      <c r="E309" s="2474"/>
      <c r="F309" s="2474"/>
      <c r="G309" s="2474"/>
      <c r="H309" s="2474"/>
      <c r="I309" s="2474"/>
      <c r="J309" s="4235"/>
      <c r="K309" s="4235"/>
      <c r="L309" s="2474"/>
      <c r="M309" s="1290" t="s">
        <v>2263</v>
      </c>
      <c r="N309" s="1290" t="s">
        <v>2380</v>
      </c>
      <c r="O309" s="381">
        <v>2800</v>
      </c>
      <c r="P309" s="4260"/>
      <c r="Q309" s="1344">
        <v>200</v>
      </c>
      <c r="R309" s="1344">
        <v>200</v>
      </c>
      <c r="S309" s="1344">
        <v>400</v>
      </c>
      <c r="T309" s="1344">
        <v>200</v>
      </c>
      <c r="U309" s="1344">
        <v>200</v>
      </c>
      <c r="V309" s="1344">
        <v>200</v>
      </c>
      <c r="W309" s="1344">
        <v>400</v>
      </c>
      <c r="X309" s="1344">
        <v>200</v>
      </c>
      <c r="Y309" s="1344">
        <v>200</v>
      </c>
      <c r="Z309" s="1344">
        <v>200</v>
      </c>
      <c r="AA309" s="1344">
        <v>200</v>
      </c>
      <c r="AB309" s="1344">
        <v>200</v>
      </c>
      <c r="AC309" s="1468">
        <f t="shared" si="32"/>
        <v>2800</v>
      </c>
      <c r="AD309" s="34"/>
      <c r="AE309" s="34"/>
      <c r="AF309" s="34"/>
      <c r="AG309" s="34"/>
      <c r="AH309" s="34"/>
    </row>
    <row r="310" spans="1:34" x14ac:dyDescent="0.25">
      <c r="A310" s="179"/>
      <c r="B310" s="2481"/>
      <c r="C310" s="2481"/>
      <c r="D310" s="2481"/>
      <c r="E310" s="2474"/>
      <c r="F310" s="2474"/>
      <c r="G310" s="2474"/>
      <c r="H310" s="2474"/>
      <c r="I310" s="2474"/>
      <c r="J310" s="4235"/>
      <c r="K310" s="4235"/>
      <c r="L310" s="2474"/>
      <c r="M310" s="1290" t="s">
        <v>2103</v>
      </c>
      <c r="N310" s="1309" t="s">
        <v>1478</v>
      </c>
      <c r="O310" s="381">
        <v>1500</v>
      </c>
      <c r="P310" s="4260"/>
      <c r="Q310" s="1344">
        <v>0</v>
      </c>
      <c r="R310" s="1344">
        <v>0</v>
      </c>
      <c r="S310" s="1344">
        <v>1500</v>
      </c>
      <c r="T310" s="1344">
        <v>0</v>
      </c>
      <c r="U310" s="1344">
        <v>0</v>
      </c>
      <c r="V310" s="1344">
        <v>0</v>
      </c>
      <c r="W310" s="1344">
        <v>0</v>
      </c>
      <c r="X310" s="1344">
        <v>0</v>
      </c>
      <c r="Y310" s="1344">
        <v>0</v>
      </c>
      <c r="Z310" s="1344">
        <v>0</v>
      </c>
      <c r="AA310" s="1344">
        <v>0</v>
      </c>
      <c r="AB310" s="1344">
        <v>0</v>
      </c>
      <c r="AC310" s="1468">
        <f t="shared" si="32"/>
        <v>1500</v>
      </c>
      <c r="AD310" s="34"/>
      <c r="AE310" s="34"/>
      <c r="AF310" s="34"/>
      <c r="AG310" s="34"/>
      <c r="AH310" s="34"/>
    </row>
    <row r="311" spans="1:34" ht="33.75" x14ac:dyDescent="0.25">
      <c r="A311" s="201"/>
      <c r="B311" s="2482"/>
      <c r="C311" s="2482"/>
      <c r="D311" s="2482"/>
      <c r="E311" s="4233"/>
      <c r="F311" s="4233"/>
      <c r="G311" s="4233"/>
      <c r="H311" s="4233"/>
      <c r="I311" s="4233"/>
      <c r="J311" s="4258"/>
      <c r="K311" s="4258"/>
      <c r="L311" s="4233"/>
      <c r="M311" s="1290" t="s">
        <v>2464</v>
      </c>
      <c r="N311" s="1309" t="s">
        <v>2465</v>
      </c>
      <c r="O311" s="381">
        <v>10500</v>
      </c>
      <c r="P311" s="4261"/>
      <c r="Q311" s="1346">
        <v>0</v>
      </c>
      <c r="R311" s="1346">
        <v>2600</v>
      </c>
      <c r="S311" s="1346">
        <v>0</v>
      </c>
      <c r="T311" s="1346">
        <v>0</v>
      </c>
      <c r="U311" s="1346">
        <v>2600</v>
      </c>
      <c r="V311" s="1346">
        <v>0</v>
      </c>
      <c r="W311" s="1346">
        <v>0</v>
      </c>
      <c r="X311" s="1346">
        <v>2600</v>
      </c>
      <c r="Y311" s="1346">
        <v>0</v>
      </c>
      <c r="Z311" s="1346">
        <v>0</v>
      </c>
      <c r="AA311" s="1346">
        <v>2700</v>
      </c>
      <c r="AB311" s="1346">
        <v>0</v>
      </c>
      <c r="AC311" s="1468">
        <f t="shared" si="32"/>
        <v>10500</v>
      </c>
      <c r="AD311" s="34"/>
      <c r="AE311" s="34"/>
      <c r="AF311" s="34"/>
      <c r="AG311" s="34"/>
      <c r="AH311" s="34"/>
    </row>
    <row r="312" spans="1:34" x14ac:dyDescent="0.25">
      <c r="A312" s="34"/>
      <c r="B312" s="448"/>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row>
    <row r="313" spans="1:34" x14ac:dyDescent="0.25">
      <c r="A313" s="34"/>
      <c r="B313" s="448"/>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row>
    <row r="314" spans="1:34" x14ac:dyDescent="0.25">
      <c r="A314" s="34"/>
      <c r="B314" s="448"/>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row>
    <row r="315" spans="1:34" x14ac:dyDescent="0.25">
      <c r="A315" s="34"/>
      <c r="B315" s="448"/>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row>
    <row r="316" spans="1:34" x14ac:dyDescent="0.25">
      <c r="A316" s="34"/>
      <c r="B316" s="448"/>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row>
    <row r="317" spans="1:34" x14ac:dyDescent="0.25">
      <c r="A317" s="34"/>
      <c r="B317" s="448"/>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row>
    <row r="318" spans="1:34" x14ac:dyDescent="0.25">
      <c r="A318" s="34"/>
      <c r="B318" s="448"/>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row>
    <row r="319" spans="1:34" x14ac:dyDescent="0.25">
      <c r="A319" s="34"/>
      <c r="B319" s="448"/>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row>
    <row r="320" spans="1:34" x14ac:dyDescent="0.25">
      <c r="A320" s="34"/>
      <c r="B320" s="448"/>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row>
    <row r="321" spans="1:34" x14ac:dyDescent="0.25">
      <c r="A321" s="34"/>
      <c r="B321" s="448"/>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row>
    <row r="322" spans="1:34" x14ac:dyDescent="0.25">
      <c r="A322" s="34"/>
      <c r="B322" s="448"/>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row>
    <row r="323" spans="1:34" x14ac:dyDescent="0.25">
      <c r="A323" s="34"/>
      <c r="B323" s="448"/>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row>
    <row r="324" spans="1:34" x14ac:dyDescent="0.25">
      <c r="A324" s="34"/>
      <c r="B324" s="448"/>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row>
    <row r="325" spans="1:34" x14ac:dyDescent="0.25">
      <c r="A325" s="34"/>
      <c r="B325" s="448"/>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row>
    <row r="326" spans="1:34" x14ac:dyDescent="0.25">
      <c r="A326" s="34"/>
      <c r="B326" s="448"/>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row>
    <row r="327" spans="1:34" x14ac:dyDescent="0.25">
      <c r="A327" s="34"/>
      <c r="B327" s="448"/>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row>
    <row r="328" spans="1:34" x14ac:dyDescent="0.25">
      <c r="A328" s="34"/>
      <c r="B328" s="448"/>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row>
    <row r="329" spans="1:34" x14ac:dyDescent="0.25">
      <c r="A329" s="34"/>
      <c r="B329" s="448"/>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row>
    <row r="330" spans="1:34" x14ac:dyDescent="0.25">
      <c r="A330" s="34"/>
      <c r="B330" s="448"/>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row>
    <row r="331" spans="1:34" x14ac:dyDescent="0.25">
      <c r="A331" s="34"/>
      <c r="B331" s="448"/>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row>
    <row r="332" spans="1:34" x14ac:dyDescent="0.25">
      <c r="A332" s="34"/>
      <c r="B332" s="448"/>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row>
    <row r="333" spans="1:34" x14ac:dyDescent="0.25">
      <c r="A333" s="34"/>
      <c r="B333" s="448"/>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row>
    <row r="334" spans="1:34" x14ac:dyDescent="0.25">
      <c r="A334" s="34"/>
      <c r="B334" s="448"/>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row>
    <row r="335" spans="1:34" x14ac:dyDescent="0.25">
      <c r="A335" s="34"/>
      <c r="B335" s="448"/>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row>
    <row r="336" spans="1:34" x14ac:dyDescent="0.25">
      <c r="A336" s="34"/>
      <c r="B336" s="448"/>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row>
    <row r="337" spans="1:34" x14ac:dyDescent="0.25">
      <c r="A337" s="34"/>
      <c r="B337" s="448"/>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row>
    <row r="338" spans="1:34" x14ac:dyDescent="0.25">
      <c r="A338" s="34"/>
      <c r="B338" s="448"/>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row>
    <row r="339" spans="1:34" x14ac:dyDescent="0.25">
      <c r="A339" s="34"/>
      <c r="B339" s="448"/>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row>
    <row r="340" spans="1:34" x14ac:dyDescent="0.25">
      <c r="A340" s="34"/>
      <c r="B340" s="448"/>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row>
    <row r="341" spans="1:34" x14ac:dyDescent="0.25">
      <c r="A341" s="34"/>
      <c r="B341" s="448"/>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row>
    <row r="342" spans="1:34" x14ac:dyDescent="0.25">
      <c r="A342" s="34"/>
      <c r="B342" s="448"/>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row>
    <row r="343" spans="1:34" x14ac:dyDescent="0.25">
      <c r="A343" s="34"/>
      <c r="B343" s="448"/>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row>
    <row r="344" spans="1:34" x14ac:dyDescent="0.25">
      <c r="A344" s="34"/>
      <c r="B344" s="448"/>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row>
    <row r="345" spans="1:34" x14ac:dyDescent="0.25">
      <c r="A345" s="34"/>
      <c r="B345" s="448"/>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row>
    <row r="346" spans="1:34" x14ac:dyDescent="0.25">
      <c r="A346" s="34"/>
      <c r="B346" s="448"/>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row>
    <row r="347" spans="1:34" x14ac:dyDescent="0.25">
      <c r="A347" s="34"/>
      <c r="B347" s="448"/>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row>
    <row r="348" spans="1:34" x14ac:dyDescent="0.25">
      <c r="A348" s="34"/>
      <c r="B348" s="448"/>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row>
    <row r="349" spans="1:34" x14ac:dyDescent="0.25">
      <c r="A349" s="34"/>
      <c r="B349" s="448"/>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row>
    <row r="350" spans="1:34" x14ac:dyDescent="0.25">
      <c r="A350" s="34"/>
      <c r="B350" s="448"/>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row>
    <row r="351" spans="1:34"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row>
    <row r="352" spans="1:34"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row>
    <row r="353" spans="1:34"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row>
    <row r="354" spans="1:34"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row>
    <row r="355" spans="1:34"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row>
    <row r="356" spans="1:34"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row>
    <row r="357" spans="1:34"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row>
    <row r="358" spans="1:34"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row>
    <row r="359" spans="1:34"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row>
    <row r="360" spans="1:34"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row>
    <row r="361" spans="1:34"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row>
    <row r="362" spans="1:34"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row>
    <row r="363" spans="1:34"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row>
    <row r="364" spans="1:34"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row>
    <row r="365" spans="1:34"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row>
    <row r="366" spans="1:34"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row>
    <row r="367" spans="1:34"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row>
    <row r="368" spans="1:34"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row>
    <row r="369" spans="1:34"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row>
    <row r="370" spans="1:34"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row>
    <row r="371" spans="1:34"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row>
    <row r="372" spans="1:34"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row>
    <row r="373" spans="1:34"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row>
    <row r="374" spans="1:34"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row>
    <row r="375" spans="1:34"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row>
    <row r="376" spans="1:34"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row>
    <row r="377" spans="1:34"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row>
    <row r="378" spans="1:34"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row>
    <row r="379" spans="1:34"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row>
    <row r="380" spans="1:34"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row>
    <row r="381" spans="1:34"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row>
    <row r="382" spans="1:34"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row>
    <row r="383" spans="1:34"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row>
    <row r="384" spans="1:34"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row>
    <row r="385" spans="1:34"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row>
    <row r="386" spans="1:34"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row>
    <row r="387" spans="1:34"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row>
    <row r="388" spans="1:34"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row>
    <row r="389" spans="1:34"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row>
    <row r="390" spans="1:34"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row>
    <row r="391" spans="1:34"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row>
    <row r="392" spans="1:34"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row>
    <row r="393" spans="1:34"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row>
    <row r="394" spans="1:34"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row>
    <row r="395" spans="1:34"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row>
    <row r="396" spans="1:34"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row>
    <row r="397" spans="1:34"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row>
    <row r="398" spans="1:34"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row>
    <row r="399" spans="1:34"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row>
    <row r="400" spans="1:34"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row>
    <row r="401" spans="1:34"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row>
    <row r="402" spans="1:34"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row>
    <row r="403" spans="1:34"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row>
    <row r="404" spans="1:34"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row>
    <row r="405" spans="1:34"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row>
    <row r="406" spans="1:34"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row>
    <row r="407" spans="1:34"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row>
    <row r="408" spans="1:34"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row>
  </sheetData>
  <mergeCells count="751">
    <mergeCell ref="A7:A14"/>
    <mergeCell ref="K265:K281"/>
    <mergeCell ref="L265:L281"/>
    <mergeCell ref="A1:AA1"/>
    <mergeCell ref="B17:B18"/>
    <mergeCell ref="C17:C18"/>
    <mergeCell ref="D17:D18"/>
    <mergeCell ref="E17:E18"/>
    <mergeCell ref="F17:F18"/>
    <mergeCell ref="G17:G18"/>
    <mergeCell ref="H17:H18"/>
    <mergeCell ref="I17:I18"/>
    <mergeCell ref="B129:B130"/>
    <mergeCell ref="C129:C130"/>
    <mergeCell ref="D129:D130"/>
    <mergeCell ref="E129:E130"/>
    <mergeCell ref="F129:F130"/>
    <mergeCell ref="G129:G130"/>
    <mergeCell ref="H129:H130"/>
    <mergeCell ref="I129:I130"/>
    <mergeCell ref="C218:M218"/>
    <mergeCell ref="B163:B191"/>
    <mergeCell ref="C163:C191"/>
    <mergeCell ref="H195:H199"/>
    <mergeCell ref="M265:O265"/>
    <mergeCell ref="P266:P281"/>
    <mergeCell ref="K248:K264"/>
    <mergeCell ref="L248:L264"/>
    <mergeCell ref="M248:O248"/>
    <mergeCell ref="P249:P264"/>
    <mergeCell ref="K229:K234"/>
    <mergeCell ref="L229:L234"/>
    <mergeCell ref="M229:O229"/>
    <mergeCell ref="P230:P234"/>
    <mergeCell ref="K235:K247"/>
    <mergeCell ref="L235:L247"/>
    <mergeCell ref="M235:O235"/>
    <mergeCell ref="P236:P247"/>
    <mergeCell ref="K304:K311"/>
    <mergeCell ref="L304:L311"/>
    <mergeCell ref="M304:O304"/>
    <mergeCell ref="P305:P311"/>
    <mergeCell ref="L298:L299"/>
    <mergeCell ref="M298:M299"/>
    <mergeCell ref="N298:N299"/>
    <mergeCell ref="O298:O299"/>
    <mergeCell ref="P298:P299"/>
    <mergeCell ref="M129:N129"/>
    <mergeCell ref="M127:N128"/>
    <mergeCell ref="M130:N130"/>
    <mergeCell ref="M144:N145"/>
    <mergeCell ref="M146:N146"/>
    <mergeCell ref="M147:N147"/>
    <mergeCell ref="M161:N162"/>
    <mergeCell ref="M163:N163"/>
    <mergeCell ref="K116:K124"/>
    <mergeCell ref="L116:L124"/>
    <mergeCell ref="L161:L162"/>
    <mergeCell ref="L146:L147"/>
    <mergeCell ref="L129:L130"/>
    <mergeCell ref="K129:K130"/>
    <mergeCell ref="J129:J130"/>
    <mergeCell ref="K163:K191"/>
    <mergeCell ref="L163:L191"/>
    <mergeCell ref="K146:K147"/>
    <mergeCell ref="K148:K158"/>
    <mergeCell ref="L148:L158"/>
    <mergeCell ref="L131:L141"/>
    <mergeCell ref="G131:G141"/>
    <mergeCell ref="H131:H141"/>
    <mergeCell ref="I131:I141"/>
    <mergeCell ref="J131:J141"/>
    <mergeCell ref="K131:K141"/>
    <mergeCell ref="B304:B311"/>
    <mergeCell ref="C304:C311"/>
    <mergeCell ref="D304:D311"/>
    <mergeCell ref="E304:E311"/>
    <mergeCell ref="F304:F311"/>
    <mergeCell ref="G304:G311"/>
    <mergeCell ref="H304:H311"/>
    <mergeCell ref="I304:I311"/>
    <mergeCell ref="J304:J311"/>
    <mergeCell ref="Q298:AB298"/>
    <mergeCell ref="AC298:AC299"/>
    <mergeCell ref="B300:B303"/>
    <mergeCell ref="C300:C303"/>
    <mergeCell ref="D300:D303"/>
    <mergeCell ref="E300:E303"/>
    <mergeCell ref="F300:F303"/>
    <mergeCell ref="G300:G303"/>
    <mergeCell ref="H300:H303"/>
    <mergeCell ref="I300:I303"/>
    <mergeCell ref="J300:J303"/>
    <mergeCell ref="K300:K303"/>
    <mergeCell ref="L300:L303"/>
    <mergeCell ref="M300:O300"/>
    <mergeCell ref="P301:P303"/>
    <mergeCell ref="B298:B299"/>
    <mergeCell ref="C298:C299"/>
    <mergeCell ref="D298:D299"/>
    <mergeCell ref="E298:E299"/>
    <mergeCell ref="F298:F299"/>
    <mergeCell ref="G298:G299"/>
    <mergeCell ref="H298:H299"/>
    <mergeCell ref="I298:I299"/>
    <mergeCell ref="J298:K298"/>
    <mergeCell ref="B296:B297"/>
    <mergeCell ref="C296:C297"/>
    <mergeCell ref="D296:R297"/>
    <mergeCell ref="X296:AA296"/>
    <mergeCell ref="AB296:AC296"/>
    <mergeCell ref="X297:AA297"/>
    <mergeCell ref="AB297:AC297"/>
    <mergeCell ref="B286:B295"/>
    <mergeCell ref="C286:C295"/>
    <mergeCell ref="D286:D295"/>
    <mergeCell ref="E286:E295"/>
    <mergeCell ref="F286:F295"/>
    <mergeCell ref="G286:G295"/>
    <mergeCell ref="H286:H295"/>
    <mergeCell ref="I286:I295"/>
    <mergeCell ref="J286:J295"/>
    <mergeCell ref="K286:K295"/>
    <mergeCell ref="L286:L295"/>
    <mergeCell ref="M286:O286"/>
    <mergeCell ref="P287:P295"/>
    <mergeCell ref="B282:B283"/>
    <mergeCell ref="C282:C283"/>
    <mergeCell ref="D282:R283"/>
    <mergeCell ref="X282:AA282"/>
    <mergeCell ref="AB282:AC282"/>
    <mergeCell ref="X283:AA283"/>
    <mergeCell ref="AB283:AC283"/>
    <mergeCell ref="B284:B285"/>
    <mergeCell ref="C284:C285"/>
    <mergeCell ref="D284:D285"/>
    <mergeCell ref="E284:E285"/>
    <mergeCell ref="F284:F285"/>
    <mergeCell ref="G284:G285"/>
    <mergeCell ref="H284:H285"/>
    <mergeCell ref="I284:I285"/>
    <mergeCell ref="J284:K284"/>
    <mergeCell ref="L284:L285"/>
    <mergeCell ref="M284:M285"/>
    <mergeCell ref="N284:N285"/>
    <mergeCell ref="O284:O285"/>
    <mergeCell ref="P284:P285"/>
    <mergeCell ref="Q284:AB284"/>
    <mergeCell ref="AC284:AC285"/>
    <mergeCell ref="B248:B264"/>
    <mergeCell ref="C248:C264"/>
    <mergeCell ref="D248:D264"/>
    <mergeCell ref="E248:E264"/>
    <mergeCell ref="F248:F264"/>
    <mergeCell ref="G248:G264"/>
    <mergeCell ref="H248:H264"/>
    <mergeCell ref="I248:I264"/>
    <mergeCell ref="J248:J264"/>
    <mergeCell ref="B265:B281"/>
    <mergeCell ref="C265:C281"/>
    <mergeCell ref="D265:D281"/>
    <mergeCell ref="E265:E281"/>
    <mergeCell ref="F265:F281"/>
    <mergeCell ref="G265:G281"/>
    <mergeCell ref="H265:H281"/>
    <mergeCell ref="I265:I281"/>
    <mergeCell ref="J265:J281"/>
    <mergeCell ref="B235:B247"/>
    <mergeCell ref="C235:C247"/>
    <mergeCell ref="D235:D247"/>
    <mergeCell ref="E235:E247"/>
    <mergeCell ref="F235:F247"/>
    <mergeCell ref="G235:G247"/>
    <mergeCell ref="H235:H247"/>
    <mergeCell ref="I235:I247"/>
    <mergeCell ref="J235:J247"/>
    <mergeCell ref="B229:B234"/>
    <mergeCell ref="C229:C234"/>
    <mergeCell ref="D229:D234"/>
    <mergeCell ref="E229:E234"/>
    <mergeCell ref="F229:F234"/>
    <mergeCell ref="G229:G234"/>
    <mergeCell ref="H229:H234"/>
    <mergeCell ref="I229:I234"/>
    <mergeCell ref="J229:J234"/>
    <mergeCell ref="B225:B226"/>
    <mergeCell ref="C225:C226"/>
    <mergeCell ref="D225:R226"/>
    <mergeCell ref="X225:AA225"/>
    <mergeCell ref="AB225:AC225"/>
    <mergeCell ref="X226:AA226"/>
    <mergeCell ref="AB226:AC226"/>
    <mergeCell ref="B227:B228"/>
    <mergeCell ref="C227:C228"/>
    <mergeCell ref="D227:D228"/>
    <mergeCell ref="E227:E228"/>
    <mergeCell ref="F227:F228"/>
    <mergeCell ref="G227:G228"/>
    <mergeCell ref="H227:H228"/>
    <mergeCell ref="I227:I228"/>
    <mergeCell ref="J227:K227"/>
    <mergeCell ref="L227:L228"/>
    <mergeCell ref="M227:M228"/>
    <mergeCell ref="N227:N228"/>
    <mergeCell ref="O227:O228"/>
    <mergeCell ref="P227:P228"/>
    <mergeCell ref="Q227:AB227"/>
    <mergeCell ref="AC227:AC228"/>
    <mergeCell ref="C221:X221"/>
    <mergeCell ref="B222:B224"/>
    <mergeCell ref="C222:C224"/>
    <mergeCell ref="D222:R224"/>
    <mergeCell ref="S222:W224"/>
    <mergeCell ref="X222:AA222"/>
    <mergeCell ref="AB222:AC222"/>
    <mergeCell ref="X223:AA224"/>
    <mergeCell ref="AB223:AC224"/>
    <mergeCell ref="L213:L216"/>
    <mergeCell ref="B193:B194"/>
    <mergeCell ref="M213:N213"/>
    <mergeCell ref="M214:N214"/>
    <mergeCell ref="G213:G216"/>
    <mergeCell ref="H213:H216"/>
    <mergeCell ref="I213:I216"/>
    <mergeCell ref="G200:G205"/>
    <mergeCell ref="M200:N200"/>
    <mergeCell ref="M201:N201"/>
    <mergeCell ref="M206:N206"/>
    <mergeCell ref="M207:N207"/>
    <mergeCell ref="B197:B216"/>
    <mergeCell ref="C195:C199"/>
    <mergeCell ref="D195:D199"/>
    <mergeCell ref="E195:E199"/>
    <mergeCell ref="F195:F199"/>
    <mergeCell ref="E200:E205"/>
    <mergeCell ref="F200:F205"/>
    <mergeCell ref="K195:K199"/>
    <mergeCell ref="J195:J199"/>
    <mergeCell ref="I195:I199"/>
    <mergeCell ref="C217:J217"/>
    <mergeCell ref="J213:J216"/>
    <mergeCell ref="K213:K216"/>
    <mergeCell ref="C200:C205"/>
    <mergeCell ref="H200:H205"/>
    <mergeCell ref="I200:I205"/>
    <mergeCell ref="J200:J205"/>
    <mergeCell ref="K200:K205"/>
    <mergeCell ref="L200:L205"/>
    <mergeCell ref="L206:L212"/>
    <mergeCell ref="G206:G212"/>
    <mergeCell ref="H206:H212"/>
    <mergeCell ref="I206:I212"/>
    <mergeCell ref="J206:J212"/>
    <mergeCell ref="K206:K212"/>
    <mergeCell ref="C213:C216"/>
    <mergeCell ref="D213:D216"/>
    <mergeCell ref="E213:E216"/>
    <mergeCell ref="F213:F216"/>
    <mergeCell ref="C206:C212"/>
    <mergeCell ref="D206:D212"/>
    <mergeCell ref="E206:E212"/>
    <mergeCell ref="F206:F212"/>
    <mergeCell ref="D200:D205"/>
    <mergeCell ref="O193:Z193"/>
    <mergeCell ref="AA193:AA194"/>
    <mergeCell ref="M195:N195"/>
    <mergeCell ref="M196:N196"/>
    <mergeCell ref="M164:N164"/>
    <mergeCell ref="M193:N194"/>
    <mergeCell ref="C193:C194"/>
    <mergeCell ref="D193:D194"/>
    <mergeCell ref="G195:G199"/>
    <mergeCell ref="L195:L199"/>
    <mergeCell ref="D163:D191"/>
    <mergeCell ref="E163:E191"/>
    <mergeCell ref="F163:F191"/>
    <mergeCell ref="G163:G191"/>
    <mergeCell ref="H163:H191"/>
    <mergeCell ref="I163:I191"/>
    <mergeCell ref="J163:J191"/>
    <mergeCell ref="L193:L194"/>
    <mergeCell ref="O161:Z161"/>
    <mergeCell ref="AA161:AA162"/>
    <mergeCell ref="B148:B158"/>
    <mergeCell ref="C148:C158"/>
    <mergeCell ref="D148:D158"/>
    <mergeCell ref="E148:E158"/>
    <mergeCell ref="F148:F158"/>
    <mergeCell ref="G148:G158"/>
    <mergeCell ref="B161:B162"/>
    <mergeCell ref="C161:C162"/>
    <mergeCell ref="D161:D162"/>
    <mergeCell ref="E161:E162"/>
    <mergeCell ref="F161:F162"/>
    <mergeCell ref="G161:G162"/>
    <mergeCell ref="H161:H162"/>
    <mergeCell ref="I161:I162"/>
    <mergeCell ref="J161:K161"/>
    <mergeCell ref="B159:B160"/>
    <mergeCell ref="C159:C160"/>
    <mergeCell ref="Z159:AA159"/>
    <mergeCell ref="Z160:AA160"/>
    <mergeCell ref="H148:H158"/>
    <mergeCell ref="I148:I158"/>
    <mergeCell ref="J148:J158"/>
    <mergeCell ref="B146:B147"/>
    <mergeCell ref="C146:C147"/>
    <mergeCell ref="D146:D147"/>
    <mergeCell ref="E146:E147"/>
    <mergeCell ref="F146:F147"/>
    <mergeCell ref="G146:G147"/>
    <mergeCell ref="H146:H147"/>
    <mergeCell ref="I146:I147"/>
    <mergeCell ref="J146:J147"/>
    <mergeCell ref="Z142:AA142"/>
    <mergeCell ref="V143:Y143"/>
    <mergeCell ref="Z143:AA143"/>
    <mergeCell ref="B144:B145"/>
    <mergeCell ref="C144:C145"/>
    <mergeCell ref="D144:D145"/>
    <mergeCell ref="E144:E145"/>
    <mergeCell ref="F144:F145"/>
    <mergeCell ref="G144:G145"/>
    <mergeCell ref="H144:H145"/>
    <mergeCell ref="I144:I145"/>
    <mergeCell ref="J144:K144"/>
    <mergeCell ref="L144:L145"/>
    <mergeCell ref="O144:Z144"/>
    <mergeCell ref="AA144:AA145"/>
    <mergeCell ref="B142:B143"/>
    <mergeCell ref="C142:C143"/>
    <mergeCell ref="D142:U143"/>
    <mergeCell ref="V142:Y142"/>
    <mergeCell ref="B131:B141"/>
    <mergeCell ref="C131:C141"/>
    <mergeCell ref="D131:D141"/>
    <mergeCell ref="E131:E141"/>
    <mergeCell ref="F131:F141"/>
    <mergeCell ref="B127:B128"/>
    <mergeCell ref="C127:C128"/>
    <mergeCell ref="D127:D128"/>
    <mergeCell ref="E127:E128"/>
    <mergeCell ref="F127:F128"/>
    <mergeCell ref="B125:B126"/>
    <mergeCell ref="C125:C126"/>
    <mergeCell ref="D125:U126"/>
    <mergeCell ref="V125:Y125"/>
    <mergeCell ref="O127:Z127"/>
    <mergeCell ref="Z125:AA125"/>
    <mergeCell ref="V126:Y126"/>
    <mergeCell ref="Z126:AA126"/>
    <mergeCell ref="AA127:AA128"/>
    <mergeCell ref="G127:G128"/>
    <mergeCell ref="H127:H128"/>
    <mergeCell ref="I127:I128"/>
    <mergeCell ref="J127:K127"/>
    <mergeCell ref="L127:L128"/>
    <mergeCell ref="B116:B124"/>
    <mergeCell ref="C116:C124"/>
    <mergeCell ref="D116:D124"/>
    <mergeCell ref="E116:E124"/>
    <mergeCell ref="F116:F124"/>
    <mergeCell ref="G116:G124"/>
    <mergeCell ref="H116:H124"/>
    <mergeCell ref="I116:I124"/>
    <mergeCell ref="J116:J124"/>
    <mergeCell ref="B110:B111"/>
    <mergeCell ref="C110:C111"/>
    <mergeCell ref="D110:U111"/>
    <mergeCell ref="L112:L113"/>
    <mergeCell ref="M112:M113"/>
    <mergeCell ref="N112:N113"/>
    <mergeCell ref="O112:Z112"/>
    <mergeCell ref="V110:Y110"/>
    <mergeCell ref="Z110:AA110"/>
    <mergeCell ref="V111:Y111"/>
    <mergeCell ref="Z111:AA111"/>
    <mergeCell ref="AA112:AA113"/>
    <mergeCell ref="B112:B113"/>
    <mergeCell ref="C112:C113"/>
    <mergeCell ref="D112:D113"/>
    <mergeCell ref="E112:E113"/>
    <mergeCell ref="F112:F113"/>
    <mergeCell ref="G112:G113"/>
    <mergeCell ref="H112:H113"/>
    <mergeCell ref="I112:I113"/>
    <mergeCell ref="J112:K112"/>
    <mergeCell ref="M106:N106"/>
    <mergeCell ref="G104:G105"/>
    <mergeCell ref="H104:H105"/>
    <mergeCell ref="I104:I105"/>
    <mergeCell ref="J104:K104"/>
    <mergeCell ref="L104:L105"/>
    <mergeCell ref="M104:M105"/>
    <mergeCell ref="N104:N105"/>
    <mergeCell ref="B107:B109"/>
    <mergeCell ref="C107:C109"/>
    <mergeCell ref="L107:L109"/>
    <mergeCell ref="B104:B105"/>
    <mergeCell ref="C104:C105"/>
    <mergeCell ref="D104:D105"/>
    <mergeCell ref="E104:E105"/>
    <mergeCell ref="F104:F105"/>
    <mergeCell ref="B102:B103"/>
    <mergeCell ref="C102:C103"/>
    <mergeCell ref="D102:U103"/>
    <mergeCell ref="V102:Y102"/>
    <mergeCell ref="Z102:AA102"/>
    <mergeCell ref="V103:Y103"/>
    <mergeCell ref="Z103:AA103"/>
    <mergeCell ref="O104:Z104"/>
    <mergeCell ref="AA104:AA105"/>
    <mergeCell ref="Z97:AA97"/>
    <mergeCell ref="V98:Y99"/>
    <mergeCell ref="Z98:AA99"/>
    <mergeCell ref="V100:Y100"/>
    <mergeCell ref="Z100:AA100"/>
    <mergeCell ref="C96:V96"/>
    <mergeCell ref="B97:B101"/>
    <mergeCell ref="C97:C101"/>
    <mergeCell ref="D97:U101"/>
    <mergeCell ref="V97:Y97"/>
    <mergeCell ref="V101:Y101"/>
    <mergeCell ref="Z101:AA101"/>
    <mergeCell ref="B90:B94"/>
    <mergeCell ref="C90:V90"/>
    <mergeCell ref="C91:V91"/>
    <mergeCell ref="C92:V92"/>
    <mergeCell ref="C93:V93"/>
    <mergeCell ref="C94:V94"/>
    <mergeCell ref="W87:W88"/>
    <mergeCell ref="B85:B88"/>
    <mergeCell ref="C85:C88"/>
    <mergeCell ref="D85:D88"/>
    <mergeCell ref="E85:E88"/>
    <mergeCell ref="F85:F88"/>
    <mergeCell ref="G85:G88"/>
    <mergeCell ref="H85:H88"/>
    <mergeCell ref="I85:I88"/>
    <mergeCell ref="J85:J88"/>
    <mergeCell ref="K85:K88"/>
    <mergeCell ref="L85:L88"/>
    <mergeCell ref="M86:N86"/>
    <mergeCell ref="M87:M88"/>
    <mergeCell ref="N87:N88"/>
    <mergeCell ref="P87:P88"/>
    <mergeCell ref="Q87:Q88"/>
    <mergeCell ref="M85:N85"/>
    <mergeCell ref="Y72:Y77"/>
    <mergeCell ref="S72:S77"/>
    <mergeCell ref="X87:X88"/>
    <mergeCell ref="Y87:Y88"/>
    <mergeCell ref="Z87:Z88"/>
    <mergeCell ref="AA87:AA88"/>
    <mergeCell ref="R87:R88"/>
    <mergeCell ref="S87:S88"/>
    <mergeCell ref="T87:T88"/>
    <mergeCell ref="U87:U88"/>
    <mergeCell ref="V87:V88"/>
    <mergeCell ref="Q72:Q77"/>
    <mergeCell ref="R72:R77"/>
    <mergeCell ref="Z80:Z84"/>
    <mergeCell ref="Z65:Z69"/>
    <mergeCell ref="Q80:Q84"/>
    <mergeCell ref="S78:U78"/>
    <mergeCell ref="V78:Z78"/>
    <mergeCell ref="AA80:AA81"/>
    <mergeCell ref="R80:R84"/>
    <mergeCell ref="S80:S84"/>
    <mergeCell ref="T80:T84"/>
    <mergeCell ref="U80:U84"/>
    <mergeCell ref="V80:V84"/>
    <mergeCell ref="Z72:Z77"/>
    <mergeCell ref="AA72:AA73"/>
    <mergeCell ref="T72:T77"/>
    <mergeCell ref="U72:U77"/>
    <mergeCell ref="V72:V77"/>
    <mergeCell ref="W72:W77"/>
    <mergeCell ref="X72:X77"/>
    <mergeCell ref="R65:R69"/>
    <mergeCell ref="S65:S69"/>
    <mergeCell ref="T65:T69"/>
    <mergeCell ref="AA65:AA66"/>
    <mergeCell ref="V70:X70"/>
    <mergeCell ref="Y70:Z70"/>
    <mergeCell ref="H49:H54"/>
    <mergeCell ref="I49:I54"/>
    <mergeCell ref="J49:J54"/>
    <mergeCell ref="K49:K54"/>
    <mergeCell ref="L49:L54"/>
    <mergeCell ref="M49:N49"/>
    <mergeCell ref="M50:N50"/>
    <mergeCell ref="M51:M52"/>
    <mergeCell ref="N51:N52"/>
    <mergeCell ref="K63:K69"/>
    <mergeCell ref="L63:L69"/>
    <mergeCell ref="M70:N70"/>
    <mergeCell ref="P70:Q70"/>
    <mergeCell ref="AA42:AA43"/>
    <mergeCell ref="K17:K18"/>
    <mergeCell ref="B44:B48"/>
    <mergeCell ref="C44:C48"/>
    <mergeCell ref="D44:D48"/>
    <mergeCell ref="E44:E48"/>
    <mergeCell ref="F44:F48"/>
    <mergeCell ref="G44:G48"/>
    <mergeCell ref="H44:H48"/>
    <mergeCell ref="I44:I48"/>
    <mergeCell ref="J44:J48"/>
    <mergeCell ref="K44:K48"/>
    <mergeCell ref="L44:L48"/>
    <mergeCell ref="M44:N44"/>
    <mergeCell ref="M45:N45"/>
    <mergeCell ref="G42:G43"/>
    <mergeCell ref="H42:H43"/>
    <mergeCell ref="I42:I43"/>
    <mergeCell ref="J42:K42"/>
    <mergeCell ref="L42:L43"/>
    <mergeCell ref="B42:B43"/>
    <mergeCell ref="C42:C43"/>
    <mergeCell ref="D42:D43"/>
    <mergeCell ref="L26:L31"/>
    <mergeCell ref="C5:AA5"/>
    <mergeCell ref="C6:AA6"/>
    <mergeCell ref="C37:AA37"/>
    <mergeCell ref="C38:H38"/>
    <mergeCell ref="C40:C41"/>
    <mergeCell ref="D40:I41"/>
    <mergeCell ref="V40:Y40"/>
    <mergeCell ref="Z40:AA40"/>
    <mergeCell ref="V41:Y41"/>
    <mergeCell ref="Z41:AA41"/>
    <mergeCell ref="G32:G34"/>
    <mergeCell ref="H32:H34"/>
    <mergeCell ref="I32:I34"/>
    <mergeCell ref="J32:J34"/>
    <mergeCell ref="M17:N17"/>
    <mergeCell ref="AA15:AA16"/>
    <mergeCell ref="M18:N18"/>
    <mergeCell ref="C7:V7"/>
    <mergeCell ref="C39:AA39"/>
    <mergeCell ref="J19:J22"/>
    <mergeCell ref="H26:H27"/>
    <mergeCell ref="I26:I27"/>
    <mergeCell ref="M15:N16"/>
    <mergeCell ref="K32:K36"/>
    <mergeCell ref="R46:R48"/>
    <mergeCell ref="S46:S48"/>
    <mergeCell ref="O46:O48"/>
    <mergeCell ref="P46:P48"/>
    <mergeCell ref="M63:N63"/>
    <mergeCell ref="M64:N64"/>
    <mergeCell ref="M65:M66"/>
    <mergeCell ref="N65:N66"/>
    <mergeCell ref="O65:O69"/>
    <mergeCell ref="P65:P69"/>
    <mergeCell ref="O51:O54"/>
    <mergeCell ref="Q57:Q62"/>
    <mergeCell ref="R57:R62"/>
    <mergeCell ref="S57:S62"/>
    <mergeCell ref="P57:P62"/>
    <mergeCell ref="Q65:Q69"/>
    <mergeCell ref="M55:N55"/>
    <mergeCell ref="M56:N56"/>
    <mergeCell ref="M57:M58"/>
    <mergeCell ref="N57:N58"/>
    <mergeCell ref="O57:O62"/>
    <mergeCell ref="B40:B41"/>
    <mergeCell ref="E42:E43"/>
    <mergeCell ref="F42:F43"/>
    <mergeCell ref="M42:N43"/>
    <mergeCell ref="O42:Z42"/>
    <mergeCell ref="P51:P54"/>
    <mergeCell ref="Q51:Q54"/>
    <mergeCell ref="R51:R54"/>
    <mergeCell ref="S51:S54"/>
    <mergeCell ref="T51:T54"/>
    <mergeCell ref="B49:B54"/>
    <mergeCell ref="C49:C54"/>
    <mergeCell ref="D49:D54"/>
    <mergeCell ref="E49:E54"/>
    <mergeCell ref="F49:F54"/>
    <mergeCell ref="G49:G54"/>
    <mergeCell ref="X51:X54"/>
    <mergeCell ref="Y51:Y54"/>
    <mergeCell ref="Q46:Q48"/>
    <mergeCell ref="Z51:Z54"/>
    <mergeCell ref="Y46:Y48"/>
    <mergeCell ref="Z46:Z48"/>
    <mergeCell ref="T46:T48"/>
    <mergeCell ref="U46:U48"/>
    <mergeCell ref="V46:V48"/>
    <mergeCell ref="AA51:AA52"/>
    <mergeCell ref="X57:X62"/>
    <mergeCell ref="Y57:Y62"/>
    <mergeCell ref="Z57:Z62"/>
    <mergeCell ref="AA57:AA58"/>
    <mergeCell ref="T57:T62"/>
    <mergeCell ref="V63:Y63"/>
    <mergeCell ref="Y65:Y69"/>
    <mergeCell ref="U51:U54"/>
    <mergeCell ref="V51:V54"/>
    <mergeCell ref="W51:W54"/>
    <mergeCell ref="V57:V62"/>
    <mergeCell ref="W57:W62"/>
    <mergeCell ref="U57:U62"/>
    <mergeCell ref="W46:W48"/>
    <mergeCell ref="X46:X48"/>
    <mergeCell ref="U65:U69"/>
    <mergeCell ref="V65:V69"/>
    <mergeCell ref="W65:W69"/>
    <mergeCell ref="X65:X69"/>
    <mergeCell ref="L32:L36"/>
    <mergeCell ref="E35:E36"/>
    <mergeCell ref="F35:F36"/>
    <mergeCell ref="G35:G36"/>
    <mergeCell ref="H35:H36"/>
    <mergeCell ref="I35:I36"/>
    <mergeCell ref="J35:J36"/>
    <mergeCell ref="J30:J31"/>
    <mergeCell ref="H15:H16"/>
    <mergeCell ref="I15:I16"/>
    <mergeCell ref="J15:K15"/>
    <mergeCell ref="L15:L16"/>
    <mergeCell ref="L17:L18"/>
    <mergeCell ref="E26:E31"/>
    <mergeCell ref="F26:F31"/>
    <mergeCell ref="L19:L25"/>
    <mergeCell ref="H28:H29"/>
    <mergeCell ref="I28:I29"/>
    <mergeCell ref="J26:J27"/>
    <mergeCell ref="K26:K31"/>
    <mergeCell ref="B32:B36"/>
    <mergeCell ref="C32:C36"/>
    <mergeCell ref="D32:D36"/>
    <mergeCell ref="E32:E34"/>
    <mergeCell ref="J28:J29"/>
    <mergeCell ref="H30:H31"/>
    <mergeCell ref="I30:I31"/>
    <mergeCell ref="F32:F34"/>
    <mergeCell ref="J23:J25"/>
    <mergeCell ref="G26:G31"/>
    <mergeCell ref="G19:G25"/>
    <mergeCell ref="H19:H22"/>
    <mergeCell ref="I19:I22"/>
    <mergeCell ref="B19:B25"/>
    <mergeCell ref="C19:C25"/>
    <mergeCell ref="D19:D25"/>
    <mergeCell ref="E19:E25"/>
    <mergeCell ref="F19:F25"/>
    <mergeCell ref="B26:B31"/>
    <mergeCell ref="C26:C31"/>
    <mergeCell ref="D26:D31"/>
    <mergeCell ref="B15:B16"/>
    <mergeCell ref="C15:C16"/>
    <mergeCell ref="D15:D16"/>
    <mergeCell ref="E15:E16"/>
    <mergeCell ref="K19:K25"/>
    <mergeCell ref="F15:F16"/>
    <mergeCell ref="G15:G16"/>
    <mergeCell ref="H23:H25"/>
    <mergeCell ref="I23:I25"/>
    <mergeCell ref="J17:J18"/>
    <mergeCell ref="Z8:AA8"/>
    <mergeCell ref="V9:Y10"/>
    <mergeCell ref="Z9:AA10"/>
    <mergeCell ref="V11:Y11"/>
    <mergeCell ref="Z11:AA11"/>
    <mergeCell ref="V12:Y12"/>
    <mergeCell ref="Z12:AA12"/>
    <mergeCell ref="B8:B12"/>
    <mergeCell ref="C8:C12"/>
    <mergeCell ref="D8:U12"/>
    <mergeCell ref="V8:Y8"/>
    <mergeCell ref="A2:A6"/>
    <mergeCell ref="C2:E2"/>
    <mergeCell ref="C3:V3"/>
    <mergeCell ref="F2:AA2"/>
    <mergeCell ref="C4:N4"/>
    <mergeCell ref="L55:L62"/>
    <mergeCell ref="K55:K62"/>
    <mergeCell ref="J55:J62"/>
    <mergeCell ref="I55:I62"/>
    <mergeCell ref="B55:B62"/>
    <mergeCell ref="C55:C62"/>
    <mergeCell ref="D55:D62"/>
    <mergeCell ref="E55:E62"/>
    <mergeCell ref="F55:F62"/>
    <mergeCell ref="G55:G62"/>
    <mergeCell ref="H55:H62"/>
    <mergeCell ref="B13:B14"/>
    <mergeCell ref="C13:C14"/>
    <mergeCell ref="D13:U14"/>
    <mergeCell ref="O15:Z15"/>
    <mergeCell ref="V13:Y13"/>
    <mergeCell ref="Z13:AA13"/>
    <mergeCell ref="V14:Y14"/>
    <mergeCell ref="Z14:AA14"/>
    <mergeCell ref="B63:B69"/>
    <mergeCell ref="C63:C69"/>
    <mergeCell ref="D63:D69"/>
    <mergeCell ref="E63:E69"/>
    <mergeCell ref="F63:F69"/>
    <mergeCell ref="G63:G69"/>
    <mergeCell ref="H63:H69"/>
    <mergeCell ref="I63:I69"/>
    <mergeCell ref="J63:J69"/>
    <mergeCell ref="C219:H219"/>
    <mergeCell ref="V159:Y159"/>
    <mergeCell ref="V160:Y160"/>
    <mergeCell ref="G193:G194"/>
    <mergeCell ref="I193:I194"/>
    <mergeCell ref="L78:L84"/>
    <mergeCell ref="B78:B84"/>
    <mergeCell ref="C78:C84"/>
    <mergeCell ref="D78:D84"/>
    <mergeCell ref="E78:E84"/>
    <mergeCell ref="G78:G84"/>
    <mergeCell ref="K78:K84"/>
    <mergeCell ref="J78:J84"/>
    <mergeCell ref="H78:H84"/>
    <mergeCell ref="I78:I84"/>
    <mergeCell ref="F78:F84"/>
    <mergeCell ref="M78:N78"/>
    <mergeCell ref="P78:R78"/>
    <mergeCell ref="W80:W84"/>
    <mergeCell ref="X80:X84"/>
    <mergeCell ref="Y80:Y84"/>
    <mergeCell ref="P85:Q85"/>
    <mergeCell ref="R85:S85"/>
    <mergeCell ref="T85:V85"/>
    <mergeCell ref="M79:N79"/>
    <mergeCell ref="M80:M81"/>
    <mergeCell ref="N80:N81"/>
    <mergeCell ref="P80:P84"/>
    <mergeCell ref="B70:B77"/>
    <mergeCell ref="C70:C77"/>
    <mergeCell ref="D70:D77"/>
    <mergeCell ref="E70:E77"/>
    <mergeCell ref="F70:F77"/>
    <mergeCell ref="G70:G77"/>
    <mergeCell ref="J70:J77"/>
    <mergeCell ref="H70:H77"/>
    <mergeCell ref="I70:I77"/>
    <mergeCell ref="K70:K77"/>
    <mergeCell ref="L70:L77"/>
    <mergeCell ref="M71:N71"/>
    <mergeCell ref="M72:M73"/>
    <mergeCell ref="N72:N73"/>
    <mergeCell ref="O72:O77"/>
    <mergeCell ref="P72:P77"/>
  </mergeCells>
  <printOptions horizontalCentered="1" verticalCentered="1"/>
  <pageMargins left="0.55118110236220474" right="0.70866141732283472" top="0.98425196850393704" bottom="0.98425196850393704" header="0.31496062992125984" footer="0.31496062992125984"/>
  <pageSetup paperSize="9" scale="39" orientation="landscape" r:id="rId1"/>
  <headerFooter>
    <oddHeader>&amp;C&amp;G</oddHeader>
    <oddFooter>&amp;C&amp;G</oddFooter>
  </headerFooter>
  <rowBreaks count="5" manualBreakCount="5">
    <brk id="54" max="16383" man="1"/>
    <brk id="109" max="28" man="1"/>
    <brk id="155" max="28" man="1"/>
    <brk id="216" max="16383" man="1"/>
    <brk id="264" max="16383" man="1"/>
  </row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68"/>
  <sheetViews>
    <sheetView view="pageBreakPreview" topLeftCell="A472" zoomScale="80" zoomScaleNormal="100" zoomScaleSheetLayoutView="80" workbookViewId="0">
      <selection activeCell="C128" sqref="C128"/>
    </sheetView>
  </sheetViews>
  <sheetFormatPr baseColWidth="10" defaultRowHeight="15" x14ac:dyDescent="0.25"/>
  <cols>
    <col min="1" max="1" width="2.7109375" style="2" customWidth="1"/>
    <col min="2" max="2" width="17.5703125" style="2" customWidth="1"/>
    <col min="3" max="3" width="23.42578125" style="2" customWidth="1"/>
    <col min="4" max="4" width="19.140625" style="2" customWidth="1"/>
    <col min="5" max="5" width="9.85546875" style="2" customWidth="1"/>
    <col min="6" max="6" width="9.28515625" style="2" customWidth="1"/>
    <col min="7" max="7" width="9.85546875" style="2" customWidth="1"/>
    <col min="8" max="8" width="16.7109375" style="2" customWidth="1"/>
    <col min="9" max="9" width="11.85546875" style="2" customWidth="1"/>
    <col min="10" max="10" width="6.5703125" style="2" customWidth="1"/>
    <col min="11" max="11" width="10.5703125" style="2" customWidth="1"/>
    <col min="12" max="12" width="15.28515625" style="2" customWidth="1"/>
    <col min="13" max="13" width="10.28515625" style="2" customWidth="1"/>
    <col min="14" max="14" width="10.85546875" style="2" customWidth="1"/>
    <col min="15" max="15" width="11.42578125" style="2" customWidth="1"/>
    <col min="16" max="17" width="11.85546875" style="2" customWidth="1"/>
    <col min="18" max="26" width="11.42578125" style="2" customWidth="1"/>
    <col min="27" max="27" width="11.7109375" style="2" bestFit="1" customWidth="1"/>
    <col min="28" max="16384" width="11.42578125" style="2"/>
  </cols>
  <sheetData>
    <row r="1" spans="1:27" ht="15.75" x14ac:dyDescent="0.25">
      <c r="A1" s="4468" t="s">
        <v>1169</v>
      </c>
      <c r="B1" s="4469"/>
      <c r="C1" s="4469"/>
      <c r="D1" s="4469"/>
      <c r="E1" s="4469"/>
      <c r="F1" s="4469"/>
      <c r="G1" s="4469"/>
      <c r="H1" s="4469"/>
      <c r="I1" s="4469"/>
      <c r="J1" s="4469"/>
      <c r="K1" s="4469"/>
      <c r="L1" s="4469"/>
      <c r="M1" s="4469"/>
      <c r="N1" s="4469"/>
      <c r="O1" s="4469"/>
      <c r="P1" s="4469"/>
      <c r="Q1" s="4469"/>
      <c r="R1" s="4469"/>
      <c r="S1" s="4469"/>
      <c r="T1" s="4469"/>
      <c r="U1" s="4469"/>
      <c r="V1" s="4469"/>
      <c r="W1" s="4469"/>
      <c r="X1" s="4469"/>
      <c r="Y1" s="4469"/>
      <c r="Z1" s="4469"/>
      <c r="AA1" s="4470"/>
    </row>
    <row r="2" spans="1:27" ht="15.75" x14ac:dyDescent="0.25">
      <c r="A2" s="2917" t="s">
        <v>0</v>
      </c>
      <c r="B2" s="2194" t="s">
        <v>1</v>
      </c>
      <c r="C2" s="4471" t="s">
        <v>128</v>
      </c>
      <c r="D2" s="4472"/>
      <c r="E2" s="4472"/>
      <c r="F2" s="4472"/>
      <c r="G2" s="4472"/>
      <c r="H2" s="4472"/>
      <c r="I2" s="4472"/>
      <c r="J2" s="4472"/>
      <c r="K2" s="4472"/>
      <c r="L2" s="4472"/>
      <c r="M2" s="4472"/>
      <c r="N2" s="4472"/>
      <c r="O2" s="4472"/>
      <c r="P2" s="4472"/>
      <c r="Q2" s="4472"/>
      <c r="R2" s="4472"/>
      <c r="S2" s="4472"/>
      <c r="T2" s="4472"/>
      <c r="U2" s="4472"/>
      <c r="V2" s="4472"/>
      <c r="W2" s="4472"/>
      <c r="X2" s="4472"/>
      <c r="Y2" s="4472"/>
      <c r="Z2" s="4472"/>
      <c r="AA2" s="4473"/>
    </row>
    <row r="3" spans="1:27" ht="22.5" x14ac:dyDescent="0.25">
      <c r="A3" s="2917"/>
      <c r="B3" s="457" t="s">
        <v>2</v>
      </c>
      <c r="C3" s="2671" t="s">
        <v>129</v>
      </c>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3002"/>
    </row>
    <row r="4" spans="1:27" x14ac:dyDescent="0.25">
      <c r="A4" s="2917"/>
      <c r="B4" s="457" t="s">
        <v>4</v>
      </c>
      <c r="C4" s="2671" t="s">
        <v>130</v>
      </c>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3002"/>
    </row>
    <row r="5" spans="1:27" ht="22.5" x14ac:dyDescent="0.25">
      <c r="A5" s="2917"/>
      <c r="B5" s="457" t="s">
        <v>6</v>
      </c>
      <c r="C5" s="2671" t="s">
        <v>131</v>
      </c>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3002"/>
    </row>
    <row r="6" spans="1:27" ht="29.25" customHeight="1" x14ac:dyDescent="0.25">
      <c r="A6" s="2917"/>
      <c r="B6" s="1859" t="s">
        <v>8</v>
      </c>
      <c r="C6" s="1902" t="s">
        <v>9</v>
      </c>
      <c r="D6" s="698"/>
      <c r="E6" s="87"/>
      <c r="F6" s="87"/>
      <c r="G6" s="87"/>
      <c r="H6" s="87"/>
      <c r="I6" s="87"/>
      <c r="J6" s="87"/>
      <c r="K6" s="87"/>
      <c r="L6" s="87"/>
      <c r="M6" s="87"/>
      <c r="N6" s="87"/>
      <c r="O6" s="87"/>
      <c r="P6" s="87"/>
      <c r="Q6" s="87"/>
      <c r="R6" s="87"/>
      <c r="S6" s="87"/>
      <c r="T6" s="87"/>
      <c r="U6" s="87"/>
      <c r="V6" s="87"/>
      <c r="W6" s="87"/>
      <c r="X6" s="87"/>
      <c r="Y6" s="87"/>
      <c r="Z6" s="87"/>
      <c r="AA6" s="90"/>
    </row>
    <row r="7" spans="1:27" ht="24" customHeight="1" x14ac:dyDescent="0.25">
      <c r="A7" s="4505" t="s">
        <v>2522</v>
      </c>
      <c r="B7" s="684" t="s">
        <v>11</v>
      </c>
      <c r="C7" s="4461" t="s">
        <v>12</v>
      </c>
      <c r="D7" s="4461"/>
      <c r="E7" s="4461"/>
      <c r="F7" s="4461"/>
      <c r="G7" s="4461"/>
      <c r="H7" s="4461"/>
      <c r="I7" s="4461"/>
      <c r="J7" s="4461"/>
      <c r="K7" s="4461"/>
      <c r="L7" s="4461"/>
      <c r="M7" s="4461"/>
      <c r="N7" s="4461"/>
      <c r="O7" s="4461"/>
      <c r="P7" s="4461"/>
      <c r="Q7" s="4461"/>
      <c r="R7" s="4461"/>
      <c r="S7" s="4461"/>
      <c r="T7" s="4461"/>
      <c r="U7" s="4461"/>
      <c r="V7" s="4461"/>
      <c r="W7" s="4461"/>
      <c r="X7" s="4461"/>
      <c r="Y7" s="4461"/>
      <c r="Z7" s="4461"/>
      <c r="AA7" s="4461"/>
    </row>
    <row r="8" spans="1:27" x14ac:dyDescent="0.25">
      <c r="A8" s="4481"/>
      <c r="B8" s="4462" t="s">
        <v>13</v>
      </c>
      <c r="C8" s="4463">
        <v>399999</v>
      </c>
      <c r="D8" s="4462" t="s">
        <v>14</v>
      </c>
      <c r="E8" s="4462"/>
      <c r="F8" s="4462"/>
      <c r="G8" s="4462"/>
      <c r="H8" s="4462"/>
      <c r="I8" s="4462"/>
      <c r="J8" s="4462"/>
      <c r="K8" s="4462"/>
      <c r="L8" s="4462"/>
      <c r="M8" s="4462"/>
      <c r="N8" s="4462"/>
      <c r="O8" s="4462"/>
      <c r="P8" s="4462"/>
      <c r="Q8" s="4462"/>
      <c r="R8" s="4462"/>
      <c r="S8" s="4462"/>
      <c r="T8" s="4462"/>
      <c r="U8" s="4462"/>
      <c r="V8" s="4465" t="s">
        <v>15</v>
      </c>
      <c r="W8" s="4465"/>
      <c r="X8" s="4465"/>
      <c r="Y8" s="4465"/>
      <c r="Z8" s="4465" t="s">
        <v>16</v>
      </c>
      <c r="AA8" s="4465"/>
    </row>
    <row r="9" spans="1:27" x14ac:dyDescent="0.25">
      <c r="A9" s="4481"/>
      <c r="B9" s="4462"/>
      <c r="C9" s="4464"/>
      <c r="D9" s="4462"/>
      <c r="E9" s="4462"/>
      <c r="F9" s="4462"/>
      <c r="G9" s="4462"/>
      <c r="H9" s="4462"/>
      <c r="I9" s="4462"/>
      <c r="J9" s="4462"/>
      <c r="K9" s="4462"/>
      <c r="L9" s="4462"/>
      <c r="M9" s="4462"/>
      <c r="N9" s="4462"/>
      <c r="O9" s="4462"/>
      <c r="P9" s="4462"/>
      <c r="Q9" s="4462"/>
      <c r="R9" s="4462"/>
      <c r="S9" s="4462"/>
      <c r="T9" s="4462"/>
      <c r="U9" s="4462"/>
      <c r="V9" s="4466" t="s">
        <v>132</v>
      </c>
      <c r="W9" s="4467"/>
      <c r="X9" s="4467"/>
      <c r="Y9" s="4467"/>
      <c r="Z9" s="4467" t="s">
        <v>133</v>
      </c>
      <c r="AA9" s="4467"/>
    </row>
    <row r="10" spans="1:27" x14ac:dyDescent="0.25">
      <c r="A10" s="4481"/>
      <c r="B10" s="2840" t="s">
        <v>18</v>
      </c>
      <c r="C10" s="3139">
        <v>500099</v>
      </c>
      <c r="D10" s="4455" t="s">
        <v>134</v>
      </c>
      <c r="E10" s="4456"/>
      <c r="F10" s="4456"/>
      <c r="G10" s="4456"/>
      <c r="H10" s="4456"/>
      <c r="I10" s="4456"/>
      <c r="J10" s="4456"/>
      <c r="K10" s="4456"/>
      <c r="L10" s="4456"/>
      <c r="M10" s="4456"/>
      <c r="N10" s="4456"/>
      <c r="O10" s="4456"/>
      <c r="P10" s="4456"/>
      <c r="Q10" s="4456"/>
      <c r="R10" s="4456"/>
      <c r="S10" s="4456"/>
      <c r="T10" s="4456"/>
      <c r="U10" s="4457"/>
      <c r="V10" s="2922" t="s">
        <v>15</v>
      </c>
      <c r="W10" s="2922"/>
      <c r="X10" s="2922"/>
      <c r="Y10" s="2922"/>
      <c r="Z10" s="2922" t="s">
        <v>16</v>
      </c>
      <c r="AA10" s="2922"/>
    </row>
    <row r="11" spans="1:27" ht="12.75" customHeight="1" x14ac:dyDescent="0.25">
      <c r="A11" s="4481"/>
      <c r="B11" s="2840"/>
      <c r="C11" s="3139"/>
      <c r="D11" s="4458"/>
      <c r="E11" s="4459"/>
      <c r="F11" s="4459"/>
      <c r="G11" s="4459"/>
      <c r="H11" s="4459"/>
      <c r="I11" s="4459"/>
      <c r="J11" s="4459"/>
      <c r="K11" s="4459"/>
      <c r="L11" s="4459"/>
      <c r="M11" s="4459"/>
      <c r="N11" s="4459"/>
      <c r="O11" s="4459"/>
      <c r="P11" s="4459"/>
      <c r="Q11" s="4459"/>
      <c r="R11" s="4459"/>
      <c r="S11" s="4459"/>
      <c r="T11" s="4459"/>
      <c r="U11" s="4460"/>
      <c r="V11" s="2420"/>
      <c r="W11" s="2420"/>
      <c r="X11" s="2420"/>
      <c r="Y11" s="2420"/>
      <c r="Z11" s="2922"/>
      <c r="AA11" s="2922"/>
    </row>
    <row r="12" spans="1:27" x14ac:dyDescent="0.25">
      <c r="A12" s="1824"/>
      <c r="B12" s="2984" t="s">
        <v>20</v>
      </c>
      <c r="C12" s="2847" t="s">
        <v>21</v>
      </c>
      <c r="D12" s="2847" t="s">
        <v>22</v>
      </c>
      <c r="E12" s="2847" t="s">
        <v>23</v>
      </c>
      <c r="F12" s="2847" t="s">
        <v>24</v>
      </c>
      <c r="G12" s="2847" t="s">
        <v>25</v>
      </c>
      <c r="H12" s="2847" t="s">
        <v>26</v>
      </c>
      <c r="I12" s="2847" t="s">
        <v>27</v>
      </c>
      <c r="J12" s="2847" t="s">
        <v>28</v>
      </c>
      <c r="K12" s="2847"/>
      <c r="L12" s="2847" t="s">
        <v>29</v>
      </c>
      <c r="M12" s="2847" t="s">
        <v>30</v>
      </c>
      <c r="N12" s="2847"/>
      <c r="O12" s="2990" t="s">
        <v>31</v>
      </c>
      <c r="P12" s="2991"/>
      <c r="Q12" s="2991"/>
      <c r="R12" s="2991"/>
      <c r="S12" s="2991"/>
      <c r="T12" s="2991"/>
      <c r="U12" s="2991"/>
      <c r="V12" s="2991"/>
      <c r="W12" s="2991"/>
      <c r="X12" s="2991"/>
      <c r="Y12" s="2991"/>
      <c r="Z12" s="2992"/>
      <c r="AA12" s="2916" t="s">
        <v>32</v>
      </c>
    </row>
    <row r="13" spans="1:27" ht="32.25" customHeight="1" x14ac:dyDescent="0.25">
      <c r="A13" s="1824"/>
      <c r="B13" s="2985"/>
      <c r="C13" s="2847"/>
      <c r="D13" s="2847"/>
      <c r="E13" s="2847"/>
      <c r="F13" s="2847"/>
      <c r="G13" s="2847"/>
      <c r="H13" s="2847"/>
      <c r="I13" s="2847"/>
      <c r="J13" s="455" t="s">
        <v>33</v>
      </c>
      <c r="K13" s="455" t="s">
        <v>34</v>
      </c>
      <c r="L13" s="2847"/>
      <c r="M13" s="2847"/>
      <c r="N13" s="2847"/>
      <c r="O13" s="471" t="s">
        <v>35</v>
      </c>
      <c r="P13" s="471" t="s">
        <v>36</v>
      </c>
      <c r="Q13" s="471" t="s">
        <v>37</v>
      </c>
      <c r="R13" s="471" t="s">
        <v>38</v>
      </c>
      <c r="S13" s="471" t="s">
        <v>39</v>
      </c>
      <c r="T13" s="471" t="s">
        <v>40</v>
      </c>
      <c r="U13" s="471" t="s">
        <v>41</v>
      </c>
      <c r="V13" s="471" t="s">
        <v>42</v>
      </c>
      <c r="W13" s="471" t="s">
        <v>43</v>
      </c>
      <c r="X13" s="471" t="s">
        <v>44</v>
      </c>
      <c r="Y13" s="471" t="s">
        <v>45</v>
      </c>
      <c r="Z13" s="471" t="s">
        <v>46</v>
      </c>
      <c r="AA13" s="2916"/>
    </row>
    <row r="14" spans="1:27" x14ac:dyDescent="0.25">
      <c r="A14" s="1824"/>
      <c r="B14" s="2925">
        <v>5000991</v>
      </c>
      <c r="C14" s="4452" t="s">
        <v>134</v>
      </c>
      <c r="D14" s="4452" t="s">
        <v>135</v>
      </c>
      <c r="E14" s="4452" t="s">
        <v>136</v>
      </c>
      <c r="F14" s="4452" t="s">
        <v>137</v>
      </c>
      <c r="G14" s="4452" t="s">
        <v>138</v>
      </c>
      <c r="H14" s="4452" t="s">
        <v>132</v>
      </c>
      <c r="I14" s="4452" t="s">
        <v>133</v>
      </c>
      <c r="J14" s="4452">
        <v>12</v>
      </c>
      <c r="K14" s="3150">
        <v>123714</v>
      </c>
      <c r="L14" s="2935" t="s">
        <v>139</v>
      </c>
      <c r="M14" s="2840" t="s">
        <v>51</v>
      </c>
      <c r="N14" s="2840"/>
      <c r="O14" s="502">
        <v>1</v>
      </c>
      <c r="P14" s="502">
        <v>1</v>
      </c>
      <c r="Q14" s="502">
        <v>1</v>
      </c>
      <c r="R14" s="502">
        <v>1</v>
      </c>
      <c r="S14" s="502">
        <v>1</v>
      </c>
      <c r="T14" s="502">
        <v>1</v>
      </c>
      <c r="U14" s="502">
        <v>1</v>
      </c>
      <c r="V14" s="502">
        <v>1</v>
      </c>
      <c r="W14" s="502">
        <v>1</v>
      </c>
      <c r="X14" s="502">
        <v>1</v>
      </c>
      <c r="Y14" s="502">
        <v>1</v>
      </c>
      <c r="Z14" s="502">
        <v>1</v>
      </c>
      <c r="AA14" s="17">
        <v>12</v>
      </c>
    </row>
    <row r="15" spans="1:27" ht="24.75" customHeight="1" x14ac:dyDescent="0.25">
      <c r="A15" s="1824"/>
      <c r="B15" s="2926"/>
      <c r="C15" s="4453"/>
      <c r="D15" s="4453"/>
      <c r="E15" s="4453"/>
      <c r="F15" s="4453"/>
      <c r="G15" s="4453"/>
      <c r="H15" s="4453"/>
      <c r="I15" s="4453"/>
      <c r="J15" s="4453"/>
      <c r="K15" s="4474"/>
      <c r="L15" s="2936"/>
      <c r="M15" s="2840" t="s">
        <v>140</v>
      </c>
      <c r="N15" s="2840"/>
      <c r="O15" s="502">
        <v>11892.833333333334</v>
      </c>
      <c r="P15" s="502">
        <v>9892.8333333333339</v>
      </c>
      <c r="Q15" s="502">
        <v>9892.8333333333339</v>
      </c>
      <c r="R15" s="502">
        <v>9892.8333333333339</v>
      </c>
      <c r="S15" s="502">
        <v>9892.8333333333339</v>
      </c>
      <c r="T15" s="502">
        <v>9892.8333333333339</v>
      </c>
      <c r="U15" s="502">
        <v>11392.833333333334</v>
      </c>
      <c r="V15" s="502">
        <v>9892.8333333333339</v>
      </c>
      <c r="W15" s="502">
        <v>9892.8333333333339</v>
      </c>
      <c r="X15" s="502">
        <v>9892.8333333333339</v>
      </c>
      <c r="Y15" s="502">
        <v>9892.8333333333339</v>
      </c>
      <c r="Z15" s="502">
        <v>11392.833333333334</v>
      </c>
      <c r="AA15" s="17">
        <v>123713.99999999999</v>
      </c>
    </row>
    <row r="16" spans="1:27" ht="33.75" x14ac:dyDescent="0.25">
      <c r="A16" s="1824"/>
      <c r="B16" s="2926"/>
      <c r="C16" s="4453"/>
      <c r="D16" s="4453"/>
      <c r="E16" s="4453"/>
      <c r="F16" s="4453"/>
      <c r="G16" s="4453"/>
      <c r="H16" s="4453"/>
      <c r="I16" s="4453"/>
      <c r="J16" s="4453"/>
      <c r="K16" s="4474"/>
      <c r="L16" s="2936"/>
      <c r="M16" s="468" t="s">
        <v>141</v>
      </c>
      <c r="N16" s="468" t="s">
        <v>527</v>
      </c>
      <c r="O16" s="500">
        <v>9892.8333333333339</v>
      </c>
      <c r="P16" s="500">
        <v>9892.8333333333339</v>
      </c>
      <c r="Q16" s="500">
        <v>9892.8333333333339</v>
      </c>
      <c r="R16" s="500">
        <v>9892.8333333333339</v>
      </c>
      <c r="S16" s="500">
        <v>9892.8333333333339</v>
      </c>
      <c r="T16" s="500">
        <v>9892.8333333333339</v>
      </c>
      <c r="U16" s="500">
        <v>9892.8333333333339</v>
      </c>
      <c r="V16" s="500">
        <v>9892.8333333333339</v>
      </c>
      <c r="W16" s="500">
        <v>9892.8333333333339</v>
      </c>
      <c r="X16" s="500">
        <v>9892.8333333333339</v>
      </c>
      <c r="Y16" s="500">
        <v>9892.8333333333339</v>
      </c>
      <c r="Z16" s="500">
        <v>9892.8333333333339</v>
      </c>
      <c r="AA16" s="500">
        <v>118713.99999999999</v>
      </c>
    </row>
    <row r="17" spans="1:27" ht="45" x14ac:dyDescent="0.25">
      <c r="A17" s="1825"/>
      <c r="B17" s="2927"/>
      <c r="C17" s="4453"/>
      <c r="D17" s="4453"/>
      <c r="E17" s="4453"/>
      <c r="F17" s="4453"/>
      <c r="G17" s="4453"/>
      <c r="H17" s="4453"/>
      <c r="I17" s="4453"/>
      <c r="J17" s="4453"/>
      <c r="K17" s="4474"/>
      <c r="L17" s="2936"/>
      <c r="M17" s="27" t="s">
        <v>142</v>
      </c>
      <c r="N17" s="27" t="s">
        <v>143</v>
      </c>
      <c r="O17" s="478">
        <v>2000</v>
      </c>
      <c r="P17" s="478"/>
      <c r="Q17" s="478"/>
      <c r="R17" s="478"/>
      <c r="S17" s="478"/>
      <c r="T17" s="478"/>
      <c r="U17" s="478">
        <v>1500</v>
      </c>
      <c r="V17" s="478"/>
      <c r="W17" s="478"/>
      <c r="X17" s="478"/>
      <c r="Y17" s="478"/>
      <c r="Z17" s="478">
        <v>1500</v>
      </c>
      <c r="AA17" s="478">
        <v>5000</v>
      </c>
    </row>
    <row r="18" spans="1:27" x14ac:dyDescent="0.25">
      <c r="A18" s="4454" t="s">
        <v>144</v>
      </c>
      <c r="B18" s="2913" t="s">
        <v>13</v>
      </c>
      <c r="C18" s="3664">
        <v>9002</v>
      </c>
      <c r="D18" s="2840" t="s">
        <v>14</v>
      </c>
      <c r="E18" s="2840"/>
      <c r="F18" s="2840"/>
      <c r="G18" s="2840"/>
      <c r="H18" s="2840"/>
      <c r="I18" s="2840"/>
      <c r="J18" s="2840"/>
      <c r="K18" s="2840"/>
      <c r="L18" s="2840"/>
      <c r="M18" s="2840"/>
      <c r="N18" s="2840"/>
      <c r="O18" s="2840"/>
      <c r="P18" s="2840"/>
      <c r="Q18" s="2840"/>
      <c r="R18" s="2840"/>
      <c r="S18" s="2840"/>
      <c r="T18" s="2840"/>
      <c r="U18" s="2840"/>
      <c r="V18" s="2922" t="s">
        <v>15</v>
      </c>
      <c r="W18" s="2922"/>
      <c r="X18" s="2922"/>
      <c r="Y18" s="2922"/>
      <c r="Z18" s="2922" t="s">
        <v>16</v>
      </c>
      <c r="AA18" s="2922"/>
    </row>
    <row r="19" spans="1:27" x14ac:dyDescent="0.25">
      <c r="A19" s="4454"/>
      <c r="B19" s="2913"/>
      <c r="C19" s="3139"/>
      <c r="D19" s="2840"/>
      <c r="E19" s="2840"/>
      <c r="F19" s="2840"/>
      <c r="G19" s="2840"/>
      <c r="H19" s="2840"/>
      <c r="I19" s="2840"/>
      <c r="J19" s="2840"/>
      <c r="K19" s="2840"/>
      <c r="L19" s="2840"/>
      <c r="M19" s="2840"/>
      <c r="N19" s="2840"/>
      <c r="O19" s="2840"/>
      <c r="P19" s="2840"/>
      <c r="Q19" s="2840"/>
      <c r="R19" s="2840"/>
      <c r="S19" s="2840"/>
      <c r="T19" s="2840"/>
      <c r="U19" s="2840"/>
      <c r="V19" s="2420" t="s">
        <v>145</v>
      </c>
      <c r="W19" s="2420"/>
      <c r="X19" s="2420"/>
      <c r="Y19" s="2420"/>
      <c r="Z19" s="2420" t="s">
        <v>146</v>
      </c>
      <c r="AA19" s="2420"/>
    </row>
    <row r="20" spans="1:27" x14ac:dyDescent="0.25">
      <c r="A20" s="4454"/>
      <c r="B20" s="2913" t="s">
        <v>18</v>
      </c>
      <c r="C20" s="3139">
        <v>2001621</v>
      </c>
      <c r="D20" s="3139" t="s">
        <v>147</v>
      </c>
      <c r="E20" s="3139"/>
      <c r="F20" s="3139"/>
      <c r="G20" s="3139"/>
      <c r="H20" s="3139"/>
      <c r="I20" s="3139"/>
      <c r="J20" s="3139"/>
      <c r="K20" s="3139"/>
      <c r="L20" s="3139"/>
      <c r="M20" s="3139"/>
      <c r="N20" s="3139"/>
      <c r="O20" s="3139"/>
      <c r="P20" s="3139"/>
      <c r="Q20" s="3139"/>
      <c r="R20" s="3139"/>
      <c r="S20" s="3139"/>
      <c r="T20" s="3139"/>
      <c r="U20" s="3139"/>
      <c r="V20" s="2922" t="s">
        <v>15</v>
      </c>
      <c r="W20" s="2922"/>
      <c r="X20" s="2922"/>
      <c r="Y20" s="2922"/>
      <c r="Z20" s="2922" t="s">
        <v>16</v>
      </c>
      <c r="AA20" s="2922"/>
    </row>
    <row r="21" spans="1:27" x14ac:dyDescent="0.25">
      <c r="A21" s="4454"/>
      <c r="B21" s="2913"/>
      <c r="C21" s="3139"/>
      <c r="D21" s="3139"/>
      <c r="E21" s="3139"/>
      <c r="F21" s="3139"/>
      <c r="G21" s="3139"/>
      <c r="H21" s="3139"/>
      <c r="I21" s="3139"/>
      <c r="J21" s="3139"/>
      <c r="K21" s="3139"/>
      <c r="L21" s="3139"/>
      <c r="M21" s="3139"/>
      <c r="N21" s="3139"/>
      <c r="O21" s="3139"/>
      <c r="P21" s="3139"/>
      <c r="Q21" s="3139"/>
      <c r="R21" s="3139"/>
      <c r="S21" s="3139"/>
      <c r="T21" s="3139"/>
      <c r="U21" s="3139"/>
      <c r="V21" s="2420" t="s">
        <v>19</v>
      </c>
      <c r="W21" s="2420"/>
      <c r="X21" s="2420"/>
      <c r="Y21" s="2420"/>
      <c r="Z21" s="2922"/>
      <c r="AA21" s="2922"/>
    </row>
    <row r="22" spans="1:27" x14ac:dyDescent="0.25">
      <c r="A22" s="4454"/>
      <c r="B22" s="2984" t="s">
        <v>20</v>
      </c>
      <c r="C22" s="2847" t="s">
        <v>21</v>
      </c>
      <c r="D22" s="2847" t="s">
        <v>22</v>
      </c>
      <c r="E22" s="2847" t="s">
        <v>23</v>
      </c>
      <c r="F22" s="2847" t="s">
        <v>24</v>
      </c>
      <c r="G22" s="2847" t="s">
        <v>25</v>
      </c>
      <c r="H22" s="2847" t="s">
        <v>26</v>
      </c>
      <c r="I22" s="2847" t="s">
        <v>27</v>
      </c>
      <c r="J22" s="2847" t="s">
        <v>28</v>
      </c>
      <c r="K22" s="2847"/>
      <c r="L22" s="2847" t="s">
        <v>29</v>
      </c>
      <c r="M22" s="2847" t="s">
        <v>30</v>
      </c>
      <c r="N22" s="2847"/>
      <c r="O22" s="4478" t="s">
        <v>31</v>
      </c>
      <c r="P22" s="4478"/>
      <c r="Q22" s="4478"/>
      <c r="R22" s="4478"/>
      <c r="S22" s="4478"/>
      <c r="T22" s="4478"/>
      <c r="U22" s="4478"/>
      <c r="V22" s="4478"/>
      <c r="W22" s="4478"/>
      <c r="X22" s="4478"/>
      <c r="Y22" s="4478"/>
      <c r="Z22" s="4478"/>
      <c r="AA22" s="2916" t="s">
        <v>32</v>
      </c>
    </row>
    <row r="23" spans="1:27" ht="19.5" customHeight="1" x14ac:dyDescent="0.25">
      <c r="A23" s="4454"/>
      <c r="B23" s="2985"/>
      <c r="C23" s="2847"/>
      <c r="D23" s="2847"/>
      <c r="E23" s="2847"/>
      <c r="F23" s="2847"/>
      <c r="G23" s="2847"/>
      <c r="H23" s="2847"/>
      <c r="I23" s="2847"/>
      <c r="J23" s="455" t="s">
        <v>33</v>
      </c>
      <c r="K23" s="455" t="s">
        <v>34</v>
      </c>
      <c r="L23" s="2847"/>
      <c r="M23" s="2847"/>
      <c r="N23" s="2847"/>
      <c r="O23" s="471" t="s">
        <v>35</v>
      </c>
      <c r="P23" s="471" t="s">
        <v>36</v>
      </c>
      <c r="Q23" s="471" t="s">
        <v>37</v>
      </c>
      <c r="R23" s="471" t="s">
        <v>38</v>
      </c>
      <c r="S23" s="471" t="s">
        <v>39</v>
      </c>
      <c r="T23" s="471" t="s">
        <v>40</v>
      </c>
      <c r="U23" s="471" t="s">
        <v>41</v>
      </c>
      <c r="V23" s="471" t="s">
        <v>42</v>
      </c>
      <c r="W23" s="471" t="s">
        <v>43</v>
      </c>
      <c r="X23" s="471" t="s">
        <v>44</v>
      </c>
      <c r="Y23" s="471" t="s">
        <v>45</v>
      </c>
      <c r="Z23" s="471" t="s">
        <v>46</v>
      </c>
      <c r="AA23" s="2916"/>
    </row>
    <row r="24" spans="1:27" ht="20.25" customHeight="1" x14ac:dyDescent="0.25">
      <c r="A24" s="4454"/>
      <c r="B24" s="2969">
        <v>600003</v>
      </c>
      <c r="C24" s="4479" t="s">
        <v>147</v>
      </c>
      <c r="D24" s="3660" t="s">
        <v>239</v>
      </c>
      <c r="E24" s="4480" t="s">
        <v>48</v>
      </c>
      <c r="F24" s="4480" t="s">
        <v>148</v>
      </c>
      <c r="G24" s="4480" t="s">
        <v>149</v>
      </c>
      <c r="H24" s="3660" t="s">
        <v>150</v>
      </c>
      <c r="I24" s="3660" t="s">
        <v>146</v>
      </c>
      <c r="J24" s="3660">
        <v>7</v>
      </c>
      <c r="K24" s="3666">
        <v>450000</v>
      </c>
      <c r="L24" s="4475" t="s">
        <v>151</v>
      </c>
      <c r="M24" s="4476" t="s">
        <v>1170</v>
      </c>
      <c r="N24" s="4476"/>
      <c r="O24" s="500"/>
      <c r="P24" s="500"/>
      <c r="Q24" s="500"/>
      <c r="R24" s="500"/>
      <c r="S24" s="500"/>
      <c r="T24" s="500"/>
      <c r="U24" s="500"/>
      <c r="V24" s="500"/>
      <c r="W24" s="500"/>
      <c r="X24" s="500"/>
      <c r="Y24" s="500"/>
      <c r="Z24" s="500"/>
      <c r="AA24" s="500"/>
    </row>
    <row r="25" spans="1:27" ht="11.25" customHeight="1" x14ac:dyDescent="0.25">
      <c r="A25" s="4454"/>
      <c r="B25" s="2970"/>
      <c r="C25" s="4479"/>
      <c r="D25" s="3660"/>
      <c r="E25" s="4480"/>
      <c r="F25" s="4480"/>
      <c r="G25" s="4480"/>
      <c r="H25" s="3660"/>
      <c r="I25" s="3660"/>
      <c r="J25" s="3660"/>
      <c r="K25" s="3666"/>
      <c r="L25" s="4475"/>
      <c r="M25" s="4477" t="s">
        <v>51</v>
      </c>
      <c r="N25" s="4477"/>
      <c r="O25" s="502"/>
      <c r="P25" s="502">
        <v>1</v>
      </c>
      <c r="Q25" s="502">
        <v>1</v>
      </c>
      <c r="R25" s="502">
        <v>2</v>
      </c>
      <c r="S25" s="502">
        <v>3</v>
      </c>
      <c r="T25" s="502"/>
      <c r="U25" s="502"/>
      <c r="V25" s="502"/>
      <c r="W25" s="502"/>
      <c r="X25" s="502"/>
      <c r="Y25" s="502"/>
      <c r="Z25" s="502"/>
      <c r="AA25" s="17">
        <v>7</v>
      </c>
    </row>
    <row r="26" spans="1:27" ht="23.25" customHeight="1" x14ac:dyDescent="0.25">
      <c r="A26" s="4454"/>
      <c r="B26" s="2970"/>
      <c r="C26" s="4479"/>
      <c r="D26" s="3660"/>
      <c r="E26" s="4480"/>
      <c r="F26" s="4480"/>
      <c r="G26" s="4480"/>
      <c r="H26" s="3660"/>
      <c r="I26" s="3660"/>
      <c r="J26" s="3660"/>
      <c r="K26" s="3666"/>
      <c r="L26" s="4475"/>
      <c r="M26" s="4477" t="s">
        <v>52</v>
      </c>
      <c r="N26" s="4477"/>
      <c r="O26" s="502">
        <v>25000</v>
      </c>
      <c r="P26" s="502">
        <v>65000</v>
      </c>
      <c r="Q26" s="502">
        <v>135000</v>
      </c>
      <c r="R26" s="502">
        <v>135000</v>
      </c>
      <c r="S26" s="502">
        <v>90000</v>
      </c>
      <c r="T26" s="502"/>
      <c r="U26" s="502"/>
      <c r="V26" s="502"/>
      <c r="W26" s="502"/>
      <c r="X26" s="502"/>
      <c r="Y26" s="502"/>
      <c r="Z26" s="502"/>
      <c r="AA26" s="17">
        <v>450000</v>
      </c>
    </row>
    <row r="27" spans="1:27" ht="22.5" customHeight="1" x14ac:dyDescent="0.25">
      <c r="A27" s="4454"/>
      <c r="B27" s="2971"/>
      <c r="C27" s="4479"/>
      <c r="D27" s="3660"/>
      <c r="E27" s="4480"/>
      <c r="F27" s="4480"/>
      <c r="G27" s="4480"/>
      <c r="H27" s="3660"/>
      <c r="I27" s="3660"/>
      <c r="J27" s="3660"/>
      <c r="K27" s="3666"/>
      <c r="L27" s="4475"/>
      <c r="M27" s="2522" t="s">
        <v>526</v>
      </c>
      <c r="N27" s="2522"/>
      <c r="O27" s="500">
        <v>25000</v>
      </c>
      <c r="P27" s="500">
        <v>65000</v>
      </c>
      <c r="Q27" s="500">
        <v>135000</v>
      </c>
      <c r="R27" s="500">
        <v>135000</v>
      </c>
      <c r="S27" s="500">
        <v>90000</v>
      </c>
      <c r="T27" s="500"/>
      <c r="U27" s="500"/>
      <c r="V27" s="500"/>
      <c r="W27" s="500"/>
      <c r="X27" s="500"/>
      <c r="Y27" s="500"/>
      <c r="Z27" s="500"/>
      <c r="AA27" s="500">
        <v>450000</v>
      </c>
    </row>
    <row r="28" spans="1:27" ht="15" customHeight="1" x14ac:dyDescent="0.25">
      <c r="A28" s="4454" t="s">
        <v>152</v>
      </c>
      <c r="B28" s="2913" t="s">
        <v>13</v>
      </c>
      <c r="C28" s="3664">
        <v>9002</v>
      </c>
      <c r="D28" s="3019" t="s">
        <v>14</v>
      </c>
      <c r="E28" s="3328"/>
      <c r="F28" s="3328"/>
      <c r="G28" s="3328"/>
      <c r="H28" s="686"/>
      <c r="I28" s="686"/>
      <c r="J28" s="686"/>
      <c r="K28" s="686"/>
      <c r="L28" s="686"/>
      <c r="M28" s="686"/>
      <c r="N28" s="686"/>
      <c r="O28" s="686"/>
      <c r="P28" s="686"/>
      <c r="Q28" s="686"/>
      <c r="R28" s="686"/>
      <c r="S28" s="686"/>
      <c r="T28" s="686"/>
      <c r="U28" s="687"/>
      <c r="V28" s="2922" t="s">
        <v>15</v>
      </c>
      <c r="W28" s="2922"/>
      <c r="X28" s="2922"/>
      <c r="Y28" s="2922"/>
      <c r="Z28" s="2922" t="s">
        <v>16</v>
      </c>
      <c r="AA28" s="2922"/>
    </row>
    <row r="29" spans="1:27" x14ac:dyDescent="0.25">
      <c r="A29" s="4454"/>
      <c r="B29" s="2913"/>
      <c r="C29" s="3139"/>
      <c r="D29" s="3023"/>
      <c r="E29" s="3337"/>
      <c r="F29" s="3337"/>
      <c r="G29" s="3337"/>
      <c r="H29" s="688"/>
      <c r="I29" s="688"/>
      <c r="J29" s="688"/>
      <c r="K29" s="688"/>
      <c r="L29" s="688"/>
      <c r="M29" s="688"/>
      <c r="N29" s="688"/>
      <c r="O29" s="688"/>
      <c r="P29" s="688"/>
      <c r="Q29" s="688"/>
      <c r="R29" s="688"/>
      <c r="S29" s="688"/>
      <c r="T29" s="688"/>
      <c r="U29" s="689"/>
      <c r="V29" s="2420" t="s">
        <v>153</v>
      </c>
      <c r="W29" s="2420"/>
      <c r="X29" s="2420"/>
      <c r="Y29" s="2420"/>
      <c r="Z29" s="2420" t="s">
        <v>154</v>
      </c>
      <c r="AA29" s="2420"/>
    </row>
    <row r="30" spans="1:27" x14ac:dyDescent="0.25">
      <c r="A30" s="4454"/>
      <c r="B30" s="2913" t="s">
        <v>18</v>
      </c>
      <c r="C30" s="3139">
        <v>2001707</v>
      </c>
      <c r="D30" s="3139" t="s">
        <v>2977</v>
      </c>
      <c r="E30" s="3139"/>
      <c r="F30" s="708"/>
      <c r="G30" s="708"/>
      <c r="H30" s="708"/>
      <c r="I30" s="708"/>
      <c r="J30" s="708"/>
      <c r="K30" s="708"/>
      <c r="L30" s="708"/>
      <c r="M30" s="708"/>
      <c r="N30" s="708"/>
      <c r="O30" s="708"/>
      <c r="P30" s="708"/>
      <c r="Q30" s="708"/>
      <c r="R30" s="708"/>
      <c r="S30" s="708"/>
      <c r="T30" s="708"/>
      <c r="U30" s="709"/>
      <c r="V30" s="2922" t="s">
        <v>15</v>
      </c>
      <c r="W30" s="2922"/>
      <c r="X30" s="2922"/>
      <c r="Y30" s="2922"/>
      <c r="Z30" s="2922" t="s">
        <v>16</v>
      </c>
      <c r="AA30" s="2922"/>
    </row>
    <row r="31" spans="1:27" x14ac:dyDescent="0.25">
      <c r="A31" s="4454"/>
      <c r="B31" s="2913"/>
      <c r="C31" s="3139"/>
      <c r="D31" s="3139"/>
      <c r="E31" s="3139"/>
      <c r="F31" s="710"/>
      <c r="G31" s="710"/>
      <c r="H31" s="710"/>
      <c r="I31" s="710"/>
      <c r="J31" s="710"/>
      <c r="K31" s="710"/>
      <c r="L31" s="710"/>
      <c r="M31" s="710"/>
      <c r="N31" s="710"/>
      <c r="O31" s="710"/>
      <c r="P31" s="710"/>
      <c r="Q31" s="710"/>
      <c r="R31" s="710"/>
      <c r="S31" s="710"/>
      <c r="T31" s="710"/>
      <c r="U31" s="711"/>
      <c r="V31" s="2420" t="s">
        <v>19</v>
      </c>
      <c r="W31" s="2420"/>
      <c r="X31" s="2420"/>
      <c r="Y31" s="2420"/>
      <c r="Z31" s="2922"/>
      <c r="AA31" s="2922"/>
    </row>
    <row r="32" spans="1:27" x14ac:dyDescent="0.25">
      <c r="A32" s="4454"/>
      <c r="B32" s="3516" t="s">
        <v>20</v>
      </c>
      <c r="C32" s="2847" t="s">
        <v>21</v>
      </c>
      <c r="D32" s="2847" t="s">
        <v>22</v>
      </c>
      <c r="E32" s="2847" t="s">
        <v>23</v>
      </c>
      <c r="F32" s="2847" t="s">
        <v>164</v>
      </c>
      <c r="G32" s="2847" t="s">
        <v>25</v>
      </c>
      <c r="H32" s="2847" t="s">
        <v>26</v>
      </c>
      <c r="I32" s="2847" t="s">
        <v>27</v>
      </c>
      <c r="J32" s="2847" t="s">
        <v>28</v>
      </c>
      <c r="K32" s="2847"/>
      <c r="L32" s="2847" t="s">
        <v>29</v>
      </c>
      <c r="M32" s="2847" t="s">
        <v>30</v>
      </c>
      <c r="N32" s="2847"/>
      <c r="O32" s="4478" t="s">
        <v>31</v>
      </c>
      <c r="P32" s="4478"/>
      <c r="Q32" s="4478"/>
      <c r="R32" s="4478"/>
      <c r="S32" s="4478"/>
      <c r="T32" s="4478"/>
      <c r="U32" s="4478"/>
      <c r="V32" s="4478"/>
      <c r="W32" s="4478"/>
      <c r="X32" s="4478"/>
      <c r="Y32" s="4478"/>
      <c r="Z32" s="4478"/>
      <c r="AA32" s="2916" t="s">
        <v>32</v>
      </c>
    </row>
    <row r="33" spans="1:27" x14ac:dyDescent="0.25">
      <c r="A33" s="4454"/>
      <c r="B33" s="3516"/>
      <c r="C33" s="2847"/>
      <c r="D33" s="2847"/>
      <c r="E33" s="2847"/>
      <c r="F33" s="2847"/>
      <c r="G33" s="2847"/>
      <c r="H33" s="2847"/>
      <c r="I33" s="2847"/>
      <c r="J33" s="455" t="s">
        <v>33</v>
      </c>
      <c r="K33" s="455" t="s">
        <v>34</v>
      </c>
      <c r="L33" s="2847"/>
      <c r="M33" s="2847"/>
      <c r="N33" s="2847"/>
      <c r="O33" s="471" t="s">
        <v>35</v>
      </c>
      <c r="P33" s="471" t="s">
        <v>36</v>
      </c>
      <c r="Q33" s="471" t="s">
        <v>37</v>
      </c>
      <c r="R33" s="471" t="s">
        <v>38</v>
      </c>
      <c r="S33" s="471" t="s">
        <v>39</v>
      </c>
      <c r="T33" s="471" t="s">
        <v>40</v>
      </c>
      <c r="U33" s="471" t="s">
        <v>41</v>
      </c>
      <c r="V33" s="471" t="s">
        <v>42</v>
      </c>
      <c r="W33" s="471" t="s">
        <v>43</v>
      </c>
      <c r="X33" s="471" t="s">
        <v>44</v>
      </c>
      <c r="Y33" s="471" t="s">
        <v>45</v>
      </c>
      <c r="Z33" s="471" t="s">
        <v>46</v>
      </c>
      <c r="AA33" s="2916"/>
    </row>
    <row r="34" spans="1:27" ht="22.5" customHeight="1" x14ac:dyDescent="0.25">
      <c r="A34" s="4454"/>
      <c r="B34" s="2969">
        <v>600002</v>
      </c>
      <c r="C34" s="4479" t="s">
        <v>2974</v>
      </c>
      <c r="D34" s="3660" t="s">
        <v>2975</v>
      </c>
      <c r="E34" s="4480" t="s">
        <v>48</v>
      </c>
      <c r="F34" s="4480" t="s">
        <v>148</v>
      </c>
      <c r="G34" s="4480" t="s">
        <v>149</v>
      </c>
      <c r="H34" s="3660" t="s">
        <v>155</v>
      </c>
      <c r="I34" s="3660" t="s">
        <v>156</v>
      </c>
      <c r="J34" s="3660">
        <v>3</v>
      </c>
      <c r="K34" s="3666">
        <v>50000</v>
      </c>
      <c r="L34" s="4486" t="s">
        <v>157</v>
      </c>
      <c r="M34" s="2522" t="s">
        <v>1170</v>
      </c>
      <c r="N34" s="2522"/>
      <c r="O34" s="500"/>
      <c r="P34" s="4"/>
      <c r="Q34" s="4"/>
      <c r="R34" s="500"/>
      <c r="S34" s="500"/>
      <c r="T34" s="500"/>
      <c r="U34" s="500"/>
      <c r="V34" s="500"/>
      <c r="W34" s="500"/>
      <c r="X34" s="500"/>
      <c r="Y34" s="500"/>
      <c r="Z34" s="500"/>
      <c r="AA34" s="500"/>
    </row>
    <row r="35" spans="1:27" x14ac:dyDescent="0.25">
      <c r="A35" s="4454"/>
      <c r="B35" s="2970"/>
      <c r="C35" s="4479"/>
      <c r="D35" s="3660"/>
      <c r="E35" s="4480"/>
      <c r="F35" s="4480"/>
      <c r="G35" s="4480"/>
      <c r="H35" s="3660"/>
      <c r="I35" s="3660"/>
      <c r="J35" s="3660"/>
      <c r="K35" s="3666"/>
      <c r="L35" s="4486"/>
      <c r="M35" s="2840" t="s">
        <v>51</v>
      </c>
      <c r="N35" s="2840"/>
      <c r="O35" s="502">
        <v>0</v>
      </c>
      <c r="P35" s="175" t="s">
        <v>3008</v>
      </c>
      <c r="Q35" s="175">
        <v>0.5</v>
      </c>
      <c r="R35" s="502">
        <v>2</v>
      </c>
      <c r="S35" s="502"/>
      <c r="T35" s="502"/>
      <c r="U35" s="502"/>
      <c r="V35" s="502"/>
      <c r="W35" s="502"/>
      <c r="X35" s="502"/>
      <c r="Y35" s="502"/>
      <c r="Z35" s="502"/>
      <c r="AA35" s="17">
        <v>3</v>
      </c>
    </row>
    <row r="36" spans="1:27" ht="18.75" customHeight="1" x14ac:dyDescent="0.25">
      <c r="A36" s="4454"/>
      <c r="B36" s="2970"/>
      <c r="C36" s="4479"/>
      <c r="D36" s="3660"/>
      <c r="E36" s="4480"/>
      <c r="F36" s="4480"/>
      <c r="G36" s="4480"/>
      <c r="H36" s="3660"/>
      <c r="I36" s="3660"/>
      <c r="J36" s="3660"/>
      <c r="K36" s="3666"/>
      <c r="L36" s="4486"/>
      <c r="M36" s="4477" t="s">
        <v>52</v>
      </c>
      <c r="N36" s="4477"/>
      <c r="O36" s="502">
        <v>0</v>
      </c>
      <c r="P36" s="502">
        <v>15000</v>
      </c>
      <c r="Q36" s="502">
        <v>20000</v>
      </c>
      <c r="R36" s="502">
        <v>15000</v>
      </c>
      <c r="S36" s="502"/>
      <c r="T36" s="502"/>
      <c r="U36" s="502"/>
      <c r="V36" s="502"/>
      <c r="W36" s="502"/>
      <c r="X36" s="502"/>
      <c r="Y36" s="502"/>
      <c r="Z36" s="502"/>
      <c r="AA36" s="229">
        <v>50000</v>
      </c>
    </row>
    <row r="37" spans="1:27" ht="23.25" customHeight="1" x14ac:dyDescent="0.25">
      <c r="A37" s="4454"/>
      <c r="B37" s="2971"/>
      <c r="C37" s="4479"/>
      <c r="D37" s="3660"/>
      <c r="E37" s="4480"/>
      <c r="F37" s="4480"/>
      <c r="G37" s="4480"/>
      <c r="H37" s="3660"/>
      <c r="I37" s="3660"/>
      <c r="J37" s="3660"/>
      <c r="K37" s="3666"/>
      <c r="L37" s="4486"/>
      <c r="M37" s="2522" t="s">
        <v>158</v>
      </c>
      <c r="N37" s="2522"/>
      <c r="O37" s="500">
        <v>0</v>
      </c>
      <c r="P37" s="500">
        <v>15000</v>
      </c>
      <c r="Q37" s="500">
        <v>20000</v>
      </c>
      <c r="R37" s="500">
        <v>15000</v>
      </c>
      <c r="S37" s="230"/>
      <c r="T37" s="230"/>
      <c r="U37" s="230"/>
      <c r="V37" s="230"/>
      <c r="W37" s="230"/>
      <c r="X37" s="230"/>
      <c r="Y37" s="230"/>
      <c r="Z37" s="230"/>
      <c r="AA37" s="500">
        <v>50000</v>
      </c>
    </row>
    <row r="38" spans="1:27" ht="22.5" x14ac:dyDescent="0.25">
      <c r="A38" s="4481" t="s">
        <v>159</v>
      </c>
      <c r="B38" s="48" t="s">
        <v>6</v>
      </c>
      <c r="C38" s="4483" t="s">
        <v>2976</v>
      </c>
      <c r="D38" s="4484"/>
      <c r="E38" s="4484"/>
      <c r="F38" s="4484"/>
      <c r="G38" s="4484"/>
      <c r="H38" s="4484"/>
      <c r="I38" s="4484"/>
      <c r="J38" s="4484"/>
      <c r="K38" s="4484"/>
      <c r="L38" s="4484"/>
      <c r="M38" s="4484"/>
      <c r="N38" s="4484"/>
      <c r="O38" s="4484"/>
      <c r="P38" s="4484"/>
      <c r="Q38" s="4484"/>
      <c r="R38" s="4484"/>
      <c r="S38" s="4484"/>
      <c r="T38" s="4484"/>
      <c r="U38" s="4484"/>
      <c r="V38" s="4484"/>
      <c r="W38" s="4484"/>
      <c r="X38" s="4484"/>
      <c r="Y38" s="4484"/>
      <c r="Z38" s="4484"/>
      <c r="AA38" s="4485"/>
    </row>
    <row r="39" spans="1:27" x14ac:dyDescent="0.25">
      <c r="A39" s="4481"/>
      <c r="B39" s="2913" t="s">
        <v>13</v>
      </c>
      <c r="C39" s="3139">
        <v>9001</v>
      </c>
      <c r="D39" s="3139" t="s">
        <v>160</v>
      </c>
      <c r="E39" s="3139"/>
      <c r="F39" s="3139"/>
      <c r="G39" s="3139"/>
      <c r="H39" s="3139"/>
      <c r="I39" s="3139"/>
      <c r="J39" s="3139"/>
      <c r="K39" s="3139"/>
      <c r="L39" s="3139"/>
      <c r="M39" s="3139"/>
      <c r="N39" s="3139"/>
      <c r="O39" s="3139"/>
      <c r="P39" s="3139"/>
      <c r="Q39" s="3139"/>
      <c r="R39" s="3139"/>
      <c r="S39" s="3139"/>
      <c r="T39" s="3139"/>
      <c r="U39" s="3139"/>
      <c r="V39" s="2922" t="s">
        <v>15</v>
      </c>
      <c r="W39" s="2922"/>
      <c r="X39" s="2922"/>
      <c r="Y39" s="2922"/>
      <c r="Z39" s="2922" t="s">
        <v>16</v>
      </c>
      <c r="AA39" s="2922"/>
    </row>
    <row r="40" spans="1:27" x14ac:dyDescent="0.25">
      <c r="A40" s="4481"/>
      <c r="B40" s="2913"/>
      <c r="C40" s="3139"/>
      <c r="D40" s="3139"/>
      <c r="E40" s="3139"/>
      <c r="F40" s="3139"/>
      <c r="G40" s="3139"/>
      <c r="H40" s="3139"/>
      <c r="I40" s="3139"/>
      <c r="J40" s="3139"/>
      <c r="K40" s="3139"/>
      <c r="L40" s="3139"/>
      <c r="M40" s="3139"/>
      <c r="N40" s="3139"/>
      <c r="O40" s="3139"/>
      <c r="P40" s="3139"/>
      <c r="Q40" s="3139"/>
      <c r="R40" s="3139"/>
      <c r="S40" s="3139"/>
      <c r="T40" s="3139"/>
      <c r="U40" s="3139"/>
      <c r="V40" s="2922" t="s">
        <v>161</v>
      </c>
      <c r="W40" s="2922"/>
      <c r="X40" s="2922"/>
      <c r="Y40" s="2922"/>
      <c r="Z40" s="2922" t="s">
        <v>162</v>
      </c>
      <c r="AA40" s="2922"/>
    </row>
    <row r="41" spans="1:27" ht="9.75" customHeight="1" x14ac:dyDescent="0.25">
      <c r="A41" s="4481"/>
      <c r="B41" s="2913"/>
      <c r="C41" s="3139"/>
      <c r="D41" s="3139"/>
      <c r="E41" s="3139"/>
      <c r="F41" s="3139"/>
      <c r="G41" s="3139"/>
      <c r="H41" s="3139"/>
      <c r="I41" s="3139"/>
      <c r="J41" s="3139"/>
      <c r="K41" s="3139"/>
      <c r="L41" s="3139"/>
      <c r="M41" s="3139"/>
      <c r="N41" s="3139"/>
      <c r="O41" s="3139"/>
      <c r="P41" s="3139"/>
      <c r="Q41" s="3139"/>
      <c r="R41" s="3139"/>
      <c r="S41" s="3139"/>
      <c r="T41" s="3139"/>
      <c r="U41" s="3139"/>
      <c r="V41" s="2922"/>
      <c r="W41" s="2922"/>
      <c r="X41" s="2922"/>
      <c r="Y41" s="2922"/>
      <c r="Z41" s="2922"/>
      <c r="AA41" s="2922"/>
    </row>
    <row r="42" spans="1:27" x14ac:dyDescent="0.25">
      <c r="A42" s="4481"/>
      <c r="B42" s="2913" t="s">
        <v>18</v>
      </c>
      <c r="C42" s="3139">
        <v>399999</v>
      </c>
      <c r="D42" s="2840" t="s">
        <v>163</v>
      </c>
      <c r="E42" s="2840"/>
      <c r="F42" s="2840"/>
      <c r="G42" s="2840"/>
      <c r="H42" s="2840"/>
      <c r="I42" s="2840"/>
      <c r="J42" s="2840"/>
      <c r="K42" s="2840"/>
      <c r="L42" s="2840"/>
      <c r="M42" s="2840"/>
      <c r="N42" s="2840"/>
      <c r="O42" s="2840"/>
      <c r="P42" s="2840"/>
      <c r="Q42" s="2840"/>
      <c r="R42" s="2840"/>
      <c r="S42" s="2840"/>
      <c r="T42" s="2840"/>
      <c r="U42" s="2840"/>
      <c r="V42" s="2840" t="s">
        <v>15</v>
      </c>
      <c r="W42" s="2840"/>
      <c r="X42" s="2840"/>
      <c r="Y42" s="2840"/>
      <c r="Z42" s="2922" t="s">
        <v>16</v>
      </c>
      <c r="AA42" s="2922"/>
    </row>
    <row r="43" spans="1:27" x14ac:dyDescent="0.25">
      <c r="A43" s="4481"/>
      <c r="B43" s="2913"/>
      <c r="C43" s="3139"/>
      <c r="D43" s="2840"/>
      <c r="E43" s="2840"/>
      <c r="F43" s="2840"/>
      <c r="G43" s="2840"/>
      <c r="H43" s="2840"/>
      <c r="I43" s="2840"/>
      <c r="J43" s="2840"/>
      <c r="K43" s="2840"/>
      <c r="L43" s="2840"/>
      <c r="M43" s="2840"/>
      <c r="N43" s="2840"/>
      <c r="O43" s="2840"/>
      <c r="P43" s="2840"/>
      <c r="Q43" s="2840"/>
      <c r="R43" s="2840"/>
      <c r="S43" s="2840"/>
      <c r="T43" s="2840"/>
      <c r="U43" s="2840"/>
      <c r="V43" s="2840"/>
      <c r="W43" s="2840"/>
      <c r="X43" s="2840"/>
      <c r="Y43" s="2840"/>
      <c r="Z43" s="2922"/>
      <c r="AA43" s="2922"/>
    </row>
    <row r="44" spans="1:27" x14ac:dyDescent="0.25">
      <c r="A44" s="4481"/>
      <c r="B44" s="3516" t="s">
        <v>20</v>
      </c>
      <c r="C44" s="2847" t="s">
        <v>21</v>
      </c>
      <c r="D44" s="2847" t="s">
        <v>22</v>
      </c>
      <c r="E44" s="2847" t="s">
        <v>23</v>
      </c>
      <c r="F44" s="2847" t="s">
        <v>164</v>
      </c>
      <c r="G44" s="2847" t="s">
        <v>25</v>
      </c>
      <c r="H44" s="2847" t="s">
        <v>26</v>
      </c>
      <c r="I44" s="2847" t="s">
        <v>27</v>
      </c>
      <c r="J44" s="2847" t="s">
        <v>28</v>
      </c>
      <c r="K44" s="2847"/>
      <c r="L44" s="2847" t="s">
        <v>29</v>
      </c>
      <c r="M44" s="2847" t="s">
        <v>30</v>
      </c>
      <c r="N44" s="2847"/>
      <c r="O44" s="2916" t="s">
        <v>31</v>
      </c>
      <c r="P44" s="2916"/>
      <c r="Q44" s="2916"/>
      <c r="R44" s="2916"/>
      <c r="S44" s="2916"/>
      <c r="T44" s="2916"/>
      <c r="U44" s="2916"/>
      <c r="V44" s="2916"/>
      <c r="W44" s="2916"/>
      <c r="X44" s="2916"/>
      <c r="Y44" s="2916"/>
      <c r="Z44" s="2916"/>
      <c r="AA44" s="2916" t="s">
        <v>32</v>
      </c>
    </row>
    <row r="45" spans="1:27" x14ac:dyDescent="0.25">
      <c r="A45" s="4481"/>
      <c r="B45" s="3516"/>
      <c r="C45" s="2847"/>
      <c r="D45" s="2847"/>
      <c r="E45" s="2847"/>
      <c r="F45" s="2847"/>
      <c r="G45" s="2847"/>
      <c r="H45" s="2847"/>
      <c r="I45" s="2847"/>
      <c r="J45" s="455" t="s">
        <v>33</v>
      </c>
      <c r="K45" s="455" t="s">
        <v>34</v>
      </c>
      <c r="L45" s="2847"/>
      <c r="M45" s="2847"/>
      <c r="N45" s="2847"/>
      <c r="O45" s="471" t="s">
        <v>35</v>
      </c>
      <c r="P45" s="471" t="s">
        <v>36</v>
      </c>
      <c r="Q45" s="471" t="s">
        <v>37</v>
      </c>
      <c r="R45" s="471" t="s">
        <v>38</v>
      </c>
      <c r="S45" s="471" t="s">
        <v>39</v>
      </c>
      <c r="T45" s="471" t="s">
        <v>40</v>
      </c>
      <c r="U45" s="471" t="s">
        <v>41</v>
      </c>
      <c r="V45" s="471" t="s">
        <v>42</v>
      </c>
      <c r="W45" s="471" t="s">
        <v>43</v>
      </c>
      <c r="X45" s="471" t="s">
        <v>44</v>
      </c>
      <c r="Y45" s="471" t="s">
        <v>45</v>
      </c>
      <c r="Z45" s="471" t="s">
        <v>46</v>
      </c>
      <c r="AA45" s="2916"/>
    </row>
    <row r="46" spans="1:27" ht="20.25" customHeight="1" x14ac:dyDescent="0.25">
      <c r="A46" s="4481"/>
      <c r="B46" s="2969">
        <v>5.0000299999999998</v>
      </c>
      <c r="C46" s="2420" t="s">
        <v>1085</v>
      </c>
      <c r="D46" s="2420" t="s">
        <v>233</v>
      </c>
      <c r="E46" s="4497" t="s">
        <v>48</v>
      </c>
      <c r="F46" s="4480" t="s">
        <v>165</v>
      </c>
      <c r="G46" s="4480" t="s">
        <v>166</v>
      </c>
      <c r="H46" s="2420" t="s">
        <v>161</v>
      </c>
      <c r="I46" s="2420" t="s">
        <v>167</v>
      </c>
      <c r="J46" s="2973">
        <v>60</v>
      </c>
      <c r="K46" s="2973">
        <v>1534940</v>
      </c>
      <c r="L46" s="2420" t="s">
        <v>2973</v>
      </c>
      <c r="M46" s="4170" t="s">
        <v>81</v>
      </c>
      <c r="N46" s="4170"/>
      <c r="O46" s="695"/>
      <c r="P46" s="695"/>
      <c r="Q46" s="695"/>
      <c r="R46" s="695"/>
      <c r="S46" s="695"/>
      <c r="T46" s="695"/>
      <c r="U46" s="695"/>
      <c r="V46" s="695"/>
      <c r="W46" s="695"/>
      <c r="X46" s="695"/>
      <c r="Y46" s="695"/>
      <c r="Z46" s="695"/>
      <c r="AA46" s="695"/>
    </row>
    <row r="47" spans="1:27" x14ac:dyDescent="0.25">
      <c r="A47" s="4481"/>
      <c r="B47" s="2970"/>
      <c r="C47" s="2420"/>
      <c r="D47" s="2420"/>
      <c r="E47" s="4497"/>
      <c r="F47" s="4480"/>
      <c r="G47" s="4480"/>
      <c r="H47" s="2420"/>
      <c r="I47" s="2420"/>
      <c r="J47" s="2973"/>
      <c r="K47" s="2973"/>
      <c r="L47" s="2420"/>
      <c r="M47" s="4170" t="s">
        <v>51</v>
      </c>
      <c r="N47" s="4170"/>
      <c r="O47" s="695">
        <v>5</v>
      </c>
      <c r="P47" s="695">
        <v>5</v>
      </c>
      <c r="Q47" s="695">
        <v>5</v>
      </c>
      <c r="R47" s="695">
        <v>5</v>
      </c>
      <c r="S47" s="695">
        <v>5</v>
      </c>
      <c r="T47" s="695">
        <v>5</v>
      </c>
      <c r="U47" s="695">
        <v>5</v>
      </c>
      <c r="V47" s="695">
        <v>5</v>
      </c>
      <c r="W47" s="695">
        <v>5</v>
      </c>
      <c r="X47" s="695">
        <v>5</v>
      </c>
      <c r="Y47" s="695">
        <v>5</v>
      </c>
      <c r="Z47" s="695">
        <v>5</v>
      </c>
      <c r="AA47" s="693">
        <v>60</v>
      </c>
    </row>
    <row r="48" spans="1:27" x14ac:dyDescent="0.25">
      <c r="A48" s="4481"/>
      <c r="B48" s="2970"/>
      <c r="C48" s="2420"/>
      <c r="D48" s="2420"/>
      <c r="E48" s="4497"/>
      <c r="F48" s="4480"/>
      <c r="G48" s="4480"/>
      <c r="H48" s="2420"/>
      <c r="I48" s="2420"/>
      <c r="J48" s="2973"/>
      <c r="K48" s="2973"/>
      <c r="L48" s="2420"/>
      <c r="M48" s="2671" t="s">
        <v>168</v>
      </c>
      <c r="N48" s="3002"/>
      <c r="O48" s="692">
        <v>135697.33333333334</v>
      </c>
      <c r="P48" s="692">
        <v>127772.33333333334</v>
      </c>
      <c r="Q48" s="692">
        <v>127458.33333333334</v>
      </c>
      <c r="R48" s="692">
        <v>125655.33333333334</v>
      </c>
      <c r="S48" s="692">
        <v>155022.33333333334</v>
      </c>
      <c r="T48" s="692">
        <v>122522.33333333334</v>
      </c>
      <c r="U48" s="692">
        <v>128322.33333333334</v>
      </c>
      <c r="V48" s="692">
        <v>117222.33333333334</v>
      </c>
      <c r="W48" s="692">
        <v>125022.33333333334</v>
      </c>
      <c r="X48" s="692">
        <v>118682.33333333334</v>
      </c>
      <c r="Y48" s="692">
        <v>116002.33333333334</v>
      </c>
      <c r="Z48" s="692">
        <v>135560.33333333334</v>
      </c>
      <c r="AA48" s="692">
        <v>1534940</v>
      </c>
    </row>
    <row r="49" spans="1:27" ht="24.75" customHeight="1" x14ac:dyDescent="0.25">
      <c r="A49" s="4481"/>
      <c r="B49" s="2970"/>
      <c r="C49" s="2420"/>
      <c r="D49" s="2420"/>
      <c r="E49" s="4497"/>
      <c r="F49" s="4480"/>
      <c r="G49" s="4480"/>
      <c r="H49" s="2420"/>
      <c r="I49" s="2420"/>
      <c r="J49" s="2973"/>
      <c r="K49" s="2973"/>
      <c r="L49" s="2420"/>
      <c r="M49" s="2671" t="s">
        <v>140</v>
      </c>
      <c r="N49" s="3002"/>
      <c r="O49" s="692">
        <v>105106.50000000001</v>
      </c>
      <c r="P49" s="692">
        <v>101431.5</v>
      </c>
      <c r="Q49" s="692">
        <v>103317.5</v>
      </c>
      <c r="R49" s="692">
        <v>101914.5</v>
      </c>
      <c r="S49" s="692">
        <v>97181.5</v>
      </c>
      <c r="T49" s="692">
        <v>99681.5</v>
      </c>
      <c r="U49" s="692">
        <v>106781.50000000001</v>
      </c>
      <c r="V49" s="692">
        <v>94681.5</v>
      </c>
      <c r="W49" s="692">
        <v>96181.5</v>
      </c>
      <c r="X49" s="692">
        <v>95681.5</v>
      </c>
      <c r="Y49" s="692">
        <v>95661.5</v>
      </c>
      <c r="Z49" s="692">
        <v>107269.50000000001</v>
      </c>
      <c r="AA49" s="692">
        <v>1204890</v>
      </c>
    </row>
    <row r="50" spans="1:27" ht="33.75" x14ac:dyDescent="0.25">
      <c r="A50" s="4481"/>
      <c r="B50" s="2970"/>
      <c r="C50" s="2420"/>
      <c r="D50" s="2420"/>
      <c r="E50" s="4497"/>
      <c r="F50" s="4480"/>
      <c r="G50" s="4480"/>
      <c r="H50" s="2420"/>
      <c r="I50" s="2420"/>
      <c r="J50" s="2973"/>
      <c r="K50" s="2973"/>
      <c r="L50" s="2420"/>
      <c r="M50" s="468" t="s">
        <v>169</v>
      </c>
      <c r="N50" s="468" t="s">
        <v>170</v>
      </c>
      <c r="O50" s="500">
        <v>13840</v>
      </c>
      <c r="P50" s="500">
        <v>13840</v>
      </c>
      <c r="Q50" s="500">
        <v>13840</v>
      </c>
      <c r="R50" s="500">
        <v>13840</v>
      </c>
      <c r="S50" s="500">
        <v>13840</v>
      </c>
      <c r="T50" s="500">
        <v>13840</v>
      </c>
      <c r="U50" s="500">
        <v>13840</v>
      </c>
      <c r="V50" s="500">
        <v>13840</v>
      </c>
      <c r="W50" s="500">
        <v>13840</v>
      </c>
      <c r="X50" s="500">
        <v>13840</v>
      </c>
      <c r="Y50" s="500">
        <v>13840</v>
      </c>
      <c r="Z50" s="500">
        <v>13840</v>
      </c>
      <c r="AA50" s="500">
        <v>166080</v>
      </c>
    </row>
    <row r="51" spans="1:27" ht="33.75" x14ac:dyDescent="0.25">
      <c r="A51" s="4481"/>
      <c r="B51" s="2970"/>
      <c r="C51" s="2420"/>
      <c r="D51" s="2420"/>
      <c r="E51" s="4497"/>
      <c r="F51" s="4480"/>
      <c r="G51" s="4480"/>
      <c r="H51" s="2420"/>
      <c r="I51" s="2420"/>
      <c r="J51" s="2973"/>
      <c r="K51" s="2973"/>
      <c r="L51" s="2420"/>
      <c r="M51" s="468" t="s">
        <v>171</v>
      </c>
      <c r="N51" s="468" t="s">
        <v>3009</v>
      </c>
      <c r="O51" s="500">
        <v>50422</v>
      </c>
      <c r="P51" s="500">
        <v>50422</v>
      </c>
      <c r="Q51" s="500">
        <v>50422</v>
      </c>
      <c r="R51" s="500">
        <v>50422</v>
      </c>
      <c r="S51" s="500">
        <v>50422</v>
      </c>
      <c r="T51" s="500">
        <v>50422</v>
      </c>
      <c r="U51" s="500">
        <v>50422</v>
      </c>
      <c r="V51" s="500">
        <v>50422</v>
      </c>
      <c r="W51" s="500">
        <v>50422</v>
      </c>
      <c r="X51" s="500">
        <v>50422</v>
      </c>
      <c r="Y51" s="500">
        <v>50422</v>
      </c>
      <c r="Z51" s="500">
        <v>50422</v>
      </c>
      <c r="AA51" s="500">
        <v>605064</v>
      </c>
    </row>
    <row r="52" spans="1:27" x14ac:dyDescent="0.25">
      <c r="A52" s="4481"/>
      <c r="B52" s="2970"/>
      <c r="C52" s="2420"/>
      <c r="D52" s="2420"/>
      <c r="E52" s="4497"/>
      <c r="F52" s="4480"/>
      <c r="G52" s="4480"/>
      <c r="H52" s="2420"/>
      <c r="I52" s="2420"/>
      <c r="J52" s="2973"/>
      <c r="K52" s="2973"/>
      <c r="L52" s="2420"/>
      <c r="M52" s="468" t="s">
        <v>172</v>
      </c>
      <c r="N52" s="3" t="s">
        <v>173</v>
      </c>
      <c r="O52" s="3"/>
      <c r="P52" s="3"/>
      <c r="Q52" s="3"/>
      <c r="R52" s="3"/>
      <c r="S52" s="3"/>
      <c r="T52" s="3"/>
      <c r="U52" s="500">
        <v>4200</v>
      </c>
      <c r="V52" s="3"/>
      <c r="W52" s="3"/>
      <c r="X52" s="3"/>
      <c r="Y52" s="3"/>
      <c r="Z52" s="500">
        <v>4200</v>
      </c>
      <c r="AA52" s="500">
        <v>8400</v>
      </c>
    </row>
    <row r="53" spans="1:27" ht="33.75" x14ac:dyDescent="0.25">
      <c r="A53" s="4481"/>
      <c r="B53" s="2970"/>
      <c r="C53" s="2420"/>
      <c r="D53" s="2420"/>
      <c r="E53" s="4497"/>
      <c r="F53" s="4480"/>
      <c r="G53" s="4480"/>
      <c r="H53" s="2420"/>
      <c r="I53" s="2420"/>
      <c r="J53" s="2973"/>
      <c r="K53" s="2973"/>
      <c r="L53" s="2420"/>
      <c r="M53" s="468" t="s">
        <v>174</v>
      </c>
      <c r="N53" s="466" t="s">
        <v>175</v>
      </c>
      <c r="O53" s="500">
        <v>5600</v>
      </c>
      <c r="P53" s="500"/>
      <c r="Q53" s="500"/>
      <c r="R53" s="500"/>
      <c r="S53" s="500"/>
      <c r="T53" s="500"/>
      <c r="U53" s="500"/>
      <c r="V53" s="500"/>
      <c r="W53" s="500"/>
      <c r="X53" s="500"/>
      <c r="Y53" s="500"/>
      <c r="Z53" s="500"/>
      <c r="AA53" s="500">
        <v>5600</v>
      </c>
    </row>
    <row r="54" spans="1:27" ht="22.5" x14ac:dyDescent="0.25">
      <c r="A54" s="4481"/>
      <c r="B54" s="2970"/>
      <c r="C54" s="2420"/>
      <c r="D54" s="2420"/>
      <c r="E54" s="4497"/>
      <c r="F54" s="4480"/>
      <c r="G54" s="4480"/>
      <c r="H54" s="2420"/>
      <c r="I54" s="2420"/>
      <c r="J54" s="2973"/>
      <c r="K54" s="2973"/>
      <c r="L54" s="2420"/>
      <c r="M54" s="468" t="s">
        <v>176</v>
      </c>
      <c r="N54" s="466" t="s">
        <v>177</v>
      </c>
      <c r="O54" s="500">
        <v>1100.1666666666667</v>
      </c>
      <c r="P54" s="500">
        <v>1100.1666666666667</v>
      </c>
      <c r="Q54" s="500">
        <v>1100.1666666666667</v>
      </c>
      <c r="R54" s="500">
        <v>1100.1666666666667</v>
      </c>
      <c r="S54" s="500">
        <v>1100.1666666666667</v>
      </c>
      <c r="T54" s="500">
        <v>1100.1666666666667</v>
      </c>
      <c r="U54" s="500">
        <v>1100.1666666666667</v>
      </c>
      <c r="V54" s="500">
        <v>1100.1666666666667</v>
      </c>
      <c r="W54" s="500">
        <v>1100.1666666666667</v>
      </c>
      <c r="X54" s="500">
        <v>1100.1666666666667</v>
      </c>
      <c r="Y54" s="500">
        <v>1100.1666666666667</v>
      </c>
      <c r="Z54" s="500">
        <v>1100.1666666666667</v>
      </c>
      <c r="AA54" s="500">
        <v>13201.999999999998</v>
      </c>
    </row>
    <row r="55" spans="1:27" ht="45" x14ac:dyDescent="0.25">
      <c r="A55" s="4481"/>
      <c r="B55" s="2970"/>
      <c r="C55" s="2420"/>
      <c r="D55" s="2420"/>
      <c r="E55" s="4497"/>
      <c r="F55" s="4480"/>
      <c r="G55" s="4480"/>
      <c r="H55" s="2420"/>
      <c r="I55" s="2420"/>
      <c r="J55" s="2973"/>
      <c r="K55" s="2973"/>
      <c r="L55" s="2420"/>
      <c r="M55" s="468" t="s">
        <v>178</v>
      </c>
      <c r="N55" s="466" t="s">
        <v>179</v>
      </c>
      <c r="O55" s="500">
        <v>366.66666666666669</v>
      </c>
      <c r="P55" s="500">
        <v>366.66666666666669</v>
      </c>
      <c r="Q55" s="500">
        <v>366.66666666666669</v>
      </c>
      <c r="R55" s="500">
        <v>366.66666666666669</v>
      </c>
      <c r="S55" s="500">
        <v>366.66666666666669</v>
      </c>
      <c r="T55" s="500">
        <v>366.66666666666669</v>
      </c>
      <c r="U55" s="500">
        <v>366.66666666666669</v>
      </c>
      <c r="V55" s="500">
        <v>366.66666666666669</v>
      </c>
      <c r="W55" s="500">
        <v>366.66666666666669</v>
      </c>
      <c r="X55" s="500">
        <v>366.66666666666669</v>
      </c>
      <c r="Y55" s="500">
        <v>366.66666666666669</v>
      </c>
      <c r="Z55" s="500">
        <v>366.66666666666669</v>
      </c>
      <c r="AA55" s="500">
        <v>4399.9999999999991</v>
      </c>
    </row>
    <row r="56" spans="1:27" ht="22.5" x14ac:dyDescent="0.25">
      <c r="A56" s="4481"/>
      <c r="B56" s="2970"/>
      <c r="C56" s="2420"/>
      <c r="D56" s="2420"/>
      <c r="E56" s="4497"/>
      <c r="F56" s="4480"/>
      <c r="G56" s="4480"/>
      <c r="H56" s="2420"/>
      <c r="I56" s="2420"/>
      <c r="J56" s="2973"/>
      <c r="K56" s="2973"/>
      <c r="L56" s="2420"/>
      <c r="M56" s="468" t="s">
        <v>180</v>
      </c>
      <c r="N56" s="466" t="s">
        <v>181</v>
      </c>
      <c r="O56" s="500">
        <v>1000</v>
      </c>
      <c r="P56" s="500"/>
      <c r="Q56" s="500">
        <v>1012</v>
      </c>
      <c r="R56" s="500"/>
      <c r="S56" s="500"/>
      <c r="T56" s="500"/>
      <c r="U56" s="500"/>
      <c r="V56" s="500"/>
      <c r="W56" s="500"/>
      <c r="X56" s="500"/>
      <c r="Y56" s="500"/>
      <c r="Z56" s="500"/>
      <c r="AA56" s="500">
        <v>2012</v>
      </c>
    </row>
    <row r="57" spans="1:27" ht="22.5" x14ac:dyDescent="0.25">
      <c r="A57" s="4481"/>
      <c r="B57" s="2970"/>
      <c r="C57" s="2420"/>
      <c r="D57" s="2420"/>
      <c r="E57" s="4497"/>
      <c r="F57" s="4480"/>
      <c r="G57" s="4480"/>
      <c r="H57" s="2420"/>
      <c r="I57" s="2420"/>
      <c r="J57" s="2973"/>
      <c r="K57" s="2973"/>
      <c r="L57" s="2420"/>
      <c r="M57" s="468" t="s">
        <v>182</v>
      </c>
      <c r="N57" s="466" t="s">
        <v>183</v>
      </c>
      <c r="O57" s="500"/>
      <c r="P57" s="500">
        <v>1500</v>
      </c>
      <c r="Q57" s="500"/>
      <c r="R57" s="500">
        <v>1500</v>
      </c>
      <c r="S57" s="500"/>
      <c r="T57" s="500">
        <v>2000</v>
      </c>
      <c r="U57" s="500"/>
      <c r="V57" s="500"/>
      <c r="W57" s="500"/>
      <c r="X57" s="500"/>
      <c r="Y57" s="500"/>
      <c r="Z57" s="500"/>
      <c r="AA57" s="500">
        <v>5000</v>
      </c>
    </row>
    <row r="58" spans="1:27" ht="56.25" x14ac:dyDescent="0.25">
      <c r="A58" s="4481"/>
      <c r="B58" s="2970"/>
      <c r="C58" s="2420"/>
      <c r="D58" s="2420"/>
      <c r="E58" s="4497"/>
      <c r="F58" s="4480"/>
      <c r="G58" s="4480"/>
      <c r="H58" s="2420"/>
      <c r="I58" s="2420"/>
      <c r="J58" s="2973"/>
      <c r="K58" s="2973"/>
      <c r="L58" s="2420"/>
      <c r="M58" s="468" t="s">
        <v>184</v>
      </c>
      <c r="N58" s="466" t="s">
        <v>185</v>
      </c>
      <c r="O58" s="500">
        <v>1000</v>
      </c>
      <c r="P58" s="500"/>
      <c r="Q58" s="500">
        <v>1500</v>
      </c>
      <c r="R58" s="500"/>
      <c r="S58" s="500">
        <v>1500</v>
      </c>
      <c r="T58" s="500"/>
      <c r="U58" s="500">
        <v>1500</v>
      </c>
      <c r="V58" s="500"/>
      <c r="W58" s="500">
        <v>1500</v>
      </c>
      <c r="X58" s="500"/>
      <c r="Y58" s="500">
        <v>1000</v>
      </c>
      <c r="Z58" s="500"/>
      <c r="AA58" s="500">
        <v>8000</v>
      </c>
    </row>
    <row r="59" spans="1:27" ht="22.5" x14ac:dyDescent="0.25">
      <c r="A59" s="4481"/>
      <c r="B59" s="2970"/>
      <c r="C59" s="2420"/>
      <c r="D59" s="2420"/>
      <c r="E59" s="4497"/>
      <c r="F59" s="4480"/>
      <c r="G59" s="4480"/>
      <c r="H59" s="2420"/>
      <c r="I59" s="2420"/>
      <c r="J59" s="2973"/>
      <c r="K59" s="2973"/>
      <c r="L59" s="2420"/>
      <c r="M59" s="468" t="s">
        <v>186</v>
      </c>
      <c r="N59" s="466" t="s">
        <v>187</v>
      </c>
      <c r="O59" s="500">
        <v>80</v>
      </c>
      <c r="P59" s="500">
        <v>80</v>
      </c>
      <c r="Q59" s="500">
        <v>80</v>
      </c>
      <c r="R59" s="500">
        <v>80</v>
      </c>
      <c r="S59" s="500">
        <v>80</v>
      </c>
      <c r="T59" s="500">
        <v>80</v>
      </c>
      <c r="U59" s="500">
        <v>80</v>
      </c>
      <c r="V59" s="500">
        <v>80</v>
      </c>
      <c r="W59" s="500">
        <v>80</v>
      </c>
      <c r="X59" s="500">
        <v>80</v>
      </c>
      <c r="Y59" s="500">
        <v>60</v>
      </c>
      <c r="Z59" s="500"/>
      <c r="AA59" s="500">
        <v>860</v>
      </c>
    </row>
    <row r="60" spans="1:27" ht="33.75" x14ac:dyDescent="0.25">
      <c r="A60" s="4481"/>
      <c r="B60" s="2970"/>
      <c r="C60" s="2420"/>
      <c r="D60" s="2420"/>
      <c r="E60" s="4497"/>
      <c r="F60" s="4480"/>
      <c r="G60" s="4480"/>
      <c r="H60" s="2420"/>
      <c r="I60" s="2420"/>
      <c r="J60" s="2973"/>
      <c r="K60" s="2973"/>
      <c r="L60" s="2420"/>
      <c r="M60" s="468" t="s">
        <v>188</v>
      </c>
      <c r="N60" s="466" t="s">
        <v>189</v>
      </c>
      <c r="O60" s="500">
        <v>500</v>
      </c>
      <c r="P60" s="500"/>
      <c r="Q60" s="500"/>
      <c r="R60" s="500">
        <v>733</v>
      </c>
      <c r="S60" s="500"/>
      <c r="T60" s="500"/>
      <c r="U60" s="500"/>
      <c r="V60" s="500"/>
      <c r="W60" s="500"/>
      <c r="X60" s="500"/>
      <c r="Y60" s="500"/>
      <c r="Z60" s="500"/>
      <c r="AA60" s="500">
        <v>1233</v>
      </c>
    </row>
    <row r="61" spans="1:27" x14ac:dyDescent="0.25">
      <c r="A61" s="4481"/>
      <c r="B61" s="2970"/>
      <c r="C61" s="2420"/>
      <c r="D61" s="2420"/>
      <c r="E61" s="4497"/>
      <c r="F61" s="4480"/>
      <c r="G61" s="4480"/>
      <c r="H61" s="2420"/>
      <c r="I61" s="2420"/>
      <c r="J61" s="2973"/>
      <c r="K61" s="2973"/>
      <c r="L61" s="2420"/>
      <c r="M61" s="468" t="s">
        <v>190</v>
      </c>
      <c r="N61" s="466" t="s">
        <v>191</v>
      </c>
      <c r="O61" s="500">
        <v>1000</v>
      </c>
      <c r="P61" s="500">
        <v>2500</v>
      </c>
      <c r="Q61" s="500"/>
      <c r="R61" s="500">
        <v>3000</v>
      </c>
      <c r="S61" s="500"/>
      <c r="T61" s="500"/>
      <c r="U61" s="500"/>
      <c r="V61" s="500"/>
      <c r="W61" s="500"/>
      <c r="X61" s="500"/>
      <c r="Y61" s="500"/>
      <c r="Z61" s="500"/>
      <c r="AA61" s="500">
        <v>6500</v>
      </c>
    </row>
    <row r="62" spans="1:27" ht="18" customHeight="1" x14ac:dyDescent="0.25">
      <c r="A62" s="4481"/>
      <c r="B62" s="2970"/>
      <c r="C62" s="2420"/>
      <c r="D62" s="2420"/>
      <c r="E62" s="4497"/>
      <c r="F62" s="4480"/>
      <c r="G62" s="4480"/>
      <c r="H62" s="2420"/>
      <c r="I62" s="2420"/>
      <c r="J62" s="2973"/>
      <c r="K62" s="2973"/>
      <c r="L62" s="2420"/>
      <c r="M62" s="468" t="s">
        <v>192</v>
      </c>
      <c r="N62" s="466" t="s">
        <v>193</v>
      </c>
      <c r="O62" s="500"/>
      <c r="P62" s="500"/>
      <c r="Q62" s="500">
        <v>2824</v>
      </c>
      <c r="R62" s="500"/>
      <c r="S62" s="500"/>
      <c r="T62" s="500"/>
      <c r="U62" s="500"/>
      <c r="V62" s="500"/>
      <c r="W62" s="500"/>
      <c r="X62" s="500"/>
      <c r="Y62" s="500"/>
      <c r="Z62" s="500"/>
      <c r="AA62" s="500">
        <v>2824</v>
      </c>
    </row>
    <row r="63" spans="1:27" ht="45" x14ac:dyDescent="0.25">
      <c r="A63" s="4481"/>
      <c r="B63" s="2970"/>
      <c r="C63" s="2420"/>
      <c r="D63" s="2420"/>
      <c r="E63" s="4497"/>
      <c r="F63" s="4480"/>
      <c r="G63" s="4480"/>
      <c r="H63" s="2420"/>
      <c r="I63" s="2420"/>
      <c r="J63" s="2973"/>
      <c r="K63" s="2973"/>
      <c r="L63" s="2420"/>
      <c r="M63" s="468" t="s">
        <v>194</v>
      </c>
      <c r="N63" s="466" t="s">
        <v>3010</v>
      </c>
      <c r="O63" s="500">
        <v>1500</v>
      </c>
      <c r="P63" s="500">
        <v>1125</v>
      </c>
      <c r="Q63" s="500">
        <v>1125</v>
      </c>
      <c r="R63" s="500">
        <v>1125</v>
      </c>
      <c r="S63" s="500">
        <v>1125</v>
      </c>
      <c r="T63" s="500">
        <v>1125</v>
      </c>
      <c r="U63" s="500">
        <v>1125</v>
      </c>
      <c r="V63" s="500">
        <v>1125</v>
      </c>
      <c r="W63" s="500">
        <v>1125</v>
      </c>
      <c r="X63" s="500">
        <v>1125</v>
      </c>
      <c r="Y63" s="500">
        <v>1125</v>
      </c>
      <c r="Z63" s="500">
        <v>750</v>
      </c>
      <c r="AA63" s="500">
        <v>13500</v>
      </c>
    </row>
    <row r="64" spans="1:27" ht="45" x14ac:dyDescent="0.25">
      <c r="A64" s="4481"/>
      <c r="B64" s="2970"/>
      <c r="C64" s="2420"/>
      <c r="D64" s="2420"/>
      <c r="E64" s="4497"/>
      <c r="F64" s="4480"/>
      <c r="G64" s="4480"/>
      <c r="H64" s="2420"/>
      <c r="I64" s="2420"/>
      <c r="J64" s="2973"/>
      <c r="K64" s="2973"/>
      <c r="L64" s="2420"/>
      <c r="M64" s="468" t="s">
        <v>195</v>
      </c>
      <c r="N64" s="466" t="s">
        <v>524</v>
      </c>
      <c r="O64" s="500">
        <v>350</v>
      </c>
      <c r="P64" s="500">
        <v>350</v>
      </c>
      <c r="Q64" s="500">
        <v>350</v>
      </c>
      <c r="R64" s="500">
        <v>350</v>
      </c>
      <c r="S64" s="500">
        <v>350</v>
      </c>
      <c r="T64" s="500">
        <v>350</v>
      </c>
      <c r="U64" s="500">
        <v>350</v>
      </c>
      <c r="V64" s="500">
        <v>350</v>
      </c>
      <c r="W64" s="500">
        <v>350</v>
      </c>
      <c r="X64" s="500">
        <v>350</v>
      </c>
      <c r="Y64" s="500">
        <v>350</v>
      </c>
      <c r="Z64" s="500">
        <v>350</v>
      </c>
      <c r="AA64" s="500">
        <v>4200</v>
      </c>
    </row>
    <row r="65" spans="1:27" ht="33.75" x14ac:dyDescent="0.25">
      <c r="A65" s="4481"/>
      <c r="B65" s="2970"/>
      <c r="C65" s="2420"/>
      <c r="D65" s="2420"/>
      <c r="E65" s="4497"/>
      <c r="F65" s="4480"/>
      <c r="G65" s="4480"/>
      <c r="H65" s="2420"/>
      <c r="I65" s="2420"/>
      <c r="J65" s="2973"/>
      <c r="K65" s="2973"/>
      <c r="L65" s="2420"/>
      <c r="M65" s="468" t="s">
        <v>196</v>
      </c>
      <c r="N65" s="466" t="s">
        <v>197</v>
      </c>
      <c r="O65" s="500">
        <v>29.166666666666668</v>
      </c>
      <c r="P65" s="500">
        <v>29.166666666666668</v>
      </c>
      <c r="Q65" s="500">
        <v>29.166666666666668</v>
      </c>
      <c r="R65" s="500">
        <v>29.166666666666668</v>
      </c>
      <c r="S65" s="500">
        <v>29.166666666666668</v>
      </c>
      <c r="T65" s="500">
        <v>29.166666666666668</v>
      </c>
      <c r="U65" s="500">
        <v>29.166666666666668</v>
      </c>
      <c r="V65" s="500">
        <v>29.166666666666668</v>
      </c>
      <c r="W65" s="500">
        <v>29.166666666666668</v>
      </c>
      <c r="X65" s="500">
        <v>29.166666666666668</v>
      </c>
      <c r="Y65" s="500">
        <v>29.166666666666668</v>
      </c>
      <c r="Z65" s="500">
        <v>29.166666666666668</v>
      </c>
      <c r="AA65" s="500">
        <v>350.00000000000006</v>
      </c>
    </row>
    <row r="66" spans="1:27" ht="33.75" x14ac:dyDescent="0.25">
      <c r="A66" s="4481"/>
      <c r="B66" s="2970"/>
      <c r="C66" s="2420"/>
      <c r="D66" s="2420"/>
      <c r="E66" s="4497"/>
      <c r="F66" s="4480"/>
      <c r="G66" s="4480"/>
      <c r="H66" s="2420"/>
      <c r="I66" s="2420"/>
      <c r="J66" s="2973"/>
      <c r="K66" s="2973"/>
      <c r="L66" s="2420"/>
      <c r="M66" s="468" t="s">
        <v>198</v>
      </c>
      <c r="N66" s="466" t="s">
        <v>2355</v>
      </c>
      <c r="O66" s="500">
        <v>85</v>
      </c>
      <c r="P66" s="500">
        <v>85</v>
      </c>
      <c r="Q66" s="500">
        <v>85</v>
      </c>
      <c r="R66" s="500">
        <v>85</v>
      </c>
      <c r="S66" s="500">
        <v>85</v>
      </c>
      <c r="T66" s="500">
        <v>85</v>
      </c>
      <c r="U66" s="500">
        <v>85</v>
      </c>
      <c r="V66" s="500">
        <v>85</v>
      </c>
      <c r="W66" s="500">
        <v>85</v>
      </c>
      <c r="X66" s="500">
        <v>85</v>
      </c>
      <c r="Y66" s="500">
        <v>85</v>
      </c>
      <c r="Z66" s="500">
        <v>85</v>
      </c>
      <c r="AA66" s="500">
        <v>1020</v>
      </c>
    </row>
    <row r="67" spans="1:27" ht="22.5" x14ac:dyDescent="0.25">
      <c r="A67" s="4481"/>
      <c r="B67" s="2970"/>
      <c r="C67" s="2420"/>
      <c r="D67" s="2420"/>
      <c r="E67" s="4497"/>
      <c r="F67" s="4480"/>
      <c r="G67" s="4480"/>
      <c r="H67" s="2420"/>
      <c r="I67" s="2420"/>
      <c r="J67" s="2973"/>
      <c r="K67" s="2973"/>
      <c r="L67" s="2420"/>
      <c r="M67" s="468" t="s">
        <v>199</v>
      </c>
      <c r="N67" s="466" t="s">
        <v>3000</v>
      </c>
      <c r="O67" s="500">
        <v>375</v>
      </c>
      <c r="P67" s="500">
        <v>375</v>
      </c>
      <c r="Q67" s="500">
        <v>375</v>
      </c>
      <c r="R67" s="500">
        <v>375</v>
      </c>
      <c r="S67" s="500">
        <v>375</v>
      </c>
      <c r="T67" s="500">
        <v>375</v>
      </c>
      <c r="U67" s="500">
        <v>375</v>
      </c>
      <c r="V67" s="500">
        <v>375</v>
      </c>
      <c r="W67" s="500">
        <v>375</v>
      </c>
      <c r="X67" s="500">
        <v>375</v>
      </c>
      <c r="Y67" s="500">
        <v>375</v>
      </c>
      <c r="Z67" s="500">
        <v>375</v>
      </c>
      <c r="AA67" s="500">
        <v>4500</v>
      </c>
    </row>
    <row r="68" spans="1:27" ht="56.25" x14ac:dyDescent="0.25">
      <c r="A68" s="4481"/>
      <c r="B68" s="2970"/>
      <c r="C68" s="2420"/>
      <c r="D68" s="2420"/>
      <c r="E68" s="4497"/>
      <c r="F68" s="4480"/>
      <c r="G68" s="4480"/>
      <c r="H68" s="2420"/>
      <c r="I68" s="2420"/>
      <c r="J68" s="2973"/>
      <c r="K68" s="2973"/>
      <c r="L68" s="2420"/>
      <c r="M68" s="468" t="s">
        <v>200</v>
      </c>
      <c r="N68" s="466" t="s">
        <v>201</v>
      </c>
      <c r="O68" s="500">
        <v>1200</v>
      </c>
      <c r="P68" s="500">
        <v>1200</v>
      </c>
      <c r="Q68" s="500">
        <v>250</v>
      </c>
      <c r="R68" s="500">
        <v>250</v>
      </c>
      <c r="S68" s="500">
        <v>250</v>
      </c>
      <c r="T68" s="500">
        <v>750</v>
      </c>
      <c r="U68" s="500">
        <v>250</v>
      </c>
      <c r="V68" s="500">
        <v>250</v>
      </c>
      <c r="W68" s="500">
        <v>250</v>
      </c>
      <c r="X68" s="500">
        <v>250</v>
      </c>
      <c r="Y68" s="500">
        <v>250</v>
      </c>
      <c r="Z68" s="500">
        <v>1248</v>
      </c>
      <c r="AA68" s="500">
        <v>6398</v>
      </c>
    </row>
    <row r="69" spans="1:27" ht="33.75" x14ac:dyDescent="0.25">
      <c r="A69" s="4481"/>
      <c r="B69" s="2970"/>
      <c r="C69" s="2420"/>
      <c r="D69" s="2420"/>
      <c r="E69" s="4497"/>
      <c r="F69" s="4480"/>
      <c r="G69" s="4480"/>
      <c r="H69" s="2420"/>
      <c r="I69" s="2420"/>
      <c r="J69" s="2973"/>
      <c r="K69" s="2973"/>
      <c r="L69" s="2420"/>
      <c r="M69" s="468" t="s">
        <v>202</v>
      </c>
      <c r="N69" s="466" t="s">
        <v>3011</v>
      </c>
      <c r="O69" s="500"/>
      <c r="P69" s="500">
        <v>1000</v>
      </c>
      <c r="Q69" s="500"/>
      <c r="R69" s="500">
        <v>1200</v>
      </c>
      <c r="S69" s="500"/>
      <c r="T69" s="500"/>
      <c r="U69" s="500"/>
      <c r="V69" s="500"/>
      <c r="W69" s="500"/>
      <c r="X69" s="500"/>
      <c r="Y69" s="500"/>
      <c r="Z69" s="500"/>
      <c r="AA69" s="500">
        <v>2200</v>
      </c>
    </row>
    <row r="70" spans="1:27" ht="22.5" x14ac:dyDescent="0.25">
      <c r="A70" s="4481"/>
      <c r="B70" s="2970"/>
      <c r="C70" s="2420"/>
      <c r="D70" s="2420"/>
      <c r="E70" s="4497"/>
      <c r="F70" s="4480"/>
      <c r="G70" s="4480"/>
      <c r="H70" s="2420"/>
      <c r="I70" s="2420"/>
      <c r="J70" s="2973"/>
      <c r="K70" s="2973"/>
      <c r="L70" s="2420"/>
      <c r="M70" s="468" t="s">
        <v>203</v>
      </c>
      <c r="N70" s="466" t="s">
        <v>204</v>
      </c>
      <c r="O70" s="500"/>
      <c r="P70" s="500">
        <v>800</v>
      </c>
      <c r="Q70" s="500">
        <v>800</v>
      </c>
      <c r="R70" s="500">
        <v>800</v>
      </c>
      <c r="S70" s="500">
        <v>1000</v>
      </c>
      <c r="T70" s="500"/>
      <c r="U70" s="500"/>
      <c r="V70" s="500"/>
      <c r="W70" s="500"/>
      <c r="X70" s="500"/>
      <c r="Y70" s="500"/>
      <c r="Z70" s="500"/>
      <c r="AA70" s="500">
        <v>3400</v>
      </c>
    </row>
    <row r="71" spans="1:27" ht="45.75" customHeight="1" x14ac:dyDescent="0.25">
      <c r="A71" s="4481"/>
      <c r="B71" s="2970"/>
      <c r="C71" s="2420"/>
      <c r="D71" s="2420"/>
      <c r="E71" s="4497"/>
      <c r="F71" s="4480"/>
      <c r="G71" s="4480"/>
      <c r="H71" s="2420"/>
      <c r="I71" s="2420"/>
      <c r="J71" s="2973"/>
      <c r="K71" s="2973"/>
      <c r="L71" s="2420"/>
      <c r="M71" s="468" t="s">
        <v>205</v>
      </c>
      <c r="N71" s="466" t="s">
        <v>3013</v>
      </c>
      <c r="O71" s="500"/>
      <c r="P71" s="500"/>
      <c r="Q71" s="500">
        <v>2500</v>
      </c>
      <c r="R71" s="500"/>
      <c r="S71" s="500"/>
      <c r="T71" s="500"/>
      <c r="U71" s="500">
        <v>2500</v>
      </c>
      <c r="V71" s="500"/>
      <c r="W71" s="500"/>
      <c r="X71" s="500"/>
      <c r="Y71" s="500"/>
      <c r="Z71" s="500"/>
      <c r="AA71" s="500">
        <v>5000</v>
      </c>
    </row>
    <row r="72" spans="1:27" ht="22.5" x14ac:dyDescent="0.25">
      <c r="A72" s="4481"/>
      <c r="B72" s="2970"/>
      <c r="C72" s="2420"/>
      <c r="D72" s="2420"/>
      <c r="E72" s="4497"/>
      <c r="F72" s="4480"/>
      <c r="G72" s="4480"/>
      <c r="H72" s="2420"/>
      <c r="I72" s="2420"/>
      <c r="J72" s="2973"/>
      <c r="K72" s="2973"/>
      <c r="L72" s="2420"/>
      <c r="M72" s="468" t="s">
        <v>206</v>
      </c>
      <c r="N72" s="466" t="s">
        <v>207</v>
      </c>
      <c r="O72" s="500"/>
      <c r="P72" s="500"/>
      <c r="Q72" s="500"/>
      <c r="R72" s="500"/>
      <c r="S72" s="500"/>
      <c r="T72" s="500">
        <v>2500</v>
      </c>
      <c r="U72" s="500"/>
      <c r="V72" s="500"/>
      <c r="W72" s="500"/>
      <c r="X72" s="500">
        <v>1000</v>
      </c>
      <c r="Y72" s="500"/>
      <c r="Z72" s="500">
        <v>3945</v>
      </c>
      <c r="AA72" s="500">
        <v>7445</v>
      </c>
    </row>
    <row r="73" spans="1:27" ht="33.75" x14ac:dyDescent="0.25">
      <c r="A73" s="4481"/>
      <c r="B73" s="2970"/>
      <c r="C73" s="2420"/>
      <c r="D73" s="2420"/>
      <c r="E73" s="4497"/>
      <c r="F73" s="4480"/>
      <c r="G73" s="4480"/>
      <c r="H73" s="2420"/>
      <c r="I73" s="2420"/>
      <c r="J73" s="2973"/>
      <c r="K73" s="2973"/>
      <c r="L73" s="2420"/>
      <c r="M73" s="468" t="s">
        <v>208</v>
      </c>
      <c r="N73" s="466" t="s">
        <v>209</v>
      </c>
      <c r="O73" s="500">
        <v>25358.5</v>
      </c>
      <c r="P73" s="500">
        <v>25358.5</v>
      </c>
      <c r="Q73" s="500">
        <v>25358.5</v>
      </c>
      <c r="R73" s="500">
        <v>25358.5</v>
      </c>
      <c r="S73" s="500">
        <v>25358.5</v>
      </c>
      <c r="T73" s="500">
        <v>25358.5</v>
      </c>
      <c r="U73" s="500">
        <v>29258.5</v>
      </c>
      <c r="V73" s="500">
        <v>25358.5</v>
      </c>
      <c r="W73" s="500">
        <v>25358.5</v>
      </c>
      <c r="X73" s="500">
        <v>25358.5</v>
      </c>
      <c r="Y73" s="500">
        <v>25358.5</v>
      </c>
      <c r="Z73" s="500">
        <v>29258.5</v>
      </c>
      <c r="AA73" s="500">
        <v>312102</v>
      </c>
    </row>
    <row r="74" spans="1:27" ht="33.75" x14ac:dyDescent="0.25">
      <c r="A74" s="4481"/>
      <c r="B74" s="2970"/>
      <c r="C74" s="2420"/>
      <c r="D74" s="2420"/>
      <c r="E74" s="4497"/>
      <c r="F74" s="4480"/>
      <c r="G74" s="4480"/>
      <c r="H74" s="2420"/>
      <c r="I74" s="2420"/>
      <c r="J74" s="2973"/>
      <c r="K74" s="2973"/>
      <c r="L74" s="2420"/>
      <c r="M74" s="468" t="s">
        <v>210</v>
      </c>
      <c r="N74" s="466" t="s">
        <v>211</v>
      </c>
      <c r="O74" s="500">
        <v>1300</v>
      </c>
      <c r="P74" s="500">
        <v>1300</v>
      </c>
      <c r="Q74" s="500">
        <v>1300</v>
      </c>
      <c r="R74" s="500">
        <v>1300</v>
      </c>
      <c r="S74" s="500">
        <v>1300</v>
      </c>
      <c r="T74" s="500">
        <v>1300</v>
      </c>
      <c r="U74" s="500">
        <v>1300</v>
      </c>
      <c r="V74" s="500">
        <v>1300</v>
      </c>
      <c r="W74" s="500">
        <v>1300</v>
      </c>
      <c r="X74" s="500">
        <v>1300</v>
      </c>
      <c r="Y74" s="500">
        <v>1300</v>
      </c>
      <c r="Z74" s="500">
        <v>1300</v>
      </c>
      <c r="AA74" s="500">
        <v>15600</v>
      </c>
    </row>
    <row r="75" spans="1:27" ht="29.25" customHeight="1" x14ac:dyDescent="0.25">
      <c r="A75" s="4481"/>
      <c r="B75" s="2970"/>
      <c r="C75" s="2420"/>
      <c r="D75" s="2420"/>
      <c r="E75" s="4497"/>
      <c r="F75" s="4480"/>
      <c r="G75" s="4480"/>
      <c r="H75" s="2420"/>
      <c r="I75" s="2420"/>
      <c r="J75" s="2973"/>
      <c r="K75" s="2973"/>
      <c r="L75" s="2420"/>
      <c r="M75" s="4489" t="s">
        <v>212</v>
      </c>
      <c r="N75" s="4490"/>
      <c r="O75" s="5">
        <v>30590.833333333336</v>
      </c>
      <c r="P75" s="5">
        <v>26340.833333333336</v>
      </c>
      <c r="Q75" s="5">
        <v>24140.833333333336</v>
      </c>
      <c r="R75" s="5">
        <v>23740.833333333336</v>
      </c>
      <c r="S75" s="5">
        <v>57840.833333333336</v>
      </c>
      <c r="T75" s="5">
        <v>22840.833333333336</v>
      </c>
      <c r="U75" s="5">
        <v>21540.833333333336</v>
      </c>
      <c r="V75" s="5">
        <v>22540.833333333336</v>
      </c>
      <c r="W75" s="5">
        <v>28840.833333333336</v>
      </c>
      <c r="X75" s="5">
        <v>23000.833333333336</v>
      </c>
      <c r="Y75" s="5">
        <v>20340.833333333336</v>
      </c>
      <c r="Z75" s="5">
        <v>28290.833333333336</v>
      </c>
      <c r="AA75" s="5">
        <v>330050</v>
      </c>
    </row>
    <row r="76" spans="1:27" ht="45" x14ac:dyDescent="0.25">
      <c r="A76" s="4481"/>
      <c r="B76" s="2970"/>
      <c r="C76" s="2420"/>
      <c r="D76" s="2420"/>
      <c r="E76" s="4497"/>
      <c r="F76" s="4480"/>
      <c r="G76" s="4480"/>
      <c r="H76" s="2420"/>
      <c r="I76" s="2420"/>
      <c r="J76" s="2973"/>
      <c r="K76" s="2973"/>
      <c r="L76" s="2420"/>
      <c r="M76" s="468" t="s">
        <v>178</v>
      </c>
      <c r="N76" s="466" t="s">
        <v>179</v>
      </c>
      <c r="O76" s="500">
        <v>100</v>
      </c>
      <c r="P76" s="500">
        <v>300</v>
      </c>
      <c r="Q76" s="500">
        <v>100</v>
      </c>
      <c r="R76" s="500">
        <v>200</v>
      </c>
      <c r="S76" s="500">
        <v>100</v>
      </c>
      <c r="T76" s="500">
        <v>100</v>
      </c>
      <c r="U76" s="500">
        <v>300</v>
      </c>
      <c r="V76" s="500">
        <v>100</v>
      </c>
      <c r="W76" s="500">
        <v>100</v>
      </c>
      <c r="X76" s="500">
        <v>200</v>
      </c>
      <c r="Y76" s="500">
        <v>100</v>
      </c>
      <c r="Z76" s="500">
        <v>300</v>
      </c>
      <c r="AA76" s="500">
        <v>2000</v>
      </c>
    </row>
    <row r="77" spans="1:27" ht="45" x14ac:dyDescent="0.25">
      <c r="A77" s="4481"/>
      <c r="B77" s="2970"/>
      <c r="C77" s="2420"/>
      <c r="D77" s="2420"/>
      <c r="E77" s="4497"/>
      <c r="F77" s="4480"/>
      <c r="G77" s="4480"/>
      <c r="H77" s="2420"/>
      <c r="I77" s="2420"/>
      <c r="J77" s="2973"/>
      <c r="K77" s="2973"/>
      <c r="L77" s="2420"/>
      <c r="M77" s="468" t="s">
        <v>213</v>
      </c>
      <c r="N77" s="466" t="s">
        <v>214</v>
      </c>
      <c r="O77" s="500"/>
      <c r="P77" s="500"/>
      <c r="Q77" s="500"/>
      <c r="R77" s="500"/>
      <c r="S77" s="500">
        <v>25000</v>
      </c>
      <c r="T77" s="500"/>
      <c r="U77" s="500"/>
      <c r="V77" s="500"/>
      <c r="W77" s="500"/>
      <c r="X77" s="500"/>
      <c r="Y77" s="500"/>
      <c r="Z77" s="500"/>
      <c r="AA77" s="500">
        <v>25000</v>
      </c>
    </row>
    <row r="78" spans="1:27" ht="22.5" x14ac:dyDescent="0.25">
      <c r="A78" s="4481"/>
      <c r="B78" s="2970"/>
      <c r="C78" s="2420"/>
      <c r="D78" s="2420"/>
      <c r="E78" s="4497"/>
      <c r="F78" s="4480"/>
      <c r="G78" s="4480"/>
      <c r="H78" s="2420"/>
      <c r="I78" s="2420"/>
      <c r="J78" s="2973"/>
      <c r="K78" s="2973"/>
      <c r="L78" s="2420"/>
      <c r="M78" s="468" t="s">
        <v>180</v>
      </c>
      <c r="N78" s="466" t="s">
        <v>181</v>
      </c>
      <c r="O78" s="500">
        <v>5000</v>
      </c>
      <c r="P78" s="500"/>
      <c r="Q78" s="500"/>
      <c r="R78" s="500"/>
      <c r="S78" s="500"/>
      <c r="T78" s="500"/>
      <c r="U78" s="500">
        <v>5000</v>
      </c>
      <c r="V78" s="500"/>
      <c r="W78" s="500"/>
      <c r="X78" s="500"/>
      <c r="Y78" s="500"/>
      <c r="Z78" s="500">
        <v>5000</v>
      </c>
      <c r="AA78" s="500">
        <v>15000</v>
      </c>
    </row>
    <row r="79" spans="1:27" ht="22.5" x14ac:dyDescent="0.25">
      <c r="A79" s="4481"/>
      <c r="B79" s="2970"/>
      <c r="C79" s="2420"/>
      <c r="D79" s="2420"/>
      <c r="E79" s="4497"/>
      <c r="F79" s="4480"/>
      <c r="G79" s="4480"/>
      <c r="H79" s="2420"/>
      <c r="I79" s="2420"/>
      <c r="J79" s="2973"/>
      <c r="K79" s="2973"/>
      <c r="L79" s="2420"/>
      <c r="M79" s="468" t="s">
        <v>215</v>
      </c>
      <c r="N79" s="466" t="s">
        <v>216</v>
      </c>
      <c r="O79" s="500"/>
      <c r="P79" s="500">
        <v>3500</v>
      </c>
      <c r="Q79" s="500"/>
      <c r="R79" s="500">
        <v>1500</v>
      </c>
      <c r="S79" s="500"/>
      <c r="T79" s="500"/>
      <c r="U79" s="500"/>
      <c r="V79" s="500"/>
      <c r="W79" s="500">
        <v>3000</v>
      </c>
      <c r="X79" s="500"/>
      <c r="Y79" s="500"/>
      <c r="Z79" s="500"/>
      <c r="AA79" s="500">
        <v>8000</v>
      </c>
    </row>
    <row r="80" spans="1:27" ht="22.5" x14ac:dyDescent="0.25">
      <c r="A80" s="4481"/>
      <c r="B80" s="2970"/>
      <c r="C80" s="2420"/>
      <c r="D80" s="2420"/>
      <c r="E80" s="4497"/>
      <c r="F80" s="4480"/>
      <c r="G80" s="4480"/>
      <c r="H80" s="2420"/>
      <c r="I80" s="2420"/>
      <c r="J80" s="2973"/>
      <c r="K80" s="2973"/>
      <c r="L80" s="2420"/>
      <c r="M80" s="468" t="s">
        <v>182</v>
      </c>
      <c r="N80" s="466" t="s">
        <v>183</v>
      </c>
      <c r="O80" s="500">
        <v>4500</v>
      </c>
      <c r="P80" s="500"/>
      <c r="Q80" s="500">
        <v>5000</v>
      </c>
      <c r="R80" s="500"/>
      <c r="S80" s="500">
        <v>6800</v>
      </c>
      <c r="T80" s="500"/>
      <c r="U80" s="500"/>
      <c r="V80" s="500">
        <v>4200</v>
      </c>
      <c r="W80" s="500"/>
      <c r="X80" s="500"/>
      <c r="Y80" s="500">
        <v>4500</v>
      </c>
      <c r="Z80" s="500"/>
      <c r="AA80" s="500">
        <v>25000</v>
      </c>
    </row>
    <row r="81" spans="1:27" ht="56.25" x14ac:dyDescent="0.25">
      <c r="A81" s="4481"/>
      <c r="B81" s="2970"/>
      <c r="C81" s="2420"/>
      <c r="D81" s="2420"/>
      <c r="E81" s="4497"/>
      <c r="F81" s="4480"/>
      <c r="G81" s="4480"/>
      <c r="H81" s="2420"/>
      <c r="I81" s="2420"/>
      <c r="J81" s="2973"/>
      <c r="K81" s="2973"/>
      <c r="L81" s="2420"/>
      <c r="M81" s="468" t="s">
        <v>184</v>
      </c>
      <c r="N81" s="466" t="s">
        <v>521</v>
      </c>
      <c r="O81" s="500">
        <v>500</v>
      </c>
      <c r="P81" s="500">
        <v>1000</v>
      </c>
      <c r="Q81" s="500">
        <v>1000</v>
      </c>
      <c r="R81" s="500">
        <v>1000</v>
      </c>
      <c r="S81" s="500">
        <v>1000</v>
      </c>
      <c r="T81" s="500">
        <v>1000</v>
      </c>
      <c r="U81" s="500">
        <v>1000</v>
      </c>
      <c r="V81" s="500">
        <v>1000</v>
      </c>
      <c r="W81" s="500">
        <v>1000</v>
      </c>
      <c r="X81" s="500">
        <v>500</v>
      </c>
      <c r="Y81" s="500">
        <v>500</v>
      </c>
      <c r="Z81" s="500">
        <v>500</v>
      </c>
      <c r="AA81" s="500">
        <v>10000</v>
      </c>
    </row>
    <row r="82" spans="1:27" x14ac:dyDescent="0.25">
      <c r="A82" s="4481"/>
      <c r="B82" s="2970"/>
      <c r="C82" s="2420"/>
      <c r="D82" s="2420"/>
      <c r="E82" s="4497"/>
      <c r="F82" s="4480"/>
      <c r="G82" s="4480"/>
      <c r="H82" s="2420"/>
      <c r="I82" s="2420"/>
      <c r="J82" s="2973"/>
      <c r="K82" s="2973"/>
      <c r="L82" s="2420"/>
      <c r="M82" s="468" t="s">
        <v>217</v>
      </c>
      <c r="N82" s="466" t="s">
        <v>218</v>
      </c>
      <c r="O82" s="500"/>
      <c r="P82" s="500">
        <v>2000</v>
      </c>
      <c r="Q82" s="500"/>
      <c r="R82" s="500"/>
      <c r="S82" s="500">
        <v>2000</v>
      </c>
      <c r="T82" s="500"/>
      <c r="U82" s="500"/>
      <c r="V82" s="500">
        <v>2000</v>
      </c>
      <c r="W82" s="500"/>
      <c r="X82" s="500">
        <v>2000</v>
      </c>
      <c r="Y82" s="500"/>
      <c r="Z82" s="500">
        <v>1000</v>
      </c>
      <c r="AA82" s="500">
        <v>9000</v>
      </c>
    </row>
    <row r="83" spans="1:27" ht="33.75" x14ac:dyDescent="0.25">
      <c r="A83" s="4481"/>
      <c r="B83" s="2970"/>
      <c r="C83" s="2420"/>
      <c r="D83" s="2420"/>
      <c r="E83" s="4497"/>
      <c r="F83" s="4480"/>
      <c r="G83" s="4480"/>
      <c r="H83" s="2420"/>
      <c r="I83" s="2420"/>
      <c r="J83" s="2973"/>
      <c r="K83" s="2973"/>
      <c r="L83" s="2420"/>
      <c r="M83" s="468" t="s">
        <v>219</v>
      </c>
      <c r="N83" s="466" t="s">
        <v>522</v>
      </c>
      <c r="O83" s="500">
        <v>2500</v>
      </c>
      <c r="P83" s="500">
        <v>2500</v>
      </c>
      <c r="Q83" s="500">
        <v>2500</v>
      </c>
      <c r="R83" s="500">
        <v>2500</v>
      </c>
      <c r="S83" s="500">
        <v>2500</v>
      </c>
      <c r="T83" s="500">
        <v>2500</v>
      </c>
      <c r="U83" s="500">
        <v>2500</v>
      </c>
      <c r="V83" s="500">
        <v>2500</v>
      </c>
      <c r="W83" s="500">
        <v>2500</v>
      </c>
      <c r="X83" s="500">
        <v>2500</v>
      </c>
      <c r="Y83" s="500">
        <v>2500</v>
      </c>
      <c r="Z83" s="500">
        <v>2500</v>
      </c>
      <c r="AA83" s="500">
        <v>30000</v>
      </c>
    </row>
    <row r="84" spans="1:27" ht="33.75" x14ac:dyDescent="0.25">
      <c r="A84" s="4481"/>
      <c r="B84" s="2970"/>
      <c r="C84" s="2420"/>
      <c r="D84" s="2420"/>
      <c r="E84" s="4497"/>
      <c r="F84" s="4480"/>
      <c r="G84" s="4480"/>
      <c r="H84" s="2420"/>
      <c r="I84" s="2420"/>
      <c r="J84" s="2973"/>
      <c r="K84" s="2973"/>
      <c r="L84" s="2420"/>
      <c r="M84" s="468" t="s">
        <v>188</v>
      </c>
      <c r="N84" s="466" t="s">
        <v>523</v>
      </c>
      <c r="O84" s="500">
        <v>2100</v>
      </c>
      <c r="P84" s="500">
        <v>1100</v>
      </c>
      <c r="Q84" s="500">
        <v>3100</v>
      </c>
      <c r="R84" s="500">
        <v>1100</v>
      </c>
      <c r="S84" s="500">
        <v>1900</v>
      </c>
      <c r="T84" s="500">
        <v>3100</v>
      </c>
      <c r="U84" s="500">
        <v>1100</v>
      </c>
      <c r="V84" s="500">
        <v>1100</v>
      </c>
      <c r="W84" s="500">
        <v>3100</v>
      </c>
      <c r="X84" s="500">
        <v>1100</v>
      </c>
      <c r="Y84" s="500">
        <v>1100</v>
      </c>
      <c r="Z84" s="500">
        <v>3100</v>
      </c>
      <c r="AA84" s="500">
        <v>23000</v>
      </c>
    </row>
    <row r="85" spans="1:27" ht="45" x14ac:dyDescent="0.25">
      <c r="A85" s="4481"/>
      <c r="B85" s="2970"/>
      <c r="C85" s="2420"/>
      <c r="D85" s="2420"/>
      <c r="E85" s="4497"/>
      <c r="F85" s="4480"/>
      <c r="G85" s="4480"/>
      <c r="H85" s="2420"/>
      <c r="I85" s="2420"/>
      <c r="J85" s="2973"/>
      <c r="K85" s="2973"/>
      <c r="L85" s="2420"/>
      <c r="M85" s="468" t="s">
        <v>195</v>
      </c>
      <c r="N85" s="466" t="s">
        <v>524</v>
      </c>
      <c r="O85" s="500">
        <v>395</v>
      </c>
      <c r="P85" s="500">
        <v>395</v>
      </c>
      <c r="Q85" s="500">
        <v>395</v>
      </c>
      <c r="R85" s="500">
        <v>395</v>
      </c>
      <c r="S85" s="500">
        <v>395</v>
      </c>
      <c r="T85" s="500">
        <v>395</v>
      </c>
      <c r="U85" s="500">
        <v>395</v>
      </c>
      <c r="V85" s="500">
        <v>395</v>
      </c>
      <c r="W85" s="500">
        <v>395</v>
      </c>
      <c r="X85" s="500">
        <v>395</v>
      </c>
      <c r="Y85" s="500">
        <v>395</v>
      </c>
      <c r="Z85" s="500">
        <v>395</v>
      </c>
      <c r="AA85" s="500">
        <v>4740</v>
      </c>
    </row>
    <row r="86" spans="1:27" ht="45" x14ac:dyDescent="0.25">
      <c r="A86" s="4481"/>
      <c r="B86" s="2970"/>
      <c r="C86" s="2420"/>
      <c r="D86" s="2420"/>
      <c r="E86" s="4497"/>
      <c r="F86" s="4480"/>
      <c r="G86" s="4480"/>
      <c r="H86" s="2420"/>
      <c r="I86" s="2420"/>
      <c r="J86" s="2973"/>
      <c r="K86" s="2973"/>
      <c r="L86" s="2420"/>
      <c r="M86" s="468" t="s">
        <v>220</v>
      </c>
      <c r="N86" s="466" t="s">
        <v>221</v>
      </c>
      <c r="O86" s="500"/>
      <c r="P86" s="500">
        <v>3500</v>
      </c>
      <c r="Q86" s="500"/>
      <c r="R86" s="500"/>
      <c r="S86" s="500"/>
      <c r="T86" s="500">
        <v>4500</v>
      </c>
      <c r="U86" s="500"/>
      <c r="V86" s="500"/>
      <c r="W86" s="500"/>
      <c r="X86" s="500">
        <v>5060</v>
      </c>
      <c r="Y86" s="500"/>
      <c r="Z86" s="500"/>
      <c r="AA86" s="500">
        <v>13060</v>
      </c>
    </row>
    <row r="87" spans="1:27" ht="56.25" x14ac:dyDescent="0.25">
      <c r="A87" s="4481"/>
      <c r="B87" s="2970"/>
      <c r="C87" s="2420"/>
      <c r="D87" s="2420"/>
      <c r="E87" s="4497"/>
      <c r="F87" s="4480"/>
      <c r="G87" s="4480"/>
      <c r="H87" s="2420"/>
      <c r="I87" s="2420"/>
      <c r="J87" s="2973"/>
      <c r="K87" s="2973"/>
      <c r="L87" s="2420"/>
      <c r="M87" s="468" t="s">
        <v>200</v>
      </c>
      <c r="N87" s="466" t="s">
        <v>201</v>
      </c>
      <c r="O87" s="500"/>
      <c r="P87" s="500">
        <v>250</v>
      </c>
      <c r="Q87" s="500">
        <v>250</v>
      </c>
      <c r="R87" s="500">
        <v>250</v>
      </c>
      <c r="S87" s="500">
        <v>250</v>
      </c>
      <c r="T87" s="500">
        <v>250</v>
      </c>
      <c r="U87" s="500">
        <v>250</v>
      </c>
      <c r="V87" s="500">
        <v>250</v>
      </c>
      <c r="W87" s="500">
        <v>250</v>
      </c>
      <c r="X87" s="500">
        <v>250</v>
      </c>
      <c r="Y87" s="500">
        <v>250</v>
      </c>
      <c r="Z87" s="500"/>
      <c r="AA87" s="500">
        <v>2500</v>
      </c>
    </row>
    <row r="88" spans="1:27" ht="33.75" x14ac:dyDescent="0.25">
      <c r="A88" s="4481"/>
      <c r="B88" s="2970"/>
      <c r="C88" s="2420"/>
      <c r="D88" s="2420"/>
      <c r="E88" s="4497"/>
      <c r="F88" s="4480"/>
      <c r="G88" s="4480"/>
      <c r="H88" s="2420"/>
      <c r="I88" s="2420"/>
      <c r="J88" s="2973"/>
      <c r="K88" s="2973"/>
      <c r="L88" s="2420"/>
      <c r="M88" s="468" t="s">
        <v>222</v>
      </c>
      <c r="N88" s="466" t="s">
        <v>223</v>
      </c>
      <c r="O88" s="500">
        <v>574.16666666666663</v>
      </c>
      <c r="P88" s="500">
        <v>574.16666666666663</v>
      </c>
      <c r="Q88" s="500">
        <v>574.16666666666663</v>
      </c>
      <c r="R88" s="500">
        <v>574.16666666666663</v>
      </c>
      <c r="S88" s="500">
        <v>574.16666666666663</v>
      </c>
      <c r="T88" s="500">
        <v>574.16666666666663</v>
      </c>
      <c r="U88" s="500">
        <v>574.16666666666663</v>
      </c>
      <c r="V88" s="500">
        <v>574.16666666666663</v>
      </c>
      <c r="W88" s="500">
        <v>574.16666666666663</v>
      </c>
      <c r="X88" s="500">
        <v>574.16666666666663</v>
      </c>
      <c r="Y88" s="500">
        <v>574.16666666666663</v>
      </c>
      <c r="Z88" s="500">
        <v>574.16666666666663</v>
      </c>
      <c r="AA88" s="500">
        <v>6890.0000000000009</v>
      </c>
    </row>
    <row r="89" spans="1:27" ht="33.75" x14ac:dyDescent="0.25">
      <c r="A89" s="4481"/>
      <c r="B89" s="2970"/>
      <c r="C89" s="2420"/>
      <c r="D89" s="2420"/>
      <c r="E89" s="4497"/>
      <c r="F89" s="4480"/>
      <c r="G89" s="4480"/>
      <c r="H89" s="2420"/>
      <c r="I89" s="2420"/>
      <c r="J89" s="2973"/>
      <c r="K89" s="2973"/>
      <c r="L89" s="2420"/>
      <c r="M89" s="468" t="s">
        <v>224</v>
      </c>
      <c r="N89" s="466" t="s">
        <v>225</v>
      </c>
      <c r="O89" s="500">
        <v>1583.3333333333333</v>
      </c>
      <c r="P89" s="500">
        <v>1583.3333333333333</v>
      </c>
      <c r="Q89" s="500">
        <v>1583.3333333333333</v>
      </c>
      <c r="R89" s="500">
        <v>1583.3333333333333</v>
      </c>
      <c r="S89" s="500">
        <v>1583.3333333333333</v>
      </c>
      <c r="T89" s="500">
        <v>1583.3333333333333</v>
      </c>
      <c r="U89" s="500">
        <v>1583.3333333333333</v>
      </c>
      <c r="V89" s="500">
        <v>1583.3333333333333</v>
      </c>
      <c r="W89" s="500">
        <v>1583.3333333333333</v>
      </c>
      <c r="X89" s="500">
        <v>1583.3333333333333</v>
      </c>
      <c r="Y89" s="500">
        <v>1583.3333333333333</v>
      </c>
      <c r="Z89" s="500">
        <v>1583.3333333333333</v>
      </c>
      <c r="AA89" s="500">
        <v>19000</v>
      </c>
    </row>
    <row r="90" spans="1:27" ht="45" x14ac:dyDescent="0.25">
      <c r="A90" s="4481"/>
      <c r="B90" s="2970"/>
      <c r="C90" s="2420"/>
      <c r="D90" s="2420"/>
      <c r="E90" s="4497"/>
      <c r="F90" s="4480"/>
      <c r="G90" s="4480"/>
      <c r="H90" s="2420"/>
      <c r="I90" s="2420"/>
      <c r="J90" s="2973"/>
      <c r="K90" s="2973"/>
      <c r="L90" s="2420"/>
      <c r="M90" s="468" t="s">
        <v>226</v>
      </c>
      <c r="N90" s="466" t="s">
        <v>227</v>
      </c>
      <c r="O90" s="500"/>
      <c r="P90" s="500"/>
      <c r="Q90" s="500"/>
      <c r="R90" s="500">
        <v>5000</v>
      </c>
      <c r="S90" s="500"/>
      <c r="T90" s="500"/>
      <c r="U90" s="500"/>
      <c r="V90" s="500"/>
      <c r="W90" s="500"/>
      <c r="X90" s="500"/>
      <c r="Y90" s="500"/>
      <c r="Z90" s="500"/>
      <c r="AA90" s="500">
        <v>5000</v>
      </c>
    </row>
    <row r="91" spans="1:27" ht="22.5" x14ac:dyDescent="0.25">
      <c r="A91" s="4481"/>
      <c r="B91" s="2970"/>
      <c r="C91" s="2420"/>
      <c r="D91" s="2420"/>
      <c r="E91" s="4497"/>
      <c r="F91" s="4480"/>
      <c r="G91" s="4480"/>
      <c r="H91" s="2420"/>
      <c r="I91" s="2420"/>
      <c r="J91" s="2973"/>
      <c r="K91" s="2973"/>
      <c r="L91" s="2420"/>
      <c r="M91" s="468" t="s">
        <v>228</v>
      </c>
      <c r="N91" s="466" t="s">
        <v>3012</v>
      </c>
      <c r="O91" s="500">
        <v>4500</v>
      </c>
      <c r="P91" s="500"/>
      <c r="Q91" s="500"/>
      <c r="R91" s="500"/>
      <c r="S91" s="500">
        <v>6500</v>
      </c>
      <c r="T91" s="500"/>
      <c r="U91" s="500"/>
      <c r="V91" s="500"/>
      <c r="W91" s="500">
        <v>7500</v>
      </c>
      <c r="X91" s="500"/>
      <c r="Y91" s="500"/>
      <c r="Z91" s="500">
        <v>4500</v>
      </c>
      <c r="AA91" s="500">
        <v>23000</v>
      </c>
    </row>
    <row r="92" spans="1:27" ht="22.5" x14ac:dyDescent="0.25">
      <c r="A92" s="4481"/>
      <c r="B92" s="2970"/>
      <c r="C92" s="2420"/>
      <c r="D92" s="2420"/>
      <c r="E92" s="4497"/>
      <c r="F92" s="4480"/>
      <c r="G92" s="4480"/>
      <c r="H92" s="2420"/>
      <c r="I92" s="2420"/>
      <c r="J92" s="2973"/>
      <c r="K92" s="2973"/>
      <c r="L92" s="2420"/>
      <c r="M92" s="468" t="s">
        <v>205</v>
      </c>
      <c r="N92" s="466" t="s">
        <v>204</v>
      </c>
      <c r="O92" s="500"/>
      <c r="P92" s="500">
        <v>800</v>
      </c>
      <c r="Q92" s="500">
        <v>800</v>
      </c>
      <c r="R92" s="500">
        <v>800</v>
      </c>
      <c r="S92" s="500">
        <v>400</v>
      </c>
      <c r="T92" s="500"/>
      <c r="U92" s="500"/>
      <c r="V92" s="500"/>
      <c r="W92" s="500"/>
      <c r="X92" s="500"/>
      <c r="Y92" s="500"/>
      <c r="Z92" s="500"/>
      <c r="AA92" s="500">
        <v>2800</v>
      </c>
    </row>
    <row r="93" spans="1:27" ht="23.25" thickBot="1" x14ac:dyDescent="0.3">
      <c r="A93" s="4482"/>
      <c r="B93" s="4496"/>
      <c r="C93" s="4488"/>
      <c r="D93" s="4488"/>
      <c r="E93" s="4498"/>
      <c r="F93" s="4499"/>
      <c r="G93" s="4499"/>
      <c r="H93" s="4488"/>
      <c r="I93" s="4488"/>
      <c r="J93" s="4487"/>
      <c r="K93" s="4487"/>
      <c r="L93" s="4488"/>
      <c r="M93" s="6" t="s">
        <v>206</v>
      </c>
      <c r="N93" s="8" t="s">
        <v>207</v>
      </c>
      <c r="O93" s="7">
        <v>8838.3333333333339</v>
      </c>
      <c r="P93" s="7">
        <v>8838.3333333333339</v>
      </c>
      <c r="Q93" s="7">
        <v>8838.3333333333339</v>
      </c>
      <c r="R93" s="7">
        <v>8838.3333333333339</v>
      </c>
      <c r="S93" s="7">
        <v>8838.3333333333339</v>
      </c>
      <c r="T93" s="7">
        <v>8838.3333333333339</v>
      </c>
      <c r="U93" s="7">
        <v>8838.3333333333339</v>
      </c>
      <c r="V93" s="7">
        <v>8838.3333333333339</v>
      </c>
      <c r="W93" s="7">
        <v>8838.3333333333339</v>
      </c>
      <c r="X93" s="7">
        <v>8838.3333333333339</v>
      </c>
      <c r="Y93" s="7">
        <v>8838.3333333333339</v>
      </c>
      <c r="Z93" s="7">
        <v>8838.3333333333339</v>
      </c>
      <c r="AA93" s="7">
        <v>106059.99999999999</v>
      </c>
    </row>
    <row r="94" spans="1:27" ht="27" customHeight="1" x14ac:dyDescent="0.25">
      <c r="A94" s="2077"/>
      <c r="B94" s="1859" t="s">
        <v>8</v>
      </c>
      <c r="C94" s="2078" t="s">
        <v>82</v>
      </c>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6"/>
    </row>
    <row r="95" spans="1:27" x14ac:dyDescent="0.25">
      <c r="A95" s="4505" t="s">
        <v>229</v>
      </c>
      <c r="B95" s="685" t="s">
        <v>11</v>
      </c>
      <c r="C95" s="697" t="s">
        <v>230</v>
      </c>
      <c r="D95" s="20"/>
      <c r="E95" s="20"/>
      <c r="F95" s="20"/>
      <c r="G95" s="20"/>
      <c r="H95" s="20"/>
      <c r="I95" s="20"/>
      <c r="J95" s="20"/>
      <c r="K95" s="20"/>
      <c r="L95" s="20"/>
      <c r="M95" s="20"/>
      <c r="N95" s="20"/>
      <c r="O95" s="20"/>
      <c r="P95" s="20"/>
      <c r="Q95" s="20"/>
      <c r="R95" s="20"/>
      <c r="S95" s="20"/>
      <c r="T95" s="20"/>
      <c r="U95" s="20"/>
      <c r="V95" s="20"/>
      <c r="W95" s="20"/>
      <c r="X95" s="20"/>
      <c r="Y95" s="20"/>
      <c r="Z95" s="20"/>
      <c r="AA95" s="21"/>
    </row>
    <row r="96" spans="1:27" x14ac:dyDescent="0.25">
      <c r="A96" s="4481"/>
      <c r="B96" s="2913" t="s">
        <v>13</v>
      </c>
      <c r="C96" s="4500">
        <v>9001</v>
      </c>
      <c r="D96" s="3687" t="s">
        <v>160</v>
      </c>
      <c r="E96" s="3687"/>
      <c r="F96" s="9"/>
      <c r="G96" s="9"/>
      <c r="H96" s="9"/>
      <c r="I96" s="9"/>
      <c r="J96" s="9"/>
      <c r="K96" s="9"/>
      <c r="L96" s="9"/>
      <c r="M96" s="9"/>
      <c r="N96" s="9"/>
      <c r="O96" s="9"/>
      <c r="P96" s="9"/>
      <c r="Q96" s="10"/>
      <c r="R96" s="10"/>
      <c r="S96" s="10"/>
      <c r="T96" s="10"/>
      <c r="U96" s="10"/>
      <c r="V96" s="3436" t="s">
        <v>15</v>
      </c>
      <c r="W96" s="3436"/>
      <c r="X96" s="3436"/>
      <c r="Y96" s="3436"/>
      <c r="Z96" s="4502" t="s">
        <v>16</v>
      </c>
      <c r="AA96" s="4504"/>
    </row>
    <row r="97" spans="1:27" x14ac:dyDescent="0.25">
      <c r="A97" s="4481"/>
      <c r="B97" s="2913"/>
      <c r="C97" s="4507"/>
      <c r="D97" s="3687"/>
      <c r="E97" s="3687"/>
      <c r="F97" s="11"/>
      <c r="G97" s="11"/>
      <c r="H97" s="11"/>
      <c r="I97" s="11"/>
      <c r="J97" s="11"/>
      <c r="K97" s="11"/>
      <c r="L97" s="11"/>
      <c r="M97" s="11"/>
      <c r="N97" s="11"/>
      <c r="O97" s="11"/>
      <c r="P97" s="11"/>
      <c r="Q97" s="12"/>
      <c r="R97" s="12"/>
      <c r="S97" s="12"/>
      <c r="T97" s="12"/>
      <c r="U97" s="12"/>
      <c r="V97" s="3283" t="s">
        <v>231</v>
      </c>
      <c r="W97" s="4508"/>
      <c r="X97" s="4508"/>
      <c r="Y97" s="3284"/>
      <c r="Z97" s="3283" t="s">
        <v>1860</v>
      </c>
      <c r="AA97" s="3284"/>
    </row>
    <row r="98" spans="1:27" x14ac:dyDescent="0.25">
      <c r="A98" s="4481"/>
      <c r="B98" s="2913"/>
      <c r="C98" s="4501"/>
      <c r="D98" s="3687"/>
      <c r="E98" s="3687"/>
      <c r="F98" s="13"/>
      <c r="G98" s="13"/>
      <c r="H98" s="13"/>
      <c r="I98" s="13"/>
      <c r="J98" s="13"/>
      <c r="K98" s="13"/>
      <c r="L98" s="13"/>
      <c r="M98" s="13"/>
      <c r="N98" s="13"/>
      <c r="O98" s="13"/>
      <c r="P98" s="13"/>
      <c r="Q98" s="14"/>
      <c r="R98" s="14"/>
      <c r="S98" s="14"/>
      <c r="T98" s="14"/>
      <c r="U98" s="14"/>
      <c r="V98" s="4509"/>
      <c r="W98" s="4510"/>
      <c r="X98" s="4510"/>
      <c r="Y98" s="4511"/>
      <c r="Z98" s="4509"/>
      <c r="AA98" s="4511"/>
    </row>
    <row r="99" spans="1:27" ht="15" customHeight="1" x14ac:dyDescent="0.25">
      <c r="A99" s="4481"/>
      <c r="B99" s="2913" t="s">
        <v>18</v>
      </c>
      <c r="C99" s="4500">
        <v>399999</v>
      </c>
      <c r="D99" s="3436" t="s">
        <v>163</v>
      </c>
      <c r="E99" s="3436"/>
      <c r="F99" s="15"/>
      <c r="G99" s="15"/>
      <c r="H99" s="15"/>
      <c r="I99" s="15"/>
      <c r="J99" s="15"/>
      <c r="K99" s="15"/>
      <c r="L99" s="15"/>
      <c r="M99" s="15"/>
      <c r="N99" s="15"/>
      <c r="O99" s="15"/>
      <c r="P99" s="15"/>
      <c r="Q99" s="9"/>
      <c r="R99" s="9"/>
      <c r="S99" s="9"/>
      <c r="T99" s="9"/>
      <c r="U99" s="484"/>
      <c r="V99" s="3436" t="s">
        <v>15</v>
      </c>
      <c r="W99" s="3436"/>
      <c r="X99" s="3436"/>
      <c r="Y99" s="3436"/>
      <c r="Z99" s="3436" t="s">
        <v>16</v>
      </c>
      <c r="AA99" s="3436"/>
    </row>
    <row r="100" spans="1:27" ht="9" customHeight="1" x14ac:dyDescent="0.25">
      <c r="A100" s="4481"/>
      <c r="B100" s="2913"/>
      <c r="C100" s="4501"/>
      <c r="D100" s="3436"/>
      <c r="E100" s="3436"/>
      <c r="F100" s="16"/>
      <c r="G100" s="16"/>
      <c r="H100" s="16"/>
      <c r="I100" s="16"/>
      <c r="J100" s="16"/>
      <c r="K100" s="16"/>
      <c r="L100" s="16"/>
      <c r="M100" s="16"/>
      <c r="N100" s="16"/>
      <c r="O100" s="16"/>
      <c r="P100" s="16"/>
      <c r="Q100" s="13"/>
      <c r="R100" s="13"/>
      <c r="S100" s="13"/>
      <c r="T100" s="13"/>
      <c r="U100" s="485"/>
      <c r="V100" s="4502"/>
      <c r="W100" s="4503"/>
      <c r="X100" s="4503"/>
      <c r="Y100" s="4504"/>
      <c r="Z100" s="3436"/>
      <c r="AA100" s="3436"/>
    </row>
    <row r="101" spans="1:27" ht="16.5" customHeight="1" x14ac:dyDescent="0.25">
      <c r="A101" s="4481"/>
      <c r="B101" s="3516" t="s">
        <v>20</v>
      </c>
      <c r="C101" s="3435" t="s">
        <v>21</v>
      </c>
      <c r="D101" s="2847" t="s">
        <v>22</v>
      </c>
      <c r="E101" s="2847" t="s">
        <v>23</v>
      </c>
      <c r="F101" s="2847" t="s">
        <v>164</v>
      </c>
      <c r="G101" s="2847" t="s">
        <v>25</v>
      </c>
      <c r="H101" s="2847" t="s">
        <v>26</v>
      </c>
      <c r="I101" s="2847" t="s">
        <v>27</v>
      </c>
      <c r="J101" s="2986" t="s">
        <v>28</v>
      </c>
      <c r="K101" s="2987"/>
      <c r="L101" s="2847" t="s">
        <v>29</v>
      </c>
      <c r="M101" s="2986" t="s">
        <v>30</v>
      </c>
      <c r="N101" s="2987"/>
      <c r="O101" s="2990" t="s">
        <v>31</v>
      </c>
      <c r="P101" s="2991"/>
      <c r="Q101" s="2991"/>
      <c r="R101" s="2991"/>
      <c r="S101" s="2991"/>
      <c r="T101" s="2991"/>
      <c r="U101" s="2991"/>
      <c r="V101" s="2991"/>
      <c r="W101" s="2991"/>
      <c r="X101" s="2991"/>
      <c r="Y101" s="2991"/>
      <c r="Z101" s="2992"/>
      <c r="AA101" s="2916" t="s">
        <v>32</v>
      </c>
    </row>
    <row r="102" spans="1:27" ht="29.25" customHeight="1" x14ac:dyDescent="0.25">
      <c r="A102" s="4481"/>
      <c r="B102" s="2984"/>
      <c r="C102" s="4120"/>
      <c r="D102" s="2988"/>
      <c r="E102" s="2988"/>
      <c r="F102" s="2988"/>
      <c r="G102" s="2988"/>
      <c r="H102" s="2847"/>
      <c r="I102" s="2847"/>
      <c r="J102" s="455" t="s">
        <v>33</v>
      </c>
      <c r="K102" s="455" t="s">
        <v>34</v>
      </c>
      <c r="L102" s="2847"/>
      <c r="M102" s="3000"/>
      <c r="N102" s="3001"/>
      <c r="O102" s="471" t="s">
        <v>35</v>
      </c>
      <c r="P102" s="471" t="s">
        <v>36</v>
      </c>
      <c r="Q102" s="471" t="s">
        <v>37</v>
      </c>
      <c r="R102" s="471" t="s">
        <v>38</v>
      </c>
      <c r="S102" s="471" t="s">
        <v>39</v>
      </c>
      <c r="T102" s="471" t="s">
        <v>40</v>
      </c>
      <c r="U102" s="471" t="s">
        <v>41</v>
      </c>
      <c r="V102" s="471" t="s">
        <v>42</v>
      </c>
      <c r="W102" s="471" t="s">
        <v>43</v>
      </c>
      <c r="X102" s="471" t="s">
        <v>44</v>
      </c>
      <c r="Y102" s="471" t="s">
        <v>45</v>
      </c>
      <c r="Z102" s="471" t="s">
        <v>46</v>
      </c>
      <c r="AA102" s="2916"/>
    </row>
    <row r="103" spans="1:27" ht="15" customHeight="1" x14ac:dyDescent="0.25">
      <c r="A103" s="4481"/>
      <c r="B103" s="2925">
        <v>500000</v>
      </c>
      <c r="C103" s="3148" t="s">
        <v>232</v>
      </c>
      <c r="D103" s="4513" t="s">
        <v>233</v>
      </c>
      <c r="E103" s="3148" t="s">
        <v>48</v>
      </c>
      <c r="F103" s="3148" t="s">
        <v>148</v>
      </c>
      <c r="G103" s="3148" t="s">
        <v>149</v>
      </c>
      <c r="H103" s="4449" t="s">
        <v>234</v>
      </c>
      <c r="I103" s="2353" t="s">
        <v>235</v>
      </c>
      <c r="J103" s="2353">
        <v>360</v>
      </c>
      <c r="K103" s="4493">
        <v>2918303</v>
      </c>
      <c r="L103" s="2353" t="s">
        <v>82</v>
      </c>
      <c r="M103" s="2647" t="s">
        <v>51</v>
      </c>
      <c r="N103" s="2648"/>
      <c r="O103" s="694">
        <v>30</v>
      </c>
      <c r="P103" s="694">
        <v>30</v>
      </c>
      <c r="Q103" s="694">
        <v>30</v>
      </c>
      <c r="R103" s="694">
        <v>30</v>
      </c>
      <c r="S103" s="694">
        <v>30</v>
      </c>
      <c r="T103" s="694">
        <v>30</v>
      </c>
      <c r="U103" s="694">
        <v>30</v>
      </c>
      <c r="V103" s="694">
        <v>30</v>
      </c>
      <c r="W103" s="694">
        <v>30</v>
      </c>
      <c r="X103" s="694">
        <v>30</v>
      </c>
      <c r="Y103" s="694">
        <v>30</v>
      </c>
      <c r="Z103" s="694">
        <v>30</v>
      </c>
      <c r="AA103" s="706">
        <v>360</v>
      </c>
    </row>
    <row r="104" spans="1:27" ht="15" customHeight="1" x14ac:dyDescent="0.25">
      <c r="A104" s="4481"/>
      <c r="B104" s="2926"/>
      <c r="C104" s="4512"/>
      <c r="D104" s="4514"/>
      <c r="E104" s="4512"/>
      <c r="F104" s="4512"/>
      <c r="G104" s="4512"/>
      <c r="H104" s="4450"/>
      <c r="I104" s="4282"/>
      <c r="J104" s="4282"/>
      <c r="K104" s="4494"/>
      <c r="L104" s="4282"/>
      <c r="M104" s="3081" t="s">
        <v>236</v>
      </c>
      <c r="N104" s="3083"/>
      <c r="O104" s="707">
        <f t="shared" ref="O104:Z104" si="0">SUM(O105:O107)</f>
        <v>148022</v>
      </c>
      <c r="P104" s="707">
        <f t="shared" si="0"/>
        <v>148022</v>
      </c>
      <c r="Q104" s="707">
        <f t="shared" si="0"/>
        <v>148022</v>
      </c>
      <c r="R104" s="707">
        <f t="shared" si="0"/>
        <v>148022</v>
      </c>
      <c r="S104" s="707">
        <f t="shared" si="0"/>
        <v>148022</v>
      </c>
      <c r="T104" s="707">
        <f t="shared" si="0"/>
        <v>148022</v>
      </c>
      <c r="U104" s="707">
        <f t="shared" si="0"/>
        <v>148022</v>
      </c>
      <c r="V104" s="707">
        <f t="shared" si="0"/>
        <v>148022</v>
      </c>
      <c r="W104" s="707">
        <f t="shared" si="0"/>
        <v>148022</v>
      </c>
      <c r="X104" s="707">
        <f t="shared" si="0"/>
        <v>148022</v>
      </c>
      <c r="Y104" s="707">
        <f t="shared" si="0"/>
        <v>148022</v>
      </c>
      <c r="Z104" s="707">
        <f t="shared" si="0"/>
        <v>148019</v>
      </c>
      <c r="AA104" s="707">
        <f>SUM(O104:Z104)</f>
        <v>1776261</v>
      </c>
    </row>
    <row r="105" spans="1:27" ht="15" customHeight="1" x14ac:dyDescent="0.25">
      <c r="A105" s="4481"/>
      <c r="B105" s="2926"/>
      <c r="C105" s="4512"/>
      <c r="D105" s="4514"/>
      <c r="E105" s="4512"/>
      <c r="F105" s="4512"/>
      <c r="G105" s="4512"/>
      <c r="H105" s="4450"/>
      <c r="I105" s="4282"/>
      <c r="J105" s="4282"/>
      <c r="K105" s="4494"/>
      <c r="L105" s="4282"/>
      <c r="M105" s="2438">
        <v>2.1</v>
      </c>
      <c r="N105" s="4516" t="s">
        <v>170</v>
      </c>
      <c r="O105" s="4491">
        <v>95170</v>
      </c>
      <c r="P105" s="4491">
        <v>95170</v>
      </c>
      <c r="Q105" s="4491">
        <v>95170</v>
      </c>
      <c r="R105" s="4491">
        <v>95170</v>
      </c>
      <c r="S105" s="4491">
        <v>95170</v>
      </c>
      <c r="T105" s="4491">
        <v>95170</v>
      </c>
      <c r="U105" s="4491">
        <v>95170</v>
      </c>
      <c r="V105" s="4491">
        <v>95170</v>
      </c>
      <c r="W105" s="4491">
        <v>95170</v>
      </c>
      <c r="X105" s="4491">
        <v>95170</v>
      </c>
      <c r="Y105" s="4491">
        <v>95170</v>
      </c>
      <c r="Z105" s="4491">
        <v>95172</v>
      </c>
      <c r="AA105" s="4491">
        <f>SUM(O105:Z106)</f>
        <v>1142042</v>
      </c>
    </row>
    <row r="106" spans="1:27" x14ac:dyDescent="0.25">
      <c r="A106" s="4481"/>
      <c r="B106" s="2926"/>
      <c r="C106" s="4512"/>
      <c r="D106" s="4514"/>
      <c r="E106" s="4512"/>
      <c r="F106" s="4512"/>
      <c r="G106" s="4512"/>
      <c r="H106" s="4450"/>
      <c r="I106" s="4282"/>
      <c r="J106" s="4282"/>
      <c r="K106" s="4494"/>
      <c r="L106" s="4282"/>
      <c r="M106" s="2450"/>
      <c r="N106" s="4517"/>
      <c r="O106" s="4492"/>
      <c r="P106" s="4492"/>
      <c r="Q106" s="4492"/>
      <c r="R106" s="4492"/>
      <c r="S106" s="4492"/>
      <c r="T106" s="4492"/>
      <c r="U106" s="4492"/>
      <c r="V106" s="4492"/>
      <c r="W106" s="4492"/>
      <c r="X106" s="4492"/>
      <c r="Y106" s="4492"/>
      <c r="Z106" s="4492"/>
      <c r="AA106" s="4492"/>
    </row>
    <row r="107" spans="1:27" ht="22.5" x14ac:dyDescent="0.25">
      <c r="A107" s="4506"/>
      <c r="B107" s="2927"/>
      <c r="C107" s="3149"/>
      <c r="D107" s="4515"/>
      <c r="E107" s="3149"/>
      <c r="F107" s="3149"/>
      <c r="G107" s="3149"/>
      <c r="H107" s="4451"/>
      <c r="I107" s="2354"/>
      <c r="J107" s="2354"/>
      <c r="K107" s="4495"/>
      <c r="L107" s="2354"/>
      <c r="M107" s="700">
        <v>2.2999999999999998</v>
      </c>
      <c r="N107" s="91" t="s">
        <v>237</v>
      </c>
      <c r="O107" s="79">
        <v>52852</v>
      </c>
      <c r="P107" s="79">
        <v>52852</v>
      </c>
      <c r="Q107" s="79">
        <v>52852</v>
      </c>
      <c r="R107" s="79">
        <v>52852</v>
      </c>
      <c r="S107" s="79">
        <v>52852</v>
      </c>
      <c r="T107" s="79">
        <v>52852</v>
      </c>
      <c r="U107" s="79">
        <v>52852</v>
      </c>
      <c r="V107" s="79">
        <v>52852</v>
      </c>
      <c r="W107" s="79">
        <v>52852</v>
      </c>
      <c r="X107" s="79">
        <v>52852</v>
      </c>
      <c r="Y107" s="79">
        <v>52852</v>
      </c>
      <c r="Z107" s="79">
        <v>52847</v>
      </c>
      <c r="AA107" s="79">
        <f>SUM(O107:Z107)</f>
        <v>634219</v>
      </c>
    </row>
    <row r="108" spans="1:27" ht="22.5" x14ac:dyDescent="0.25">
      <c r="A108" s="4454" t="s">
        <v>238</v>
      </c>
      <c r="B108" s="685" t="s">
        <v>6</v>
      </c>
      <c r="C108" s="2671" t="s">
        <v>131</v>
      </c>
      <c r="D108" s="2672"/>
      <c r="E108" s="2672"/>
      <c r="F108" s="2672"/>
      <c r="G108" s="2672"/>
      <c r="H108" s="2672"/>
      <c r="I108" s="2672"/>
      <c r="J108" s="2672"/>
      <c r="K108" s="2672"/>
      <c r="L108" s="2672"/>
      <c r="M108" s="2672"/>
      <c r="N108" s="2672"/>
      <c r="O108" s="2672"/>
      <c r="P108" s="2672"/>
      <c r="Q108" s="2672"/>
      <c r="R108" s="2672"/>
      <c r="S108" s="2672"/>
      <c r="T108" s="2672"/>
      <c r="U108" s="2672"/>
      <c r="V108" s="2672"/>
      <c r="W108" s="2672"/>
      <c r="X108" s="2672"/>
      <c r="Y108" s="2672"/>
      <c r="Z108" s="2672"/>
      <c r="AA108" s="3002"/>
    </row>
    <row r="109" spans="1:27" x14ac:dyDescent="0.25">
      <c r="A109" s="4454"/>
      <c r="B109" s="2913" t="s">
        <v>13</v>
      </c>
      <c r="C109" s="2914">
        <v>9002</v>
      </c>
      <c r="D109" s="2918" t="s">
        <v>14</v>
      </c>
      <c r="E109" s="2919"/>
      <c r="F109" s="2919"/>
      <c r="G109" s="2919"/>
      <c r="H109" s="2919"/>
      <c r="I109" s="2919"/>
      <c r="J109" s="2919"/>
      <c r="K109" s="2919"/>
      <c r="L109" s="2919"/>
      <c r="M109" s="2919"/>
      <c r="N109" s="2919"/>
      <c r="O109" s="2919"/>
      <c r="P109" s="2919"/>
      <c r="Q109" s="23"/>
      <c r="R109" s="23"/>
      <c r="S109" s="23"/>
      <c r="T109" s="23"/>
      <c r="U109" s="25"/>
      <c r="V109" s="2974" t="s">
        <v>15</v>
      </c>
      <c r="W109" s="2975"/>
      <c r="X109" s="2975"/>
      <c r="Y109" s="2976"/>
      <c r="Z109" s="2974" t="s">
        <v>16</v>
      </c>
      <c r="AA109" s="2976"/>
    </row>
    <row r="110" spans="1:27" x14ac:dyDescent="0.25">
      <c r="A110" s="4454"/>
      <c r="B110" s="2913"/>
      <c r="C110" s="2915"/>
      <c r="D110" s="3459"/>
      <c r="E110" s="3460"/>
      <c r="F110" s="3460"/>
      <c r="G110" s="3460"/>
      <c r="H110" s="3460"/>
      <c r="I110" s="3460"/>
      <c r="J110" s="3460"/>
      <c r="K110" s="3460"/>
      <c r="L110" s="3460"/>
      <c r="M110" s="3460"/>
      <c r="N110" s="3460"/>
      <c r="O110" s="3460"/>
      <c r="P110" s="3460"/>
      <c r="Q110" s="24"/>
      <c r="R110" s="24"/>
      <c r="S110" s="24"/>
      <c r="T110" s="24"/>
      <c r="U110" s="26"/>
      <c r="V110" s="2977" t="s">
        <v>145</v>
      </c>
      <c r="W110" s="2978"/>
      <c r="X110" s="2978"/>
      <c r="Y110" s="2979"/>
      <c r="Z110" s="2977" t="s">
        <v>146</v>
      </c>
      <c r="AA110" s="2979"/>
    </row>
    <row r="111" spans="1:27" x14ac:dyDescent="0.25">
      <c r="A111" s="4454"/>
      <c r="B111" s="2913" t="s">
        <v>18</v>
      </c>
      <c r="C111" s="2993">
        <v>200162</v>
      </c>
      <c r="D111" s="2995" t="s">
        <v>147</v>
      </c>
      <c r="E111" s="2996"/>
      <c r="F111" s="2996"/>
      <c r="G111" s="2996"/>
      <c r="H111" s="2996"/>
      <c r="I111" s="2996"/>
      <c r="J111" s="2996"/>
      <c r="K111" s="2996"/>
      <c r="L111" s="2996"/>
      <c r="M111" s="2996"/>
      <c r="N111" s="2996"/>
      <c r="O111" s="2996"/>
      <c r="P111" s="2996"/>
      <c r="Q111" s="28"/>
      <c r="R111" s="28"/>
      <c r="S111" s="28"/>
      <c r="T111" s="28"/>
      <c r="U111" s="29"/>
      <c r="V111" s="2974" t="s">
        <v>15</v>
      </c>
      <c r="W111" s="2975"/>
      <c r="X111" s="2975"/>
      <c r="Y111" s="2976"/>
      <c r="Z111" s="2922" t="s">
        <v>16</v>
      </c>
      <c r="AA111" s="2922"/>
    </row>
    <row r="112" spans="1:27" x14ac:dyDescent="0.25">
      <c r="A112" s="4454"/>
      <c r="B112" s="2913"/>
      <c r="C112" s="2994"/>
      <c r="D112" s="2997"/>
      <c r="E112" s="2998"/>
      <c r="F112" s="2998"/>
      <c r="G112" s="2998"/>
      <c r="H112" s="2998"/>
      <c r="I112" s="2998"/>
      <c r="J112" s="2998"/>
      <c r="K112" s="2998"/>
      <c r="L112" s="2998"/>
      <c r="M112" s="2998"/>
      <c r="N112" s="2998"/>
      <c r="O112" s="2998"/>
      <c r="P112" s="2998"/>
      <c r="Q112" s="31"/>
      <c r="R112" s="31"/>
      <c r="S112" s="31"/>
      <c r="T112" s="31"/>
      <c r="U112" s="22"/>
      <c r="V112" s="2977"/>
      <c r="W112" s="2978"/>
      <c r="X112" s="2978"/>
      <c r="Y112" s="2979"/>
      <c r="Z112" s="2922"/>
      <c r="AA112" s="2922"/>
    </row>
    <row r="113" spans="1:27" x14ac:dyDescent="0.25">
      <c r="A113" s="4454"/>
      <c r="B113" s="3516" t="s">
        <v>20</v>
      </c>
      <c r="C113" s="2847" t="s">
        <v>21</v>
      </c>
      <c r="D113" s="2847" t="s">
        <v>22</v>
      </c>
      <c r="E113" s="2847" t="s">
        <v>23</v>
      </c>
      <c r="F113" s="2847" t="s">
        <v>24</v>
      </c>
      <c r="G113" s="2847" t="s">
        <v>25</v>
      </c>
      <c r="H113" s="2847" t="s">
        <v>26</v>
      </c>
      <c r="I113" s="2847" t="s">
        <v>27</v>
      </c>
      <c r="J113" s="2986" t="s">
        <v>28</v>
      </c>
      <c r="K113" s="2987"/>
      <c r="L113" s="2847" t="s">
        <v>29</v>
      </c>
      <c r="M113" s="2986" t="s">
        <v>30</v>
      </c>
      <c r="N113" s="2987"/>
      <c r="O113" s="2990" t="s">
        <v>31</v>
      </c>
      <c r="P113" s="2991"/>
      <c r="Q113" s="2991"/>
      <c r="R113" s="2991"/>
      <c r="S113" s="2991"/>
      <c r="T113" s="2991"/>
      <c r="U113" s="2991"/>
      <c r="V113" s="2991"/>
      <c r="W113" s="2991"/>
      <c r="X113" s="2991"/>
      <c r="Y113" s="2991"/>
      <c r="Z113" s="2992"/>
      <c r="AA113" s="2916" t="s">
        <v>32</v>
      </c>
    </row>
    <row r="114" spans="1:27" x14ac:dyDescent="0.25">
      <c r="A114" s="4454"/>
      <c r="B114" s="3516"/>
      <c r="C114" s="2847"/>
      <c r="D114" s="2847"/>
      <c r="E114" s="2847"/>
      <c r="F114" s="2847"/>
      <c r="G114" s="2847"/>
      <c r="H114" s="2847"/>
      <c r="I114" s="2847"/>
      <c r="J114" s="455" t="s">
        <v>33</v>
      </c>
      <c r="K114" s="455" t="s">
        <v>34</v>
      </c>
      <c r="L114" s="2847"/>
      <c r="M114" s="3000"/>
      <c r="N114" s="3001"/>
      <c r="O114" s="471" t="s">
        <v>35</v>
      </c>
      <c r="P114" s="471" t="s">
        <v>36</v>
      </c>
      <c r="Q114" s="471" t="s">
        <v>37</v>
      </c>
      <c r="R114" s="471" t="s">
        <v>38</v>
      </c>
      <c r="S114" s="471" t="s">
        <v>39</v>
      </c>
      <c r="T114" s="471" t="s">
        <v>40</v>
      </c>
      <c r="U114" s="471" t="s">
        <v>41</v>
      </c>
      <c r="V114" s="471" t="s">
        <v>42</v>
      </c>
      <c r="W114" s="471" t="s">
        <v>43</v>
      </c>
      <c r="X114" s="471" t="s">
        <v>44</v>
      </c>
      <c r="Y114" s="471" t="s">
        <v>45</v>
      </c>
      <c r="Z114" s="471" t="s">
        <v>46</v>
      </c>
      <c r="AA114" s="2916"/>
    </row>
    <row r="115" spans="1:27" x14ac:dyDescent="0.25">
      <c r="A115" s="4454"/>
      <c r="B115" s="2777">
        <v>200162</v>
      </c>
      <c r="C115" s="2925" t="s">
        <v>147</v>
      </c>
      <c r="D115" s="2777" t="s">
        <v>239</v>
      </c>
      <c r="E115" s="4436" t="s">
        <v>48</v>
      </c>
      <c r="F115" s="4436" t="s">
        <v>148</v>
      </c>
      <c r="G115" s="4436" t="s">
        <v>149</v>
      </c>
      <c r="H115" s="4518" t="s">
        <v>525</v>
      </c>
      <c r="I115" s="4437" t="s">
        <v>146</v>
      </c>
      <c r="J115" s="4437">
        <v>25</v>
      </c>
      <c r="K115" s="4444">
        <v>2931393</v>
      </c>
      <c r="L115" s="3660" t="s">
        <v>82</v>
      </c>
      <c r="M115" s="2840" t="s">
        <v>51</v>
      </c>
      <c r="N115" s="2840"/>
      <c r="O115" s="502">
        <v>0</v>
      </c>
      <c r="P115" s="502">
        <v>0</v>
      </c>
      <c r="Q115" s="502">
        <v>2</v>
      </c>
      <c r="R115" s="502">
        <v>3</v>
      </c>
      <c r="S115" s="502">
        <v>3</v>
      </c>
      <c r="T115" s="502">
        <v>3</v>
      </c>
      <c r="U115" s="502">
        <v>3</v>
      </c>
      <c r="V115" s="502">
        <v>3</v>
      </c>
      <c r="W115" s="502">
        <v>4</v>
      </c>
      <c r="X115" s="502">
        <v>4</v>
      </c>
      <c r="Y115" s="502">
        <v>0</v>
      </c>
      <c r="Z115" s="502">
        <v>0</v>
      </c>
      <c r="AA115" s="17">
        <v>25</v>
      </c>
    </row>
    <row r="116" spans="1:27" x14ac:dyDescent="0.25">
      <c r="A116" s="4454"/>
      <c r="B116" s="2778"/>
      <c r="C116" s="2926"/>
      <c r="D116" s="2778"/>
      <c r="E116" s="4436"/>
      <c r="F116" s="4436"/>
      <c r="G116" s="4436"/>
      <c r="H116" s="4518"/>
      <c r="I116" s="4437"/>
      <c r="J116" s="4437"/>
      <c r="K116" s="4437"/>
      <c r="L116" s="3660"/>
      <c r="M116" s="2840" t="s">
        <v>99</v>
      </c>
      <c r="N116" s="2840"/>
      <c r="O116" s="502">
        <v>244283</v>
      </c>
      <c r="P116" s="502">
        <v>244283</v>
      </c>
      <c r="Q116" s="502">
        <v>244283</v>
      </c>
      <c r="R116" s="502">
        <v>244283</v>
      </c>
      <c r="S116" s="502">
        <v>244283</v>
      </c>
      <c r="T116" s="502">
        <v>244283</v>
      </c>
      <c r="U116" s="502">
        <v>244283</v>
      </c>
      <c r="V116" s="502">
        <v>244283</v>
      </c>
      <c r="W116" s="502">
        <v>244283</v>
      </c>
      <c r="X116" s="502">
        <v>244283</v>
      </c>
      <c r="Y116" s="502">
        <v>244283</v>
      </c>
      <c r="Z116" s="502">
        <v>244280</v>
      </c>
      <c r="AA116" s="17">
        <v>2931393</v>
      </c>
    </row>
    <row r="117" spans="1:27" x14ac:dyDescent="0.25">
      <c r="A117" s="4454"/>
      <c r="B117" s="2778"/>
      <c r="C117" s="2926"/>
      <c r="D117" s="2778"/>
      <c r="E117" s="4436"/>
      <c r="F117" s="4436"/>
      <c r="G117" s="4436"/>
      <c r="H117" s="4518"/>
      <c r="I117" s="4437"/>
      <c r="J117" s="4437"/>
      <c r="K117" s="4437"/>
      <c r="L117" s="3660"/>
      <c r="M117" s="2438">
        <v>2.6</v>
      </c>
      <c r="N117" s="2420" t="s">
        <v>240</v>
      </c>
      <c r="O117" s="3500">
        <v>244283</v>
      </c>
      <c r="P117" s="3500">
        <v>244283</v>
      </c>
      <c r="Q117" s="3500">
        <v>244283</v>
      </c>
      <c r="R117" s="3500">
        <v>244283</v>
      </c>
      <c r="S117" s="3500">
        <v>244283</v>
      </c>
      <c r="T117" s="3500">
        <v>244283</v>
      </c>
      <c r="U117" s="3500">
        <v>244283</v>
      </c>
      <c r="V117" s="3500">
        <v>244283</v>
      </c>
      <c r="W117" s="3500">
        <v>244283</v>
      </c>
      <c r="X117" s="3500">
        <v>244283</v>
      </c>
      <c r="Y117" s="3500">
        <v>244283</v>
      </c>
      <c r="Z117" s="3500">
        <v>244280</v>
      </c>
      <c r="AA117" s="3500">
        <v>2931393</v>
      </c>
    </row>
    <row r="118" spans="1:27" x14ac:dyDescent="0.25">
      <c r="A118" s="4454"/>
      <c r="B118" s="2779"/>
      <c r="C118" s="2927"/>
      <c r="D118" s="2779"/>
      <c r="E118" s="4436"/>
      <c r="F118" s="4436"/>
      <c r="G118" s="4436"/>
      <c r="H118" s="4518"/>
      <c r="I118" s="4437"/>
      <c r="J118" s="4437"/>
      <c r="K118" s="4437"/>
      <c r="L118" s="3660"/>
      <c r="M118" s="2450"/>
      <c r="N118" s="2420"/>
      <c r="O118" s="3492"/>
      <c r="P118" s="3492"/>
      <c r="Q118" s="3492"/>
      <c r="R118" s="3492"/>
      <c r="S118" s="3492"/>
      <c r="T118" s="3492"/>
      <c r="U118" s="3492"/>
      <c r="V118" s="3492"/>
      <c r="W118" s="3492"/>
      <c r="X118" s="3492"/>
      <c r="Y118" s="3492"/>
      <c r="Z118" s="3492"/>
      <c r="AA118" s="3492"/>
    </row>
    <row r="119" spans="1:27" x14ac:dyDescent="0.25">
      <c r="A119" s="907"/>
      <c r="B119" s="2840" t="s">
        <v>18</v>
      </c>
      <c r="C119" s="2993">
        <v>5.0009899999999998</v>
      </c>
      <c r="D119" s="2995" t="s">
        <v>134</v>
      </c>
      <c r="E119" s="2996"/>
      <c r="F119" s="853"/>
      <c r="G119" s="853"/>
      <c r="H119" s="853"/>
      <c r="I119" s="853"/>
      <c r="J119" s="853"/>
      <c r="K119" s="853"/>
      <c r="L119" s="853"/>
      <c r="M119" s="853"/>
      <c r="N119" s="853"/>
      <c r="O119" s="853"/>
      <c r="P119" s="853"/>
      <c r="Q119" s="908"/>
      <c r="R119" s="908"/>
      <c r="S119" s="908"/>
      <c r="T119" s="908"/>
      <c r="U119" s="909"/>
      <c r="V119" s="2974" t="s">
        <v>15</v>
      </c>
      <c r="W119" s="2975"/>
      <c r="X119" s="2975"/>
      <c r="Y119" s="2976"/>
      <c r="Z119" s="2974" t="s">
        <v>16</v>
      </c>
      <c r="AA119" s="2976"/>
    </row>
    <row r="120" spans="1:27" x14ac:dyDescent="0.25">
      <c r="A120" s="907"/>
      <c r="B120" s="2840"/>
      <c r="C120" s="2994"/>
      <c r="D120" s="2997"/>
      <c r="E120" s="2998"/>
      <c r="F120" s="854"/>
      <c r="G120" s="854"/>
      <c r="H120" s="854"/>
      <c r="I120" s="854"/>
      <c r="J120" s="854"/>
      <c r="K120" s="854"/>
      <c r="L120" s="854"/>
      <c r="M120" s="854"/>
      <c r="N120" s="854"/>
      <c r="O120" s="854"/>
      <c r="P120" s="854"/>
      <c r="Q120" s="910"/>
      <c r="R120" s="910"/>
      <c r="S120" s="910"/>
      <c r="T120" s="910"/>
      <c r="U120" s="911"/>
      <c r="V120" s="4519"/>
      <c r="W120" s="4520"/>
      <c r="X120" s="4520"/>
      <c r="Y120" s="4521"/>
      <c r="Z120" s="4522"/>
      <c r="AA120" s="4522"/>
    </row>
    <row r="121" spans="1:27" x14ac:dyDescent="0.25">
      <c r="A121" s="907"/>
      <c r="B121" s="2999" t="s">
        <v>20</v>
      </c>
      <c r="C121" s="2988" t="s">
        <v>21</v>
      </c>
      <c r="D121" s="4439" t="s">
        <v>22</v>
      </c>
      <c r="E121" s="2847" t="s">
        <v>23</v>
      </c>
      <c r="F121" s="2847" t="s">
        <v>24</v>
      </c>
      <c r="G121" s="2847" t="s">
        <v>25</v>
      </c>
      <c r="H121" s="2847" t="s">
        <v>26</v>
      </c>
      <c r="I121" s="2847" t="s">
        <v>27</v>
      </c>
      <c r="J121" s="2986" t="s">
        <v>28</v>
      </c>
      <c r="K121" s="2987"/>
      <c r="L121" s="2847" t="s">
        <v>29</v>
      </c>
      <c r="M121" s="2986" t="s">
        <v>30</v>
      </c>
      <c r="N121" s="2987"/>
      <c r="O121" s="2990" t="s">
        <v>31</v>
      </c>
      <c r="P121" s="2991"/>
      <c r="Q121" s="2991"/>
      <c r="R121" s="2991"/>
      <c r="S121" s="2991"/>
      <c r="T121" s="2991"/>
      <c r="U121" s="2991"/>
      <c r="V121" s="2991"/>
      <c r="W121" s="2991"/>
      <c r="X121" s="2991"/>
      <c r="Y121" s="2991"/>
      <c r="Z121" s="2992"/>
      <c r="AA121" s="2916" t="s">
        <v>32</v>
      </c>
    </row>
    <row r="122" spans="1:27" x14ac:dyDescent="0.25">
      <c r="A122" s="907"/>
      <c r="B122" s="2999"/>
      <c r="C122" s="2989"/>
      <c r="D122" s="4439"/>
      <c r="E122" s="2847"/>
      <c r="F122" s="2847"/>
      <c r="G122" s="2847"/>
      <c r="H122" s="2847"/>
      <c r="I122" s="2847"/>
      <c r="J122" s="849" t="s">
        <v>33</v>
      </c>
      <c r="K122" s="849" t="s">
        <v>34</v>
      </c>
      <c r="L122" s="2847"/>
      <c r="M122" s="3000"/>
      <c r="N122" s="3001"/>
      <c r="O122" s="850" t="s">
        <v>35</v>
      </c>
      <c r="P122" s="850" t="s">
        <v>36</v>
      </c>
      <c r="Q122" s="850" t="s">
        <v>37</v>
      </c>
      <c r="R122" s="850" t="s">
        <v>38</v>
      </c>
      <c r="S122" s="850" t="s">
        <v>39</v>
      </c>
      <c r="T122" s="850" t="s">
        <v>40</v>
      </c>
      <c r="U122" s="850" t="s">
        <v>41</v>
      </c>
      <c r="V122" s="850" t="s">
        <v>42</v>
      </c>
      <c r="W122" s="850" t="s">
        <v>43</v>
      </c>
      <c r="X122" s="850" t="s">
        <v>44</v>
      </c>
      <c r="Y122" s="850" t="s">
        <v>45</v>
      </c>
      <c r="Z122" s="850" t="s">
        <v>46</v>
      </c>
      <c r="AA122" s="2916"/>
    </row>
    <row r="123" spans="1:27" x14ac:dyDescent="0.25">
      <c r="A123" s="907"/>
      <c r="B123" s="4435">
        <v>500099</v>
      </c>
      <c r="C123" s="2925" t="s">
        <v>134</v>
      </c>
      <c r="D123" s="2777" t="s">
        <v>3111</v>
      </c>
      <c r="E123" s="4436" t="s">
        <v>136</v>
      </c>
      <c r="F123" s="4436" t="s">
        <v>137</v>
      </c>
      <c r="G123" s="4436" t="s">
        <v>138</v>
      </c>
      <c r="H123" s="4437" t="s">
        <v>3111</v>
      </c>
      <c r="I123" s="4437" t="s">
        <v>133</v>
      </c>
      <c r="J123" s="4437">
        <v>12</v>
      </c>
      <c r="K123" s="4438">
        <v>1273741</v>
      </c>
      <c r="L123" s="4437" t="s">
        <v>3112</v>
      </c>
      <c r="M123" s="2918" t="s">
        <v>51</v>
      </c>
      <c r="N123" s="2919"/>
      <c r="O123" s="852">
        <v>1</v>
      </c>
      <c r="P123" s="852">
        <v>1</v>
      </c>
      <c r="Q123" s="852">
        <v>1</v>
      </c>
      <c r="R123" s="852">
        <v>1</v>
      </c>
      <c r="S123" s="852">
        <v>1</v>
      </c>
      <c r="T123" s="852">
        <v>1</v>
      </c>
      <c r="U123" s="852">
        <v>1</v>
      </c>
      <c r="V123" s="852">
        <v>1</v>
      </c>
      <c r="W123" s="852">
        <v>1</v>
      </c>
      <c r="X123" s="852">
        <v>1</v>
      </c>
      <c r="Y123" s="852">
        <v>1</v>
      </c>
      <c r="Z123" s="852">
        <v>1</v>
      </c>
      <c r="AA123" s="851">
        <f>SUM(O123:Z123)</f>
        <v>12</v>
      </c>
    </row>
    <row r="124" spans="1:27" x14ac:dyDescent="0.25">
      <c r="A124" s="907"/>
      <c r="B124" s="4435"/>
      <c r="C124" s="2926"/>
      <c r="D124" s="2778"/>
      <c r="E124" s="4436"/>
      <c r="F124" s="4436"/>
      <c r="G124" s="4436"/>
      <c r="H124" s="4437"/>
      <c r="I124" s="4437"/>
      <c r="J124" s="4437"/>
      <c r="K124" s="4438"/>
      <c r="L124" s="4437"/>
      <c r="M124" s="2840" t="s">
        <v>1090</v>
      </c>
      <c r="N124" s="2840"/>
      <c r="O124" s="852">
        <v>106145</v>
      </c>
      <c r="P124" s="852">
        <v>106145</v>
      </c>
      <c r="Q124" s="852">
        <v>106145</v>
      </c>
      <c r="R124" s="852">
        <v>106145</v>
      </c>
      <c r="S124" s="852">
        <v>106145</v>
      </c>
      <c r="T124" s="852">
        <v>106145</v>
      </c>
      <c r="U124" s="852">
        <v>106145</v>
      </c>
      <c r="V124" s="852">
        <v>106145</v>
      </c>
      <c r="W124" s="852">
        <v>106145</v>
      </c>
      <c r="X124" s="852">
        <v>106145</v>
      </c>
      <c r="Y124" s="852">
        <v>106145</v>
      </c>
      <c r="Z124" s="852">
        <v>106146</v>
      </c>
      <c r="AA124" s="851">
        <f>SUM(O124:Z124)</f>
        <v>1273741</v>
      </c>
    </row>
    <row r="125" spans="1:27" x14ac:dyDescent="0.25">
      <c r="A125" s="907"/>
      <c r="B125" s="4435"/>
      <c r="C125" s="2926"/>
      <c r="D125" s="2778"/>
      <c r="E125" s="4436"/>
      <c r="F125" s="4436"/>
      <c r="G125" s="4436"/>
      <c r="H125" s="4437"/>
      <c r="I125" s="4437"/>
      <c r="J125" s="4437"/>
      <c r="K125" s="4438"/>
      <c r="L125" s="4437"/>
      <c r="M125" s="2438">
        <v>2.2000000000000002</v>
      </c>
      <c r="N125" s="2420" t="s">
        <v>134</v>
      </c>
      <c r="O125" s="3500">
        <v>106145</v>
      </c>
      <c r="P125" s="3500">
        <v>106145</v>
      </c>
      <c r="Q125" s="3500">
        <v>106145</v>
      </c>
      <c r="R125" s="3500">
        <v>106145</v>
      </c>
      <c r="S125" s="3500">
        <v>106145</v>
      </c>
      <c r="T125" s="3500">
        <v>106145</v>
      </c>
      <c r="U125" s="3500">
        <v>106145</v>
      </c>
      <c r="V125" s="3500">
        <v>106145</v>
      </c>
      <c r="W125" s="3500">
        <v>106145</v>
      </c>
      <c r="X125" s="3500">
        <v>106145</v>
      </c>
      <c r="Y125" s="3500">
        <v>106145</v>
      </c>
      <c r="Z125" s="3500">
        <v>106146</v>
      </c>
      <c r="AA125" s="3500">
        <f>SUM(O125:Z125)</f>
        <v>1273741</v>
      </c>
    </row>
    <row r="126" spans="1:27" ht="9" customHeight="1" x14ac:dyDescent="0.25">
      <c r="A126" s="907"/>
      <c r="B126" s="4435"/>
      <c r="C126" s="2927"/>
      <c r="D126" s="2779"/>
      <c r="E126" s="4436"/>
      <c r="F126" s="4436"/>
      <c r="G126" s="4436"/>
      <c r="H126" s="4437"/>
      <c r="I126" s="4437"/>
      <c r="J126" s="4437"/>
      <c r="K126" s="4438"/>
      <c r="L126" s="4437"/>
      <c r="M126" s="2450"/>
      <c r="N126" s="2420"/>
      <c r="O126" s="3492"/>
      <c r="P126" s="3492"/>
      <c r="Q126" s="3492"/>
      <c r="R126" s="3492"/>
      <c r="S126" s="3492"/>
      <c r="T126" s="3492"/>
      <c r="U126" s="3492"/>
      <c r="V126" s="3492"/>
      <c r="W126" s="3492"/>
      <c r="X126" s="3492"/>
      <c r="Y126" s="3492"/>
      <c r="Z126" s="3492"/>
      <c r="AA126" s="3492"/>
    </row>
    <row r="127" spans="1:27" ht="25.5" customHeight="1" x14ac:dyDescent="0.25">
      <c r="A127" s="178"/>
      <c r="B127" s="1859" t="s">
        <v>8</v>
      </c>
      <c r="C127" s="2911" t="s">
        <v>100</v>
      </c>
      <c r="D127" s="2912"/>
      <c r="E127" s="2912"/>
      <c r="F127" s="2912"/>
      <c r="G127" s="2912"/>
      <c r="H127" s="2912"/>
      <c r="I127" s="87"/>
      <c r="J127" s="87"/>
      <c r="K127" s="87"/>
      <c r="L127" s="87"/>
      <c r="M127" s="87"/>
      <c r="N127" s="87"/>
      <c r="O127" s="87"/>
      <c r="P127" s="87"/>
      <c r="Q127" s="87"/>
      <c r="R127" s="87"/>
      <c r="S127" s="87"/>
      <c r="T127" s="87"/>
      <c r="U127" s="87"/>
      <c r="V127" s="87"/>
      <c r="W127" s="87"/>
      <c r="X127" s="87"/>
      <c r="Y127" s="87"/>
      <c r="Z127" s="87"/>
      <c r="AA127" s="90"/>
    </row>
    <row r="128" spans="1:27" ht="25.5" customHeight="1" x14ac:dyDescent="0.25">
      <c r="A128" s="178"/>
      <c r="B128" s="685" t="s">
        <v>11</v>
      </c>
      <c r="C128" s="19" t="s">
        <v>12</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1"/>
    </row>
    <row r="129" spans="1:27" x14ac:dyDescent="0.25">
      <c r="A129" s="178"/>
      <c r="B129" s="2913" t="s">
        <v>13</v>
      </c>
      <c r="C129" s="2914">
        <v>9002</v>
      </c>
      <c r="D129" s="2918" t="s">
        <v>14</v>
      </c>
      <c r="E129" s="2919"/>
      <c r="F129" s="2919"/>
      <c r="G129" s="2919"/>
      <c r="H129" s="2919"/>
      <c r="I129" s="2919"/>
      <c r="J129" s="2919"/>
      <c r="K129" s="2919"/>
      <c r="L129" s="2919"/>
      <c r="M129" s="2919"/>
      <c r="N129" s="2919"/>
      <c r="O129" s="2919"/>
      <c r="P129" s="2919"/>
      <c r="Q129" s="23"/>
      <c r="R129" s="23"/>
      <c r="S129" s="23"/>
      <c r="T129" s="23"/>
      <c r="U129" s="25"/>
      <c r="V129" s="2974" t="s">
        <v>15</v>
      </c>
      <c r="W129" s="2975"/>
      <c r="X129" s="2975"/>
      <c r="Y129" s="2976"/>
      <c r="Z129" s="2974" t="s">
        <v>16</v>
      </c>
      <c r="AA129" s="2976"/>
    </row>
    <row r="130" spans="1:27" x14ac:dyDescent="0.25">
      <c r="A130" s="178"/>
      <c r="B130" s="2913"/>
      <c r="C130" s="2915"/>
      <c r="D130" s="3459"/>
      <c r="E130" s="3460"/>
      <c r="F130" s="3460"/>
      <c r="G130" s="3460"/>
      <c r="H130" s="3460"/>
      <c r="I130" s="3460"/>
      <c r="J130" s="3460"/>
      <c r="K130" s="3460"/>
      <c r="L130" s="3460"/>
      <c r="M130" s="3460"/>
      <c r="N130" s="3460"/>
      <c r="O130" s="3460"/>
      <c r="P130" s="3460"/>
      <c r="Q130" s="24"/>
      <c r="R130" s="24"/>
      <c r="S130" s="24"/>
      <c r="T130" s="24"/>
      <c r="U130" s="26"/>
      <c r="V130" s="2977" t="s">
        <v>19</v>
      </c>
      <c r="W130" s="2978"/>
      <c r="X130" s="2978"/>
      <c r="Y130" s="2979"/>
      <c r="Z130" s="2974"/>
      <c r="AA130" s="2976"/>
    </row>
    <row r="131" spans="1:27" x14ac:dyDescent="0.25">
      <c r="A131" s="178"/>
      <c r="B131" s="2913" t="s">
        <v>18</v>
      </c>
      <c r="C131" s="2993">
        <v>3999999</v>
      </c>
      <c r="D131" s="2995" t="s">
        <v>163</v>
      </c>
      <c r="E131" s="2996"/>
      <c r="F131" s="2996"/>
      <c r="G131" s="2996"/>
      <c r="H131" s="2996"/>
      <c r="I131" s="2996"/>
      <c r="J131" s="2996"/>
      <c r="K131" s="2996"/>
      <c r="L131" s="2996"/>
      <c r="M131" s="2996"/>
      <c r="N131" s="2996"/>
      <c r="O131" s="2996"/>
      <c r="P131" s="2996"/>
      <c r="Q131" s="28"/>
      <c r="R131" s="28"/>
      <c r="S131" s="28"/>
      <c r="T131" s="28"/>
      <c r="U131" s="29"/>
      <c r="V131" s="2974" t="s">
        <v>15</v>
      </c>
      <c r="W131" s="2975"/>
      <c r="X131" s="2975"/>
      <c r="Y131" s="2976"/>
      <c r="Z131" s="2922" t="s">
        <v>16</v>
      </c>
      <c r="AA131" s="2922"/>
    </row>
    <row r="132" spans="1:27" x14ac:dyDescent="0.25">
      <c r="A132" s="178"/>
      <c r="B132" s="2913"/>
      <c r="C132" s="2994"/>
      <c r="D132" s="2997"/>
      <c r="E132" s="2998"/>
      <c r="F132" s="2998"/>
      <c r="G132" s="2998"/>
      <c r="H132" s="2998"/>
      <c r="I132" s="2998"/>
      <c r="J132" s="2998"/>
      <c r="K132" s="2998"/>
      <c r="L132" s="2998"/>
      <c r="M132" s="2998"/>
      <c r="N132" s="2998"/>
      <c r="O132" s="2998"/>
      <c r="P132" s="2998"/>
      <c r="Q132" s="31"/>
      <c r="R132" s="31"/>
      <c r="S132" s="31"/>
      <c r="T132" s="31"/>
      <c r="U132" s="22"/>
      <c r="V132" s="2977" t="s">
        <v>19</v>
      </c>
      <c r="W132" s="2978"/>
      <c r="X132" s="2978"/>
      <c r="Y132" s="2979"/>
      <c r="Z132" s="2922"/>
      <c r="AA132" s="2922"/>
    </row>
    <row r="133" spans="1:27" x14ac:dyDescent="0.25">
      <c r="A133" s="178"/>
      <c r="B133" s="3516" t="s">
        <v>20</v>
      </c>
      <c r="C133" s="2847" t="s">
        <v>21</v>
      </c>
      <c r="D133" s="2847" t="s">
        <v>22</v>
      </c>
      <c r="E133" s="2847" t="s">
        <v>23</v>
      </c>
      <c r="F133" s="2847" t="s">
        <v>24</v>
      </c>
      <c r="G133" s="2847" t="s">
        <v>25</v>
      </c>
      <c r="H133" s="2847" t="s">
        <v>26</v>
      </c>
      <c r="I133" s="2847" t="s">
        <v>27</v>
      </c>
      <c r="J133" s="2986" t="s">
        <v>28</v>
      </c>
      <c r="K133" s="2987"/>
      <c r="L133" s="2847" t="s">
        <v>29</v>
      </c>
      <c r="M133" s="2986" t="s">
        <v>30</v>
      </c>
      <c r="N133" s="2987"/>
      <c r="O133" s="2990" t="s">
        <v>31</v>
      </c>
      <c r="P133" s="2991"/>
      <c r="Q133" s="2991"/>
      <c r="R133" s="2991"/>
      <c r="S133" s="2991"/>
      <c r="T133" s="2991"/>
      <c r="U133" s="2991"/>
      <c r="V133" s="2991"/>
      <c r="W133" s="2991"/>
      <c r="X133" s="2991"/>
      <c r="Y133" s="2991"/>
      <c r="Z133" s="2992"/>
      <c r="AA133" s="2916" t="s">
        <v>32</v>
      </c>
    </row>
    <row r="134" spans="1:27" x14ac:dyDescent="0.25">
      <c r="A134" s="178"/>
      <c r="B134" s="3516"/>
      <c r="C134" s="2847"/>
      <c r="D134" s="2847"/>
      <c r="E134" s="2847"/>
      <c r="F134" s="2847"/>
      <c r="G134" s="2847"/>
      <c r="H134" s="2847"/>
      <c r="I134" s="2847"/>
      <c r="J134" s="455" t="s">
        <v>33</v>
      </c>
      <c r="K134" s="455" t="s">
        <v>34</v>
      </c>
      <c r="L134" s="2847"/>
      <c r="M134" s="3000"/>
      <c r="N134" s="3001"/>
      <c r="O134" s="471" t="s">
        <v>35</v>
      </c>
      <c r="P134" s="471" t="s">
        <v>36</v>
      </c>
      <c r="Q134" s="471" t="s">
        <v>37</v>
      </c>
      <c r="R134" s="471" t="s">
        <v>38</v>
      </c>
      <c r="S134" s="471" t="s">
        <v>39</v>
      </c>
      <c r="T134" s="471" t="s">
        <v>40</v>
      </c>
      <c r="U134" s="471" t="s">
        <v>41</v>
      </c>
      <c r="V134" s="471" t="s">
        <v>42</v>
      </c>
      <c r="W134" s="471" t="s">
        <v>43</v>
      </c>
      <c r="X134" s="471" t="s">
        <v>44</v>
      </c>
      <c r="Y134" s="471" t="s">
        <v>45</v>
      </c>
      <c r="Z134" s="471" t="s">
        <v>46</v>
      </c>
      <c r="AA134" s="2916"/>
    </row>
    <row r="135" spans="1:27" x14ac:dyDescent="0.25">
      <c r="A135" s="178"/>
      <c r="B135" s="2777">
        <v>5000375</v>
      </c>
      <c r="C135" s="2777" t="s">
        <v>241</v>
      </c>
      <c r="D135" s="4437" t="s">
        <v>242</v>
      </c>
      <c r="E135" s="4437">
        <v>25</v>
      </c>
      <c r="F135" s="4437" t="s">
        <v>243</v>
      </c>
      <c r="G135" s="4437" t="s">
        <v>244</v>
      </c>
      <c r="H135" s="4437" t="s">
        <v>245</v>
      </c>
      <c r="I135" s="4437" t="s">
        <v>246</v>
      </c>
      <c r="J135" s="4437">
        <v>2</v>
      </c>
      <c r="K135" s="4444">
        <v>27667000</v>
      </c>
      <c r="L135" s="4437" t="s">
        <v>557</v>
      </c>
      <c r="M135" s="2671" t="s">
        <v>51</v>
      </c>
      <c r="N135" s="3002"/>
      <c r="O135" s="502"/>
      <c r="P135" s="502"/>
      <c r="Q135" s="502"/>
      <c r="R135" s="502">
        <v>1</v>
      </c>
      <c r="S135" s="502"/>
      <c r="T135" s="502"/>
      <c r="U135" s="502"/>
      <c r="V135" s="502"/>
      <c r="W135" s="502"/>
      <c r="X135" s="502">
        <v>1</v>
      </c>
      <c r="Y135" s="502"/>
      <c r="Z135" s="502"/>
      <c r="AA135" s="502">
        <v>2</v>
      </c>
    </row>
    <row r="136" spans="1:27" x14ac:dyDescent="0.25">
      <c r="A136" s="178"/>
      <c r="B136" s="2778"/>
      <c r="C136" s="2778"/>
      <c r="D136" s="4437"/>
      <c r="E136" s="4437"/>
      <c r="F136" s="4437"/>
      <c r="G136" s="4437"/>
      <c r="H136" s="4437"/>
      <c r="I136" s="4437"/>
      <c r="J136" s="4437"/>
      <c r="K136" s="4444"/>
      <c r="L136" s="4437"/>
      <c r="M136" s="2920" t="s">
        <v>99</v>
      </c>
      <c r="N136" s="2921"/>
      <c r="O136" s="502">
        <v>0</v>
      </c>
      <c r="P136" s="502">
        <v>0</v>
      </c>
      <c r="Q136" s="502">
        <v>0</v>
      </c>
      <c r="R136" s="502">
        <v>13833500</v>
      </c>
      <c r="S136" s="502">
        <v>0</v>
      </c>
      <c r="T136" s="502">
        <v>0</v>
      </c>
      <c r="U136" s="502">
        <v>0</v>
      </c>
      <c r="V136" s="502">
        <v>0</v>
      </c>
      <c r="W136" s="502">
        <v>0</v>
      </c>
      <c r="X136" s="502">
        <v>13833500</v>
      </c>
      <c r="Y136" s="502">
        <v>0</v>
      </c>
      <c r="Z136" s="502">
        <v>0</v>
      </c>
      <c r="AA136" s="502">
        <v>27667000</v>
      </c>
    </row>
    <row r="137" spans="1:27" ht="56.25" x14ac:dyDescent="0.25">
      <c r="A137" s="178"/>
      <c r="B137" s="2778"/>
      <c r="C137" s="2778"/>
      <c r="D137" s="4437"/>
      <c r="E137" s="4437"/>
      <c r="F137" s="4437"/>
      <c r="G137" s="4437"/>
      <c r="H137" s="4437"/>
      <c r="I137" s="4437"/>
      <c r="J137" s="4437"/>
      <c r="K137" s="4444"/>
      <c r="L137" s="4437"/>
      <c r="M137" s="27" t="s">
        <v>247</v>
      </c>
      <c r="N137" s="27" t="s">
        <v>248</v>
      </c>
      <c r="O137" s="500"/>
      <c r="P137" s="500"/>
      <c r="Q137" s="500"/>
      <c r="R137" s="500">
        <v>11500000</v>
      </c>
      <c r="S137" s="500"/>
      <c r="T137" s="500"/>
      <c r="U137" s="500"/>
      <c r="V137" s="500"/>
      <c r="W137" s="500"/>
      <c r="X137" s="500">
        <v>11500000</v>
      </c>
      <c r="Y137" s="500"/>
      <c r="Z137" s="500"/>
      <c r="AA137" s="502">
        <v>23000000</v>
      </c>
    </row>
    <row r="138" spans="1:27" ht="56.25" x14ac:dyDescent="0.25">
      <c r="A138" s="178"/>
      <c r="B138" s="2778"/>
      <c r="C138" s="2778"/>
      <c r="D138" s="4437"/>
      <c r="E138" s="4437"/>
      <c r="F138" s="4437"/>
      <c r="G138" s="4437"/>
      <c r="H138" s="4437"/>
      <c r="I138" s="4437"/>
      <c r="J138" s="4437"/>
      <c r="K138" s="4444"/>
      <c r="L138" s="4437"/>
      <c r="M138" s="468" t="s">
        <v>249</v>
      </c>
      <c r="N138" s="27" t="s">
        <v>248</v>
      </c>
      <c r="O138" s="500"/>
      <c r="P138" s="500"/>
      <c r="Q138" s="500"/>
      <c r="R138" s="500">
        <v>1500000</v>
      </c>
      <c r="S138" s="500"/>
      <c r="T138" s="500"/>
      <c r="U138" s="500"/>
      <c r="V138" s="500"/>
      <c r="W138" s="500"/>
      <c r="X138" s="500">
        <v>1500000</v>
      </c>
      <c r="Y138" s="500"/>
      <c r="Z138" s="500"/>
      <c r="AA138" s="502">
        <v>3000000</v>
      </c>
    </row>
    <row r="139" spans="1:27" ht="56.25" x14ac:dyDescent="0.25">
      <c r="A139" s="178"/>
      <c r="B139" s="2779"/>
      <c r="C139" s="2779"/>
      <c r="D139" s="4437"/>
      <c r="E139" s="4437"/>
      <c r="F139" s="4437"/>
      <c r="G139" s="4437"/>
      <c r="H139" s="4437"/>
      <c r="I139" s="4437"/>
      <c r="J139" s="4437"/>
      <c r="K139" s="4444"/>
      <c r="L139" s="4437"/>
      <c r="M139" s="468" t="s">
        <v>250</v>
      </c>
      <c r="N139" s="468" t="s">
        <v>248</v>
      </c>
      <c r="O139" s="500"/>
      <c r="P139" s="500"/>
      <c r="Q139" s="500"/>
      <c r="R139" s="500">
        <v>833500</v>
      </c>
      <c r="S139" s="500"/>
      <c r="T139" s="500"/>
      <c r="U139" s="500"/>
      <c r="V139" s="500"/>
      <c r="W139" s="500"/>
      <c r="X139" s="500">
        <v>833500</v>
      </c>
      <c r="Y139" s="500"/>
      <c r="Z139" s="500"/>
      <c r="AA139" s="502">
        <v>1667000</v>
      </c>
    </row>
    <row r="140" spans="1:27" ht="27" customHeight="1" x14ac:dyDescent="0.25">
      <c r="A140" s="178"/>
      <c r="B140" s="2074" t="s">
        <v>8</v>
      </c>
      <c r="C140" s="4523" t="s">
        <v>528</v>
      </c>
      <c r="D140" s="4524"/>
      <c r="E140" s="4524"/>
      <c r="F140" s="4524"/>
      <c r="G140" s="4524"/>
      <c r="H140" s="4524"/>
      <c r="I140" s="1582"/>
      <c r="J140" s="1582"/>
      <c r="K140" s="1582"/>
      <c r="L140" s="1582"/>
      <c r="M140" s="1582"/>
      <c r="N140" s="1582"/>
      <c r="O140" s="1582"/>
      <c r="P140" s="1582"/>
      <c r="Q140" s="1582"/>
      <c r="R140" s="1582"/>
      <c r="S140" s="1582"/>
      <c r="T140" s="1582"/>
      <c r="U140" s="1582"/>
      <c r="V140" s="1582"/>
      <c r="W140" s="1582"/>
      <c r="X140" s="1582"/>
      <c r="Y140" s="1582"/>
      <c r="Z140" s="1583"/>
      <c r="AA140" s="1584"/>
    </row>
    <row r="141" spans="1:27" x14ac:dyDescent="0.25">
      <c r="A141" s="178"/>
      <c r="B141" s="1352" t="s">
        <v>11</v>
      </c>
      <c r="C141" s="4576" t="s">
        <v>230</v>
      </c>
      <c r="D141" s="4576"/>
      <c r="E141" s="4576"/>
      <c r="F141" s="4576"/>
      <c r="G141" s="4576"/>
      <c r="H141" s="4576"/>
      <c r="I141" s="4576"/>
      <c r="J141" s="4576"/>
      <c r="K141" s="4576"/>
      <c r="L141" s="4576"/>
      <c r="M141" s="4576"/>
      <c r="N141" s="4576"/>
      <c r="O141" s="4576"/>
      <c r="P141" s="4576"/>
      <c r="Q141" s="4576"/>
      <c r="R141" s="4576"/>
      <c r="S141" s="4576"/>
      <c r="T141" s="4576"/>
      <c r="U141" s="4576"/>
      <c r="V141" s="4576"/>
      <c r="W141" s="4576"/>
      <c r="X141" s="4576"/>
      <c r="Y141" s="4577"/>
      <c r="Z141" s="203"/>
      <c r="AA141" s="346"/>
    </row>
    <row r="142" spans="1:27" ht="24" customHeight="1" x14ac:dyDescent="0.25">
      <c r="A142" s="178"/>
      <c r="B142" s="2298" t="s">
        <v>13</v>
      </c>
      <c r="C142" s="4578">
        <v>9001</v>
      </c>
      <c r="D142" s="4579"/>
      <c r="E142" s="4579"/>
      <c r="F142" s="4579"/>
      <c r="G142" s="4579"/>
      <c r="H142" s="4579"/>
      <c r="I142" s="1585"/>
      <c r="J142" s="1585"/>
      <c r="K142" s="1585"/>
      <c r="L142" s="1585"/>
      <c r="M142" s="1585"/>
      <c r="N142" s="1585"/>
      <c r="O142" s="1585"/>
      <c r="P142" s="1585"/>
      <c r="Q142" s="1585"/>
      <c r="R142" s="1585"/>
      <c r="S142" s="1585"/>
      <c r="T142" s="1586"/>
      <c r="U142" s="1587"/>
      <c r="V142" s="4582" t="s">
        <v>15</v>
      </c>
      <c r="W142" s="4583"/>
      <c r="X142" s="4583"/>
      <c r="Y142" s="4584"/>
      <c r="Z142" s="2314" t="s">
        <v>16</v>
      </c>
      <c r="AA142" s="2316"/>
    </row>
    <row r="143" spans="1:27" ht="15.75" customHeight="1" x14ac:dyDescent="0.25">
      <c r="A143" s="178"/>
      <c r="B143" s="2298"/>
      <c r="C143" s="4580"/>
      <c r="D143" s="4581"/>
      <c r="E143" s="4581"/>
      <c r="F143" s="4581"/>
      <c r="G143" s="4581"/>
      <c r="H143" s="4581"/>
      <c r="I143" s="1588"/>
      <c r="J143" s="1588"/>
      <c r="K143" s="1588"/>
      <c r="L143" s="1588"/>
      <c r="M143" s="1588"/>
      <c r="N143" s="1588"/>
      <c r="O143" s="1588"/>
      <c r="P143" s="1588"/>
      <c r="Q143" s="1588"/>
      <c r="R143" s="1588"/>
      <c r="S143" s="1588"/>
      <c r="T143" s="1587"/>
      <c r="U143" s="1587"/>
      <c r="V143" s="4573" t="s">
        <v>19</v>
      </c>
      <c r="W143" s="4574"/>
      <c r="X143" s="4574"/>
      <c r="Y143" s="4575"/>
      <c r="Z143" s="2314"/>
      <c r="AA143" s="2316"/>
    </row>
    <row r="144" spans="1:27" ht="21.75" customHeight="1" x14ac:dyDescent="0.25">
      <c r="A144" s="178"/>
      <c r="B144" s="2298" t="s">
        <v>18</v>
      </c>
      <c r="C144" s="4567">
        <v>3999999</v>
      </c>
      <c r="D144" s="4290" t="s">
        <v>2937</v>
      </c>
      <c r="E144" s="4569"/>
      <c r="F144" s="4570"/>
      <c r="G144" s="4570"/>
      <c r="H144" s="4570"/>
      <c r="I144" s="4570"/>
      <c r="J144" s="4570"/>
      <c r="K144" s="4570"/>
      <c r="L144" s="4570"/>
      <c r="M144" s="1585"/>
      <c r="N144" s="1585"/>
      <c r="O144" s="1585"/>
      <c r="P144" s="1585"/>
      <c r="Q144" s="1585"/>
      <c r="R144" s="1585"/>
      <c r="S144" s="1585"/>
      <c r="T144" s="1585"/>
      <c r="U144" s="1589"/>
      <c r="V144" s="450" t="s">
        <v>15</v>
      </c>
      <c r="W144" s="450"/>
      <c r="X144" s="450"/>
      <c r="Y144" s="450"/>
      <c r="Z144" s="2314" t="s">
        <v>16</v>
      </c>
      <c r="AA144" s="2316"/>
    </row>
    <row r="145" spans="1:27" ht="10.5" customHeight="1" x14ac:dyDescent="0.25">
      <c r="A145" s="178"/>
      <c r="B145" s="2298"/>
      <c r="C145" s="4568"/>
      <c r="D145" s="4292"/>
      <c r="E145" s="4571"/>
      <c r="F145" s="4572"/>
      <c r="G145" s="4572"/>
      <c r="H145" s="4572"/>
      <c r="I145" s="4572"/>
      <c r="J145" s="4572"/>
      <c r="K145" s="4572"/>
      <c r="L145" s="4572"/>
      <c r="M145" s="1590"/>
      <c r="N145" s="1590"/>
      <c r="O145" s="1590"/>
      <c r="P145" s="1590"/>
      <c r="Q145" s="1590"/>
      <c r="R145" s="1590"/>
      <c r="S145" s="1590"/>
      <c r="T145" s="1590"/>
      <c r="U145" s="1591"/>
      <c r="V145" s="4573" t="s">
        <v>19</v>
      </c>
      <c r="W145" s="4574"/>
      <c r="X145" s="4574"/>
      <c r="Y145" s="4575"/>
      <c r="Z145" s="1306"/>
      <c r="AA145" s="1307"/>
    </row>
    <row r="146" spans="1:27" ht="15" customHeight="1" x14ac:dyDescent="0.25">
      <c r="A146" s="178"/>
      <c r="B146" s="2320" t="s">
        <v>20</v>
      </c>
      <c r="C146" s="2324" t="s">
        <v>21</v>
      </c>
      <c r="D146" s="2324" t="s">
        <v>22</v>
      </c>
      <c r="E146" s="2324" t="s">
        <v>23</v>
      </c>
      <c r="F146" s="2324" t="s">
        <v>24</v>
      </c>
      <c r="G146" s="2324" t="s">
        <v>25</v>
      </c>
      <c r="H146" s="2324" t="s">
        <v>26</v>
      </c>
      <c r="I146" s="2324" t="s">
        <v>27</v>
      </c>
      <c r="J146" s="2322" t="s">
        <v>28</v>
      </c>
      <c r="K146" s="2323"/>
      <c r="L146" s="2324" t="s">
        <v>29</v>
      </c>
      <c r="M146" s="2322" t="s">
        <v>30</v>
      </c>
      <c r="N146" s="4308"/>
      <c r="O146" s="2343" t="s">
        <v>31</v>
      </c>
      <c r="P146" s="2344"/>
      <c r="Q146" s="2344"/>
      <c r="R146" s="2344"/>
      <c r="S146" s="2344"/>
      <c r="T146" s="2344"/>
      <c r="U146" s="2344"/>
      <c r="V146" s="2344"/>
      <c r="W146" s="2344"/>
      <c r="X146" s="2344"/>
      <c r="Y146" s="2344"/>
      <c r="Z146" s="2345"/>
      <c r="AA146" s="2346" t="s">
        <v>32</v>
      </c>
    </row>
    <row r="147" spans="1:27" ht="18.75" customHeight="1" x14ac:dyDescent="0.25">
      <c r="A147" s="178"/>
      <c r="B147" s="2321"/>
      <c r="C147" s="2324"/>
      <c r="D147" s="2324"/>
      <c r="E147" s="2324"/>
      <c r="F147" s="2324"/>
      <c r="G147" s="2324"/>
      <c r="H147" s="2324"/>
      <c r="I147" s="2324"/>
      <c r="J147" s="1355" t="s">
        <v>33</v>
      </c>
      <c r="K147" s="1355" t="s">
        <v>34</v>
      </c>
      <c r="L147" s="2324"/>
      <c r="M147" s="2325"/>
      <c r="N147" s="4309"/>
      <c r="O147" s="1354" t="s">
        <v>35</v>
      </c>
      <c r="P147" s="1354" t="s">
        <v>36</v>
      </c>
      <c r="Q147" s="1354" t="s">
        <v>37</v>
      </c>
      <c r="R147" s="1354" t="s">
        <v>38</v>
      </c>
      <c r="S147" s="1354" t="s">
        <v>39</v>
      </c>
      <c r="T147" s="1354" t="s">
        <v>40</v>
      </c>
      <c r="U147" s="1354" t="s">
        <v>41</v>
      </c>
      <c r="V147" s="1354" t="s">
        <v>42</v>
      </c>
      <c r="W147" s="1354" t="s">
        <v>43</v>
      </c>
      <c r="X147" s="1354" t="s">
        <v>44</v>
      </c>
      <c r="Y147" s="1354" t="s">
        <v>45</v>
      </c>
      <c r="Z147" s="1354" t="s">
        <v>46</v>
      </c>
      <c r="AA147" s="2346"/>
    </row>
    <row r="148" spans="1:27" ht="15" customHeight="1" x14ac:dyDescent="0.25">
      <c r="A148" s="178"/>
      <c r="B148" s="3155">
        <v>500002</v>
      </c>
      <c r="C148" s="2357" t="s">
        <v>2329</v>
      </c>
      <c r="D148" s="2357" t="s">
        <v>531</v>
      </c>
      <c r="E148" s="4337">
        <v>3</v>
      </c>
      <c r="F148" s="4340">
        <v>6</v>
      </c>
      <c r="G148" s="4340">
        <v>7</v>
      </c>
      <c r="H148" s="2357" t="s">
        <v>2364</v>
      </c>
      <c r="I148" s="2357" t="s">
        <v>2365</v>
      </c>
      <c r="J148" s="2355">
        <v>12</v>
      </c>
      <c r="K148" s="2355">
        <v>200162</v>
      </c>
      <c r="L148" s="2357" t="s">
        <v>532</v>
      </c>
      <c r="M148" s="4582" t="s">
        <v>51</v>
      </c>
      <c r="N148" s="4583"/>
      <c r="O148" s="481">
        <v>1</v>
      </c>
      <c r="P148" s="481">
        <v>1</v>
      </c>
      <c r="Q148" s="481">
        <v>1</v>
      </c>
      <c r="R148" s="481">
        <v>1</v>
      </c>
      <c r="S148" s="481">
        <v>1</v>
      </c>
      <c r="T148" s="481">
        <v>1</v>
      </c>
      <c r="U148" s="481">
        <v>1</v>
      </c>
      <c r="V148" s="481">
        <v>1</v>
      </c>
      <c r="W148" s="481">
        <v>1</v>
      </c>
      <c r="X148" s="481">
        <v>1</v>
      </c>
      <c r="Y148" s="481">
        <v>1</v>
      </c>
      <c r="Z148" s="481">
        <v>1</v>
      </c>
      <c r="AA148" s="1592">
        <f>SUM(O148:Z148)</f>
        <v>12</v>
      </c>
    </row>
    <row r="149" spans="1:27" x14ac:dyDescent="0.25">
      <c r="A149" s="178"/>
      <c r="B149" s="3156"/>
      <c r="C149" s="4289"/>
      <c r="D149" s="4289"/>
      <c r="E149" s="4338"/>
      <c r="F149" s="4341"/>
      <c r="G149" s="4341"/>
      <c r="H149" s="4289"/>
      <c r="I149" s="4289"/>
      <c r="J149" s="4343"/>
      <c r="K149" s="4343"/>
      <c r="L149" s="4289"/>
      <c r="M149" s="4582" t="s">
        <v>111</v>
      </c>
      <c r="N149" s="4583"/>
      <c r="O149" s="1593">
        <f>SUM(O150:O167)</f>
        <v>13583</v>
      </c>
      <c r="P149" s="1593">
        <f>SUM(P150:P167)</f>
        <v>25493</v>
      </c>
      <c r="Q149" s="1593">
        <f>SUM(Q150:Q167)</f>
        <v>37583</v>
      </c>
      <c r="R149" s="1593">
        <f>SUM(R150:R167)</f>
        <v>13583</v>
      </c>
      <c r="S149" s="1593">
        <f>SUM(S150:S167)</f>
        <v>14688</v>
      </c>
      <c r="T149" s="1593">
        <v>12000</v>
      </c>
      <c r="U149" s="1593">
        <v>14686</v>
      </c>
      <c r="V149" s="1593">
        <v>14685</v>
      </c>
      <c r="W149" s="1593">
        <f>SUM(W150:W167)</f>
        <v>13577</v>
      </c>
      <c r="X149" s="1593">
        <v>13580</v>
      </c>
      <c r="Y149" s="1593">
        <v>13124</v>
      </c>
      <c r="Z149" s="1593">
        <f>SUM(Z150:Z167)</f>
        <v>13580</v>
      </c>
      <c r="AA149" s="1592">
        <f>SUM(O149:Z149)</f>
        <v>200162</v>
      </c>
    </row>
    <row r="150" spans="1:27" ht="24" x14ac:dyDescent="0.25">
      <c r="A150" s="178"/>
      <c r="B150" s="3156"/>
      <c r="C150" s="4289"/>
      <c r="D150" s="4289"/>
      <c r="E150" s="4338"/>
      <c r="F150" s="4341"/>
      <c r="G150" s="4341"/>
      <c r="H150" s="4289"/>
      <c r="I150" s="4289"/>
      <c r="J150" s="4343"/>
      <c r="K150" s="4343"/>
      <c r="L150" s="4289"/>
      <c r="M150" s="1665" t="s">
        <v>213</v>
      </c>
      <c r="N150" s="1665" t="s">
        <v>533</v>
      </c>
      <c r="O150" s="1594"/>
      <c r="P150" s="1594">
        <v>2780</v>
      </c>
      <c r="Q150" s="1594"/>
      <c r="R150" s="1594"/>
      <c r="S150" s="1594"/>
      <c r="T150" s="1594"/>
      <c r="U150" s="1594"/>
      <c r="V150" s="1594"/>
      <c r="W150" s="1594"/>
      <c r="X150" s="1594"/>
      <c r="Y150" s="1594"/>
      <c r="Z150" s="1594"/>
      <c r="AA150" s="1592">
        <f>SUM(P150:Z150)</f>
        <v>2780</v>
      </c>
    </row>
    <row r="151" spans="1:27" ht="24" x14ac:dyDescent="0.25">
      <c r="A151" s="178"/>
      <c r="B151" s="3156"/>
      <c r="C151" s="4289"/>
      <c r="D151" s="4289"/>
      <c r="E151" s="4338"/>
      <c r="F151" s="4341"/>
      <c r="G151" s="4341"/>
      <c r="H151" s="4289"/>
      <c r="I151" s="4289"/>
      <c r="J151" s="4343"/>
      <c r="K151" s="4343"/>
      <c r="L151" s="4289"/>
      <c r="M151" s="1665" t="s">
        <v>182</v>
      </c>
      <c r="N151" s="1665" t="s">
        <v>534</v>
      </c>
      <c r="O151" s="1594"/>
      <c r="P151" s="1594">
        <v>141</v>
      </c>
      <c r="Q151" s="1594"/>
      <c r="R151" s="1594"/>
      <c r="S151" s="1594"/>
      <c r="T151" s="1594"/>
      <c r="U151" s="1594"/>
      <c r="V151" s="1594"/>
      <c r="W151" s="1594"/>
      <c r="X151" s="1594"/>
      <c r="Y151" s="1594"/>
      <c r="Z151" s="1594"/>
      <c r="AA151" s="1592">
        <f>SUM(P151:Z151)</f>
        <v>141</v>
      </c>
    </row>
    <row r="152" spans="1:27" ht="36" x14ac:dyDescent="0.25">
      <c r="A152" s="178"/>
      <c r="B152" s="3156"/>
      <c r="C152" s="4289"/>
      <c r="D152" s="4289"/>
      <c r="E152" s="4338"/>
      <c r="F152" s="4341"/>
      <c r="G152" s="4341"/>
      <c r="H152" s="4289"/>
      <c r="I152" s="4289"/>
      <c r="J152" s="4343"/>
      <c r="K152" s="4343"/>
      <c r="L152" s="4289"/>
      <c r="M152" s="1666" t="s">
        <v>184</v>
      </c>
      <c r="N152" s="1666" t="s">
        <v>535</v>
      </c>
      <c r="O152" s="1594"/>
      <c r="P152" s="1594">
        <v>5509</v>
      </c>
      <c r="Q152" s="1594"/>
      <c r="R152" s="1594"/>
      <c r="S152" s="1594"/>
      <c r="T152" s="1594"/>
      <c r="U152" s="1594"/>
      <c r="V152" s="1594"/>
      <c r="W152" s="1594"/>
      <c r="X152" s="1594"/>
      <c r="Y152" s="1594"/>
      <c r="Z152" s="1594"/>
      <c r="AA152" s="1592">
        <f>SUM(P152:Z152)</f>
        <v>5509</v>
      </c>
    </row>
    <row r="153" spans="1:27" ht="36" x14ac:dyDescent="0.25">
      <c r="A153" s="178"/>
      <c r="B153" s="3156"/>
      <c r="C153" s="4289"/>
      <c r="D153" s="4289"/>
      <c r="E153" s="4338"/>
      <c r="F153" s="4341"/>
      <c r="G153" s="4341"/>
      <c r="H153" s="4289"/>
      <c r="I153" s="4289"/>
      <c r="J153" s="4343"/>
      <c r="K153" s="4343"/>
      <c r="L153" s="4289"/>
      <c r="M153" s="1666" t="s">
        <v>186</v>
      </c>
      <c r="N153" s="1666" t="s">
        <v>536</v>
      </c>
      <c r="O153" s="1594"/>
      <c r="P153" s="1594">
        <v>853</v>
      </c>
      <c r="Q153" s="1594"/>
      <c r="R153" s="1594"/>
      <c r="S153" s="1594"/>
      <c r="T153" s="1594"/>
      <c r="U153" s="1594"/>
      <c r="V153" s="1594"/>
      <c r="W153" s="1594"/>
      <c r="X153" s="1594"/>
      <c r="Y153" s="1594"/>
      <c r="Z153" s="1594"/>
      <c r="AA153" s="1592">
        <f>SUM(P153:Z153)</f>
        <v>853</v>
      </c>
    </row>
    <row r="154" spans="1:27" ht="36" x14ac:dyDescent="0.25">
      <c r="A154" s="178"/>
      <c r="B154" s="3156"/>
      <c r="C154" s="4289"/>
      <c r="D154" s="4289"/>
      <c r="E154" s="4338"/>
      <c r="F154" s="4341"/>
      <c r="G154" s="4341"/>
      <c r="H154" s="4289"/>
      <c r="I154" s="4289"/>
      <c r="J154" s="4343"/>
      <c r="K154" s="4343"/>
      <c r="L154" s="4289"/>
      <c r="M154" s="1666" t="s">
        <v>537</v>
      </c>
      <c r="N154" s="1666" t="s">
        <v>538</v>
      </c>
      <c r="O154" s="1595"/>
      <c r="P154" s="1595"/>
      <c r="Q154" s="1595">
        <v>183</v>
      </c>
      <c r="R154" s="1595"/>
      <c r="S154" s="1595"/>
      <c r="T154" s="1595"/>
      <c r="U154" s="1595"/>
      <c r="V154" s="1595"/>
      <c r="W154" s="1595"/>
      <c r="X154" s="1595"/>
      <c r="Y154" s="1595"/>
      <c r="Z154" s="1595"/>
      <c r="AA154" s="1596">
        <f>SUM(Q154:Z154)</f>
        <v>183</v>
      </c>
    </row>
    <row r="155" spans="1:27" ht="24" x14ac:dyDescent="0.25">
      <c r="A155" s="178"/>
      <c r="B155" s="3156"/>
      <c r="C155" s="4289"/>
      <c r="D155" s="4289"/>
      <c r="E155" s="4338"/>
      <c r="F155" s="4341"/>
      <c r="G155" s="4341"/>
      <c r="H155" s="4289"/>
      <c r="I155" s="4289"/>
      <c r="J155" s="4343"/>
      <c r="K155" s="4343"/>
      <c r="L155" s="4289"/>
      <c r="M155" s="1666" t="s">
        <v>539</v>
      </c>
      <c r="N155" s="1666" t="s">
        <v>540</v>
      </c>
      <c r="O155" s="1594"/>
      <c r="P155" s="1594">
        <v>780</v>
      </c>
      <c r="Q155" s="1594"/>
      <c r="R155" s="1594"/>
      <c r="S155" s="1594"/>
      <c r="T155" s="1594"/>
      <c r="U155" s="1594"/>
      <c r="V155" s="1594"/>
      <c r="W155" s="1594"/>
      <c r="X155" s="1594"/>
      <c r="Y155" s="1594"/>
      <c r="Z155" s="1594"/>
      <c r="AA155" s="1592">
        <f>SUM(P155:Z155)</f>
        <v>780</v>
      </c>
    </row>
    <row r="156" spans="1:27" ht="24" x14ac:dyDescent="0.25">
      <c r="A156" s="178"/>
      <c r="B156" s="3156"/>
      <c r="C156" s="4289"/>
      <c r="D156" s="4289"/>
      <c r="E156" s="4338"/>
      <c r="F156" s="4341"/>
      <c r="G156" s="4341"/>
      <c r="H156" s="4289"/>
      <c r="I156" s="4289"/>
      <c r="J156" s="4343"/>
      <c r="K156" s="4343"/>
      <c r="L156" s="4289"/>
      <c r="M156" s="1666" t="s">
        <v>541</v>
      </c>
      <c r="N156" s="1666" t="s">
        <v>542</v>
      </c>
      <c r="O156" s="1594"/>
      <c r="P156" s="1594"/>
      <c r="Q156" s="1594"/>
      <c r="R156" s="1594"/>
      <c r="S156" s="1594">
        <v>274</v>
      </c>
      <c r="T156" s="1594"/>
      <c r="U156" s="1594">
        <v>274</v>
      </c>
      <c r="V156" s="1594">
        <v>272</v>
      </c>
      <c r="W156" s="1594"/>
      <c r="X156" s="1594"/>
      <c r="Y156" s="1594"/>
      <c r="Z156" s="1594"/>
      <c r="AA156" s="1592">
        <f>SUM(S156:Z156)</f>
        <v>820</v>
      </c>
    </row>
    <row r="157" spans="1:27" ht="36" x14ac:dyDescent="0.25">
      <c r="A157" s="178"/>
      <c r="B157" s="3156"/>
      <c r="C157" s="4289"/>
      <c r="D157" s="4289"/>
      <c r="E157" s="4338"/>
      <c r="F157" s="4341"/>
      <c r="G157" s="4341"/>
      <c r="H157" s="4289"/>
      <c r="I157" s="4289"/>
      <c r="J157" s="4343"/>
      <c r="K157" s="4343"/>
      <c r="L157" s="4289"/>
      <c r="M157" s="1666" t="s">
        <v>194</v>
      </c>
      <c r="N157" s="1666" t="s">
        <v>543</v>
      </c>
      <c r="O157" s="1594"/>
      <c r="P157" s="1594"/>
      <c r="Q157" s="1594"/>
      <c r="R157" s="1594"/>
      <c r="S157" s="1594">
        <v>834</v>
      </c>
      <c r="T157" s="1594"/>
      <c r="U157" s="1594">
        <v>834</v>
      </c>
      <c r="V157" s="1594">
        <v>832</v>
      </c>
      <c r="W157" s="1594"/>
      <c r="X157" s="1594"/>
      <c r="Y157" s="1594"/>
      <c r="Z157" s="1594"/>
      <c r="AA157" s="1592"/>
    </row>
    <row r="158" spans="1:27" ht="24" x14ac:dyDescent="0.25">
      <c r="A158" s="178"/>
      <c r="B158" s="3156"/>
      <c r="C158" s="4289"/>
      <c r="D158" s="4289"/>
      <c r="E158" s="4338"/>
      <c r="F158" s="4341"/>
      <c r="G158" s="4341"/>
      <c r="H158" s="4289"/>
      <c r="I158" s="4289"/>
      <c r="J158" s="4343"/>
      <c r="K158" s="4343"/>
      <c r="L158" s="4289"/>
      <c r="M158" s="1666" t="s">
        <v>544</v>
      </c>
      <c r="N158" s="1666" t="s">
        <v>545</v>
      </c>
      <c r="O158" s="1594">
        <v>2713</v>
      </c>
      <c r="P158" s="1594">
        <v>2713</v>
      </c>
      <c r="Q158" s="1594">
        <v>2713</v>
      </c>
      <c r="R158" s="1594">
        <v>2713</v>
      </c>
      <c r="S158" s="1594">
        <v>2713</v>
      </c>
      <c r="T158" s="1594">
        <v>2713</v>
      </c>
      <c r="U158" s="1594">
        <v>2713</v>
      </c>
      <c r="V158" s="1594">
        <v>2713</v>
      </c>
      <c r="W158" s="1594">
        <v>2713</v>
      </c>
      <c r="X158" s="1594">
        <v>2713</v>
      </c>
      <c r="Y158" s="1594">
        <v>2713</v>
      </c>
      <c r="Z158" s="1594">
        <v>2713</v>
      </c>
      <c r="AA158" s="1592">
        <f>SUM(O158:Z158)</f>
        <v>32556</v>
      </c>
    </row>
    <row r="159" spans="1:27" ht="24" x14ac:dyDescent="0.25">
      <c r="A159" s="178"/>
      <c r="B159" s="3156"/>
      <c r="C159" s="4289"/>
      <c r="D159" s="4289"/>
      <c r="E159" s="4338"/>
      <c r="F159" s="4341"/>
      <c r="G159" s="4341"/>
      <c r="H159" s="4289"/>
      <c r="I159" s="4289"/>
      <c r="J159" s="4343"/>
      <c r="K159" s="4343"/>
      <c r="L159" s="4289"/>
      <c r="M159" s="1666" t="s">
        <v>200</v>
      </c>
      <c r="N159" s="1666" t="s">
        <v>546</v>
      </c>
      <c r="O159" s="1594"/>
      <c r="P159" s="1594"/>
      <c r="Q159" s="1594">
        <v>1170</v>
      </c>
      <c r="R159" s="1594"/>
      <c r="S159" s="1594"/>
      <c r="T159" s="1594"/>
      <c r="U159" s="1594"/>
      <c r="V159" s="1594"/>
      <c r="W159" s="1594"/>
      <c r="X159" s="1594"/>
      <c r="Y159" s="1594"/>
      <c r="Z159" s="1594"/>
      <c r="AA159" s="1592"/>
    </row>
    <row r="160" spans="1:27" ht="24" x14ac:dyDescent="0.25">
      <c r="A160" s="178"/>
      <c r="B160" s="3156"/>
      <c r="C160" s="4289"/>
      <c r="D160" s="4289"/>
      <c r="E160" s="4338"/>
      <c r="F160" s="4341"/>
      <c r="G160" s="4341"/>
      <c r="H160" s="4289"/>
      <c r="I160" s="4289"/>
      <c r="J160" s="4343"/>
      <c r="K160" s="4343"/>
      <c r="L160" s="4289"/>
      <c r="M160" s="1666" t="s">
        <v>222</v>
      </c>
      <c r="N160" s="1666" t="s">
        <v>547</v>
      </c>
      <c r="O160" s="1594"/>
      <c r="P160" s="1594">
        <v>1850</v>
      </c>
      <c r="Q160" s="1594"/>
      <c r="R160" s="1594"/>
      <c r="S160" s="1594"/>
      <c r="T160" s="1595"/>
      <c r="U160" s="1594"/>
      <c r="V160" s="1594"/>
      <c r="W160" s="1594"/>
      <c r="X160" s="1594"/>
      <c r="Y160" s="1594"/>
      <c r="Z160" s="1594"/>
      <c r="AA160" s="1592">
        <f>SUM(P160:Z160)</f>
        <v>1850</v>
      </c>
    </row>
    <row r="161" spans="1:27" ht="36" x14ac:dyDescent="0.25">
      <c r="A161" s="178"/>
      <c r="B161" s="3156"/>
      <c r="C161" s="4289"/>
      <c r="D161" s="4289"/>
      <c r="E161" s="4338"/>
      <c r="F161" s="4341"/>
      <c r="G161" s="4341"/>
      <c r="H161" s="4289"/>
      <c r="I161" s="4289"/>
      <c r="J161" s="4343"/>
      <c r="K161" s="4343"/>
      <c r="L161" s="4289"/>
      <c r="M161" s="1666" t="s">
        <v>226</v>
      </c>
      <c r="N161" s="1666" t="s">
        <v>548</v>
      </c>
      <c r="O161" s="1595"/>
      <c r="P161" s="1595"/>
      <c r="Q161" s="1595">
        <v>5410</v>
      </c>
      <c r="R161" s="1595"/>
      <c r="S161" s="1595"/>
      <c r="T161" s="1595"/>
      <c r="U161" s="1595"/>
      <c r="V161" s="1595"/>
      <c r="W161" s="1595"/>
      <c r="X161" s="1595"/>
      <c r="Y161" s="1595"/>
      <c r="Z161" s="1595"/>
      <c r="AA161" s="1596">
        <f>SUM(Q161:Z161)</f>
        <v>5410</v>
      </c>
    </row>
    <row r="162" spans="1:27" ht="24" x14ac:dyDescent="0.25">
      <c r="A162" s="178"/>
      <c r="B162" s="3156"/>
      <c r="C162" s="4289"/>
      <c r="D162" s="4289"/>
      <c r="E162" s="4338"/>
      <c r="F162" s="4341"/>
      <c r="G162" s="4341"/>
      <c r="H162" s="4289"/>
      <c r="I162" s="4289"/>
      <c r="J162" s="4343"/>
      <c r="K162" s="4343"/>
      <c r="L162" s="4289"/>
      <c r="M162" s="1666" t="s">
        <v>549</v>
      </c>
      <c r="N162" s="1666" t="s">
        <v>550</v>
      </c>
      <c r="O162" s="1594">
        <v>1175</v>
      </c>
      <c r="P162" s="1594">
        <v>1174</v>
      </c>
      <c r="Q162" s="1594">
        <v>1174</v>
      </c>
      <c r="R162" s="1594">
        <v>1174</v>
      </c>
      <c r="S162" s="1594">
        <v>1174</v>
      </c>
      <c r="T162" s="1594">
        <v>1174</v>
      </c>
      <c r="U162" s="1594">
        <v>1174</v>
      </c>
      <c r="V162" s="1594">
        <v>1174</v>
      </c>
      <c r="W162" s="1594">
        <v>1174</v>
      </c>
      <c r="X162" s="1594">
        <v>1174</v>
      </c>
      <c r="Y162" s="1594">
        <v>1174</v>
      </c>
      <c r="Z162" s="1594">
        <v>1174</v>
      </c>
      <c r="AA162" s="1592">
        <f>SUM(O162:Z162)</f>
        <v>14089</v>
      </c>
    </row>
    <row r="163" spans="1:27" x14ac:dyDescent="0.25">
      <c r="A163" s="178"/>
      <c r="B163" s="3156"/>
      <c r="C163" s="4289"/>
      <c r="D163" s="4289"/>
      <c r="E163" s="4338"/>
      <c r="F163" s="4341"/>
      <c r="G163" s="4341"/>
      <c r="H163" s="4289"/>
      <c r="I163" s="4289"/>
      <c r="J163" s="4343"/>
      <c r="K163" s="4343"/>
      <c r="L163" s="4289"/>
      <c r="M163" s="1666" t="s">
        <v>551</v>
      </c>
      <c r="N163" s="1666" t="s">
        <v>552</v>
      </c>
      <c r="O163" s="1594"/>
      <c r="P163" s="1594"/>
      <c r="Q163" s="1594">
        <v>4950</v>
      </c>
      <c r="R163" s="1594"/>
      <c r="S163" s="1594"/>
      <c r="T163" s="1594"/>
      <c r="U163" s="1594"/>
      <c r="V163" s="1594"/>
      <c r="W163" s="1594"/>
      <c r="X163" s="1594"/>
      <c r="Y163" s="1594"/>
      <c r="Z163" s="1594"/>
      <c r="AA163" s="1592">
        <f>SUM(Q163:Z163)</f>
        <v>4950</v>
      </c>
    </row>
    <row r="164" spans="1:27" ht="24" x14ac:dyDescent="0.25">
      <c r="A164" s="178"/>
      <c r="B164" s="3156"/>
      <c r="C164" s="4289"/>
      <c r="D164" s="4289"/>
      <c r="E164" s="4338"/>
      <c r="F164" s="4341"/>
      <c r="G164" s="4341"/>
      <c r="H164" s="4289"/>
      <c r="I164" s="4289"/>
      <c r="J164" s="4343"/>
      <c r="K164" s="4343"/>
      <c r="L164" s="4289"/>
      <c r="M164" s="1666" t="s">
        <v>206</v>
      </c>
      <c r="N164" s="1666" t="s">
        <v>207</v>
      </c>
      <c r="O164" s="1594">
        <v>582</v>
      </c>
      <c r="P164" s="1594">
        <v>584</v>
      </c>
      <c r="Q164" s="1594">
        <v>584</v>
      </c>
      <c r="R164" s="1594">
        <v>583</v>
      </c>
      <c r="S164" s="1594">
        <v>584</v>
      </c>
      <c r="T164" s="1594">
        <v>584</v>
      </c>
      <c r="U164" s="1594">
        <v>582</v>
      </c>
      <c r="V164" s="1594">
        <v>584</v>
      </c>
      <c r="W164" s="1594">
        <v>581</v>
      </c>
      <c r="X164" s="1594">
        <v>584</v>
      </c>
      <c r="Y164" s="1594">
        <v>584</v>
      </c>
      <c r="Z164" s="1594">
        <v>584</v>
      </c>
      <c r="AA164" s="1592">
        <f>SUM(O164:Z164)</f>
        <v>7000</v>
      </c>
    </row>
    <row r="165" spans="1:27" ht="36" x14ac:dyDescent="0.25">
      <c r="A165" s="178"/>
      <c r="B165" s="3156"/>
      <c r="C165" s="4289"/>
      <c r="D165" s="4289"/>
      <c r="E165" s="4338"/>
      <c r="F165" s="4341"/>
      <c r="G165" s="4341"/>
      <c r="H165" s="4289"/>
      <c r="I165" s="4289"/>
      <c r="J165" s="4343"/>
      <c r="K165" s="4343"/>
      <c r="L165" s="4289"/>
      <c r="M165" s="1666" t="s">
        <v>208</v>
      </c>
      <c r="N165" s="1666" t="s">
        <v>553</v>
      </c>
      <c r="O165" s="1594">
        <v>8470</v>
      </c>
      <c r="P165" s="1594">
        <v>8469</v>
      </c>
      <c r="Q165" s="1594">
        <v>8469</v>
      </c>
      <c r="R165" s="1594">
        <v>8473</v>
      </c>
      <c r="S165" s="1594">
        <v>8469</v>
      </c>
      <c r="T165" s="1594">
        <v>8470</v>
      </c>
      <c r="U165" s="1594">
        <v>8469</v>
      </c>
      <c r="V165" s="1594">
        <v>8469</v>
      </c>
      <c r="W165" s="1594">
        <v>8469</v>
      </c>
      <c r="X165" s="1594">
        <v>8469</v>
      </c>
      <c r="Y165" s="1594">
        <v>8469</v>
      </c>
      <c r="Z165" s="1594">
        <v>8469</v>
      </c>
      <c r="AA165" s="1592">
        <f>SUM(O165:Z165)</f>
        <v>101634</v>
      </c>
    </row>
    <row r="166" spans="1:27" ht="36" x14ac:dyDescent="0.25">
      <c r="A166" s="178"/>
      <c r="B166" s="3156"/>
      <c r="C166" s="4289"/>
      <c r="D166" s="4289"/>
      <c r="E166" s="4338"/>
      <c r="F166" s="4341"/>
      <c r="G166" s="4341"/>
      <c r="H166" s="4289"/>
      <c r="I166" s="4289"/>
      <c r="J166" s="4343"/>
      <c r="K166" s="4343"/>
      <c r="L166" s="4289"/>
      <c r="M166" s="1666" t="s">
        <v>210</v>
      </c>
      <c r="N166" s="1666" t="s">
        <v>554</v>
      </c>
      <c r="O166" s="1594">
        <v>643</v>
      </c>
      <c r="P166" s="1594">
        <v>640</v>
      </c>
      <c r="Q166" s="1594">
        <v>640</v>
      </c>
      <c r="R166" s="1594">
        <v>640</v>
      </c>
      <c r="S166" s="1594">
        <v>640</v>
      </c>
      <c r="T166" s="1594">
        <v>642</v>
      </c>
      <c r="U166" s="1594">
        <v>640</v>
      </c>
      <c r="V166" s="1594">
        <v>640</v>
      </c>
      <c r="W166" s="1594">
        <v>640</v>
      </c>
      <c r="X166" s="1594">
        <v>640</v>
      </c>
      <c r="Y166" s="1594">
        <v>640</v>
      </c>
      <c r="Z166" s="1594">
        <v>640</v>
      </c>
      <c r="AA166" s="1592">
        <f>SUM(O166:Z166)</f>
        <v>7685</v>
      </c>
    </row>
    <row r="167" spans="1:27" x14ac:dyDescent="0.25">
      <c r="A167" s="178"/>
      <c r="B167" s="3157"/>
      <c r="C167" s="2358"/>
      <c r="D167" s="2358"/>
      <c r="E167" s="4339"/>
      <c r="F167" s="4342"/>
      <c r="G167" s="4342"/>
      <c r="H167" s="2358"/>
      <c r="I167" s="2358"/>
      <c r="J167" s="2356"/>
      <c r="K167" s="2356"/>
      <c r="L167" s="2358"/>
      <c r="M167" s="1666" t="s">
        <v>555</v>
      </c>
      <c r="N167" s="1666" t="s">
        <v>556</v>
      </c>
      <c r="O167" s="1594"/>
      <c r="P167" s="1594"/>
      <c r="Q167" s="1594">
        <v>12290</v>
      </c>
      <c r="R167" s="1594"/>
      <c r="S167" s="1594"/>
      <c r="T167" s="1594"/>
      <c r="U167" s="1594"/>
      <c r="V167" s="1594"/>
      <c r="W167" s="1594"/>
      <c r="X167" s="1594"/>
      <c r="Y167" s="1594"/>
      <c r="Z167" s="1594"/>
      <c r="AA167" s="1592">
        <f>SUM(Q167:Z167)</f>
        <v>12290</v>
      </c>
    </row>
    <row r="168" spans="1:27" ht="27" customHeight="1" x14ac:dyDescent="0.25">
      <c r="B168" s="1546" t="s">
        <v>8</v>
      </c>
      <c r="C168" s="2075" t="s">
        <v>2978</v>
      </c>
      <c r="D168" s="2076"/>
      <c r="E168" s="721"/>
      <c r="F168" s="701"/>
      <c r="G168" s="701"/>
      <c r="H168" s="701"/>
      <c r="I168" s="701"/>
      <c r="J168" s="701"/>
      <c r="K168" s="701"/>
      <c r="L168" s="701"/>
      <c r="M168" s="701"/>
      <c r="N168" s="701"/>
      <c r="O168" s="701"/>
      <c r="P168" s="701"/>
      <c r="Q168" s="1451"/>
      <c r="R168" s="712"/>
      <c r="S168" s="712"/>
      <c r="T168" s="712"/>
      <c r="U168" s="712"/>
      <c r="V168" s="701"/>
      <c r="W168" s="701"/>
      <c r="X168" s="701"/>
      <c r="Y168" s="701"/>
      <c r="Z168" s="701"/>
      <c r="AA168" s="713"/>
    </row>
    <row r="169" spans="1:27" x14ac:dyDescent="0.25">
      <c r="B169" s="685" t="s">
        <v>11</v>
      </c>
      <c r="C169" s="690" t="s">
        <v>230</v>
      </c>
      <c r="D169" s="20"/>
      <c r="E169" s="21"/>
      <c r="F169" s="20"/>
      <c r="G169" s="20"/>
      <c r="H169" s="20"/>
      <c r="I169" s="20"/>
      <c r="J169" s="20"/>
      <c r="K169" s="20"/>
      <c r="L169" s="20"/>
      <c r="M169" s="20"/>
      <c r="N169" s="20"/>
      <c r="O169" s="20"/>
      <c r="P169" s="20"/>
      <c r="Q169" s="43"/>
      <c r="R169" s="43"/>
      <c r="S169" s="43"/>
      <c r="T169" s="43"/>
      <c r="U169" s="43"/>
      <c r="V169" s="20"/>
      <c r="W169" s="20"/>
      <c r="X169" s="20"/>
      <c r="Y169" s="20"/>
      <c r="Z169" s="20"/>
      <c r="AA169" s="714"/>
    </row>
    <row r="170" spans="1:27" x14ac:dyDescent="0.25">
      <c r="B170" s="2913" t="s">
        <v>13</v>
      </c>
      <c r="C170" s="2993">
        <v>9001</v>
      </c>
      <c r="D170" s="3139" t="s">
        <v>230</v>
      </c>
      <c r="E170" s="3139"/>
      <c r="F170" s="28"/>
      <c r="G170" s="28"/>
      <c r="H170" s="28"/>
      <c r="I170" s="28"/>
      <c r="J170" s="28"/>
      <c r="K170" s="28"/>
      <c r="L170" s="28"/>
      <c r="M170" s="28"/>
      <c r="N170" s="708"/>
      <c r="O170" s="28"/>
      <c r="P170" s="28"/>
      <c r="Q170" s="544"/>
      <c r="R170" s="544"/>
      <c r="S170" s="544"/>
      <c r="T170" s="544"/>
      <c r="U170" s="544"/>
      <c r="V170" s="2922" t="s">
        <v>15</v>
      </c>
      <c r="W170" s="2922"/>
      <c r="X170" s="2922"/>
      <c r="Y170" s="2922"/>
      <c r="Z170" s="2974" t="s">
        <v>16</v>
      </c>
      <c r="AA170" s="2976"/>
    </row>
    <row r="171" spans="1:27" ht="7.5" customHeight="1" x14ac:dyDescent="0.25">
      <c r="B171" s="2913"/>
      <c r="C171" s="2915"/>
      <c r="D171" s="3139"/>
      <c r="E171" s="3139"/>
      <c r="F171" s="84"/>
      <c r="G171" s="84"/>
      <c r="H171" s="84"/>
      <c r="I171" s="84"/>
      <c r="J171" s="84"/>
      <c r="K171" s="84"/>
      <c r="L171" s="84"/>
      <c r="M171" s="84"/>
      <c r="N171" s="715"/>
      <c r="O171" s="84"/>
      <c r="P171" s="84"/>
      <c r="Q171" s="545"/>
      <c r="R171" s="545"/>
      <c r="S171" s="545"/>
      <c r="T171" s="545"/>
      <c r="U171" s="545"/>
      <c r="V171" s="3019" t="s">
        <v>1213</v>
      </c>
      <c r="W171" s="3328"/>
      <c r="X171" s="3328"/>
      <c r="Y171" s="3020"/>
      <c r="Z171" s="3019" t="s">
        <v>1213</v>
      </c>
      <c r="AA171" s="3020"/>
    </row>
    <row r="172" spans="1:27" ht="8.25" customHeight="1" x14ac:dyDescent="0.25">
      <c r="B172" s="2913"/>
      <c r="C172" s="2994"/>
      <c r="D172" s="3139"/>
      <c r="E172" s="3139"/>
      <c r="F172" s="31"/>
      <c r="G172" s="31"/>
      <c r="H172" s="31"/>
      <c r="I172" s="31"/>
      <c r="J172" s="31"/>
      <c r="K172" s="31"/>
      <c r="L172" s="31"/>
      <c r="M172" s="31"/>
      <c r="N172" s="710"/>
      <c r="O172" s="31"/>
      <c r="P172" s="31"/>
      <c r="Q172" s="546"/>
      <c r="R172" s="546"/>
      <c r="S172" s="546"/>
      <c r="T172" s="546"/>
      <c r="U172" s="546"/>
      <c r="V172" s="3023"/>
      <c r="W172" s="3337"/>
      <c r="X172" s="3337"/>
      <c r="Y172" s="3338"/>
      <c r="Z172" s="3023"/>
      <c r="AA172" s="3338"/>
    </row>
    <row r="173" spans="1:27" x14ac:dyDescent="0.25">
      <c r="B173" s="2913" t="s">
        <v>18</v>
      </c>
      <c r="C173" s="2993">
        <v>3999999</v>
      </c>
      <c r="D173" s="2840" t="s">
        <v>163</v>
      </c>
      <c r="E173" s="2840"/>
      <c r="F173" s="244"/>
      <c r="G173" s="244"/>
      <c r="H173" s="244"/>
      <c r="I173" s="244"/>
      <c r="J173" s="244"/>
      <c r="K173" s="244"/>
      <c r="L173" s="244"/>
      <c r="M173" s="244"/>
      <c r="N173" s="244"/>
      <c r="O173" s="244"/>
      <c r="P173" s="244"/>
      <c r="Q173" s="28"/>
      <c r="R173" s="28"/>
      <c r="S173" s="28"/>
      <c r="T173" s="28"/>
      <c r="U173" s="29"/>
      <c r="V173" s="2840" t="s">
        <v>15</v>
      </c>
      <c r="W173" s="2840"/>
      <c r="X173" s="2840"/>
      <c r="Y173" s="2840"/>
      <c r="Z173" s="2922" t="s">
        <v>16</v>
      </c>
      <c r="AA173" s="2922"/>
    </row>
    <row r="174" spans="1:27" x14ac:dyDescent="0.25">
      <c r="B174" s="2913"/>
      <c r="C174" s="2994"/>
      <c r="D174" s="2840"/>
      <c r="E174" s="2840"/>
      <c r="F174" s="248"/>
      <c r="G174" s="248"/>
      <c r="H174" s="248"/>
      <c r="I174" s="248"/>
      <c r="J174" s="248"/>
      <c r="K174" s="248"/>
      <c r="L174" s="248"/>
      <c r="M174" s="248"/>
      <c r="N174" s="248"/>
      <c r="O174" s="248"/>
      <c r="P174" s="248"/>
      <c r="Q174" s="31"/>
      <c r="R174" s="31"/>
      <c r="S174" s="31"/>
      <c r="T174" s="31"/>
      <c r="U174" s="22"/>
      <c r="V174" s="2671" t="s">
        <v>1213</v>
      </c>
      <c r="W174" s="2672"/>
      <c r="X174" s="2672"/>
      <c r="Y174" s="3002"/>
      <c r="Z174" s="2922" t="s">
        <v>1213</v>
      </c>
      <c r="AA174" s="2922"/>
    </row>
    <row r="175" spans="1:27" x14ac:dyDescent="0.25">
      <c r="B175" s="3516" t="s">
        <v>20</v>
      </c>
      <c r="C175" s="2847" t="s">
        <v>21</v>
      </c>
      <c r="D175" s="2847" t="s">
        <v>22</v>
      </c>
      <c r="E175" s="2847" t="s">
        <v>23</v>
      </c>
      <c r="F175" s="2847" t="s">
        <v>164</v>
      </c>
      <c r="G175" s="2847" t="s">
        <v>25</v>
      </c>
      <c r="H175" s="2847" t="s">
        <v>26</v>
      </c>
      <c r="I175" s="2847" t="s">
        <v>27</v>
      </c>
      <c r="J175" s="2986" t="s">
        <v>28</v>
      </c>
      <c r="K175" s="2987"/>
      <c r="L175" s="2847" t="s">
        <v>29</v>
      </c>
      <c r="M175" s="2986" t="s">
        <v>30</v>
      </c>
      <c r="N175" s="3142"/>
      <c r="O175" s="2990" t="s">
        <v>31</v>
      </c>
      <c r="P175" s="2991"/>
      <c r="Q175" s="2991"/>
      <c r="R175" s="2991"/>
      <c r="S175" s="2991"/>
      <c r="T175" s="2991"/>
      <c r="U175" s="2991"/>
      <c r="V175" s="2991"/>
      <c r="W175" s="2991"/>
      <c r="X175" s="2991"/>
      <c r="Y175" s="2991"/>
      <c r="Z175" s="2992"/>
      <c r="AA175" s="4114" t="s">
        <v>32</v>
      </c>
    </row>
    <row r="176" spans="1:27" x14ac:dyDescent="0.25">
      <c r="B176" s="3516"/>
      <c r="C176" s="2847"/>
      <c r="D176" s="2847"/>
      <c r="E176" s="2847"/>
      <c r="F176" s="2847"/>
      <c r="G176" s="2847"/>
      <c r="H176" s="2847"/>
      <c r="I176" s="2847"/>
      <c r="J176" s="683" t="s">
        <v>33</v>
      </c>
      <c r="K176" s="683" t="s">
        <v>34</v>
      </c>
      <c r="L176" s="2847"/>
      <c r="M176" s="3000"/>
      <c r="N176" s="3143"/>
      <c r="O176" s="691" t="s">
        <v>35</v>
      </c>
      <c r="P176" s="691" t="s">
        <v>36</v>
      </c>
      <c r="Q176" s="691" t="s">
        <v>37</v>
      </c>
      <c r="R176" s="691" t="s">
        <v>38</v>
      </c>
      <c r="S176" s="691" t="s">
        <v>39</v>
      </c>
      <c r="T176" s="691" t="s">
        <v>40</v>
      </c>
      <c r="U176" s="691" t="s">
        <v>41</v>
      </c>
      <c r="V176" s="691" t="s">
        <v>42</v>
      </c>
      <c r="W176" s="691" t="s">
        <v>43</v>
      </c>
      <c r="X176" s="691" t="s">
        <v>44</v>
      </c>
      <c r="Y176" s="691" t="s">
        <v>45</v>
      </c>
      <c r="Z176" s="691" t="s">
        <v>46</v>
      </c>
      <c r="AA176" s="4114"/>
    </row>
    <row r="177" spans="1:27" x14ac:dyDescent="0.25">
      <c r="A177" s="513"/>
      <c r="B177" s="4020" t="s">
        <v>1214</v>
      </c>
      <c r="C177" s="4528" t="s">
        <v>1085</v>
      </c>
      <c r="D177" s="3171" t="s">
        <v>2979</v>
      </c>
      <c r="E177" s="4531" t="s">
        <v>48</v>
      </c>
      <c r="F177" s="4534" t="s">
        <v>165</v>
      </c>
      <c r="G177" s="4534" t="s">
        <v>2980</v>
      </c>
      <c r="H177" s="3171" t="s">
        <v>2981</v>
      </c>
      <c r="I177" s="3171" t="s">
        <v>2982</v>
      </c>
      <c r="J177" s="4445">
        <v>35</v>
      </c>
      <c r="K177" s="4445">
        <v>53047</v>
      </c>
      <c r="L177" s="3171" t="s">
        <v>1216</v>
      </c>
      <c r="M177" s="1550" t="s">
        <v>51</v>
      </c>
      <c r="N177" s="1551"/>
      <c r="O177" s="767"/>
      <c r="P177" s="767">
        <v>35</v>
      </c>
      <c r="Q177" s="767">
        <v>10</v>
      </c>
      <c r="R177" s="767">
        <v>35</v>
      </c>
      <c r="S177" s="767"/>
      <c r="T177" s="767"/>
      <c r="U177" s="767"/>
      <c r="V177" s="767"/>
      <c r="W177" s="767"/>
      <c r="X177" s="767"/>
      <c r="Y177" s="767"/>
      <c r="Z177" s="767"/>
      <c r="AA177" s="762">
        <v>35</v>
      </c>
    </row>
    <row r="178" spans="1:27" ht="24" x14ac:dyDescent="0.25">
      <c r="A178" s="513"/>
      <c r="B178" s="4021"/>
      <c r="C178" s="4529"/>
      <c r="D178" s="3172"/>
      <c r="E178" s="4532"/>
      <c r="F178" s="4535"/>
      <c r="G178" s="4535"/>
      <c r="H178" s="3172"/>
      <c r="I178" s="3172"/>
      <c r="J178" s="4446"/>
      <c r="K178" s="4446"/>
      <c r="L178" s="3172"/>
      <c r="M178" s="1552" t="s">
        <v>111</v>
      </c>
      <c r="N178" s="1551"/>
      <c r="O178" s="767">
        <f t="shared" ref="O178:Z178" si="1">SUM(O179:O186)</f>
        <v>0</v>
      </c>
      <c r="P178" s="767">
        <f t="shared" si="1"/>
        <v>9261</v>
      </c>
      <c r="Q178" s="767">
        <f t="shared" si="1"/>
        <v>5400</v>
      </c>
      <c r="R178" s="767">
        <f t="shared" si="1"/>
        <v>35921</v>
      </c>
      <c r="S178" s="767">
        <f t="shared" si="1"/>
        <v>1232.5</v>
      </c>
      <c r="T178" s="767">
        <f t="shared" si="1"/>
        <v>0</v>
      </c>
      <c r="U178" s="767">
        <f t="shared" si="1"/>
        <v>0</v>
      </c>
      <c r="V178" s="767">
        <f t="shared" si="1"/>
        <v>0</v>
      </c>
      <c r="W178" s="767">
        <f t="shared" si="1"/>
        <v>0</v>
      </c>
      <c r="X178" s="767">
        <f t="shared" si="1"/>
        <v>1232.5</v>
      </c>
      <c r="Y178" s="767">
        <f t="shared" si="1"/>
        <v>0</v>
      </c>
      <c r="Z178" s="767">
        <f t="shared" si="1"/>
        <v>0</v>
      </c>
      <c r="AA178" s="762">
        <f t="shared" ref="AA178:AA209" si="2">SUM(O178:Z178)</f>
        <v>53047</v>
      </c>
    </row>
    <row r="179" spans="1:27" ht="24" x14ac:dyDescent="0.25">
      <c r="A179" s="513"/>
      <c r="B179" s="4021"/>
      <c r="C179" s="4529"/>
      <c r="D179" s="3172"/>
      <c r="E179" s="4532"/>
      <c r="F179" s="4535"/>
      <c r="G179" s="4535"/>
      <c r="H179" s="3172"/>
      <c r="I179" s="3172"/>
      <c r="J179" s="4446"/>
      <c r="K179" s="4446"/>
      <c r="L179" s="3172"/>
      <c r="M179" s="1553" t="s">
        <v>1217</v>
      </c>
      <c r="N179" s="765" t="s">
        <v>2983</v>
      </c>
      <c r="O179" s="1554"/>
      <c r="P179" s="1554"/>
      <c r="Q179" s="1554">
        <v>1000</v>
      </c>
      <c r="R179" s="1554"/>
      <c r="S179" s="1554"/>
      <c r="T179" s="1554"/>
      <c r="U179" s="1554"/>
      <c r="V179" s="1554"/>
      <c r="W179" s="1554"/>
      <c r="X179" s="1554"/>
      <c r="Y179" s="1554"/>
      <c r="Z179" s="1554"/>
      <c r="AA179" s="1555">
        <f t="shared" si="2"/>
        <v>1000</v>
      </c>
    </row>
    <row r="180" spans="1:27" ht="36" x14ac:dyDescent="0.25">
      <c r="A180" s="513"/>
      <c r="B180" s="4021"/>
      <c r="C180" s="4529"/>
      <c r="D180" s="3172"/>
      <c r="E180" s="4532"/>
      <c r="F180" s="4535"/>
      <c r="G180" s="4535"/>
      <c r="H180" s="3172"/>
      <c r="I180" s="3172"/>
      <c r="J180" s="4446"/>
      <c r="K180" s="4446"/>
      <c r="L180" s="3172"/>
      <c r="M180" s="765" t="s">
        <v>1219</v>
      </c>
      <c r="N180" s="765" t="s">
        <v>1463</v>
      </c>
      <c r="O180" s="767"/>
      <c r="P180" s="763"/>
      <c r="Q180" s="763"/>
      <c r="R180" s="763">
        <v>35921</v>
      </c>
      <c r="S180" s="763"/>
      <c r="T180" s="763"/>
      <c r="U180" s="763"/>
      <c r="V180" s="763"/>
      <c r="W180" s="763"/>
      <c r="X180" s="763"/>
      <c r="Y180" s="763"/>
      <c r="Z180" s="763"/>
      <c r="AA180" s="1556">
        <f t="shared" si="2"/>
        <v>35921</v>
      </c>
    </row>
    <row r="181" spans="1:27" ht="25.5" customHeight="1" x14ac:dyDescent="0.25">
      <c r="A181" s="513"/>
      <c r="B181" s="4021"/>
      <c r="C181" s="4529"/>
      <c r="D181" s="3172"/>
      <c r="E181" s="4532"/>
      <c r="F181" s="4535"/>
      <c r="G181" s="4535"/>
      <c r="H181" s="3172"/>
      <c r="I181" s="3172"/>
      <c r="J181" s="4446"/>
      <c r="K181" s="4446"/>
      <c r="L181" s="3172"/>
      <c r="M181" s="765" t="s">
        <v>1221</v>
      </c>
      <c r="N181" s="765" t="s">
        <v>216</v>
      </c>
      <c r="O181" s="767"/>
      <c r="P181" s="763"/>
      <c r="Q181" s="763">
        <v>4400</v>
      </c>
      <c r="R181" s="763"/>
      <c r="S181" s="763"/>
      <c r="T181" s="763"/>
      <c r="U181" s="763"/>
      <c r="V181" s="763"/>
      <c r="W181" s="763"/>
      <c r="X181" s="763"/>
      <c r="Y181" s="763"/>
      <c r="Z181" s="763"/>
      <c r="AA181" s="1556">
        <f t="shared" si="2"/>
        <v>4400</v>
      </c>
    </row>
    <row r="182" spans="1:27" x14ac:dyDescent="0.25">
      <c r="A182" s="513"/>
      <c r="B182" s="4021"/>
      <c r="C182" s="4529"/>
      <c r="D182" s="3172"/>
      <c r="E182" s="4532"/>
      <c r="F182" s="4535"/>
      <c r="G182" s="4535"/>
      <c r="H182" s="3172"/>
      <c r="I182" s="3172"/>
      <c r="J182" s="4446"/>
      <c r="K182" s="4446"/>
      <c r="L182" s="3172"/>
      <c r="M182" s="765" t="s">
        <v>1223</v>
      </c>
      <c r="N182" s="765" t="s">
        <v>218</v>
      </c>
      <c r="O182" s="767"/>
      <c r="P182" s="763"/>
      <c r="Q182" s="763"/>
      <c r="R182" s="763"/>
      <c r="S182" s="763">
        <v>1232.5</v>
      </c>
      <c r="T182" s="763"/>
      <c r="U182" s="763"/>
      <c r="V182" s="763"/>
      <c r="W182" s="763"/>
      <c r="X182" s="763">
        <v>1232.5</v>
      </c>
      <c r="Y182" s="763"/>
      <c r="Z182" s="763"/>
      <c r="AA182" s="1556">
        <f t="shared" si="2"/>
        <v>2465</v>
      </c>
    </row>
    <row r="183" spans="1:27" ht="24" x14ac:dyDescent="0.25">
      <c r="A183" s="513"/>
      <c r="B183" s="4021"/>
      <c r="C183" s="4529"/>
      <c r="D183" s="3172"/>
      <c r="E183" s="4532"/>
      <c r="F183" s="4535"/>
      <c r="G183" s="4535"/>
      <c r="H183" s="3172"/>
      <c r="I183" s="3172"/>
      <c r="J183" s="4446"/>
      <c r="K183" s="4446"/>
      <c r="L183" s="3172"/>
      <c r="M183" s="765" t="s">
        <v>1225</v>
      </c>
      <c r="N183" s="765" t="s">
        <v>2984</v>
      </c>
      <c r="O183" s="767"/>
      <c r="P183" s="763">
        <v>1000</v>
      </c>
      <c r="Q183" s="763"/>
      <c r="R183" s="763"/>
      <c r="S183" s="763"/>
      <c r="T183" s="763"/>
      <c r="U183" s="763"/>
      <c r="V183" s="763"/>
      <c r="W183" s="763"/>
      <c r="X183" s="763"/>
      <c r="Y183" s="763"/>
      <c r="Z183" s="763"/>
      <c r="AA183" s="1556">
        <f t="shared" si="2"/>
        <v>1000</v>
      </c>
    </row>
    <row r="184" spans="1:27" ht="24" x14ac:dyDescent="0.25">
      <c r="A184" s="513"/>
      <c r="B184" s="4021"/>
      <c r="C184" s="4529"/>
      <c r="D184" s="3172"/>
      <c r="E184" s="4532"/>
      <c r="F184" s="4535"/>
      <c r="G184" s="4535"/>
      <c r="H184" s="3172"/>
      <c r="I184" s="3172"/>
      <c r="J184" s="4446"/>
      <c r="K184" s="4446"/>
      <c r="L184" s="3172"/>
      <c r="M184" s="765" t="s">
        <v>1227</v>
      </c>
      <c r="N184" s="765" t="s">
        <v>2985</v>
      </c>
      <c r="O184" s="767"/>
      <c r="P184" s="763">
        <v>5351</v>
      </c>
      <c r="Q184" s="763"/>
      <c r="R184" s="763"/>
      <c r="S184" s="763"/>
      <c r="T184" s="763"/>
      <c r="U184" s="763"/>
      <c r="V184" s="763"/>
      <c r="W184" s="763"/>
      <c r="X184" s="763"/>
      <c r="Y184" s="763"/>
      <c r="Z184" s="763"/>
      <c r="AA184" s="1556">
        <f t="shared" si="2"/>
        <v>5351</v>
      </c>
    </row>
    <row r="185" spans="1:27" ht="24" x14ac:dyDescent="0.25">
      <c r="A185" s="513"/>
      <c r="B185" s="4021"/>
      <c r="C185" s="4529"/>
      <c r="D185" s="3172"/>
      <c r="E185" s="4532"/>
      <c r="F185" s="4535"/>
      <c r="G185" s="4535"/>
      <c r="H185" s="3172"/>
      <c r="I185" s="3172"/>
      <c r="J185" s="4446"/>
      <c r="K185" s="4446"/>
      <c r="L185" s="3172"/>
      <c r="M185" s="765" t="s">
        <v>1228</v>
      </c>
      <c r="N185" s="765" t="s">
        <v>2479</v>
      </c>
      <c r="O185" s="767"/>
      <c r="P185" s="763">
        <v>1000</v>
      </c>
      <c r="Q185" s="763"/>
      <c r="R185" s="763"/>
      <c r="S185" s="763"/>
      <c r="T185" s="763"/>
      <c r="U185" s="763"/>
      <c r="V185" s="763"/>
      <c r="W185" s="763"/>
      <c r="X185" s="763"/>
      <c r="Y185" s="763"/>
      <c r="Z185" s="763"/>
      <c r="AA185" s="1556">
        <f t="shared" si="2"/>
        <v>1000</v>
      </c>
    </row>
    <row r="186" spans="1:27" ht="34.5" customHeight="1" x14ac:dyDescent="0.25">
      <c r="A186" s="513"/>
      <c r="B186" s="4527"/>
      <c r="C186" s="4530"/>
      <c r="D186" s="3173"/>
      <c r="E186" s="4533"/>
      <c r="F186" s="4536"/>
      <c r="G186" s="4536"/>
      <c r="H186" s="3173"/>
      <c r="I186" s="3173"/>
      <c r="J186" s="4447"/>
      <c r="K186" s="4447"/>
      <c r="L186" s="3173"/>
      <c r="M186" s="765" t="s">
        <v>1230</v>
      </c>
      <c r="N186" s="765" t="s">
        <v>2986</v>
      </c>
      <c r="O186" s="767"/>
      <c r="P186" s="763">
        <v>1910</v>
      </c>
      <c r="Q186" s="763"/>
      <c r="R186" s="763"/>
      <c r="S186" s="763"/>
      <c r="T186" s="763"/>
      <c r="U186" s="763"/>
      <c r="V186" s="763"/>
      <c r="W186" s="763"/>
      <c r="X186" s="763"/>
      <c r="Y186" s="763"/>
      <c r="Z186" s="763"/>
      <c r="AA186" s="1557">
        <f t="shared" si="2"/>
        <v>1910</v>
      </c>
    </row>
    <row r="187" spans="1:27" x14ac:dyDescent="0.25">
      <c r="A187" s="513"/>
      <c r="B187" s="4543" t="s">
        <v>1214</v>
      </c>
      <c r="C187" s="4546" t="s">
        <v>1214</v>
      </c>
      <c r="D187" s="3171" t="s">
        <v>2988</v>
      </c>
      <c r="E187" s="4531" t="s">
        <v>48</v>
      </c>
      <c r="F187" s="4534" t="s">
        <v>165</v>
      </c>
      <c r="G187" s="3171" t="s">
        <v>2980</v>
      </c>
      <c r="H187" s="3171" t="s">
        <v>1232</v>
      </c>
      <c r="I187" s="3171" t="s">
        <v>1233</v>
      </c>
      <c r="J187" s="3171">
        <v>2</v>
      </c>
      <c r="K187" s="4445">
        <v>12117</v>
      </c>
      <c r="L187" s="3171" t="s">
        <v>1234</v>
      </c>
      <c r="M187" s="4525" t="s">
        <v>51</v>
      </c>
      <c r="N187" s="4526"/>
      <c r="O187" s="767"/>
      <c r="P187" s="767"/>
      <c r="Q187" s="767"/>
      <c r="R187" s="767"/>
      <c r="S187" s="767"/>
      <c r="T187" s="767"/>
      <c r="U187" s="767"/>
      <c r="V187" s="767"/>
      <c r="W187" s="767"/>
      <c r="X187" s="767"/>
      <c r="Y187" s="767"/>
      <c r="Z187" s="767">
        <v>2</v>
      </c>
      <c r="AA187" s="764">
        <f t="shared" si="2"/>
        <v>2</v>
      </c>
    </row>
    <row r="188" spans="1:27" x14ac:dyDescent="0.25">
      <c r="A188" s="513"/>
      <c r="B188" s="4544"/>
      <c r="C188" s="4547"/>
      <c r="D188" s="3172"/>
      <c r="E188" s="4532"/>
      <c r="F188" s="4535"/>
      <c r="G188" s="3172"/>
      <c r="H188" s="3172"/>
      <c r="I188" s="3172"/>
      <c r="J188" s="3172"/>
      <c r="K188" s="4446"/>
      <c r="L188" s="3172"/>
      <c r="M188" s="4525" t="s">
        <v>111</v>
      </c>
      <c r="N188" s="4542"/>
      <c r="O188" s="767">
        <f t="shared" ref="O188:Z188" si="3">SUM(O189:O193)</f>
        <v>700</v>
      </c>
      <c r="P188" s="767">
        <f t="shared" si="3"/>
        <v>0</v>
      </c>
      <c r="Q188" s="767">
        <f t="shared" si="3"/>
        <v>5854.25</v>
      </c>
      <c r="R188" s="767">
        <f t="shared" si="3"/>
        <v>0</v>
      </c>
      <c r="S188" s="767">
        <f t="shared" si="3"/>
        <v>0</v>
      </c>
      <c r="T188" s="767">
        <f t="shared" si="3"/>
        <v>1854.25</v>
      </c>
      <c r="U188" s="767">
        <f t="shared" si="3"/>
        <v>0</v>
      </c>
      <c r="V188" s="767">
        <f t="shared" si="3"/>
        <v>0</v>
      </c>
      <c r="W188" s="767">
        <f t="shared" si="3"/>
        <v>1854.25</v>
      </c>
      <c r="X188" s="767">
        <f t="shared" si="3"/>
        <v>0</v>
      </c>
      <c r="Y188" s="767">
        <f t="shared" si="3"/>
        <v>0</v>
      </c>
      <c r="Z188" s="767">
        <f t="shared" si="3"/>
        <v>1854.25</v>
      </c>
      <c r="AA188" s="764">
        <f t="shared" si="2"/>
        <v>12117</v>
      </c>
    </row>
    <row r="189" spans="1:27" ht="60" x14ac:dyDescent="0.25">
      <c r="A189" s="513"/>
      <c r="B189" s="4544"/>
      <c r="C189" s="4547"/>
      <c r="D189" s="3172"/>
      <c r="E189" s="4532"/>
      <c r="F189" s="4535"/>
      <c r="G189" s="3172"/>
      <c r="H189" s="3172"/>
      <c r="I189" s="3172"/>
      <c r="J189" s="3172"/>
      <c r="K189" s="4446"/>
      <c r="L189" s="3172"/>
      <c r="M189" s="1558" t="s">
        <v>1235</v>
      </c>
      <c r="N189" s="765" t="s">
        <v>2798</v>
      </c>
      <c r="O189" s="1559"/>
      <c r="P189" s="763"/>
      <c r="Q189" s="763">
        <v>4000</v>
      </c>
      <c r="R189" s="763"/>
      <c r="S189" s="763"/>
      <c r="T189" s="763"/>
      <c r="U189" s="763"/>
      <c r="V189" s="763"/>
      <c r="W189" s="763"/>
      <c r="X189" s="763"/>
      <c r="Y189" s="763"/>
      <c r="Z189" s="763"/>
      <c r="AA189" s="764">
        <f t="shared" si="2"/>
        <v>4000</v>
      </c>
    </row>
    <row r="190" spans="1:27" ht="36" x14ac:dyDescent="0.25">
      <c r="A190" s="513"/>
      <c r="B190" s="4544"/>
      <c r="C190" s="4547"/>
      <c r="D190" s="3172"/>
      <c r="E190" s="4532"/>
      <c r="F190" s="4535"/>
      <c r="G190" s="3172"/>
      <c r="H190" s="3172"/>
      <c r="I190" s="3172"/>
      <c r="J190" s="3172"/>
      <c r="K190" s="4446"/>
      <c r="L190" s="3172"/>
      <c r="M190" s="1558" t="s">
        <v>1237</v>
      </c>
      <c r="N190" s="765" t="s">
        <v>1196</v>
      </c>
      <c r="O190" s="1559"/>
      <c r="P190" s="763"/>
      <c r="Q190" s="763">
        <v>563</v>
      </c>
      <c r="R190" s="763"/>
      <c r="S190" s="763"/>
      <c r="T190" s="763">
        <v>563</v>
      </c>
      <c r="U190" s="763"/>
      <c r="V190" s="763"/>
      <c r="W190" s="763">
        <v>563</v>
      </c>
      <c r="X190" s="763"/>
      <c r="Y190" s="763"/>
      <c r="Z190" s="763">
        <v>563</v>
      </c>
      <c r="AA190" s="764">
        <f t="shared" si="2"/>
        <v>2252</v>
      </c>
    </row>
    <row r="191" spans="1:27" ht="60" x14ac:dyDescent="0.25">
      <c r="A191" s="513"/>
      <c r="B191" s="4544"/>
      <c r="C191" s="4547"/>
      <c r="D191" s="3172"/>
      <c r="E191" s="4532"/>
      <c r="F191" s="4535"/>
      <c r="G191" s="3172"/>
      <c r="H191" s="3172"/>
      <c r="I191" s="3172"/>
      <c r="J191" s="3172"/>
      <c r="K191" s="4446"/>
      <c r="L191" s="3172"/>
      <c r="M191" s="1558" t="s">
        <v>1239</v>
      </c>
      <c r="N191" s="765" t="s">
        <v>2987</v>
      </c>
      <c r="O191" s="1559"/>
      <c r="P191" s="763"/>
      <c r="Q191" s="763">
        <v>1133.75</v>
      </c>
      <c r="R191" s="763"/>
      <c r="S191" s="763"/>
      <c r="T191" s="763">
        <v>1133.75</v>
      </c>
      <c r="U191" s="763"/>
      <c r="V191" s="763"/>
      <c r="W191" s="763">
        <v>1133.75</v>
      </c>
      <c r="X191" s="763"/>
      <c r="Y191" s="763"/>
      <c r="Z191" s="763">
        <v>1133.75</v>
      </c>
      <c r="AA191" s="764">
        <f t="shared" si="2"/>
        <v>4535</v>
      </c>
    </row>
    <row r="192" spans="1:27" ht="72" x14ac:dyDescent="0.25">
      <c r="A192" s="513"/>
      <c r="B192" s="4544"/>
      <c r="C192" s="4547"/>
      <c r="D192" s="3172"/>
      <c r="E192" s="4532"/>
      <c r="F192" s="4535"/>
      <c r="G192" s="3172"/>
      <c r="H192" s="3172"/>
      <c r="I192" s="3172"/>
      <c r="J192" s="3172"/>
      <c r="K192" s="4446"/>
      <c r="L192" s="3172"/>
      <c r="M192" s="1558" t="s">
        <v>1241</v>
      </c>
      <c r="N192" s="765" t="s">
        <v>201</v>
      </c>
      <c r="O192" s="1559"/>
      <c r="P192" s="763"/>
      <c r="Q192" s="763">
        <v>157.5</v>
      </c>
      <c r="R192" s="763"/>
      <c r="S192" s="763"/>
      <c r="T192" s="763">
        <v>157.5</v>
      </c>
      <c r="U192" s="763"/>
      <c r="V192" s="763"/>
      <c r="W192" s="763">
        <v>157.5</v>
      </c>
      <c r="X192" s="763"/>
      <c r="Y192" s="763"/>
      <c r="Z192" s="763">
        <v>157.5</v>
      </c>
      <c r="AA192" s="764">
        <f t="shared" si="2"/>
        <v>630</v>
      </c>
    </row>
    <row r="193" spans="1:27" ht="24" x14ac:dyDescent="0.25">
      <c r="A193" s="513"/>
      <c r="B193" s="4545"/>
      <c r="C193" s="4548"/>
      <c r="D193" s="3173"/>
      <c r="E193" s="4533"/>
      <c r="F193" s="4536"/>
      <c r="G193" s="3173"/>
      <c r="H193" s="3173"/>
      <c r="I193" s="3173"/>
      <c r="J193" s="3173"/>
      <c r="K193" s="4447"/>
      <c r="L193" s="3173"/>
      <c r="M193" s="1558" t="s">
        <v>1225</v>
      </c>
      <c r="N193" s="765" t="s">
        <v>2984</v>
      </c>
      <c r="O193" s="1559">
        <v>700</v>
      </c>
      <c r="P193" s="763"/>
      <c r="Q193" s="763"/>
      <c r="R193" s="763"/>
      <c r="S193" s="763"/>
      <c r="T193" s="763"/>
      <c r="U193" s="763"/>
      <c r="V193" s="763"/>
      <c r="W193" s="763"/>
      <c r="X193" s="763"/>
      <c r="Y193" s="763"/>
      <c r="Z193" s="763"/>
      <c r="AA193" s="764">
        <f t="shared" si="2"/>
        <v>700</v>
      </c>
    </row>
    <row r="194" spans="1:27" x14ac:dyDescent="0.25">
      <c r="A194" s="1560"/>
      <c r="B194" s="4543" t="s">
        <v>1214</v>
      </c>
      <c r="C194" s="4528" t="s">
        <v>2989</v>
      </c>
      <c r="D194" s="3171" t="s">
        <v>2990</v>
      </c>
      <c r="E194" s="4531" t="s">
        <v>48</v>
      </c>
      <c r="F194" s="4534" t="s">
        <v>165</v>
      </c>
      <c r="G194" s="3171" t="s">
        <v>2980</v>
      </c>
      <c r="H194" s="3171" t="s">
        <v>1243</v>
      </c>
      <c r="I194" s="3171" t="s">
        <v>1244</v>
      </c>
      <c r="J194" s="4537">
        <v>5000</v>
      </c>
      <c r="K194" s="4445">
        <v>58394</v>
      </c>
      <c r="L194" s="4540" t="s">
        <v>2991</v>
      </c>
      <c r="M194" s="4525" t="s">
        <v>51</v>
      </c>
      <c r="N194" s="4541"/>
      <c r="O194" s="767"/>
      <c r="P194" s="229"/>
      <c r="Q194" s="229"/>
      <c r="R194" s="229"/>
      <c r="S194" s="229"/>
      <c r="T194" s="229"/>
      <c r="U194" s="229"/>
      <c r="V194" s="229"/>
      <c r="W194" s="229"/>
      <c r="X194" s="229"/>
      <c r="Y194" s="229"/>
      <c r="Z194" s="229">
        <v>5000</v>
      </c>
      <c r="AA194" s="762">
        <f t="shared" si="2"/>
        <v>5000</v>
      </c>
    </row>
    <row r="195" spans="1:27" x14ac:dyDescent="0.25">
      <c r="A195" s="1560"/>
      <c r="B195" s="4544"/>
      <c r="C195" s="4529"/>
      <c r="D195" s="3172"/>
      <c r="E195" s="4532"/>
      <c r="F195" s="4535"/>
      <c r="G195" s="3172"/>
      <c r="H195" s="3172"/>
      <c r="I195" s="3172"/>
      <c r="J195" s="4538"/>
      <c r="K195" s="4446"/>
      <c r="L195" s="4540"/>
      <c r="M195" s="4525" t="s">
        <v>111</v>
      </c>
      <c r="N195" s="4542"/>
      <c r="O195" s="767">
        <f t="shared" ref="O195:Z195" si="4">SUM(O196:O210)</f>
        <v>0</v>
      </c>
      <c r="P195" s="229">
        <f t="shared" si="4"/>
        <v>37163.9</v>
      </c>
      <c r="Q195" s="229">
        <f t="shared" si="4"/>
        <v>12058.4</v>
      </c>
      <c r="R195" s="229">
        <f t="shared" si="4"/>
        <v>1091.9000000000001</v>
      </c>
      <c r="S195" s="229">
        <f t="shared" si="4"/>
        <v>1091.9000000000001</v>
      </c>
      <c r="T195" s="229">
        <f t="shared" si="4"/>
        <v>1091.9000000000001</v>
      </c>
      <c r="U195" s="229">
        <f t="shared" si="4"/>
        <v>1528.4</v>
      </c>
      <c r="V195" s="229">
        <f t="shared" si="4"/>
        <v>1091.9000000000001</v>
      </c>
      <c r="W195" s="229">
        <f t="shared" si="4"/>
        <v>1091.9000000000001</v>
      </c>
      <c r="X195" s="229">
        <f t="shared" si="4"/>
        <v>1091.9000000000001</v>
      </c>
      <c r="Y195" s="229">
        <f t="shared" si="4"/>
        <v>1091.9000000000001</v>
      </c>
      <c r="Z195" s="229">
        <f t="shared" si="4"/>
        <v>0</v>
      </c>
      <c r="AA195" s="762">
        <f t="shared" si="2"/>
        <v>58394.000000000015</v>
      </c>
    </row>
    <row r="196" spans="1:27" ht="24" x14ac:dyDescent="0.25">
      <c r="A196" s="1560"/>
      <c r="B196" s="4544"/>
      <c r="C196" s="4529"/>
      <c r="D196" s="3172"/>
      <c r="E196" s="4532"/>
      <c r="F196" s="4535"/>
      <c r="G196" s="3172"/>
      <c r="H196" s="3172"/>
      <c r="I196" s="3172"/>
      <c r="J196" s="4538"/>
      <c r="K196" s="4446"/>
      <c r="L196" s="4540"/>
      <c r="M196" s="1558" t="s">
        <v>1245</v>
      </c>
      <c r="N196" s="221" t="s">
        <v>183</v>
      </c>
      <c r="O196" s="1559"/>
      <c r="P196" s="481"/>
      <c r="Q196" s="481">
        <v>3691</v>
      </c>
      <c r="R196" s="481"/>
      <c r="S196" s="481"/>
      <c r="T196" s="481"/>
      <c r="U196" s="481"/>
      <c r="V196" s="481"/>
      <c r="W196" s="481"/>
      <c r="X196" s="481"/>
      <c r="Y196" s="481"/>
      <c r="Z196" s="481"/>
      <c r="AA196" s="217">
        <f t="shared" si="2"/>
        <v>3691</v>
      </c>
    </row>
    <row r="197" spans="1:27" ht="60" x14ac:dyDescent="0.25">
      <c r="A197" s="1560"/>
      <c r="B197" s="4544"/>
      <c r="C197" s="4529"/>
      <c r="D197" s="3172"/>
      <c r="E197" s="4532"/>
      <c r="F197" s="4535"/>
      <c r="G197" s="3172"/>
      <c r="H197" s="3172"/>
      <c r="I197" s="3172"/>
      <c r="J197" s="4538"/>
      <c r="K197" s="4446"/>
      <c r="L197" s="4540"/>
      <c r="M197" s="1558" t="s">
        <v>1235</v>
      </c>
      <c r="N197" s="221" t="s">
        <v>2798</v>
      </c>
      <c r="O197" s="1559"/>
      <c r="P197" s="481"/>
      <c r="Q197" s="481">
        <v>2893</v>
      </c>
      <c r="R197" s="481"/>
      <c r="S197" s="481"/>
      <c r="T197" s="481"/>
      <c r="U197" s="481"/>
      <c r="V197" s="481"/>
      <c r="W197" s="481"/>
      <c r="X197" s="481"/>
      <c r="Y197" s="481"/>
      <c r="Z197" s="481"/>
      <c r="AA197" s="217">
        <f t="shared" si="2"/>
        <v>2893</v>
      </c>
    </row>
    <row r="198" spans="1:27" ht="36" x14ac:dyDescent="0.25">
      <c r="A198" s="1560"/>
      <c r="B198" s="4544"/>
      <c r="C198" s="4529"/>
      <c r="D198" s="3172"/>
      <c r="E198" s="4532"/>
      <c r="F198" s="4535"/>
      <c r="G198" s="3172"/>
      <c r="H198" s="3172"/>
      <c r="I198" s="3172"/>
      <c r="J198" s="4538"/>
      <c r="K198" s="4446"/>
      <c r="L198" s="4540"/>
      <c r="M198" s="1558" t="s">
        <v>1247</v>
      </c>
      <c r="N198" s="221" t="s">
        <v>2992</v>
      </c>
      <c r="O198" s="1559"/>
      <c r="P198" s="481"/>
      <c r="Q198" s="481">
        <v>148</v>
      </c>
      <c r="R198" s="481"/>
      <c r="S198" s="481"/>
      <c r="T198" s="481"/>
      <c r="U198" s="481"/>
      <c r="V198" s="481"/>
      <c r="W198" s="481"/>
      <c r="X198" s="481"/>
      <c r="Y198" s="481"/>
      <c r="Z198" s="481"/>
      <c r="AA198" s="217">
        <f t="shared" si="2"/>
        <v>148</v>
      </c>
    </row>
    <row r="199" spans="1:27" ht="84" x14ac:dyDescent="0.25">
      <c r="A199" s="1560"/>
      <c r="B199" s="4544"/>
      <c r="C199" s="4529"/>
      <c r="D199" s="3172"/>
      <c r="E199" s="4532"/>
      <c r="F199" s="4535"/>
      <c r="G199" s="3172"/>
      <c r="H199" s="3172"/>
      <c r="I199" s="3172"/>
      <c r="J199" s="4538"/>
      <c r="K199" s="4446"/>
      <c r="L199" s="4540"/>
      <c r="M199" s="1558" t="s">
        <v>1249</v>
      </c>
      <c r="N199" s="221" t="s">
        <v>2993</v>
      </c>
      <c r="O199" s="1559"/>
      <c r="P199" s="481"/>
      <c r="Q199" s="481">
        <v>1399</v>
      </c>
      <c r="R199" s="481"/>
      <c r="S199" s="481"/>
      <c r="T199" s="481"/>
      <c r="U199" s="481"/>
      <c r="V199" s="481"/>
      <c r="W199" s="481"/>
      <c r="X199" s="481"/>
      <c r="Y199" s="481"/>
      <c r="Z199" s="481"/>
      <c r="AA199" s="217">
        <f t="shared" si="2"/>
        <v>1399</v>
      </c>
    </row>
    <row r="200" spans="1:27" ht="36" x14ac:dyDescent="0.25">
      <c r="A200" s="1560"/>
      <c r="B200" s="4544"/>
      <c r="C200" s="4529"/>
      <c r="D200" s="3172"/>
      <c r="E200" s="4532"/>
      <c r="F200" s="4535"/>
      <c r="G200" s="3172"/>
      <c r="H200" s="3172"/>
      <c r="I200" s="3172"/>
      <c r="J200" s="4538"/>
      <c r="K200" s="4446"/>
      <c r="L200" s="4540"/>
      <c r="M200" s="1558" t="s">
        <v>1237</v>
      </c>
      <c r="N200" s="221" t="s">
        <v>1196</v>
      </c>
      <c r="O200" s="1559"/>
      <c r="P200" s="481">
        <v>401.1</v>
      </c>
      <c r="Q200" s="481">
        <v>401.1</v>
      </c>
      <c r="R200" s="481">
        <v>401.1</v>
      </c>
      <c r="S200" s="481">
        <v>401.1</v>
      </c>
      <c r="T200" s="481">
        <v>401.1</v>
      </c>
      <c r="U200" s="481">
        <v>401.1</v>
      </c>
      <c r="V200" s="481">
        <v>401.1</v>
      </c>
      <c r="W200" s="481">
        <v>401.1</v>
      </c>
      <c r="X200" s="481">
        <v>401.1</v>
      </c>
      <c r="Y200" s="481">
        <v>401.1</v>
      </c>
      <c r="Z200" s="481"/>
      <c r="AA200" s="217">
        <f t="shared" si="2"/>
        <v>4010.9999999999995</v>
      </c>
    </row>
    <row r="201" spans="1:27" x14ac:dyDescent="0.25">
      <c r="A201" s="1560"/>
      <c r="B201" s="4544"/>
      <c r="C201" s="4529"/>
      <c r="D201" s="3172"/>
      <c r="E201" s="4532"/>
      <c r="F201" s="4535"/>
      <c r="G201" s="3172"/>
      <c r="H201" s="3172"/>
      <c r="I201" s="3172"/>
      <c r="J201" s="4538"/>
      <c r="K201" s="4446"/>
      <c r="L201" s="4540"/>
      <c r="M201" s="1558" t="s">
        <v>1239</v>
      </c>
      <c r="N201" s="221" t="s">
        <v>1372</v>
      </c>
      <c r="O201" s="1559"/>
      <c r="P201" s="481">
        <v>690.8</v>
      </c>
      <c r="Q201" s="481">
        <v>690.8</v>
      </c>
      <c r="R201" s="481">
        <v>690.8</v>
      </c>
      <c r="S201" s="481">
        <v>690.8</v>
      </c>
      <c r="T201" s="481">
        <v>690.8</v>
      </c>
      <c r="U201" s="481">
        <v>690.8</v>
      </c>
      <c r="V201" s="481">
        <v>690.8</v>
      </c>
      <c r="W201" s="481">
        <v>690.8</v>
      </c>
      <c r="X201" s="481">
        <v>690.8</v>
      </c>
      <c r="Y201" s="481">
        <v>690.8</v>
      </c>
      <c r="Z201" s="481"/>
      <c r="AA201" s="217">
        <f t="shared" si="2"/>
        <v>6908.0000000000009</v>
      </c>
    </row>
    <row r="202" spans="1:27" ht="48" x14ac:dyDescent="0.25">
      <c r="A202" s="1560"/>
      <c r="B202" s="4544"/>
      <c r="C202" s="4529"/>
      <c r="D202" s="3172"/>
      <c r="E202" s="4532"/>
      <c r="F202" s="4535"/>
      <c r="G202" s="3172"/>
      <c r="H202" s="3172"/>
      <c r="I202" s="3172"/>
      <c r="J202" s="4538"/>
      <c r="K202" s="4446"/>
      <c r="L202" s="4540"/>
      <c r="M202" s="1558" t="s">
        <v>1251</v>
      </c>
      <c r="N202" s="221" t="s">
        <v>3007</v>
      </c>
      <c r="O202" s="1559"/>
      <c r="P202" s="481"/>
      <c r="Q202" s="481">
        <v>436.5</v>
      </c>
      <c r="R202" s="481"/>
      <c r="S202" s="481"/>
      <c r="T202" s="481"/>
      <c r="U202" s="481">
        <v>436.5</v>
      </c>
      <c r="V202" s="481"/>
      <c r="W202" s="481"/>
      <c r="X202" s="481"/>
      <c r="Y202" s="481"/>
      <c r="Z202" s="481"/>
      <c r="AA202" s="217">
        <f t="shared" si="2"/>
        <v>873</v>
      </c>
    </row>
    <row r="203" spans="1:27" ht="24" x14ac:dyDescent="0.25">
      <c r="A203" s="1560"/>
      <c r="B203" s="4544"/>
      <c r="C203" s="4529"/>
      <c r="D203" s="3172"/>
      <c r="E203" s="4532"/>
      <c r="F203" s="4535"/>
      <c r="G203" s="3172"/>
      <c r="H203" s="3172"/>
      <c r="I203" s="3172"/>
      <c r="J203" s="4538"/>
      <c r="K203" s="4446"/>
      <c r="L203" s="4540"/>
      <c r="M203" s="1558" t="s">
        <v>1241</v>
      </c>
      <c r="N203" s="221" t="s">
        <v>1472</v>
      </c>
      <c r="O203" s="1559"/>
      <c r="P203" s="481"/>
      <c r="Q203" s="481">
        <v>2399</v>
      </c>
      <c r="R203" s="481"/>
      <c r="S203" s="481"/>
      <c r="T203" s="481"/>
      <c r="U203" s="481"/>
      <c r="V203" s="481"/>
      <c r="W203" s="481"/>
      <c r="X203" s="481"/>
      <c r="Y203" s="481"/>
      <c r="Z203" s="481"/>
      <c r="AA203" s="217">
        <f t="shared" si="2"/>
        <v>2399</v>
      </c>
    </row>
    <row r="204" spans="1:27" ht="72" x14ac:dyDescent="0.25">
      <c r="A204" s="1560"/>
      <c r="B204" s="4544"/>
      <c r="C204" s="4529"/>
      <c r="D204" s="3172"/>
      <c r="E204" s="4532"/>
      <c r="F204" s="4535"/>
      <c r="G204" s="3172"/>
      <c r="H204" s="3172"/>
      <c r="I204" s="3172"/>
      <c r="J204" s="4538"/>
      <c r="K204" s="4446"/>
      <c r="L204" s="4540"/>
      <c r="M204" s="1558" t="s">
        <v>1253</v>
      </c>
      <c r="N204" s="221" t="s">
        <v>201</v>
      </c>
      <c r="O204" s="1559"/>
      <c r="P204" s="481">
        <v>7575</v>
      </c>
      <c r="Q204" s="481"/>
      <c r="R204" s="481"/>
      <c r="S204" s="481"/>
      <c r="T204" s="481"/>
      <c r="U204" s="481"/>
      <c r="V204" s="481"/>
      <c r="W204" s="481"/>
      <c r="X204" s="481"/>
      <c r="Y204" s="481"/>
      <c r="Z204" s="481"/>
      <c r="AA204" s="217">
        <f t="shared" si="2"/>
        <v>7575</v>
      </c>
    </row>
    <row r="205" spans="1:27" ht="36" x14ac:dyDescent="0.25">
      <c r="A205" s="1560"/>
      <c r="B205" s="4544"/>
      <c r="C205" s="4529"/>
      <c r="D205" s="3172"/>
      <c r="E205" s="4532"/>
      <c r="F205" s="4535"/>
      <c r="G205" s="3172"/>
      <c r="H205" s="3172"/>
      <c r="I205" s="3172"/>
      <c r="J205" s="4538"/>
      <c r="K205" s="4446"/>
      <c r="L205" s="4540"/>
      <c r="M205" s="1558" t="s">
        <v>1225</v>
      </c>
      <c r="N205" s="221" t="s">
        <v>1474</v>
      </c>
      <c r="O205" s="1559"/>
      <c r="P205" s="481">
        <v>100</v>
      </c>
      <c r="Q205" s="481"/>
      <c r="R205" s="481"/>
      <c r="S205" s="481"/>
      <c r="T205" s="481"/>
      <c r="U205" s="481"/>
      <c r="V205" s="481"/>
      <c r="W205" s="481"/>
      <c r="X205" s="481"/>
      <c r="Y205" s="481"/>
      <c r="Z205" s="481"/>
      <c r="AA205" s="217">
        <f t="shared" si="2"/>
        <v>100</v>
      </c>
    </row>
    <row r="206" spans="1:27" ht="24" x14ac:dyDescent="0.25">
      <c r="A206" s="1560"/>
      <c r="B206" s="4544"/>
      <c r="C206" s="4529"/>
      <c r="D206" s="3172"/>
      <c r="E206" s="4532"/>
      <c r="F206" s="4535"/>
      <c r="G206" s="3172"/>
      <c r="H206" s="3172"/>
      <c r="I206" s="3172"/>
      <c r="J206" s="4538"/>
      <c r="K206" s="4446"/>
      <c r="L206" s="4540"/>
      <c r="M206" s="1558" t="s">
        <v>1255</v>
      </c>
      <c r="N206" s="221" t="s">
        <v>2984</v>
      </c>
      <c r="O206" s="1559"/>
      <c r="P206" s="481">
        <v>5469</v>
      </c>
      <c r="Q206" s="481"/>
      <c r="R206" s="481"/>
      <c r="S206" s="481"/>
      <c r="T206" s="481"/>
      <c r="U206" s="481"/>
      <c r="V206" s="481"/>
      <c r="W206" s="481"/>
      <c r="X206" s="481"/>
      <c r="Y206" s="481"/>
      <c r="Z206" s="481"/>
      <c r="AA206" s="217">
        <f t="shared" si="2"/>
        <v>5469</v>
      </c>
    </row>
    <row r="207" spans="1:27" ht="60" x14ac:dyDescent="0.25">
      <c r="A207" s="1560"/>
      <c r="B207" s="4544"/>
      <c r="C207" s="4529"/>
      <c r="D207" s="3172"/>
      <c r="E207" s="4532"/>
      <c r="F207" s="4535"/>
      <c r="G207" s="3172"/>
      <c r="H207" s="3172"/>
      <c r="I207" s="3172"/>
      <c r="J207" s="4538"/>
      <c r="K207" s="4446"/>
      <c r="L207" s="4540"/>
      <c r="M207" s="1558" t="s">
        <v>1257</v>
      </c>
      <c r="N207" s="221" t="s">
        <v>2994</v>
      </c>
      <c r="O207" s="1559"/>
      <c r="P207" s="481">
        <v>2378</v>
      </c>
      <c r="Q207" s="481"/>
      <c r="R207" s="481"/>
      <c r="S207" s="481"/>
      <c r="T207" s="481"/>
      <c r="U207" s="481"/>
      <c r="V207" s="481"/>
      <c r="W207" s="481"/>
      <c r="X207" s="481"/>
      <c r="Y207" s="481"/>
      <c r="Z207" s="481"/>
      <c r="AA207" s="217">
        <f t="shared" si="2"/>
        <v>2378</v>
      </c>
    </row>
    <row r="208" spans="1:27" ht="48" x14ac:dyDescent="0.25">
      <c r="A208" s="1560"/>
      <c r="B208" s="4544"/>
      <c r="C208" s="4529"/>
      <c r="D208" s="3172"/>
      <c r="E208" s="4532"/>
      <c r="F208" s="4535"/>
      <c r="G208" s="3172"/>
      <c r="H208" s="3172"/>
      <c r="I208" s="3172"/>
      <c r="J208" s="4538"/>
      <c r="K208" s="4446"/>
      <c r="L208" s="4540"/>
      <c r="M208" s="1558" t="s">
        <v>1259</v>
      </c>
      <c r="N208" s="221" t="s">
        <v>1984</v>
      </c>
      <c r="O208" s="1559"/>
      <c r="P208" s="481">
        <v>11100</v>
      </c>
      <c r="Q208" s="481"/>
      <c r="R208" s="481"/>
      <c r="S208" s="481"/>
      <c r="T208" s="481"/>
      <c r="U208" s="481"/>
      <c r="V208" s="481"/>
      <c r="W208" s="481"/>
      <c r="X208" s="481"/>
      <c r="Y208" s="481"/>
      <c r="Z208" s="481"/>
      <c r="AA208" s="217">
        <f t="shared" si="2"/>
        <v>11100</v>
      </c>
    </row>
    <row r="209" spans="1:27" x14ac:dyDescent="0.25">
      <c r="A209" s="1560"/>
      <c r="B209" s="4544"/>
      <c r="C209" s="4529"/>
      <c r="D209" s="3172"/>
      <c r="E209" s="4532"/>
      <c r="F209" s="4535"/>
      <c r="G209" s="3172"/>
      <c r="H209" s="3172"/>
      <c r="I209" s="3172"/>
      <c r="J209" s="4538"/>
      <c r="K209" s="4446"/>
      <c r="L209" s="4540"/>
      <c r="M209" s="1558" t="s">
        <v>1261</v>
      </c>
      <c r="N209" s="221" t="s">
        <v>1507</v>
      </c>
      <c r="O209" s="1559"/>
      <c r="P209" s="481">
        <v>6810</v>
      </c>
      <c r="Q209" s="481"/>
      <c r="R209" s="481"/>
      <c r="S209" s="481"/>
      <c r="T209" s="481"/>
      <c r="U209" s="481"/>
      <c r="V209" s="481"/>
      <c r="W209" s="481"/>
      <c r="X209" s="481"/>
      <c r="Y209" s="481"/>
      <c r="Z209" s="481"/>
      <c r="AA209" s="217">
        <f t="shared" si="2"/>
        <v>6810</v>
      </c>
    </row>
    <row r="210" spans="1:27" ht="24" x14ac:dyDescent="0.25">
      <c r="A210" s="1560"/>
      <c r="B210" s="4545"/>
      <c r="C210" s="4530"/>
      <c r="D210" s="3173"/>
      <c r="E210" s="4533"/>
      <c r="F210" s="4536"/>
      <c r="G210" s="3173"/>
      <c r="H210" s="3173"/>
      <c r="I210" s="3173"/>
      <c r="J210" s="4539"/>
      <c r="K210" s="4447"/>
      <c r="L210" s="4540"/>
      <c r="M210" s="1558" t="s">
        <v>1263</v>
      </c>
      <c r="N210" s="221" t="s">
        <v>1478</v>
      </c>
      <c r="O210" s="1559"/>
      <c r="P210" s="481">
        <v>2640</v>
      </c>
      <c r="Q210" s="481"/>
      <c r="R210" s="481"/>
      <c r="S210" s="481"/>
      <c r="T210" s="481"/>
      <c r="U210" s="481"/>
      <c r="V210" s="481"/>
      <c r="W210" s="481"/>
      <c r="X210" s="481"/>
      <c r="Y210" s="481"/>
      <c r="Z210" s="481"/>
      <c r="AA210" s="217">
        <f t="shared" ref="AA210:AA241" si="5">SUM(O210:Z210)</f>
        <v>2640</v>
      </c>
    </row>
    <row r="211" spans="1:27" x14ac:dyDescent="0.25">
      <c r="A211" s="513"/>
      <c r="B211" s="4543" t="s">
        <v>1214</v>
      </c>
      <c r="C211" s="4553" t="s">
        <v>1085</v>
      </c>
      <c r="D211" s="3171" t="s">
        <v>3015</v>
      </c>
      <c r="E211" s="4531" t="s">
        <v>48</v>
      </c>
      <c r="F211" s="4534" t="s">
        <v>165</v>
      </c>
      <c r="G211" s="4534" t="s">
        <v>166</v>
      </c>
      <c r="H211" s="3171" t="s">
        <v>1265</v>
      </c>
      <c r="I211" s="3171" t="s">
        <v>1266</v>
      </c>
      <c r="J211" s="3171">
        <v>2000</v>
      </c>
      <c r="K211" s="4445">
        <v>244663</v>
      </c>
      <c r="L211" s="4540" t="s">
        <v>1234</v>
      </c>
      <c r="M211" s="4525" t="s">
        <v>51</v>
      </c>
      <c r="N211" s="4541"/>
      <c r="O211" s="767"/>
      <c r="P211" s="767">
        <v>100</v>
      </c>
      <c r="Q211" s="767">
        <v>100</v>
      </c>
      <c r="R211" s="767">
        <v>200</v>
      </c>
      <c r="S211" s="767">
        <v>200</v>
      </c>
      <c r="T211" s="767">
        <v>200</v>
      </c>
      <c r="U211" s="767">
        <v>200</v>
      </c>
      <c r="V211" s="767">
        <v>200</v>
      </c>
      <c r="W211" s="767">
        <v>200</v>
      </c>
      <c r="X211" s="767">
        <v>200</v>
      </c>
      <c r="Y211" s="767">
        <v>200</v>
      </c>
      <c r="Z211" s="767">
        <v>200</v>
      </c>
      <c r="AA211" s="764">
        <f t="shared" si="5"/>
        <v>2000</v>
      </c>
    </row>
    <row r="212" spans="1:27" x14ac:dyDescent="0.25">
      <c r="A212" s="513"/>
      <c r="B212" s="4544"/>
      <c r="C212" s="4554"/>
      <c r="D212" s="3172"/>
      <c r="E212" s="4532"/>
      <c r="F212" s="4535"/>
      <c r="G212" s="3172"/>
      <c r="H212" s="3172"/>
      <c r="I212" s="3172"/>
      <c r="J212" s="3172"/>
      <c r="K212" s="4446"/>
      <c r="L212" s="4540"/>
      <c r="M212" s="4525" t="s">
        <v>111</v>
      </c>
      <c r="N212" s="4542"/>
      <c r="O212" s="767">
        <f t="shared" ref="O212:Z212" si="6">SUM(O213:O239)</f>
        <v>1606.1666666666663</v>
      </c>
      <c r="P212" s="767">
        <f t="shared" si="6"/>
        <v>11025.966666666669</v>
      </c>
      <c r="Q212" s="767">
        <f t="shared" si="6"/>
        <v>92764.966666666631</v>
      </c>
      <c r="R212" s="767">
        <f t="shared" si="6"/>
        <v>11025.966666666669</v>
      </c>
      <c r="S212" s="767">
        <f t="shared" si="6"/>
        <v>11025.966666666669</v>
      </c>
      <c r="T212" s="767">
        <f t="shared" si="6"/>
        <v>11025.966666666669</v>
      </c>
      <c r="U212" s="767">
        <f t="shared" si="6"/>
        <v>21017.966666666667</v>
      </c>
      <c r="V212" s="767">
        <f t="shared" si="6"/>
        <v>11025.966666666669</v>
      </c>
      <c r="W212" s="767">
        <f t="shared" si="6"/>
        <v>11025.966666666669</v>
      </c>
      <c r="X212" s="767">
        <f t="shared" si="6"/>
        <v>11025.966666666669</v>
      </c>
      <c r="Y212" s="767">
        <f t="shared" si="6"/>
        <v>11025.966666666669</v>
      </c>
      <c r="Z212" s="767">
        <f t="shared" si="6"/>
        <v>1606.1666666666663</v>
      </c>
      <c r="AA212" s="764">
        <f t="shared" si="5"/>
        <v>205203</v>
      </c>
    </row>
    <row r="213" spans="1:27" ht="24" x14ac:dyDescent="0.25">
      <c r="A213" s="513"/>
      <c r="B213" s="4544"/>
      <c r="C213" s="4554"/>
      <c r="D213" s="3172"/>
      <c r="E213" s="4532"/>
      <c r="F213" s="4535"/>
      <c r="G213" s="3172"/>
      <c r="H213" s="3172"/>
      <c r="I213" s="3172"/>
      <c r="J213" s="3172"/>
      <c r="K213" s="4446"/>
      <c r="L213" s="4540"/>
      <c r="M213" s="1561" t="s">
        <v>1245</v>
      </c>
      <c r="N213" s="1562" t="s">
        <v>183</v>
      </c>
      <c r="O213" s="1563"/>
      <c r="P213" s="481"/>
      <c r="Q213" s="481">
        <v>10348</v>
      </c>
      <c r="R213" s="481"/>
      <c r="S213" s="481"/>
      <c r="T213" s="481"/>
      <c r="U213" s="481"/>
      <c r="V213" s="481"/>
      <c r="W213" s="481"/>
      <c r="X213" s="481"/>
      <c r="Y213" s="481"/>
      <c r="Z213" s="481"/>
      <c r="AA213" s="217">
        <f t="shared" si="5"/>
        <v>10348</v>
      </c>
    </row>
    <row r="214" spans="1:27" ht="60" x14ac:dyDescent="0.25">
      <c r="A214" s="513"/>
      <c r="B214" s="4544"/>
      <c r="C214" s="4554"/>
      <c r="D214" s="3172"/>
      <c r="E214" s="4532"/>
      <c r="F214" s="4535"/>
      <c r="G214" s="3172"/>
      <c r="H214" s="3172"/>
      <c r="I214" s="3172"/>
      <c r="J214" s="3172"/>
      <c r="K214" s="4446"/>
      <c r="L214" s="4540"/>
      <c r="M214" s="1561" t="s">
        <v>1235</v>
      </c>
      <c r="N214" s="1562" t="s">
        <v>2798</v>
      </c>
      <c r="O214" s="1563"/>
      <c r="P214" s="481"/>
      <c r="Q214" s="481">
        <v>26422</v>
      </c>
      <c r="R214" s="481"/>
      <c r="S214" s="481"/>
      <c r="T214" s="481"/>
      <c r="U214" s="481"/>
      <c r="V214" s="481"/>
      <c r="W214" s="481"/>
      <c r="X214" s="481"/>
      <c r="Y214" s="481"/>
      <c r="Z214" s="481"/>
      <c r="AA214" s="217">
        <f t="shared" si="5"/>
        <v>26422</v>
      </c>
    </row>
    <row r="215" spans="1:27" ht="36" x14ac:dyDescent="0.25">
      <c r="A215" s="513"/>
      <c r="B215" s="4544"/>
      <c r="C215" s="4554"/>
      <c r="D215" s="3172"/>
      <c r="E215" s="4532"/>
      <c r="F215" s="4535"/>
      <c r="G215" s="3172"/>
      <c r="H215" s="3172"/>
      <c r="I215" s="3172"/>
      <c r="J215" s="3172"/>
      <c r="K215" s="4446"/>
      <c r="L215" s="4540"/>
      <c r="M215" s="1561" t="s">
        <v>1267</v>
      </c>
      <c r="N215" s="1562" t="s">
        <v>187</v>
      </c>
      <c r="O215" s="1563"/>
      <c r="P215" s="481"/>
      <c r="Q215" s="481">
        <v>5593</v>
      </c>
      <c r="R215" s="481"/>
      <c r="S215" s="481"/>
      <c r="T215" s="481"/>
      <c r="U215" s="481"/>
      <c r="V215" s="481"/>
      <c r="W215" s="481"/>
      <c r="X215" s="481"/>
      <c r="Y215" s="481"/>
      <c r="Z215" s="481"/>
      <c r="AA215" s="217">
        <f t="shared" si="5"/>
        <v>5593</v>
      </c>
    </row>
    <row r="216" spans="1:27" ht="36" x14ac:dyDescent="0.25">
      <c r="A216" s="513"/>
      <c r="B216" s="4544"/>
      <c r="C216" s="4554"/>
      <c r="D216" s="3172"/>
      <c r="E216" s="4532"/>
      <c r="F216" s="4535"/>
      <c r="G216" s="3172"/>
      <c r="H216" s="3172"/>
      <c r="I216" s="3172"/>
      <c r="J216" s="3172"/>
      <c r="K216" s="4446"/>
      <c r="L216" s="4540"/>
      <c r="M216" s="1561" t="s">
        <v>1269</v>
      </c>
      <c r="N216" s="1562" t="s">
        <v>2488</v>
      </c>
      <c r="O216" s="1563"/>
      <c r="P216" s="481"/>
      <c r="Q216" s="481">
        <v>5150</v>
      </c>
      <c r="R216" s="481"/>
      <c r="S216" s="481"/>
      <c r="T216" s="481"/>
      <c r="U216" s="481"/>
      <c r="V216" s="481"/>
      <c r="W216" s="481"/>
      <c r="X216" s="481"/>
      <c r="Y216" s="481"/>
      <c r="Z216" s="481"/>
      <c r="AA216" s="217">
        <f t="shared" si="5"/>
        <v>5150</v>
      </c>
    </row>
    <row r="217" spans="1:27" x14ac:dyDescent="0.25">
      <c r="A217" s="513"/>
      <c r="B217" s="4544"/>
      <c r="C217" s="4554"/>
      <c r="D217" s="3172"/>
      <c r="E217" s="4532"/>
      <c r="F217" s="4535"/>
      <c r="G217" s="3172"/>
      <c r="H217" s="3172"/>
      <c r="I217" s="3172"/>
      <c r="J217" s="3172"/>
      <c r="K217" s="4446"/>
      <c r="L217" s="4540"/>
      <c r="M217" s="1561" t="s">
        <v>1271</v>
      </c>
      <c r="N217" s="1562" t="s">
        <v>218</v>
      </c>
      <c r="O217" s="1563"/>
      <c r="P217" s="481"/>
      <c r="Q217" s="481">
        <v>3000</v>
      </c>
      <c r="R217" s="481"/>
      <c r="S217" s="481"/>
      <c r="T217" s="481"/>
      <c r="U217" s="481"/>
      <c r="V217" s="481"/>
      <c r="W217" s="481"/>
      <c r="X217" s="481"/>
      <c r="Y217" s="481"/>
      <c r="Z217" s="481"/>
      <c r="AA217" s="217">
        <f t="shared" si="5"/>
        <v>3000</v>
      </c>
    </row>
    <row r="218" spans="1:27" ht="29.25" customHeight="1" x14ac:dyDescent="0.25">
      <c r="A218" s="513"/>
      <c r="B218" s="4544"/>
      <c r="C218" s="4554"/>
      <c r="D218" s="3172"/>
      <c r="E218" s="4532"/>
      <c r="F218" s="4535"/>
      <c r="G218" s="3172"/>
      <c r="H218" s="3172"/>
      <c r="I218" s="3172"/>
      <c r="J218" s="3172"/>
      <c r="K218" s="4446"/>
      <c r="L218" s="4540"/>
      <c r="M218" s="1561" t="s">
        <v>1272</v>
      </c>
      <c r="N218" s="1562" t="s">
        <v>2997</v>
      </c>
      <c r="O218" s="1563"/>
      <c r="P218" s="481"/>
      <c r="Q218" s="481">
        <v>2400</v>
      </c>
      <c r="R218" s="481"/>
      <c r="S218" s="481"/>
      <c r="T218" s="481"/>
      <c r="U218" s="481"/>
      <c r="V218" s="481"/>
      <c r="W218" s="481"/>
      <c r="X218" s="481"/>
      <c r="Y218" s="481"/>
      <c r="Z218" s="481"/>
      <c r="AA218" s="217">
        <f t="shared" si="5"/>
        <v>2400</v>
      </c>
    </row>
    <row r="219" spans="1:27" x14ac:dyDescent="0.25">
      <c r="A219" s="513"/>
      <c r="B219" s="4544"/>
      <c r="C219" s="4554"/>
      <c r="D219" s="3172"/>
      <c r="E219" s="4532"/>
      <c r="F219" s="4535"/>
      <c r="G219" s="3172"/>
      <c r="H219" s="3172"/>
      <c r="I219" s="3172"/>
      <c r="J219" s="3172"/>
      <c r="K219" s="4446"/>
      <c r="L219" s="4540"/>
      <c r="M219" s="1561" t="s">
        <v>1274</v>
      </c>
      <c r="N219" s="1562" t="s">
        <v>2476</v>
      </c>
      <c r="O219" s="1563"/>
      <c r="P219" s="481"/>
      <c r="Q219" s="481">
        <v>9419</v>
      </c>
      <c r="R219" s="481"/>
      <c r="S219" s="481"/>
      <c r="T219" s="481"/>
      <c r="U219" s="481"/>
      <c r="V219" s="481"/>
      <c r="W219" s="481"/>
      <c r="X219" s="481"/>
      <c r="Y219" s="481"/>
      <c r="Z219" s="481"/>
      <c r="AA219" s="217">
        <f t="shared" si="5"/>
        <v>9419</v>
      </c>
    </row>
    <row r="220" spans="1:27" ht="84" x14ac:dyDescent="0.25">
      <c r="A220" s="513"/>
      <c r="B220" s="4544"/>
      <c r="C220" s="4554"/>
      <c r="D220" s="3172"/>
      <c r="E220" s="4532"/>
      <c r="F220" s="4535"/>
      <c r="G220" s="3172"/>
      <c r="H220" s="3172"/>
      <c r="I220" s="3172"/>
      <c r="J220" s="3172"/>
      <c r="K220" s="4446"/>
      <c r="L220" s="4540"/>
      <c r="M220" s="1561" t="s">
        <v>1249</v>
      </c>
      <c r="N220" s="1562" t="s">
        <v>2993</v>
      </c>
      <c r="O220" s="1563"/>
      <c r="P220" s="481"/>
      <c r="Q220" s="481">
        <v>1750</v>
      </c>
      <c r="R220" s="481"/>
      <c r="S220" s="481"/>
      <c r="T220" s="481"/>
      <c r="U220" s="481"/>
      <c r="V220" s="481"/>
      <c r="W220" s="481"/>
      <c r="X220" s="481"/>
      <c r="Y220" s="481"/>
      <c r="Z220" s="481"/>
      <c r="AA220" s="217">
        <f t="shared" si="5"/>
        <v>1750</v>
      </c>
    </row>
    <row r="221" spans="1:27" ht="24" x14ac:dyDescent="0.25">
      <c r="A221" s="513"/>
      <c r="B221" s="4544"/>
      <c r="C221" s="4554"/>
      <c r="D221" s="3172"/>
      <c r="E221" s="4532"/>
      <c r="F221" s="4535"/>
      <c r="G221" s="3172"/>
      <c r="H221" s="3172"/>
      <c r="I221" s="3172"/>
      <c r="J221" s="3172"/>
      <c r="K221" s="4446"/>
      <c r="L221" s="4540"/>
      <c r="M221" s="1561" t="s">
        <v>1276</v>
      </c>
      <c r="N221" s="1562" t="s">
        <v>2065</v>
      </c>
      <c r="O221" s="1563"/>
      <c r="P221" s="481"/>
      <c r="Q221" s="481">
        <v>7665</v>
      </c>
      <c r="R221" s="481"/>
      <c r="S221" s="481"/>
      <c r="T221" s="481"/>
      <c r="U221" s="481"/>
      <c r="V221" s="481"/>
      <c r="W221" s="481"/>
      <c r="X221" s="481"/>
      <c r="Y221" s="481"/>
      <c r="Z221" s="481"/>
      <c r="AA221" s="217">
        <f t="shared" si="5"/>
        <v>7665</v>
      </c>
    </row>
    <row r="222" spans="1:27" ht="36" x14ac:dyDescent="0.25">
      <c r="A222" s="513"/>
      <c r="B222" s="4544"/>
      <c r="C222" s="4554"/>
      <c r="D222" s="3172"/>
      <c r="E222" s="4532"/>
      <c r="F222" s="4535"/>
      <c r="G222" s="3172"/>
      <c r="H222" s="3172"/>
      <c r="I222" s="3172"/>
      <c r="J222" s="3172"/>
      <c r="K222" s="4446"/>
      <c r="L222" s="4540"/>
      <c r="M222" s="1561" t="s">
        <v>1237</v>
      </c>
      <c r="N222" s="1562" t="s">
        <v>1196</v>
      </c>
      <c r="O222" s="1563"/>
      <c r="P222" s="481">
        <v>2757.9</v>
      </c>
      <c r="Q222" s="481">
        <v>2757.9</v>
      </c>
      <c r="R222" s="481">
        <v>2757.9</v>
      </c>
      <c r="S222" s="481">
        <v>2757.9</v>
      </c>
      <c r="T222" s="481">
        <v>2757.9</v>
      </c>
      <c r="U222" s="481">
        <v>2757.9</v>
      </c>
      <c r="V222" s="481">
        <v>2757.9</v>
      </c>
      <c r="W222" s="481">
        <v>2757.9</v>
      </c>
      <c r="X222" s="481">
        <v>2757.9</v>
      </c>
      <c r="Y222" s="481">
        <v>2757.9</v>
      </c>
      <c r="Z222" s="481"/>
      <c r="AA222" s="217">
        <f t="shared" si="5"/>
        <v>27579.000000000007</v>
      </c>
    </row>
    <row r="223" spans="1:27" ht="60" x14ac:dyDescent="0.25">
      <c r="A223" s="513"/>
      <c r="B223" s="4544"/>
      <c r="C223" s="4554"/>
      <c r="D223" s="3172"/>
      <c r="E223" s="4532"/>
      <c r="F223" s="4535"/>
      <c r="G223" s="3172"/>
      <c r="H223" s="3172"/>
      <c r="I223" s="3172"/>
      <c r="J223" s="3172"/>
      <c r="K223" s="4446"/>
      <c r="L223" s="4540"/>
      <c r="M223" s="1561" t="s">
        <v>1239</v>
      </c>
      <c r="N223" s="1562" t="s">
        <v>2987</v>
      </c>
      <c r="O223" s="1563"/>
      <c r="P223" s="481">
        <v>6661.9</v>
      </c>
      <c r="Q223" s="481">
        <v>6661.9</v>
      </c>
      <c r="R223" s="481">
        <v>6661.9</v>
      </c>
      <c r="S223" s="481">
        <v>6661.9</v>
      </c>
      <c r="T223" s="481">
        <v>6661.9</v>
      </c>
      <c r="U223" s="481">
        <v>6661.9</v>
      </c>
      <c r="V223" s="481">
        <v>6661.9</v>
      </c>
      <c r="W223" s="481">
        <v>6661.9</v>
      </c>
      <c r="X223" s="481">
        <v>6661.9</v>
      </c>
      <c r="Y223" s="481">
        <v>6661.9</v>
      </c>
      <c r="Z223" s="481"/>
      <c r="AA223" s="217">
        <f t="shared" si="5"/>
        <v>66619</v>
      </c>
    </row>
    <row r="224" spans="1:27" x14ac:dyDescent="0.25">
      <c r="A224" s="513"/>
      <c r="B224" s="4544"/>
      <c r="C224" s="4554"/>
      <c r="D224" s="3172"/>
      <c r="E224" s="4532"/>
      <c r="F224" s="4535"/>
      <c r="G224" s="3172"/>
      <c r="H224" s="3172"/>
      <c r="I224" s="3172"/>
      <c r="J224" s="3172"/>
      <c r="K224" s="4446"/>
      <c r="L224" s="4540"/>
      <c r="M224" s="1561" t="s">
        <v>1278</v>
      </c>
      <c r="N224" s="1562" t="s">
        <v>2325</v>
      </c>
      <c r="O224" s="1563">
        <v>1189.5</v>
      </c>
      <c r="P224" s="481">
        <v>1189.5</v>
      </c>
      <c r="Q224" s="481">
        <v>1189.5</v>
      </c>
      <c r="R224" s="481">
        <v>1189.5</v>
      </c>
      <c r="S224" s="481">
        <v>1189.5</v>
      </c>
      <c r="T224" s="481">
        <v>1189.5</v>
      </c>
      <c r="U224" s="481">
        <v>1189.5</v>
      </c>
      <c r="V224" s="481">
        <v>1189.5</v>
      </c>
      <c r="W224" s="481">
        <v>1189.5</v>
      </c>
      <c r="X224" s="481">
        <v>1189.5</v>
      </c>
      <c r="Y224" s="481">
        <v>1189.5</v>
      </c>
      <c r="Z224" s="481">
        <v>1189.5</v>
      </c>
      <c r="AA224" s="217">
        <f t="shared" si="5"/>
        <v>14274</v>
      </c>
    </row>
    <row r="225" spans="1:27" ht="48" x14ac:dyDescent="0.25">
      <c r="A225" s="513"/>
      <c r="B225" s="4544"/>
      <c r="C225" s="4554"/>
      <c r="D225" s="3172"/>
      <c r="E225" s="4532"/>
      <c r="F225" s="4535"/>
      <c r="G225" s="3172"/>
      <c r="H225" s="3172"/>
      <c r="I225" s="3172"/>
      <c r="J225" s="3172"/>
      <c r="K225" s="4446"/>
      <c r="L225" s="4540"/>
      <c r="M225" s="1561" t="s">
        <v>1280</v>
      </c>
      <c r="N225" s="1562" t="s">
        <v>2998</v>
      </c>
      <c r="O225" s="1563">
        <v>83.333333333333329</v>
      </c>
      <c r="P225" s="481">
        <v>83.333333333333329</v>
      </c>
      <c r="Q225" s="481">
        <v>83.333333333333329</v>
      </c>
      <c r="R225" s="481">
        <v>83.333333333333329</v>
      </c>
      <c r="S225" s="481">
        <v>83.333333333333329</v>
      </c>
      <c r="T225" s="481">
        <v>83.333333333333329</v>
      </c>
      <c r="U225" s="481">
        <v>83.333333333333329</v>
      </c>
      <c r="V225" s="481">
        <v>83.333333333333329</v>
      </c>
      <c r="W225" s="481">
        <v>83.333333333333329</v>
      </c>
      <c r="X225" s="481">
        <v>83.333333333333329</v>
      </c>
      <c r="Y225" s="481">
        <v>83.333333333333329</v>
      </c>
      <c r="Z225" s="481">
        <v>83.333333333333329</v>
      </c>
      <c r="AA225" s="217">
        <f t="shared" si="5"/>
        <v>1000.0000000000001</v>
      </c>
    </row>
    <row r="226" spans="1:27" x14ac:dyDescent="0.25">
      <c r="A226" s="513"/>
      <c r="B226" s="4544"/>
      <c r="C226" s="4554"/>
      <c r="D226" s="3172"/>
      <c r="E226" s="4532"/>
      <c r="F226" s="4535"/>
      <c r="G226" s="3172"/>
      <c r="H226" s="3172"/>
      <c r="I226" s="3172"/>
      <c r="J226" s="3172"/>
      <c r="K226" s="4446"/>
      <c r="L226" s="4540"/>
      <c r="M226" s="1561" t="s">
        <v>1282</v>
      </c>
      <c r="N226" s="1564" t="s">
        <v>2999</v>
      </c>
      <c r="O226" s="1563">
        <v>83.333333333333329</v>
      </c>
      <c r="P226" s="481">
        <v>83.333333333333329</v>
      </c>
      <c r="Q226" s="481">
        <v>83.333333333333329</v>
      </c>
      <c r="R226" s="481">
        <v>83.333333333333329</v>
      </c>
      <c r="S226" s="481">
        <v>83.333333333333329</v>
      </c>
      <c r="T226" s="481">
        <v>83.333333333333329</v>
      </c>
      <c r="U226" s="481">
        <v>83.333333333333329</v>
      </c>
      <c r="V226" s="481">
        <v>83.333333333333329</v>
      </c>
      <c r="W226" s="481">
        <v>83.333333333333329</v>
      </c>
      <c r="X226" s="481">
        <v>83.333333333333329</v>
      </c>
      <c r="Y226" s="481">
        <v>83.333333333333329</v>
      </c>
      <c r="Z226" s="481">
        <v>83.333333333333329</v>
      </c>
      <c r="AA226" s="217">
        <f t="shared" si="5"/>
        <v>1000.0000000000001</v>
      </c>
    </row>
    <row r="227" spans="1:27" ht="36" x14ac:dyDescent="0.25">
      <c r="A227" s="513"/>
      <c r="B227" s="4544"/>
      <c r="C227" s="4554"/>
      <c r="D227" s="3172"/>
      <c r="E227" s="4532"/>
      <c r="F227" s="4535"/>
      <c r="G227" s="3172"/>
      <c r="H227" s="3172"/>
      <c r="I227" s="3172"/>
      <c r="J227" s="3172"/>
      <c r="K227" s="4446"/>
      <c r="L227" s="4540"/>
      <c r="M227" s="1561" t="s">
        <v>1284</v>
      </c>
      <c r="N227" s="1562" t="s">
        <v>1471</v>
      </c>
      <c r="O227" s="1563">
        <v>83.333333333333329</v>
      </c>
      <c r="P227" s="481">
        <v>83.333333333333329</v>
      </c>
      <c r="Q227" s="481">
        <v>83.333333333333329</v>
      </c>
      <c r="R227" s="481">
        <v>83.333333333333329</v>
      </c>
      <c r="S227" s="481">
        <v>83.333333333333329</v>
      </c>
      <c r="T227" s="481">
        <v>83.333333333333329</v>
      </c>
      <c r="U227" s="481">
        <v>83.333333333333329</v>
      </c>
      <c r="V227" s="481">
        <v>83.333333333333329</v>
      </c>
      <c r="W227" s="481">
        <v>83.333333333333329</v>
      </c>
      <c r="X227" s="481">
        <v>83.333333333333329</v>
      </c>
      <c r="Y227" s="481">
        <v>83.333333333333329</v>
      </c>
      <c r="Z227" s="481">
        <v>83.333333333333329</v>
      </c>
      <c r="AA227" s="217">
        <f t="shared" si="5"/>
        <v>1000.0000000000001</v>
      </c>
    </row>
    <row r="228" spans="1:27" ht="36" x14ac:dyDescent="0.25">
      <c r="A228" s="513"/>
      <c r="B228" s="4544"/>
      <c r="C228" s="4554"/>
      <c r="D228" s="3172"/>
      <c r="E228" s="4532"/>
      <c r="F228" s="4535"/>
      <c r="G228" s="3172"/>
      <c r="H228" s="3172"/>
      <c r="I228" s="3172"/>
      <c r="J228" s="3172"/>
      <c r="K228" s="4446"/>
      <c r="L228" s="4540"/>
      <c r="M228" s="1561" t="s">
        <v>1286</v>
      </c>
      <c r="N228" s="1562" t="s">
        <v>2490</v>
      </c>
      <c r="O228" s="1563">
        <v>83.333333333333329</v>
      </c>
      <c r="P228" s="481">
        <v>83.333333333333329</v>
      </c>
      <c r="Q228" s="481">
        <v>83.333333333333329</v>
      </c>
      <c r="R228" s="481">
        <v>83.333333333333329</v>
      </c>
      <c r="S228" s="481">
        <v>83.333333333333329</v>
      </c>
      <c r="T228" s="481">
        <v>83.333333333333329</v>
      </c>
      <c r="U228" s="481">
        <v>83.333333333333329</v>
      </c>
      <c r="V228" s="481">
        <v>83.333333333333329</v>
      </c>
      <c r="W228" s="481">
        <v>83.333333333333329</v>
      </c>
      <c r="X228" s="481">
        <v>83.333333333333329</v>
      </c>
      <c r="Y228" s="481">
        <v>83.333333333333329</v>
      </c>
      <c r="Z228" s="481">
        <v>83.333333333333329</v>
      </c>
      <c r="AA228" s="217">
        <f t="shared" si="5"/>
        <v>1000.0000000000001</v>
      </c>
    </row>
    <row r="229" spans="1:27" ht="36" x14ac:dyDescent="0.25">
      <c r="A229" s="513"/>
      <c r="B229" s="4544"/>
      <c r="C229" s="4554"/>
      <c r="D229" s="3172"/>
      <c r="E229" s="4532"/>
      <c r="F229" s="4535"/>
      <c r="G229" s="3172"/>
      <c r="H229" s="3172"/>
      <c r="I229" s="3172"/>
      <c r="J229" s="3172"/>
      <c r="K229" s="4446"/>
      <c r="L229" s="4540"/>
      <c r="M229" s="1561" t="s">
        <v>1288</v>
      </c>
      <c r="N229" s="1562" t="s">
        <v>3000</v>
      </c>
      <c r="O229" s="1563">
        <v>83.333333333333329</v>
      </c>
      <c r="P229" s="481">
        <v>83.333333333333329</v>
      </c>
      <c r="Q229" s="481">
        <v>83.333333333333329</v>
      </c>
      <c r="R229" s="481">
        <v>83.333333333333329</v>
      </c>
      <c r="S229" s="481">
        <v>83.333333333333329</v>
      </c>
      <c r="T229" s="481">
        <v>83.333333333333329</v>
      </c>
      <c r="U229" s="481">
        <v>83.333333333333329</v>
      </c>
      <c r="V229" s="481">
        <v>83.333333333333329</v>
      </c>
      <c r="W229" s="481">
        <v>83.333333333333329</v>
      </c>
      <c r="X229" s="481">
        <v>83.333333333333329</v>
      </c>
      <c r="Y229" s="481">
        <v>83.333333333333329</v>
      </c>
      <c r="Z229" s="481">
        <v>83.333333333333329</v>
      </c>
      <c r="AA229" s="217">
        <f t="shared" si="5"/>
        <v>1000.0000000000001</v>
      </c>
    </row>
    <row r="230" spans="1:27" ht="24" x14ac:dyDescent="0.25">
      <c r="A230" s="513"/>
      <c r="B230" s="4544"/>
      <c r="C230" s="4554"/>
      <c r="D230" s="3172"/>
      <c r="E230" s="4532"/>
      <c r="F230" s="4535"/>
      <c r="G230" s="3172"/>
      <c r="H230" s="3172"/>
      <c r="I230" s="3172"/>
      <c r="J230" s="3172"/>
      <c r="K230" s="4446"/>
      <c r="L230" s="4540"/>
      <c r="M230" s="1561" t="s">
        <v>1290</v>
      </c>
      <c r="N230" s="1562" t="s">
        <v>3001</v>
      </c>
      <c r="O230" s="1563"/>
      <c r="P230" s="481"/>
      <c r="Q230" s="481">
        <v>605</v>
      </c>
      <c r="R230" s="481"/>
      <c r="S230" s="481"/>
      <c r="T230" s="481"/>
      <c r="U230" s="481"/>
      <c r="V230" s="481"/>
      <c r="W230" s="481"/>
      <c r="X230" s="481"/>
      <c r="Y230" s="481"/>
      <c r="Z230" s="481"/>
      <c r="AA230" s="217">
        <f t="shared" si="5"/>
        <v>605</v>
      </c>
    </row>
    <row r="231" spans="1:27" ht="36" x14ac:dyDescent="0.25">
      <c r="A231" s="513"/>
      <c r="B231" s="4544"/>
      <c r="C231" s="4554"/>
      <c r="D231" s="3172"/>
      <c r="E231" s="4532"/>
      <c r="F231" s="4535"/>
      <c r="G231" s="3172"/>
      <c r="H231" s="3172"/>
      <c r="I231" s="3172"/>
      <c r="J231" s="3172"/>
      <c r="K231" s="4446"/>
      <c r="L231" s="4540"/>
      <c r="M231" s="1561" t="s">
        <v>1292</v>
      </c>
      <c r="N231" s="1562" t="s">
        <v>3002</v>
      </c>
      <c r="O231" s="1563"/>
      <c r="P231" s="481"/>
      <c r="Q231" s="481">
        <v>1000</v>
      </c>
      <c r="R231" s="481"/>
      <c r="S231" s="481"/>
      <c r="T231" s="481"/>
      <c r="U231" s="481"/>
      <c r="V231" s="481"/>
      <c r="W231" s="481"/>
      <c r="X231" s="481"/>
      <c r="Y231" s="481"/>
      <c r="Z231" s="481"/>
      <c r="AA231" s="217">
        <f t="shared" si="5"/>
        <v>1000</v>
      </c>
    </row>
    <row r="232" spans="1:27" ht="26.25" customHeight="1" x14ac:dyDescent="0.25">
      <c r="A232" s="513"/>
      <c r="B232" s="4544"/>
      <c r="C232" s="4554"/>
      <c r="D232" s="3172"/>
      <c r="E232" s="4532"/>
      <c r="F232" s="4535"/>
      <c r="G232" s="3172"/>
      <c r="H232" s="3172"/>
      <c r="I232" s="3172"/>
      <c r="J232" s="3172"/>
      <c r="K232" s="4446"/>
      <c r="L232" s="4540"/>
      <c r="M232" s="1561" t="s">
        <v>1241</v>
      </c>
      <c r="N232" s="1562" t="s">
        <v>2381</v>
      </c>
      <c r="O232" s="1563"/>
      <c r="P232" s="481"/>
      <c r="Q232" s="481">
        <v>6488</v>
      </c>
      <c r="R232" s="481"/>
      <c r="S232" s="481"/>
      <c r="T232" s="481"/>
      <c r="U232" s="481"/>
      <c r="V232" s="481"/>
      <c r="W232" s="481"/>
      <c r="X232" s="481"/>
      <c r="Y232" s="481"/>
      <c r="Z232" s="481"/>
      <c r="AA232" s="217">
        <f t="shared" si="5"/>
        <v>6488</v>
      </c>
    </row>
    <row r="233" spans="1:27" ht="72" x14ac:dyDescent="0.25">
      <c r="A233" s="513"/>
      <c r="B233" s="4544"/>
      <c r="C233" s="4554"/>
      <c r="D233" s="3172"/>
      <c r="E233" s="4532"/>
      <c r="F233" s="4535"/>
      <c r="G233" s="3172"/>
      <c r="H233" s="3172"/>
      <c r="I233" s="3172"/>
      <c r="J233" s="3172"/>
      <c r="K233" s="4446"/>
      <c r="L233" s="4540"/>
      <c r="M233" s="1561" t="s">
        <v>1294</v>
      </c>
      <c r="N233" s="1562" t="s">
        <v>201</v>
      </c>
      <c r="O233" s="1563"/>
      <c r="P233" s="481"/>
      <c r="Q233" s="481">
        <v>1000</v>
      </c>
      <c r="R233" s="481"/>
      <c r="S233" s="481"/>
      <c r="T233" s="481"/>
      <c r="U233" s="481"/>
      <c r="V233" s="481"/>
      <c r="W233" s="481"/>
      <c r="X233" s="481"/>
      <c r="Y233" s="481"/>
      <c r="Z233" s="481"/>
      <c r="AA233" s="217">
        <f t="shared" si="5"/>
        <v>1000</v>
      </c>
    </row>
    <row r="234" spans="1:27" ht="27" customHeight="1" x14ac:dyDescent="0.25">
      <c r="A234" s="513"/>
      <c r="B234" s="4544"/>
      <c r="C234" s="4554"/>
      <c r="D234" s="3172"/>
      <c r="E234" s="4532"/>
      <c r="F234" s="4535"/>
      <c r="G234" s="3172"/>
      <c r="H234" s="3172"/>
      <c r="I234" s="3172"/>
      <c r="J234" s="3172"/>
      <c r="K234" s="4446"/>
      <c r="L234" s="4540"/>
      <c r="M234" s="1561" t="s">
        <v>1225</v>
      </c>
      <c r="N234" s="1562" t="s">
        <v>227</v>
      </c>
      <c r="O234" s="1563"/>
      <c r="P234" s="481"/>
      <c r="Q234" s="481">
        <v>899</v>
      </c>
      <c r="R234" s="481"/>
      <c r="S234" s="481"/>
      <c r="T234" s="481"/>
      <c r="U234" s="481"/>
      <c r="V234" s="481"/>
      <c r="W234" s="481"/>
      <c r="X234" s="481"/>
      <c r="Y234" s="481"/>
      <c r="Z234" s="481"/>
      <c r="AA234" s="217">
        <f t="shared" si="5"/>
        <v>899</v>
      </c>
    </row>
    <row r="235" spans="1:27" ht="24" x14ac:dyDescent="0.25">
      <c r="A235" s="513"/>
      <c r="B235" s="4544"/>
      <c r="C235" s="4554"/>
      <c r="D235" s="3172"/>
      <c r="E235" s="4532"/>
      <c r="F235" s="4535"/>
      <c r="G235" s="3172"/>
      <c r="H235" s="3172"/>
      <c r="I235" s="3172"/>
      <c r="J235" s="3172"/>
      <c r="K235" s="4446"/>
      <c r="L235" s="4540"/>
      <c r="M235" s="1561" t="s">
        <v>1296</v>
      </c>
      <c r="N235" s="1562" t="s">
        <v>2984</v>
      </c>
      <c r="O235" s="1563"/>
      <c r="P235" s="481"/>
      <c r="Q235" s="481"/>
      <c r="R235" s="481"/>
      <c r="S235" s="481"/>
      <c r="T235" s="481"/>
      <c r="U235" s="481">
        <v>605</v>
      </c>
      <c r="V235" s="481"/>
      <c r="W235" s="481"/>
      <c r="X235" s="481"/>
      <c r="Y235" s="481"/>
      <c r="Z235" s="481"/>
      <c r="AA235" s="217">
        <f t="shared" si="5"/>
        <v>605</v>
      </c>
    </row>
    <row r="236" spans="1:27" ht="36" x14ac:dyDescent="0.25">
      <c r="A236" s="513"/>
      <c r="B236" s="4544"/>
      <c r="C236" s="4554"/>
      <c r="D236" s="3172"/>
      <c r="E236" s="4532"/>
      <c r="F236" s="4535"/>
      <c r="G236" s="3172"/>
      <c r="H236" s="3172"/>
      <c r="I236" s="3172"/>
      <c r="J236" s="3172"/>
      <c r="K236" s="4446"/>
      <c r="L236" s="4540"/>
      <c r="M236" s="1561" t="s">
        <v>1297</v>
      </c>
      <c r="N236" s="1562" t="s">
        <v>3003</v>
      </c>
      <c r="O236" s="1563"/>
      <c r="P236" s="481"/>
      <c r="Q236" s="481"/>
      <c r="R236" s="481"/>
      <c r="S236" s="481"/>
      <c r="T236" s="481"/>
      <c r="U236" s="481">
        <v>1000</v>
      </c>
      <c r="V236" s="481"/>
      <c r="W236" s="481"/>
      <c r="X236" s="481"/>
      <c r="Y236" s="481"/>
      <c r="Z236" s="481"/>
      <c r="AA236" s="217">
        <f t="shared" si="5"/>
        <v>1000</v>
      </c>
    </row>
    <row r="237" spans="1:27" ht="36" customHeight="1" x14ac:dyDescent="0.25">
      <c r="A237" s="513"/>
      <c r="B237" s="4544"/>
      <c r="C237" s="4554"/>
      <c r="D237" s="3172"/>
      <c r="E237" s="4532"/>
      <c r="F237" s="4535"/>
      <c r="G237" s="3172"/>
      <c r="H237" s="3172"/>
      <c r="I237" s="3172"/>
      <c r="J237" s="3172"/>
      <c r="K237" s="4446"/>
      <c r="L237" s="4540"/>
      <c r="M237" s="1561" t="s">
        <v>1261</v>
      </c>
      <c r="N237" s="1562" t="s">
        <v>3004</v>
      </c>
      <c r="O237" s="1563"/>
      <c r="P237" s="481"/>
      <c r="Q237" s="481"/>
      <c r="R237" s="481"/>
      <c r="S237" s="481"/>
      <c r="T237" s="481"/>
      <c r="U237" s="481">
        <v>6488</v>
      </c>
      <c r="V237" s="481"/>
      <c r="W237" s="481"/>
      <c r="X237" s="481"/>
      <c r="Y237" s="481"/>
      <c r="Z237" s="481"/>
      <c r="AA237" s="217">
        <f t="shared" si="5"/>
        <v>6488</v>
      </c>
    </row>
    <row r="238" spans="1:27" ht="24" x14ac:dyDescent="0.25">
      <c r="A238" s="513"/>
      <c r="B238" s="4544"/>
      <c r="C238" s="4554"/>
      <c r="D238" s="3172"/>
      <c r="E238" s="4532"/>
      <c r="F238" s="4535"/>
      <c r="G238" s="3172"/>
      <c r="H238" s="3172"/>
      <c r="I238" s="3172"/>
      <c r="J238" s="3172"/>
      <c r="K238" s="4446"/>
      <c r="L238" s="4540"/>
      <c r="M238" s="1561" t="s">
        <v>1263</v>
      </c>
      <c r="N238" s="1562" t="s">
        <v>1478</v>
      </c>
      <c r="O238" s="1563"/>
      <c r="P238" s="481"/>
      <c r="Q238" s="481"/>
      <c r="R238" s="481"/>
      <c r="S238" s="481"/>
      <c r="T238" s="481"/>
      <c r="U238" s="481">
        <v>1000</v>
      </c>
      <c r="V238" s="481"/>
      <c r="W238" s="481"/>
      <c r="X238" s="481"/>
      <c r="Y238" s="481"/>
      <c r="Z238" s="481"/>
      <c r="AA238" s="217">
        <f t="shared" si="5"/>
        <v>1000</v>
      </c>
    </row>
    <row r="239" spans="1:27" ht="48" x14ac:dyDescent="0.25">
      <c r="A239" s="513"/>
      <c r="B239" s="4544"/>
      <c r="C239" s="4555"/>
      <c r="D239" s="3172"/>
      <c r="E239" s="4533"/>
      <c r="F239" s="4536"/>
      <c r="G239" s="3173"/>
      <c r="H239" s="3172"/>
      <c r="I239" s="3172"/>
      <c r="J239" s="3172"/>
      <c r="K239" s="4446"/>
      <c r="L239" s="4540"/>
      <c r="M239" s="1561" t="s">
        <v>1299</v>
      </c>
      <c r="N239" s="1562" t="s">
        <v>2996</v>
      </c>
      <c r="O239" s="1563"/>
      <c r="P239" s="481"/>
      <c r="Q239" s="481"/>
      <c r="R239" s="481"/>
      <c r="S239" s="481"/>
      <c r="T239" s="481"/>
      <c r="U239" s="481">
        <v>899</v>
      </c>
      <c r="V239" s="481"/>
      <c r="W239" s="481"/>
      <c r="X239" s="481"/>
      <c r="Y239" s="481"/>
      <c r="Z239" s="481"/>
      <c r="AA239" s="217">
        <f t="shared" si="5"/>
        <v>899</v>
      </c>
    </row>
    <row r="240" spans="1:27" x14ac:dyDescent="0.25">
      <c r="A240" s="513"/>
      <c r="B240" s="4543" t="s">
        <v>1214</v>
      </c>
      <c r="C240" s="4528" t="s">
        <v>2989</v>
      </c>
      <c r="D240" s="3171" t="s">
        <v>2995</v>
      </c>
      <c r="E240" s="4531" t="s">
        <v>48</v>
      </c>
      <c r="F240" s="4534" t="s">
        <v>165</v>
      </c>
      <c r="G240" s="4534" t="s">
        <v>2980</v>
      </c>
      <c r="H240" s="3171" t="s">
        <v>1301</v>
      </c>
      <c r="I240" s="3171" t="s">
        <v>1302</v>
      </c>
      <c r="J240" s="4445">
        <v>453</v>
      </c>
      <c r="K240" s="4445">
        <v>5100</v>
      </c>
      <c r="L240" s="3171" t="s">
        <v>1303</v>
      </c>
      <c r="M240" s="1565" t="s">
        <v>51</v>
      </c>
      <c r="N240" s="1566"/>
      <c r="O240" s="767">
        <v>50</v>
      </c>
      <c r="P240" s="767">
        <v>50</v>
      </c>
      <c r="Q240" s="767">
        <v>50</v>
      </c>
      <c r="R240" s="767">
        <v>50</v>
      </c>
      <c r="S240" s="767">
        <v>50</v>
      </c>
      <c r="T240" s="767">
        <v>50</v>
      </c>
      <c r="U240" s="767">
        <v>50</v>
      </c>
      <c r="V240" s="767">
        <v>50</v>
      </c>
      <c r="W240" s="767">
        <v>50</v>
      </c>
      <c r="X240" s="767">
        <v>50</v>
      </c>
      <c r="Y240" s="767">
        <v>50</v>
      </c>
      <c r="Z240" s="767">
        <v>50</v>
      </c>
      <c r="AA240" s="762">
        <f t="shared" si="5"/>
        <v>600</v>
      </c>
    </row>
    <row r="241" spans="1:27" x14ac:dyDescent="0.25">
      <c r="A241" s="513"/>
      <c r="B241" s="4544"/>
      <c r="C241" s="4529"/>
      <c r="D241" s="3172"/>
      <c r="E241" s="4532"/>
      <c r="F241" s="4535"/>
      <c r="G241" s="4535"/>
      <c r="H241" s="3172"/>
      <c r="I241" s="3172"/>
      <c r="J241" s="4446"/>
      <c r="K241" s="4446"/>
      <c r="L241" s="3172"/>
      <c r="M241" s="4525" t="s">
        <v>111</v>
      </c>
      <c r="N241" s="4526"/>
      <c r="O241" s="767">
        <f t="shared" ref="O241:Z241" si="7">SUM(O242)</f>
        <v>0</v>
      </c>
      <c r="P241" s="767">
        <f t="shared" si="7"/>
        <v>0</v>
      </c>
      <c r="Q241" s="767">
        <f t="shared" si="7"/>
        <v>0</v>
      </c>
      <c r="R241" s="767">
        <f t="shared" si="7"/>
        <v>1700</v>
      </c>
      <c r="S241" s="767">
        <f t="shared" si="7"/>
        <v>0</v>
      </c>
      <c r="T241" s="767">
        <f t="shared" si="7"/>
        <v>0</v>
      </c>
      <c r="U241" s="767">
        <f t="shared" si="7"/>
        <v>1700</v>
      </c>
      <c r="V241" s="767">
        <f t="shared" si="7"/>
        <v>0</v>
      </c>
      <c r="W241" s="767">
        <f t="shared" si="7"/>
        <v>0</v>
      </c>
      <c r="X241" s="767">
        <f t="shared" si="7"/>
        <v>1700</v>
      </c>
      <c r="Y241" s="767">
        <f t="shared" si="7"/>
        <v>0</v>
      </c>
      <c r="Z241" s="767">
        <f t="shared" si="7"/>
        <v>0</v>
      </c>
      <c r="AA241" s="764">
        <f t="shared" si="5"/>
        <v>5100</v>
      </c>
    </row>
    <row r="242" spans="1:27" ht="48" x14ac:dyDescent="0.25">
      <c r="A242" s="513"/>
      <c r="B242" s="4544"/>
      <c r="C242" s="4530"/>
      <c r="D242" s="3172"/>
      <c r="E242" s="4532"/>
      <c r="F242" s="4535"/>
      <c r="G242" s="4535"/>
      <c r="H242" s="3172"/>
      <c r="I242" s="3172"/>
      <c r="J242" s="4446"/>
      <c r="K242" s="4446"/>
      <c r="L242" s="3172"/>
      <c r="M242" s="1567" t="s">
        <v>1263</v>
      </c>
      <c r="N242" s="765" t="s">
        <v>2996</v>
      </c>
      <c r="O242" s="1568"/>
      <c r="P242" s="1568"/>
      <c r="Q242" s="1568"/>
      <c r="R242" s="1568">
        <v>1700</v>
      </c>
      <c r="S242" s="1568"/>
      <c r="T242" s="1568"/>
      <c r="U242" s="1568">
        <v>1700</v>
      </c>
      <c r="V242" s="1568"/>
      <c r="W242" s="1568"/>
      <c r="X242" s="1568">
        <v>1700</v>
      </c>
      <c r="Y242" s="1568"/>
      <c r="Z242" s="1568"/>
      <c r="AA242" s="762">
        <f t="shared" ref="AA242:AA272" si="8">SUM(O242:Z242)</f>
        <v>5100</v>
      </c>
    </row>
    <row r="243" spans="1:27" x14ac:dyDescent="0.25">
      <c r="A243" s="513"/>
      <c r="B243" s="4549" t="s">
        <v>1214</v>
      </c>
      <c r="C243" s="2928" t="s">
        <v>2989</v>
      </c>
      <c r="D243" s="2353" t="s">
        <v>3005</v>
      </c>
      <c r="E243" s="4551" t="s">
        <v>48</v>
      </c>
      <c r="F243" s="4452" t="s">
        <v>165</v>
      </c>
      <c r="G243" s="4452" t="s">
        <v>2980</v>
      </c>
      <c r="H243" s="2353" t="s">
        <v>1304</v>
      </c>
      <c r="I243" s="2353" t="s">
        <v>1302</v>
      </c>
      <c r="J243" s="3150">
        <v>453</v>
      </c>
      <c r="K243" s="3150">
        <v>38130</v>
      </c>
      <c r="L243" s="2353" t="s">
        <v>1234</v>
      </c>
      <c r="M243" s="1565" t="s">
        <v>51</v>
      </c>
      <c r="N243" s="1565"/>
      <c r="O243" s="767">
        <v>40</v>
      </c>
      <c r="P243" s="767">
        <v>40</v>
      </c>
      <c r="Q243" s="767">
        <v>40</v>
      </c>
      <c r="R243" s="767">
        <v>40</v>
      </c>
      <c r="S243" s="767">
        <v>30</v>
      </c>
      <c r="T243" s="767">
        <v>40</v>
      </c>
      <c r="U243" s="767">
        <v>40</v>
      </c>
      <c r="V243" s="767">
        <v>40</v>
      </c>
      <c r="W243" s="767">
        <v>30</v>
      </c>
      <c r="X243" s="767">
        <v>40</v>
      </c>
      <c r="Y243" s="767">
        <v>40</v>
      </c>
      <c r="Z243" s="767">
        <v>33</v>
      </c>
      <c r="AA243" s="762">
        <f t="shared" si="8"/>
        <v>453</v>
      </c>
    </row>
    <row r="244" spans="1:27" x14ac:dyDescent="0.25">
      <c r="A244" s="513"/>
      <c r="B244" s="4550"/>
      <c r="C244" s="2929"/>
      <c r="D244" s="4282"/>
      <c r="E244" s="4552"/>
      <c r="F244" s="4453"/>
      <c r="G244" s="4453"/>
      <c r="H244" s="4282"/>
      <c r="I244" s="4282"/>
      <c r="J244" s="4474"/>
      <c r="K244" s="4474"/>
      <c r="L244" s="4282"/>
      <c r="M244" s="4525" t="s">
        <v>111</v>
      </c>
      <c r="N244" s="4542"/>
      <c r="O244" s="767">
        <f t="shared" ref="O244:Z244" si="9">SUM(O245:O248)</f>
        <v>0</v>
      </c>
      <c r="P244" s="767">
        <f t="shared" si="9"/>
        <v>38130</v>
      </c>
      <c r="Q244" s="767">
        <f t="shared" si="9"/>
        <v>0</v>
      </c>
      <c r="R244" s="767">
        <f t="shared" si="9"/>
        <v>0</v>
      </c>
      <c r="S244" s="767">
        <f t="shared" si="9"/>
        <v>0</v>
      </c>
      <c r="T244" s="767">
        <f t="shared" si="9"/>
        <v>0</v>
      </c>
      <c r="U244" s="767">
        <f t="shared" si="9"/>
        <v>0</v>
      </c>
      <c r="V244" s="767">
        <f t="shared" si="9"/>
        <v>0</v>
      </c>
      <c r="W244" s="767">
        <f t="shared" si="9"/>
        <v>0</v>
      </c>
      <c r="X244" s="767">
        <f t="shared" si="9"/>
        <v>0</v>
      </c>
      <c r="Y244" s="767">
        <f t="shared" si="9"/>
        <v>0</v>
      </c>
      <c r="Z244" s="767">
        <f t="shared" si="9"/>
        <v>0</v>
      </c>
      <c r="AA244" s="764">
        <f t="shared" si="8"/>
        <v>38130</v>
      </c>
    </row>
    <row r="245" spans="1:27" ht="60" x14ac:dyDescent="0.25">
      <c r="A245" s="513"/>
      <c r="B245" s="4550"/>
      <c r="C245" s="2929"/>
      <c r="D245" s="4282"/>
      <c r="E245" s="4552"/>
      <c r="F245" s="4453"/>
      <c r="G245" s="4453"/>
      <c r="H245" s="4282"/>
      <c r="I245" s="4282"/>
      <c r="J245" s="4474"/>
      <c r="K245" s="4474"/>
      <c r="L245" s="4282"/>
      <c r="M245" s="1569" t="s">
        <v>1305</v>
      </c>
      <c r="N245" s="1570" t="s">
        <v>1971</v>
      </c>
      <c r="O245" s="1571"/>
      <c r="P245" s="481">
        <v>6557</v>
      </c>
      <c r="Q245" s="216"/>
      <c r="R245" s="1572"/>
      <c r="S245" s="216"/>
      <c r="T245" s="216"/>
      <c r="U245" s="216"/>
      <c r="V245" s="216"/>
      <c r="W245" s="216"/>
      <c r="X245" s="216"/>
      <c r="Y245" s="216"/>
      <c r="Z245" s="216"/>
      <c r="AA245" s="762">
        <f t="shared" si="8"/>
        <v>6557</v>
      </c>
    </row>
    <row r="246" spans="1:27" ht="72" x14ac:dyDescent="0.25">
      <c r="A246" s="513"/>
      <c r="B246" s="4550"/>
      <c r="C246" s="2929"/>
      <c r="D246" s="4282"/>
      <c r="E246" s="4552"/>
      <c r="F246" s="4453"/>
      <c r="G246" s="4453"/>
      <c r="H246" s="4282"/>
      <c r="I246" s="4282"/>
      <c r="J246" s="4474"/>
      <c r="K246" s="4474"/>
      <c r="L246" s="4282"/>
      <c r="M246" s="1569" t="s">
        <v>1241</v>
      </c>
      <c r="N246" s="1570" t="s">
        <v>201</v>
      </c>
      <c r="O246" s="1573"/>
      <c r="P246" s="481">
        <v>3431</v>
      </c>
      <c r="Q246" s="214"/>
      <c r="R246" s="1572"/>
      <c r="S246" s="214"/>
      <c r="T246" s="214"/>
      <c r="U246" s="214"/>
      <c r="V246" s="214"/>
      <c r="W246" s="214"/>
      <c r="X246" s="214"/>
      <c r="Y246" s="214"/>
      <c r="Z246" s="214"/>
      <c r="AA246" s="762">
        <f t="shared" si="8"/>
        <v>3431</v>
      </c>
    </row>
    <row r="247" spans="1:27" ht="33.75" customHeight="1" x14ac:dyDescent="0.25">
      <c r="A247" s="513"/>
      <c r="B247" s="4550"/>
      <c r="C247" s="2929"/>
      <c r="D247" s="4282"/>
      <c r="E247" s="4552"/>
      <c r="F247" s="4453"/>
      <c r="G247" s="4453"/>
      <c r="H247" s="4282"/>
      <c r="I247" s="4282"/>
      <c r="J247" s="4474"/>
      <c r="K247" s="4474"/>
      <c r="L247" s="4282"/>
      <c r="M247" s="1569" t="s">
        <v>1307</v>
      </c>
      <c r="N247" s="1570" t="s">
        <v>3006</v>
      </c>
      <c r="O247" s="1573"/>
      <c r="P247" s="481">
        <v>15452</v>
      </c>
      <c r="Q247" s="214"/>
      <c r="R247" s="1572"/>
      <c r="S247" s="214"/>
      <c r="T247" s="214"/>
      <c r="U247" s="214"/>
      <c r="V247" s="214"/>
      <c r="W247" s="214"/>
      <c r="X247" s="214"/>
      <c r="Y247" s="214"/>
      <c r="Z247" s="214"/>
      <c r="AA247" s="762">
        <f t="shared" si="8"/>
        <v>15452</v>
      </c>
    </row>
    <row r="248" spans="1:27" ht="23.25" customHeight="1" x14ac:dyDescent="0.25">
      <c r="A248" s="513"/>
      <c r="B248" s="4550"/>
      <c r="C248" s="2930"/>
      <c r="D248" s="4282"/>
      <c r="E248" s="4552"/>
      <c r="F248" s="4453"/>
      <c r="G248" s="4453"/>
      <c r="H248" s="4282"/>
      <c r="I248" s="4282"/>
      <c r="J248" s="4474"/>
      <c r="K248" s="4474"/>
      <c r="L248" s="4282"/>
      <c r="M248" s="1569" t="s">
        <v>1257</v>
      </c>
      <c r="N248" s="1570" t="s">
        <v>1984</v>
      </c>
      <c r="O248" s="1573"/>
      <c r="P248" s="481">
        <v>12690</v>
      </c>
      <c r="Q248" s="214"/>
      <c r="R248" s="1572"/>
      <c r="S248" s="214"/>
      <c r="T248" s="214"/>
      <c r="U248" s="214"/>
      <c r="V248" s="214"/>
      <c r="W248" s="214"/>
      <c r="X248" s="214">
        <v>0</v>
      </c>
      <c r="Y248" s="214"/>
      <c r="Z248" s="214"/>
      <c r="AA248" s="762">
        <f t="shared" si="8"/>
        <v>12690</v>
      </c>
    </row>
    <row r="249" spans="1:27" x14ac:dyDescent="0.25">
      <c r="A249" s="513"/>
      <c r="B249" s="4549" t="s">
        <v>1214</v>
      </c>
      <c r="C249" s="2928" t="s">
        <v>2989</v>
      </c>
      <c r="D249" s="2353" t="s">
        <v>3014</v>
      </c>
      <c r="E249" s="4551" t="s">
        <v>48</v>
      </c>
      <c r="F249" s="4452" t="s">
        <v>165</v>
      </c>
      <c r="G249" s="4452" t="s">
        <v>2980</v>
      </c>
      <c r="H249" s="2353" t="s">
        <v>1309</v>
      </c>
      <c r="I249" s="2353" t="s">
        <v>1302</v>
      </c>
      <c r="J249" s="3150">
        <v>50</v>
      </c>
      <c r="K249" s="3150">
        <v>13920</v>
      </c>
      <c r="L249" s="2353" t="s">
        <v>1310</v>
      </c>
      <c r="M249" s="718" t="s">
        <v>51</v>
      </c>
      <c r="N249" s="719"/>
      <c r="O249" s="229"/>
      <c r="P249" s="229"/>
      <c r="Q249" s="229">
        <v>50</v>
      </c>
      <c r="R249" s="229"/>
      <c r="S249" s="229"/>
      <c r="T249" s="229"/>
      <c r="U249" s="229"/>
      <c r="V249" s="229"/>
      <c r="W249" s="229"/>
      <c r="X249" s="229"/>
      <c r="Y249" s="229"/>
      <c r="Z249" s="229"/>
      <c r="AA249" s="720">
        <f t="shared" si="8"/>
        <v>50</v>
      </c>
    </row>
    <row r="250" spans="1:27" x14ac:dyDescent="0.25">
      <c r="A250" s="513"/>
      <c r="B250" s="4550"/>
      <c r="C250" s="2929"/>
      <c r="D250" s="4282"/>
      <c r="E250" s="4552"/>
      <c r="F250" s="4453"/>
      <c r="G250" s="4453"/>
      <c r="H250" s="4282"/>
      <c r="I250" s="4282"/>
      <c r="J250" s="4474"/>
      <c r="K250" s="4474"/>
      <c r="L250" s="4282"/>
      <c r="M250" s="3038" t="s">
        <v>111</v>
      </c>
      <c r="N250" s="3039"/>
      <c r="O250" s="229">
        <f t="shared" ref="O250:Z250" si="10">SUM(O251:O254)</f>
        <v>0</v>
      </c>
      <c r="P250" s="229">
        <f t="shared" si="10"/>
        <v>0</v>
      </c>
      <c r="Q250" s="229">
        <f t="shared" si="10"/>
        <v>13920</v>
      </c>
      <c r="R250" s="229">
        <f t="shared" si="10"/>
        <v>0</v>
      </c>
      <c r="S250" s="229">
        <f t="shared" si="10"/>
        <v>0</v>
      </c>
      <c r="T250" s="229">
        <f t="shared" si="10"/>
        <v>0</v>
      </c>
      <c r="U250" s="229">
        <f t="shared" si="10"/>
        <v>0</v>
      </c>
      <c r="V250" s="229">
        <f t="shared" si="10"/>
        <v>0</v>
      </c>
      <c r="W250" s="229">
        <f t="shared" si="10"/>
        <v>0</v>
      </c>
      <c r="X250" s="229">
        <f t="shared" si="10"/>
        <v>0</v>
      </c>
      <c r="Y250" s="229">
        <f t="shared" si="10"/>
        <v>0</v>
      </c>
      <c r="Z250" s="229">
        <f t="shared" si="10"/>
        <v>0</v>
      </c>
      <c r="AA250" s="217">
        <f t="shared" si="8"/>
        <v>13920</v>
      </c>
    </row>
    <row r="251" spans="1:27" ht="84" x14ac:dyDescent="0.25">
      <c r="A251" s="513"/>
      <c r="B251" s="4550"/>
      <c r="C251" s="2929"/>
      <c r="D251" s="4282"/>
      <c r="E251" s="4552"/>
      <c r="F251" s="4453"/>
      <c r="G251" s="4453"/>
      <c r="H251" s="4282"/>
      <c r="I251" s="4282"/>
      <c r="J251" s="4474"/>
      <c r="K251" s="4474"/>
      <c r="L251" s="4282"/>
      <c r="M251" s="221" t="s">
        <v>1249</v>
      </c>
      <c r="N251" s="1574" t="s">
        <v>3016</v>
      </c>
      <c r="O251" s="717"/>
      <c r="P251" s="218"/>
      <c r="Q251" s="481">
        <v>1000</v>
      </c>
      <c r="R251" s="218"/>
      <c r="S251" s="717"/>
      <c r="T251" s="717"/>
      <c r="U251" s="717"/>
      <c r="V251" s="717"/>
      <c r="W251" s="717"/>
      <c r="X251" s="717"/>
      <c r="Y251" s="717"/>
      <c r="Z251" s="717"/>
      <c r="AA251" s="762">
        <f t="shared" si="8"/>
        <v>1000</v>
      </c>
    </row>
    <row r="252" spans="1:27" ht="24" x14ac:dyDescent="0.25">
      <c r="A252" s="513"/>
      <c r="B252" s="4550"/>
      <c r="C252" s="2929"/>
      <c r="D252" s="4282"/>
      <c r="E252" s="4552"/>
      <c r="F252" s="4453"/>
      <c r="G252" s="4453"/>
      <c r="H252" s="4282"/>
      <c r="I252" s="4282"/>
      <c r="J252" s="4474"/>
      <c r="K252" s="4474"/>
      <c r="L252" s="4282"/>
      <c r="M252" s="221" t="s">
        <v>1276</v>
      </c>
      <c r="N252" s="1574" t="s">
        <v>2065</v>
      </c>
      <c r="O252" s="214"/>
      <c r="P252" s="218"/>
      <c r="Q252" s="481">
        <v>3000</v>
      </c>
      <c r="R252" s="218"/>
      <c r="S252" s="214"/>
      <c r="T252" s="214"/>
      <c r="U252" s="214"/>
      <c r="V252" s="214"/>
      <c r="W252" s="214"/>
      <c r="X252" s="214"/>
      <c r="Y252" s="214"/>
      <c r="Z252" s="214"/>
      <c r="AA252" s="762">
        <f t="shared" si="8"/>
        <v>3000</v>
      </c>
    </row>
    <row r="253" spans="1:27" ht="36" x14ac:dyDescent="0.25">
      <c r="A253" s="513"/>
      <c r="B253" s="4550"/>
      <c r="C253" s="2929"/>
      <c r="D253" s="4282"/>
      <c r="E253" s="4552"/>
      <c r="F253" s="4453"/>
      <c r="G253" s="4453"/>
      <c r="H253" s="4282"/>
      <c r="I253" s="4282"/>
      <c r="J253" s="4474"/>
      <c r="K253" s="4474"/>
      <c r="L253" s="4282"/>
      <c r="M253" s="221" t="s">
        <v>1237</v>
      </c>
      <c r="N253" s="1574" t="s">
        <v>1196</v>
      </c>
      <c r="O253" s="214"/>
      <c r="P253" s="218"/>
      <c r="Q253" s="481">
        <v>3080</v>
      </c>
      <c r="R253" s="218"/>
      <c r="S253" s="214"/>
      <c r="T253" s="214"/>
      <c r="U253" s="214"/>
      <c r="V253" s="214"/>
      <c r="W253" s="214"/>
      <c r="X253" s="214"/>
      <c r="Y253" s="214"/>
      <c r="Z253" s="214"/>
      <c r="AA253" s="762">
        <f t="shared" si="8"/>
        <v>3080</v>
      </c>
    </row>
    <row r="254" spans="1:27" ht="60" x14ac:dyDescent="0.25">
      <c r="A254" s="513"/>
      <c r="B254" s="4550"/>
      <c r="C254" s="2929"/>
      <c r="D254" s="4282"/>
      <c r="E254" s="4552"/>
      <c r="F254" s="4453"/>
      <c r="G254" s="4453"/>
      <c r="H254" s="4282"/>
      <c r="I254" s="4282"/>
      <c r="J254" s="4474"/>
      <c r="K254" s="4474"/>
      <c r="L254" s="4282"/>
      <c r="M254" s="221" t="s">
        <v>1239</v>
      </c>
      <c r="N254" s="1574" t="s">
        <v>2987</v>
      </c>
      <c r="O254" s="214"/>
      <c r="P254" s="218"/>
      <c r="Q254" s="481">
        <v>6840</v>
      </c>
      <c r="R254" s="218"/>
      <c r="S254" s="214"/>
      <c r="T254" s="214"/>
      <c r="U254" s="214"/>
      <c r="V254" s="214"/>
      <c r="W254" s="214"/>
      <c r="X254" s="214">
        <v>0</v>
      </c>
      <c r="Y254" s="214"/>
      <c r="Z254" s="214"/>
      <c r="AA254" s="762">
        <f t="shared" si="8"/>
        <v>6840</v>
      </c>
    </row>
    <row r="255" spans="1:27" x14ac:dyDescent="0.25">
      <c r="A255" s="513"/>
      <c r="B255" s="4543" t="s">
        <v>1214</v>
      </c>
      <c r="C255" s="4528" t="s">
        <v>1085</v>
      </c>
      <c r="D255" s="3171" t="s">
        <v>3017</v>
      </c>
      <c r="E255" s="4531" t="s">
        <v>48</v>
      </c>
      <c r="F255" s="4534" t="s">
        <v>165</v>
      </c>
      <c r="G255" s="3171">
        <v>8</v>
      </c>
      <c r="H255" s="3171" t="s">
        <v>1311</v>
      </c>
      <c r="I255" s="3171" t="s">
        <v>133</v>
      </c>
      <c r="J255" s="3171">
        <v>12</v>
      </c>
      <c r="K255" s="4445">
        <v>12094120</v>
      </c>
      <c r="L255" s="4540" t="s">
        <v>1234</v>
      </c>
      <c r="M255" s="4525" t="s">
        <v>51</v>
      </c>
      <c r="N255" s="4526"/>
      <c r="O255" s="767">
        <v>1</v>
      </c>
      <c r="P255" s="767">
        <v>1</v>
      </c>
      <c r="Q255" s="767">
        <v>1</v>
      </c>
      <c r="R255" s="767">
        <v>1</v>
      </c>
      <c r="S255" s="767">
        <v>1</v>
      </c>
      <c r="T255" s="767">
        <v>1</v>
      </c>
      <c r="U255" s="767">
        <v>1</v>
      </c>
      <c r="V255" s="767">
        <v>1</v>
      </c>
      <c r="W255" s="767">
        <v>1</v>
      </c>
      <c r="X255" s="767">
        <v>1</v>
      </c>
      <c r="Y255" s="767">
        <v>1</v>
      </c>
      <c r="Z255" s="767">
        <v>1</v>
      </c>
      <c r="AA255" s="764">
        <f t="shared" si="8"/>
        <v>12</v>
      </c>
    </row>
    <row r="256" spans="1:27" x14ac:dyDescent="0.25">
      <c r="A256" s="513"/>
      <c r="B256" s="4544"/>
      <c r="C256" s="4529"/>
      <c r="D256" s="3172"/>
      <c r="E256" s="4532"/>
      <c r="F256" s="4535"/>
      <c r="G256" s="3172"/>
      <c r="H256" s="3172"/>
      <c r="I256" s="3172"/>
      <c r="J256" s="3172"/>
      <c r="K256" s="4446"/>
      <c r="L256" s="4540"/>
      <c r="M256" s="4525" t="s">
        <v>111</v>
      </c>
      <c r="N256" s="4526"/>
      <c r="O256" s="767">
        <f t="shared" ref="O256:Z256" si="11">SUM(O257:O269)</f>
        <v>1007843.3333333336</v>
      </c>
      <c r="P256" s="767">
        <f t="shared" si="11"/>
        <v>1007843.3333333336</v>
      </c>
      <c r="Q256" s="767">
        <f t="shared" si="11"/>
        <v>1007843.3333333336</v>
      </c>
      <c r="R256" s="767">
        <f t="shared" si="11"/>
        <v>1007843.3333333336</v>
      </c>
      <c r="S256" s="767">
        <f t="shared" si="11"/>
        <v>1007843.3333333336</v>
      </c>
      <c r="T256" s="767">
        <f t="shared" si="11"/>
        <v>1007843.3333333336</v>
      </c>
      <c r="U256" s="767">
        <f t="shared" si="11"/>
        <v>1007843.3333333336</v>
      </c>
      <c r="V256" s="767">
        <f t="shared" si="11"/>
        <v>1007843.3333333336</v>
      </c>
      <c r="W256" s="767">
        <f t="shared" si="11"/>
        <v>1007843.3333333336</v>
      </c>
      <c r="X256" s="767">
        <f t="shared" si="11"/>
        <v>1007843.3333333336</v>
      </c>
      <c r="Y256" s="767">
        <f t="shared" si="11"/>
        <v>1007843.3333333336</v>
      </c>
      <c r="Z256" s="767">
        <f t="shared" si="11"/>
        <v>1007843.3333333336</v>
      </c>
      <c r="AA256" s="764">
        <f t="shared" si="8"/>
        <v>12094120.000000006</v>
      </c>
    </row>
    <row r="257" spans="1:27" ht="36" x14ac:dyDescent="0.25">
      <c r="A257" s="513"/>
      <c r="B257" s="4544"/>
      <c r="C257" s="4529"/>
      <c r="D257" s="3172"/>
      <c r="E257" s="4532"/>
      <c r="F257" s="4535"/>
      <c r="G257" s="3172"/>
      <c r="H257" s="3172"/>
      <c r="I257" s="3172"/>
      <c r="J257" s="3172"/>
      <c r="K257" s="4446"/>
      <c r="L257" s="4540"/>
      <c r="M257" s="765" t="s">
        <v>1312</v>
      </c>
      <c r="N257" s="221" t="s">
        <v>3018</v>
      </c>
      <c r="O257" s="763">
        <v>68640</v>
      </c>
      <c r="P257" s="763">
        <v>68640</v>
      </c>
      <c r="Q257" s="763">
        <v>68640</v>
      </c>
      <c r="R257" s="763">
        <v>68640</v>
      </c>
      <c r="S257" s="763">
        <v>68640</v>
      </c>
      <c r="T257" s="763">
        <v>68640</v>
      </c>
      <c r="U257" s="763">
        <v>68640</v>
      </c>
      <c r="V257" s="763">
        <v>68640</v>
      </c>
      <c r="W257" s="763">
        <v>68640</v>
      </c>
      <c r="X257" s="763">
        <v>68640</v>
      </c>
      <c r="Y257" s="763">
        <v>68640</v>
      </c>
      <c r="Z257" s="763">
        <v>68640</v>
      </c>
      <c r="AA257" s="764">
        <f t="shared" si="8"/>
        <v>823680</v>
      </c>
    </row>
    <row r="258" spans="1:27" ht="48" x14ac:dyDescent="0.25">
      <c r="A258" s="513"/>
      <c r="B258" s="4544"/>
      <c r="C258" s="4529"/>
      <c r="D258" s="3172"/>
      <c r="E258" s="4532"/>
      <c r="F258" s="4535"/>
      <c r="G258" s="3172"/>
      <c r="H258" s="3172"/>
      <c r="I258" s="3172"/>
      <c r="J258" s="3172"/>
      <c r="K258" s="4446"/>
      <c r="L258" s="4540"/>
      <c r="M258" s="765" t="s">
        <v>1313</v>
      </c>
      <c r="N258" s="221" t="s">
        <v>3019</v>
      </c>
      <c r="O258" s="763">
        <v>27600</v>
      </c>
      <c r="P258" s="763">
        <v>27600</v>
      </c>
      <c r="Q258" s="763">
        <v>27600</v>
      </c>
      <c r="R258" s="763">
        <v>27600</v>
      </c>
      <c r="S258" s="763">
        <v>27600</v>
      </c>
      <c r="T258" s="763">
        <v>27600</v>
      </c>
      <c r="U258" s="763">
        <v>27600</v>
      </c>
      <c r="V258" s="763">
        <v>27600</v>
      </c>
      <c r="W258" s="763">
        <v>27600</v>
      </c>
      <c r="X258" s="763">
        <v>27600</v>
      </c>
      <c r="Y258" s="763">
        <v>27600</v>
      </c>
      <c r="Z258" s="763">
        <v>27600</v>
      </c>
      <c r="AA258" s="764">
        <f t="shared" si="8"/>
        <v>331200</v>
      </c>
    </row>
    <row r="259" spans="1:27" ht="72" x14ac:dyDescent="0.25">
      <c r="A259" s="513"/>
      <c r="B259" s="4544"/>
      <c r="C259" s="4529"/>
      <c r="D259" s="3172"/>
      <c r="E259" s="4532"/>
      <c r="F259" s="4535"/>
      <c r="G259" s="3172"/>
      <c r="H259" s="3172"/>
      <c r="I259" s="3172"/>
      <c r="J259" s="3172"/>
      <c r="K259" s="4446"/>
      <c r="L259" s="4540"/>
      <c r="M259" s="765" t="s">
        <v>1314</v>
      </c>
      <c r="N259" s="221" t="s">
        <v>3020</v>
      </c>
      <c r="O259" s="763">
        <v>57837.25</v>
      </c>
      <c r="P259" s="763">
        <v>57837.25</v>
      </c>
      <c r="Q259" s="763">
        <v>57837.25</v>
      </c>
      <c r="R259" s="763">
        <v>57837.25</v>
      </c>
      <c r="S259" s="763">
        <v>57837.25</v>
      </c>
      <c r="T259" s="763">
        <v>57837.25</v>
      </c>
      <c r="U259" s="763">
        <v>57837.25</v>
      </c>
      <c r="V259" s="763">
        <v>57837.25</v>
      </c>
      <c r="W259" s="763">
        <v>57837.25</v>
      </c>
      <c r="X259" s="763">
        <v>57837.25</v>
      </c>
      <c r="Y259" s="763">
        <v>57837.25</v>
      </c>
      <c r="Z259" s="763">
        <v>57837.25</v>
      </c>
      <c r="AA259" s="764">
        <f t="shared" si="8"/>
        <v>694047</v>
      </c>
    </row>
    <row r="260" spans="1:27" ht="72" x14ac:dyDescent="0.25">
      <c r="A260" s="513"/>
      <c r="B260" s="4544"/>
      <c r="C260" s="4529"/>
      <c r="D260" s="3172"/>
      <c r="E260" s="4532"/>
      <c r="F260" s="4535"/>
      <c r="G260" s="3172"/>
      <c r="H260" s="3172"/>
      <c r="I260" s="3172"/>
      <c r="J260" s="3172"/>
      <c r="K260" s="4446"/>
      <c r="L260" s="4540"/>
      <c r="M260" s="765" t="s">
        <v>1316</v>
      </c>
      <c r="N260" s="221" t="s">
        <v>3021</v>
      </c>
      <c r="O260" s="763">
        <v>106930</v>
      </c>
      <c r="P260" s="763">
        <v>106930</v>
      </c>
      <c r="Q260" s="763">
        <v>106930</v>
      </c>
      <c r="R260" s="763">
        <v>106930</v>
      </c>
      <c r="S260" s="763">
        <v>106930</v>
      </c>
      <c r="T260" s="763">
        <v>106930</v>
      </c>
      <c r="U260" s="763">
        <v>106930</v>
      </c>
      <c r="V260" s="763">
        <v>106930</v>
      </c>
      <c r="W260" s="763">
        <v>106930</v>
      </c>
      <c r="X260" s="763">
        <v>106930</v>
      </c>
      <c r="Y260" s="763">
        <v>106930</v>
      </c>
      <c r="Z260" s="763">
        <v>106930</v>
      </c>
      <c r="AA260" s="764">
        <f t="shared" si="8"/>
        <v>1283160</v>
      </c>
    </row>
    <row r="261" spans="1:27" ht="48" x14ac:dyDescent="0.25">
      <c r="A261" s="513"/>
      <c r="B261" s="4544"/>
      <c r="C261" s="4529"/>
      <c r="D261" s="3172"/>
      <c r="E261" s="4532"/>
      <c r="F261" s="4535"/>
      <c r="G261" s="3172"/>
      <c r="H261" s="3172"/>
      <c r="I261" s="3172"/>
      <c r="J261" s="3172"/>
      <c r="K261" s="4446"/>
      <c r="L261" s="4540"/>
      <c r="M261" s="765" t="s">
        <v>1318</v>
      </c>
      <c r="N261" s="221" t="s">
        <v>3022</v>
      </c>
      <c r="O261" s="763">
        <v>428444.91666666669</v>
      </c>
      <c r="P261" s="763">
        <v>428444.91666666669</v>
      </c>
      <c r="Q261" s="763">
        <v>428444.91666666669</v>
      </c>
      <c r="R261" s="763">
        <v>428444.91666666669</v>
      </c>
      <c r="S261" s="763">
        <v>428444.91666666669</v>
      </c>
      <c r="T261" s="763">
        <v>428444.91666666669</v>
      </c>
      <c r="U261" s="763">
        <v>428444.91666666669</v>
      </c>
      <c r="V261" s="763">
        <v>428444.91666666669</v>
      </c>
      <c r="W261" s="763">
        <v>428444.91666666669</v>
      </c>
      <c r="X261" s="763">
        <v>428444.91666666669</v>
      </c>
      <c r="Y261" s="763">
        <v>428444.91666666669</v>
      </c>
      <c r="Z261" s="763">
        <v>428444.91666666669</v>
      </c>
      <c r="AA261" s="764">
        <f t="shared" si="8"/>
        <v>5141339</v>
      </c>
    </row>
    <row r="262" spans="1:27" x14ac:dyDescent="0.25">
      <c r="A262" s="513"/>
      <c r="B262" s="4544"/>
      <c r="C262" s="4529"/>
      <c r="D262" s="3172"/>
      <c r="E262" s="4532"/>
      <c r="F262" s="4535"/>
      <c r="G262" s="3172"/>
      <c r="H262" s="3172"/>
      <c r="I262" s="3172"/>
      <c r="J262" s="3172"/>
      <c r="K262" s="4446"/>
      <c r="L262" s="4540"/>
      <c r="M262" s="765" t="s">
        <v>1320</v>
      </c>
      <c r="N262" s="221" t="s">
        <v>173</v>
      </c>
      <c r="O262" s="763">
        <v>6350</v>
      </c>
      <c r="P262" s="763">
        <v>6350</v>
      </c>
      <c r="Q262" s="763">
        <v>6350</v>
      </c>
      <c r="R262" s="763">
        <v>6350</v>
      </c>
      <c r="S262" s="763">
        <v>6350</v>
      </c>
      <c r="T262" s="763">
        <v>6350</v>
      </c>
      <c r="U262" s="763">
        <v>6350</v>
      </c>
      <c r="V262" s="763">
        <v>6350</v>
      </c>
      <c r="W262" s="763">
        <v>6350</v>
      </c>
      <c r="X262" s="763">
        <v>6350</v>
      </c>
      <c r="Y262" s="763">
        <v>6350</v>
      </c>
      <c r="Z262" s="763">
        <v>6350</v>
      </c>
      <c r="AA262" s="764">
        <f t="shared" si="8"/>
        <v>76200</v>
      </c>
    </row>
    <row r="263" spans="1:27" ht="36" x14ac:dyDescent="0.25">
      <c r="A263" s="513"/>
      <c r="B263" s="4544"/>
      <c r="C263" s="4529"/>
      <c r="D263" s="3172"/>
      <c r="E263" s="4532"/>
      <c r="F263" s="4535"/>
      <c r="G263" s="3172"/>
      <c r="H263" s="3172"/>
      <c r="I263" s="3172"/>
      <c r="J263" s="3172"/>
      <c r="K263" s="4446"/>
      <c r="L263" s="4540"/>
      <c r="M263" s="765" t="s">
        <v>1322</v>
      </c>
      <c r="N263" s="221" t="s">
        <v>175</v>
      </c>
      <c r="O263" s="763">
        <v>4002.25</v>
      </c>
      <c r="P263" s="763">
        <v>4002.25</v>
      </c>
      <c r="Q263" s="763">
        <v>4002.25</v>
      </c>
      <c r="R263" s="763">
        <v>4002.25</v>
      </c>
      <c r="S263" s="763">
        <v>4002.25</v>
      </c>
      <c r="T263" s="763">
        <v>4002.25</v>
      </c>
      <c r="U263" s="763">
        <v>4002.25</v>
      </c>
      <c r="V263" s="763">
        <v>4002.25</v>
      </c>
      <c r="W263" s="763">
        <v>4002.25</v>
      </c>
      <c r="X263" s="763">
        <v>4002.25</v>
      </c>
      <c r="Y263" s="763">
        <v>4002.25</v>
      </c>
      <c r="Z263" s="763">
        <v>4002.25</v>
      </c>
      <c r="AA263" s="764">
        <f t="shared" si="8"/>
        <v>48027</v>
      </c>
    </row>
    <row r="264" spans="1:27" ht="60" x14ac:dyDescent="0.25">
      <c r="A264" s="513"/>
      <c r="B264" s="4544"/>
      <c r="C264" s="4529"/>
      <c r="D264" s="3172"/>
      <c r="E264" s="4532"/>
      <c r="F264" s="4535"/>
      <c r="G264" s="3172"/>
      <c r="H264" s="3172"/>
      <c r="I264" s="3172"/>
      <c r="J264" s="3172"/>
      <c r="K264" s="4446"/>
      <c r="L264" s="4540"/>
      <c r="M264" s="765" t="s">
        <v>1324</v>
      </c>
      <c r="N264" s="221" t="s">
        <v>3023</v>
      </c>
      <c r="O264" s="763">
        <v>8333.3333333333339</v>
      </c>
      <c r="P264" s="763">
        <v>8333.3333333333339</v>
      </c>
      <c r="Q264" s="763">
        <v>8333.3333333333339</v>
      </c>
      <c r="R264" s="763">
        <v>8333.3333333333339</v>
      </c>
      <c r="S264" s="763">
        <v>8333.3333333333339</v>
      </c>
      <c r="T264" s="763">
        <v>8333.3333333333339</v>
      </c>
      <c r="U264" s="763">
        <v>8333.3333333333339</v>
      </c>
      <c r="V264" s="763">
        <v>8333.3333333333339</v>
      </c>
      <c r="W264" s="763">
        <v>8333.3333333333339</v>
      </c>
      <c r="X264" s="763">
        <v>8333.3333333333339</v>
      </c>
      <c r="Y264" s="763">
        <v>8333.3333333333339</v>
      </c>
      <c r="Z264" s="763">
        <v>8333.3333333333339</v>
      </c>
      <c r="AA264" s="764">
        <f t="shared" si="8"/>
        <v>99999.999999999985</v>
      </c>
    </row>
    <row r="265" spans="1:27" ht="36" x14ac:dyDescent="0.25">
      <c r="A265" s="513"/>
      <c r="B265" s="4544"/>
      <c r="C265" s="4529"/>
      <c r="D265" s="3172"/>
      <c r="E265" s="4532"/>
      <c r="F265" s="4535"/>
      <c r="G265" s="3172"/>
      <c r="H265" s="3172"/>
      <c r="I265" s="3172"/>
      <c r="J265" s="3172"/>
      <c r="K265" s="4446"/>
      <c r="L265" s="4540"/>
      <c r="M265" s="765" t="s">
        <v>1325</v>
      </c>
      <c r="N265" s="221" t="s">
        <v>3024</v>
      </c>
      <c r="O265" s="763">
        <v>247854.33333333334</v>
      </c>
      <c r="P265" s="763">
        <v>247854.33333333334</v>
      </c>
      <c r="Q265" s="763">
        <v>247854.33333333334</v>
      </c>
      <c r="R265" s="763">
        <v>247854.33333333334</v>
      </c>
      <c r="S265" s="763">
        <v>247854.33333333334</v>
      </c>
      <c r="T265" s="763">
        <v>247854.33333333334</v>
      </c>
      <c r="U265" s="763">
        <v>247854.33333333334</v>
      </c>
      <c r="V265" s="763">
        <v>247854.33333333334</v>
      </c>
      <c r="W265" s="763">
        <v>247854.33333333334</v>
      </c>
      <c r="X265" s="763">
        <v>247854.33333333334</v>
      </c>
      <c r="Y265" s="763">
        <v>247854.33333333334</v>
      </c>
      <c r="Z265" s="763">
        <v>247854.33333333334</v>
      </c>
      <c r="AA265" s="764">
        <f t="shared" si="8"/>
        <v>2974252.0000000005</v>
      </c>
    </row>
    <row r="266" spans="1:27" ht="60" x14ac:dyDescent="0.25">
      <c r="A266" s="513"/>
      <c r="B266" s="4544"/>
      <c r="C266" s="4529"/>
      <c r="D266" s="3172"/>
      <c r="E266" s="4532"/>
      <c r="F266" s="4535"/>
      <c r="G266" s="3172"/>
      <c r="H266" s="3172"/>
      <c r="I266" s="3172"/>
      <c r="J266" s="3172"/>
      <c r="K266" s="4446"/>
      <c r="L266" s="4540"/>
      <c r="M266" s="765" t="s">
        <v>1327</v>
      </c>
      <c r="N266" s="221" t="s">
        <v>3025</v>
      </c>
      <c r="O266" s="763">
        <v>8333.3333333333339</v>
      </c>
      <c r="P266" s="763">
        <v>8333.3333333333339</v>
      </c>
      <c r="Q266" s="763">
        <v>8333.3333333333339</v>
      </c>
      <c r="R266" s="763">
        <v>8333.3333333333339</v>
      </c>
      <c r="S266" s="763">
        <v>8333.3333333333339</v>
      </c>
      <c r="T266" s="763">
        <v>8333.3333333333339</v>
      </c>
      <c r="U266" s="763">
        <v>8333.3333333333339</v>
      </c>
      <c r="V266" s="763">
        <v>8333.3333333333339</v>
      </c>
      <c r="W266" s="763">
        <v>8333.3333333333339</v>
      </c>
      <c r="X266" s="763">
        <v>8333.3333333333339</v>
      </c>
      <c r="Y266" s="763">
        <v>8333.3333333333339</v>
      </c>
      <c r="Z266" s="763">
        <v>8333.3333333333339</v>
      </c>
      <c r="AA266" s="764">
        <f t="shared" si="8"/>
        <v>99999.999999999985</v>
      </c>
    </row>
    <row r="267" spans="1:27" ht="36" x14ac:dyDescent="0.25">
      <c r="A267" s="513"/>
      <c r="B267" s="4544"/>
      <c r="C267" s="4529"/>
      <c r="D267" s="3172"/>
      <c r="E267" s="4532"/>
      <c r="F267" s="4535"/>
      <c r="G267" s="3172"/>
      <c r="H267" s="3172"/>
      <c r="I267" s="3172"/>
      <c r="J267" s="3172"/>
      <c r="K267" s="4446"/>
      <c r="L267" s="4540"/>
      <c r="M267" s="765" t="s">
        <v>1328</v>
      </c>
      <c r="N267" s="221" t="s">
        <v>3026</v>
      </c>
      <c r="O267" s="763">
        <v>12411.333333333334</v>
      </c>
      <c r="P267" s="763">
        <v>12411.333333333334</v>
      </c>
      <c r="Q267" s="763">
        <v>12411.333333333334</v>
      </c>
      <c r="R267" s="763">
        <v>12411.333333333334</v>
      </c>
      <c r="S267" s="763">
        <v>12411.333333333334</v>
      </c>
      <c r="T267" s="763">
        <v>12411.333333333334</v>
      </c>
      <c r="U267" s="763">
        <v>12411.333333333334</v>
      </c>
      <c r="V267" s="763">
        <v>12411.333333333334</v>
      </c>
      <c r="W267" s="763">
        <v>12411.333333333334</v>
      </c>
      <c r="X267" s="763">
        <v>12411.333333333334</v>
      </c>
      <c r="Y267" s="763">
        <v>12411.333333333334</v>
      </c>
      <c r="Z267" s="763">
        <v>12411.333333333334</v>
      </c>
      <c r="AA267" s="764">
        <f t="shared" si="8"/>
        <v>148936</v>
      </c>
    </row>
    <row r="268" spans="1:27" ht="48" x14ac:dyDescent="0.25">
      <c r="A268" s="513"/>
      <c r="B268" s="4544"/>
      <c r="C268" s="4529"/>
      <c r="D268" s="3172"/>
      <c r="E268" s="4532"/>
      <c r="F268" s="4535"/>
      <c r="G268" s="3172"/>
      <c r="H268" s="3172"/>
      <c r="I268" s="3172"/>
      <c r="J268" s="3172"/>
      <c r="K268" s="4446"/>
      <c r="L268" s="4540"/>
      <c r="M268" s="765" t="s">
        <v>1330</v>
      </c>
      <c r="N268" s="221" t="s">
        <v>1360</v>
      </c>
      <c r="O268" s="763">
        <v>29521</v>
      </c>
      <c r="P268" s="763">
        <v>29521</v>
      </c>
      <c r="Q268" s="763">
        <v>29521</v>
      </c>
      <c r="R268" s="763">
        <v>29521</v>
      </c>
      <c r="S268" s="763">
        <v>29521</v>
      </c>
      <c r="T268" s="763">
        <v>29521</v>
      </c>
      <c r="U268" s="763">
        <v>29521</v>
      </c>
      <c r="V268" s="763">
        <v>29521</v>
      </c>
      <c r="W268" s="763">
        <v>29521</v>
      </c>
      <c r="X268" s="763">
        <v>29521</v>
      </c>
      <c r="Y268" s="763">
        <v>29521</v>
      </c>
      <c r="Z268" s="763">
        <v>29521</v>
      </c>
      <c r="AA268" s="764">
        <f t="shared" si="8"/>
        <v>354252</v>
      </c>
    </row>
    <row r="269" spans="1:27" ht="48" x14ac:dyDescent="0.25">
      <c r="A269" s="513"/>
      <c r="B269" s="4544"/>
      <c r="C269" s="4529"/>
      <c r="D269" s="3172"/>
      <c r="E269" s="4532"/>
      <c r="F269" s="4535"/>
      <c r="G269" s="3172"/>
      <c r="H269" s="3172"/>
      <c r="I269" s="3172"/>
      <c r="J269" s="3172"/>
      <c r="K269" s="4446"/>
      <c r="L269" s="3171"/>
      <c r="M269" s="766" t="s">
        <v>1332</v>
      </c>
      <c r="N269" s="221" t="s">
        <v>2601</v>
      </c>
      <c r="O269" s="763">
        <v>1585.5833333333333</v>
      </c>
      <c r="P269" s="763">
        <v>1585.5833333333333</v>
      </c>
      <c r="Q269" s="763">
        <v>1585.5833333333333</v>
      </c>
      <c r="R269" s="763">
        <v>1585.5833333333333</v>
      </c>
      <c r="S269" s="763">
        <v>1585.5833333333333</v>
      </c>
      <c r="T269" s="763">
        <v>1585.5833333333333</v>
      </c>
      <c r="U269" s="763">
        <v>1585.5833333333333</v>
      </c>
      <c r="V269" s="763">
        <v>1585.5833333333333</v>
      </c>
      <c r="W269" s="763">
        <v>1585.5833333333333</v>
      </c>
      <c r="X269" s="763">
        <v>1585.5833333333333</v>
      </c>
      <c r="Y269" s="763">
        <v>1585.5833333333333</v>
      </c>
      <c r="Z269" s="763">
        <v>1585.5833333333333</v>
      </c>
      <c r="AA269" s="764">
        <f t="shared" si="8"/>
        <v>19027</v>
      </c>
    </row>
    <row r="270" spans="1:27" x14ac:dyDescent="0.25">
      <c r="A270" s="349"/>
      <c r="B270" s="4561" t="s">
        <v>1214</v>
      </c>
      <c r="C270" s="4562" t="s">
        <v>1085</v>
      </c>
      <c r="D270" s="4540" t="s">
        <v>3085</v>
      </c>
      <c r="E270" s="4563">
        <v>3</v>
      </c>
      <c r="F270" s="4564" t="s">
        <v>165</v>
      </c>
      <c r="G270" s="4564">
        <v>8</v>
      </c>
      <c r="H270" s="4540" t="s">
        <v>1334</v>
      </c>
      <c r="I270" s="4540" t="s">
        <v>1335</v>
      </c>
      <c r="J270" s="4559">
        <v>187</v>
      </c>
      <c r="K270" s="4559">
        <v>146088</v>
      </c>
      <c r="L270" s="4540" t="s">
        <v>1234</v>
      </c>
      <c r="M270" s="220" t="s">
        <v>51</v>
      </c>
      <c r="N270" s="220"/>
      <c r="O270" s="214">
        <v>15</v>
      </c>
      <c r="P270" s="214">
        <v>15</v>
      </c>
      <c r="Q270" s="214">
        <v>15</v>
      </c>
      <c r="R270" s="214">
        <v>15</v>
      </c>
      <c r="S270" s="214">
        <v>15</v>
      </c>
      <c r="T270" s="214">
        <v>15</v>
      </c>
      <c r="U270" s="214">
        <v>15</v>
      </c>
      <c r="V270" s="214">
        <v>22</v>
      </c>
      <c r="W270" s="214">
        <v>15</v>
      </c>
      <c r="X270" s="214">
        <v>15</v>
      </c>
      <c r="Y270" s="214">
        <v>15</v>
      </c>
      <c r="Z270" s="214">
        <v>15</v>
      </c>
      <c r="AA270" s="215">
        <f t="shared" si="8"/>
        <v>187</v>
      </c>
    </row>
    <row r="271" spans="1:27" x14ac:dyDescent="0.25">
      <c r="A271" s="349"/>
      <c r="B271" s="4561"/>
      <c r="C271" s="4562"/>
      <c r="D271" s="4540"/>
      <c r="E271" s="4563"/>
      <c r="F271" s="4564"/>
      <c r="G271" s="4564"/>
      <c r="H271" s="4540"/>
      <c r="I271" s="4540"/>
      <c r="J271" s="4559"/>
      <c r="K271" s="4559"/>
      <c r="L271" s="4540"/>
      <c r="M271" s="4560" t="s">
        <v>111</v>
      </c>
      <c r="N271" s="4560"/>
      <c r="O271" s="481">
        <f t="shared" ref="O271:Z271" si="12">SUM(O272)</f>
        <v>0</v>
      </c>
      <c r="P271" s="481">
        <f t="shared" si="12"/>
        <v>0</v>
      </c>
      <c r="Q271" s="481">
        <f t="shared" si="12"/>
        <v>0</v>
      </c>
      <c r="R271" s="481">
        <f t="shared" si="12"/>
        <v>146088</v>
      </c>
      <c r="S271" s="481">
        <f t="shared" si="12"/>
        <v>0</v>
      </c>
      <c r="T271" s="481">
        <f t="shared" si="12"/>
        <v>0</v>
      </c>
      <c r="U271" s="481">
        <f t="shared" si="12"/>
        <v>0</v>
      </c>
      <c r="V271" s="481">
        <f t="shared" si="12"/>
        <v>0</v>
      </c>
      <c r="W271" s="481">
        <f t="shared" si="12"/>
        <v>0</v>
      </c>
      <c r="X271" s="481">
        <f t="shared" si="12"/>
        <v>0</v>
      </c>
      <c r="Y271" s="481">
        <f t="shared" si="12"/>
        <v>0</v>
      </c>
      <c r="Z271" s="481">
        <f t="shared" si="12"/>
        <v>0</v>
      </c>
      <c r="AA271" s="217">
        <f t="shared" si="8"/>
        <v>146088</v>
      </c>
    </row>
    <row r="272" spans="1:27" ht="70.5" customHeight="1" x14ac:dyDescent="0.25">
      <c r="A272" s="349"/>
      <c r="B272" s="4561"/>
      <c r="C272" s="4562"/>
      <c r="D272" s="4540"/>
      <c r="E272" s="4563"/>
      <c r="F272" s="4564"/>
      <c r="G272" s="4564"/>
      <c r="H272" s="4540"/>
      <c r="I272" s="4540"/>
      <c r="J272" s="4559"/>
      <c r="K272" s="4559"/>
      <c r="L272" s="4540"/>
      <c r="M272" s="222" t="s">
        <v>1263</v>
      </c>
      <c r="N272" s="221" t="s">
        <v>2996</v>
      </c>
      <c r="O272" s="216"/>
      <c r="P272" s="216"/>
      <c r="Q272" s="216"/>
      <c r="R272" s="216">
        <v>146088</v>
      </c>
      <c r="S272" s="216"/>
      <c r="T272" s="216"/>
      <c r="U272" s="216"/>
      <c r="V272" s="216"/>
      <c r="W272" s="216"/>
      <c r="X272" s="216"/>
      <c r="Y272" s="216"/>
      <c r="Z272" s="216"/>
      <c r="AA272" s="215">
        <f t="shared" si="8"/>
        <v>146088</v>
      </c>
    </row>
    <row r="273" spans="1:27" x14ac:dyDescent="0.25">
      <c r="A273" s="513"/>
      <c r="B273" s="1352" t="s">
        <v>11</v>
      </c>
      <c r="C273" s="1498" t="s">
        <v>1337</v>
      </c>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24"/>
    </row>
    <row r="274" spans="1:27" x14ac:dyDescent="0.25">
      <c r="A274" s="513"/>
      <c r="B274" s="2298" t="s">
        <v>13</v>
      </c>
      <c r="C274" s="4556">
        <v>9002</v>
      </c>
      <c r="D274" s="3158" t="s">
        <v>14</v>
      </c>
      <c r="E274" s="3159"/>
      <c r="F274" s="3159"/>
      <c r="G274" s="3159"/>
      <c r="H274" s="3159"/>
      <c r="I274" s="3159"/>
      <c r="J274" s="3159"/>
      <c r="K274" s="3159"/>
      <c r="L274" s="3159"/>
      <c r="M274" s="3159"/>
      <c r="N274" s="3159"/>
      <c r="O274" s="3159"/>
      <c r="P274" s="3159"/>
      <c r="Q274" s="225"/>
      <c r="R274" s="225"/>
      <c r="S274" s="225"/>
      <c r="T274" s="225"/>
      <c r="U274" s="226"/>
      <c r="V274" s="2314" t="s">
        <v>15</v>
      </c>
      <c r="W274" s="2315"/>
      <c r="X274" s="2315"/>
      <c r="Y274" s="2316"/>
      <c r="Z274" s="2314" t="s">
        <v>16</v>
      </c>
      <c r="AA274" s="2316"/>
    </row>
    <row r="275" spans="1:27" x14ac:dyDescent="0.25">
      <c r="A275" s="513"/>
      <c r="B275" s="2298"/>
      <c r="C275" s="2960"/>
      <c r="D275" s="4557"/>
      <c r="E275" s="4558"/>
      <c r="F275" s="4558"/>
      <c r="G275" s="4558"/>
      <c r="H275" s="4558"/>
      <c r="I275" s="4558"/>
      <c r="J275" s="4558"/>
      <c r="K275" s="4558"/>
      <c r="L275" s="4558"/>
      <c r="M275" s="4558"/>
      <c r="N275" s="4558"/>
      <c r="O275" s="4558"/>
      <c r="P275" s="4558"/>
      <c r="Q275" s="227"/>
      <c r="R275" s="227"/>
      <c r="S275" s="227"/>
      <c r="T275" s="227"/>
      <c r="U275" s="228"/>
      <c r="V275" s="4304" t="s">
        <v>19</v>
      </c>
      <c r="W275" s="4305"/>
      <c r="X275" s="4305"/>
      <c r="Y275" s="4306"/>
      <c r="Z275" s="2314"/>
      <c r="AA275" s="2316"/>
    </row>
    <row r="276" spans="1:27" x14ac:dyDescent="0.25">
      <c r="A276" s="513"/>
      <c r="B276" s="2298" t="s">
        <v>18</v>
      </c>
      <c r="C276" s="2959">
        <v>3.9999989999999999</v>
      </c>
      <c r="D276" s="2308" t="s">
        <v>163</v>
      </c>
      <c r="E276" s="2309"/>
      <c r="F276" s="2309"/>
      <c r="G276" s="2309"/>
      <c r="H276" s="2309"/>
      <c r="I276" s="2309"/>
      <c r="J276" s="2309"/>
      <c r="K276" s="2309"/>
      <c r="L276" s="2309"/>
      <c r="M276" s="2309"/>
      <c r="N276" s="2309"/>
      <c r="O276" s="2309"/>
      <c r="P276" s="2309"/>
      <c r="Q276" s="204"/>
      <c r="R276" s="204"/>
      <c r="S276" s="204"/>
      <c r="T276" s="204"/>
      <c r="U276" s="211"/>
      <c r="V276" s="2314" t="s">
        <v>15</v>
      </c>
      <c r="W276" s="2315"/>
      <c r="X276" s="2315"/>
      <c r="Y276" s="2316"/>
      <c r="Z276" s="2305" t="s">
        <v>16</v>
      </c>
      <c r="AA276" s="2305"/>
    </row>
    <row r="277" spans="1:27" x14ac:dyDescent="0.25">
      <c r="A277" s="513"/>
      <c r="B277" s="2298"/>
      <c r="C277" s="2961"/>
      <c r="D277" s="2311"/>
      <c r="E277" s="2312"/>
      <c r="F277" s="2312"/>
      <c r="G277" s="2312"/>
      <c r="H277" s="2312"/>
      <c r="I277" s="2312"/>
      <c r="J277" s="2312"/>
      <c r="K277" s="2312"/>
      <c r="L277" s="2312"/>
      <c r="M277" s="2312"/>
      <c r="N277" s="2312"/>
      <c r="O277" s="2312"/>
      <c r="P277" s="2312"/>
      <c r="Q277" s="208"/>
      <c r="R277" s="208"/>
      <c r="S277" s="208"/>
      <c r="T277" s="208"/>
      <c r="U277" s="213"/>
      <c r="V277" s="4304" t="s">
        <v>19</v>
      </c>
      <c r="W277" s="4305"/>
      <c r="X277" s="4305"/>
      <c r="Y277" s="4306"/>
      <c r="Z277" s="2305"/>
      <c r="AA277" s="2305"/>
    </row>
    <row r="278" spans="1:27" x14ac:dyDescent="0.25">
      <c r="A278" s="513"/>
      <c r="B278" s="2924" t="s">
        <v>20</v>
      </c>
      <c r="C278" s="2324" t="s">
        <v>21</v>
      </c>
      <c r="D278" s="2324" t="s">
        <v>22</v>
      </c>
      <c r="E278" s="2324" t="s">
        <v>23</v>
      </c>
      <c r="F278" s="2324" t="s">
        <v>24</v>
      </c>
      <c r="G278" s="2324" t="s">
        <v>25</v>
      </c>
      <c r="H278" s="2324" t="s">
        <v>26</v>
      </c>
      <c r="I278" s="2324" t="s">
        <v>27</v>
      </c>
      <c r="J278" s="2322" t="s">
        <v>28</v>
      </c>
      <c r="K278" s="2323"/>
      <c r="L278" s="2324" t="s">
        <v>29</v>
      </c>
      <c r="M278" s="2322" t="s">
        <v>30</v>
      </c>
      <c r="N278" s="2323"/>
      <c r="O278" s="4589" t="s">
        <v>31</v>
      </c>
      <c r="P278" s="4590"/>
      <c r="Q278" s="4590"/>
      <c r="R278" s="4590"/>
      <c r="S278" s="4590"/>
      <c r="T278" s="4590"/>
      <c r="U278" s="4590"/>
      <c r="V278" s="4590"/>
      <c r="W278" s="4590"/>
      <c r="X278" s="4590"/>
      <c r="Y278" s="4590"/>
      <c r="Z278" s="4591"/>
      <c r="AA278" s="2346" t="s">
        <v>32</v>
      </c>
    </row>
    <row r="279" spans="1:27" ht="21.75" customHeight="1" x14ac:dyDescent="0.25">
      <c r="A279" s="513"/>
      <c r="B279" s="2924"/>
      <c r="C279" s="2324"/>
      <c r="D279" s="2324"/>
      <c r="E279" s="2324"/>
      <c r="F279" s="2324"/>
      <c r="G279" s="2324"/>
      <c r="H279" s="2324"/>
      <c r="I279" s="2324"/>
      <c r="J279" s="1355" t="s">
        <v>33</v>
      </c>
      <c r="K279" s="1355" t="s">
        <v>34</v>
      </c>
      <c r="L279" s="2324"/>
      <c r="M279" s="2325"/>
      <c r="N279" s="2326"/>
      <c r="O279" s="1354" t="s">
        <v>35</v>
      </c>
      <c r="P279" s="1354" t="s">
        <v>36</v>
      </c>
      <c r="Q279" s="1354" t="s">
        <v>37</v>
      </c>
      <c r="R279" s="1354" t="s">
        <v>38</v>
      </c>
      <c r="S279" s="1354" t="s">
        <v>39</v>
      </c>
      <c r="T279" s="1354" t="s">
        <v>40</v>
      </c>
      <c r="U279" s="1354" t="s">
        <v>41</v>
      </c>
      <c r="V279" s="1354" t="s">
        <v>42</v>
      </c>
      <c r="W279" s="1354" t="s">
        <v>43</v>
      </c>
      <c r="X279" s="1354" t="s">
        <v>44</v>
      </c>
      <c r="Y279" s="1354" t="s">
        <v>45</v>
      </c>
      <c r="Z279" s="1354" t="s">
        <v>46</v>
      </c>
      <c r="AA279" s="2346"/>
    </row>
    <row r="280" spans="1:27" x14ac:dyDescent="0.25">
      <c r="A280" s="513"/>
      <c r="B280" s="4592" t="s">
        <v>1214</v>
      </c>
      <c r="C280" s="4593" t="s">
        <v>1085</v>
      </c>
      <c r="D280" s="4593" t="s">
        <v>3084</v>
      </c>
      <c r="E280" s="4588">
        <v>3</v>
      </c>
      <c r="F280" s="4588">
        <v>6</v>
      </c>
      <c r="G280" s="4588">
        <v>8</v>
      </c>
      <c r="H280" s="4588" t="s">
        <v>1338</v>
      </c>
      <c r="I280" s="4588" t="s">
        <v>133</v>
      </c>
      <c r="J280" s="4587">
        <v>12</v>
      </c>
      <c r="K280" s="4587">
        <v>2586</v>
      </c>
      <c r="L280" s="4588" t="s">
        <v>1339</v>
      </c>
      <c r="M280" s="3158" t="s">
        <v>51</v>
      </c>
      <c r="N280" s="3159"/>
      <c r="O280" s="481">
        <v>1</v>
      </c>
      <c r="P280" s="481">
        <v>1</v>
      </c>
      <c r="Q280" s="481">
        <v>1</v>
      </c>
      <c r="R280" s="481">
        <v>1</v>
      </c>
      <c r="S280" s="481">
        <v>1</v>
      </c>
      <c r="T280" s="481">
        <v>1</v>
      </c>
      <c r="U280" s="481">
        <v>1</v>
      </c>
      <c r="V280" s="481">
        <v>1</v>
      </c>
      <c r="W280" s="481">
        <v>1</v>
      </c>
      <c r="X280" s="481">
        <v>1</v>
      </c>
      <c r="Y280" s="481">
        <v>1</v>
      </c>
      <c r="Z280" s="481">
        <v>1</v>
      </c>
      <c r="AA280" s="229">
        <f>SUM(O280:Z280)</f>
        <v>12</v>
      </c>
    </row>
    <row r="281" spans="1:27" x14ac:dyDescent="0.25">
      <c r="A281" s="513"/>
      <c r="B281" s="4592"/>
      <c r="C281" s="4593"/>
      <c r="D281" s="4593"/>
      <c r="E281" s="4588"/>
      <c r="F281" s="4588"/>
      <c r="G281" s="4588"/>
      <c r="H281" s="4588"/>
      <c r="I281" s="4588"/>
      <c r="J281" s="4587"/>
      <c r="K281" s="4587"/>
      <c r="L281" s="4588"/>
      <c r="M281" s="2293" t="s">
        <v>1340</v>
      </c>
      <c r="N281" s="2293"/>
      <c r="O281" s="481">
        <f t="shared" ref="O281:Z281" si="13">SUM(O282)</f>
        <v>215.5</v>
      </c>
      <c r="P281" s="481">
        <f t="shared" si="13"/>
        <v>215.5</v>
      </c>
      <c r="Q281" s="481">
        <f t="shared" si="13"/>
        <v>215.5</v>
      </c>
      <c r="R281" s="481">
        <f t="shared" si="13"/>
        <v>215.5</v>
      </c>
      <c r="S281" s="481">
        <f t="shared" si="13"/>
        <v>215.5</v>
      </c>
      <c r="T281" s="481">
        <f t="shared" si="13"/>
        <v>215.5</v>
      </c>
      <c r="U281" s="481">
        <f t="shared" si="13"/>
        <v>215.5</v>
      </c>
      <c r="V281" s="481">
        <f t="shared" si="13"/>
        <v>215.5</v>
      </c>
      <c r="W281" s="481">
        <f t="shared" si="13"/>
        <v>215.5</v>
      </c>
      <c r="X281" s="481">
        <f t="shared" si="13"/>
        <v>215.5</v>
      </c>
      <c r="Y281" s="481">
        <f t="shared" si="13"/>
        <v>215.5</v>
      </c>
      <c r="Z281" s="481">
        <f t="shared" si="13"/>
        <v>215.5</v>
      </c>
      <c r="AA281" s="229">
        <f>SUM(O281:Z281)</f>
        <v>2586</v>
      </c>
    </row>
    <row r="282" spans="1:27" ht="55.5" customHeight="1" x14ac:dyDescent="0.25">
      <c r="A282" s="513"/>
      <c r="B282" s="4592"/>
      <c r="C282" s="4593"/>
      <c r="D282" s="4593"/>
      <c r="E282" s="4588"/>
      <c r="F282" s="4588"/>
      <c r="G282" s="4588"/>
      <c r="H282" s="4588"/>
      <c r="I282" s="4588"/>
      <c r="J282" s="4587"/>
      <c r="K282" s="4587"/>
      <c r="L282" s="4588"/>
      <c r="M282" s="219" t="s">
        <v>1341</v>
      </c>
      <c r="N282" s="219" t="s">
        <v>3083</v>
      </c>
      <c r="O282" s="481">
        <v>215.5</v>
      </c>
      <c r="P282" s="481">
        <v>215.5</v>
      </c>
      <c r="Q282" s="481">
        <v>215.5</v>
      </c>
      <c r="R282" s="481">
        <v>215.5</v>
      </c>
      <c r="S282" s="481">
        <v>215.5</v>
      </c>
      <c r="T282" s="481">
        <v>215.5</v>
      </c>
      <c r="U282" s="481">
        <v>215.5</v>
      </c>
      <c r="V282" s="481">
        <v>215.5</v>
      </c>
      <c r="W282" s="481">
        <v>215.5</v>
      </c>
      <c r="X282" s="481">
        <v>215.5</v>
      </c>
      <c r="Y282" s="481">
        <v>215.5</v>
      </c>
      <c r="Z282" s="481">
        <v>215.5</v>
      </c>
      <c r="AA282" s="229">
        <f>SUM(O282:Z282)</f>
        <v>2586</v>
      </c>
    </row>
    <row r="283" spans="1:27" x14ac:dyDescent="0.25">
      <c r="A283" s="513"/>
      <c r="B283" s="1352" t="s">
        <v>4</v>
      </c>
      <c r="C283" s="2294" t="s">
        <v>2330</v>
      </c>
      <c r="D283" s="2295"/>
      <c r="E283" s="2295"/>
      <c r="F283" s="2295"/>
      <c r="G283" s="2295"/>
      <c r="H283" s="2295"/>
      <c r="I283" s="2295"/>
      <c r="J283" s="2295"/>
      <c r="K283" s="2295"/>
      <c r="L283" s="2295"/>
      <c r="M283" s="2295"/>
      <c r="N283" s="2295"/>
      <c r="O283" s="1358"/>
      <c r="P283" s="1358"/>
      <c r="Q283" s="1358"/>
      <c r="R283" s="1358"/>
      <c r="S283" s="1358"/>
      <c r="T283" s="1358"/>
      <c r="U283" s="1358"/>
      <c r="V283" s="1358"/>
      <c r="W283" s="1358"/>
      <c r="X283" s="1358"/>
      <c r="Y283" s="1358"/>
      <c r="Z283" s="203"/>
      <c r="AA283" s="346"/>
    </row>
    <row r="284" spans="1:27" ht="24" x14ac:dyDescent="0.25">
      <c r="A284" s="513"/>
      <c r="B284" s="1352" t="s">
        <v>6</v>
      </c>
      <c r="C284" s="2294" t="s">
        <v>2314</v>
      </c>
      <c r="D284" s="2295"/>
      <c r="E284" s="2295"/>
      <c r="F284" s="2295"/>
      <c r="G284" s="2295"/>
      <c r="H284" s="2295"/>
      <c r="I284" s="2295"/>
      <c r="J284" s="2295"/>
      <c r="K284" s="2295"/>
      <c r="L284" s="2295"/>
      <c r="M284" s="2295"/>
      <c r="N284" s="2295"/>
      <c r="O284" s="2295"/>
      <c r="P284" s="2295"/>
      <c r="Q284" s="2295"/>
      <c r="R284" s="2295"/>
      <c r="S284" s="2295"/>
      <c r="T284" s="2295"/>
      <c r="U284" s="2295"/>
      <c r="V284" s="2295"/>
      <c r="W284" s="2295"/>
      <c r="X284" s="2295"/>
      <c r="Y284" s="2295"/>
      <c r="Z284" s="203"/>
      <c r="AA284" s="346"/>
    </row>
    <row r="285" spans="1:27" ht="27.75" customHeight="1" x14ac:dyDescent="0.25">
      <c r="A285" s="513"/>
      <c r="B285" s="1859" t="s">
        <v>8</v>
      </c>
      <c r="C285" s="2911" t="s">
        <v>2315</v>
      </c>
      <c r="D285" s="2912"/>
      <c r="E285" s="2912"/>
      <c r="F285" s="2912"/>
      <c r="G285" s="2912"/>
      <c r="H285" s="2912"/>
      <c r="I285" s="363"/>
      <c r="J285" s="363"/>
      <c r="K285" s="363"/>
      <c r="L285" s="363"/>
      <c r="M285" s="363"/>
      <c r="N285" s="363"/>
      <c r="O285" s="363"/>
      <c r="P285" s="363"/>
      <c r="Q285" s="363"/>
      <c r="R285" s="363"/>
      <c r="S285" s="363"/>
      <c r="T285" s="363"/>
      <c r="U285" s="363"/>
      <c r="V285" s="363"/>
      <c r="W285" s="363"/>
      <c r="X285" s="363"/>
      <c r="Y285" s="363"/>
      <c r="Z285" s="365"/>
      <c r="AA285" s="515"/>
    </row>
    <row r="286" spans="1:27" x14ac:dyDescent="0.25">
      <c r="A286" s="513"/>
      <c r="B286" s="1352" t="s">
        <v>11</v>
      </c>
      <c r="C286" s="2972" t="s">
        <v>230</v>
      </c>
      <c r="D286" s="2972"/>
      <c r="E286" s="2972"/>
      <c r="F286" s="2972"/>
      <c r="G286" s="2972"/>
      <c r="H286" s="2972"/>
      <c r="I286" s="2972"/>
      <c r="J286" s="2972"/>
      <c r="K286" s="2972"/>
      <c r="L286" s="2972"/>
      <c r="M286" s="2972"/>
      <c r="N286" s="2972"/>
      <c r="O286" s="2972"/>
      <c r="P286" s="2972"/>
      <c r="Q286" s="2972"/>
      <c r="R286" s="2972"/>
      <c r="S286" s="2972"/>
      <c r="T286" s="2972"/>
      <c r="U286" s="2972"/>
      <c r="V286" s="2972"/>
      <c r="W286" s="2972"/>
      <c r="X286" s="2972"/>
      <c r="Y286" s="4301"/>
      <c r="Z286" s="203"/>
      <c r="AA286" s="346"/>
    </row>
    <row r="287" spans="1:27" ht="24" customHeight="1" x14ac:dyDescent="0.25">
      <c r="A287" s="513"/>
      <c r="B287" s="2293" t="s">
        <v>13</v>
      </c>
      <c r="C287" s="4585">
        <v>9001</v>
      </c>
      <c r="D287" s="3164" t="s">
        <v>230</v>
      </c>
      <c r="E287" s="1575"/>
      <c r="F287" s="1575"/>
      <c r="G287" s="1575"/>
      <c r="H287" s="1575"/>
      <c r="I287" s="513"/>
      <c r="J287" s="204"/>
      <c r="K287" s="204"/>
      <c r="L287" s="204"/>
      <c r="M287" s="204"/>
      <c r="N287" s="204"/>
      <c r="O287" s="204"/>
      <c r="P287" s="204"/>
      <c r="Q287" s="204"/>
      <c r="R287" s="204"/>
      <c r="S287" s="204"/>
      <c r="T287" s="205"/>
      <c r="U287" s="207"/>
      <c r="V287" s="2314" t="s">
        <v>15</v>
      </c>
      <c r="W287" s="2315"/>
      <c r="X287" s="2315"/>
      <c r="Y287" s="2316"/>
      <c r="Z287" s="2314" t="s">
        <v>16</v>
      </c>
      <c r="AA287" s="2316"/>
    </row>
    <row r="288" spans="1:27" ht="14.25" customHeight="1" x14ac:dyDescent="0.25">
      <c r="A288" s="513"/>
      <c r="B288" s="2293"/>
      <c r="C288" s="4586"/>
      <c r="D288" s="3164"/>
      <c r="E288" s="1576"/>
      <c r="F288" s="1576"/>
      <c r="G288" s="1576"/>
      <c r="H288" s="1576"/>
      <c r="I288" s="206"/>
      <c r="J288" s="206"/>
      <c r="K288" s="206"/>
      <c r="L288" s="206"/>
      <c r="M288" s="206"/>
      <c r="N288" s="206"/>
      <c r="O288" s="206"/>
      <c r="P288" s="206"/>
      <c r="Q288" s="206"/>
      <c r="R288" s="206"/>
      <c r="S288" s="206"/>
      <c r="T288" s="207"/>
      <c r="U288" s="207"/>
      <c r="V288" s="4304" t="s">
        <v>19</v>
      </c>
      <c r="W288" s="4305"/>
      <c r="X288" s="4305"/>
      <c r="Y288" s="4306"/>
      <c r="Z288" s="2314"/>
      <c r="AA288" s="2316"/>
    </row>
    <row r="289" spans="1:27" ht="22.5" customHeight="1" x14ac:dyDescent="0.25">
      <c r="A289" s="513"/>
      <c r="B289" s="2293" t="s">
        <v>18</v>
      </c>
      <c r="C289" s="2331">
        <v>3999999</v>
      </c>
      <c r="D289" s="2357" t="s">
        <v>2316</v>
      </c>
      <c r="E289" s="2306"/>
      <c r="F289" s="2962"/>
      <c r="G289" s="2962"/>
      <c r="H289" s="2962"/>
      <c r="I289" s="2962"/>
      <c r="J289" s="2962"/>
      <c r="K289" s="2962"/>
      <c r="L289" s="2962"/>
      <c r="M289" s="204"/>
      <c r="N289" s="204"/>
      <c r="O289" s="204"/>
      <c r="P289" s="204"/>
      <c r="Q289" s="204"/>
      <c r="R289" s="204"/>
      <c r="S289" s="204"/>
      <c r="T289" s="204"/>
      <c r="U289" s="211"/>
      <c r="V289" s="2314" t="s">
        <v>15</v>
      </c>
      <c r="W289" s="2315"/>
      <c r="X289" s="2315"/>
      <c r="Y289" s="2316"/>
      <c r="Z289" s="2314" t="s">
        <v>16</v>
      </c>
      <c r="AA289" s="2316"/>
    </row>
    <row r="290" spans="1:27" x14ac:dyDescent="0.25">
      <c r="A290" s="513"/>
      <c r="B290" s="2293"/>
      <c r="C290" s="2332"/>
      <c r="D290" s="2358"/>
      <c r="E290" s="2963"/>
      <c r="F290" s="2964"/>
      <c r="G290" s="2964"/>
      <c r="H290" s="2964"/>
      <c r="I290" s="2964"/>
      <c r="J290" s="2964"/>
      <c r="K290" s="2964"/>
      <c r="L290" s="2964"/>
      <c r="M290" s="208"/>
      <c r="N290" s="208"/>
      <c r="O290" s="208"/>
      <c r="P290" s="208"/>
      <c r="Q290" s="208"/>
      <c r="R290" s="208"/>
      <c r="S290" s="208"/>
      <c r="T290" s="208"/>
      <c r="U290" s="213"/>
      <c r="V290" s="4304" t="s">
        <v>19</v>
      </c>
      <c r="W290" s="4305"/>
      <c r="X290" s="4305"/>
      <c r="Y290" s="4306"/>
      <c r="Z290" s="1306"/>
      <c r="AA290" s="1307"/>
    </row>
    <row r="291" spans="1:27" x14ac:dyDescent="0.25">
      <c r="A291" s="513"/>
      <c r="B291" s="4565" t="s">
        <v>20</v>
      </c>
      <c r="C291" s="2324" t="s">
        <v>21</v>
      </c>
      <c r="D291" s="2324" t="s">
        <v>22</v>
      </c>
      <c r="E291" s="2324" t="s">
        <v>23</v>
      </c>
      <c r="F291" s="2324" t="s">
        <v>24</v>
      </c>
      <c r="G291" s="2324" t="s">
        <v>25</v>
      </c>
      <c r="H291" s="2324" t="s">
        <v>26</v>
      </c>
      <c r="I291" s="2324" t="s">
        <v>27</v>
      </c>
      <c r="J291" s="2322" t="s">
        <v>28</v>
      </c>
      <c r="K291" s="2323"/>
      <c r="L291" s="2324" t="s">
        <v>29</v>
      </c>
      <c r="M291" s="2324" t="s">
        <v>529</v>
      </c>
      <c r="N291" s="4330" t="s">
        <v>530</v>
      </c>
      <c r="O291" s="2343" t="s">
        <v>31</v>
      </c>
      <c r="P291" s="2344"/>
      <c r="Q291" s="2344"/>
      <c r="R291" s="2344"/>
      <c r="S291" s="2344"/>
      <c r="T291" s="2344"/>
      <c r="U291" s="2344"/>
      <c r="V291" s="2344"/>
      <c r="W291" s="2344"/>
      <c r="X291" s="2344"/>
      <c r="Y291" s="2344"/>
      <c r="Z291" s="2345"/>
      <c r="AA291" s="2346" t="s">
        <v>32</v>
      </c>
    </row>
    <row r="292" spans="1:27" ht="33" customHeight="1" x14ac:dyDescent="0.25">
      <c r="A292" s="513"/>
      <c r="B292" s="4566"/>
      <c r="C292" s="2324"/>
      <c r="D292" s="2324"/>
      <c r="E292" s="2324"/>
      <c r="F292" s="2324"/>
      <c r="G292" s="2324"/>
      <c r="H292" s="2324"/>
      <c r="I292" s="2324"/>
      <c r="J292" s="1355" t="s">
        <v>33</v>
      </c>
      <c r="K292" s="1355" t="s">
        <v>34</v>
      </c>
      <c r="L292" s="2324"/>
      <c r="M292" s="2324"/>
      <c r="N292" s="4331"/>
      <c r="O292" s="1354" t="s">
        <v>35</v>
      </c>
      <c r="P292" s="1354" t="s">
        <v>36</v>
      </c>
      <c r="Q292" s="1354" t="s">
        <v>37</v>
      </c>
      <c r="R292" s="1354" t="s">
        <v>38</v>
      </c>
      <c r="S292" s="1354" t="s">
        <v>39</v>
      </c>
      <c r="T292" s="1354" t="s">
        <v>40</v>
      </c>
      <c r="U292" s="1354" t="s">
        <v>41</v>
      </c>
      <c r="V292" s="1354" t="s">
        <v>42</v>
      </c>
      <c r="W292" s="1354" t="s">
        <v>43</v>
      </c>
      <c r="X292" s="1354" t="s">
        <v>44</v>
      </c>
      <c r="Y292" s="1354" t="s">
        <v>45</v>
      </c>
      <c r="Z292" s="1354" t="s">
        <v>46</v>
      </c>
      <c r="AA292" s="2346"/>
    </row>
    <row r="293" spans="1:27" x14ac:dyDescent="0.25">
      <c r="A293" s="513"/>
      <c r="B293" s="3155">
        <v>5000002</v>
      </c>
      <c r="C293" s="2357" t="s">
        <v>2329</v>
      </c>
      <c r="D293" s="4290" t="s">
        <v>2318</v>
      </c>
      <c r="E293" s="4337" t="s">
        <v>48</v>
      </c>
      <c r="F293" s="4340" t="s">
        <v>165</v>
      </c>
      <c r="G293" s="4340" t="s">
        <v>1528</v>
      </c>
      <c r="H293" s="4290" t="s">
        <v>2319</v>
      </c>
      <c r="I293" s="2357" t="s">
        <v>235</v>
      </c>
      <c r="J293" s="2355">
        <v>12</v>
      </c>
      <c r="K293" s="2355">
        <v>180753</v>
      </c>
      <c r="L293" s="2357" t="s">
        <v>2320</v>
      </c>
      <c r="M293" s="2294" t="s">
        <v>51</v>
      </c>
      <c r="N293" s="2966"/>
      <c r="O293" s="1577">
        <v>1</v>
      </c>
      <c r="P293" s="1577">
        <v>1</v>
      </c>
      <c r="Q293" s="1577">
        <v>1</v>
      </c>
      <c r="R293" s="1577">
        <v>1</v>
      </c>
      <c r="S293" s="1577">
        <v>1</v>
      </c>
      <c r="T293" s="1577">
        <v>1</v>
      </c>
      <c r="U293" s="1577">
        <v>1</v>
      </c>
      <c r="V293" s="1577">
        <v>1</v>
      </c>
      <c r="W293" s="1577">
        <v>1</v>
      </c>
      <c r="X293" s="1577">
        <v>1</v>
      </c>
      <c r="Y293" s="1577">
        <v>1</v>
      </c>
      <c r="Z293" s="1577">
        <v>1</v>
      </c>
      <c r="AA293" s="1577">
        <f t="shared" ref="AA293:AA312" si="14">SUM(O293:Z293)</f>
        <v>12</v>
      </c>
    </row>
    <row r="294" spans="1:27" x14ac:dyDescent="0.25">
      <c r="A294" s="513"/>
      <c r="B294" s="3156"/>
      <c r="C294" s="4289"/>
      <c r="D294" s="4291"/>
      <c r="E294" s="4338"/>
      <c r="F294" s="4341"/>
      <c r="G294" s="4341"/>
      <c r="H294" s="4291"/>
      <c r="I294" s="4289"/>
      <c r="J294" s="4343"/>
      <c r="K294" s="4343"/>
      <c r="L294" s="4289"/>
      <c r="M294" s="2294" t="s">
        <v>111</v>
      </c>
      <c r="N294" s="2966"/>
      <c r="O294" s="1578">
        <f t="shared" ref="O294:Z294" si="15">SUM(O295:O312)</f>
        <v>13637.36</v>
      </c>
      <c r="P294" s="1578">
        <f t="shared" si="15"/>
        <v>13637.36</v>
      </c>
      <c r="Q294" s="1578">
        <f t="shared" si="15"/>
        <v>16392.86</v>
      </c>
      <c r="R294" s="1578">
        <f t="shared" si="15"/>
        <v>14020.560000000001</v>
      </c>
      <c r="S294" s="1578">
        <f t="shared" si="15"/>
        <v>16293.36</v>
      </c>
      <c r="T294" s="1578">
        <f t="shared" si="15"/>
        <v>14225.560000000001</v>
      </c>
      <c r="U294" s="1578">
        <f t="shared" si="15"/>
        <v>16163.36</v>
      </c>
      <c r="V294" s="1578">
        <f t="shared" si="15"/>
        <v>14175.560000000001</v>
      </c>
      <c r="W294" s="1578">
        <f t="shared" si="15"/>
        <v>16349.36</v>
      </c>
      <c r="X294" s="1578">
        <f t="shared" si="15"/>
        <v>14199.560000000001</v>
      </c>
      <c r="Y294" s="1578">
        <f t="shared" si="15"/>
        <v>15564.560000000001</v>
      </c>
      <c r="Z294" s="1578">
        <f t="shared" si="15"/>
        <v>16093.36</v>
      </c>
      <c r="AA294" s="1577">
        <f t="shared" si="14"/>
        <v>180752.82</v>
      </c>
    </row>
    <row r="295" spans="1:27" ht="60" x14ac:dyDescent="0.25">
      <c r="A295" s="513"/>
      <c r="B295" s="3156"/>
      <c r="C295" s="4289"/>
      <c r="D295" s="4291"/>
      <c r="E295" s="4338"/>
      <c r="F295" s="4341"/>
      <c r="G295" s="4341"/>
      <c r="H295" s="4291"/>
      <c r="I295" s="4289"/>
      <c r="J295" s="4343"/>
      <c r="K295" s="4343"/>
      <c r="L295" s="4289"/>
      <c r="M295" s="1665" t="s">
        <v>178</v>
      </c>
      <c r="N295" s="348" t="s">
        <v>2321</v>
      </c>
      <c r="O295" s="1579"/>
      <c r="P295" s="1579"/>
      <c r="Q295" s="1579">
        <v>50</v>
      </c>
      <c r="R295" s="1579"/>
      <c r="S295" s="1579"/>
      <c r="T295" s="1579">
        <v>50</v>
      </c>
      <c r="U295" s="1579"/>
      <c r="V295" s="1579"/>
      <c r="W295" s="1579">
        <v>51</v>
      </c>
      <c r="X295" s="1579"/>
      <c r="Y295" s="1579">
        <v>51</v>
      </c>
      <c r="Z295" s="1579"/>
      <c r="AA295" s="1577">
        <f t="shared" si="14"/>
        <v>202</v>
      </c>
    </row>
    <row r="296" spans="1:27" ht="24" x14ac:dyDescent="0.25">
      <c r="A296" s="513"/>
      <c r="B296" s="3156"/>
      <c r="C296" s="4289"/>
      <c r="D296" s="4291"/>
      <c r="E296" s="4338"/>
      <c r="F296" s="4341"/>
      <c r="G296" s="4341"/>
      <c r="H296" s="4291"/>
      <c r="I296" s="4289"/>
      <c r="J296" s="4343"/>
      <c r="K296" s="4343"/>
      <c r="L296" s="4289"/>
      <c r="M296" s="1666" t="s">
        <v>182</v>
      </c>
      <c r="N296" s="348" t="s">
        <v>534</v>
      </c>
      <c r="O296" s="1579"/>
      <c r="P296" s="1579"/>
      <c r="Q296" s="1579"/>
      <c r="R296" s="1579"/>
      <c r="S296" s="1579">
        <v>25</v>
      </c>
      <c r="T296" s="1579"/>
      <c r="U296" s="1579"/>
      <c r="V296" s="1579"/>
      <c r="W296" s="1579">
        <v>25</v>
      </c>
      <c r="X296" s="1579"/>
      <c r="Y296" s="1579"/>
      <c r="Z296" s="1579"/>
      <c r="AA296" s="1577">
        <f t="shared" si="14"/>
        <v>50</v>
      </c>
    </row>
    <row r="297" spans="1:27" ht="36" x14ac:dyDescent="0.25">
      <c r="A297" s="513"/>
      <c r="B297" s="3156"/>
      <c r="C297" s="4289"/>
      <c r="D297" s="4291"/>
      <c r="E297" s="4338"/>
      <c r="F297" s="4341"/>
      <c r="G297" s="4341"/>
      <c r="H297" s="4291"/>
      <c r="I297" s="4289"/>
      <c r="J297" s="4343"/>
      <c r="K297" s="4343"/>
      <c r="L297" s="4289"/>
      <c r="M297" s="1666" t="s">
        <v>2322</v>
      </c>
      <c r="N297" s="348" t="s">
        <v>535</v>
      </c>
      <c r="O297" s="1579"/>
      <c r="P297" s="1579"/>
      <c r="Q297" s="1579">
        <v>160</v>
      </c>
      <c r="R297" s="1579">
        <v>160</v>
      </c>
      <c r="S297" s="1579">
        <v>160</v>
      </c>
      <c r="T297" s="1579">
        <v>160</v>
      </c>
      <c r="U297" s="1579">
        <v>160</v>
      </c>
      <c r="V297" s="1579">
        <v>160</v>
      </c>
      <c r="W297" s="1579">
        <v>160</v>
      </c>
      <c r="X297" s="1579">
        <v>160</v>
      </c>
      <c r="Y297" s="1579">
        <v>160</v>
      </c>
      <c r="Z297" s="1579">
        <v>160</v>
      </c>
      <c r="AA297" s="1577">
        <f t="shared" si="14"/>
        <v>1600</v>
      </c>
    </row>
    <row r="298" spans="1:27" ht="36" x14ac:dyDescent="0.25">
      <c r="A298" s="513"/>
      <c r="B298" s="3156"/>
      <c r="C298" s="4289"/>
      <c r="D298" s="4291"/>
      <c r="E298" s="4338"/>
      <c r="F298" s="4341"/>
      <c r="G298" s="4341"/>
      <c r="H298" s="4291"/>
      <c r="I298" s="4289"/>
      <c r="J298" s="4343"/>
      <c r="K298" s="4343"/>
      <c r="L298" s="4289"/>
      <c r="M298" s="1666" t="s">
        <v>186</v>
      </c>
      <c r="N298" s="348" t="s">
        <v>536</v>
      </c>
      <c r="O298" s="1579"/>
      <c r="P298" s="1579"/>
      <c r="Q298" s="1579">
        <v>250</v>
      </c>
      <c r="R298" s="1579"/>
      <c r="S298" s="1579">
        <v>250</v>
      </c>
      <c r="T298" s="1579"/>
      <c r="U298" s="1579">
        <v>200</v>
      </c>
      <c r="V298" s="1579">
        <v>100</v>
      </c>
      <c r="W298" s="1579">
        <v>180</v>
      </c>
      <c r="X298" s="1579">
        <v>201</v>
      </c>
      <c r="Y298" s="1579"/>
      <c r="Z298" s="1579"/>
      <c r="AA298" s="1577">
        <f t="shared" si="14"/>
        <v>1181</v>
      </c>
    </row>
    <row r="299" spans="1:27" ht="36" x14ac:dyDescent="0.25">
      <c r="A299" s="513"/>
      <c r="B299" s="3156"/>
      <c r="C299" s="4289"/>
      <c r="D299" s="4291"/>
      <c r="E299" s="4338"/>
      <c r="F299" s="4341"/>
      <c r="G299" s="4341"/>
      <c r="H299" s="4291"/>
      <c r="I299" s="4289"/>
      <c r="J299" s="4343"/>
      <c r="K299" s="4343"/>
      <c r="L299" s="4289"/>
      <c r="M299" s="1666" t="s">
        <v>1780</v>
      </c>
      <c r="N299" s="348" t="s">
        <v>2323</v>
      </c>
      <c r="O299" s="1579"/>
      <c r="P299" s="1579"/>
      <c r="Q299" s="1579"/>
      <c r="R299" s="1579"/>
      <c r="S299" s="1579"/>
      <c r="T299" s="1579">
        <v>50</v>
      </c>
      <c r="U299" s="1579"/>
      <c r="V299" s="1579"/>
      <c r="W299" s="1579"/>
      <c r="X299" s="1579"/>
      <c r="Y299" s="1579"/>
      <c r="Z299" s="1579"/>
      <c r="AA299" s="1577">
        <f t="shared" si="14"/>
        <v>50</v>
      </c>
    </row>
    <row r="300" spans="1:27" ht="24" x14ac:dyDescent="0.25">
      <c r="A300" s="513"/>
      <c r="B300" s="3156"/>
      <c r="C300" s="4289"/>
      <c r="D300" s="4291"/>
      <c r="E300" s="4338"/>
      <c r="F300" s="4341"/>
      <c r="G300" s="4341"/>
      <c r="H300" s="4291"/>
      <c r="I300" s="4289"/>
      <c r="J300" s="4343"/>
      <c r="K300" s="4343"/>
      <c r="L300" s="4289"/>
      <c r="M300" s="1666" t="s">
        <v>973</v>
      </c>
      <c r="N300" s="348" t="s">
        <v>191</v>
      </c>
      <c r="O300" s="1579"/>
      <c r="P300" s="1579"/>
      <c r="Q300" s="1579"/>
      <c r="R300" s="1579">
        <v>25</v>
      </c>
      <c r="S300" s="1579"/>
      <c r="T300" s="1580"/>
      <c r="U300" s="1579"/>
      <c r="V300" s="1579">
        <v>25</v>
      </c>
      <c r="W300" s="1579"/>
      <c r="X300" s="1579"/>
      <c r="Y300" s="1579"/>
      <c r="Z300" s="1579"/>
      <c r="AA300" s="1577">
        <f t="shared" si="14"/>
        <v>50</v>
      </c>
    </row>
    <row r="301" spans="1:27" ht="24" x14ac:dyDescent="0.25">
      <c r="A301" s="513"/>
      <c r="B301" s="3156"/>
      <c r="C301" s="4289"/>
      <c r="D301" s="4291"/>
      <c r="E301" s="4338"/>
      <c r="F301" s="4341"/>
      <c r="G301" s="4341"/>
      <c r="H301" s="4291"/>
      <c r="I301" s="4289"/>
      <c r="J301" s="4343"/>
      <c r="K301" s="4343"/>
      <c r="L301" s="4289"/>
      <c r="M301" s="1666" t="s">
        <v>1799</v>
      </c>
      <c r="N301" s="348" t="s">
        <v>1800</v>
      </c>
      <c r="O301" s="1579"/>
      <c r="P301" s="1579"/>
      <c r="Q301" s="1579"/>
      <c r="R301" s="1579">
        <v>20</v>
      </c>
      <c r="S301" s="1579"/>
      <c r="T301" s="1580"/>
      <c r="U301" s="1579"/>
      <c r="V301" s="1579"/>
      <c r="W301" s="1579"/>
      <c r="X301" s="1579"/>
      <c r="Y301" s="1579"/>
      <c r="Z301" s="1579"/>
      <c r="AA301" s="1577">
        <f t="shared" si="14"/>
        <v>20</v>
      </c>
    </row>
    <row r="302" spans="1:27" x14ac:dyDescent="0.25">
      <c r="A302" s="513"/>
      <c r="B302" s="3156"/>
      <c r="C302" s="4289"/>
      <c r="D302" s="4291"/>
      <c r="E302" s="4338"/>
      <c r="F302" s="4341"/>
      <c r="G302" s="4341"/>
      <c r="H302" s="4291"/>
      <c r="I302" s="4289"/>
      <c r="J302" s="4343"/>
      <c r="K302" s="4343"/>
      <c r="L302" s="4289"/>
      <c r="M302" s="1666" t="s">
        <v>2324</v>
      </c>
      <c r="N302" s="348" t="s">
        <v>2325</v>
      </c>
      <c r="O302" s="1580"/>
      <c r="P302" s="1580"/>
      <c r="Q302" s="1580">
        <v>1867.8</v>
      </c>
      <c r="R302" s="1580"/>
      <c r="S302" s="1580">
        <v>1867.8</v>
      </c>
      <c r="T302" s="1580"/>
      <c r="U302" s="1580">
        <v>1867.8</v>
      </c>
      <c r="V302" s="1581"/>
      <c r="W302" s="1580">
        <v>1867.8</v>
      </c>
      <c r="X302" s="1580"/>
      <c r="Y302" s="1580">
        <v>1538</v>
      </c>
      <c r="Z302" s="1580">
        <v>1867.8</v>
      </c>
      <c r="AA302" s="1577">
        <f t="shared" si="14"/>
        <v>10877</v>
      </c>
    </row>
    <row r="303" spans="1:27" ht="36" x14ac:dyDescent="0.25">
      <c r="A303" s="513"/>
      <c r="B303" s="3156"/>
      <c r="C303" s="4289"/>
      <c r="D303" s="4291"/>
      <c r="E303" s="4338"/>
      <c r="F303" s="4341"/>
      <c r="G303" s="4341"/>
      <c r="H303" s="4291"/>
      <c r="I303" s="4289"/>
      <c r="J303" s="4343"/>
      <c r="K303" s="4343"/>
      <c r="L303" s="4289"/>
      <c r="M303" s="1666" t="s">
        <v>195</v>
      </c>
      <c r="N303" s="348" t="s">
        <v>2326</v>
      </c>
      <c r="O303" s="1580">
        <v>60</v>
      </c>
      <c r="P303" s="1580">
        <v>60</v>
      </c>
      <c r="Q303" s="1580">
        <v>60</v>
      </c>
      <c r="R303" s="1580">
        <v>60</v>
      </c>
      <c r="S303" s="1580">
        <v>60</v>
      </c>
      <c r="T303" s="1580">
        <v>60</v>
      </c>
      <c r="U303" s="1580">
        <v>60</v>
      </c>
      <c r="V303" s="1580">
        <v>60</v>
      </c>
      <c r="W303" s="1580">
        <v>60</v>
      </c>
      <c r="X303" s="1580">
        <v>60</v>
      </c>
      <c r="Y303" s="1580">
        <v>60</v>
      </c>
      <c r="Z303" s="1580">
        <v>60</v>
      </c>
      <c r="AA303" s="1577">
        <f t="shared" si="14"/>
        <v>720</v>
      </c>
    </row>
    <row r="304" spans="1:27" ht="36" x14ac:dyDescent="0.25">
      <c r="A304" s="513"/>
      <c r="B304" s="3156"/>
      <c r="C304" s="4289"/>
      <c r="D304" s="4291"/>
      <c r="E304" s="4338"/>
      <c r="F304" s="4341"/>
      <c r="G304" s="4341"/>
      <c r="H304" s="4291"/>
      <c r="I304" s="4289"/>
      <c r="J304" s="4343"/>
      <c r="K304" s="4343"/>
      <c r="L304" s="4289"/>
      <c r="M304" s="1666" t="s">
        <v>196</v>
      </c>
      <c r="N304" s="348" t="s">
        <v>2327</v>
      </c>
      <c r="O304" s="1580"/>
      <c r="P304" s="1580"/>
      <c r="Q304" s="1580">
        <v>150</v>
      </c>
      <c r="R304" s="1580"/>
      <c r="S304" s="1580"/>
      <c r="T304" s="1580">
        <v>150</v>
      </c>
      <c r="U304" s="1580"/>
      <c r="V304" s="1580"/>
      <c r="W304" s="1580">
        <v>150</v>
      </c>
      <c r="X304" s="1580"/>
      <c r="Y304" s="1580"/>
      <c r="Z304" s="1580">
        <v>150</v>
      </c>
      <c r="AA304" s="1577">
        <f t="shared" si="14"/>
        <v>600</v>
      </c>
    </row>
    <row r="305" spans="1:27" ht="24" x14ac:dyDescent="0.25">
      <c r="A305" s="513"/>
      <c r="B305" s="3156"/>
      <c r="C305" s="4289"/>
      <c r="D305" s="4291"/>
      <c r="E305" s="4338"/>
      <c r="F305" s="4341"/>
      <c r="G305" s="4341"/>
      <c r="H305" s="4291"/>
      <c r="I305" s="4289"/>
      <c r="J305" s="4343"/>
      <c r="K305" s="4343"/>
      <c r="L305" s="4289"/>
      <c r="M305" s="1666" t="s">
        <v>544</v>
      </c>
      <c r="N305" s="348" t="s">
        <v>545</v>
      </c>
      <c r="O305" s="1580"/>
      <c r="P305" s="1580"/>
      <c r="Q305" s="1580">
        <v>94.5</v>
      </c>
      <c r="R305" s="1580">
        <v>95</v>
      </c>
      <c r="S305" s="1580">
        <v>95</v>
      </c>
      <c r="T305" s="1580">
        <v>95</v>
      </c>
      <c r="U305" s="1580">
        <v>95</v>
      </c>
      <c r="V305" s="1580">
        <v>95</v>
      </c>
      <c r="W305" s="1580">
        <v>95</v>
      </c>
      <c r="X305" s="1580">
        <v>95</v>
      </c>
      <c r="Y305" s="1580">
        <v>95</v>
      </c>
      <c r="Z305" s="1580">
        <v>95</v>
      </c>
      <c r="AA305" s="1577">
        <f t="shared" si="14"/>
        <v>949.5</v>
      </c>
    </row>
    <row r="306" spans="1:27" ht="24" x14ac:dyDescent="0.25">
      <c r="A306" s="513"/>
      <c r="B306" s="3156"/>
      <c r="C306" s="4289"/>
      <c r="D306" s="4291"/>
      <c r="E306" s="4338"/>
      <c r="F306" s="4341"/>
      <c r="G306" s="4341"/>
      <c r="H306" s="4291"/>
      <c r="I306" s="4289"/>
      <c r="J306" s="4343"/>
      <c r="K306" s="4343"/>
      <c r="L306" s="4289"/>
      <c r="M306" s="1666" t="s">
        <v>200</v>
      </c>
      <c r="N306" s="348" t="s">
        <v>546</v>
      </c>
      <c r="O306" s="1580"/>
      <c r="P306" s="1580"/>
      <c r="Q306" s="1580">
        <v>33.200000000000003</v>
      </c>
      <c r="R306" s="1580">
        <v>33.200000000000003</v>
      </c>
      <c r="S306" s="1580">
        <v>33.200000000000003</v>
      </c>
      <c r="T306" s="1580">
        <v>33.200000000000003</v>
      </c>
      <c r="U306" s="1580">
        <v>33.200000000000003</v>
      </c>
      <c r="V306" s="1580">
        <v>33.200000000000003</v>
      </c>
      <c r="W306" s="1580">
        <v>33.200000000000003</v>
      </c>
      <c r="X306" s="1580">
        <v>33.200000000000003</v>
      </c>
      <c r="Y306" s="1580">
        <v>33.200000000000003</v>
      </c>
      <c r="Z306" s="1580">
        <v>33.200000000000003</v>
      </c>
      <c r="AA306" s="1577">
        <f t="shared" si="14"/>
        <v>331.99999999999994</v>
      </c>
    </row>
    <row r="307" spans="1:27" ht="36" x14ac:dyDescent="0.25">
      <c r="A307" s="513"/>
      <c r="B307" s="3156"/>
      <c r="C307" s="4289"/>
      <c r="D307" s="4291"/>
      <c r="E307" s="4338"/>
      <c r="F307" s="4341"/>
      <c r="G307" s="4341"/>
      <c r="H307" s="4291"/>
      <c r="I307" s="4289"/>
      <c r="J307" s="4343"/>
      <c r="K307" s="4343"/>
      <c r="L307" s="4289"/>
      <c r="M307" s="1666" t="s">
        <v>228</v>
      </c>
      <c r="N307" s="348" t="s">
        <v>2328</v>
      </c>
      <c r="O307" s="1580"/>
      <c r="P307" s="1580"/>
      <c r="Q307" s="1580"/>
      <c r="R307" s="1580"/>
      <c r="S307" s="1580">
        <v>100</v>
      </c>
      <c r="T307" s="1580"/>
      <c r="U307" s="1580"/>
      <c r="V307" s="1580">
        <v>55</v>
      </c>
      <c r="W307" s="1580"/>
      <c r="X307" s="1580"/>
      <c r="Y307" s="1580"/>
      <c r="Z307" s="1580"/>
      <c r="AA307" s="1577">
        <f t="shared" si="14"/>
        <v>155</v>
      </c>
    </row>
    <row r="308" spans="1:27" ht="24" x14ac:dyDescent="0.25">
      <c r="A308" s="513"/>
      <c r="B308" s="3156"/>
      <c r="C308" s="4289"/>
      <c r="D308" s="4291"/>
      <c r="E308" s="4338"/>
      <c r="F308" s="4341"/>
      <c r="G308" s="4341"/>
      <c r="H308" s="4291"/>
      <c r="I308" s="4289"/>
      <c r="J308" s="4343"/>
      <c r="K308" s="4343"/>
      <c r="L308" s="4289"/>
      <c r="M308" s="1666" t="s">
        <v>1142</v>
      </c>
      <c r="N308" s="348" t="s">
        <v>1143</v>
      </c>
      <c r="O308" s="1580">
        <v>3000</v>
      </c>
      <c r="P308" s="1580">
        <v>3000</v>
      </c>
      <c r="Q308" s="1580">
        <v>3000</v>
      </c>
      <c r="R308" s="1580">
        <v>3000</v>
      </c>
      <c r="S308" s="1580">
        <v>3000</v>
      </c>
      <c r="T308" s="1580">
        <v>3000</v>
      </c>
      <c r="U308" s="1580">
        <v>3000</v>
      </c>
      <c r="V308" s="1580">
        <v>3000</v>
      </c>
      <c r="W308" s="1580">
        <v>3000</v>
      </c>
      <c r="X308" s="1580">
        <v>3000</v>
      </c>
      <c r="Y308" s="1580">
        <v>3000</v>
      </c>
      <c r="Z308" s="1580">
        <v>3000</v>
      </c>
      <c r="AA308" s="1577">
        <f t="shared" si="14"/>
        <v>36000</v>
      </c>
    </row>
    <row r="309" spans="1:27" ht="24" x14ac:dyDescent="0.25">
      <c r="A309" s="513"/>
      <c r="B309" s="3156"/>
      <c r="C309" s="4289"/>
      <c r="D309" s="4291"/>
      <c r="E309" s="4338"/>
      <c r="F309" s="4341"/>
      <c r="G309" s="4341"/>
      <c r="H309" s="4291"/>
      <c r="I309" s="4289"/>
      <c r="J309" s="4343"/>
      <c r="K309" s="4343"/>
      <c r="L309" s="4289"/>
      <c r="M309" s="1666" t="s">
        <v>549</v>
      </c>
      <c r="N309" s="348" t="s">
        <v>550</v>
      </c>
      <c r="O309" s="1579"/>
      <c r="P309" s="1579"/>
      <c r="Q309" s="1579">
        <v>100</v>
      </c>
      <c r="R309" s="1579">
        <v>50</v>
      </c>
      <c r="S309" s="1579">
        <v>75</v>
      </c>
      <c r="T309" s="1579">
        <v>50</v>
      </c>
      <c r="U309" s="1579">
        <v>100</v>
      </c>
      <c r="V309" s="1579">
        <v>70</v>
      </c>
      <c r="W309" s="1579">
        <v>150</v>
      </c>
      <c r="X309" s="1579">
        <v>23</v>
      </c>
      <c r="Y309" s="1579">
        <v>50</v>
      </c>
      <c r="Z309" s="1579">
        <v>150</v>
      </c>
      <c r="AA309" s="1577">
        <f t="shared" si="14"/>
        <v>818</v>
      </c>
    </row>
    <row r="310" spans="1:27" ht="24" x14ac:dyDescent="0.25">
      <c r="A310" s="513"/>
      <c r="B310" s="3156"/>
      <c r="C310" s="4289"/>
      <c r="D310" s="4291"/>
      <c r="E310" s="4338"/>
      <c r="F310" s="4341"/>
      <c r="G310" s="4341"/>
      <c r="H310" s="4291"/>
      <c r="I310" s="4289"/>
      <c r="J310" s="4343"/>
      <c r="K310" s="4343"/>
      <c r="L310" s="4289"/>
      <c r="M310" s="1666" t="s">
        <v>206</v>
      </c>
      <c r="N310" s="348" t="s">
        <v>207</v>
      </c>
      <c r="O310" s="1579"/>
      <c r="P310" s="1579"/>
      <c r="Q310" s="1579">
        <v>50</v>
      </c>
      <c r="R310" s="1579"/>
      <c r="S310" s="1579">
        <v>50</v>
      </c>
      <c r="T310" s="1579"/>
      <c r="U310" s="1579">
        <v>70</v>
      </c>
      <c r="V310" s="1579"/>
      <c r="W310" s="1579"/>
      <c r="X310" s="1579">
        <v>50</v>
      </c>
      <c r="Y310" s="1579"/>
      <c r="Z310" s="1579"/>
      <c r="AA310" s="1577">
        <f t="shared" si="14"/>
        <v>220</v>
      </c>
    </row>
    <row r="311" spans="1:27" ht="36" x14ac:dyDescent="0.25">
      <c r="A311" s="513"/>
      <c r="B311" s="3156"/>
      <c r="C311" s="4289"/>
      <c r="D311" s="4291"/>
      <c r="E311" s="4338"/>
      <c r="F311" s="4341"/>
      <c r="G311" s="4341"/>
      <c r="H311" s="4291"/>
      <c r="I311" s="4289"/>
      <c r="J311" s="4343"/>
      <c r="K311" s="4343"/>
      <c r="L311" s="4289"/>
      <c r="M311" s="1666" t="s">
        <v>208</v>
      </c>
      <c r="N311" s="348" t="s">
        <v>553</v>
      </c>
      <c r="O311" s="1579">
        <v>9704</v>
      </c>
      <c r="P311" s="1579">
        <v>9704</v>
      </c>
      <c r="Q311" s="1579">
        <v>9704</v>
      </c>
      <c r="R311" s="1579">
        <v>9704</v>
      </c>
      <c r="S311" s="1579">
        <v>9704</v>
      </c>
      <c r="T311" s="1579">
        <v>9704</v>
      </c>
      <c r="U311" s="1579">
        <v>9704</v>
      </c>
      <c r="V311" s="1579">
        <v>9704</v>
      </c>
      <c r="W311" s="1579">
        <v>9704</v>
      </c>
      <c r="X311" s="1579">
        <v>9704</v>
      </c>
      <c r="Y311" s="1579">
        <v>9704</v>
      </c>
      <c r="Z311" s="1579">
        <v>9704</v>
      </c>
      <c r="AA311" s="1577">
        <f t="shared" si="14"/>
        <v>116448</v>
      </c>
    </row>
    <row r="312" spans="1:27" ht="36" x14ac:dyDescent="0.25">
      <c r="A312" s="513"/>
      <c r="B312" s="3157"/>
      <c r="C312" s="2358"/>
      <c r="D312" s="4292"/>
      <c r="E312" s="4339"/>
      <c r="F312" s="4342"/>
      <c r="G312" s="4342"/>
      <c r="H312" s="4292"/>
      <c r="I312" s="2358"/>
      <c r="J312" s="2356"/>
      <c r="K312" s="2356"/>
      <c r="L312" s="2358"/>
      <c r="M312" s="1666" t="s">
        <v>210</v>
      </c>
      <c r="N312" s="348" t="s">
        <v>554</v>
      </c>
      <c r="O312" s="1579">
        <v>873.36</v>
      </c>
      <c r="P312" s="1579">
        <v>873.36</v>
      </c>
      <c r="Q312" s="1579">
        <v>873.36</v>
      </c>
      <c r="R312" s="1579">
        <v>873.36</v>
      </c>
      <c r="S312" s="1579">
        <v>873.36</v>
      </c>
      <c r="T312" s="1579">
        <v>873.36</v>
      </c>
      <c r="U312" s="1579">
        <v>873.36</v>
      </c>
      <c r="V312" s="1579">
        <v>873.36</v>
      </c>
      <c r="W312" s="1579">
        <v>873.36</v>
      </c>
      <c r="X312" s="1579">
        <v>873.36</v>
      </c>
      <c r="Y312" s="1579">
        <v>873.36</v>
      </c>
      <c r="Z312" s="1579">
        <v>873.36</v>
      </c>
      <c r="AA312" s="1577">
        <f t="shared" si="14"/>
        <v>10480.32</v>
      </c>
    </row>
    <row r="313" spans="1:27" ht="15" customHeight="1" x14ac:dyDescent="0.25">
      <c r="A313" s="513"/>
    </row>
    <row r="314" spans="1:27" x14ac:dyDescent="0.25">
      <c r="A314" s="513"/>
    </row>
    <row r="315" spans="1:27" ht="24" x14ac:dyDescent="0.25">
      <c r="A315" s="513"/>
      <c r="B315" s="1352" t="s">
        <v>6</v>
      </c>
      <c r="C315" s="2294" t="s">
        <v>2366</v>
      </c>
      <c r="D315" s="2295"/>
      <c r="E315" s="2295"/>
      <c r="F315" s="2295"/>
      <c r="G315" s="2295"/>
      <c r="H315" s="2295"/>
      <c r="I315" s="2295"/>
      <c r="J315" s="2295"/>
      <c r="K315" s="2295"/>
      <c r="L315" s="2295"/>
      <c r="M315" s="231"/>
      <c r="N315" s="231"/>
      <c r="O315" s="231"/>
      <c r="P315" s="231"/>
      <c r="Q315" s="203"/>
      <c r="R315" s="203"/>
      <c r="S315" s="203"/>
      <c r="T315" s="203"/>
      <c r="U315" s="203"/>
      <c r="V315" s="231"/>
      <c r="W315" s="231"/>
      <c r="X315" s="231"/>
      <c r="Y315" s="231"/>
      <c r="Z315" s="231"/>
      <c r="AA315" s="232"/>
    </row>
    <row r="316" spans="1:27" ht="30" customHeight="1" x14ac:dyDescent="0.25">
      <c r="A316" s="513"/>
      <c r="B316" s="1859" t="s">
        <v>8</v>
      </c>
      <c r="C316" s="1545" t="s">
        <v>2367</v>
      </c>
      <c r="D316" s="362"/>
      <c r="E316" s="363"/>
      <c r="F316" s="363"/>
      <c r="G316" s="363"/>
      <c r="H316" s="363"/>
      <c r="I316" s="363"/>
      <c r="J316" s="363"/>
      <c r="K316" s="363"/>
      <c r="L316" s="363"/>
      <c r="M316" s="363"/>
      <c r="N316" s="363"/>
      <c r="O316" s="364"/>
      <c r="P316" s="363"/>
      <c r="Q316" s="365"/>
      <c r="R316" s="365"/>
      <c r="S316" s="365"/>
      <c r="T316" s="365"/>
      <c r="U316" s="365"/>
      <c r="V316" s="363"/>
      <c r="W316" s="363"/>
      <c r="X316" s="363"/>
      <c r="Y316" s="363"/>
      <c r="Z316" s="363"/>
      <c r="AA316" s="366"/>
    </row>
    <row r="317" spans="1:27" x14ac:dyDescent="0.25">
      <c r="A317" s="513"/>
      <c r="B317" s="1352" t="s">
        <v>11</v>
      </c>
      <c r="C317" s="1349" t="s">
        <v>230</v>
      </c>
      <c r="D317" s="202"/>
      <c r="E317" s="202"/>
      <c r="F317" s="202"/>
      <c r="G317" s="202"/>
      <c r="H317" s="202"/>
      <c r="I317" s="202"/>
      <c r="J317" s="202"/>
      <c r="K317" s="202"/>
      <c r="L317" s="202"/>
      <c r="M317" s="202"/>
      <c r="N317" s="202"/>
      <c r="O317" s="202"/>
      <c r="P317" s="202"/>
      <c r="Q317" s="203"/>
      <c r="R317" s="203"/>
      <c r="S317" s="203"/>
      <c r="T317" s="203"/>
      <c r="U317" s="203"/>
      <c r="V317" s="202"/>
      <c r="W317" s="202"/>
      <c r="X317" s="202"/>
      <c r="Y317" s="202"/>
      <c r="Z317" s="202"/>
      <c r="AA317" s="224"/>
    </row>
    <row r="318" spans="1:27" x14ac:dyDescent="0.25">
      <c r="A318" s="513"/>
      <c r="B318" s="2298" t="s">
        <v>13</v>
      </c>
      <c r="C318" s="2959">
        <v>9001</v>
      </c>
      <c r="D318" s="2972" t="s">
        <v>160</v>
      </c>
      <c r="E318" s="2972"/>
      <c r="F318" s="204"/>
      <c r="G318" s="204"/>
      <c r="H318" s="204"/>
      <c r="I318" s="204"/>
      <c r="J318" s="204"/>
      <c r="K318" s="204"/>
      <c r="L318" s="204"/>
      <c r="M318" s="204"/>
      <c r="N318" s="204"/>
      <c r="O318" s="204"/>
      <c r="P318" s="204"/>
      <c r="Q318" s="205"/>
      <c r="R318" s="205"/>
      <c r="S318" s="205"/>
      <c r="T318" s="205"/>
      <c r="U318" s="205"/>
      <c r="V318" s="2305" t="s">
        <v>15</v>
      </c>
      <c r="W318" s="2305"/>
      <c r="X318" s="2305"/>
      <c r="Y318" s="2305"/>
      <c r="Z318" s="2314" t="s">
        <v>16</v>
      </c>
      <c r="AA318" s="2316"/>
    </row>
    <row r="319" spans="1:27" x14ac:dyDescent="0.25">
      <c r="A319" s="513"/>
      <c r="B319" s="2298"/>
      <c r="C319" s="2960"/>
      <c r="D319" s="2972"/>
      <c r="E319" s="2972"/>
      <c r="F319" s="206"/>
      <c r="G319" s="206"/>
      <c r="H319" s="206"/>
      <c r="I319" s="206"/>
      <c r="J319" s="206"/>
      <c r="K319" s="206"/>
      <c r="L319" s="206"/>
      <c r="M319" s="206"/>
      <c r="N319" s="206"/>
      <c r="O319" s="206"/>
      <c r="P319" s="206"/>
      <c r="Q319" s="207"/>
      <c r="R319" s="207"/>
      <c r="S319" s="207"/>
      <c r="T319" s="207"/>
      <c r="U319" s="207"/>
      <c r="V319" s="2306" t="s">
        <v>1213</v>
      </c>
      <c r="W319" s="2962"/>
      <c r="X319" s="2962"/>
      <c r="Y319" s="2307"/>
      <c r="Z319" s="2306" t="s">
        <v>1213</v>
      </c>
      <c r="AA319" s="2307"/>
    </row>
    <row r="320" spans="1:27" x14ac:dyDescent="0.25">
      <c r="A320" s="513"/>
      <c r="B320" s="2298"/>
      <c r="C320" s="2961"/>
      <c r="D320" s="2972"/>
      <c r="E320" s="2972"/>
      <c r="F320" s="208"/>
      <c r="G320" s="208"/>
      <c r="H320" s="208"/>
      <c r="I320" s="208"/>
      <c r="J320" s="208"/>
      <c r="K320" s="208"/>
      <c r="L320" s="208"/>
      <c r="M320" s="208"/>
      <c r="N320" s="208"/>
      <c r="O320" s="208"/>
      <c r="P320" s="208"/>
      <c r="Q320" s="209"/>
      <c r="R320" s="209"/>
      <c r="S320" s="209"/>
      <c r="T320" s="209"/>
      <c r="U320" s="209"/>
      <c r="V320" s="2963"/>
      <c r="W320" s="2964"/>
      <c r="X320" s="2964"/>
      <c r="Y320" s="2965"/>
      <c r="Z320" s="2963"/>
      <c r="AA320" s="2965"/>
    </row>
    <row r="321" spans="1:28" x14ac:dyDescent="0.25">
      <c r="A321" s="513"/>
      <c r="B321" s="2298" t="s">
        <v>18</v>
      </c>
      <c r="C321" s="2959">
        <v>3.9999989999999999</v>
      </c>
      <c r="D321" s="2293" t="s">
        <v>163</v>
      </c>
      <c r="E321" s="2293"/>
      <c r="F321" s="210"/>
      <c r="G321" s="210"/>
      <c r="H321" s="210"/>
      <c r="I321" s="210"/>
      <c r="J321" s="210"/>
      <c r="K321" s="210"/>
      <c r="L321" s="210"/>
      <c r="M321" s="210"/>
      <c r="N321" s="210"/>
      <c r="O321" s="210"/>
      <c r="P321" s="210"/>
      <c r="Q321" s="204"/>
      <c r="R321" s="204"/>
      <c r="S321" s="204"/>
      <c r="T321" s="204"/>
      <c r="U321" s="211"/>
      <c r="V321" s="2293" t="s">
        <v>15</v>
      </c>
      <c r="W321" s="2293"/>
      <c r="X321" s="2293"/>
      <c r="Y321" s="2293"/>
      <c r="Z321" s="2305" t="s">
        <v>16</v>
      </c>
      <c r="AA321" s="2305"/>
    </row>
    <row r="322" spans="1:28" ht="12" customHeight="1" x14ac:dyDescent="0.25">
      <c r="A322" s="513"/>
      <c r="B322" s="2298"/>
      <c r="C322" s="2961"/>
      <c r="D322" s="2293"/>
      <c r="E322" s="2293"/>
      <c r="F322" s="212"/>
      <c r="G322" s="212"/>
      <c r="H322" s="212"/>
      <c r="I322" s="212"/>
      <c r="J322" s="212"/>
      <c r="K322" s="212"/>
      <c r="L322" s="212"/>
      <c r="M322" s="212"/>
      <c r="N322" s="212"/>
      <c r="O322" s="212"/>
      <c r="P322" s="212"/>
      <c r="Q322" s="208"/>
      <c r="R322" s="208"/>
      <c r="S322" s="208"/>
      <c r="T322" s="208"/>
      <c r="U322" s="213"/>
      <c r="V322" s="2294" t="s">
        <v>1213</v>
      </c>
      <c r="W322" s="2295"/>
      <c r="X322" s="2295"/>
      <c r="Y322" s="2966"/>
      <c r="Z322" s="2305" t="s">
        <v>1213</v>
      </c>
      <c r="AA322" s="2305"/>
    </row>
    <row r="323" spans="1:28" x14ac:dyDescent="0.25">
      <c r="A323" s="513"/>
      <c r="B323" s="2924" t="s">
        <v>20</v>
      </c>
      <c r="C323" s="2324" t="s">
        <v>21</v>
      </c>
      <c r="D323" s="2324" t="s">
        <v>22</v>
      </c>
      <c r="E323" s="2324" t="s">
        <v>23</v>
      </c>
      <c r="F323" s="2324" t="s">
        <v>164</v>
      </c>
      <c r="G323" s="2324" t="s">
        <v>25</v>
      </c>
      <c r="H323" s="2324" t="s">
        <v>26</v>
      </c>
      <c r="I323" s="2324" t="s">
        <v>27</v>
      </c>
      <c r="J323" s="2322" t="s">
        <v>28</v>
      </c>
      <c r="K323" s="2323"/>
      <c r="L323" s="2324" t="s">
        <v>29</v>
      </c>
      <c r="M323" s="2322" t="s">
        <v>30</v>
      </c>
      <c r="N323" s="2323"/>
      <c r="O323" s="2343" t="s">
        <v>31</v>
      </c>
      <c r="P323" s="2344"/>
      <c r="Q323" s="2344"/>
      <c r="R323" s="2344"/>
      <c r="S323" s="2344"/>
      <c r="T323" s="2344"/>
      <c r="U323" s="2344"/>
      <c r="V323" s="2344"/>
      <c r="W323" s="2344"/>
      <c r="X323" s="2344"/>
      <c r="Y323" s="2344"/>
      <c r="Z323" s="2345"/>
      <c r="AA323" s="2346" t="s">
        <v>32</v>
      </c>
    </row>
    <row r="324" spans="1:28" ht="33.75" customHeight="1" x14ac:dyDescent="0.25">
      <c r="A324" s="513"/>
      <c r="B324" s="2924"/>
      <c r="C324" s="2324"/>
      <c r="D324" s="2324"/>
      <c r="E324" s="2324"/>
      <c r="F324" s="2324"/>
      <c r="G324" s="2324"/>
      <c r="H324" s="2324"/>
      <c r="I324" s="2324"/>
      <c r="J324" s="1355" t="s">
        <v>33</v>
      </c>
      <c r="K324" s="1355" t="s">
        <v>34</v>
      </c>
      <c r="L324" s="2324"/>
      <c r="M324" s="2325"/>
      <c r="N324" s="2326"/>
      <c r="O324" s="1354" t="s">
        <v>35</v>
      </c>
      <c r="P324" s="1354" t="s">
        <v>36</v>
      </c>
      <c r="Q324" s="1354" t="s">
        <v>37</v>
      </c>
      <c r="R324" s="1354" t="s">
        <v>38</v>
      </c>
      <c r="S324" s="1354" t="s">
        <v>39</v>
      </c>
      <c r="T324" s="1354" t="s">
        <v>40</v>
      </c>
      <c r="U324" s="1354" t="s">
        <v>41</v>
      </c>
      <c r="V324" s="1354" t="s">
        <v>42</v>
      </c>
      <c r="W324" s="1354" t="s">
        <v>43</v>
      </c>
      <c r="X324" s="1354" t="s">
        <v>44</v>
      </c>
      <c r="Y324" s="1354" t="s">
        <v>45</v>
      </c>
      <c r="Z324" s="1354" t="s">
        <v>46</v>
      </c>
      <c r="AA324" s="2346"/>
    </row>
    <row r="325" spans="1:28" x14ac:dyDescent="0.25">
      <c r="A325" s="513"/>
      <c r="B325" s="4594" t="s">
        <v>1526</v>
      </c>
      <c r="C325" s="4595" t="s">
        <v>2368</v>
      </c>
      <c r="D325" s="4595" t="s">
        <v>2369</v>
      </c>
      <c r="E325" s="4596" t="s">
        <v>48</v>
      </c>
      <c r="F325" s="4564" t="s">
        <v>165</v>
      </c>
      <c r="G325" s="4564" t="s">
        <v>2370</v>
      </c>
      <c r="H325" s="4540" t="s">
        <v>2371</v>
      </c>
      <c r="I325" s="4540" t="s">
        <v>2372</v>
      </c>
      <c r="J325" s="4559">
        <v>24</v>
      </c>
      <c r="K325" s="4559">
        <v>107667</v>
      </c>
      <c r="L325" s="4540" t="s">
        <v>2367</v>
      </c>
      <c r="M325" s="4603" t="s">
        <v>51</v>
      </c>
      <c r="N325" s="4603"/>
      <c r="O325" s="767">
        <v>2</v>
      </c>
      <c r="P325" s="767">
        <v>2</v>
      </c>
      <c r="Q325" s="767">
        <v>2</v>
      </c>
      <c r="R325" s="767">
        <v>2</v>
      </c>
      <c r="S325" s="767">
        <v>2</v>
      </c>
      <c r="T325" s="767">
        <v>2</v>
      </c>
      <c r="U325" s="767">
        <v>2</v>
      </c>
      <c r="V325" s="767">
        <v>2</v>
      </c>
      <c r="W325" s="767">
        <v>2</v>
      </c>
      <c r="X325" s="767">
        <v>2</v>
      </c>
      <c r="Y325" s="767">
        <v>2</v>
      </c>
      <c r="Z325" s="767">
        <v>2</v>
      </c>
      <c r="AA325" s="1554">
        <f t="shared" ref="AA325:AA333" si="16">SUM(O325:Z325)</f>
        <v>24</v>
      </c>
      <c r="AB325" s="34"/>
    </row>
    <row r="326" spans="1:28" x14ac:dyDescent="0.25">
      <c r="A326" s="513"/>
      <c r="B326" s="4594"/>
      <c r="C326" s="4595"/>
      <c r="D326" s="4595"/>
      <c r="E326" s="4596"/>
      <c r="F326" s="4564"/>
      <c r="G326" s="4564"/>
      <c r="H326" s="4540"/>
      <c r="I326" s="4540"/>
      <c r="J326" s="4559"/>
      <c r="K326" s="4559"/>
      <c r="L326" s="4540"/>
      <c r="M326" s="4603" t="s">
        <v>111</v>
      </c>
      <c r="N326" s="4603"/>
      <c r="O326" s="762">
        <f t="shared" ref="O326:Z326" si="17">SUM(O327:O335)</f>
        <v>11059.3</v>
      </c>
      <c r="P326" s="762">
        <f t="shared" si="17"/>
        <v>10059.299999999999</v>
      </c>
      <c r="Q326" s="762">
        <f t="shared" si="17"/>
        <v>7759.3</v>
      </c>
      <c r="R326" s="762">
        <f t="shared" si="17"/>
        <v>6409.3</v>
      </c>
      <c r="S326" s="762">
        <f t="shared" si="17"/>
        <v>10659.3</v>
      </c>
      <c r="T326" s="762">
        <f t="shared" si="17"/>
        <v>9664.2999999999993</v>
      </c>
      <c r="U326" s="762">
        <f t="shared" si="17"/>
        <v>6859.3</v>
      </c>
      <c r="V326" s="762">
        <f t="shared" si="17"/>
        <v>9709.2999999999993</v>
      </c>
      <c r="W326" s="762">
        <f t="shared" si="17"/>
        <v>9509.2999999999993</v>
      </c>
      <c r="X326" s="762">
        <f t="shared" si="17"/>
        <v>6409.3</v>
      </c>
      <c r="Y326" s="762">
        <f t="shared" si="17"/>
        <v>9659.2999999999993</v>
      </c>
      <c r="Z326" s="762">
        <f t="shared" si="17"/>
        <v>9909.2999999999993</v>
      </c>
      <c r="AA326" s="762">
        <f t="shared" si="16"/>
        <v>107666.60000000002</v>
      </c>
      <c r="AB326" s="34"/>
    </row>
    <row r="327" spans="1:28" x14ac:dyDescent="0.25">
      <c r="A327" s="513"/>
      <c r="B327" s="4594"/>
      <c r="C327" s="4595"/>
      <c r="D327" s="4595"/>
      <c r="E327" s="4596"/>
      <c r="F327" s="4564"/>
      <c r="G327" s="4564"/>
      <c r="H327" s="4540"/>
      <c r="I327" s="4540"/>
      <c r="J327" s="4559"/>
      <c r="K327" s="4559"/>
      <c r="L327" s="4540"/>
      <c r="M327" s="1597" t="s">
        <v>184</v>
      </c>
      <c r="N327" s="1598" t="s">
        <v>2373</v>
      </c>
      <c r="O327" s="1599">
        <v>1500</v>
      </c>
      <c r="P327" s="1600">
        <v>0</v>
      </c>
      <c r="Q327" s="1599">
        <v>0</v>
      </c>
      <c r="R327" s="1599">
        <v>0</v>
      </c>
      <c r="S327" s="1599">
        <v>0</v>
      </c>
      <c r="T327" s="1599">
        <v>0</v>
      </c>
      <c r="U327" s="1599">
        <v>900</v>
      </c>
      <c r="V327" s="1599">
        <v>0</v>
      </c>
      <c r="W327" s="1599">
        <v>0</v>
      </c>
      <c r="X327" s="1599">
        <v>0</v>
      </c>
      <c r="Y327" s="1599">
        <v>0</v>
      </c>
      <c r="Z327" s="1599">
        <v>0</v>
      </c>
      <c r="AA327" s="1599">
        <f t="shared" si="16"/>
        <v>2400</v>
      </c>
      <c r="AB327" s="34"/>
    </row>
    <row r="328" spans="1:28" x14ac:dyDescent="0.25">
      <c r="A328" s="513"/>
      <c r="B328" s="4594"/>
      <c r="C328" s="4595"/>
      <c r="D328" s="4595"/>
      <c r="E328" s="4596"/>
      <c r="F328" s="4564"/>
      <c r="G328" s="4564"/>
      <c r="H328" s="4540"/>
      <c r="I328" s="4540"/>
      <c r="J328" s="4559"/>
      <c r="K328" s="4559"/>
      <c r="L328" s="4540"/>
      <c r="M328" s="1601" t="s">
        <v>541</v>
      </c>
      <c r="N328" s="1597" t="s">
        <v>2374</v>
      </c>
      <c r="O328" s="1557">
        <v>200</v>
      </c>
      <c r="P328" s="1557">
        <v>300</v>
      </c>
      <c r="Q328" s="1557">
        <v>300</v>
      </c>
      <c r="R328" s="1557">
        <v>300</v>
      </c>
      <c r="S328" s="1557">
        <v>500</v>
      </c>
      <c r="T328" s="1557">
        <v>200</v>
      </c>
      <c r="U328" s="1557">
        <v>300</v>
      </c>
      <c r="V328" s="1557">
        <v>200</v>
      </c>
      <c r="W328" s="1557">
        <v>200</v>
      </c>
      <c r="X328" s="1557">
        <v>100</v>
      </c>
      <c r="Y328" s="1557">
        <v>200</v>
      </c>
      <c r="Z328" s="1557">
        <v>200</v>
      </c>
      <c r="AA328" s="1557">
        <f t="shared" si="16"/>
        <v>3000</v>
      </c>
      <c r="AB328" s="34"/>
    </row>
    <row r="329" spans="1:28" x14ac:dyDescent="0.25">
      <c r="A329" s="513"/>
      <c r="B329" s="4594"/>
      <c r="C329" s="4595"/>
      <c r="D329" s="4595"/>
      <c r="E329" s="4596"/>
      <c r="F329" s="4564"/>
      <c r="G329" s="4564"/>
      <c r="H329" s="4540"/>
      <c r="I329" s="4540"/>
      <c r="J329" s="4559"/>
      <c r="K329" s="4559"/>
      <c r="L329" s="4540"/>
      <c r="M329" s="1601" t="s">
        <v>194</v>
      </c>
      <c r="N329" s="1597" t="s">
        <v>1372</v>
      </c>
      <c r="O329" s="1557">
        <v>400</v>
      </c>
      <c r="P329" s="1557">
        <v>5000</v>
      </c>
      <c r="Q329" s="1557">
        <v>2400</v>
      </c>
      <c r="R329" s="1557">
        <v>700</v>
      </c>
      <c r="S329" s="1557">
        <v>5500</v>
      </c>
      <c r="T329" s="1557">
        <v>500</v>
      </c>
      <c r="U329" s="1557">
        <v>750</v>
      </c>
      <c r="V329" s="1557">
        <v>850</v>
      </c>
      <c r="W329" s="1557">
        <v>500</v>
      </c>
      <c r="X329" s="1557">
        <v>700</v>
      </c>
      <c r="Y329" s="1557">
        <v>800</v>
      </c>
      <c r="Z329" s="1557">
        <v>900</v>
      </c>
      <c r="AA329" s="1557">
        <f t="shared" si="16"/>
        <v>19000</v>
      </c>
      <c r="AB329" s="34"/>
    </row>
    <row r="330" spans="1:28" ht="24" x14ac:dyDescent="0.25">
      <c r="A330" s="513"/>
      <c r="B330" s="4594"/>
      <c r="C330" s="4595"/>
      <c r="D330" s="4595"/>
      <c r="E330" s="4596"/>
      <c r="F330" s="4564"/>
      <c r="G330" s="4564"/>
      <c r="H330" s="4540"/>
      <c r="I330" s="4540"/>
      <c r="J330" s="4559"/>
      <c r="K330" s="4559"/>
      <c r="L330" s="4540"/>
      <c r="M330" s="1601" t="s">
        <v>220</v>
      </c>
      <c r="N330" s="1597" t="s">
        <v>2375</v>
      </c>
      <c r="O330" s="1557">
        <v>5000</v>
      </c>
      <c r="P330" s="1557">
        <v>1000</v>
      </c>
      <c r="Q330" s="1557">
        <v>1000</v>
      </c>
      <c r="R330" s="1557">
        <v>2000</v>
      </c>
      <c r="S330" s="1557">
        <v>1000</v>
      </c>
      <c r="T330" s="1557">
        <v>5405</v>
      </c>
      <c r="U330" s="1557">
        <v>1000</v>
      </c>
      <c r="V330" s="1557">
        <v>5000</v>
      </c>
      <c r="W330" s="1557">
        <v>5000</v>
      </c>
      <c r="X330" s="1557">
        <v>1000</v>
      </c>
      <c r="Y330" s="1557">
        <v>5000</v>
      </c>
      <c r="Z330" s="1557">
        <v>5000</v>
      </c>
      <c r="AA330" s="1557">
        <f t="shared" si="16"/>
        <v>37405</v>
      </c>
      <c r="AB330" s="34"/>
    </row>
    <row r="331" spans="1:28" ht="24" x14ac:dyDescent="0.25">
      <c r="A331" s="513"/>
      <c r="B331" s="4594"/>
      <c r="C331" s="4595"/>
      <c r="D331" s="4595"/>
      <c r="E331" s="4596"/>
      <c r="F331" s="4564"/>
      <c r="G331" s="4564"/>
      <c r="H331" s="4540"/>
      <c r="I331" s="4540"/>
      <c r="J331" s="4559"/>
      <c r="K331" s="4559"/>
      <c r="L331" s="4540"/>
      <c r="M331" s="1601" t="s">
        <v>1001</v>
      </c>
      <c r="N331" s="1597" t="s">
        <v>997</v>
      </c>
      <c r="O331" s="1557">
        <v>100</v>
      </c>
      <c r="P331" s="1557">
        <v>100</v>
      </c>
      <c r="Q331" s="1557">
        <v>100</v>
      </c>
      <c r="R331" s="1557">
        <v>50</v>
      </c>
      <c r="S331" s="1557">
        <v>0</v>
      </c>
      <c r="T331" s="1557">
        <v>100</v>
      </c>
      <c r="U331" s="1557">
        <v>50</v>
      </c>
      <c r="V331" s="1557">
        <v>0</v>
      </c>
      <c r="W331" s="1557">
        <v>150</v>
      </c>
      <c r="X331" s="1557"/>
      <c r="Y331" s="1557">
        <v>200</v>
      </c>
      <c r="Z331" s="1557">
        <v>150</v>
      </c>
      <c r="AA331" s="1557">
        <f t="shared" si="16"/>
        <v>1000</v>
      </c>
      <c r="AB331" s="34"/>
    </row>
    <row r="332" spans="1:28" x14ac:dyDescent="0.25">
      <c r="A332" s="513"/>
      <c r="B332" s="4594"/>
      <c r="C332" s="4595"/>
      <c r="D332" s="4595"/>
      <c r="E332" s="4596"/>
      <c r="F332" s="4564"/>
      <c r="G332" s="4564"/>
      <c r="H332" s="4540"/>
      <c r="I332" s="4540"/>
      <c r="J332" s="4559"/>
      <c r="K332" s="4559"/>
      <c r="L332" s="4540"/>
      <c r="M332" s="1601" t="s">
        <v>2376</v>
      </c>
      <c r="N332" s="1567" t="s">
        <v>2377</v>
      </c>
      <c r="O332" s="1557">
        <v>300</v>
      </c>
      <c r="P332" s="1557">
        <v>400</v>
      </c>
      <c r="Q332" s="1557">
        <v>200</v>
      </c>
      <c r="R332" s="1557">
        <v>100</v>
      </c>
      <c r="S332" s="1557">
        <v>400</v>
      </c>
      <c r="T332" s="1557">
        <v>200</v>
      </c>
      <c r="U332" s="1557">
        <v>450</v>
      </c>
      <c r="V332" s="1557">
        <v>400</v>
      </c>
      <c r="W332" s="1557">
        <v>400</v>
      </c>
      <c r="X332" s="1557">
        <v>550</v>
      </c>
      <c r="Y332" s="1557">
        <v>200</v>
      </c>
      <c r="Z332" s="1557">
        <v>400</v>
      </c>
      <c r="AA332" s="1557">
        <f t="shared" si="16"/>
        <v>4000</v>
      </c>
      <c r="AB332" s="34"/>
    </row>
    <row r="333" spans="1:28" ht="24" x14ac:dyDescent="0.25">
      <c r="A333" s="513"/>
      <c r="B333" s="4594"/>
      <c r="C333" s="4595"/>
      <c r="D333" s="4595"/>
      <c r="E333" s="4596"/>
      <c r="F333" s="4564"/>
      <c r="G333" s="4564"/>
      <c r="H333" s="4540"/>
      <c r="I333" s="4540"/>
      <c r="J333" s="4559"/>
      <c r="K333" s="4559"/>
      <c r="L333" s="4540"/>
      <c r="M333" s="1601" t="s">
        <v>1454</v>
      </c>
      <c r="N333" s="1597" t="s">
        <v>1478</v>
      </c>
      <c r="O333" s="1557">
        <v>300</v>
      </c>
      <c r="P333" s="1557">
        <v>0</v>
      </c>
      <c r="Q333" s="1557">
        <v>500</v>
      </c>
      <c r="R333" s="1557">
        <v>0</v>
      </c>
      <c r="S333" s="1557">
        <v>0</v>
      </c>
      <c r="T333" s="1557">
        <v>0</v>
      </c>
      <c r="U333" s="1557">
        <v>150</v>
      </c>
      <c r="V333" s="1557">
        <v>0</v>
      </c>
      <c r="W333" s="1557">
        <v>0</v>
      </c>
      <c r="X333" s="1557">
        <v>800</v>
      </c>
      <c r="Y333" s="1557">
        <v>0</v>
      </c>
      <c r="Z333" s="1557">
        <v>0</v>
      </c>
      <c r="AA333" s="1557">
        <f t="shared" si="16"/>
        <v>1750</v>
      </c>
      <c r="AB333" s="34"/>
    </row>
    <row r="334" spans="1:28" x14ac:dyDescent="0.25">
      <c r="A334" s="513"/>
      <c r="B334" s="4594"/>
      <c r="C334" s="4595"/>
      <c r="D334" s="4595"/>
      <c r="E334" s="4596"/>
      <c r="F334" s="4564"/>
      <c r="G334" s="4564"/>
      <c r="H334" s="4540"/>
      <c r="I334" s="4540"/>
      <c r="J334" s="4559"/>
      <c r="K334" s="4559"/>
      <c r="L334" s="4540"/>
      <c r="M334" s="1601" t="s">
        <v>208</v>
      </c>
      <c r="N334" s="1597" t="s">
        <v>1190</v>
      </c>
      <c r="O334" s="1557">
        <v>3154</v>
      </c>
      <c r="P334" s="1557">
        <v>3154</v>
      </c>
      <c r="Q334" s="1557">
        <v>3154</v>
      </c>
      <c r="R334" s="1557">
        <v>3154</v>
      </c>
      <c r="S334" s="1557">
        <v>3154</v>
      </c>
      <c r="T334" s="1557">
        <v>3154</v>
      </c>
      <c r="U334" s="1557">
        <v>3154</v>
      </c>
      <c r="V334" s="1557">
        <v>3154</v>
      </c>
      <c r="W334" s="1557">
        <v>3154</v>
      </c>
      <c r="X334" s="1557">
        <v>3154</v>
      </c>
      <c r="Y334" s="1557">
        <v>3154</v>
      </c>
      <c r="Z334" s="1557">
        <v>3154</v>
      </c>
      <c r="AA334" s="1557">
        <v>37848</v>
      </c>
      <c r="AB334" s="34"/>
    </row>
    <row r="335" spans="1:28" x14ac:dyDescent="0.25">
      <c r="A335" s="513"/>
      <c r="B335" s="4594"/>
      <c r="C335" s="4595"/>
      <c r="D335" s="4595"/>
      <c r="E335" s="4596"/>
      <c r="F335" s="4564"/>
      <c r="G335" s="4564"/>
      <c r="H335" s="4540"/>
      <c r="I335" s="4540"/>
      <c r="J335" s="4559"/>
      <c r="K335" s="4559"/>
      <c r="L335" s="4540"/>
      <c r="M335" s="1601" t="s">
        <v>210</v>
      </c>
      <c r="N335" s="1597" t="s">
        <v>2378</v>
      </c>
      <c r="O335" s="1557">
        <v>105.3</v>
      </c>
      <c r="P335" s="1557">
        <v>105.3</v>
      </c>
      <c r="Q335" s="1557">
        <v>105.3</v>
      </c>
      <c r="R335" s="1557">
        <v>105.3</v>
      </c>
      <c r="S335" s="1557">
        <v>105.3</v>
      </c>
      <c r="T335" s="1557">
        <v>105.3</v>
      </c>
      <c r="U335" s="1557">
        <v>105.3</v>
      </c>
      <c r="V335" s="1557">
        <v>105.3</v>
      </c>
      <c r="W335" s="1557">
        <v>105.3</v>
      </c>
      <c r="X335" s="1557">
        <v>105.3</v>
      </c>
      <c r="Y335" s="1557">
        <v>105.3</v>
      </c>
      <c r="Z335" s="1557">
        <v>105.3</v>
      </c>
      <c r="AA335" s="1557">
        <v>1264</v>
      </c>
      <c r="AB335" s="34"/>
    </row>
    <row r="336" spans="1:28" ht="24" x14ac:dyDescent="0.25">
      <c r="A336" s="513"/>
      <c r="B336" s="1602" t="s">
        <v>6</v>
      </c>
      <c r="C336" s="4599" t="s">
        <v>2404</v>
      </c>
      <c r="D336" s="4600"/>
      <c r="E336" s="4600"/>
      <c r="F336" s="4600"/>
      <c r="G336" s="4600"/>
      <c r="H336" s="4600"/>
      <c r="I336" s="4600"/>
      <c r="J336" s="4600"/>
      <c r="K336" s="4600"/>
      <c r="L336" s="4600"/>
      <c r="M336" s="4600"/>
      <c r="N336" s="4600"/>
      <c r="O336" s="4600"/>
      <c r="P336" s="4600"/>
      <c r="Q336" s="4600"/>
      <c r="R336" s="4600"/>
      <c r="S336" s="4600"/>
      <c r="T336" s="4600"/>
      <c r="U336" s="4600"/>
      <c r="V336" s="4600"/>
      <c r="W336" s="4600"/>
      <c r="X336" s="4600"/>
      <c r="Y336" s="4600"/>
      <c r="Z336" s="225"/>
      <c r="AA336" s="226"/>
      <c r="AB336" s="34"/>
    </row>
    <row r="337" spans="1:27" ht="33" customHeight="1" x14ac:dyDescent="0.25">
      <c r="A337" s="513"/>
      <c r="B337" s="1859" t="s">
        <v>8</v>
      </c>
      <c r="C337" s="2911" t="s">
        <v>2387</v>
      </c>
      <c r="D337" s="2912"/>
      <c r="E337" s="2912"/>
      <c r="F337" s="2912"/>
      <c r="G337" s="2912"/>
      <c r="H337" s="2912"/>
      <c r="I337" s="2912"/>
      <c r="J337" s="2912"/>
      <c r="K337" s="2912"/>
      <c r="L337" s="2912"/>
      <c r="M337" s="2912"/>
      <c r="N337" s="2912"/>
      <c r="O337" s="2912"/>
      <c r="P337" s="2912"/>
      <c r="Q337" s="2912"/>
      <c r="R337" s="2912"/>
      <c r="S337" s="2912"/>
      <c r="T337" s="2912"/>
      <c r="U337" s="2912"/>
      <c r="V337" s="2912"/>
      <c r="W337" s="2912"/>
      <c r="X337" s="2912"/>
      <c r="Y337" s="2912"/>
      <c r="Z337" s="2912"/>
      <c r="AA337" s="4601"/>
    </row>
    <row r="338" spans="1:27" x14ac:dyDescent="0.25">
      <c r="A338" s="513"/>
      <c r="B338" s="1603" t="s">
        <v>11</v>
      </c>
      <c r="C338" s="4301" t="s">
        <v>230</v>
      </c>
      <c r="D338" s="4329"/>
      <c r="E338" s="4329"/>
      <c r="F338" s="4329"/>
      <c r="G338" s="4329"/>
      <c r="H338" s="4329"/>
      <c r="I338" s="4329"/>
      <c r="J338" s="4329"/>
      <c r="K338" s="4329"/>
      <c r="L338" s="4329"/>
      <c r="M338" s="4329"/>
      <c r="N338" s="4329"/>
      <c r="O338" s="4329"/>
      <c r="P338" s="4329"/>
      <c r="Q338" s="4329"/>
      <c r="R338" s="4329"/>
      <c r="S338" s="4329"/>
      <c r="T338" s="4329"/>
      <c r="U338" s="4329"/>
      <c r="V338" s="4329"/>
      <c r="W338" s="4329"/>
      <c r="X338" s="4329"/>
      <c r="Y338" s="4329"/>
      <c r="Z338" s="4329"/>
      <c r="AA338" s="4602"/>
    </row>
    <row r="339" spans="1:27" x14ac:dyDescent="0.25">
      <c r="A339" s="513"/>
      <c r="B339" s="2298" t="s">
        <v>13</v>
      </c>
      <c r="C339" s="2308">
        <v>9001</v>
      </c>
      <c r="D339" s="2309"/>
      <c r="E339" s="2309"/>
      <c r="F339" s="2309"/>
      <c r="G339" s="2309"/>
      <c r="H339" s="2309"/>
      <c r="I339" s="1604"/>
      <c r="J339" s="1604"/>
      <c r="K339" s="1604"/>
      <c r="L339" s="1604"/>
      <c r="M339" s="1585"/>
      <c r="N339" s="1585"/>
      <c r="O339" s="1585"/>
      <c r="P339" s="1585"/>
      <c r="Q339" s="1585"/>
      <c r="R339" s="1585"/>
      <c r="S339" s="1585"/>
      <c r="T339" s="1586"/>
      <c r="U339" s="1587"/>
      <c r="V339" s="2314" t="s">
        <v>15</v>
      </c>
      <c r="W339" s="2315"/>
      <c r="X339" s="2315"/>
      <c r="Y339" s="2316"/>
      <c r="Z339" s="2305" t="s">
        <v>16</v>
      </c>
      <c r="AA339" s="2305"/>
    </row>
    <row r="340" spans="1:27" x14ac:dyDescent="0.25">
      <c r="A340" s="513"/>
      <c r="B340" s="2298"/>
      <c r="C340" s="2311"/>
      <c r="D340" s="2312"/>
      <c r="E340" s="2312"/>
      <c r="F340" s="2312"/>
      <c r="G340" s="2312"/>
      <c r="H340" s="2312"/>
      <c r="I340" s="1605"/>
      <c r="J340" s="1605"/>
      <c r="K340" s="1605"/>
      <c r="L340" s="1605"/>
      <c r="M340" s="1588"/>
      <c r="N340" s="1588"/>
      <c r="O340" s="1588"/>
      <c r="P340" s="1588"/>
      <c r="Q340" s="1588"/>
      <c r="R340" s="1588"/>
      <c r="S340" s="1588"/>
      <c r="T340" s="1587"/>
      <c r="U340" s="1587"/>
      <c r="V340" s="4304" t="s">
        <v>19</v>
      </c>
      <c r="W340" s="4305"/>
      <c r="X340" s="4305"/>
      <c r="Y340" s="4306"/>
      <c r="Z340" s="2931" t="s">
        <v>133</v>
      </c>
      <c r="AA340" s="2931"/>
    </row>
    <row r="341" spans="1:27" x14ac:dyDescent="0.25">
      <c r="A341" s="513"/>
      <c r="B341" s="2298" t="s">
        <v>18</v>
      </c>
      <c r="C341" s="2959">
        <v>3999999</v>
      </c>
      <c r="D341" s="4597" t="s">
        <v>163</v>
      </c>
      <c r="E341" s="3158"/>
      <c r="F341" s="3159"/>
      <c r="G341" s="3159"/>
      <c r="H341" s="3159"/>
      <c r="I341" s="3159"/>
      <c r="J341" s="3159"/>
      <c r="K341" s="3159"/>
      <c r="L341" s="3159"/>
      <c r="M341" s="1585"/>
      <c r="N341" s="1585"/>
      <c r="O341" s="1585"/>
      <c r="P341" s="1585"/>
      <c r="Q341" s="1585"/>
      <c r="R341" s="1585"/>
      <c r="S341" s="1585"/>
      <c r="T341" s="1585"/>
      <c r="U341" s="1589"/>
      <c r="V341" s="2314" t="s">
        <v>15</v>
      </c>
      <c r="W341" s="2315"/>
      <c r="X341" s="2315"/>
      <c r="Y341" s="2316"/>
      <c r="Z341" s="2305" t="s">
        <v>16</v>
      </c>
      <c r="AA341" s="2305"/>
    </row>
    <row r="342" spans="1:27" x14ac:dyDescent="0.25">
      <c r="A342" s="513"/>
      <c r="B342" s="2298"/>
      <c r="C342" s="2961"/>
      <c r="D342" s="4598"/>
      <c r="E342" s="3161"/>
      <c r="F342" s="3162"/>
      <c r="G342" s="3162"/>
      <c r="H342" s="3162"/>
      <c r="I342" s="3162"/>
      <c r="J342" s="3162"/>
      <c r="K342" s="3162"/>
      <c r="L342" s="3162"/>
      <c r="M342" s="1590"/>
      <c r="N342" s="1590"/>
      <c r="O342" s="1590"/>
      <c r="P342" s="1590"/>
      <c r="Q342" s="1590"/>
      <c r="R342" s="1590"/>
      <c r="S342" s="1590"/>
      <c r="T342" s="1590"/>
      <c r="U342" s="1591"/>
      <c r="V342" s="4304" t="s">
        <v>19</v>
      </c>
      <c r="W342" s="4305"/>
      <c r="X342" s="4305"/>
      <c r="Y342" s="4306"/>
      <c r="Z342" s="1306"/>
      <c r="AA342" s="1606"/>
    </row>
    <row r="343" spans="1:27" x14ac:dyDescent="0.25">
      <c r="A343" s="513"/>
      <c r="B343" s="2320" t="s">
        <v>20</v>
      </c>
      <c r="C343" s="2324" t="s">
        <v>21</v>
      </c>
      <c r="D343" s="2324" t="s">
        <v>22</v>
      </c>
      <c r="E343" s="2324" t="s">
        <v>23</v>
      </c>
      <c r="F343" s="2324" t="s">
        <v>24</v>
      </c>
      <c r="G343" s="2324" t="s">
        <v>25</v>
      </c>
      <c r="H343" s="2324" t="s">
        <v>26</v>
      </c>
      <c r="I343" s="2324" t="s">
        <v>27</v>
      </c>
      <c r="J343" s="2322" t="s">
        <v>28</v>
      </c>
      <c r="K343" s="2323"/>
      <c r="L343" s="2324" t="s">
        <v>29</v>
      </c>
      <c r="M343" s="2324" t="s">
        <v>30</v>
      </c>
      <c r="N343" s="4330" t="s">
        <v>530</v>
      </c>
      <c r="O343" s="2343" t="s">
        <v>31</v>
      </c>
      <c r="P343" s="2344"/>
      <c r="Q343" s="2344"/>
      <c r="R343" s="2344"/>
      <c r="S343" s="2344"/>
      <c r="T343" s="2344"/>
      <c r="U343" s="2344"/>
      <c r="V343" s="2344"/>
      <c r="W343" s="2344"/>
      <c r="X343" s="2344"/>
      <c r="Y343" s="2344"/>
      <c r="Z343" s="2345"/>
      <c r="AA343" s="2346" t="s">
        <v>32</v>
      </c>
    </row>
    <row r="344" spans="1:27" ht="30.75" customHeight="1" x14ac:dyDescent="0.25">
      <c r="A344" s="513"/>
      <c r="B344" s="2321"/>
      <c r="C344" s="2324"/>
      <c r="D344" s="2324"/>
      <c r="E344" s="2324"/>
      <c r="F344" s="2324"/>
      <c r="G344" s="2324"/>
      <c r="H344" s="2324"/>
      <c r="I344" s="2324"/>
      <c r="J344" s="1355" t="s">
        <v>33</v>
      </c>
      <c r="K344" s="1355" t="s">
        <v>34</v>
      </c>
      <c r="L344" s="2324"/>
      <c r="M344" s="2324"/>
      <c r="N344" s="4331"/>
      <c r="O344" s="1354" t="s">
        <v>35</v>
      </c>
      <c r="P344" s="1354" t="s">
        <v>36</v>
      </c>
      <c r="Q344" s="1354" t="s">
        <v>37</v>
      </c>
      <c r="R344" s="1354" t="s">
        <v>38</v>
      </c>
      <c r="S344" s="1354" t="s">
        <v>39</v>
      </c>
      <c r="T344" s="1354" t="s">
        <v>40</v>
      </c>
      <c r="U344" s="1354" t="s">
        <v>41</v>
      </c>
      <c r="V344" s="1354" t="s">
        <v>42</v>
      </c>
      <c r="W344" s="1354" t="s">
        <v>43</v>
      </c>
      <c r="X344" s="1354" t="s">
        <v>44</v>
      </c>
      <c r="Y344" s="1354" t="s">
        <v>45</v>
      </c>
      <c r="Z344" s="1354" t="s">
        <v>46</v>
      </c>
      <c r="AA344" s="2346"/>
    </row>
    <row r="345" spans="1:27" x14ac:dyDescent="0.25">
      <c r="A345" s="513"/>
      <c r="B345" s="3155">
        <v>5000006</v>
      </c>
      <c r="C345" s="2357" t="s">
        <v>2390</v>
      </c>
      <c r="D345" s="4604" t="s">
        <v>2379</v>
      </c>
      <c r="E345" s="2349" t="s">
        <v>48</v>
      </c>
      <c r="F345" s="4340" t="s">
        <v>165</v>
      </c>
      <c r="G345" s="4340">
        <v>12</v>
      </c>
      <c r="H345" s="2357" t="s">
        <v>2317</v>
      </c>
      <c r="I345" s="2357" t="s">
        <v>235</v>
      </c>
      <c r="J345" s="2355">
        <v>19</v>
      </c>
      <c r="K345" s="2355">
        <v>190300</v>
      </c>
      <c r="L345" s="2357" t="s">
        <v>2387</v>
      </c>
      <c r="M345" s="4582" t="s">
        <v>51</v>
      </c>
      <c r="N345" s="4583"/>
      <c r="O345" s="1607">
        <v>1</v>
      </c>
      <c r="P345" s="1607">
        <v>1</v>
      </c>
      <c r="Q345" s="1607">
        <v>2</v>
      </c>
      <c r="R345" s="1607">
        <v>2</v>
      </c>
      <c r="S345" s="1607">
        <v>2</v>
      </c>
      <c r="T345" s="1607">
        <v>1</v>
      </c>
      <c r="U345" s="1607">
        <v>2</v>
      </c>
      <c r="V345" s="1607">
        <v>2</v>
      </c>
      <c r="W345" s="1607">
        <v>2</v>
      </c>
      <c r="X345" s="1607">
        <v>1</v>
      </c>
      <c r="Y345" s="1607">
        <v>2</v>
      </c>
      <c r="Z345" s="1607">
        <v>1</v>
      </c>
      <c r="AA345" s="1607">
        <f t="shared" ref="AA345:AA370" si="18">SUM(O345:Z345)</f>
        <v>19</v>
      </c>
    </row>
    <row r="346" spans="1:27" x14ac:dyDescent="0.25">
      <c r="A346" s="513"/>
      <c r="B346" s="3156"/>
      <c r="C346" s="4289"/>
      <c r="D346" s="4605"/>
      <c r="E346" s="4607"/>
      <c r="F346" s="4341"/>
      <c r="G346" s="4341"/>
      <c r="H346" s="4289"/>
      <c r="I346" s="4289"/>
      <c r="J346" s="4343"/>
      <c r="K346" s="4343"/>
      <c r="L346" s="4289"/>
      <c r="M346" s="4582" t="s">
        <v>111</v>
      </c>
      <c r="N346" s="4583"/>
      <c r="O346" s="1608">
        <f t="shared" ref="O346:Z346" si="19">SUM(O347:O354)</f>
        <v>14501.75</v>
      </c>
      <c r="P346" s="1608">
        <f t="shared" si="19"/>
        <v>19194.75</v>
      </c>
      <c r="Q346" s="1608">
        <f t="shared" si="19"/>
        <v>16094.75</v>
      </c>
      <c r="R346" s="1608">
        <f t="shared" si="19"/>
        <v>16094.75</v>
      </c>
      <c r="S346" s="1608">
        <f t="shared" si="19"/>
        <v>14594.75</v>
      </c>
      <c r="T346" s="1608">
        <f t="shared" si="19"/>
        <v>19794.75</v>
      </c>
      <c r="U346" s="1608">
        <f t="shared" si="19"/>
        <v>14594.75</v>
      </c>
      <c r="V346" s="1608">
        <f t="shared" si="19"/>
        <v>16034.75</v>
      </c>
      <c r="W346" s="1608">
        <f t="shared" si="19"/>
        <v>15994.75</v>
      </c>
      <c r="X346" s="1608">
        <f t="shared" si="19"/>
        <v>17099.75</v>
      </c>
      <c r="Y346" s="1608">
        <f t="shared" si="19"/>
        <v>15594.75</v>
      </c>
      <c r="Z346" s="1608">
        <f t="shared" si="19"/>
        <v>10705.75</v>
      </c>
      <c r="AA346" s="1607">
        <f t="shared" si="18"/>
        <v>190300</v>
      </c>
    </row>
    <row r="347" spans="1:27" ht="36" x14ac:dyDescent="0.25">
      <c r="A347" s="513"/>
      <c r="B347" s="3156"/>
      <c r="C347" s="4289"/>
      <c r="D347" s="4605"/>
      <c r="E347" s="4607"/>
      <c r="F347" s="4341"/>
      <c r="G347" s="4341"/>
      <c r="H347" s="4289"/>
      <c r="I347" s="4289"/>
      <c r="J347" s="4343"/>
      <c r="K347" s="4343"/>
      <c r="L347" s="4289"/>
      <c r="M347" s="1665" t="s">
        <v>184</v>
      </c>
      <c r="N347" s="347" t="s">
        <v>1367</v>
      </c>
      <c r="O347" s="352">
        <v>0</v>
      </c>
      <c r="P347" s="352">
        <v>3500</v>
      </c>
      <c r="Q347" s="352">
        <v>0</v>
      </c>
      <c r="R347" s="352">
        <v>0</v>
      </c>
      <c r="S347" s="352">
        <v>0</v>
      </c>
      <c r="T347" s="352">
        <v>2500</v>
      </c>
      <c r="U347" s="352">
        <v>0</v>
      </c>
      <c r="V347" s="352">
        <v>0</v>
      </c>
      <c r="W347" s="352">
        <v>0</v>
      </c>
      <c r="X347" s="352">
        <v>1260</v>
      </c>
      <c r="Y347" s="352">
        <v>0</v>
      </c>
      <c r="Z347" s="352">
        <v>0</v>
      </c>
      <c r="AA347" s="1607">
        <f t="shared" si="18"/>
        <v>7260</v>
      </c>
    </row>
    <row r="348" spans="1:27" ht="36" x14ac:dyDescent="0.25">
      <c r="A348" s="513"/>
      <c r="B348" s="3156"/>
      <c r="C348" s="4289"/>
      <c r="D348" s="4605"/>
      <c r="E348" s="4607"/>
      <c r="F348" s="4341"/>
      <c r="G348" s="4341"/>
      <c r="H348" s="4289"/>
      <c r="I348" s="4289"/>
      <c r="J348" s="4343"/>
      <c r="K348" s="4343"/>
      <c r="L348" s="4289"/>
      <c r="M348" s="1665" t="s">
        <v>541</v>
      </c>
      <c r="N348" s="347" t="s">
        <v>1196</v>
      </c>
      <c r="O348" s="352">
        <v>100</v>
      </c>
      <c r="P348" s="352">
        <v>100</v>
      </c>
      <c r="Q348" s="352">
        <v>100</v>
      </c>
      <c r="R348" s="352">
        <v>100</v>
      </c>
      <c r="S348" s="352">
        <v>100</v>
      </c>
      <c r="T348" s="352">
        <v>100</v>
      </c>
      <c r="U348" s="352">
        <v>100</v>
      </c>
      <c r="V348" s="352">
        <v>100</v>
      </c>
      <c r="W348" s="352">
        <v>100</v>
      </c>
      <c r="X348" s="352">
        <v>100</v>
      </c>
      <c r="Y348" s="352">
        <v>100</v>
      </c>
      <c r="Z348" s="352">
        <v>30</v>
      </c>
      <c r="AA348" s="1607">
        <f t="shared" si="18"/>
        <v>1130</v>
      </c>
    </row>
    <row r="349" spans="1:27" ht="60" x14ac:dyDescent="0.25">
      <c r="A349" s="513"/>
      <c r="B349" s="3156"/>
      <c r="C349" s="4289"/>
      <c r="D349" s="4605"/>
      <c r="E349" s="4607"/>
      <c r="F349" s="4341"/>
      <c r="G349" s="4341"/>
      <c r="H349" s="4289"/>
      <c r="I349" s="4289"/>
      <c r="J349" s="4343"/>
      <c r="K349" s="4343"/>
      <c r="L349" s="4289"/>
      <c r="M349" s="1665" t="s">
        <v>194</v>
      </c>
      <c r="N349" s="347" t="s">
        <v>2380</v>
      </c>
      <c r="O349" s="352">
        <v>407</v>
      </c>
      <c r="P349" s="352">
        <v>1500</v>
      </c>
      <c r="Q349" s="352">
        <v>500</v>
      </c>
      <c r="R349" s="352">
        <v>1500</v>
      </c>
      <c r="S349" s="352">
        <v>500</v>
      </c>
      <c r="T349" s="352">
        <v>1500</v>
      </c>
      <c r="U349" s="352">
        <v>500</v>
      </c>
      <c r="V349" s="352">
        <v>1500</v>
      </c>
      <c r="W349" s="352">
        <v>500</v>
      </c>
      <c r="X349" s="352">
        <v>1500</v>
      </c>
      <c r="Y349" s="352">
        <v>1500</v>
      </c>
      <c r="Z349" s="352">
        <v>1000</v>
      </c>
      <c r="AA349" s="1607">
        <f t="shared" si="18"/>
        <v>12407</v>
      </c>
    </row>
    <row r="350" spans="1:27" ht="48" x14ac:dyDescent="0.25">
      <c r="A350" s="513"/>
      <c r="B350" s="3156"/>
      <c r="C350" s="4289"/>
      <c r="D350" s="4605"/>
      <c r="E350" s="4607"/>
      <c r="F350" s="4341"/>
      <c r="G350" s="4341"/>
      <c r="H350" s="4289"/>
      <c r="I350" s="4289"/>
      <c r="J350" s="4343"/>
      <c r="K350" s="4343"/>
      <c r="L350" s="4289"/>
      <c r="M350" s="1665" t="s">
        <v>220</v>
      </c>
      <c r="N350" s="347" t="s">
        <v>2381</v>
      </c>
      <c r="O350" s="352">
        <v>0</v>
      </c>
      <c r="P350" s="352">
        <v>0</v>
      </c>
      <c r="Q350" s="352">
        <v>0</v>
      </c>
      <c r="R350" s="352">
        <v>350</v>
      </c>
      <c r="S350" s="352">
        <v>0</v>
      </c>
      <c r="T350" s="352">
        <v>0</v>
      </c>
      <c r="U350" s="352">
        <v>0</v>
      </c>
      <c r="V350" s="352">
        <v>190</v>
      </c>
      <c r="W350" s="352">
        <v>0</v>
      </c>
      <c r="X350" s="352">
        <v>0</v>
      </c>
      <c r="Y350" s="352">
        <v>0</v>
      </c>
      <c r="Z350" s="352">
        <v>0</v>
      </c>
      <c r="AA350" s="1607">
        <f t="shared" si="18"/>
        <v>540</v>
      </c>
    </row>
    <row r="351" spans="1:27" ht="72" x14ac:dyDescent="0.25">
      <c r="A351" s="513"/>
      <c r="B351" s="3156"/>
      <c r="C351" s="4289"/>
      <c r="D351" s="4605"/>
      <c r="E351" s="4607"/>
      <c r="F351" s="4341"/>
      <c r="G351" s="4341"/>
      <c r="H351" s="4289"/>
      <c r="I351" s="4289"/>
      <c r="J351" s="4343"/>
      <c r="K351" s="4343"/>
      <c r="L351" s="4289"/>
      <c r="M351" s="1665" t="s">
        <v>200</v>
      </c>
      <c r="N351" s="347" t="s">
        <v>201</v>
      </c>
      <c r="O351" s="352">
        <v>0</v>
      </c>
      <c r="P351" s="352">
        <v>100</v>
      </c>
      <c r="Q351" s="352">
        <v>0</v>
      </c>
      <c r="R351" s="352">
        <v>150</v>
      </c>
      <c r="S351" s="352">
        <v>0</v>
      </c>
      <c r="T351" s="352">
        <v>200</v>
      </c>
      <c r="U351" s="352">
        <v>0</v>
      </c>
      <c r="V351" s="352">
        <v>250</v>
      </c>
      <c r="W351" s="352">
        <v>0</v>
      </c>
      <c r="X351" s="352">
        <v>245</v>
      </c>
      <c r="Y351" s="352">
        <v>0</v>
      </c>
      <c r="Z351" s="352">
        <v>0</v>
      </c>
      <c r="AA351" s="1607">
        <f t="shared" si="18"/>
        <v>945</v>
      </c>
    </row>
    <row r="352" spans="1:27" ht="48" x14ac:dyDescent="0.25">
      <c r="A352" s="513"/>
      <c r="B352" s="3156"/>
      <c r="C352" s="4289"/>
      <c r="D352" s="4605"/>
      <c r="E352" s="4607"/>
      <c r="F352" s="4341"/>
      <c r="G352" s="4341"/>
      <c r="H352" s="4289"/>
      <c r="I352" s="4289"/>
      <c r="J352" s="4343"/>
      <c r="K352" s="4343"/>
      <c r="L352" s="4289"/>
      <c r="M352" s="1665" t="s">
        <v>2382</v>
      </c>
      <c r="N352" s="347" t="s">
        <v>2383</v>
      </c>
      <c r="O352" s="352">
        <v>0</v>
      </c>
      <c r="P352" s="352">
        <v>0</v>
      </c>
      <c r="Q352" s="352">
        <v>1500</v>
      </c>
      <c r="R352" s="352">
        <v>0</v>
      </c>
      <c r="S352" s="352">
        <v>0</v>
      </c>
      <c r="T352" s="352">
        <v>1500</v>
      </c>
      <c r="U352" s="352">
        <v>0</v>
      </c>
      <c r="V352" s="352">
        <v>0</v>
      </c>
      <c r="W352" s="352">
        <v>1400</v>
      </c>
      <c r="X352" s="352">
        <v>0</v>
      </c>
      <c r="Y352" s="352">
        <v>0</v>
      </c>
      <c r="Z352" s="352">
        <v>0</v>
      </c>
      <c r="AA352" s="1607">
        <f t="shared" si="18"/>
        <v>4400</v>
      </c>
    </row>
    <row r="353" spans="1:27" ht="36" x14ac:dyDescent="0.25">
      <c r="A353" s="513"/>
      <c r="B353" s="3156"/>
      <c r="C353" s="4289"/>
      <c r="D353" s="4605"/>
      <c r="E353" s="4607"/>
      <c r="F353" s="4341"/>
      <c r="G353" s="4341"/>
      <c r="H353" s="4289"/>
      <c r="I353" s="4289"/>
      <c r="J353" s="4343"/>
      <c r="K353" s="4343"/>
      <c r="L353" s="4289"/>
      <c r="M353" s="1666" t="s">
        <v>208</v>
      </c>
      <c r="N353" s="348" t="s">
        <v>553</v>
      </c>
      <c r="O353" s="352">
        <v>13475</v>
      </c>
      <c r="P353" s="352">
        <v>13475</v>
      </c>
      <c r="Q353" s="352">
        <v>13475</v>
      </c>
      <c r="R353" s="352">
        <v>13475</v>
      </c>
      <c r="S353" s="352">
        <v>13475</v>
      </c>
      <c r="T353" s="352">
        <v>13475</v>
      </c>
      <c r="U353" s="352">
        <v>13475</v>
      </c>
      <c r="V353" s="352">
        <v>13475</v>
      </c>
      <c r="W353" s="352">
        <v>13475</v>
      </c>
      <c r="X353" s="352">
        <v>13475</v>
      </c>
      <c r="Y353" s="352">
        <v>13475</v>
      </c>
      <c r="Z353" s="352">
        <v>9156</v>
      </c>
      <c r="AA353" s="1607">
        <f t="shared" si="18"/>
        <v>157381</v>
      </c>
    </row>
    <row r="354" spans="1:27" ht="36" x14ac:dyDescent="0.25">
      <c r="A354" s="513"/>
      <c r="B354" s="3157"/>
      <c r="C354" s="2358"/>
      <c r="D354" s="4606"/>
      <c r="E354" s="2350"/>
      <c r="F354" s="4342"/>
      <c r="G354" s="4342"/>
      <c r="H354" s="2358"/>
      <c r="I354" s="2358"/>
      <c r="J354" s="2356"/>
      <c r="K354" s="2356"/>
      <c r="L354" s="2358"/>
      <c r="M354" s="1666" t="s">
        <v>210</v>
      </c>
      <c r="N354" s="348" t="s">
        <v>1371</v>
      </c>
      <c r="O354" s="352">
        <v>519.75</v>
      </c>
      <c r="P354" s="352">
        <v>519.75</v>
      </c>
      <c r="Q354" s="352">
        <v>519.75</v>
      </c>
      <c r="R354" s="352">
        <v>519.75</v>
      </c>
      <c r="S354" s="352">
        <v>519.75</v>
      </c>
      <c r="T354" s="352">
        <v>519.75</v>
      </c>
      <c r="U354" s="352">
        <v>519.75</v>
      </c>
      <c r="V354" s="352">
        <v>519.75</v>
      </c>
      <c r="W354" s="352">
        <v>519.75</v>
      </c>
      <c r="X354" s="352">
        <v>519.75</v>
      </c>
      <c r="Y354" s="352">
        <v>519.75</v>
      </c>
      <c r="Z354" s="352">
        <v>519.75</v>
      </c>
      <c r="AA354" s="1607">
        <f t="shared" si="18"/>
        <v>6237</v>
      </c>
    </row>
    <row r="355" spans="1:27" x14ac:dyDescent="0.25">
      <c r="A355" s="513"/>
      <c r="B355" s="4449"/>
      <c r="C355" s="2353" t="s">
        <v>2388</v>
      </c>
      <c r="D355" s="2353"/>
      <c r="E355" s="2353"/>
      <c r="F355" s="2353"/>
      <c r="G355" s="2353"/>
      <c r="H355" s="2353" t="s">
        <v>2384</v>
      </c>
      <c r="I355" s="2353" t="s">
        <v>17</v>
      </c>
      <c r="J355" s="2353">
        <v>14</v>
      </c>
      <c r="K355" s="4286">
        <v>2174</v>
      </c>
      <c r="L355" s="2353" t="s">
        <v>2387</v>
      </c>
      <c r="M355" s="2294" t="s">
        <v>51</v>
      </c>
      <c r="N355" s="2295"/>
      <c r="O355" s="1608">
        <v>1</v>
      </c>
      <c r="P355" s="1608">
        <v>1</v>
      </c>
      <c r="Q355" s="1608">
        <v>1</v>
      </c>
      <c r="R355" s="1608">
        <v>1</v>
      </c>
      <c r="S355" s="1608">
        <v>1</v>
      </c>
      <c r="T355" s="1608">
        <v>1</v>
      </c>
      <c r="U355" s="1608">
        <v>1</v>
      </c>
      <c r="V355" s="1608">
        <v>2</v>
      </c>
      <c r="W355" s="1608">
        <v>1</v>
      </c>
      <c r="X355" s="1608">
        <v>1</v>
      </c>
      <c r="Y355" s="1608">
        <v>2</v>
      </c>
      <c r="Z355" s="1608">
        <v>1</v>
      </c>
      <c r="AA355" s="1607">
        <f t="shared" si="18"/>
        <v>14</v>
      </c>
    </row>
    <row r="356" spans="1:27" x14ac:dyDescent="0.25">
      <c r="A356" s="513"/>
      <c r="B356" s="4450"/>
      <c r="C356" s="4282"/>
      <c r="D356" s="4282"/>
      <c r="E356" s="4282"/>
      <c r="F356" s="4282"/>
      <c r="G356" s="4282"/>
      <c r="H356" s="4282"/>
      <c r="I356" s="4282"/>
      <c r="J356" s="4282"/>
      <c r="K356" s="4287"/>
      <c r="L356" s="4282"/>
      <c r="M356" s="2294" t="s">
        <v>111</v>
      </c>
      <c r="N356" s="2295"/>
      <c r="O356" s="1607">
        <f t="shared" ref="O356:Z356" si="20">SUM(O357:O362)</f>
        <v>50.7</v>
      </c>
      <c r="P356" s="1607">
        <f t="shared" si="20"/>
        <v>520</v>
      </c>
      <c r="Q356" s="1607">
        <f t="shared" si="20"/>
        <v>60</v>
      </c>
      <c r="R356" s="1607">
        <f t="shared" si="20"/>
        <v>175</v>
      </c>
      <c r="S356" s="1607">
        <f t="shared" si="20"/>
        <v>60</v>
      </c>
      <c r="T356" s="1607">
        <f t="shared" si="20"/>
        <v>430</v>
      </c>
      <c r="U356" s="1607">
        <f t="shared" si="20"/>
        <v>60</v>
      </c>
      <c r="V356" s="1607">
        <f t="shared" si="20"/>
        <v>185</v>
      </c>
      <c r="W356" s="1607">
        <f t="shared" si="20"/>
        <v>60</v>
      </c>
      <c r="X356" s="1607">
        <f t="shared" si="20"/>
        <v>310.5</v>
      </c>
      <c r="Y356" s="1607">
        <f t="shared" si="20"/>
        <v>160</v>
      </c>
      <c r="Z356" s="1607">
        <f t="shared" si="20"/>
        <v>103</v>
      </c>
      <c r="AA356" s="1607">
        <f t="shared" si="18"/>
        <v>2174.1999999999998</v>
      </c>
    </row>
    <row r="357" spans="1:27" ht="36" x14ac:dyDescent="0.25">
      <c r="A357" s="513"/>
      <c r="B357" s="4450"/>
      <c r="C357" s="4282"/>
      <c r="D357" s="4282"/>
      <c r="E357" s="4282"/>
      <c r="F357" s="4282"/>
      <c r="G357" s="4282"/>
      <c r="H357" s="4282"/>
      <c r="I357" s="4282"/>
      <c r="J357" s="4282"/>
      <c r="K357" s="4287"/>
      <c r="L357" s="4282"/>
      <c r="M357" s="1665" t="s">
        <v>184</v>
      </c>
      <c r="N357" s="347" t="s">
        <v>1367</v>
      </c>
      <c r="O357" s="352">
        <v>0</v>
      </c>
      <c r="P357" s="352">
        <v>350</v>
      </c>
      <c r="Q357" s="352">
        <v>0</v>
      </c>
      <c r="R357" s="352">
        <v>0</v>
      </c>
      <c r="S357" s="352">
        <v>0</v>
      </c>
      <c r="T357" s="352">
        <v>250</v>
      </c>
      <c r="U357" s="352">
        <v>0</v>
      </c>
      <c r="V357" s="352">
        <v>0</v>
      </c>
      <c r="W357" s="352">
        <v>0</v>
      </c>
      <c r="X357" s="352">
        <v>126</v>
      </c>
      <c r="Y357" s="352">
        <v>0</v>
      </c>
      <c r="Z357" s="352">
        <v>0</v>
      </c>
      <c r="AA357" s="1607">
        <f t="shared" si="18"/>
        <v>726</v>
      </c>
    </row>
    <row r="358" spans="1:27" ht="36" x14ac:dyDescent="0.25">
      <c r="A358" s="513"/>
      <c r="B358" s="4450"/>
      <c r="C358" s="4282"/>
      <c r="D358" s="4282"/>
      <c r="E358" s="4282"/>
      <c r="F358" s="4282"/>
      <c r="G358" s="4282"/>
      <c r="H358" s="4282"/>
      <c r="I358" s="4282"/>
      <c r="J358" s="4282"/>
      <c r="K358" s="4287"/>
      <c r="L358" s="4282"/>
      <c r="M358" s="1665" t="s">
        <v>541</v>
      </c>
      <c r="N358" s="347" t="s">
        <v>1196</v>
      </c>
      <c r="O358" s="352">
        <v>10</v>
      </c>
      <c r="P358" s="352">
        <v>10</v>
      </c>
      <c r="Q358" s="352">
        <v>10</v>
      </c>
      <c r="R358" s="352">
        <v>10</v>
      </c>
      <c r="S358" s="352">
        <v>10</v>
      </c>
      <c r="T358" s="352">
        <v>10</v>
      </c>
      <c r="U358" s="352">
        <v>10</v>
      </c>
      <c r="V358" s="352">
        <v>10</v>
      </c>
      <c r="W358" s="352">
        <v>10</v>
      </c>
      <c r="X358" s="352">
        <v>10</v>
      </c>
      <c r="Y358" s="352">
        <v>10</v>
      </c>
      <c r="Z358" s="352">
        <v>3</v>
      </c>
      <c r="AA358" s="1607">
        <f t="shared" si="18"/>
        <v>113</v>
      </c>
    </row>
    <row r="359" spans="1:27" ht="60" x14ac:dyDescent="0.25">
      <c r="A359" s="513"/>
      <c r="B359" s="4450"/>
      <c r="C359" s="4282"/>
      <c r="D359" s="4282"/>
      <c r="E359" s="4282"/>
      <c r="F359" s="4282"/>
      <c r="G359" s="4282"/>
      <c r="H359" s="4282"/>
      <c r="I359" s="4282"/>
      <c r="J359" s="4282"/>
      <c r="K359" s="4287"/>
      <c r="L359" s="4282"/>
      <c r="M359" s="1665" t="s">
        <v>194</v>
      </c>
      <c r="N359" s="347" t="s">
        <v>2380</v>
      </c>
      <c r="O359" s="352">
        <v>40.700000000000003</v>
      </c>
      <c r="P359" s="352">
        <v>150</v>
      </c>
      <c r="Q359" s="352">
        <v>50</v>
      </c>
      <c r="R359" s="352">
        <v>150</v>
      </c>
      <c r="S359" s="352">
        <v>50</v>
      </c>
      <c r="T359" s="352">
        <v>150</v>
      </c>
      <c r="U359" s="352">
        <v>50</v>
      </c>
      <c r="V359" s="352">
        <v>150</v>
      </c>
      <c r="W359" s="352">
        <v>50</v>
      </c>
      <c r="X359" s="352">
        <v>150</v>
      </c>
      <c r="Y359" s="352">
        <v>150</v>
      </c>
      <c r="Z359" s="352">
        <v>100</v>
      </c>
      <c r="AA359" s="1607">
        <f t="shared" si="18"/>
        <v>1240.7</v>
      </c>
    </row>
    <row r="360" spans="1:27" ht="48" x14ac:dyDescent="0.25">
      <c r="A360" s="513"/>
      <c r="B360" s="4450"/>
      <c r="C360" s="4282"/>
      <c r="D360" s="4282"/>
      <c r="E360" s="4282"/>
      <c r="F360" s="4282"/>
      <c r="G360" s="4282"/>
      <c r="H360" s="4282"/>
      <c r="I360" s="4282"/>
      <c r="J360" s="4282"/>
      <c r="K360" s="4287"/>
      <c r="L360" s="4282"/>
      <c r="M360" s="1665" t="s">
        <v>220</v>
      </c>
      <c r="N360" s="347" t="s">
        <v>2381</v>
      </c>
      <c r="O360" s="352">
        <v>0</v>
      </c>
      <c r="P360" s="352">
        <v>0</v>
      </c>
      <c r="Q360" s="352">
        <v>0</v>
      </c>
      <c r="R360" s="352">
        <v>0</v>
      </c>
      <c r="S360" s="352">
        <v>0</v>
      </c>
      <c r="T360" s="352">
        <v>0</v>
      </c>
      <c r="U360" s="352">
        <v>0</v>
      </c>
      <c r="V360" s="352">
        <v>0</v>
      </c>
      <c r="W360" s="352">
        <v>0</v>
      </c>
      <c r="X360" s="352">
        <v>0</v>
      </c>
      <c r="Y360" s="352">
        <v>0</v>
      </c>
      <c r="Z360" s="352">
        <v>0</v>
      </c>
      <c r="AA360" s="1607">
        <f t="shared" si="18"/>
        <v>0</v>
      </c>
    </row>
    <row r="361" spans="1:27" ht="72" x14ac:dyDescent="0.25">
      <c r="A361" s="513"/>
      <c r="B361" s="4450"/>
      <c r="C361" s="4282"/>
      <c r="D361" s="4282"/>
      <c r="E361" s="4282"/>
      <c r="F361" s="4282"/>
      <c r="G361" s="4282"/>
      <c r="H361" s="4282"/>
      <c r="I361" s="4282"/>
      <c r="J361" s="4282"/>
      <c r="K361" s="4287"/>
      <c r="L361" s="4282"/>
      <c r="M361" s="1665" t="s">
        <v>200</v>
      </c>
      <c r="N361" s="347" t="s">
        <v>201</v>
      </c>
      <c r="O361" s="352">
        <v>0</v>
      </c>
      <c r="P361" s="352">
        <v>10</v>
      </c>
      <c r="Q361" s="352">
        <v>0</v>
      </c>
      <c r="R361" s="352">
        <v>15</v>
      </c>
      <c r="S361" s="352">
        <v>0</v>
      </c>
      <c r="T361" s="352">
        <v>20</v>
      </c>
      <c r="U361" s="352">
        <v>0</v>
      </c>
      <c r="V361" s="352">
        <v>25</v>
      </c>
      <c r="W361" s="352">
        <v>0</v>
      </c>
      <c r="X361" s="352">
        <v>24.5</v>
      </c>
      <c r="Y361" s="352">
        <v>0</v>
      </c>
      <c r="Z361" s="352">
        <v>0</v>
      </c>
      <c r="AA361" s="1607">
        <f t="shared" si="18"/>
        <v>94.5</v>
      </c>
    </row>
    <row r="362" spans="1:27" ht="48" x14ac:dyDescent="0.25">
      <c r="A362" s="513"/>
      <c r="B362" s="4451"/>
      <c r="C362" s="2354"/>
      <c r="D362" s="2354"/>
      <c r="E362" s="2354"/>
      <c r="F362" s="2354"/>
      <c r="G362" s="2354"/>
      <c r="H362" s="2354"/>
      <c r="I362" s="2354"/>
      <c r="J362" s="2354"/>
      <c r="K362" s="4288"/>
      <c r="L362" s="2354"/>
      <c r="M362" s="1665" t="s">
        <v>2382</v>
      </c>
      <c r="N362" s="347" t="s">
        <v>2383</v>
      </c>
      <c r="O362" s="352">
        <v>0</v>
      </c>
      <c r="P362" s="352">
        <v>0</v>
      </c>
      <c r="Q362" s="352">
        <v>0</v>
      </c>
      <c r="R362" s="352">
        <v>0</v>
      </c>
      <c r="S362" s="352">
        <v>0</v>
      </c>
      <c r="T362" s="352">
        <v>0</v>
      </c>
      <c r="U362" s="352">
        <v>0</v>
      </c>
      <c r="V362" s="352">
        <v>0</v>
      </c>
      <c r="W362" s="352">
        <v>0</v>
      </c>
      <c r="X362" s="352">
        <v>0</v>
      </c>
      <c r="Y362" s="352">
        <v>0</v>
      </c>
      <c r="Z362" s="352">
        <v>0</v>
      </c>
      <c r="AA362" s="1607">
        <f t="shared" si="18"/>
        <v>0</v>
      </c>
    </row>
    <row r="363" spans="1:27" ht="15" customHeight="1" x14ac:dyDescent="0.25">
      <c r="A363" s="513"/>
      <c r="B363" s="4449"/>
      <c r="C363" s="2353" t="s">
        <v>2389</v>
      </c>
      <c r="D363" s="2353"/>
      <c r="E363" s="2353"/>
      <c r="F363" s="2353"/>
      <c r="G363" s="2353"/>
      <c r="H363" s="2353" t="s">
        <v>2385</v>
      </c>
      <c r="I363" s="2353" t="s">
        <v>2386</v>
      </c>
      <c r="J363" s="2353">
        <v>5</v>
      </c>
      <c r="K363" s="4286">
        <v>24508</v>
      </c>
      <c r="L363" s="2353" t="s">
        <v>2387</v>
      </c>
      <c r="M363" s="2294" t="s">
        <v>51</v>
      </c>
      <c r="N363" s="2295"/>
      <c r="O363" s="1607"/>
      <c r="P363" s="1607"/>
      <c r="Q363" s="1607">
        <v>1</v>
      </c>
      <c r="R363" s="1607">
        <v>1</v>
      </c>
      <c r="S363" s="1607">
        <v>1</v>
      </c>
      <c r="T363" s="1608"/>
      <c r="U363" s="1607">
        <v>1</v>
      </c>
      <c r="V363" s="1607"/>
      <c r="W363" s="1607">
        <v>1</v>
      </c>
      <c r="X363" s="1607"/>
      <c r="Y363" s="1607"/>
      <c r="Z363" s="1607"/>
      <c r="AA363" s="1607">
        <f t="shared" si="18"/>
        <v>5</v>
      </c>
    </row>
    <row r="364" spans="1:27" x14ac:dyDescent="0.25">
      <c r="A364" s="513"/>
      <c r="B364" s="4450"/>
      <c r="C364" s="4282"/>
      <c r="D364" s="4282"/>
      <c r="E364" s="4282"/>
      <c r="F364" s="4282"/>
      <c r="G364" s="4282"/>
      <c r="H364" s="4282"/>
      <c r="I364" s="4282"/>
      <c r="J364" s="4282"/>
      <c r="K364" s="4287"/>
      <c r="L364" s="4282"/>
      <c r="M364" s="2294" t="s">
        <v>111</v>
      </c>
      <c r="N364" s="2295"/>
      <c r="O364" s="1608">
        <f t="shared" ref="O364:Z364" si="21">SUM(O365:O370)</f>
        <v>456.3</v>
      </c>
      <c r="P364" s="1608">
        <f t="shared" si="21"/>
        <v>4680</v>
      </c>
      <c r="Q364" s="1608">
        <f t="shared" si="21"/>
        <v>2040</v>
      </c>
      <c r="R364" s="1608">
        <f t="shared" si="21"/>
        <v>1925</v>
      </c>
      <c r="S364" s="1608">
        <f t="shared" si="21"/>
        <v>540</v>
      </c>
      <c r="T364" s="1608">
        <f t="shared" si="21"/>
        <v>5370</v>
      </c>
      <c r="U364" s="1608">
        <f t="shared" si="21"/>
        <v>540</v>
      </c>
      <c r="V364" s="1608">
        <f t="shared" si="21"/>
        <v>1855</v>
      </c>
      <c r="W364" s="1608">
        <f t="shared" si="21"/>
        <v>1940</v>
      </c>
      <c r="X364" s="1608">
        <f t="shared" si="21"/>
        <v>2794.5</v>
      </c>
      <c r="Y364" s="1608">
        <f t="shared" si="21"/>
        <v>1440</v>
      </c>
      <c r="Z364" s="1608">
        <f t="shared" si="21"/>
        <v>927</v>
      </c>
      <c r="AA364" s="1607">
        <f t="shared" si="18"/>
        <v>24507.8</v>
      </c>
    </row>
    <row r="365" spans="1:27" ht="36" x14ac:dyDescent="0.25">
      <c r="A365" s="513"/>
      <c r="B365" s="4450"/>
      <c r="C365" s="4282"/>
      <c r="D365" s="4282"/>
      <c r="E365" s="4282"/>
      <c r="F365" s="4282"/>
      <c r="G365" s="4282"/>
      <c r="H365" s="4282"/>
      <c r="I365" s="4282"/>
      <c r="J365" s="4282"/>
      <c r="K365" s="4287"/>
      <c r="L365" s="4282"/>
      <c r="M365" s="1665" t="s">
        <v>184</v>
      </c>
      <c r="N365" s="347" t="s">
        <v>1367</v>
      </c>
      <c r="O365" s="352">
        <v>0</v>
      </c>
      <c r="P365" s="352">
        <v>3150</v>
      </c>
      <c r="Q365" s="352">
        <v>0</v>
      </c>
      <c r="R365" s="352">
        <v>0</v>
      </c>
      <c r="S365" s="352">
        <v>0</v>
      </c>
      <c r="T365" s="352">
        <v>2250</v>
      </c>
      <c r="U365" s="352">
        <v>0</v>
      </c>
      <c r="V365" s="352">
        <v>0</v>
      </c>
      <c r="W365" s="352">
        <v>0</v>
      </c>
      <c r="X365" s="352">
        <v>1134</v>
      </c>
      <c r="Y365" s="352">
        <v>0</v>
      </c>
      <c r="Z365" s="352">
        <v>0</v>
      </c>
      <c r="AA365" s="1607">
        <f t="shared" si="18"/>
        <v>6534</v>
      </c>
    </row>
    <row r="366" spans="1:27" ht="36" x14ac:dyDescent="0.25">
      <c r="A366" s="513"/>
      <c r="B366" s="4450"/>
      <c r="C366" s="4282"/>
      <c r="D366" s="4282"/>
      <c r="E366" s="4282"/>
      <c r="F366" s="4282"/>
      <c r="G366" s="4282"/>
      <c r="H366" s="4282"/>
      <c r="I366" s="4282"/>
      <c r="J366" s="4282"/>
      <c r="K366" s="4287"/>
      <c r="L366" s="4282"/>
      <c r="M366" s="1665" t="s">
        <v>541</v>
      </c>
      <c r="N366" s="347" t="s">
        <v>1196</v>
      </c>
      <c r="O366" s="352">
        <v>90</v>
      </c>
      <c r="P366" s="352">
        <v>90</v>
      </c>
      <c r="Q366" s="352">
        <v>90</v>
      </c>
      <c r="R366" s="352">
        <v>90</v>
      </c>
      <c r="S366" s="352">
        <v>90</v>
      </c>
      <c r="T366" s="352">
        <v>90</v>
      </c>
      <c r="U366" s="352">
        <v>90</v>
      </c>
      <c r="V366" s="352">
        <v>90</v>
      </c>
      <c r="W366" s="352">
        <v>90</v>
      </c>
      <c r="X366" s="352">
        <v>90</v>
      </c>
      <c r="Y366" s="352">
        <v>90</v>
      </c>
      <c r="Z366" s="352">
        <v>27</v>
      </c>
      <c r="AA366" s="1607">
        <f t="shared" si="18"/>
        <v>1017</v>
      </c>
    </row>
    <row r="367" spans="1:27" ht="60" x14ac:dyDescent="0.25">
      <c r="A367" s="513"/>
      <c r="B367" s="4450"/>
      <c r="C367" s="4282"/>
      <c r="D367" s="4282"/>
      <c r="E367" s="4282"/>
      <c r="F367" s="4282"/>
      <c r="G367" s="4282"/>
      <c r="H367" s="4282"/>
      <c r="I367" s="4282"/>
      <c r="J367" s="4282"/>
      <c r="K367" s="4287"/>
      <c r="L367" s="4282"/>
      <c r="M367" s="1665" t="s">
        <v>194</v>
      </c>
      <c r="N367" s="347" t="s">
        <v>2380</v>
      </c>
      <c r="O367" s="352">
        <v>366.3</v>
      </c>
      <c r="P367" s="352">
        <v>1350</v>
      </c>
      <c r="Q367" s="352">
        <v>450</v>
      </c>
      <c r="R367" s="352">
        <v>1350</v>
      </c>
      <c r="S367" s="352">
        <v>450</v>
      </c>
      <c r="T367" s="352">
        <v>1350</v>
      </c>
      <c r="U367" s="352">
        <v>450</v>
      </c>
      <c r="V367" s="352">
        <v>1350</v>
      </c>
      <c r="W367" s="352">
        <v>450</v>
      </c>
      <c r="X367" s="352">
        <v>1350</v>
      </c>
      <c r="Y367" s="352">
        <v>1350</v>
      </c>
      <c r="Z367" s="352">
        <v>900</v>
      </c>
      <c r="AA367" s="1607">
        <f t="shared" si="18"/>
        <v>11166.3</v>
      </c>
    </row>
    <row r="368" spans="1:27" ht="48" x14ac:dyDescent="0.25">
      <c r="A368" s="513"/>
      <c r="B368" s="4450"/>
      <c r="C368" s="4282"/>
      <c r="D368" s="4282"/>
      <c r="E368" s="4282"/>
      <c r="F368" s="4282"/>
      <c r="G368" s="4282"/>
      <c r="H368" s="4282"/>
      <c r="I368" s="4282"/>
      <c r="J368" s="4282"/>
      <c r="K368" s="4287"/>
      <c r="L368" s="4282"/>
      <c r="M368" s="1665" t="s">
        <v>220</v>
      </c>
      <c r="N368" s="347" t="s">
        <v>2381</v>
      </c>
      <c r="O368" s="352">
        <v>0</v>
      </c>
      <c r="P368" s="352">
        <v>0</v>
      </c>
      <c r="Q368" s="352">
        <v>0</v>
      </c>
      <c r="R368" s="352">
        <v>350</v>
      </c>
      <c r="S368" s="352">
        <v>0</v>
      </c>
      <c r="T368" s="352">
        <v>0</v>
      </c>
      <c r="U368" s="352">
        <v>0</v>
      </c>
      <c r="V368" s="352">
        <v>190</v>
      </c>
      <c r="W368" s="352">
        <v>0</v>
      </c>
      <c r="X368" s="352">
        <v>0</v>
      </c>
      <c r="Y368" s="352">
        <v>0</v>
      </c>
      <c r="Z368" s="352">
        <v>0</v>
      </c>
      <c r="AA368" s="1607">
        <f t="shared" si="18"/>
        <v>540</v>
      </c>
    </row>
    <row r="369" spans="1:27" ht="72" x14ac:dyDescent="0.25">
      <c r="A369" s="513"/>
      <c r="B369" s="4450"/>
      <c r="C369" s="4282"/>
      <c r="D369" s="4282"/>
      <c r="E369" s="4282"/>
      <c r="F369" s="4282"/>
      <c r="G369" s="4282"/>
      <c r="H369" s="4282"/>
      <c r="I369" s="4282"/>
      <c r="J369" s="4282"/>
      <c r="K369" s="4287"/>
      <c r="L369" s="4282"/>
      <c r="M369" s="1665" t="s">
        <v>200</v>
      </c>
      <c r="N369" s="347" t="s">
        <v>201</v>
      </c>
      <c r="O369" s="352">
        <v>0</v>
      </c>
      <c r="P369" s="352">
        <v>90</v>
      </c>
      <c r="Q369" s="352">
        <v>0</v>
      </c>
      <c r="R369" s="352">
        <v>135</v>
      </c>
      <c r="S369" s="352">
        <v>0</v>
      </c>
      <c r="T369" s="352">
        <v>180</v>
      </c>
      <c r="U369" s="352">
        <v>0</v>
      </c>
      <c r="V369" s="352">
        <v>225</v>
      </c>
      <c r="W369" s="352">
        <v>0</v>
      </c>
      <c r="X369" s="352">
        <v>220.5</v>
      </c>
      <c r="Y369" s="352">
        <v>0</v>
      </c>
      <c r="Z369" s="352">
        <v>0</v>
      </c>
      <c r="AA369" s="1607">
        <f t="shared" si="18"/>
        <v>850.5</v>
      </c>
    </row>
    <row r="370" spans="1:27" ht="48" x14ac:dyDescent="0.25">
      <c r="A370" s="513"/>
      <c r="B370" s="4451"/>
      <c r="C370" s="2354"/>
      <c r="D370" s="2354"/>
      <c r="E370" s="2354"/>
      <c r="F370" s="2354"/>
      <c r="G370" s="2354"/>
      <c r="H370" s="2354"/>
      <c r="I370" s="2354"/>
      <c r="J370" s="2354"/>
      <c r="K370" s="4288"/>
      <c r="L370" s="2354"/>
      <c r="M370" s="1665" t="s">
        <v>2382</v>
      </c>
      <c r="N370" s="347" t="s">
        <v>2383</v>
      </c>
      <c r="O370" s="352">
        <v>0</v>
      </c>
      <c r="P370" s="352">
        <v>0</v>
      </c>
      <c r="Q370" s="352">
        <v>1500</v>
      </c>
      <c r="R370" s="352">
        <v>0</v>
      </c>
      <c r="S370" s="352">
        <v>0</v>
      </c>
      <c r="T370" s="352">
        <v>1500</v>
      </c>
      <c r="U370" s="352">
        <v>0</v>
      </c>
      <c r="V370" s="352">
        <v>0</v>
      </c>
      <c r="W370" s="352">
        <v>1400</v>
      </c>
      <c r="X370" s="352">
        <v>0</v>
      </c>
      <c r="Y370" s="352">
        <v>0</v>
      </c>
      <c r="Z370" s="352">
        <v>0</v>
      </c>
      <c r="AA370" s="1607">
        <f t="shared" si="18"/>
        <v>4400</v>
      </c>
    </row>
    <row r="371" spans="1:27" ht="30.75" customHeight="1" x14ac:dyDescent="0.25">
      <c r="A371" s="513"/>
      <c r="B371" s="1859" t="s">
        <v>8</v>
      </c>
      <c r="C371" s="2911" t="s">
        <v>2405</v>
      </c>
      <c r="D371" s="2912"/>
      <c r="E371" s="2912"/>
      <c r="F371" s="2912"/>
      <c r="G371" s="2912"/>
      <c r="H371" s="2912"/>
      <c r="I371" s="2912"/>
      <c r="J371" s="2912"/>
      <c r="K371" s="2912"/>
      <c r="L371" s="2912"/>
      <c r="M371" s="2912"/>
      <c r="N371" s="2912"/>
      <c r="O371" s="2912"/>
      <c r="P371" s="2912"/>
      <c r="Q371" s="2912"/>
      <c r="R371" s="2912"/>
      <c r="S371" s="2912"/>
      <c r="T371" s="2912"/>
      <c r="U371" s="2912"/>
      <c r="V371" s="2912"/>
      <c r="W371" s="2912"/>
      <c r="X371" s="2912"/>
      <c r="Y371" s="2912"/>
      <c r="Z371" s="2912"/>
      <c r="AA371" s="4601"/>
    </row>
    <row r="372" spans="1:27" x14ac:dyDescent="0.25">
      <c r="A372" s="513"/>
      <c r="B372" s="1352" t="s">
        <v>11</v>
      </c>
      <c r="C372" s="4301" t="s">
        <v>2391</v>
      </c>
      <c r="D372" s="4329"/>
      <c r="E372" s="4329"/>
      <c r="F372" s="4329"/>
      <c r="G372" s="4329"/>
      <c r="H372" s="4329"/>
      <c r="I372" s="4329"/>
      <c r="J372" s="4329"/>
      <c r="K372" s="4329"/>
      <c r="L372" s="4329"/>
      <c r="M372" s="4329"/>
      <c r="N372" s="4329"/>
      <c r="O372" s="4329"/>
      <c r="P372" s="4329"/>
      <c r="Q372" s="4329"/>
      <c r="R372" s="4329"/>
      <c r="S372" s="4329"/>
      <c r="T372" s="4329"/>
      <c r="U372" s="4329"/>
      <c r="V372" s="4329"/>
      <c r="W372" s="4329"/>
      <c r="X372" s="4329"/>
      <c r="Y372" s="4329"/>
      <c r="Z372" s="4329"/>
      <c r="AA372" s="4602"/>
    </row>
    <row r="373" spans="1:27" ht="21" customHeight="1" x14ac:dyDescent="0.25">
      <c r="A373" s="513"/>
      <c r="B373" s="2298" t="s">
        <v>13</v>
      </c>
      <c r="C373" s="2331">
        <v>9001</v>
      </c>
      <c r="D373" s="2308" t="s">
        <v>2391</v>
      </c>
      <c r="E373" s="2309"/>
      <c r="F373" s="2309"/>
      <c r="G373" s="2309"/>
      <c r="H373" s="2309"/>
      <c r="I373" s="2309"/>
      <c r="J373" s="2309"/>
      <c r="K373" s="2309"/>
      <c r="L373" s="2309"/>
      <c r="M373" s="2309"/>
      <c r="N373" s="2309"/>
      <c r="O373" s="2309"/>
      <c r="P373" s="2309"/>
      <c r="Q373" s="2309"/>
      <c r="R373" s="2309"/>
      <c r="S373" s="204"/>
      <c r="T373" s="205"/>
      <c r="U373" s="1609"/>
      <c r="V373" s="2314" t="s">
        <v>15</v>
      </c>
      <c r="W373" s="2315"/>
      <c r="X373" s="2315"/>
      <c r="Y373" s="2316"/>
      <c r="Z373" s="2314" t="s">
        <v>16</v>
      </c>
      <c r="AA373" s="2316"/>
    </row>
    <row r="374" spans="1:27" ht="11.25" customHeight="1" x14ac:dyDescent="0.25">
      <c r="A374" s="513"/>
      <c r="B374" s="2298"/>
      <c r="C374" s="2332"/>
      <c r="D374" s="2311"/>
      <c r="E374" s="2312"/>
      <c r="F374" s="2312"/>
      <c r="G374" s="2312"/>
      <c r="H374" s="2312"/>
      <c r="I374" s="2312"/>
      <c r="J374" s="2312"/>
      <c r="K374" s="2312"/>
      <c r="L374" s="2312"/>
      <c r="M374" s="2312"/>
      <c r="N374" s="2312"/>
      <c r="O374" s="2312"/>
      <c r="P374" s="2312"/>
      <c r="Q374" s="2312"/>
      <c r="R374" s="2312"/>
      <c r="S374" s="206"/>
      <c r="T374" s="207"/>
      <c r="U374" s="1609"/>
      <c r="V374" s="4304"/>
      <c r="W374" s="4305"/>
      <c r="X374" s="4305"/>
      <c r="Y374" s="4306"/>
      <c r="Z374" s="2314"/>
      <c r="AA374" s="2316"/>
    </row>
    <row r="375" spans="1:27" ht="12" customHeight="1" x14ac:dyDescent="0.25">
      <c r="A375" s="513"/>
      <c r="B375" s="2298" t="s">
        <v>18</v>
      </c>
      <c r="C375" s="2331">
        <v>3999999</v>
      </c>
      <c r="D375" s="3158" t="s">
        <v>163</v>
      </c>
      <c r="E375" s="3159"/>
      <c r="F375" s="3159"/>
      <c r="G375" s="3159"/>
      <c r="H375" s="3159"/>
      <c r="I375" s="3159"/>
      <c r="J375" s="3159"/>
      <c r="K375" s="3159"/>
      <c r="L375" s="3159"/>
      <c r="M375" s="3159"/>
      <c r="N375" s="3159"/>
      <c r="O375" s="3159"/>
      <c r="P375" s="3159"/>
      <c r="Q375" s="3159"/>
      <c r="R375" s="3159"/>
      <c r="S375" s="3159"/>
      <c r="T375" s="3159"/>
      <c r="U375" s="211"/>
      <c r="V375" s="2314" t="s">
        <v>15</v>
      </c>
      <c r="W375" s="2315"/>
      <c r="X375" s="2315"/>
      <c r="Y375" s="2316"/>
      <c r="Z375" s="2314" t="s">
        <v>16</v>
      </c>
      <c r="AA375" s="2316"/>
    </row>
    <row r="376" spans="1:27" x14ac:dyDescent="0.25">
      <c r="A376" s="513"/>
      <c r="B376" s="2298"/>
      <c r="C376" s="2332"/>
      <c r="D376" s="3161"/>
      <c r="E376" s="3162"/>
      <c r="F376" s="3162"/>
      <c r="G376" s="3162"/>
      <c r="H376" s="3162"/>
      <c r="I376" s="3162"/>
      <c r="J376" s="3162"/>
      <c r="K376" s="3162"/>
      <c r="L376" s="3162"/>
      <c r="M376" s="3162"/>
      <c r="N376" s="3162"/>
      <c r="O376" s="3162"/>
      <c r="P376" s="3162"/>
      <c r="Q376" s="3162"/>
      <c r="R376" s="3162"/>
      <c r="S376" s="3162"/>
      <c r="T376" s="3162"/>
      <c r="U376" s="213"/>
      <c r="V376" s="4304"/>
      <c r="W376" s="4305"/>
      <c r="X376" s="4305"/>
      <c r="Y376" s="4306"/>
      <c r="Z376" s="2314"/>
      <c r="AA376" s="2316"/>
    </row>
    <row r="377" spans="1:27" ht="15" customHeight="1" x14ac:dyDescent="0.25">
      <c r="A377" s="513"/>
      <c r="B377" s="2320" t="s">
        <v>20</v>
      </c>
      <c r="C377" s="2324" t="s">
        <v>21</v>
      </c>
      <c r="D377" s="2324" t="s">
        <v>22</v>
      </c>
      <c r="E377" s="2324" t="s">
        <v>23</v>
      </c>
      <c r="F377" s="2324" t="s">
        <v>24</v>
      </c>
      <c r="G377" s="2324" t="s">
        <v>25</v>
      </c>
      <c r="H377" s="2324" t="s">
        <v>26</v>
      </c>
      <c r="I377" s="2324" t="s">
        <v>27</v>
      </c>
      <c r="J377" s="2322" t="s">
        <v>28</v>
      </c>
      <c r="K377" s="2323"/>
      <c r="L377" s="2324" t="s">
        <v>29</v>
      </c>
      <c r="M377" s="2322" t="s">
        <v>30</v>
      </c>
      <c r="N377" s="2323"/>
      <c r="O377" s="2343" t="s">
        <v>31</v>
      </c>
      <c r="P377" s="2344"/>
      <c r="Q377" s="2344"/>
      <c r="R377" s="2344"/>
      <c r="S377" s="2344"/>
      <c r="T377" s="2344"/>
      <c r="U377" s="2344"/>
      <c r="V377" s="2344"/>
      <c r="W377" s="2344"/>
      <c r="X377" s="2344"/>
      <c r="Y377" s="2344"/>
      <c r="Z377" s="2345"/>
      <c r="AA377" s="2346" t="s">
        <v>32</v>
      </c>
    </row>
    <row r="378" spans="1:27" ht="30.75" customHeight="1" x14ac:dyDescent="0.25">
      <c r="A378" s="513"/>
      <c r="B378" s="2321"/>
      <c r="C378" s="2324"/>
      <c r="D378" s="2324"/>
      <c r="E378" s="2324"/>
      <c r="F378" s="2324"/>
      <c r="G378" s="2324"/>
      <c r="H378" s="2324"/>
      <c r="I378" s="2324"/>
      <c r="J378" s="1355" t="s">
        <v>33</v>
      </c>
      <c r="K378" s="1355" t="s">
        <v>34</v>
      </c>
      <c r="L378" s="2324"/>
      <c r="M378" s="2325"/>
      <c r="N378" s="2326"/>
      <c r="O378" s="1354" t="s">
        <v>35</v>
      </c>
      <c r="P378" s="1354" t="s">
        <v>36</v>
      </c>
      <c r="Q378" s="1354" t="s">
        <v>37</v>
      </c>
      <c r="R378" s="1354" t="s">
        <v>38</v>
      </c>
      <c r="S378" s="1354" t="s">
        <v>39</v>
      </c>
      <c r="T378" s="1354" t="s">
        <v>40</v>
      </c>
      <c r="U378" s="1354" t="s">
        <v>41</v>
      </c>
      <c r="V378" s="1354" t="s">
        <v>42</v>
      </c>
      <c r="W378" s="1354" t="s">
        <v>43</v>
      </c>
      <c r="X378" s="1354" t="s">
        <v>44</v>
      </c>
      <c r="Y378" s="1354" t="s">
        <v>45</v>
      </c>
      <c r="Z378" s="1354" t="s">
        <v>46</v>
      </c>
      <c r="AA378" s="2346"/>
    </row>
    <row r="379" spans="1:27" x14ac:dyDescent="0.25">
      <c r="A379" s="513"/>
      <c r="B379" s="2925">
        <v>5000007</v>
      </c>
      <c r="C379" s="2931" t="s">
        <v>2403</v>
      </c>
      <c r="D379" s="4615">
        <v>33539</v>
      </c>
      <c r="E379" s="4616" t="s">
        <v>48</v>
      </c>
      <c r="F379" s="4617" t="s">
        <v>2392</v>
      </c>
      <c r="G379" s="4618" t="s">
        <v>2393</v>
      </c>
      <c r="H379" s="4364" t="s">
        <v>2402</v>
      </c>
      <c r="I379" s="2357" t="s">
        <v>235</v>
      </c>
      <c r="J379" s="2355">
        <v>360</v>
      </c>
      <c r="K379" s="4612">
        <v>307917</v>
      </c>
      <c r="L379" s="2353" t="s">
        <v>2401</v>
      </c>
      <c r="M379" s="2294" t="s">
        <v>51</v>
      </c>
      <c r="N379" s="2295"/>
      <c r="O379" s="1607">
        <v>30</v>
      </c>
      <c r="P379" s="1607">
        <v>30</v>
      </c>
      <c r="Q379" s="1607">
        <v>30</v>
      </c>
      <c r="R379" s="1607">
        <v>30</v>
      </c>
      <c r="S379" s="1607">
        <v>30</v>
      </c>
      <c r="T379" s="1607">
        <v>30</v>
      </c>
      <c r="U379" s="1607">
        <v>30</v>
      </c>
      <c r="V379" s="1607">
        <v>30</v>
      </c>
      <c r="W379" s="1607">
        <v>30</v>
      </c>
      <c r="X379" s="1607">
        <v>30</v>
      </c>
      <c r="Y379" s="1607">
        <v>30</v>
      </c>
      <c r="Z379" s="1607">
        <v>30</v>
      </c>
      <c r="AA379" s="1607">
        <v>360</v>
      </c>
    </row>
    <row r="380" spans="1:27" x14ac:dyDescent="0.25">
      <c r="A380" s="513"/>
      <c r="B380" s="2926"/>
      <c r="C380" s="2931"/>
      <c r="D380" s="4615"/>
      <c r="E380" s="4616"/>
      <c r="F380" s="4617"/>
      <c r="G380" s="4618"/>
      <c r="H380" s="4365"/>
      <c r="I380" s="4289"/>
      <c r="J380" s="4343"/>
      <c r="K380" s="4613"/>
      <c r="L380" s="4282"/>
      <c r="M380" s="2294" t="s">
        <v>1090</v>
      </c>
      <c r="N380" s="2295"/>
      <c r="O380" s="1610">
        <f t="shared" ref="O380:Z380" si="22">SUM(O381:O397)</f>
        <v>22997</v>
      </c>
      <c r="P380" s="1610">
        <f t="shared" si="22"/>
        <v>26757</v>
      </c>
      <c r="Q380" s="1610">
        <f t="shared" si="22"/>
        <v>38592</v>
      </c>
      <c r="R380" s="1610">
        <f t="shared" si="22"/>
        <v>21357</v>
      </c>
      <c r="S380" s="1610">
        <f t="shared" si="22"/>
        <v>25866</v>
      </c>
      <c r="T380" s="1610">
        <f t="shared" si="22"/>
        <v>31360</v>
      </c>
      <c r="U380" s="1610">
        <f t="shared" si="22"/>
        <v>28949</v>
      </c>
      <c r="V380" s="1610">
        <f t="shared" si="22"/>
        <v>22417</v>
      </c>
      <c r="W380" s="1610">
        <f t="shared" si="22"/>
        <v>24377</v>
      </c>
      <c r="X380" s="1610">
        <f t="shared" si="22"/>
        <v>21357</v>
      </c>
      <c r="Y380" s="1610">
        <f t="shared" si="22"/>
        <v>22417</v>
      </c>
      <c r="Z380" s="1610">
        <f t="shared" si="22"/>
        <v>21471</v>
      </c>
      <c r="AA380" s="1610">
        <f t="shared" ref="AA380:AA385" si="23">SUM(O380:Z380)</f>
        <v>307917</v>
      </c>
    </row>
    <row r="381" spans="1:27" ht="24" x14ac:dyDescent="0.25">
      <c r="A381" s="513"/>
      <c r="B381" s="2926"/>
      <c r="C381" s="2931"/>
      <c r="D381" s="4615"/>
      <c r="E381" s="4616"/>
      <c r="F381" s="4617"/>
      <c r="G381" s="4618"/>
      <c r="H381" s="4365"/>
      <c r="I381" s="4289"/>
      <c r="J381" s="4343"/>
      <c r="K381" s="4613"/>
      <c r="L381" s="4282"/>
      <c r="M381" s="1667" t="s">
        <v>2394</v>
      </c>
      <c r="N381" s="347" t="s">
        <v>534</v>
      </c>
      <c r="O381" s="1611"/>
      <c r="P381" s="1611">
        <v>3000</v>
      </c>
      <c r="Q381" s="1612"/>
      <c r="R381" s="1612"/>
      <c r="S381" s="1612">
        <v>3000</v>
      </c>
      <c r="T381" s="1612"/>
      <c r="U381" s="1612"/>
      <c r="V381" s="1612"/>
      <c r="W381" s="1611">
        <v>2800</v>
      </c>
      <c r="X381" s="1612"/>
      <c r="Y381" s="1612"/>
      <c r="Z381" s="1612"/>
      <c r="AA381" s="1613">
        <f t="shared" si="23"/>
        <v>8800</v>
      </c>
    </row>
    <row r="382" spans="1:27" ht="36" x14ac:dyDescent="0.25">
      <c r="A382" s="513"/>
      <c r="B382" s="2926"/>
      <c r="C382" s="2931"/>
      <c r="D382" s="4615"/>
      <c r="E382" s="4616"/>
      <c r="F382" s="4617"/>
      <c r="G382" s="4618"/>
      <c r="H382" s="4365"/>
      <c r="I382" s="4289"/>
      <c r="J382" s="4343"/>
      <c r="K382" s="4613"/>
      <c r="L382" s="4282"/>
      <c r="M382" s="1665" t="s">
        <v>184</v>
      </c>
      <c r="N382" s="347" t="s">
        <v>1367</v>
      </c>
      <c r="O382" s="1613">
        <v>393</v>
      </c>
      <c r="P382" s="1613">
        <v>393</v>
      </c>
      <c r="Q382" s="1613">
        <v>393</v>
      </c>
      <c r="R382" s="1613">
        <v>393</v>
      </c>
      <c r="S382" s="1613">
        <v>393</v>
      </c>
      <c r="T382" s="1613">
        <v>393</v>
      </c>
      <c r="U382" s="1613">
        <v>393</v>
      </c>
      <c r="V382" s="1613">
        <v>393</v>
      </c>
      <c r="W382" s="1613">
        <v>393</v>
      </c>
      <c r="X382" s="1613">
        <v>393</v>
      </c>
      <c r="Y382" s="1613">
        <v>393</v>
      </c>
      <c r="Z382" s="1613">
        <v>393</v>
      </c>
      <c r="AA382" s="1614">
        <f t="shared" si="23"/>
        <v>4716</v>
      </c>
    </row>
    <row r="383" spans="1:27" ht="24" x14ac:dyDescent="0.25">
      <c r="A383" s="513"/>
      <c r="B383" s="2926"/>
      <c r="C383" s="2931"/>
      <c r="D383" s="4615"/>
      <c r="E383" s="4616"/>
      <c r="F383" s="4617"/>
      <c r="G383" s="4618"/>
      <c r="H383" s="4365"/>
      <c r="I383" s="4289"/>
      <c r="J383" s="4343"/>
      <c r="K383" s="4613"/>
      <c r="L383" s="4282"/>
      <c r="M383" s="1665" t="s">
        <v>541</v>
      </c>
      <c r="N383" s="347" t="s">
        <v>2395</v>
      </c>
      <c r="O383" s="1613">
        <v>280</v>
      </c>
      <c r="P383" s="1613">
        <v>280</v>
      </c>
      <c r="Q383" s="1613">
        <v>280</v>
      </c>
      <c r="R383" s="1613">
        <v>280</v>
      </c>
      <c r="S383" s="1613">
        <v>400</v>
      </c>
      <c r="T383" s="1613">
        <v>280</v>
      </c>
      <c r="U383" s="1613">
        <v>280</v>
      </c>
      <c r="V383" s="1613">
        <v>560</v>
      </c>
      <c r="W383" s="1613">
        <v>280</v>
      </c>
      <c r="X383" s="1613">
        <v>280</v>
      </c>
      <c r="Y383" s="1613">
        <v>560</v>
      </c>
      <c r="Z383" s="1613">
        <v>390</v>
      </c>
      <c r="AA383" s="1614">
        <f t="shared" si="23"/>
        <v>4150</v>
      </c>
    </row>
    <row r="384" spans="1:27" ht="36" x14ac:dyDescent="0.25">
      <c r="A384" s="513"/>
      <c r="B384" s="2926"/>
      <c r="C384" s="2931"/>
      <c r="D384" s="4615"/>
      <c r="E384" s="4616"/>
      <c r="F384" s="4617"/>
      <c r="G384" s="4618"/>
      <c r="H384" s="4365"/>
      <c r="I384" s="4289"/>
      <c r="J384" s="4343"/>
      <c r="K384" s="4613"/>
      <c r="L384" s="4282"/>
      <c r="M384" s="1665" t="s">
        <v>194</v>
      </c>
      <c r="N384" s="347" t="s">
        <v>1368</v>
      </c>
      <c r="O384" s="1613">
        <v>530</v>
      </c>
      <c r="P384" s="1613">
        <v>530</v>
      </c>
      <c r="Q384" s="1613">
        <v>530</v>
      </c>
      <c r="R384" s="1613">
        <v>530</v>
      </c>
      <c r="S384" s="1613">
        <v>530</v>
      </c>
      <c r="T384" s="1613">
        <v>530</v>
      </c>
      <c r="U384" s="1613">
        <v>530</v>
      </c>
      <c r="V384" s="1613">
        <v>530</v>
      </c>
      <c r="W384" s="1613">
        <v>530</v>
      </c>
      <c r="X384" s="1613">
        <v>530</v>
      </c>
      <c r="Y384" s="1613">
        <v>530</v>
      </c>
      <c r="Z384" s="1613">
        <v>530</v>
      </c>
      <c r="AA384" s="1614">
        <f t="shared" si="23"/>
        <v>6360</v>
      </c>
    </row>
    <row r="385" spans="1:27" ht="24" x14ac:dyDescent="0.25">
      <c r="A385" s="513"/>
      <c r="B385" s="2926"/>
      <c r="C385" s="2931"/>
      <c r="D385" s="4615"/>
      <c r="E385" s="4616"/>
      <c r="F385" s="4617"/>
      <c r="G385" s="4618"/>
      <c r="H385" s="4365"/>
      <c r="I385" s="4289"/>
      <c r="J385" s="4343"/>
      <c r="K385" s="4613"/>
      <c r="L385" s="4282"/>
      <c r="M385" s="1665" t="s">
        <v>1508</v>
      </c>
      <c r="N385" s="347" t="s">
        <v>2396</v>
      </c>
      <c r="O385" s="1613">
        <v>416</v>
      </c>
      <c r="P385" s="1613">
        <v>416</v>
      </c>
      <c r="Q385" s="1613">
        <v>416</v>
      </c>
      <c r="R385" s="1613">
        <v>416</v>
      </c>
      <c r="S385" s="1613">
        <v>416</v>
      </c>
      <c r="T385" s="1613">
        <v>416</v>
      </c>
      <c r="U385" s="1613">
        <v>416</v>
      </c>
      <c r="V385" s="1613">
        <v>416</v>
      </c>
      <c r="W385" s="1613">
        <v>416</v>
      </c>
      <c r="X385" s="1613">
        <v>416</v>
      </c>
      <c r="Y385" s="1613">
        <v>416</v>
      </c>
      <c r="Z385" s="1613">
        <v>420</v>
      </c>
      <c r="AA385" s="1614">
        <f t="shared" si="23"/>
        <v>4996</v>
      </c>
    </row>
    <row r="386" spans="1:27" ht="36" x14ac:dyDescent="0.25">
      <c r="A386" s="513"/>
      <c r="B386" s="2926"/>
      <c r="C386" s="2931"/>
      <c r="D386" s="4615"/>
      <c r="E386" s="4616"/>
      <c r="F386" s="4617"/>
      <c r="G386" s="4618"/>
      <c r="H386" s="4365"/>
      <c r="I386" s="4289"/>
      <c r="J386" s="4343"/>
      <c r="K386" s="4613"/>
      <c r="L386" s="4282"/>
      <c r="M386" s="1665" t="s">
        <v>2397</v>
      </c>
      <c r="N386" s="347" t="s">
        <v>2398</v>
      </c>
      <c r="O386" s="1613"/>
      <c r="P386" s="1613"/>
      <c r="Q386" s="1613">
        <v>8723</v>
      </c>
      <c r="R386" s="1613"/>
      <c r="S386" s="1613"/>
      <c r="T386" s="1613">
        <v>8723</v>
      </c>
      <c r="U386" s="1613"/>
      <c r="V386" s="1613"/>
      <c r="W386" s="1613"/>
      <c r="X386" s="1613"/>
      <c r="Y386" s="1613"/>
      <c r="Z386" s="1613"/>
      <c r="AA386" s="1614">
        <v>29445</v>
      </c>
    </row>
    <row r="387" spans="1:27" x14ac:dyDescent="0.25">
      <c r="A387" s="513"/>
      <c r="B387" s="2926"/>
      <c r="C387" s="2931"/>
      <c r="D387" s="4615"/>
      <c r="E387" s="4616"/>
      <c r="F387" s="4617"/>
      <c r="G387" s="4618"/>
      <c r="H387" s="4365"/>
      <c r="I387" s="4289"/>
      <c r="J387" s="4343"/>
      <c r="K387" s="4613"/>
      <c r="L387" s="4282"/>
      <c r="M387" s="1665" t="s">
        <v>1493</v>
      </c>
      <c r="N387" s="347" t="s">
        <v>1336</v>
      </c>
      <c r="O387" s="1613"/>
      <c r="P387" s="1613"/>
      <c r="Q387" s="1613">
        <v>7452</v>
      </c>
      <c r="R387" s="1613"/>
      <c r="S387" s="1613"/>
      <c r="T387" s="1613"/>
      <c r="U387" s="1613">
        <v>7452</v>
      </c>
      <c r="V387" s="1613"/>
      <c r="W387" s="1613"/>
      <c r="X387" s="1613"/>
      <c r="Y387" s="1613"/>
      <c r="Z387" s="1613"/>
      <c r="AA387" s="1614">
        <f>SUM(O387:Z387)</f>
        <v>14904</v>
      </c>
    </row>
    <row r="388" spans="1:27" ht="24" x14ac:dyDescent="0.25">
      <c r="A388" s="513"/>
      <c r="B388" s="2926"/>
      <c r="C388" s="2931"/>
      <c r="D388" s="4615"/>
      <c r="E388" s="4616"/>
      <c r="F388" s="4617"/>
      <c r="G388" s="4618"/>
      <c r="H388" s="4365"/>
      <c r="I388" s="4289"/>
      <c r="J388" s="4343"/>
      <c r="K388" s="4613"/>
      <c r="L388" s="4282"/>
      <c r="M388" s="1665" t="s">
        <v>2399</v>
      </c>
      <c r="N388" s="347" t="s">
        <v>207</v>
      </c>
      <c r="O388" s="1613"/>
      <c r="P388" s="1613">
        <v>2400</v>
      </c>
      <c r="Q388" s="1613"/>
      <c r="R388" s="1613"/>
      <c r="S388" s="1613"/>
      <c r="T388" s="1613"/>
      <c r="U388" s="1613"/>
      <c r="V388" s="1613"/>
      <c r="W388" s="1613"/>
      <c r="X388" s="1613"/>
      <c r="Y388" s="1613"/>
      <c r="Z388" s="1613"/>
      <c r="AA388" s="1614">
        <f>SUM(P388:Z388)</f>
        <v>2400</v>
      </c>
    </row>
    <row r="389" spans="1:27" ht="36" x14ac:dyDescent="0.25">
      <c r="A389" s="513"/>
      <c r="B389" s="2926"/>
      <c r="C389" s="2931"/>
      <c r="D389" s="4615"/>
      <c r="E389" s="4616"/>
      <c r="F389" s="4617"/>
      <c r="G389" s="4618"/>
      <c r="H389" s="4365"/>
      <c r="I389" s="4289"/>
      <c r="J389" s="4343"/>
      <c r="K389" s="4613"/>
      <c r="L389" s="4282"/>
      <c r="M389" s="1666" t="s">
        <v>208</v>
      </c>
      <c r="N389" s="348" t="s">
        <v>553</v>
      </c>
      <c r="O389" s="1613">
        <v>18975</v>
      </c>
      <c r="P389" s="1613">
        <v>18975</v>
      </c>
      <c r="Q389" s="1613">
        <v>18975</v>
      </c>
      <c r="R389" s="1613">
        <v>18975</v>
      </c>
      <c r="S389" s="1613">
        <v>18975</v>
      </c>
      <c r="T389" s="1613">
        <v>18975</v>
      </c>
      <c r="U389" s="1613">
        <v>18975</v>
      </c>
      <c r="V389" s="1613">
        <v>18975</v>
      </c>
      <c r="W389" s="1613">
        <v>18975</v>
      </c>
      <c r="X389" s="1613">
        <v>18975</v>
      </c>
      <c r="Y389" s="1613">
        <v>18975</v>
      </c>
      <c r="Z389" s="1613">
        <v>18975</v>
      </c>
      <c r="AA389" s="1614">
        <f>SUM(O389:Z389)</f>
        <v>227700</v>
      </c>
    </row>
    <row r="390" spans="1:27" ht="36" x14ac:dyDescent="0.25">
      <c r="A390" s="513"/>
      <c r="B390" s="2926"/>
      <c r="C390" s="2931"/>
      <c r="D390" s="4615"/>
      <c r="E390" s="4616"/>
      <c r="F390" s="4617"/>
      <c r="G390" s="4618"/>
      <c r="H390" s="4365"/>
      <c r="I390" s="4289"/>
      <c r="J390" s="4343"/>
      <c r="K390" s="4613"/>
      <c r="L390" s="4282"/>
      <c r="M390" s="1666" t="s">
        <v>210</v>
      </c>
      <c r="N390" s="348" t="s">
        <v>1371</v>
      </c>
      <c r="O390" s="1613">
        <v>763</v>
      </c>
      <c r="P390" s="1613">
        <v>763</v>
      </c>
      <c r="Q390" s="1613">
        <v>763</v>
      </c>
      <c r="R390" s="1613">
        <v>763</v>
      </c>
      <c r="S390" s="1613">
        <v>763</v>
      </c>
      <c r="T390" s="1613">
        <v>763</v>
      </c>
      <c r="U390" s="1613">
        <v>763</v>
      </c>
      <c r="V390" s="1613">
        <v>763</v>
      </c>
      <c r="W390" s="1613">
        <v>763</v>
      </c>
      <c r="X390" s="1613">
        <v>763</v>
      </c>
      <c r="Y390" s="1613">
        <v>763</v>
      </c>
      <c r="Z390" s="1613">
        <v>763</v>
      </c>
      <c r="AA390" s="1614">
        <f>SUM(O390:Z390)</f>
        <v>9156</v>
      </c>
    </row>
    <row r="391" spans="1:27" x14ac:dyDescent="0.25">
      <c r="A391" s="513"/>
      <c r="B391" s="2926"/>
      <c r="C391" s="2931"/>
      <c r="D391" s="4615"/>
      <c r="E391" s="4616"/>
      <c r="F391" s="4617"/>
      <c r="G391" s="4618"/>
      <c r="H391" s="4365"/>
      <c r="I391" s="4289"/>
      <c r="J391" s="4343"/>
      <c r="K391" s="4613"/>
      <c r="L391" s="4282"/>
      <c r="M391" s="2294" t="s">
        <v>51</v>
      </c>
      <c r="N391" s="2966"/>
      <c r="O391" s="1613"/>
      <c r="P391" s="1613"/>
      <c r="Q391" s="1613"/>
      <c r="R391" s="1613"/>
      <c r="S391" s="1613"/>
      <c r="T391" s="1613"/>
      <c r="U391" s="1613"/>
      <c r="V391" s="1613"/>
      <c r="W391" s="1613"/>
      <c r="X391" s="1613"/>
      <c r="Y391" s="1613"/>
      <c r="Z391" s="1613"/>
      <c r="AA391" s="1607"/>
    </row>
    <row r="392" spans="1:27" x14ac:dyDescent="0.25">
      <c r="A392" s="513"/>
      <c r="B392" s="2926"/>
      <c r="C392" s="2931"/>
      <c r="D392" s="4615"/>
      <c r="E392" s="4616"/>
      <c r="F392" s="4617"/>
      <c r="G392" s="4618"/>
      <c r="H392" s="4365"/>
      <c r="I392" s="4289"/>
      <c r="J392" s="4343"/>
      <c r="K392" s="4613"/>
      <c r="L392" s="4282"/>
      <c r="M392" s="2294" t="s">
        <v>972</v>
      </c>
      <c r="N392" s="2966"/>
      <c r="O392" s="1611"/>
      <c r="P392" s="1611"/>
      <c r="Q392" s="1611"/>
      <c r="R392" s="1611"/>
      <c r="S392" s="1611"/>
      <c r="T392" s="1611"/>
      <c r="U392" s="1611"/>
      <c r="V392" s="1611"/>
      <c r="W392" s="1611"/>
      <c r="X392" s="1611"/>
      <c r="Y392" s="1611"/>
      <c r="Z392" s="1611"/>
      <c r="AA392" s="1610"/>
    </row>
    <row r="393" spans="1:27" ht="24" x14ac:dyDescent="0.25">
      <c r="A393" s="513"/>
      <c r="B393" s="2926"/>
      <c r="C393" s="2931"/>
      <c r="D393" s="4615"/>
      <c r="E393" s="4616"/>
      <c r="F393" s="4617"/>
      <c r="G393" s="4618"/>
      <c r="H393" s="4365"/>
      <c r="I393" s="4289"/>
      <c r="J393" s="4343"/>
      <c r="K393" s="4613"/>
      <c r="L393" s="4282"/>
      <c r="M393" s="1667" t="s">
        <v>2394</v>
      </c>
      <c r="N393" s="347" t="s">
        <v>2400</v>
      </c>
      <c r="O393" s="1611"/>
      <c r="P393" s="1611"/>
      <c r="Q393" s="1611">
        <v>1060</v>
      </c>
      <c r="R393" s="1611"/>
      <c r="S393" s="1611"/>
      <c r="T393" s="1611"/>
      <c r="U393" s="1611"/>
      <c r="V393" s="1611"/>
      <c r="W393" s="1611"/>
      <c r="X393" s="1611"/>
      <c r="Y393" s="1611"/>
      <c r="Z393" s="1611"/>
      <c r="AA393" s="1610">
        <f>SUM(P393:Z393)</f>
        <v>1060</v>
      </c>
    </row>
    <row r="394" spans="1:27" x14ac:dyDescent="0.25">
      <c r="A394" s="513"/>
      <c r="B394" s="2926"/>
      <c r="C394" s="2931"/>
      <c r="D394" s="4615"/>
      <c r="E394" s="4616"/>
      <c r="F394" s="4617"/>
      <c r="G394" s="4618"/>
      <c r="H394" s="4365"/>
      <c r="I394" s="4289"/>
      <c r="J394" s="4343"/>
      <c r="K394" s="4613"/>
      <c r="L394" s="4282"/>
      <c r="M394" s="1665" t="s">
        <v>184</v>
      </c>
      <c r="N394" s="347" t="s">
        <v>1365</v>
      </c>
      <c r="O394" s="1613">
        <v>1640</v>
      </c>
      <c r="P394" s="1613"/>
      <c r="Q394" s="1613"/>
      <c r="R394" s="1613"/>
      <c r="S394" s="1613">
        <v>780</v>
      </c>
      <c r="T394" s="1613"/>
      <c r="U394" s="1613"/>
      <c r="V394" s="1613">
        <v>780</v>
      </c>
      <c r="W394" s="1613"/>
      <c r="X394" s="1613"/>
      <c r="Y394" s="1613">
        <v>780</v>
      </c>
      <c r="Z394" s="1613"/>
      <c r="AA394" s="1614">
        <f>SUM(O394:Z394)</f>
        <v>3980</v>
      </c>
    </row>
    <row r="395" spans="1:27" ht="24" x14ac:dyDescent="0.25">
      <c r="A395" s="513"/>
      <c r="B395" s="2926"/>
      <c r="C395" s="2931"/>
      <c r="D395" s="4615"/>
      <c r="E395" s="4616"/>
      <c r="F395" s="4617"/>
      <c r="G395" s="4618"/>
      <c r="H395" s="4365"/>
      <c r="I395" s="4289"/>
      <c r="J395" s="4343"/>
      <c r="K395" s="4613"/>
      <c r="L395" s="4282"/>
      <c r="M395" s="1665" t="s">
        <v>541</v>
      </c>
      <c r="N395" s="347" t="s">
        <v>2395</v>
      </c>
      <c r="O395" s="1613"/>
      <c r="P395" s="352"/>
      <c r="Q395" s="352"/>
      <c r="R395" s="352"/>
      <c r="S395" s="352">
        <v>189</v>
      </c>
      <c r="T395" s="352"/>
      <c r="U395" s="352">
        <v>140</v>
      </c>
      <c r="V395" s="352"/>
      <c r="W395" s="352">
        <v>140</v>
      </c>
      <c r="X395" s="352"/>
      <c r="Y395" s="352"/>
      <c r="Z395" s="352"/>
      <c r="AA395" s="1614">
        <f>SUM(O395:Z395)</f>
        <v>469</v>
      </c>
    </row>
    <row r="396" spans="1:27" x14ac:dyDescent="0.25">
      <c r="A396" s="513"/>
      <c r="B396" s="2926"/>
      <c r="C396" s="2931"/>
      <c r="D396" s="4615"/>
      <c r="E396" s="4616"/>
      <c r="F396" s="4617"/>
      <c r="G396" s="4618"/>
      <c r="H396" s="4365"/>
      <c r="I396" s="4289"/>
      <c r="J396" s="4343"/>
      <c r="K396" s="4613"/>
      <c r="L396" s="4282"/>
      <c r="M396" s="1665" t="s">
        <v>194</v>
      </c>
      <c r="N396" s="347" t="s">
        <v>1372</v>
      </c>
      <c r="O396" s="352"/>
      <c r="P396" s="352"/>
      <c r="Q396" s="352"/>
      <c r="R396" s="352"/>
      <c r="S396" s="352">
        <v>420</v>
      </c>
      <c r="T396" s="352"/>
      <c r="U396" s="352"/>
      <c r="V396" s="352"/>
      <c r="W396" s="352">
        <v>80</v>
      </c>
      <c r="X396" s="352"/>
      <c r="Y396" s="352"/>
      <c r="Z396" s="352"/>
      <c r="AA396" s="1614">
        <f>SUM(S396:Z396)</f>
        <v>500</v>
      </c>
    </row>
    <row r="397" spans="1:27" ht="36" x14ac:dyDescent="0.25">
      <c r="A397" s="513"/>
      <c r="B397" s="2927"/>
      <c r="C397" s="2931"/>
      <c r="D397" s="4615"/>
      <c r="E397" s="4616"/>
      <c r="F397" s="4617"/>
      <c r="G397" s="4618"/>
      <c r="H397" s="4366"/>
      <c r="I397" s="2358"/>
      <c r="J397" s="2356"/>
      <c r="K397" s="4614"/>
      <c r="L397" s="2354"/>
      <c r="M397" s="1665" t="s">
        <v>2397</v>
      </c>
      <c r="N397" s="347" t="s">
        <v>2398</v>
      </c>
      <c r="O397" s="352"/>
      <c r="P397" s="352"/>
      <c r="Q397" s="352"/>
      <c r="R397" s="352"/>
      <c r="S397" s="352"/>
      <c r="T397" s="352">
        <v>1280</v>
      </c>
      <c r="U397" s="352"/>
      <c r="V397" s="352"/>
      <c r="W397" s="352"/>
      <c r="X397" s="352"/>
      <c r="Y397" s="352"/>
      <c r="Z397" s="352"/>
      <c r="AA397" s="1614">
        <f>SUM(S397:Z397)</f>
        <v>1280</v>
      </c>
    </row>
    <row r="398" spans="1:27" ht="24" x14ac:dyDescent="0.25">
      <c r="A398" s="513"/>
      <c r="B398" s="1352" t="s">
        <v>6</v>
      </c>
      <c r="C398" s="2293" t="s">
        <v>2406</v>
      </c>
      <c r="D398" s="2293"/>
      <c r="E398" s="2293"/>
      <c r="F398" s="2293"/>
      <c r="G398" s="2293"/>
      <c r="H398" s="2293"/>
      <c r="I398" s="2293"/>
      <c r="J398" s="2293"/>
      <c r="K398" s="2293"/>
      <c r="L398" s="2293"/>
      <c r="M398" s="2293"/>
      <c r="N398" s="2293"/>
      <c r="O398" s="2293"/>
      <c r="P398" s="2293"/>
      <c r="Q398" s="2293"/>
      <c r="R398" s="2293"/>
      <c r="S398" s="2293"/>
      <c r="T398" s="2293"/>
      <c r="U398" s="2293"/>
      <c r="V398" s="2293"/>
      <c r="W398" s="2293"/>
      <c r="X398" s="2293"/>
      <c r="Y398" s="2294"/>
      <c r="Z398" s="203"/>
      <c r="AA398" s="346"/>
    </row>
    <row r="399" spans="1:27" ht="30" customHeight="1" x14ac:dyDescent="0.25">
      <c r="A399" s="513"/>
      <c r="B399" s="1859" t="s">
        <v>8</v>
      </c>
      <c r="C399" s="2911" t="s">
        <v>2407</v>
      </c>
      <c r="D399" s="2912"/>
      <c r="E399" s="2912"/>
      <c r="F399" s="2912"/>
      <c r="G399" s="2912"/>
      <c r="H399" s="2912"/>
      <c r="I399" s="363"/>
      <c r="J399" s="363"/>
      <c r="K399" s="363"/>
      <c r="L399" s="363"/>
      <c r="M399" s="363"/>
      <c r="N399" s="363"/>
      <c r="O399" s="363"/>
      <c r="P399" s="363"/>
      <c r="Q399" s="363"/>
      <c r="R399" s="363"/>
      <c r="S399" s="363"/>
      <c r="T399" s="363"/>
      <c r="U399" s="363"/>
      <c r="V399" s="363"/>
      <c r="W399" s="363"/>
      <c r="X399" s="363"/>
      <c r="Y399" s="363"/>
      <c r="Z399" s="365"/>
      <c r="AA399" s="515"/>
    </row>
    <row r="400" spans="1:27" x14ac:dyDescent="0.25">
      <c r="A400" s="513"/>
      <c r="B400" s="1352" t="s">
        <v>11</v>
      </c>
      <c r="C400" s="4008" t="s">
        <v>84</v>
      </c>
      <c r="D400" s="4008"/>
      <c r="E400" s="4008"/>
      <c r="F400" s="4008"/>
      <c r="G400" s="4008"/>
      <c r="H400" s="4008"/>
      <c r="I400" s="4008"/>
      <c r="J400" s="4008"/>
      <c r="K400" s="4008"/>
      <c r="L400" s="4008"/>
      <c r="M400" s="4008"/>
      <c r="N400" s="4008"/>
      <c r="O400" s="4008"/>
      <c r="P400" s="4008"/>
      <c r="Q400" s="4008"/>
      <c r="R400" s="4008"/>
      <c r="S400" s="4008"/>
      <c r="T400" s="4008"/>
      <c r="U400" s="4008"/>
      <c r="V400" s="4008"/>
      <c r="W400" s="4008"/>
      <c r="X400" s="4008"/>
      <c r="Y400" s="4608"/>
      <c r="Z400" s="203"/>
      <c r="AA400" s="346"/>
    </row>
    <row r="401" spans="1:27" ht="24" customHeight="1" x14ac:dyDescent="0.25">
      <c r="A401" s="513"/>
      <c r="B401" s="2298" t="s">
        <v>13</v>
      </c>
      <c r="C401" s="3991">
        <v>9002</v>
      </c>
      <c r="D401" s="2299" t="s">
        <v>2408</v>
      </c>
      <c r="E401" s="2300"/>
      <c r="F401" s="2300"/>
      <c r="G401" s="2300"/>
      <c r="H401" s="2300"/>
      <c r="I401" s="204"/>
      <c r="J401" s="204"/>
      <c r="K401" s="204"/>
      <c r="L401" s="204"/>
      <c r="M401" s="204"/>
      <c r="N401" s="204"/>
      <c r="O401" s="204"/>
      <c r="P401" s="204"/>
      <c r="Q401" s="204"/>
      <c r="R401" s="204"/>
      <c r="S401" s="204"/>
      <c r="T401" s="205"/>
      <c r="U401" s="1609"/>
      <c r="V401" s="2703" t="s">
        <v>15</v>
      </c>
      <c r="W401" s="2704"/>
      <c r="X401" s="2704"/>
      <c r="Y401" s="2705"/>
      <c r="Z401" s="1305" t="s">
        <v>16</v>
      </c>
      <c r="AA401" s="1305"/>
    </row>
    <row r="402" spans="1:27" x14ac:dyDescent="0.25">
      <c r="A402" s="513"/>
      <c r="B402" s="2298"/>
      <c r="C402" s="3993"/>
      <c r="D402" s="2302"/>
      <c r="E402" s="2303"/>
      <c r="F402" s="2303"/>
      <c r="G402" s="2303"/>
      <c r="H402" s="2303"/>
      <c r="I402" s="206"/>
      <c r="J402" s="206"/>
      <c r="K402" s="206"/>
      <c r="L402" s="206"/>
      <c r="M402" s="206"/>
      <c r="N402" s="206"/>
      <c r="O402" s="206"/>
      <c r="P402" s="206"/>
      <c r="Q402" s="206"/>
      <c r="R402" s="206"/>
      <c r="S402" s="206"/>
      <c r="T402" s="207"/>
      <c r="U402" s="1609"/>
      <c r="V402" s="4609" t="s">
        <v>19</v>
      </c>
      <c r="W402" s="4610"/>
      <c r="X402" s="4610"/>
      <c r="Y402" s="4611"/>
      <c r="Z402" s="1305"/>
      <c r="AA402" s="1305"/>
    </row>
    <row r="403" spans="1:27" ht="24" x14ac:dyDescent="0.25">
      <c r="A403" s="513"/>
      <c r="B403" s="2298" t="s">
        <v>18</v>
      </c>
      <c r="C403" s="3991">
        <v>3999999</v>
      </c>
      <c r="D403" s="3164" t="s">
        <v>163</v>
      </c>
      <c r="E403" s="2703"/>
      <c r="F403" s="204"/>
      <c r="G403" s="204"/>
      <c r="H403" s="204"/>
      <c r="I403" s="204"/>
      <c r="J403" s="204"/>
      <c r="K403" s="204"/>
      <c r="L403" s="204"/>
      <c r="M403" s="204"/>
      <c r="N403" s="204"/>
      <c r="O403" s="204"/>
      <c r="P403" s="204"/>
      <c r="Q403" s="204"/>
      <c r="R403" s="204"/>
      <c r="S403" s="204"/>
      <c r="T403" s="204"/>
      <c r="U403" s="211"/>
      <c r="V403" s="1615" t="s">
        <v>15</v>
      </c>
      <c r="W403" s="1615"/>
      <c r="X403" s="1615"/>
      <c r="Y403" s="1615"/>
      <c r="Z403" s="1305" t="s">
        <v>16</v>
      </c>
      <c r="AA403" s="1305"/>
    </row>
    <row r="404" spans="1:27" x14ac:dyDescent="0.25">
      <c r="A404" s="513"/>
      <c r="B404" s="2298"/>
      <c r="C404" s="3993"/>
      <c r="D404" s="3164"/>
      <c r="E404" s="2703"/>
      <c r="F404" s="208"/>
      <c r="G404" s="208"/>
      <c r="H404" s="208"/>
      <c r="I404" s="208"/>
      <c r="J404" s="208"/>
      <c r="K404" s="208"/>
      <c r="L404" s="208"/>
      <c r="M404" s="208"/>
      <c r="N404" s="208"/>
      <c r="O404" s="208"/>
      <c r="P404" s="208"/>
      <c r="Q404" s="208"/>
      <c r="R404" s="208"/>
      <c r="S404" s="208"/>
      <c r="T404" s="208"/>
      <c r="U404" s="213"/>
      <c r="V404" s="4609" t="s">
        <v>19</v>
      </c>
      <c r="W404" s="4610"/>
      <c r="X404" s="4610"/>
      <c r="Y404" s="4611"/>
      <c r="Z404" s="1306"/>
      <c r="AA404" s="1307"/>
    </row>
    <row r="405" spans="1:27" ht="15" customHeight="1" x14ac:dyDescent="0.25">
      <c r="A405" s="513"/>
      <c r="B405" s="2320" t="s">
        <v>20</v>
      </c>
      <c r="C405" s="2324" t="s">
        <v>21</v>
      </c>
      <c r="D405" s="2324" t="s">
        <v>22</v>
      </c>
      <c r="E405" s="2324" t="s">
        <v>23</v>
      </c>
      <c r="F405" s="2324" t="s">
        <v>24</v>
      </c>
      <c r="G405" s="2324" t="s">
        <v>25</v>
      </c>
      <c r="H405" s="2324" t="s">
        <v>26</v>
      </c>
      <c r="I405" s="2324" t="s">
        <v>27</v>
      </c>
      <c r="J405" s="2322" t="s">
        <v>28</v>
      </c>
      <c r="K405" s="2323"/>
      <c r="L405" s="4330" t="s">
        <v>29</v>
      </c>
      <c r="M405" s="2322" t="s">
        <v>30</v>
      </c>
      <c r="N405" s="2323"/>
      <c r="O405" s="2343" t="s">
        <v>31</v>
      </c>
      <c r="P405" s="2344"/>
      <c r="Q405" s="2344"/>
      <c r="R405" s="2344"/>
      <c r="S405" s="2344"/>
      <c r="T405" s="2344"/>
      <c r="U405" s="2344"/>
      <c r="V405" s="2344"/>
      <c r="W405" s="2344"/>
      <c r="X405" s="2344"/>
      <c r="Y405" s="2344"/>
      <c r="Z405" s="2345"/>
      <c r="AA405" s="2346" t="s">
        <v>32</v>
      </c>
    </row>
    <row r="406" spans="1:27" ht="30" customHeight="1" x14ac:dyDescent="0.25">
      <c r="A406" s="513"/>
      <c r="B406" s="2321"/>
      <c r="C406" s="2324"/>
      <c r="D406" s="2324"/>
      <c r="E406" s="2324"/>
      <c r="F406" s="2324"/>
      <c r="G406" s="2324"/>
      <c r="H406" s="2324"/>
      <c r="I406" s="2324"/>
      <c r="J406" s="1355" t="s">
        <v>33</v>
      </c>
      <c r="K406" s="1355" t="s">
        <v>34</v>
      </c>
      <c r="L406" s="4331"/>
      <c r="M406" s="2325"/>
      <c r="N406" s="2326"/>
      <c r="O406" s="1354" t="s">
        <v>35</v>
      </c>
      <c r="P406" s="1354" t="s">
        <v>36</v>
      </c>
      <c r="Q406" s="1354" t="s">
        <v>37</v>
      </c>
      <c r="R406" s="1354" t="s">
        <v>38</v>
      </c>
      <c r="S406" s="1354" t="s">
        <v>39</v>
      </c>
      <c r="T406" s="1354" t="s">
        <v>40</v>
      </c>
      <c r="U406" s="1354" t="s">
        <v>41</v>
      </c>
      <c r="V406" s="1354" t="s">
        <v>42</v>
      </c>
      <c r="W406" s="1354" t="s">
        <v>43</v>
      </c>
      <c r="X406" s="1354" t="s">
        <v>44</v>
      </c>
      <c r="Y406" s="1354" t="s">
        <v>45</v>
      </c>
      <c r="Z406" s="1354" t="s">
        <v>46</v>
      </c>
      <c r="AA406" s="2346"/>
    </row>
    <row r="407" spans="1:27" x14ac:dyDescent="0.25">
      <c r="A407" s="513"/>
      <c r="B407" s="4619">
        <v>5000861</v>
      </c>
      <c r="C407" s="4622" t="s">
        <v>2409</v>
      </c>
      <c r="D407" s="4622" t="s">
        <v>2410</v>
      </c>
      <c r="E407" s="4622" t="s">
        <v>48</v>
      </c>
      <c r="F407" s="4622" t="s">
        <v>148</v>
      </c>
      <c r="G407" s="4622" t="s">
        <v>149</v>
      </c>
      <c r="H407" s="4622"/>
      <c r="I407" s="4622" t="s">
        <v>2411</v>
      </c>
      <c r="J407" s="4622">
        <v>12</v>
      </c>
      <c r="K407" s="4622">
        <v>215119</v>
      </c>
      <c r="L407" s="4294"/>
      <c r="M407" s="2317" t="s">
        <v>51</v>
      </c>
      <c r="N407" s="2318"/>
      <c r="O407" s="1616"/>
      <c r="P407" s="1616"/>
      <c r="Q407" s="1616"/>
      <c r="R407" s="1616"/>
      <c r="S407" s="1616"/>
      <c r="T407" s="1616"/>
      <c r="U407" s="1616"/>
      <c r="V407" s="1616"/>
      <c r="W407" s="1616"/>
      <c r="X407" s="1616"/>
      <c r="Y407" s="1616"/>
      <c r="Z407" s="1616"/>
      <c r="AA407" s="1617"/>
    </row>
    <row r="408" spans="1:27" x14ac:dyDescent="0.25">
      <c r="A408" s="513"/>
      <c r="B408" s="4620"/>
      <c r="C408" s="4623"/>
      <c r="D408" s="4623"/>
      <c r="E408" s="4623"/>
      <c r="F408" s="4623"/>
      <c r="G408" s="4623"/>
      <c r="H408" s="4623"/>
      <c r="I408" s="4623"/>
      <c r="J408" s="4623"/>
      <c r="K408" s="4623"/>
      <c r="L408" s="4295"/>
      <c r="M408" s="2317" t="s">
        <v>111</v>
      </c>
      <c r="N408" s="2318"/>
      <c r="O408" s="1618">
        <f t="shared" ref="O408:Y408" si="24">SUM(O409:O420)</f>
        <v>45403.070000000007</v>
      </c>
      <c r="P408" s="1618">
        <f t="shared" si="24"/>
        <v>28923.07</v>
      </c>
      <c r="Q408" s="1618">
        <f t="shared" si="24"/>
        <v>18018.07</v>
      </c>
      <c r="R408" s="1618">
        <f t="shared" si="24"/>
        <v>17518.07</v>
      </c>
      <c r="S408" s="1618">
        <f t="shared" si="24"/>
        <v>13157.07</v>
      </c>
      <c r="T408" s="1618">
        <f t="shared" si="24"/>
        <v>13157.07</v>
      </c>
      <c r="U408" s="1618">
        <f t="shared" si="24"/>
        <v>13157.07</v>
      </c>
      <c r="V408" s="1618">
        <f t="shared" si="24"/>
        <v>13157.07</v>
      </c>
      <c r="W408" s="1618">
        <f t="shared" si="24"/>
        <v>13157.07</v>
      </c>
      <c r="X408" s="1618">
        <f t="shared" si="24"/>
        <v>13157.07</v>
      </c>
      <c r="Y408" s="1618">
        <f t="shared" si="24"/>
        <v>13157.07</v>
      </c>
      <c r="Z408" s="1618">
        <f>SUM(Z409:Z419)</f>
        <v>12419.91</v>
      </c>
      <c r="AA408" s="1619">
        <f>SUM(AA409:AA420)</f>
        <v>215118.84000000003</v>
      </c>
    </row>
    <row r="409" spans="1:27" ht="24" x14ac:dyDescent="0.25">
      <c r="A409" s="513"/>
      <c r="B409" s="4620"/>
      <c r="C409" s="4623"/>
      <c r="D409" s="4623"/>
      <c r="E409" s="4623"/>
      <c r="F409" s="4623"/>
      <c r="G409" s="4623"/>
      <c r="H409" s="4623"/>
      <c r="I409" s="4623"/>
      <c r="J409" s="4623"/>
      <c r="K409" s="4623"/>
      <c r="L409" s="4295"/>
      <c r="M409" s="1668" t="s">
        <v>178</v>
      </c>
      <c r="N409" s="1620" t="s">
        <v>2061</v>
      </c>
      <c r="O409" s="1621">
        <v>500</v>
      </c>
      <c r="P409" s="1621">
        <v>500</v>
      </c>
      <c r="Q409" s="1618">
        <v>500</v>
      </c>
      <c r="R409" s="1618"/>
      <c r="S409" s="1618"/>
      <c r="T409" s="1618"/>
      <c r="U409" s="1618"/>
      <c r="V409" s="1618"/>
      <c r="W409" s="1618"/>
      <c r="X409" s="1618"/>
      <c r="Y409" s="1618"/>
      <c r="Z409" s="1618"/>
      <c r="AA409" s="1619">
        <f>SUM(O409:Z409)</f>
        <v>1500</v>
      </c>
    </row>
    <row r="410" spans="1:27" ht="24" x14ac:dyDescent="0.25">
      <c r="A410" s="513"/>
      <c r="B410" s="4620"/>
      <c r="C410" s="4623"/>
      <c r="D410" s="4623"/>
      <c r="E410" s="4623"/>
      <c r="F410" s="4623"/>
      <c r="G410" s="4623"/>
      <c r="H410" s="4623"/>
      <c r="I410" s="4623"/>
      <c r="J410" s="4623"/>
      <c r="K410" s="4623"/>
      <c r="L410" s="4295"/>
      <c r="M410" s="1668" t="s">
        <v>182</v>
      </c>
      <c r="N410" s="1620" t="s">
        <v>183</v>
      </c>
      <c r="O410" s="1621">
        <v>2955</v>
      </c>
      <c r="P410" s="1621">
        <v>2955</v>
      </c>
      <c r="Q410" s="1618"/>
      <c r="R410" s="1618"/>
      <c r="S410" s="1618"/>
      <c r="T410" s="1618"/>
      <c r="U410" s="1618"/>
      <c r="V410" s="1618"/>
      <c r="W410" s="1618"/>
      <c r="X410" s="1618"/>
      <c r="Y410" s="1618"/>
      <c r="Z410" s="1618"/>
      <c r="AA410" s="1619">
        <f>SUM(O410:Z410)</f>
        <v>5910</v>
      </c>
    </row>
    <row r="411" spans="1:27" ht="36" x14ac:dyDescent="0.25">
      <c r="A411" s="513"/>
      <c r="B411" s="4620"/>
      <c r="C411" s="4623"/>
      <c r="D411" s="4623"/>
      <c r="E411" s="4623"/>
      <c r="F411" s="4623"/>
      <c r="G411" s="4623"/>
      <c r="H411" s="4623"/>
      <c r="I411" s="4623"/>
      <c r="J411" s="4623"/>
      <c r="K411" s="4623"/>
      <c r="L411" s="4295"/>
      <c r="M411" s="1668" t="s">
        <v>184</v>
      </c>
      <c r="N411" s="1620" t="s">
        <v>1367</v>
      </c>
      <c r="O411" s="1622">
        <v>1480</v>
      </c>
      <c r="P411" s="1622"/>
      <c r="Q411" s="1622"/>
      <c r="R411" s="1622"/>
      <c r="S411" s="1622"/>
      <c r="T411" s="1622"/>
      <c r="U411" s="1622"/>
      <c r="V411" s="1622"/>
      <c r="W411" s="1622"/>
      <c r="X411" s="1622"/>
      <c r="Y411" s="1622"/>
      <c r="Z411" s="1622"/>
      <c r="AA411" s="1619">
        <f>SUM(O411:Z411)</f>
        <v>1480</v>
      </c>
    </row>
    <row r="412" spans="1:27" ht="36" x14ac:dyDescent="0.25">
      <c r="A412" s="513"/>
      <c r="B412" s="4620"/>
      <c r="C412" s="4623"/>
      <c r="D412" s="4623"/>
      <c r="E412" s="4623"/>
      <c r="F412" s="4623"/>
      <c r="G412" s="4623"/>
      <c r="H412" s="4623"/>
      <c r="I412" s="4623"/>
      <c r="J412" s="4623"/>
      <c r="K412" s="4623"/>
      <c r="L412" s="4295"/>
      <c r="M412" s="1668" t="s">
        <v>2412</v>
      </c>
      <c r="N412" s="1620" t="s">
        <v>2413</v>
      </c>
      <c r="O412" s="1622">
        <v>900</v>
      </c>
      <c r="P412" s="1622">
        <v>900</v>
      </c>
      <c r="Q412" s="1622">
        <v>900</v>
      </c>
      <c r="R412" s="1622">
        <v>900</v>
      </c>
      <c r="S412" s="1622">
        <v>900</v>
      </c>
      <c r="T412" s="1622">
        <v>900</v>
      </c>
      <c r="U412" s="1622">
        <v>900</v>
      </c>
      <c r="V412" s="1622">
        <v>900</v>
      </c>
      <c r="W412" s="1622">
        <v>900</v>
      </c>
      <c r="X412" s="1622">
        <v>900</v>
      </c>
      <c r="Y412" s="1622">
        <v>900</v>
      </c>
      <c r="Z412" s="1622">
        <v>900</v>
      </c>
      <c r="AA412" s="1619">
        <f>SUM(O412:Z412)</f>
        <v>10800</v>
      </c>
    </row>
    <row r="413" spans="1:27" ht="24" x14ac:dyDescent="0.25">
      <c r="A413" s="513"/>
      <c r="B413" s="4620"/>
      <c r="C413" s="4623"/>
      <c r="D413" s="4623"/>
      <c r="E413" s="4623"/>
      <c r="F413" s="4623"/>
      <c r="G413" s="4623"/>
      <c r="H413" s="4623"/>
      <c r="I413" s="4623"/>
      <c r="J413" s="4623"/>
      <c r="K413" s="4623"/>
      <c r="L413" s="4295"/>
      <c r="M413" s="1668" t="s">
        <v>2414</v>
      </c>
      <c r="N413" s="1620" t="s">
        <v>2415</v>
      </c>
      <c r="O413" s="1622">
        <v>2000</v>
      </c>
      <c r="P413" s="1622">
        <v>2000</v>
      </c>
      <c r="Q413" s="1622">
        <v>2000</v>
      </c>
      <c r="R413" s="1622">
        <v>2000</v>
      </c>
      <c r="S413" s="1622"/>
      <c r="T413" s="1622"/>
      <c r="U413" s="1622"/>
      <c r="V413" s="1622"/>
      <c r="W413" s="1622"/>
      <c r="X413" s="1622"/>
      <c r="Y413" s="1622"/>
      <c r="Z413" s="1622"/>
      <c r="AA413" s="1619">
        <f>SUM(O413:Z413)</f>
        <v>8000</v>
      </c>
    </row>
    <row r="414" spans="1:27" ht="24" x14ac:dyDescent="0.25">
      <c r="A414" s="513"/>
      <c r="B414" s="4620"/>
      <c r="C414" s="4623"/>
      <c r="D414" s="4623"/>
      <c r="E414" s="4623"/>
      <c r="F414" s="4623"/>
      <c r="G414" s="4623"/>
      <c r="H414" s="4623"/>
      <c r="I414" s="4623"/>
      <c r="J414" s="4623"/>
      <c r="K414" s="4623"/>
      <c r="L414" s="4295"/>
      <c r="M414" s="1668" t="s">
        <v>541</v>
      </c>
      <c r="N414" s="1620" t="s">
        <v>1468</v>
      </c>
      <c r="O414" s="1622">
        <v>2750</v>
      </c>
      <c r="P414" s="1622">
        <v>2750</v>
      </c>
      <c r="Q414" s="1622"/>
      <c r="R414" s="1622"/>
      <c r="S414" s="1622"/>
      <c r="T414" s="1622"/>
      <c r="U414" s="1622"/>
      <c r="V414" s="1622"/>
      <c r="W414" s="1622"/>
      <c r="X414" s="1622"/>
      <c r="Y414" s="1622"/>
      <c r="Z414" s="1622"/>
      <c r="AA414" s="1619">
        <v>5500</v>
      </c>
    </row>
    <row r="415" spans="1:27" ht="36" x14ac:dyDescent="0.25">
      <c r="A415" s="513"/>
      <c r="B415" s="4620"/>
      <c r="C415" s="4623"/>
      <c r="D415" s="4623"/>
      <c r="E415" s="4623"/>
      <c r="F415" s="4623"/>
      <c r="G415" s="4623"/>
      <c r="H415" s="4623"/>
      <c r="I415" s="4623"/>
      <c r="J415" s="4623"/>
      <c r="K415" s="4623"/>
      <c r="L415" s="4295"/>
      <c r="M415" s="1668" t="s">
        <v>194</v>
      </c>
      <c r="N415" s="1620" t="s">
        <v>1368</v>
      </c>
      <c r="O415" s="1622">
        <v>2361</v>
      </c>
      <c r="P415" s="1622">
        <v>2361</v>
      </c>
      <c r="Q415" s="1622">
        <v>2361</v>
      </c>
      <c r="R415" s="1622">
        <v>2361</v>
      </c>
      <c r="S415" s="1622"/>
      <c r="T415" s="1622"/>
      <c r="U415" s="1622"/>
      <c r="V415" s="1622"/>
      <c r="W415" s="1622"/>
      <c r="X415" s="1622"/>
      <c r="Y415" s="1622"/>
      <c r="Z415" s="1622"/>
      <c r="AA415" s="1619">
        <f>SUM(O415:Z415)</f>
        <v>9444</v>
      </c>
    </row>
    <row r="416" spans="1:27" ht="36" x14ac:dyDescent="0.25">
      <c r="A416" s="513"/>
      <c r="B416" s="4620"/>
      <c r="C416" s="4623"/>
      <c r="D416" s="4623"/>
      <c r="E416" s="4623"/>
      <c r="F416" s="4623"/>
      <c r="G416" s="4623"/>
      <c r="H416" s="4623"/>
      <c r="I416" s="4623"/>
      <c r="J416" s="4623"/>
      <c r="K416" s="4623"/>
      <c r="L416" s="4295"/>
      <c r="M416" s="1668" t="s">
        <v>220</v>
      </c>
      <c r="N416" s="1620" t="s">
        <v>2416</v>
      </c>
      <c r="O416" s="1622">
        <v>2500</v>
      </c>
      <c r="P416" s="1622">
        <v>2500</v>
      </c>
      <c r="Q416" s="1622"/>
      <c r="R416" s="1622"/>
      <c r="S416" s="1622"/>
      <c r="T416" s="1622"/>
      <c r="U416" s="1622"/>
      <c r="V416" s="1622"/>
      <c r="W416" s="1622"/>
      <c r="X416" s="1622"/>
      <c r="Y416" s="1622"/>
      <c r="Z416" s="1622"/>
      <c r="AA416" s="1619">
        <f>SUM(O416:P416)</f>
        <v>5000</v>
      </c>
    </row>
    <row r="417" spans="1:27" ht="24" x14ac:dyDescent="0.25">
      <c r="A417" s="513"/>
      <c r="B417" s="4620"/>
      <c r="C417" s="4623"/>
      <c r="D417" s="4623"/>
      <c r="E417" s="4623"/>
      <c r="F417" s="4623"/>
      <c r="G417" s="4623"/>
      <c r="H417" s="4623"/>
      <c r="I417" s="4623"/>
      <c r="J417" s="4623"/>
      <c r="K417" s="4623"/>
      <c r="L417" s="4295"/>
      <c r="M417" s="1668" t="s">
        <v>200</v>
      </c>
      <c r="N417" s="1620" t="s">
        <v>1473</v>
      </c>
      <c r="O417" s="1622">
        <v>2700</v>
      </c>
      <c r="P417" s="1622">
        <v>2700</v>
      </c>
      <c r="Q417" s="1622"/>
      <c r="R417" s="1622"/>
      <c r="S417" s="1622"/>
      <c r="T417" s="1622"/>
      <c r="U417" s="1622"/>
      <c r="V417" s="1622"/>
      <c r="W417" s="1622"/>
      <c r="X417" s="1622"/>
      <c r="Y417" s="1622"/>
      <c r="Z417" s="1622"/>
      <c r="AA417" s="1619">
        <v>5400</v>
      </c>
    </row>
    <row r="418" spans="1:27" ht="48" x14ac:dyDescent="0.25">
      <c r="A418" s="513"/>
      <c r="B418" s="4620"/>
      <c r="C418" s="4623"/>
      <c r="D418" s="4623"/>
      <c r="E418" s="4623"/>
      <c r="F418" s="4623"/>
      <c r="G418" s="4623"/>
      <c r="H418" s="4623"/>
      <c r="I418" s="4623"/>
      <c r="J418" s="4623"/>
      <c r="K418" s="4623"/>
      <c r="L418" s="4295"/>
      <c r="M418" s="1668" t="s">
        <v>1452</v>
      </c>
      <c r="N418" s="1620" t="s">
        <v>1984</v>
      </c>
      <c r="O418" s="1622">
        <v>15000</v>
      </c>
      <c r="P418" s="1622"/>
      <c r="Q418" s="1622"/>
      <c r="R418" s="1622"/>
      <c r="S418" s="1622"/>
      <c r="T418" s="1622"/>
      <c r="U418" s="1622"/>
      <c r="V418" s="1622"/>
      <c r="W418" s="1622"/>
      <c r="X418" s="1622"/>
      <c r="Y418" s="1622"/>
      <c r="Z418" s="1622"/>
      <c r="AA418" s="1619">
        <v>15000</v>
      </c>
    </row>
    <row r="419" spans="1:27" ht="36" x14ac:dyDescent="0.25">
      <c r="A419" s="513"/>
      <c r="B419" s="4620"/>
      <c r="C419" s="4623"/>
      <c r="D419" s="4623"/>
      <c r="E419" s="4623"/>
      <c r="F419" s="4623"/>
      <c r="G419" s="4623"/>
      <c r="H419" s="4623"/>
      <c r="I419" s="4623"/>
      <c r="J419" s="4623"/>
      <c r="K419" s="4623"/>
      <c r="L419" s="4295"/>
      <c r="M419" s="1668" t="s">
        <v>208</v>
      </c>
      <c r="N419" s="1623" t="s">
        <v>553</v>
      </c>
      <c r="O419" s="1622">
        <v>11519.91</v>
      </c>
      <c r="P419" s="1622">
        <v>11519.91</v>
      </c>
      <c r="Q419" s="1622">
        <v>11519.91</v>
      </c>
      <c r="R419" s="1622">
        <v>11519.91</v>
      </c>
      <c r="S419" s="1622">
        <v>11519.91</v>
      </c>
      <c r="T419" s="1622">
        <v>11519.91</v>
      </c>
      <c r="U419" s="1622">
        <v>11519.91</v>
      </c>
      <c r="V419" s="1622">
        <v>11519.91</v>
      </c>
      <c r="W419" s="1622">
        <v>11519.91</v>
      </c>
      <c r="X419" s="1622">
        <v>11519.91</v>
      </c>
      <c r="Y419" s="1622">
        <v>11519.91</v>
      </c>
      <c r="Z419" s="1622">
        <v>11519.91</v>
      </c>
      <c r="AA419" s="1624">
        <f>SUM(O419:Z419)</f>
        <v>138238.92000000001</v>
      </c>
    </row>
    <row r="420" spans="1:27" ht="36" x14ac:dyDescent="0.25">
      <c r="A420" s="513"/>
      <c r="B420" s="4621"/>
      <c r="C420" s="4623"/>
      <c r="D420" s="4623"/>
      <c r="E420" s="4623"/>
      <c r="F420" s="4623"/>
      <c r="G420" s="4623"/>
      <c r="H420" s="4623"/>
      <c r="I420" s="4623"/>
      <c r="J420" s="4623"/>
      <c r="K420" s="4623"/>
      <c r="L420" s="4296"/>
      <c r="M420" s="1623" t="s">
        <v>210</v>
      </c>
      <c r="N420" s="1623" t="s">
        <v>2417</v>
      </c>
      <c r="O420" s="1622">
        <v>737.16</v>
      </c>
      <c r="P420" s="1622">
        <v>737.16</v>
      </c>
      <c r="Q420" s="1622">
        <v>737.16</v>
      </c>
      <c r="R420" s="1622">
        <v>737.16</v>
      </c>
      <c r="S420" s="1622">
        <v>737.16</v>
      </c>
      <c r="T420" s="1622">
        <v>737.16</v>
      </c>
      <c r="U420" s="1622">
        <v>737.16</v>
      </c>
      <c r="V420" s="1622">
        <v>737.16</v>
      </c>
      <c r="W420" s="1622">
        <v>737.16</v>
      </c>
      <c r="X420" s="1622">
        <v>737.16</v>
      </c>
      <c r="Y420" s="1622">
        <v>737.16</v>
      </c>
      <c r="Z420" s="1622">
        <v>737.16</v>
      </c>
      <c r="AA420" s="1624">
        <f>SUM(O420:Z420)</f>
        <v>8845.92</v>
      </c>
    </row>
    <row r="421" spans="1:27" x14ac:dyDescent="0.25">
      <c r="A421" s="513"/>
      <c r="B421" s="4428"/>
      <c r="C421" s="4176"/>
      <c r="D421" s="4432" t="s">
        <v>2418</v>
      </c>
      <c r="E421" s="4176"/>
      <c r="F421" s="4176"/>
      <c r="G421" s="4176"/>
      <c r="H421" s="4432" t="s">
        <v>2419</v>
      </c>
      <c r="I421" s="4176" t="s">
        <v>2420</v>
      </c>
      <c r="J421" s="4176">
        <v>1</v>
      </c>
      <c r="K421" s="4262">
        <v>6137.5</v>
      </c>
      <c r="L421" s="4262"/>
      <c r="M421" s="1626" t="s">
        <v>51</v>
      </c>
      <c r="N421" s="1617"/>
      <c r="O421" s="1617"/>
      <c r="P421" s="1617">
        <v>1</v>
      </c>
      <c r="Q421" s="1617"/>
      <c r="R421" s="1617"/>
      <c r="S421" s="1617"/>
      <c r="T421" s="1617"/>
      <c r="U421" s="1617"/>
      <c r="V421" s="1617"/>
      <c r="W421" s="1617"/>
      <c r="X421" s="1617"/>
      <c r="Y421" s="1617"/>
      <c r="Z421" s="1617"/>
      <c r="AA421" s="1624"/>
    </row>
    <row r="422" spans="1:27" x14ac:dyDescent="0.25">
      <c r="A422" s="513"/>
      <c r="B422" s="4429"/>
      <c r="C422" s="4431"/>
      <c r="D422" s="4433"/>
      <c r="E422" s="4431"/>
      <c r="F422" s="4431"/>
      <c r="G422" s="4431"/>
      <c r="H422" s="4433"/>
      <c r="I422" s="4431"/>
      <c r="J422" s="4431"/>
      <c r="K422" s="4427"/>
      <c r="L422" s="4427"/>
      <c r="M422" s="1626" t="s">
        <v>111</v>
      </c>
      <c r="N422" s="1617"/>
      <c r="O422" s="1617">
        <f t="shared" ref="O422:Z422" si="25">SUM(O423:O424)</f>
        <v>3069</v>
      </c>
      <c r="P422" s="1617">
        <f t="shared" si="25"/>
        <v>3068</v>
      </c>
      <c r="Q422" s="1617">
        <f t="shared" si="25"/>
        <v>0</v>
      </c>
      <c r="R422" s="1627">
        <f t="shared" si="25"/>
        <v>0</v>
      </c>
      <c r="S422" s="1627">
        <f t="shared" si="25"/>
        <v>0</v>
      </c>
      <c r="T422" s="1627">
        <f t="shared" si="25"/>
        <v>0</v>
      </c>
      <c r="U422" s="1627">
        <f t="shared" si="25"/>
        <v>0</v>
      </c>
      <c r="V422" s="1627">
        <f t="shared" si="25"/>
        <v>0</v>
      </c>
      <c r="W422" s="1627">
        <f t="shared" si="25"/>
        <v>0</v>
      </c>
      <c r="X422" s="1627">
        <f t="shared" si="25"/>
        <v>0</v>
      </c>
      <c r="Y422" s="1627">
        <f t="shared" si="25"/>
        <v>0</v>
      </c>
      <c r="Z422" s="1627">
        <f t="shared" si="25"/>
        <v>0</v>
      </c>
      <c r="AA422" s="1624">
        <f t="shared" ref="AA422:AA431" si="26">SUM(O422:Z422)</f>
        <v>6137</v>
      </c>
    </row>
    <row r="423" spans="1:27" x14ac:dyDescent="0.25">
      <c r="A423" s="513"/>
      <c r="B423" s="4429"/>
      <c r="C423" s="4431"/>
      <c r="D423" s="4433"/>
      <c r="E423" s="4431"/>
      <c r="F423" s="4431"/>
      <c r="G423" s="4431"/>
      <c r="H423" s="4433"/>
      <c r="I423" s="4431"/>
      <c r="J423" s="4431"/>
      <c r="K423" s="4427"/>
      <c r="L423" s="4427"/>
      <c r="M423" s="1629" t="s">
        <v>194</v>
      </c>
      <c r="N423" s="1629" t="s">
        <v>1372</v>
      </c>
      <c r="O423" s="1628">
        <v>2100</v>
      </c>
      <c r="P423" s="1628">
        <v>2100</v>
      </c>
      <c r="Q423" s="1628"/>
      <c r="R423" s="1628"/>
      <c r="S423" s="1628"/>
      <c r="T423" s="1628"/>
      <c r="U423" s="1628"/>
      <c r="V423" s="1628"/>
      <c r="W423" s="1628"/>
      <c r="X423" s="1628"/>
      <c r="Y423" s="1628"/>
      <c r="Z423" s="1628"/>
      <c r="AA423" s="1630">
        <f t="shared" si="26"/>
        <v>4200</v>
      </c>
    </row>
    <row r="424" spans="1:27" x14ac:dyDescent="0.25">
      <c r="A424" s="513"/>
      <c r="B424" s="4429"/>
      <c r="C424" s="4431"/>
      <c r="D424" s="4434"/>
      <c r="E424" s="4431"/>
      <c r="F424" s="4431"/>
      <c r="G424" s="4431"/>
      <c r="H424" s="4433"/>
      <c r="I424" s="4431"/>
      <c r="J424" s="4431"/>
      <c r="K424" s="4427"/>
      <c r="L424" s="4263"/>
      <c r="M424" s="1629" t="s">
        <v>215</v>
      </c>
      <c r="N424" s="1629" t="s">
        <v>1370</v>
      </c>
      <c r="O424" s="1628">
        <v>969</v>
      </c>
      <c r="P424" s="1628">
        <v>968</v>
      </c>
      <c r="Q424" s="1628"/>
      <c r="R424" s="1628"/>
      <c r="S424" s="1628"/>
      <c r="T424" s="1628"/>
      <c r="U424" s="1628"/>
      <c r="V424" s="1628"/>
      <c r="W424" s="1628"/>
      <c r="X424" s="1628"/>
      <c r="Y424" s="1628"/>
      <c r="Z424" s="1628"/>
      <c r="AA424" s="1630">
        <f t="shared" si="26"/>
        <v>1937</v>
      </c>
    </row>
    <row r="425" spans="1:27" x14ac:dyDescent="0.25">
      <c r="A425" s="513"/>
      <c r="B425" s="4428"/>
      <c r="C425" s="4176"/>
      <c r="D425" s="4432" t="s">
        <v>3701</v>
      </c>
      <c r="E425" s="4176"/>
      <c r="F425" s="4176"/>
      <c r="G425" s="4176"/>
      <c r="H425" s="4432" t="s">
        <v>2419</v>
      </c>
      <c r="I425" s="4176" t="s">
        <v>2420</v>
      </c>
      <c r="J425" s="4176">
        <v>1</v>
      </c>
      <c r="K425" s="4262">
        <v>5000</v>
      </c>
      <c r="L425" s="4262"/>
      <c r="M425" s="3164" t="s">
        <v>51</v>
      </c>
      <c r="N425" s="3164"/>
      <c r="O425" s="1616"/>
      <c r="P425" s="1616"/>
      <c r="Q425" s="1616">
        <v>1</v>
      </c>
      <c r="R425" s="1616"/>
      <c r="S425" s="1616"/>
      <c r="T425" s="1627"/>
      <c r="U425" s="1616"/>
      <c r="V425" s="1616"/>
      <c r="W425" s="1616"/>
      <c r="X425" s="1616"/>
      <c r="Y425" s="1616"/>
      <c r="Z425" s="1616"/>
      <c r="AA425" s="1631">
        <f t="shared" si="26"/>
        <v>1</v>
      </c>
    </row>
    <row r="426" spans="1:27" x14ac:dyDescent="0.25">
      <c r="A426" s="513"/>
      <c r="B426" s="4429"/>
      <c r="C426" s="4431"/>
      <c r="D426" s="4433"/>
      <c r="E426" s="4431"/>
      <c r="F426" s="4431"/>
      <c r="G426" s="4431"/>
      <c r="H426" s="4433"/>
      <c r="I426" s="4431"/>
      <c r="J426" s="4431"/>
      <c r="K426" s="4427"/>
      <c r="L426" s="4427"/>
      <c r="M426" s="3164" t="s">
        <v>111</v>
      </c>
      <c r="N426" s="3164"/>
      <c r="O426" s="1627">
        <f t="shared" ref="O426:Z426" si="27">SUM(O427:O430)</f>
        <v>0</v>
      </c>
      <c r="P426" s="1627">
        <f t="shared" si="27"/>
        <v>0</v>
      </c>
      <c r="Q426" s="1627">
        <f t="shared" si="27"/>
        <v>0</v>
      </c>
      <c r="R426" s="1627">
        <f t="shared" si="27"/>
        <v>4000</v>
      </c>
      <c r="S426" s="1627">
        <f t="shared" si="27"/>
        <v>1000</v>
      </c>
      <c r="T426" s="1627">
        <f t="shared" si="27"/>
        <v>0</v>
      </c>
      <c r="U426" s="1627">
        <f t="shared" si="27"/>
        <v>0</v>
      </c>
      <c r="V426" s="1627">
        <f t="shared" si="27"/>
        <v>0</v>
      </c>
      <c r="W426" s="1627">
        <f t="shared" si="27"/>
        <v>0</v>
      </c>
      <c r="X426" s="1627">
        <f t="shared" si="27"/>
        <v>0</v>
      </c>
      <c r="Y426" s="1627">
        <f t="shared" si="27"/>
        <v>0</v>
      </c>
      <c r="Z426" s="1627">
        <f t="shared" si="27"/>
        <v>0</v>
      </c>
      <c r="AA426" s="1631">
        <f t="shared" si="26"/>
        <v>5000</v>
      </c>
    </row>
    <row r="427" spans="1:27" x14ac:dyDescent="0.25">
      <c r="A427" s="513"/>
      <c r="B427" s="4429"/>
      <c r="C427" s="4431"/>
      <c r="D427" s="4433"/>
      <c r="E427" s="4431"/>
      <c r="F427" s="4431"/>
      <c r="G427" s="4431"/>
      <c r="H427" s="4433"/>
      <c r="I427" s="4431"/>
      <c r="J427" s="4431"/>
      <c r="K427" s="4427"/>
      <c r="L427" s="4427"/>
      <c r="M427" s="1632" t="s">
        <v>194</v>
      </c>
      <c r="N427" s="1632" t="s">
        <v>1372</v>
      </c>
      <c r="O427" s="1628"/>
      <c r="P427" s="1628"/>
      <c r="Q427" s="1628"/>
      <c r="R427" s="1628">
        <v>2000</v>
      </c>
      <c r="S427" s="1628"/>
      <c r="T427" s="1628"/>
      <c r="U427" s="1628"/>
      <c r="V427" s="1628"/>
      <c r="W427" s="1628"/>
      <c r="X427" s="1628"/>
      <c r="Y427" s="1628"/>
      <c r="Z427" s="1628"/>
      <c r="AA427" s="1633">
        <f t="shared" si="26"/>
        <v>2000</v>
      </c>
    </row>
    <row r="428" spans="1:27" x14ac:dyDescent="0.25">
      <c r="A428" s="513"/>
      <c r="B428" s="4429"/>
      <c r="C428" s="4431"/>
      <c r="D428" s="4433"/>
      <c r="E428" s="4431"/>
      <c r="F428" s="4431"/>
      <c r="G428" s="4431"/>
      <c r="H428" s="4433"/>
      <c r="I428" s="4431"/>
      <c r="J428" s="4431"/>
      <c r="K428" s="4427"/>
      <c r="L428" s="4427"/>
      <c r="M428" s="1632" t="s">
        <v>215</v>
      </c>
      <c r="N428" s="1632" t="s">
        <v>1370</v>
      </c>
      <c r="O428" s="1628"/>
      <c r="P428" s="1628"/>
      <c r="Q428" s="1628"/>
      <c r="R428" s="1628">
        <v>1500</v>
      </c>
      <c r="S428" s="1628"/>
      <c r="T428" s="1628"/>
      <c r="U428" s="1628"/>
      <c r="V428" s="1628"/>
      <c r="W428" s="1628"/>
      <c r="X428" s="1628"/>
      <c r="Y428" s="1628"/>
      <c r="Z428" s="1628"/>
      <c r="AA428" s="1633">
        <f t="shared" si="26"/>
        <v>1500</v>
      </c>
    </row>
    <row r="429" spans="1:27" ht="24" x14ac:dyDescent="0.25">
      <c r="A429" s="513"/>
      <c r="B429" s="4429"/>
      <c r="C429" s="4431"/>
      <c r="D429" s="4433"/>
      <c r="E429" s="4431"/>
      <c r="F429" s="4431"/>
      <c r="G429" s="4431"/>
      <c r="H429" s="4433"/>
      <c r="I429" s="4431"/>
      <c r="J429" s="4431"/>
      <c r="K429" s="4427"/>
      <c r="L429" s="4427"/>
      <c r="M429" s="348" t="s">
        <v>1452</v>
      </c>
      <c r="N429" s="348" t="s">
        <v>1477</v>
      </c>
      <c r="O429" s="1628"/>
      <c r="P429" s="1628"/>
      <c r="Q429" s="1628"/>
      <c r="R429" s="1628">
        <v>500</v>
      </c>
      <c r="S429" s="1628"/>
      <c r="T429" s="1628"/>
      <c r="U429" s="1628"/>
      <c r="V429" s="1628"/>
      <c r="W429" s="1628"/>
      <c r="X429" s="1628"/>
      <c r="Y429" s="1628"/>
      <c r="Z429" s="1628"/>
      <c r="AA429" s="1630">
        <f t="shared" si="26"/>
        <v>500</v>
      </c>
    </row>
    <row r="430" spans="1:27" ht="24" x14ac:dyDescent="0.25">
      <c r="A430" s="513"/>
      <c r="B430" s="4429"/>
      <c r="C430" s="4431"/>
      <c r="D430" s="4433"/>
      <c r="E430" s="4431"/>
      <c r="F430" s="4431"/>
      <c r="G430" s="4431"/>
      <c r="H430" s="4434"/>
      <c r="I430" s="4431"/>
      <c r="J430" s="4431"/>
      <c r="K430" s="4427"/>
      <c r="L430" s="4263"/>
      <c r="M430" s="348" t="s">
        <v>200</v>
      </c>
      <c r="N430" s="348" t="s">
        <v>1441</v>
      </c>
      <c r="O430" s="1628"/>
      <c r="P430" s="1628"/>
      <c r="Q430" s="1628"/>
      <c r="R430" s="1628"/>
      <c r="S430" s="1628">
        <f>1000</f>
        <v>1000</v>
      </c>
      <c r="T430" s="1628"/>
      <c r="U430" s="1628"/>
      <c r="V430" s="1628"/>
      <c r="W430" s="1628"/>
      <c r="X430" s="1628"/>
      <c r="Y430" s="1628"/>
      <c r="Z430" s="1628"/>
      <c r="AA430" s="1634">
        <f t="shared" si="26"/>
        <v>1000</v>
      </c>
    </row>
    <row r="431" spans="1:27" x14ac:dyDescent="0.25">
      <c r="A431" s="513"/>
      <c r="B431" s="4449"/>
      <c r="C431" s="2353"/>
      <c r="D431" s="2928" t="s">
        <v>2421</v>
      </c>
      <c r="E431" s="2353"/>
      <c r="F431" s="2353"/>
      <c r="G431" s="2353"/>
      <c r="H431" s="2928" t="s">
        <v>2422</v>
      </c>
      <c r="I431" s="2353" t="s">
        <v>2423</v>
      </c>
      <c r="J431" s="2353">
        <v>11</v>
      </c>
      <c r="K431" s="4286">
        <v>11562</v>
      </c>
      <c r="L431" s="4286"/>
      <c r="M431" s="2317" t="s">
        <v>51</v>
      </c>
      <c r="N431" s="2318"/>
      <c r="O431" s="1635">
        <v>6</v>
      </c>
      <c r="P431" s="1635">
        <v>5</v>
      </c>
      <c r="Q431" s="1635"/>
      <c r="R431" s="1635"/>
      <c r="S431" s="1635"/>
      <c r="T431" s="1635"/>
      <c r="U431" s="1635"/>
      <c r="V431" s="1635"/>
      <c r="W431" s="1635"/>
      <c r="X431" s="1635"/>
      <c r="Y431" s="1635"/>
      <c r="Z431" s="1635"/>
      <c r="AA431" s="1619">
        <f t="shared" si="26"/>
        <v>11</v>
      </c>
    </row>
    <row r="432" spans="1:27" x14ac:dyDescent="0.25">
      <c r="A432" s="513"/>
      <c r="B432" s="4450"/>
      <c r="C432" s="4282"/>
      <c r="D432" s="2929"/>
      <c r="E432" s="4282"/>
      <c r="F432" s="4282"/>
      <c r="G432" s="4282"/>
      <c r="H432" s="2929"/>
      <c r="I432" s="4282"/>
      <c r="J432" s="4282"/>
      <c r="K432" s="4287"/>
      <c r="L432" s="4287"/>
      <c r="M432" s="2317" t="s">
        <v>111</v>
      </c>
      <c r="N432" s="2318"/>
      <c r="O432" s="1635">
        <f>SUM(O433:O434)</f>
        <v>5800</v>
      </c>
      <c r="P432" s="1635">
        <f>SUM(P433:P434)</f>
        <v>5762</v>
      </c>
      <c r="Q432" s="1635">
        <f>SUM(Q433:Q434)</f>
        <v>0</v>
      </c>
      <c r="R432" s="1635">
        <f t="shared" ref="R432:Z432" si="28">SUM(R434:R434)</f>
        <v>0</v>
      </c>
      <c r="S432" s="1635">
        <f t="shared" si="28"/>
        <v>0</v>
      </c>
      <c r="T432" s="1635">
        <f t="shared" si="28"/>
        <v>0</v>
      </c>
      <c r="U432" s="1635">
        <f t="shared" si="28"/>
        <v>0</v>
      </c>
      <c r="V432" s="1635">
        <f t="shared" si="28"/>
        <v>0</v>
      </c>
      <c r="W432" s="1635">
        <f t="shared" si="28"/>
        <v>0</v>
      </c>
      <c r="X432" s="1635">
        <f t="shared" si="28"/>
        <v>0</v>
      </c>
      <c r="Y432" s="1635">
        <f t="shared" si="28"/>
        <v>0</v>
      </c>
      <c r="Z432" s="1635">
        <f t="shared" si="28"/>
        <v>0</v>
      </c>
      <c r="AA432" s="1624">
        <f>SUM(AA433:AA434)</f>
        <v>11562</v>
      </c>
    </row>
    <row r="433" spans="1:27" ht="24" x14ac:dyDescent="0.25">
      <c r="A433" s="513"/>
      <c r="B433" s="4450"/>
      <c r="C433" s="4282"/>
      <c r="D433" s="2929"/>
      <c r="E433" s="4282"/>
      <c r="F433" s="4282"/>
      <c r="G433" s="4282"/>
      <c r="H433" s="2929"/>
      <c r="I433" s="4282"/>
      <c r="J433" s="4282"/>
      <c r="K433" s="4287"/>
      <c r="L433" s="4287"/>
      <c r="M433" s="1667" t="s">
        <v>178</v>
      </c>
      <c r="N433" s="1358" t="s">
        <v>2061</v>
      </c>
      <c r="O433" s="1636">
        <v>500</v>
      </c>
      <c r="P433" s="1636">
        <v>500</v>
      </c>
      <c r="Q433" s="1636"/>
      <c r="R433" s="1592"/>
      <c r="S433" s="1592"/>
      <c r="T433" s="1592"/>
      <c r="U433" s="1592"/>
      <c r="V433" s="1592"/>
      <c r="W433" s="1592"/>
      <c r="X433" s="1592"/>
      <c r="Y433" s="1592"/>
      <c r="Z433" s="1592"/>
      <c r="AA433" s="1607">
        <f>SUM(O433:Z433)</f>
        <v>1000</v>
      </c>
    </row>
    <row r="434" spans="1:27" ht="48" x14ac:dyDescent="0.25">
      <c r="A434" s="513"/>
      <c r="B434" s="4450"/>
      <c r="C434" s="4282"/>
      <c r="D434" s="2929"/>
      <c r="E434" s="4282"/>
      <c r="F434" s="4282"/>
      <c r="G434" s="4282"/>
      <c r="H434" s="2929"/>
      <c r="I434" s="4282"/>
      <c r="J434" s="4282"/>
      <c r="K434" s="4287"/>
      <c r="L434" s="4287"/>
      <c r="M434" s="1574" t="s">
        <v>1452</v>
      </c>
      <c r="N434" s="1620" t="s">
        <v>1984</v>
      </c>
      <c r="O434" s="1636">
        <v>5300</v>
      </c>
      <c r="P434" s="1636">
        <v>5262</v>
      </c>
      <c r="Q434" s="1636"/>
      <c r="R434" s="1636"/>
      <c r="S434" s="1636"/>
      <c r="T434" s="1636"/>
      <c r="U434" s="1636"/>
      <c r="V434" s="1636"/>
      <c r="W434" s="1636"/>
      <c r="X434" s="1636"/>
      <c r="Y434" s="352"/>
      <c r="Z434" s="352"/>
      <c r="AA434" s="1607">
        <f>SUM(O434:P434)</f>
        <v>10562</v>
      </c>
    </row>
    <row r="435" spans="1:27" x14ac:dyDescent="0.25">
      <c r="A435" s="513"/>
      <c r="B435" s="4448"/>
      <c r="C435" s="2931"/>
      <c r="D435" s="4443" t="s">
        <v>2424</v>
      </c>
      <c r="E435" s="2931"/>
      <c r="F435" s="2931"/>
      <c r="G435" s="2931"/>
      <c r="H435" s="2928" t="s">
        <v>2425</v>
      </c>
      <c r="I435" s="2931" t="s">
        <v>1178</v>
      </c>
      <c r="J435" s="2931">
        <v>270</v>
      </c>
      <c r="K435" s="4318">
        <v>18190</v>
      </c>
      <c r="L435" s="4318"/>
      <c r="M435" s="2317" t="s">
        <v>51</v>
      </c>
      <c r="N435" s="2318"/>
      <c r="O435" s="1622">
        <v>22</v>
      </c>
      <c r="P435" s="1622">
        <v>22</v>
      </c>
      <c r="Q435" s="1622">
        <v>22</v>
      </c>
      <c r="R435" s="1622">
        <v>22</v>
      </c>
      <c r="S435" s="1622">
        <v>22</v>
      </c>
      <c r="T435" s="1622">
        <v>22</v>
      </c>
      <c r="U435" s="1622">
        <v>22</v>
      </c>
      <c r="V435" s="1622">
        <v>22</v>
      </c>
      <c r="W435" s="1622">
        <v>22</v>
      </c>
      <c r="X435" s="1622">
        <v>22</v>
      </c>
      <c r="Y435" s="1622">
        <v>22</v>
      </c>
      <c r="Z435" s="1622">
        <v>28</v>
      </c>
      <c r="AA435" s="1624">
        <f>SUM(O435:Z435)</f>
        <v>270</v>
      </c>
    </row>
    <row r="436" spans="1:27" x14ac:dyDescent="0.25">
      <c r="A436" s="513"/>
      <c r="B436" s="4448"/>
      <c r="C436" s="2931"/>
      <c r="D436" s="4443"/>
      <c r="E436" s="2931"/>
      <c r="F436" s="2931"/>
      <c r="G436" s="2931"/>
      <c r="H436" s="2929"/>
      <c r="I436" s="2931"/>
      <c r="J436" s="2931"/>
      <c r="K436" s="4318"/>
      <c r="L436" s="4318"/>
      <c r="M436" s="2317" t="s">
        <v>111</v>
      </c>
      <c r="N436" s="2318"/>
      <c r="O436" s="1635">
        <f t="shared" ref="O436:Z436" si="29">SUM(O437:O439)</f>
        <v>5335</v>
      </c>
      <c r="P436" s="1635">
        <f t="shared" si="29"/>
        <v>3855</v>
      </c>
      <c r="Q436" s="1635">
        <f t="shared" si="29"/>
        <v>900</v>
      </c>
      <c r="R436" s="1635">
        <f t="shared" si="29"/>
        <v>900</v>
      </c>
      <c r="S436" s="1635">
        <f t="shared" si="29"/>
        <v>900</v>
      </c>
      <c r="T436" s="1635">
        <f t="shared" si="29"/>
        <v>900</v>
      </c>
      <c r="U436" s="1635">
        <f t="shared" si="29"/>
        <v>900</v>
      </c>
      <c r="V436" s="1635">
        <f t="shared" si="29"/>
        <v>900</v>
      </c>
      <c r="W436" s="1635">
        <f t="shared" si="29"/>
        <v>900</v>
      </c>
      <c r="X436" s="1635">
        <f t="shared" si="29"/>
        <v>900</v>
      </c>
      <c r="Y436" s="1635">
        <f t="shared" si="29"/>
        <v>900</v>
      </c>
      <c r="Z436" s="1635">
        <f t="shared" si="29"/>
        <v>900</v>
      </c>
      <c r="AA436" s="1624">
        <f>SUM(O436:Z436)</f>
        <v>18190</v>
      </c>
    </row>
    <row r="437" spans="1:27" ht="26.25" customHeight="1" x14ac:dyDescent="0.25">
      <c r="A437" s="513"/>
      <c r="B437" s="4448"/>
      <c r="C437" s="2931"/>
      <c r="D437" s="4443"/>
      <c r="E437" s="2931"/>
      <c r="F437" s="2931"/>
      <c r="G437" s="2931"/>
      <c r="H437" s="2929"/>
      <c r="I437" s="2931"/>
      <c r="J437" s="2931"/>
      <c r="K437" s="4318"/>
      <c r="L437" s="4318"/>
      <c r="M437" s="1669" t="s">
        <v>184</v>
      </c>
      <c r="N437" s="1632" t="s">
        <v>1367</v>
      </c>
      <c r="O437" s="352">
        <v>1480</v>
      </c>
      <c r="P437" s="1637"/>
      <c r="Q437" s="352"/>
      <c r="R437" s="352"/>
      <c r="S437" s="352"/>
      <c r="T437" s="352"/>
      <c r="U437" s="1607"/>
      <c r="V437" s="1607"/>
      <c r="W437" s="1607"/>
      <c r="X437" s="1607"/>
      <c r="Y437" s="1607"/>
      <c r="Z437" s="1607"/>
      <c r="AA437" s="1607">
        <f>SUM(O437:Z437)</f>
        <v>1480</v>
      </c>
    </row>
    <row r="438" spans="1:27" ht="24" x14ac:dyDescent="0.25">
      <c r="A438" s="513"/>
      <c r="B438" s="4448"/>
      <c r="C438" s="2931"/>
      <c r="D438" s="4443"/>
      <c r="E438" s="2931"/>
      <c r="F438" s="2931"/>
      <c r="G438" s="2931"/>
      <c r="H438" s="2929"/>
      <c r="I438" s="2931"/>
      <c r="J438" s="2931"/>
      <c r="K438" s="4318"/>
      <c r="L438" s="4318"/>
      <c r="M438" s="1669" t="s">
        <v>182</v>
      </c>
      <c r="N438" s="1632" t="s">
        <v>183</v>
      </c>
      <c r="O438" s="352">
        <v>2955</v>
      </c>
      <c r="P438" s="352">
        <v>2955</v>
      </c>
      <c r="Q438" s="352"/>
      <c r="R438" s="352"/>
      <c r="S438" s="352"/>
      <c r="T438" s="352"/>
      <c r="U438" s="1607"/>
      <c r="V438" s="1607"/>
      <c r="W438" s="1607"/>
      <c r="X438" s="1607"/>
      <c r="Y438" s="1607"/>
      <c r="Z438" s="1607"/>
      <c r="AA438" s="1607">
        <f>SUM(O438:P438)</f>
        <v>5910</v>
      </c>
    </row>
    <row r="439" spans="1:27" ht="31.5" customHeight="1" x14ac:dyDescent="0.25">
      <c r="A439" s="513"/>
      <c r="B439" s="4448"/>
      <c r="C439" s="2931"/>
      <c r="D439" s="4443"/>
      <c r="E439" s="2931"/>
      <c r="F439" s="2931"/>
      <c r="G439" s="2931"/>
      <c r="H439" s="2930"/>
      <c r="I439" s="2931"/>
      <c r="J439" s="2931"/>
      <c r="K439" s="4318"/>
      <c r="L439" s="4318"/>
      <c r="M439" s="1669" t="s">
        <v>2412</v>
      </c>
      <c r="N439" s="1669" t="s">
        <v>2413</v>
      </c>
      <c r="O439" s="352">
        <v>900</v>
      </c>
      <c r="P439" s="352">
        <v>900</v>
      </c>
      <c r="Q439" s="352">
        <v>900</v>
      </c>
      <c r="R439" s="352">
        <v>900</v>
      </c>
      <c r="S439" s="352">
        <v>900</v>
      </c>
      <c r="T439" s="352">
        <v>900</v>
      </c>
      <c r="U439" s="352">
        <v>900</v>
      </c>
      <c r="V439" s="352">
        <v>900</v>
      </c>
      <c r="W439" s="352">
        <v>900</v>
      </c>
      <c r="X439" s="352">
        <v>900</v>
      </c>
      <c r="Y439" s="352">
        <v>900</v>
      </c>
      <c r="Z439" s="352">
        <v>900</v>
      </c>
      <c r="AA439" s="1638">
        <f>SUM(O439:Z439)</f>
        <v>10800</v>
      </c>
    </row>
    <row r="440" spans="1:27" x14ac:dyDescent="0.25">
      <c r="A440" s="513"/>
      <c r="B440" s="4449"/>
      <c r="C440" s="2353"/>
      <c r="D440" s="2928" t="s">
        <v>2426</v>
      </c>
      <c r="E440" s="2353"/>
      <c r="F440" s="2353"/>
      <c r="G440" s="2353"/>
      <c r="H440" s="2353" t="s">
        <v>2427</v>
      </c>
      <c r="I440" s="2353" t="s">
        <v>2428</v>
      </c>
      <c r="J440" s="2353" t="s">
        <v>2429</v>
      </c>
      <c r="K440" s="4286">
        <v>8000</v>
      </c>
      <c r="L440" s="4286"/>
      <c r="M440" s="2294" t="s">
        <v>51</v>
      </c>
      <c r="N440" s="2295"/>
      <c r="O440" s="1636"/>
      <c r="P440" s="1636"/>
      <c r="Q440" s="1636"/>
      <c r="R440" s="1636"/>
      <c r="S440" s="1636"/>
      <c r="T440" s="1636"/>
      <c r="U440" s="1636"/>
      <c r="V440" s="1636"/>
      <c r="W440" s="1636"/>
      <c r="X440" s="1636"/>
      <c r="Y440" s="1636"/>
      <c r="Z440" s="1636"/>
      <c r="AA440" s="1607"/>
    </row>
    <row r="441" spans="1:27" x14ac:dyDescent="0.25">
      <c r="A441" s="513"/>
      <c r="B441" s="4450"/>
      <c r="C441" s="4282"/>
      <c r="D441" s="2929"/>
      <c r="E441" s="4282"/>
      <c r="F441" s="4282"/>
      <c r="G441" s="4282"/>
      <c r="H441" s="4282"/>
      <c r="I441" s="4282"/>
      <c r="J441" s="4282"/>
      <c r="K441" s="4287"/>
      <c r="L441" s="4287"/>
      <c r="M441" s="2294" t="s">
        <v>111</v>
      </c>
      <c r="N441" s="2295"/>
      <c r="O441" s="1592">
        <f>SUM(O442:O442)</f>
        <v>2000</v>
      </c>
      <c r="P441" s="1592">
        <f>SUM(P442:P442)</f>
        <v>2000</v>
      </c>
      <c r="Q441" s="1592">
        <f>SUM(Q442:Q442)</f>
        <v>2000</v>
      </c>
      <c r="R441" s="1592">
        <f>SUM(R442:R442)</f>
        <v>2000</v>
      </c>
      <c r="S441" s="1592"/>
      <c r="T441" s="1592"/>
      <c r="U441" s="1592"/>
      <c r="V441" s="1592"/>
      <c r="W441" s="1592"/>
      <c r="X441" s="1592"/>
      <c r="Y441" s="1592"/>
      <c r="Z441" s="1592"/>
      <c r="AA441" s="1624">
        <f>SUM(O441:Z441)</f>
        <v>8000</v>
      </c>
    </row>
    <row r="442" spans="1:27" ht="48" customHeight="1" x14ac:dyDescent="0.25">
      <c r="A442" s="513"/>
      <c r="B442" s="4451"/>
      <c r="C442" s="2354"/>
      <c r="D442" s="2930"/>
      <c r="E442" s="2354"/>
      <c r="F442" s="2354"/>
      <c r="G442" s="2354"/>
      <c r="H442" s="2354"/>
      <c r="I442" s="2354"/>
      <c r="J442" s="2354"/>
      <c r="K442" s="4288"/>
      <c r="L442" s="4288"/>
      <c r="M442" s="222" t="s">
        <v>2414</v>
      </c>
      <c r="N442" s="1632" t="s">
        <v>2430</v>
      </c>
      <c r="O442" s="1636">
        <v>2000</v>
      </c>
      <c r="P442" s="1639">
        <v>2000</v>
      </c>
      <c r="Q442" s="1636">
        <v>2000</v>
      </c>
      <c r="R442" s="1636">
        <v>2000</v>
      </c>
      <c r="S442" s="1636"/>
      <c r="T442" s="1636"/>
      <c r="U442" s="1592"/>
      <c r="V442" s="1592"/>
      <c r="W442" s="1592"/>
      <c r="X442" s="1592"/>
      <c r="Y442" s="1592"/>
      <c r="Z442" s="1592"/>
      <c r="AA442" s="1624">
        <f>SUM(O442:Z442)</f>
        <v>8000</v>
      </c>
    </row>
    <row r="443" spans="1:27" x14ac:dyDescent="0.25">
      <c r="A443" s="513"/>
      <c r="B443" s="4448"/>
      <c r="C443" s="2931"/>
      <c r="D443" s="4443" t="s">
        <v>2431</v>
      </c>
      <c r="E443" s="2931"/>
      <c r="F443" s="2931"/>
      <c r="G443" s="2931"/>
      <c r="H443" s="4443" t="s">
        <v>2432</v>
      </c>
      <c r="I443" s="2931" t="s">
        <v>2433</v>
      </c>
      <c r="J443" s="2931">
        <v>50</v>
      </c>
      <c r="K443" s="4318">
        <v>8744</v>
      </c>
      <c r="L443" s="4318"/>
      <c r="M443" s="2293" t="s">
        <v>51</v>
      </c>
      <c r="N443" s="2293"/>
      <c r="O443" s="1636">
        <v>25</v>
      </c>
      <c r="P443" s="1636">
        <v>25</v>
      </c>
      <c r="Q443" s="1636"/>
      <c r="R443" s="1636"/>
      <c r="S443" s="1636"/>
      <c r="T443" s="1636"/>
      <c r="U443" s="1636"/>
      <c r="V443" s="1636"/>
      <c r="W443" s="1636"/>
      <c r="X443" s="1636"/>
      <c r="Y443" s="1636"/>
      <c r="Z443" s="1636"/>
      <c r="AA443" s="1624">
        <f>SUM(O443:Z443)</f>
        <v>50</v>
      </c>
    </row>
    <row r="444" spans="1:27" x14ac:dyDescent="0.25">
      <c r="A444" s="513"/>
      <c r="B444" s="4448"/>
      <c r="C444" s="2931"/>
      <c r="D444" s="4443"/>
      <c r="E444" s="2931"/>
      <c r="F444" s="2931"/>
      <c r="G444" s="2931"/>
      <c r="H444" s="4443"/>
      <c r="I444" s="2931"/>
      <c r="J444" s="2931"/>
      <c r="K444" s="4318"/>
      <c r="L444" s="4318"/>
      <c r="M444" s="2293" t="s">
        <v>111</v>
      </c>
      <c r="N444" s="2293"/>
      <c r="O444" s="1592">
        <f t="shared" ref="O444:Z444" si="30">SUM(O445:O446)</f>
        <v>4372</v>
      </c>
      <c r="P444" s="1592">
        <f t="shared" si="30"/>
        <v>4372</v>
      </c>
      <c r="Q444" s="1592">
        <f t="shared" si="30"/>
        <v>0</v>
      </c>
      <c r="R444" s="1592">
        <f t="shared" si="30"/>
        <v>0</v>
      </c>
      <c r="S444" s="1592">
        <f t="shared" si="30"/>
        <v>0</v>
      </c>
      <c r="T444" s="1592">
        <f t="shared" si="30"/>
        <v>0</v>
      </c>
      <c r="U444" s="1592">
        <f t="shared" si="30"/>
        <v>0</v>
      </c>
      <c r="V444" s="1592">
        <f t="shared" si="30"/>
        <v>0</v>
      </c>
      <c r="W444" s="1592">
        <f t="shared" si="30"/>
        <v>0</v>
      </c>
      <c r="X444" s="1592">
        <f t="shared" si="30"/>
        <v>0</v>
      </c>
      <c r="Y444" s="1592">
        <f t="shared" si="30"/>
        <v>0</v>
      </c>
      <c r="Z444" s="1592">
        <f t="shared" si="30"/>
        <v>0</v>
      </c>
      <c r="AA444" s="1624">
        <f>SUM(O444:Z444)</f>
        <v>8744</v>
      </c>
    </row>
    <row r="445" spans="1:27" ht="24" x14ac:dyDescent="0.25">
      <c r="A445" s="513"/>
      <c r="B445" s="4448"/>
      <c r="C445" s="2931"/>
      <c r="D445" s="4443"/>
      <c r="E445" s="2931"/>
      <c r="F445" s="2931"/>
      <c r="G445" s="2931"/>
      <c r="H445" s="4443"/>
      <c r="I445" s="2931"/>
      <c r="J445" s="2931"/>
      <c r="K445" s="4318"/>
      <c r="L445" s="4318"/>
      <c r="M445" s="1620" t="s">
        <v>541</v>
      </c>
      <c r="N445" s="1620" t="s">
        <v>1468</v>
      </c>
      <c r="O445" s="1622">
        <v>2750</v>
      </c>
      <c r="P445" s="1622">
        <v>2750</v>
      </c>
      <c r="Q445" s="1622"/>
      <c r="R445" s="1636"/>
      <c r="S445" s="1636"/>
      <c r="T445" s="1636"/>
      <c r="U445" s="1636"/>
      <c r="V445" s="1636"/>
      <c r="W445" s="1636"/>
      <c r="X445" s="1636"/>
      <c r="Y445" s="352"/>
      <c r="Z445" s="352"/>
      <c r="AA445" s="1624">
        <f>SUM(O445:P445)</f>
        <v>5500</v>
      </c>
    </row>
    <row r="446" spans="1:27" x14ac:dyDescent="0.25">
      <c r="A446" s="513"/>
      <c r="B446" s="4448"/>
      <c r="C446" s="2931"/>
      <c r="D446" s="4443"/>
      <c r="E446" s="2931"/>
      <c r="F446" s="2931"/>
      <c r="G446" s="2931"/>
      <c r="H446" s="4443"/>
      <c r="I446" s="2931"/>
      <c r="J446" s="2931"/>
      <c r="K446" s="4318"/>
      <c r="L446" s="4318"/>
      <c r="M446" s="1640" t="s">
        <v>194</v>
      </c>
      <c r="N446" s="1640" t="s">
        <v>1372</v>
      </c>
      <c r="O446" s="1636">
        <v>1622</v>
      </c>
      <c r="P446" s="1636">
        <v>1622</v>
      </c>
      <c r="Q446" s="1636"/>
      <c r="R446" s="1636"/>
      <c r="S446" s="1636"/>
      <c r="T446" s="1636"/>
      <c r="U446" s="1636"/>
      <c r="V446" s="1636"/>
      <c r="W446" s="1636"/>
      <c r="X446" s="1636"/>
      <c r="Y446" s="352"/>
      <c r="Z446" s="352"/>
      <c r="AA446" s="1624">
        <f>SUM(O446:Q446)</f>
        <v>3244</v>
      </c>
    </row>
    <row r="447" spans="1:27" x14ac:dyDescent="0.25">
      <c r="A447" s="513"/>
      <c r="B447" s="4449"/>
      <c r="C447" s="2353"/>
      <c r="D447" s="2928" t="s">
        <v>2436</v>
      </c>
      <c r="E447" s="2353"/>
      <c r="F447" s="2353"/>
      <c r="G447" s="2353"/>
      <c r="H447" s="2928" t="s">
        <v>2434</v>
      </c>
      <c r="I447" s="2353" t="s">
        <v>2435</v>
      </c>
      <c r="J447" s="2353">
        <v>12</v>
      </c>
      <c r="K447" s="4286">
        <v>10400</v>
      </c>
      <c r="L447" s="4286"/>
      <c r="M447" s="2293" t="s">
        <v>51</v>
      </c>
      <c r="N447" s="2293"/>
      <c r="O447" s="1636"/>
      <c r="P447" s="1636"/>
      <c r="Q447" s="1636"/>
      <c r="R447" s="1592">
        <v>1</v>
      </c>
      <c r="S447" s="1636"/>
      <c r="T447" s="1636"/>
      <c r="U447" s="1636"/>
      <c r="V447" s="1636"/>
      <c r="W447" s="1636"/>
      <c r="X447" s="1636"/>
      <c r="Y447" s="1636"/>
      <c r="Z447" s="1636"/>
      <c r="AA447" s="1624">
        <f>SUM(O447:Z447)</f>
        <v>1</v>
      </c>
    </row>
    <row r="448" spans="1:27" x14ac:dyDescent="0.25">
      <c r="A448" s="513"/>
      <c r="B448" s="4450"/>
      <c r="C448" s="4282"/>
      <c r="D448" s="2929"/>
      <c r="E448" s="4282"/>
      <c r="F448" s="4282"/>
      <c r="G448" s="4282"/>
      <c r="H448" s="2929"/>
      <c r="I448" s="4282"/>
      <c r="J448" s="4282"/>
      <c r="K448" s="4287"/>
      <c r="L448" s="4287"/>
      <c r="M448" s="2294" t="s">
        <v>111</v>
      </c>
      <c r="N448" s="2295"/>
      <c r="O448" s="1592">
        <f>SUM(O449:O450)</f>
        <v>5200</v>
      </c>
      <c r="P448" s="1592">
        <f>SUM(P449:P450)</f>
        <v>5200</v>
      </c>
      <c r="Q448" s="1636"/>
      <c r="R448" s="1636"/>
      <c r="S448" s="1636"/>
      <c r="T448" s="1636"/>
      <c r="U448" s="1636"/>
      <c r="V448" s="1636"/>
      <c r="W448" s="1636"/>
      <c r="X448" s="1636"/>
      <c r="Y448" s="1636"/>
      <c r="Z448" s="1636"/>
      <c r="AA448" s="1624">
        <f>SUM(AA449:AA450)</f>
        <v>10400</v>
      </c>
    </row>
    <row r="449" spans="1:27" ht="36" x14ac:dyDescent="0.25">
      <c r="A449" s="513"/>
      <c r="B449" s="4450"/>
      <c r="C449" s="4282"/>
      <c r="D449" s="2929"/>
      <c r="E449" s="4282"/>
      <c r="F449" s="4282"/>
      <c r="G449" s="4282"/>
      <c r="H449" s="2929"/>
      <c r="I449" s="4282"/>
      <c r="J449" s="4282"/>
      <c r="K449" s="4287"/>
      <c r="L449" s="4287"/>
      <c r="M449" s="1579" t="s">
        <v>220</v>
      </c>
      <c r="N449" s="222" t="s">
        <v>2416</v>
      </c>
      <c r="O449" s="1636">
        <v>2500</v>
      </c>
      <c r="P449" s="1636">
        <v>2500</v>
      </c>
      <c r="Q449" s="1636"/>
      <c r="R449" s="1636"/>
      <c r="S449" s="1636"/>
      <c r="T449" s="1636"/>
      <c r="U449" s="1636"/>
      <c r="V449" s="1636"/>
      <c r="W449" s="1636"/>
      <c r="X449" s="1636"/>
      <c r="Y449" s="1636"/>
      <c r="Z449" s="1636"/>
      <c r="AA449" s="1607">
        <f>SUM(O449:P449)</f>
        <v>5000</v>
      </c>
    </row>
    <row r="450" spans="1:27" ht="36" x14ac:dyDescent="0.25">
      <c r="A450" s="513"/>
      <c r="B450" s="4451"/>
      <c r="C450" s="2354"/>
      <c r="D450" s="2930"/>
      <c r="E450" s="2354"/>
      <c r="F450" s="2354"/>
      <c r="G450" s="2354"/>
      <c r="H450" s="2930"/>
      <c r="I450" s="2354"/>
      <c r="J450" s="2354"/>
      <c r="K450" s="4288"/>
      <c r="L450" s="4288"/>
      <c r="M450" s="1579" t="s">
        <v>200</v>
      </c>
      <c r="N450" s="1670" t="s">
        <v>1473</v>
      </c>
      <c r="O450" s="1636">
        <v>2700</v>
      </c>
      <c r="P450" s="1636">
        <v>2700</v>
      </c>
      <c r="Q450" s="1636"/>
      <c r="R450" s="1636"/>
      <c r="S450" s="1636"/>
      <c r="T450" s="1636"/>
      <c r="U450" s="1636"/>
      <c r="V450" s="1636"/>
      <c r="W450" s="1636"/>
      <c r="X450" s="1636"/>
      <c r="Y450" s="1636"/>
      <c r="Z450" s="1636"/>
      <c r="AA450" s="1607">
        <f>SUM(O450:P450)</f>
        <v>5400</v>
      </c>
    </row>
    <row r="451" spans="1:27" ht="30.75" customHeight="1" x14ac:dyDescent="0.25">
      <c r="A451" s="513"/>
      <c r="B451" s="1641" t="s">
        <v>6</v>
      </c>
      <c r="C451" s="4652" t="s">
        <v>2523</v>
      </c>
      <c r="D451" s="4653"/>
      <c r="E451" s="4653"/>
      <c r="F451" s="4653"/>
      <c r="G451" s="4653"/>
      <c r="H451" s="4653"/>
      <c r="I451" s="4653"/>
      <c r="J451" s="4653"/>
      <c r="K451" s="4653"/>
      <c r="L451" s="4653"/>
      <c r="M451" s="4653"/>
      <c r="N451" s="4653"/>
      <c r="O451" s="4653"/>
      <c r="P451" s="4653"/>
      <c r="Q451" s="4653"/>
      <c r="R451" s="4653"/>
      <c r="S451" s="4653"/>
      <c r="T451" s="4653"/>
      <c r="U451" s="4653"/>
      <c r="V451" s="4653"/>
      <c r="W451" s="1642"/>
      <c r="X451" s="1642"/>
      <c r="Y451" s="1642"/>
      <c r="Z451" s="1642"/>
      <c r="AA451" s="1643"/>
    </row>
    <row r="452" spans="1:27" ht="27.75" customHeight="1" x14ac:dyDescent="0.25">
      <c r="A452" s="513"/>
      <c r="B452" s="1547" t="s">
        <v>8</v>
      </c>
      <c r="C452" s="1549" t="s">
        <v>2517</v>
      </c>
      <c r="D452" s="1644"/>
      <c r="E452" s="1645"/>
      <c r="F452" s="1645"/>
      <c r="G452" s="1645"/>
      <c r="H452" s="1645"/>
      <c r="I452" s="1645"/>
      <c r="J452" s="1645"/>
      <c r="K452" s="1645"/>
      <c r="L452" s="1645"/>
      <c r="M452" s="1645"/>
      <c r="N452" s="1645"/>
      <c r="O452" s="1645"/>
      <c r="P452" s="1645"/>
      <c r="Q452" s="1645"/>
      <c r="R452" s="1645"/>
      <c r="S452" s="1645"/>
      <c r="T452" s="1645"/>
      <c r="U452" s="1645"/>
      <c r="V452" s="1645"/>
      <c r="W452" s="1646"/>
      <c r="X452" s="1646"/>
      <c r="Y452" s="1646"/>
      <c r="Z452" s="1646"/>
      <c r="AA452" s="1647"/>
    </row>
    <row r="453" spans="1:27" x14ac:dyDescent="0.25">
      <c r="A453" s="513"/>
      <c r="B453" s="1641" t="s">
        <v>11</v>
      </c>
      <c r="C453" s="4654" t="s">
        <v>84</v>
      </c>
      <c r="D453" s="4655"/>
      <c r="E453" s="4655"/>
      <c r="F453" s="4655"/>
      <c r="G453" s="4655"/>
      <c r="H453" s="4655"/>
      <c r="I453" s="4655"/>
      <c r="J453" s="4655"/>
      <c r="K453" s="4655"/>
      <c r="L453" s="4655"/>
      <c r="M453" s="4655"/>
      <c r="N453" s="4655"/>
      <c r="O453" s="4655"/>
      <c r="P453" s="4655"/>
      <c r="Q453" s="4656"/>
      <c r="R453" s="4656"/>
      <c r="S453" s="4656"/>
      <c r="T453" s="4656"/>
      <c r="U453" s="4656"/>
      <c r="V453" s="4655"/>
      <c r="W453" s="1642"/>
      <c r="X453" s="1642"/>
      <c r="Y453" s="1642"/>
      <c r="Z453" s="1642"/>
      <c r="AA453" s="1643"/>
    </row>
    <row r="454" spans="1:27" ht="12" customHeight="1" x14ac:dyDescent="0.25">
      <c r="A454" s="513"/>
      <c r="B454" s="4657" t="s">
        <v>13</v>
      </c>
      <c r="C454" s="4659" t="s">
        <v>2524</v>
      </c>
      <c r="D454" s="4632" t="s">
        <v>2525</v>
      </c>
      <c r="E454" s="4661"/>
      <c r="F454" s="4661"/>
      <c r="G454" s="4661"/>
      <c r="H454" s="4661"/>
      <c r="I454" s="4661"/>
      <c r="J454" s="4661"/>
      <c r="K454" s="4661"/>
      <c r="L454" s="4661"/>
      <c r="M454" s="4661"/>
      <c r="N454" s="4661"/>
      <c r="O454" s="4661"/>
      <c r="P454" s="4661"/>
      <c r="Q454" s="4663"/>
      <c r="R454" s="4664"/>
      <c r="S454" s="4664"/>
      <c r="T454" s="4664"/>
      <c r="U454" s="4664"/>
      <c r="V454" s="4624" t="s">
        <v>15</v>
      </c>
      <c r="W454" s="4667"/>
      <c r="X454" s="4667"/>
      <c r="Y454" s="4625"/>
      <c r="Z454" s="4624" t="s">
        <v>16</v>
      </c>
      <c r="AA454" s="4625"/>
    </row>
    <row r="455" spans="1:27" ht="12" customHeight="1" x14ac:dyDescent="0.25">
      <c r="A455" s="513"/>
      <c r="B455" s="4657"/>
      <c r="C455" s="4660"/>
      <c r="D455" s="4634"/>
      <c r="E455" s="4662"/>
      <c r="F455" s="4662"/>
      <c r="G455" s="4662"/>
      <c r="H455" s="4662"/>
      <c r="I455" s="4662"/>
      <c r="J455" s="4662"/>
      <c r="K455" s="4662"/>
      <c r="L455" s="4662"/>
      <c r="M455" s="4662"/>
      <c r="N455" s="4662"/>
      <c r="O455" s="4662"/>
      <c r="P455" s="4662"/>
      <c r="Q455" s="4663"/>
      <c r="R455" s="4664"/>
      <c r="S455" s="4664"/>
      <c r="T455" s="4664"/>
      <c r="U455" s="4664"/>
      <c r="V455" s="4626" t="s">
        <v>2526</v>
      </c>
      <c r="W455" s="4627"/>
      <c r="X455" s="4627"/>
      <c r="Y455" s="4628"/>
      <c r="Z455" s="4632" t="s">
        <v>2527</v>
      </c>
      <c r="AA455" s="4633"/>
    </row>
    <row r="456" spans="1:27" x14ac:dyDescent="0.25">
      <c r="A456" s="513"/>
      <c r="B456" s="4658"/>
      <c r="C456" s="4660"/>
      <c r="D456" s="4634"/>
      <c r="E456" s="4662"/>
      <c r="F456" s="4662"/>
      <c r="G456" s="4662"/>
      <c r="H456" s="4662"/>
      <c r="I456" s="4662"/>
      <c r="J456" s="4662"/>
      <c r="K456" s="4662"/>
      <c r="L456" s="4662"/>
      <c r="M456" s="4662"/>
      <c r="N456" s="4662"/>
      <c r="O456" s="4662"/>
      <c r="P456" s="4662"/>
      <c r="Q456" s="4665"/>
      <c r="R456" s="4666"/>
      <c r="S456" s="4666"/>
      <c r="T456" s="4666"/>
      <c r="U456" s="4666"/>
      <c r="V456" s="4629"/>
      <c r="W456" s="4630"/>
      <c r="X456" s="4630"/>
      <c r="Y456" s="4631"/>
      <c r="Z456" s="4634"/>
      <c r="AA456" s="4635"/>
    </row>
    <row r="457" spans="1:27" ht="13.5" customHeight="1" x14ac:dyDescent="0.25">
      <c r="A457" s="513"/>
      <c r="B457" s="4636" t="s">
        <v>18</v>
      </c>
      <c r="C457" s="4638">
        <v>3000001</v>
      </c>
      <c r="D457" s="4640" t="s">
        <v>1431</v>
      </c>
      <c r="E457" s="4641"/>
      <c r="F457" s="4641"/>
      <c r="G457" s="4641"/>
      <c r="H457" s="4641"/>
      <c r="I457" s="4641"/>
      <c r="J457" s="4641"/>
      <c r="K457" s="4641"/>
      <c r="L457" s="4641"/>
      <c r="M457" s="4641"/>
      <c r="N457" s="4641"/>
      <c r="O457" s="4641"/>
      <c r="P457" s="4641"/>
      <c r="Q457" s="1648"/>
      <c r="R457" s="1648"/>
      <c r="S457" s="1648"/>
      <c r="T457" s="1648"/>
      <c r="U457" s="1649"/>
      <c r="V457" s="4644" t="s">
        <v>15</v>
      </c>
      <c r="W457" s="4645"/>
      <c r="X457" s="4645"/>
      <c r="Y457" s="4646"/>
      <c r="Z457" s="4644" t="s">
        <v>16</v>
      </c>
      <c r="AA457" s="4646"/>
    </row>
    <row r="458" spans="1:27" ht="25.5" customHeight="1" x14ac:dyDescent="0.25">
      <c r="A458" s="513"/>
      <c r="B458" s="4637"/>
      <c r="C458" s="4639"/>
      <c r="D458" s="4642"/>
      <c r="E458" s="4643"/>
      <c r="F458" s="4643"/>
      <c r="G458" s="4643"/>
      <c r="H458" s="4643"/>
      <c r="I458" s="4643"/>
      <c r="J458" s="4643"/>
      <c r="K458" s="4643"/>
      <c r="L458" s="4643"/>
      <c r="M458" s="4643"/>
      <c r="N458" s="4643"/>
      <c r="O458" s="4643"/>
      <c r="P458" s="4643"/>
      <c r="Q458" s="1650"/>
      <c r="R458" s="1650"/>
      <c r="S458" s="1650"/>
      <c r="T458" s="1650"/>
      <c r="U458" s="1651"/>
      <c r="V458" s="4647" t="s">
        <v>2528</v>
      </c>
      <c r="W458" s="4648"/>
      <c r="X458" s="4648"/>
      <c r="Y458" s="4649"/>
      <c r="Z458" s="4650" t="s">
        <v>2446</v>
      </c>
      <c r="AA458" s="4651"/>
    </row>
    <row r="459" spans="1:27" x14ac:dyDescent="0.25">
      <c r="A459" s="513"/>
      <c r="B459" s="4681" t="s">
        <v>20</v>
      </c>
      <c r="C459" s="4674" t="s">
        <v>21</v>
      </c>
      <c r="D459" s="4674" t="s">
        <v>22</v>
      </c>
      <c r="E459" s="4674" t="s">
        <v>23</v>
      </c>
      <c r="F459" s="4674" t="s">
        <v>164</v>
      </c>
      <c r="G459" s="4674" t="s">
        <v>25</v>
      </c>
      <c r="H459" s="4674" t="s">
        <v>26</v>
      </c>
      <c r="I459" s="4674" t="s">
        <v>27</v>
      </c>
      <c r="J459" s="4675" t="s">
        <v>28</v>
      </c>
      <c r="K459" s="4676"/>
      <c r="L459" s="4674" t="s">
        <v>29</v>
      </c>
      <c r="M459" s="2324" t="s">
        <v>30</v>
      </c>
      <c r="N459" s="2324"/>
      <c r="O459" s="4677" t="s">
        <v>31</v>
      </c>
      <c r="P459" s="4678"/>
      <c r="Q459" s="4679"/>
      <c r="R459" s="4679"/>
      <c r="S459" s="4679"/>
      <c r="T459" s="4679"/>
      <c r="U459" s="4679"/>
      <c r="V459" s="4678"/>
      <c r="W459" s="4678"/>
      <c r="X459" s="4678"/>
      <c r="Y459" s="4678"/>
      <c r="Z459" s="4680"/>
      <c r="AA459" s="4673" t="s">
        <v>32</v>
      </c>
    </row>
    <row r="460" spans="1:27" x14ac:dyDescent="0.25">
      <c r="A460" s="513"/>
      <c r="B460" s="4682"/>
      <c r="C460" s="4674"/>
      <c r="D460" s="4674"/>
      <c r="E460" s="4674"/>
      <c r="F460" s="4674"/>
      <c r="G460" s="4674"/>
      <c r="H460" s="4674"/>
      <c r="I460" s="4674"/>
      <c r="J460" s="1652" t="s">
        <v>33</v>
      </c>
      <c r="K460" s="1652" t="s">
        <v>34</v>
      </c>
      <c r="L460" s="4674"/>
      <c r="M460" s="2324"/>
      <c r="N460" s="2324"/>
      <c r="O460" s="1653" t="s">
        <v>35</v>
      </c>
      <c r="P460" s="1653" t="s">
        <v>36</v>
      </c>
      <c r="Q460" s="1653" t="s">
        <v>37</v>
      </c>
      <c r="R460" s="1653" t="s">
        <v>38</v>
      </c>
      <c r="S460" s="1653" t="s">
        <v>39</v>
      </c>
      <c r="T460" s="1653" t="s">
        <v>40</v>
      </c>
      <c r="U460" s="1653" t="s">
        <v>41</v>
      </c>
      <c r="V460" s="1653" t="s">
        <v>42</v>
      </c>
      <c r="W460" s="1653" t="s">
        <v>43</v>
      </c>
      <c r="X460" s="1653" t="s">
        <v>44</v>
      </c>
      <c r="Y460" s="1653" t="s">
        <v>45</v>
      </c>
      <c r="Z460" s="1653" t="s">
        <v>46</v>
      </c>
      <c r="AA460" s="4673"/>
    </row>
    <row r="461" spans="1:27" ht="24.75" x14ac:dyDescent="0.25">
      <c r="A461" s="513"/>
      <c r="B461" s="4528">
        <v>5000276</v>
      </c>
      <c r="C461" s="4528" t="s">
        <v>2529</v>
      </c>
      <c r="D461" s="4528" t="s">
        <v>2529</v>
      </c>
      <c r="E461" s="4534" t="s">
        <v>2449</v>
      </c>
      <c r="F461" s="4534" t="s">
        <v>2530</v>
      </c>
      <c r="G461" s="4534" t="s">
        <v>2531</v>
      </c>
      <c r="H461" s="3171" t="s">
        <v>2532</v>
      </c>
      <c r="I461" s="3171" t="s">
        <v>235</v>
      </c>
      <c r="J461" s="4668">
        <v>12</v>
      </c>
      <c r="K461" s="4668">
        <v>274957</v>
      </c>
      <c r="L461" s="3171" t="s">
        <v>2454</v>
      </c>
      <c r="M461" s="1654" t="s">
        <v>2455</v>
      </c>
      <c r="N461" s="1655"/>
      <c r="O461" s="763">
        <v>1</v>
      </c>
      <c r="P461" s="763">
        <v>1</v>
      </c>
      <c r="Q461" s="763">
        <v>1</v>
      </c>
      <c r="R461" s="763">
        <v>1</v>
      </c>
      <c r="S461" s="763">
        <v>1</v>
      </c>
      <c r="T461" s="763">
        <v>1</v>
      </c>
      <c r="U461" s="763">
        <v>1</v>
      </c>
      <c r="V461" s="763">
        <v>1</v>
      </c>
      <c r="W461" s="763">
        <v>1</v>
      </c>
      <c r="X461" s="763">
        <v>1</v>
      </c>
      <c r="Y461" s="763">
        <v>1</v>
      </c>
      <c r="Z461" s="763">
        <v>1</v>
      </c>
      <c r="AA461" s="767">
        <f t="shared" ref="AA461:AA479" si="31">SUM(O461:Z461)</f>
        <v>12</v>
      </c>
    </row>
    <row r="462" spans="1:27" x14ac:dyDescent="0.25">
      <c r="A462" s="513"/>
      <c r="B462" s="4529"/>
      <c r="C462" s="4529"/>
      <c r="D462" s="4529"/>
      <c r="E462" s="4535"/>
      <c r="F462" s="4535"/>
      <c r="G462" s="4535"/>
      <c r="H462" s="3172"/>
      <c r="I462" s="3172"/>
      <c r="J462" s="4669"/>
      <c r="K462" s="4669"/>
      <c r="L462" s="3172"/>
      <c r="M462" s="4671" t="s">
        <v>111</v>
      </c>
      <c r="N462" s="4672"/>
      <c r="O462" s="1656">
        <f t="shared" ref="O462:Z462" si="32">SUM(O463:O479)</f>
        <v>11960</v>
      </c>
      <c r="P462" s="1656">
        <f t="shared" si="32"/>
        <v>15960</v>
      </c>
      <c r="Q462" s="1656">
        <f t="shared" si="32"/>
        <v>45260</v>
      </c>
      <c r="R462" s="1656">
        <f t="shared" si="32"/>
        <v>52958</v>
      </c>
      <c r="S462" s="1656">
        <f t="shared" si="32"/>
        <v>18460</v>
      </c>
      <c r="T462" s="1656">
        <f t="shared" si="32"/>
        <v>12458</v>
      </c>
      <c r="U462" s="1656">
        <f t="shared" si="32"/>
        <v>29635</v>
      </c>
      <c r="V462" s="1656">
        <f t="shared" si="32"/>
        <v>26426</v>
      </c>
      <c r="W462" s="1656">
        <f t="shared" si="32"/>
        <v>14460</v>
      </c>
      <c r="X462" s="1656">
        <f t="shared" si="32"/>
        <v>15460</v>
      </c>
      <c r="Y462" s="1656">
        <f t="shared" si="32"/>
        <v>19960</v>
      </c>
      <c r="Z462" s="1656">
        <f t="shared" si="32"/>
        <v>11960</v>
      </c>
      <c r="AA462" s="767">
        <f t="shared" si="31"/>
        <v>274957</v>
      </c>
    </row>
    <row r="463" spans="1:27" ht="60" x14ac:dyDescent="0.25">
      <c r="A463" s="513"/>
      <c r="B463" s="4529"/>
      <c r="C463" s="4529"/>
      <c r="D463" s="4529"/>
      <c r="E463" s="3172"/>
      <c r="F463" s="3172"/>
      <c r="G463" s="3172"/>
      <c r="H463" s="3172"/>
      <c r="I463" s="3172"/>
      <c r="J463" s="4669"/>
      <c r="K463" s="4669"/>
      <c r="L463" s="3172"/>
      <c r="M463" s="1657" t="s">
        <v>2282</v>
      </c>
      <c r="N463" s="1657" t="s">
        <v>1971</v>
      </c>
      <c r="O463" s="1658">
        <v>0</v>
      </c>
      <c r="P463" s="1658">
        <v>3000</v>
      </c>
      <c r="Q463" s="1658">
        <v>2000</v>
      </c>
      <c r="R463" s="1658">
        <v>0</v>
      </c>
      <c r="S463" s="1658">
        <v>3000</v>
      </c>
      <c r="T463" s="1658">
        <v>0</v>
      </c>
      <c r="U463" s="1658">
        <v>3000</v>
      </c>
      <c r="V463" s="1658">
        <v>0</v>
      </c>
      <c r="W463" s="1658">
        <v>2000</v>
      </c>
      <c r="X463" s="1658">
        <v>0</v>
      </c>
      <c r="Y463" s="1658">
        <v>2000</v>
      </c>
      <c r="Z463" s="1658">
        <v>0</v>
      </c>
      <c r="AA463" s="767">
        <f t="shared" si="31"/>
        <v>15000</v>
      </c>
    </row>
    <row r="464" spans="1:27" ht="48" x14ac:dyDescent="0.25">
      <c r="A464" s="513"/>
      <c r="B464" s="4529"/>
      <c r="C464" s="4529"/>
      <c r="D464" s="4529"/>
      <c r="E464" s="3172"/>
      <c r="F464" s="3172"/>
      <c r="G464" s="3172"/>
      <c r="H464" s="3172"/>
      <c r="I464" s="3172"/>
      <c r="J464" s="4669"/>
      <c r="K464" s="4669"/>
      <c r="L464" s="3172"/>
      <c r="M464" s="1657" t="s">
        <v>2284</v>
      </c>
      <c r="N464" s="1657" t="s">
        <v>2457</v>
      </c>
      <c r="O464" s="1658">
        <v>0</v>
      </c>
      <c r="P464" s="1658">
        <v>0</v>
      </c>
      <c r="Q464" s="1658">
        <v>0</v>
      </c>
      <c r="R464" s="1658">
        <v>40000</v>
      </c>
      <c r="S464" s="1658">
        <v>0</v>
      </c>
      <c r="T464" s="1658">
        <v>0</v>
      </c>
      <c r="U464" s="1658">
        <v>0</v>
      </c>
      <c r="V464" s="1658">
        <v>0</v>
      </c>
      <c r="W464" s="1658">
        <v>0</v>
      </c>
      <c r="X464" s="1658">
        <v>0</v>
      </c>
      <c r="Y464" s="1658">
        <v>0</v>
      </c>
      <c r="Z464" s="1658">
        <v>0</v>
      </c>
      <c r="AA464" s="767">
        <f t="shared" si="31"/>
        <v>40000</v>
      </c>
    </row>
    <row r="465" spans="1:27" ht="60" x14ac:dyDescent="0.25">
      <c r="A465" s="513"/>
      <c r="B465" s="4529"/>
      <c r="C465" s="4529"/>
      <c r="D465" s="4529"/>
      <c r="E465" s="3172"/>
      <c r="F465" s="3172"/>
      <c r="G465" s="3172"/>
      <c r="H465" s="3172"/>
      <c r="I465" s="3172"/>
      <c r="J465" s="4669"/>
      <c r="K465" s="4669"/>
      <c r="L465" s="3172"/>
      <c r="M465" s="1657" t="s">
        <v>2253</v>
      </c>
      <c r="N465" s="1657" t="s">
        <v>2462</v>
      </c>
      <c r="O465" s="1658">
        <v>0</v>
      </c>
      <c r="P465" s="1658">
        <v>0</v>
      </c>
      <c r="Q465" s="1658">
        <v>6700</v>
      </c>
      <c r="R465" s="1658">
        <v>0</v>
      </c>
      <c r="S465" s="1658">
        <v>0</v>
      </c>
      <c r="T465" s="1658">
        <v>0</v>
      </c>
      <c r="U465" s="1658">
        <v>0</v>
      </c>
      <c r="V465" s="1658">
        <v>0</v>
      </c>
      <c r="W465" s="1658">
        <v>0</v>
      </c>
      <c r="X465" s="1658">
        <v>0</v>
      </c>
      <c r="Y465" s="1658">
        <v>0</v>
      </c>
      <c r="Z465" s="1658">
        <v>0</v>
      </c>
      <c r="AA465" s="767">
        <f t="shared" si="31"/>
        <v>6700</v>
      </c>
    </row>
    <row r="466" spans="1:27" ht="36" x14ac:dyDescent="0.25">
      <c r="A466" s="513"/>
      <c r="B466" s="4529"/>
      <c r="C466" s="4529"/>
      <c r="D466" s="4529"/>
      <c r="E466" s="3172"/>
      <c r="F466" s="3172"/>
      <c r="G466" s="3172"/>
      <c r="H466" s="3172"/>
      <c r="I466" s="3172"/>
      <c r="J466" s="4669"/>
      <c r="K466" s="4669"/>
      <c r="L466" s="3172"/>
      <c r="M466" s="1657" t="s">
        <v>2290</v>
      </c>
      <c r="N466" s="1657" t="s">
        <v>2488</v>
      </c>
      <c r="O466" s="1658">
        <v>0</v>
      </c>
      <c r="P466" s="1658">
        <v>0</v>
      </c>
      <c r="Q466" s="1658">
        <v>3000</v>
      </c>
      <c r="R466" s="1658">
        <v>0</v>
      </c>
      <c r="S466" s="1658">
        <v>0</v>
      </c>
      <c r="T466" s="1658">
        <v>0</v>
      </c>
      <c r="U466" s="1658">
        <v>0</v>
      </c>
      <c r="V466" s="1658">
        <v>0</v>
      </c>
      <c r="W466" s="1658">
        <v>0</v>
      </c>
      <c r="X466" s="1658">
        <v>0</v>
      </c>
      <c r="Y466" s="1658">
        <v>0</v>
      </c>
      <c r="Z466" s="1658">
        <v>0</v>
      </c>
      <c r="AA466" s="767">
        <f t="shared" si="31"/>
        <v>3000</v>
      </c>
    </row>
    <row r="467" spans="1:27" ht="48" x14ac:dyDescent="0.25">
      <c r="A467" s="513"/>
      <c r="B467" s="4529"/>
      <c r="C467" s="4529"/>
      <c r="D467" s="4529"/>
      <c r="E467" s="3172"/>
      <c r="F467" s="3172"/>
      <c r="G467" s="3172"/>
      <c r="H467" s="3172"/>
      <c r="I467" s="3172"/>
      <c r="J467" s="4669"/>
      <c r="K467" s="4669"/>
      <c r="L467" s="3172"/>
      <c r="M467" s="1657" t="s">
        <v>2294</v>
      </c>
      <c r="N467" s="1657" t="s">
        <v>2533</v>
      </c>
      <c r="O467" s="1658">
        <v>0</v>
      </c>
      <c r="P467" s="1658">
        <v>0</v>
      </c>
      <c r="Q467" s="1658">
        <v>2500</v>
      </c>
      <c r="R467" s="1658">
        <v>0</v>
      </c>
      <c r="S467" s="1658">
        <v>0</v>
      </c>
      <c r="T467" s="1658">
        <v>0</v>
      </c>
      <c r="U467" s="1658">
        <v>0</v>
      </c>
      <c r="V467" s="1658">
        <v>2500</v>
      </c>
      <c r="W467" s="1658">
        <v>0</v>
      </c>
      <c r="X467" s="1658">
        <v>0</v>
      </c>
      <c r="Y467" s="1658">
        <v>0</v>
      </c>
      <c r="Z467" s="1658">
        <v>0</v>
      </c>
      <c r="AA467" s="767">
        <f t="shared" si="31"/>
        <v>5000</v>
      </c>
    </row>
    <row r="468" spans="1:27" ht="48" x14ac:dyDescent="0.25">
      <c r="A468" s="513"/>
      <c r="B468" s="4529"/>
      <c r="C468" s="4529"/>
      <c r="D468" s="4529"/>
      <c r="E468" s="3172"/>
      <c r="F468" s="3172"/>
      <c r="G468" s="3172"/>
      <c r="H468" s="3172"/>
      <c r="I468" s="3172"/>
      <c r="J468" s="4669"/>
      <c r="K468" s="4669"/>
      <c r="L468" s="3172"/>
      <c r="M468" s="1657" t="s">
        <v>2066</v>
      </c>
      <c r="N468" s="1657" t="s">
        <v>2534</v>
      </c>
      <c r="O468" s="1658">
        <v>0</v>
      </c>
      <c r="P468" s="1658">
        <v>500</v>
      </c>
      <c r="Q468" s="1658">
        <v>0</v>
      </c>
      <c r="R468" s="1658">
        <v>500</v>
      </c>
      <c r="S468" s="1658">
        <v>500</v>
      </c>
      <c r="T468" s="1658">
        <v>0</v>
      </c>
      <c r="U468" s="1658">
        <v>500</v>
      </c>
      <c r="V468" s="1658">
        <v>500</v>
      </c>
      <c r="W468" s="1658">
        <v>0</v>
      </c>
      <c r="X468" s="1658">
        <v>500</v>
      </c>
      <c r="Y468" s="1658">
        <v>500</v>
      </c>
      <c r="Z468" s="1658">
        <v>0</v>
      </c>
      <c r="AA468" s="767">
        <f t="shared" si="31"/>
        <v>3500</v>
      </c>
    </row>
    <row r="469" spans="1:27" ht="72" x14ac:dyDescent="0.25">
      <c r="A469" s="513"/>
      <c r="B469" s="4529"/>
      <c r="C469" s="4529"/>
      <c r="D469" s="4529"/>
      <c r="E469" s="3172"/>
      <c r="F469" s="3172"/>
      <c r="G469" s="3172"/>
      <c r="H469" s="3172"/>
      <c r="I469" s="3172"/>
      <c r="J469" s="4669"/>
      <c r="K469" s="4669"/>
      <c r="L469" s="3172"/>
      <c r="M469" s="1657" t="s">
        <v>2263</v>
      </c>
      <c r="N469" s="1657" t="s">
        <v>2535</v>
      </c>
      <c r="O469" s="1658">
        <v>0</v>
      </c>
      <c r="P469" s="1658">
        <v>500</v>
      </c>
      <c r="Q469" s="1658">
        <v>500</v>
      </c>
      <c r="R469" s="1658">
        <v>500</v>
      </c>
      <c r="S469" s="1658">
        <v>500</v>
      </c>
      <c r="T469" s="1658">
        <v>500</v>
      </c>
      <c r="U469" s="1658">
        <v>500</v>
      </c>
      <c r="V469" s="1658">
        <v>500</v>
      </c>
      <c r="W469" s="1658">
        <v>500</v>
      </c>
      <c r="X469" s="1658">
        <v>500</v>
      </c>
      <c r="Y469" s="1658">
        <v>500</v>
      </c>
      <c r="Z469" s="1658">
        <v>0</v>
      </c>
      <c r="AA469" s="767">
        <f t="shared" si="31"/>
        <v>5000</v>
      </c>
    </row>
    <row r="470" spans="1:27" ht="36" x14ac:dyDescent="0.25">
      <c r="A470" s="513"/>
      <c r="B470" s="4529"/>
      <c r="C470" s="4529"/>
      <c r="D470" s="4529"/>
      <c r="E470" s="3172"/>
      <c r="F470" s="3172"/>
      <c r="G470" s="3172"/>
      <c r="H470" s="3172"/>
      <c r="I470" s="3172"/>
      <c r="J470" s="4669"/>
      <c r="K470" s="4669"/>
      <c r="L470" s="3172"/>
      <c r="M470" s="1657" t="s">
        <v>2300</v>
      </c>
      <c r="N470" s="1657" t="s">
        <v>2490</v>
      </c>
      <c r="O470" s="1658">
        <v>417</v>
      </c>
      <c r="P470" s="1658">
        <v>417</v>
      </c>
      <c r="Q470" s="1658">
        <v>417</v>
      </c>
      <c r="R470" s="1658">
        <v>415</v>
      </c>
      <c r="S470" s="1658">
        <v>417</v>
      </c>
      <c r="T470" s="1658">
        <v>415</v>
      </c>
      <c r="U470" s="1658">
        <v>417</v>
      </c>
      <c r="V470" s="1658">
        <v>417</v>
      </c>
      <c r="W470" s="1658">
        <v>417</v>
      </c>
      <c r="X470" s="1658">
        <v>417</v>
      </c>
      <c r="Y470" s="1658">
        <v>417</v>
      </c>
      <c r="Z470" s="1658">
        <v>417</v>
      </c>
      <c r="AA470" s="767">
        <f t="shared" si="31"/>
        <v>5000</v>
      </c>
    </row>
    <row r="471" spans="1:27" ht="48" x14ac:dyDescent="0.25">
      <c r="A471" s="513"/>
      <c r="B471" s="4529"/>
      <c r="C471" s="4529"/>
      <c r="D471" s="4529"/>
      <c r="E471" s="3172"/>
      <c r="F471" s="3172"/>
      <c r="G471" s="3172"/>
      <c r="H471" s="3172"/>
      <c r="I471" s="3172"/>
      <c r="J471" s="4669"/>
      <c r="K471" s="4669"/>
      <c r="L471" s="3172"/>
      <c r="M471" s="1657" t="s">
        <v>2491</v>
      </c>
      <c r="N471" s="1657" t="s">
        <v>2536</v>
      </c>
      <c r="O471" s="1658">
        <v>125</v>
      </c>
      <c r="P471" s="1658">
        <v>125</v>
      </c>
      <c r="Q471" s="1658">
        <v>125</v>
      </c>
      <c r="R471" s="1658">
        <v>125</v>
      </c>
      <c r="S471" s="1658">
        <v>125</v>
      </c>
      <c r="T471" s="1658">
        <v>125</v>
      </c>
      <c r="U471" s="1658">
        <v>125</v>
      </c>
      <c r="V471" s="1658">
        <v>125</v>
      </c>
      <c r="W471" s="1658">
        <v>125</v>
      </c>
      <c r="X471" s="1658">
        <v>125</v>
      </c>
      <c r="Y471" s="1658">
        <v>125</v>
      </c>
      <c r="Z471" s="1658">
        <v>125</v>
      </c>
      <c r="AA471" s="767">
        <f t="shared" si="31"/>
        <v>1500</v>
      </c>
    </row>
    <row r="472" spans="1:27" ht="24" x14ac:dyDescent="0.25">
      <c r="A472" s="513"/>
      <c r="B472" s="4529"/>
      <c r="C472" s="4529"/>
      <c r="D472" s="4529"/>
      <c r="E472" s="3172"/>
      <c r="F472" s="3172"/>
      <c r="G472" s="3172"/>
      <c r="H472" s="3172"/>
      <c r="I472" s="3172"/>
      <c r="J472" s="4669"/>
      <c r="K472" s="4669"/>
      <c r="L472" s="3172"/>
      <c r="M472" s="1657" t="s">
        <v>2456</v>
      </c>
      <c r="N472" s="1657" t="s">
        <v>1472</v>
      </c>
      <c r="O472" s="1658">
        <v>0</v>
      </c>
      <c r="P472" s="1658">
        <v>0</v>
      </c>
      <c r="Q472" s="1658">
        <v>6000</v>
      </c>
      <c r="R472" s="1658">
        <v>0</v>
      </c>
      <c r="S472" s="1658">
        <v>0</v>
      </c>
      <c r="T472" s="1658">
        <v>0</v>
      </c>
      <c r="U472" s="1658">
        <v>0</v>
      </c>
      <c r="V472" s="1658">
        <v>6366</v>
      </c>
      <c r="W472" s="1658">
        <v>0</v>
      </c>
      <c r="X472" s="1658">
        <v>0</v>
      </c>
      <c r="Y472" s="1658">
        <v>0</v>
      </c>
      <c r="Z472" s="1658">
        <v>0</v>
      </c>
      <c r="AA472" s="767">
        <f t="shared" si="31"/>
        <v>12366</v>
      </c>
    </row>
    <row r="473" spans="1:27" ht="72" x14ac:dyDescent="0.25">
      <c r="A473" s="513"/>
      <c r="B473" s="4529"/>
      <c r="C473" s="4529"/>
      <c r="D473" s="4529"/>
      <c r="E473" s="3172"/>
      <c r="F473" s="3172"/>
      <c r="G473" s="3172"/>
      <c r="H473" s="3172"/>
      <c r="I473" s="3172"/>
      <c r="J473" s="4669"/>
      <c r="K473" s="4669"/>
      <c r="L473" s="3172"/>
      <c r="M473" s="1657" t="s">
        <v>2265</v>
      </c>
      <c r="N473" s="1657" t="s">
        <v>201</v>
      </c>
      <c r="O473" s="1658">
        <v>0</v>
      </c>
      <c r="P473" s="1658">
        <v>0</v>
      </c>
      <c r="Q473" s="1658">
        <v>6000</v>
      </c>
      <c r="R473" s="1658">
        <v>0</v>
      </c>
      <c r="S473" s="1658">
        <v>0</v>
      </c>
      <c r="T473" s="1658">
        <v>0</v>
      </c>
      <c r="U473" s="1658">
        <v>6000</v>
      </c>
      <c r="V473" s="1658">
        <v>0</v>
      </c>
      <c r="W473" s="1658">
        <v>0</v>
      </c>
      <c r="X473" s="1658">
        <v>0</v>
      </c>
      <c r="Y473" s="1658">
        <v>3000</v>
      </c>
      <c r="Z473" s="1658">
        <v>0</v>
      </c>
      <c r="AA473" s="767">
        <f t="shared" si="31"/>
        <v>15000</v>
      </c>
    </row>
    <row r="474" spans="1:27" ht="36" x14ac:dyDescent="0.25">
      <c r="A474" s="513"/>
      <c r="B474" s="4529"/>
      <c r="C474" s="4529"/>
      <c r="D474" s="4529"/>
      <c r="E474" s="3172"/>
      <c r="F474" s="3172"/>
      <c r="G474" s="3172"/>
      <c r="H474" s="3172"/>
      <c r="I474" s="3172"/>
      <c r="J474" s="4669"/>
      <c r="K474" s="4669"/>
      <c r="L474" s="3172"/>
      <c r="M474" s="1657" t="s">
        <v>2537</v>
      </c>
      <c r="N474" s="1657" t="s">
        <v>2055</v>
      </c>
      <c r="O474" s="1658">
        <v>0</v>
      </c>
      <c r="P474" s="1658">
        <v>0</v>
      </c>
      <c r="Q474" s="1658">
        <v>2100</v>
      </c>
      <c r="R474" s="1658">
        <v>0</v>
      </c>
      <c r="S474" s="1658">
        <v>0</v>
      </c>
      <c r="T474" s="1658">
        <v>0</v>
      </c>
      <c r="U474" s="1658">
        <v>0</v>
      </c>
      <c r="V474" s="1658">
        <v>2100</v>
      </c>
      <c r="W474" s="1658">
        <v>0</v>
      </c>
      <c r="X474" s="1658">
        <v>0</v>
      </c>
      <c r="Y474" s="1658">
        <v>0</v>
      </c>
      <c r="Z474" s="1658">
        <v>0</v>
      </c>
      <c r="AA474" s="767">
        <f t="shared" si="31"/>
        <v>4200</v>
      </c>
    </row>
    <row r="475" spans="1:27" ht="72" x14ac:dyDescent="0.25">
      <c r="A475" s="513"/>
      <c r="B475" s="4529"/>
      <c r="C475" s="4529"/>
      <c r="D475" s="4529"/>
      <c r="E475" s="3172"/>
      <c r="F475" s="3172"/>
      <c r="G475" s="3172"/>
      <c r="H475" s="3172"/>
      <c r="I475" s="3172"/>
      <c r="J475" s="4669"/>
      <c r="K475" s="4669"/>
      <c r="L475" s="3172"/>
      <c r="M475" s="1657" t="s">
        <v>2464</v>
      </c>
      <c r="N475" s="1657" t="s">
        <v>2465</v>
      </c>
      <c r="O475" s="1658">
        <v>0</v>
      </c>
      <c r="P475" s="1658">
        <v>0</v>
      </c>
      <c r="Q475" s="1658">
        <v>2500</v>
      </c>
      <c r="R475" s="1658">
        <v>0</v>
      </c>
      <c r="S475" s="1658">
        <v>2500</v>
      </c>
      <c r="T475" s="1658">
        <v>0</v>
      </c>
      <c r="U475" s="1658">
        <v>0</v>
      </c>
      <c r="V475" s="1658">
        <v>2500</v>
      </c>
      <c r="W475" s="1658">
        <v>0</v>
      </c>
      <c r="X475" s="1658">
        <v>2500</v>
      </c>
      <c r="Y475" s="1658">
        <v>0</v>
      </c>
      <c r="Z475" s="1658">
        <v>0</v>
      </c>
      <c r="AA475" s="767">
        <f t="shared" si="31"/>
        <v>10000</v>
      </c>
    </row>
    <row r="476" spans="1:27" ht="48" x14ac:dyDescent="0.25">
      <c r="A476" s="513"/>
      <c r="B476" s="4529"/>
      <c r="C476" s="4529"/>
      <c r="D476" s="4529"/>
      <c r="E476" s="3172"/>
      <c r="F476" s="3172"/>
      <c r="G476" s="3172"/>
      <c r="H476" s="3172"/>
      <c r="I476" s="3172"/>
      <c r="J476" s="4669"/>
      <c r="K476" s="4669"/>
      <c r="L476" s="3172"/>
      <c r="M476" s="1657" t="s">
        <v>2088</v>
      </c>
      <c r="N476" s="1657" t="s">
        <v>1984</v>
      </c>
      <c r="O476" s="1658">
        <v>0</v>
      </c>
      <c r="P476" s="1658">
        <v>0</v>
      </c>
      <c r="Q476" s="1658">
        <v>2000</v>
      </c>
      <c r="R476" s="1658">
        <v>0</v>
      </c>
      <c r="S476" s="1658">
        <v>0</v>
      </c>
      <c r="T476" s="1658">
        <v>0</v>
      </c>
      <c r="U476" s="1658">
        <v>2000</v>
      </c>
      <c r="V476" s="1658">
        <v>0</v>
      </c>
      <c r="W476" s="1658">
        <v>0</v>
      </c>
      <c r="X476" s="1658">
        <v>0</v>
      </c>
      <c r="Y476" s="1658">
        <v>2000</v>
      </c>
      <c r="Z476" s="1658">
        <v>0</v>
      </c>
      <c r="AA476" s="767">
        <f t="shared" si="31"/>
        <v>6000</v>
      </c>
    </row>
    <row r="477" spans="1:27" ht="24" x14ac:dyDescent="0.25">
      <c r="A477" s="513"/>
      <c r="B477" s="4529"/>
      <c r="C477" s="4529"/>
      <c r="D477" s="4529"/>
      <c r="E477" s="3172"/>
      <c r="F477" s="3172"/>
      <c r="G477" s="3172"/>
      <c r="H477" s="3172"/>
      <c r="I477" s="3172"/>
      <c r="J477" s="4669"/>
      <c r="K477" s="4669"/>
      <c r="L477" s="3172"/>
      <c r="M477" s="1657" t="s">
        <v>2103</v>
      </c>
      <c r="N477" s="1657" t="s">
        <v>1478</v>
      </c>
      <c r="O477" s="1658">
        <v>0</v>
      </c>
      <c r="P477" s="1658">
        <v>0</v>
      </c>
      <c r="Q477" s="1658">
        <v>0</v>
      </c>
      <c r="R477" s="1658">
        <v>0</v>
      </c>
      <c r="S477" s="1658">
        <v>0</v>
      </c>
      <c r="T477" s="1658">
        <v>0</v>
      </c>
      <c r="U477" s="1658">
        <v>5675</v>
      </c>
      <c r="V477" s="1658">
        <v>0</v>
      </c>
      <c r="W477" s="1658">
        <v>0</v>
      </c>
      <c r="X477" s="1658">
        <v>0</v>
      </c>
      <c r="Y477" s="1658">
        <v>0</v>
      </c>
      <c r="Z477" s="1658">
        <v>0</v>
      </c>
      <c r="AA477" s="767">
        <f t="shared" si="31"/>
        <v>5675</v>
      </c>
    </row>
    <row r="478" spans="1:27" ht="48" x14ac:dyDescent="0.25">
      <c r="A478" s="513"/>
      <c r="B478" s="4529"/>
      <c r="C478" s="4529"/>
      <c r="D478" s="4529"/>
      <c r="E478" s="3172"/>
      <c r="F478" s="3172"/>
      <c r="G478" s="3172"/>
      <c r="H478" s="3172"/>
      <c r="I478" s="3172"/>
      <c r="J478" s="4669"/>
      <c r="K478" s="4669"/>
      <c r="L478" s="3172"/>
      <c r="M478" s="1657" t="s">
        <v>2176</v>
      </c>
      <c r="N478" s="1657" t="s">
        <v>1360</v>
      </c>
      <c r="O478" s="1658">
        <v>10800</v>
      </c>
      <c r="P478" s="1658">
        <v>10800</v>
      </c>
      <c r="Q478" s="1658">
        <v>10800</v>
      </c>
      <c r="R478" s="1658">
        <v>10800</v>
      </c>
      <c r="S478" s="1658">
        <v>10800</v>
      </c>
      <c r="T478" s="1658">
        <v>10800</v>
      </c>
      <c r="U478" s="1658">
        <v>10800</v>
      </c>
      <c r="V478" s="1658">
        <v>10800</v>
      </c>
      <c r="W478" s="1658">
        <v>10800</v>
      </c>
      <c r="X478" s="1658">
        <v>10800</v>
      </c>
      <c r="Y478" s="1658">
        <v>10800</v>
      </c>
      <c r="Z478" s="1658">
        <v>10800</v>
      </c>
      <c r="AA478" s="767">
        <f t="shared" si="31"/>
        <v>129600</v>
      </c>
    </row>
    <row r="479" spans="1:27" ht="36" x14ac:dyDescent="0.25">
      <c r="A479" s="513"/>
      <c r="B479" s="4530"/>
      <c r="C479" s="4530"/>
      <c r="D479" s="4530"/>
      <c r="E479" s="3173"/>
      <c r="F479" s="3173"/>
      <c r="G479" s="3173"/>
      <c r="H479" s="3173"/>
      <c r="I479" s="3173"/>
      <c r="J479" s="4670"/>
      <c r="K479" s="4670"/>
      <c r="L479" s="3173"/>
      <c r="M479" s="1657" t="s">
        <v>2177</v>
      </c>
      <c r="N479" s="1657" t="s">
        <v>2484</v>
      </c>
      <c r="O479" s="1659">
        <v>618</v>
      </c>
      <c r="P479" s="1659">
        <v>618</v>
      </c>
      <c r="Q479" s="1659">
        <v>618</v>
      </c>
      <c r="R479" s="1659">
        <v>618</v>
      </c>
      <c r="S479" s="1659">
        <v>618</v>
      </c>
      <c r="T479" s="1659">
        <v>618</v>
      </c>
      <c r="U479" s="1659">
        <v>618</v>
      </c>
      <c r="V479" s="1659">
        <v>618</v>
      </c>
      <c r="W479" s="1659">
        <v>618</v>
      </c>
      <c r="X479" s="1659">
        <v>618</v>
      </c>
      <c r="Y479" s="1659">
        <v>618</v>
      </c>
      <c r="Z479" s="1659">
        <v>618</v>
      </c>
      <c r="AA479" s="767">
        <f t="shared" si="31"/>
        <v>7416</v>
      </c>
    </row>
    <row r="480" spans="1:27" ht="31.5" customHeight="1" x14ac:dyDescent="0.25">
      <c r="A480" s="2079"/>
      <c r="B480" s="1859" t="s">
        <v>8</v>
      </c>
      <c r="C480" s="2911" t="s">
        <v>2538</v>
      </c>
      <c r="D480" s="2912"/>
      <c r="E480" s="2912"/>
      <c r="F480" s="2912"/>
      <c r="G480" s="2912"/>
      <c r="H480" s="2912"/>
      <c r="I480" s="363"/>
      <c r="J480" s="363"/>
      <c r="K480" s="363"/>
      <c r="L480" s="363"/>
      <c r="M480" s="363"/>
      <c r="N480" s="363"/>
      <c r="O480" s="363"/>
      <c r="P480" s="363"/>
      <c r="Q480" s="363"/>
      <c r="R480" s="363"/>
      <c r="S480" s="363"/>
      <c r="T480" s="363"/>
      <c r="U480" s="363"/>
      <c r="V480" s="363"/>
      <c r="W480" s="363"/>
      <c r="X480" s="363"/>
      <c r="Y480" s="363"/>
      <c r="Z480" s="365"/>
      <c r="AA480" s="515"/>
    </row>
    <row r="481" spans="1:27" x14ac:dyDescent="0.25">
      <c r="A481" s="2902" t="s">
        <v>256</v>
      </c>
      <c r="B481" s="1352" t="s">
        <v>11</v>
      </c>
      <c r="C481" s="2972" t="s">
        <v>230</v>
      </c>
      <c r="D481" s="2972"/>
      <c r="E481" s="2972"/>
      <c r="F481" s="2972"/>
      <c r="G481" s="2972"/>
      <c r="H481" s="2972"/>
      <c r="I481" s="2972"/>
      <c r="J481" s="2972"/>
      <c r="K481" s="2972"/>
      <c r="L481" s="2972"/>
      <c r="M481" s="2972"/>
      <c r="N481" s="2972"/>
      <c r="O481" s="2972"/>
      <c r="P481" s="2972"/>
      <c r="Q481" s="2972"/>
      <c r="R481" s="2972"/>
      <c r="S481" s="2972"/>
      <c r="T481" s="2972"/>
      <c r="U481" s="2972"/>
      <c r="V481" s="2972"/>
      <c r="W481" s="2972"/>
      <c r="X481" s="2972"/>
      <c r="Y481" s="4301"/>
      <c r="Z481" s="203"/>
      <c r="AA481" s="346"/>
    </row>
    <row r="482" spans="1:27" ht="11.25" customHeight="1" x14ac:dyDescent="0.25">
      <c r="A482" s="2903"/>
      <c r="B482" s="2298" t="s">
        <v>13</v>
      </c>
      <c r="C482" s="2308">
        <v>9001</v>
      </c>
      <c r="D482" s="2309"/>
      <c r="E482" s="2309"/>
      <c r="F482" s="2309"/>
      <c r="G482" s="2309"/>
      <c r="H482" s="2309"/>
      <c r="I482" s="204"/>
      <c r="J482" s="204"/>
      <c r="K482" s="204"/>
      <c r="L482" s="204"/>
      <c r="M482" s="204"/>
      <c r="N482" s="204"/>
      <c r="O482" s="204"/>
      <c r="P482" s="204"/>
      <c r="Q482" s="204"/>
      <c r="R482" s="204"/>
      <c r="S482" s="204"/>
      <c r="T482" s="205"/>
      <c r="U482" s="1609"/>
      <c r="V482" s="2314" t="s">
        <v>15</v>
      </c>
      <c r="W482" s="2315"/>
      <c r="X482" s="2315"/>
      <c r="Y482" s="2316"/>
      <c r="Z482" s="1305" t="s">
        <v>16</v>
      </c>
      <c r="AA482" s="1660"/>
    </row>
    <row r="483" spans="1:27" x14ac:dyDescent="0.25">
      <c r="A483" s="2903"/>
      <c r="B483" s="2298"/>
      <c r="C483" s="2311"/>
      <c r="D483" s="2312"/>
      <c r="E483" s="2312"/>
      <c r="F483" s="2312"/>
      <c r="G483" s="2312"/>
      <c r="H483" s="2312"/>
      <c r="I483" s="206"/>
      <c r="J483" s="206"/>
      <c r="K483" s="206"/>
      <c r="L483" s="206"/>
      <c r="M483" s="206"/>
      <c r="N483" s="206"/>
      <c r="O483" s="206"/>
      <c r="P483" s="206"/>
      <c r="Q483" s="206"/>
      <c r="R483" s="206"/>
      <c r="S483" s="206"/>
      <c r="T483" s="207"/>
      <c r="U483" s="1609"/>
      <c r="V483" s="4304" t="s">
        <v>19</v>
      </c>
      <c r="W483" s="4305"/>
      <c r="X483" s="4305"/>
      <c r="Y483" s="4306"/>
      <c r="Z483" s="1305"/>
      <c r="AA483" s="1305"/>
    </row>
    <row r="484" spans="1:27" ht="24" x14ac:dyDescent="0.25">
      <c r="A484" s="2903"/>
      <c r="B484" s="2298" t="s">
        <v>18</v>
      </c>
      <c r="C484" s="2959">
        <v>3999999</v>
      </c>
      <c r="D484" s="2357" t="s">
        <v>163</v>
      </c>
      <c r="E484" s="2306"/>
      <c r="F484" s="2962"/>
      <c r="G484" s="2962"/>
      <c r="H484" s="2962"/>
      <c r="I484" s="2962"/>
      <c r="J484" s="2962"/>
      <c r="K484" s="2962"/>
      <c r="L484" s="2962"/>
      <c r="M484" s="204"/>
      <c r="N484" s="204"/>
      <c r="O484" s="204"/>
      <c r="P484" s="204"/>
      <c r="Q484" s="204"/>
      <c r="R484" s="204"/>
      <c r="S484" s="204"/>
      <c r="T484" s="204"/>
      <c r="U484" s="211"/>
      <c r="V484" s="1305" t="s">
        <v>15</v>
      </c>
      <c r="W484" s="1305"/>
      <c r="X484" s="1305"/>
      <c r="Y484" s="1305"/>
      <c r="Z484" s="1305" t="s">
        <v>16</v>
      </c>
      <c r="AA484" s="1660"/>
    </row>
    <row r="485" spans="1:27" ht="15" customHeight="1" x14ac:dyDescent="0.25">
      <c r="A485" s="2903"/>
      <c r="B485" s="2298"/>
      <c r="C485" s="2961"/>
      <c r="D485" s="2358"/>
      <c r="E485" s="2963"/>
      <c r="F485" s="2964"/>
      <c r="G485" s="2964"/>
      <c r="H485" s="2964"/>
      <c r="I485" s="2964"/>
      <c r="J485" s="2964"/>
      <c r="K485" s="2964"/>
      <c r="L485" s="2964"/>
      <c r="M485" s="208"/>
      <c r="N485" s="208"/>
      <c r="O485" s="208"/>
      <c r="P485" s="208"/>
      <c r="Q485" s="208"/>
      <c r="R485" s="208"/>
      <c r="S485" s="208"/>
      <c r="T485" s="208"/>
      <c r="U485" s="213"/>
      <c r="V485" s="4304" t="s">
        <v>19</v>
      </c>
      <c r="W485" s="4305"/>
      <c r="X485" s="4305"/>
      <c r="Y485" s="4306"/>
      <c r="Z485" s="1306"/>
      <c r="AA485" s="1307"/>
    </row>
    <row r="486" spans="1:27" x14ac:dyDescent="0.25">
      <c r="A486" s="2903"/>
      <c r="B486" s="2320" t="s">
        <v>20</v>
      </c>
      <c r="C486" s="2324" t="s">
        <v>21</v>
      </c>
      <c r="D486" s="2324" t="s">
        <v>22</v>
      </c>
      <c r="E486" s="2324" t="s">
        <v>23</v>
      </c>
      <c r="F486" s="2324" t="s">
        <v>24</v>
      </c>
      <c r="G486" s="2324" t="s">
        <v>25</v>
      </c>
      <c r="H486" s="2324" t="s">
        <v>26</v>
      </c>
      <c r="I486" s="2324" t="s">
        <v>27</v>
      </c>
      <c r="J486" s="2322" t="s">
        <v>28</v>
      </c>
      <c r="K486" s="2323"/>
      <c r="L486" s="2324" t="s">
        <v>29</v>
      </c>
      <c r="M486" s="2322" t="s">
        <v>30</v>
      </c>
      <c r="N486" s="4308"/>
      <c r="O486" s="2343" t="s">
        <v>31</v>
      </c>
      <c r="P486" s="2344"/>
      <c r="Q486" s="2344"/>
      <c r="R486" s="2344"/>
      <c r="S486" s="2344"/>
      <c r="T486" s="2344"/>
      <c r="U486" s="2344"/>
      <c r="V486" s="2344"/>
      <c r="W486" s="2344"/>
      <c r="X486" s="2344"/>
      <c r="Y486" s="2344"/>
      <c r="Z486" s="2345"/>
      <c r="AA486" s="2346" t="s">
        <v>32</v>
      </c>
    </row>
    <row r="487" spans="1:27" ht="15" customHeight="1" x14ac:dyDescent="0.25">
      <c r="A487" s="2903"/>
      <c r="B487" s="2321"/>
      <c r="C487" s="2324"/>
      <c r="D487" s="2324"/>
      <c r="E487" s="2324"/>
      <c r="F487" s="2324"/>
      <c r="G487" s="2324"/>
      <c r="H487" s="2324"/>
      <c r="I487" s="2324"/>
      <c r="J487" s="1355" t="s">
        <v>33</v>
      </c>
      <c r="K487" s="1355" t="s">
        <v>34</v>
      </c>
      <c r="L487" s="2324"/>
      <c r="M487" s="2325"/>
      <c r="N487" s="4309"/>
      <c r="O487" s="1354" t="s">
        <v>35</v>
      </c>
      <c r="P487" s="1354" t="s">
        <v>36</v>
      </c>
      <c r="Q487" s="1354" t="s">
        <v>37</v>
      </c>
      <c r="R487" s="1354" t="s">
        <v>38</v>
      </c>
      <c r="S487" s="1354" t="s">
        <v>39</v>
      </c>
      <c r="T487" s="1354" t="s">
        <v>40</v>
      </c>
      <c r="U487" s="1354" t="s">
        <v>41</v>
      </c>
      <c r="V487" s="1354" t="s">
        <v>42</v>
      </c>
      <c r="W487" s="1354" t="s">
        <v>43</v>
      </c>
      <c r="X487" s="1354" t="s">
        <v>44</v>
      </c>
      <c r="Y487" s="1354" t="s">
        <v>45</v>
      </c>
      <c r="Z487" s="1354" t="s">
        <v>46</v>
      </c>
      <c r="AA487" s="2346"/>
    </row>
    <row r="488" spans="1:27" x14ac:dyDescent="0.25">
      <c r="A488" s="2903"/>
      <c r="B488" s="2925">
        <v>5000004</v>
      </c>
      <c r="C488" s="2353" t="s">
        <v>2539</v>
      </c>
      <c r="D488" s="2353" t="s">
        <v>2540</v>
      </c>
      <c r="E488" s="4551">
        <v>3</v>
      </c>
      <c r="F488" s="4452">
        <v>6</v>
      </c>
      <c r="G488" s="4452">
        <v>8</v>
      </c>
      <c r="H488" s="2353" t="s">
        <v>2541</v>
      </c>
      <c r="I488" s="2353" t="s">
        <v>2542</v>
      </c>
      <c r="J488" s="3150">
        <v>30000</v>
      </c>
      <c r="K488" s="3150">
        <v>82981</v>
      </c>
      <c r="L488" s="2353" t="s">
        <v>2543</v>
      </c>
      <c r="M488" s="2294" t="s">
        <v>51</v>
      </c>
      <c r="N488" s="2295"/>
      <c r="O488" s="1579">
        <v>1</v>
      </c>
      <c r="P488" s="1579">
        <v>1</v>
      </c>
      <c r="Q488" s="1579">
        <v>1</v>
      </c>
      <c r="R488" s="1579">
        <v>1</v>
      </c>
      <c r="S488" s="1579">
        <v>1</v>
      </c>
      <c r="T488" s="1579">
        <v>1</v>
      </c>
      <c r="U488" s="1579">
        <v>1</v>
      </c>
      <c r="V488" s="1579">
        <v>1</v>
      </c>
      <c r="W488" s="1579">
        <v>1</v>
      </c>
      <c r="X488" s="1579">
        <v>1</v>
      </c>
      <c r="Y488" s="1579">
        <v>1</v>
      </c>
      <c r="Z488" s="1579">
        <v>1</v>
      </c>
      <c r="AA488" s="1577">
        <f t="shared" ref="AA488:AA494" si="33">SUM(O488:Z488)</f>
        <v>12</v>
      </c>
    </row>
    <row r="489" spans="1:27" x14ac:dyDescent="0.25">
      <c r="A489" s="2903"/>
      <c r="B489" s="2926"/>
      <c r="C489" s="4282"/>
      <c r="D489" s="4282"/>
      <c r="E489" s="4552"/>
      <c r="F489" s="4453"/>
      <c r="G489" s="4453"/>
      <c r="H489" s="4282"/>
      <c r="I489" s="4282"/>
      <c r="J489" s="4474"/>
      <c r="K489" s="4474"/>
      <c r="L489" s="4282"/>
      <c r="M489" s="2294" t="s">
        <v>111</v>
      </c>
      <c r="N489" s="2295"/>
      <c r="O489" s="1578">
        <f t="shared" ref="O489:Z489" si="34">SUM(O490:O494)</f>
        <v>6311.9</v>
      </c>
      <c r="P489" s="1578">
        <f t="shared" si="34"/>
        <v>6311.9</v>
      </c>
      <c r="Q489" s="1578">
        <f t="shared" si="34"/>
        <v>10350.9</v>
      </c>
      <c r="R489" s="1578">
        <f t="shared" si="34"/>
        <v>6311.9</v>
      </c>
      <c r="S489" s="1578">
        <f t="shared" si="34"/>
        <v>6311.9</v>
      </c>
      <c r="T489" s="1578">
        <f t="shared" si="34"/>
        <v>7221.9</v>
      </c>
      <c r="U489" s="1578">
        <f t="shared" si="34"/>
        <v>6911.9</v>
      </c>
      <c r="V489" s="1578">
        <f t="shared" si="34"/>
        <v>6311.9</v>
      </c>
      <c r="W489" s="1578">
        <f t="shared" si="34"/>
        <v>7221.9</v>
      </c>
      <c r="X489" s="1578">
        <f t="shared" si="34"/>
        <v>6490.9</v>
      </c>
      <c r="Y489" s="1578">
        <f t="shared" si="34"/>
        <v>6311.9</v>
      </c>
      <c r="Z489" s="1578">
        <f t="shared" si="34"/>
        <v>6911.9</v>
      </c>
      <c r="AA489" s="1578">
        <f t="shared" si="33"/>
        <v>82980.799999999988</v>
      </c>
    </row>
    <row r="490" spans="1:27" ht="36" x14ac:dyDescent="0.25">
      <c r="A490" s="2903"/>
      <c r="B490" s="2926"/>
      <c r="C490" s="4282"/>
      <c r="D490" s="4282"/>
      <c r="E490" s="4552"/>
      <c r="F490" s="4453"/>
      <c r="G490" s="4453"/>
      <c r="H490" s="4282"/>
      <c r="I490" s="4282"/>
      <c r="J490" s="4474"/>
      <c r="K490" s="4474"/>
      <c r="L490" s="4282"/>
      <c r="M490" s="350" t="s">
        <v>184</v>
      </c>
      <c r="N490" s="347" t="s">
        <v>1367</v>
      </c>
      <c r="O490" s="1579">
        <v>0</v>
      </c>
      <c r="P490" s="1579">
        <v>0</v>
      </c>
      <c r="Q490" s="1579">
        <v>3129</v>
      </c>
      <c r="R490" s="1579">
        <v>0</v>
      </c>
      <c r="S490" s="1579">
        <v>0</v>
      </c>
      <c r="T490" s="1579">
        <v>0</v>
      </c>
      <c r="U490" s="1579">
        <v>0</v>
      </c>
      <c r="V490" s="1579">
        <v>0</v>
      </c>
      <c r="W490" s="1579">
        <v>0</v>
      </c>
      <c r="X490" s="1579">
        <v>179</v>
      </c>
      <c r="Y490" s="1579">
        <v>0</v>
      </c>
      <c r="Z490" s="1579">
        <v>0</v>
      </c>
      <c r="AA490" s="1578">
        <f t="shared" si="33"/>
        <v>3308</v>
      </c>
    </row>
    <row r="491" spans="1:27" ht="36" x14ac:dyDescent="0.25">
      <c r="A491" s="2903"/>
      <c r="B491" s="2926"/>
      <c r="C491" s="4282"/>
      <c r="D491" s="4282"/>
      <c r="E491" s="4552"/>
      <c r="F491" s="4453"/>
      <c r="G491" s="4453"/>
      <c r="H491" s="4282"/>
      <c r="I491" s="4282"/>
      <c r="J491" s="4474"/>
      <c r="K491" s="4474"/>
      <c r="L491" s="4282"/>
      <c r="M491" s="350" t="s">
        <v>194</v>
      </c>
      <c r="N491" s="347" t="s">
        <v>1368</v>
      </c>
      <c r="O491" s="1579">
        <v>0</v>
      </c>
      <c r="P491" s="1579">
        <v>0</v>
      </c>
      <c r="Q491" s="1579">
        <v>630</v>
      </c>
      <c r="R491" s="1579">
        <v>0</v>
      </c>
      <c r="S491" s="1579">
        <v>0</v>
      </c>
      <c r="T491" s="1579">
        <v>630</v>
      </c>
      <c r="U491" s="1579">
        <v>0</v>
      </c>
      <c r="V491" s="1579">
        <v>0</v>
      </c>
      <c r="W491" s="1579">
        <v>630</v>
      </c>
      <c r="X491" s="1579">
        <v>0</v>
      </c>
      <c r="Y491" s="1579">
        <v>0</v>
      </c>
      <c r="Z491" s="1579">
        <v>0</v>
      </c>
      <c r="AA491" s="1578">
        <f t="shared" si="33"/>
        <v>1890</v>
      </c>
    </row>
    <row r="492" spans="1:27" x14ac:dyDescent="0.25">
      <c r="A492" s="2903"/>
      <c r="B492" s="2926"/>
      <c r="C492" s="4282"/>
      <c r="D492" s="4282"/>
      <c r="E492" s="4552"/>
      <c r="F492" s="4453"/>
      <c r="G492" s="4453"/>
      <c r="H492" s="4282"/>
      <c r="I492" s="4282"/>
      <c r="J492" s="4474"/>
      <c r="K492" s="4474"/>
      <c r="L492" s="4282"/>
      <c r="M492" s="350" t="s">
        <v>541</v>
      </c>
      <c r="N492" s="347" t="s">
        <v>1369</v>
      </c>
      <c r="O492" s="1579">
        <v>0</v>
      </c>
      <c r="P492" s="1579">
        <v>0</v>
      </c>
      <c r="Q492" s="1579">
        <v>280</v>
      </c>
      <c r="R492" s="1579">
        <v>0</v>
      </c>
      <c r="S492" s="1579">
        <v>0</v>
      </c>
      <c r="T492" s="1579">
        <v>280</v>
      </c>
      <c r="U492" s="1579">
        <v>0</v>
      </c>
      <c r="V492" s="1579">
        <v>0</v>
      </c>
      <c r="W492" s="1579">
        <v>280</v>
      </c>
      <c r="X492" s="1579">
        <v>0</v>
      </c>
      <c r="Y492" s="1579">
        <v>0</v>
      </c>
      <c r="Z492" s="1579">
        <v>0</v>
      </c>
      <c r="AA492" s="1578">
        <f t="shared" si="33"/>
        <v>840</v>
      </c>
    </row>
    <row r="493" spans="1:27" ht="36" x14ac:dyDescent="0.25">
      <c r="A493" s="2903"/>
      <c r="B493" s="2926"/>
      <c r="C493" s="4282"/>
      <c r="D493" s="4282"/>
      <c r="E493" s="4552"/>
      <c r="F493" s="4453"/>
      <c r="G493" s="4453"/>
      <c r="H493" s="4282"/>
      <c r="I493" s="4282"/>
      <c r="J493" s="4474"/>
      <c r="K493" s="4474"/>
      <c r="L493" s="4282"/>
      <c r="M493" s="351" t="s">
        <v>208</v>
      </c>
      <c r="N493" s="348" t="s">
        <v>553</v>
      </c>
      <c r="O493" s="1579">
        <v>6104</v>
      </c>
      <c r="P493" s="1579">
        <v>6104</v>
      </c>
      <c r="Q493" s="1579">
        <v>6104</v>
      </c>
      <c r="R493" s="1579">
        <v>6104</v>
      </c>
      <c r="S493" s="1579">
        <v>6104</v>
      </c>
      <c r="T493" s="1579">
        <v>6104</v>
      </c>
      <c r="U493" s="1579">
        <v>6704</v>
      </c>
      <c r="V493" s="1579">
        <v>6104</v>
      </c>
      <c r="W493" s="1579">
        <v>6104</v>
      </c>
      <c r="X493" s="1579">
        <v>6104</v>
      </c>
      <c r="Y493" s="1579">
        <v>6104</v>
      </c>
      <c r="Z493" s="1579">
        <v>6704</v>
      </c>
      <c r="AA493" s="1578">
        <f t="shared" si="33"/>
        <v>74448</v>
      </c>
    </row>
    <row r="494" spans="1:27" ht="36" x14ac:dyDescent="0.25">
      <c r="A494" s="2903"/>
      <c r="B494" s="2927"/>
      <c r="C494" s="2354"/>
      <c r="D494" s="2354"/>
      <c r="E494" s="4683"/>
      <c r="F494" s="4684"/>
      <c r="G494" s="4684"/>
      <c r="H494" s="2354"/>
      <c r="I494" s="2354"/>
      <c r="J494" s="3151"/>
      <c r="K494" s="3151"/>
      <c r="L494" s="2354"/>
      <c r="M494" s="351" t="s">
        <v>210</v>
      </c>
      <c r="N494" s="348" t="s">
        <v>1371</v>
      </c>
      <c r="O494" s="1579">
        <v>207.9</v>
      </c>
      <c r="P494" s="1579">
        <v>207.9</v>
      </c>
      <c r="Q494" s="1579">
        <v>207.9</v>
      </c>
      <c r="R494" s="1579">
        <v>207.9</v>
      </c>
      <c r="S494" s="1579">
        <v>207.9</v>
      </c>
      <c r="T494" s="1579">
        <v>207.9</v>
      </c>
      <c r="U494" s="1579">
        <v>207.9</v>
      </c>
      <c r="V494" s="1579">
        <v>207.9</v>
      </c>
      <c r="W494" s="1579">
        <v>207.9</v>
      </c>
      <c r="X494" s="1579">
        <v>207.9</v>
      </c>
      <c r="Y494" s="1579">
        <v>207.9</v>
      </c>
      <c r="Z494" s="1579">
        <v>207.9</v>
      </c>
      <c r="AA494" s="1577">
        <f t="shared" si="33"/>
        <v>2494.8000000000006</v>
      </c>
    </row>
    <row r="495" spans="1:27" ht="32.25" customHeight="1" x14ac:dyDescent="0.25">
      <c r="A495" s="513"/>
      <c r="B495" s="1859" t="s">
        <v>8</v>
      </c>
      <c r="C495" s="2911" t="s">
        <v>2938</v>
      </c>
      <c r="D495" s="2912"/>
      <c r="E495" s="2912"/>
      <c r="F495" s="2912"/>
      <c r="G495" s="2912"/>
      <c r="H495" s="2912"/>
      <c r="I495" s="363"/>
      <c r="J495" s="363"/>
      <c r="K495" s="363"/>
      <c r="L495" s="363"/>
      <c r="M495" s="363"/>
      <c r="N495" s="363"/>
      <c r="O495" s="363"/>
      <c r="P495" s="363"/>
      <c r="Q495" s="363"/>
      <c r="R495" s="363"/>
      <c r="S495" s="363"/>
      <c r="T495" s="363"/>
      <c r="U495" s="363"/>
      <c r="V495" s="363"/>
      <c r="W495" s="363"/>
      <c r="X495" s="363"/>
      <c r="Y495" s="363"/>
      <c r="Z495" s="365"/>
      <c r="AA495" s="515"/>
    </row>
    <row r="496" spans="1:27" x14ac:dyDescent="0.25">
      <c r="A496" s="513"/>
      <c r="B496" s="1352" t="s">
        <v>11</v>
      </c>
      <c r="C496" s="2972" t="s">
        <v>230</v>
      </c>
      <c r="D496" s="2972"/>
      <c r="E496" s="2972"/>
      <c r="F496" s="2972"/>
      <c r="G496" s="2972"/>
      <c r="H496" s="2972"/>
      <c r="I496" s="2972"/>
      <c r="J496" s="2972"/>
      <c r="K496" s="2972"/>
      <c r="L496" s="2972"/>
      <c r="M496" s="2972"/>
      <c r="N496" s="2972"/>
      <c r="O496" s="2972"/>
      <c r="P496" s="2972"/>
      <c r="Q496" s="2972"/>
      <c r="R496" s="2972"/>
      <c r="S496" s="2972"/>
      <c r="T496" s="2972"/>
      <c r="U496" s="2972"/>
      <c r="V496" s="2972"/>
      <c r="W496" s="2972"/>
      <c r="X496" s="2972"/>
      <c r="Y496" s="4301"/>
      <c r="Z496" s="225"/>
      <c r="AA496" s="226"/>
    </row>
    <row r="497" spans="1:27" ht="22.5" customHeight="1" x14ac:dyDescent="0.25">
      <c r="A497" s="513"/>
      <c r="B497" s="2298" t="s">
        <v>13</v>
      </c>
      <c r="C497" s="2331">
        <v>9001</v>
      </c>
      <c r="D497" s="2305" t="s">
        <v>230</v>
      </c>
      <c r="E497" s="2314"/>
      <c r="F497" s="204"/>
      <c r="G497" s="204"/>
      <c r="H497" s="204"/>
      <c r="I497" s="204"/>
      <c r="J497" s="204"/>
      <c r="K497" s="204"/>
      <c r="L497" s="204"/>
      <c r="M497" s="204"/>
      <c r="N497" s="204"/>
      <c r="O497" s="204"/>
      <c r="P497" s="204"/>
      <c r="Q497" s="204"/>
      <c r="R497" s="204"/>
      <c r="S497" s="204"/>
      <c r="T497" s="205"/>
      <c r="U497" s="207"/>
      <c r="V497" s="2314" t="s">
        <v>15</v>
      </c>
      <c r="W497" s="2315"/>
      <c r="X497" s="2315"/>
      <c r="Y497" s="2316"/>
      <c r="Z497" s="2314" t="s">
        <v>16</v>
      </c>
      <c r="AA497" s="2316"/>
    </row>
    <row r="498" spans="1:27" ht="10.5" customHeight="1" x14ac:dyDescent="0.25">
      <c r="A498" s="513"/>
      <c r="B498" s="2298"/>
      <c r="C498" s="4363"/>
      <c r="D498" s="2305"/>
      <c r="E498" s="2314"/>
      <c r="F498" s="206"/>
      <c r="G498" s="206"/>
      <c r="H498" s="206"/>
      <c r="I498" s="206"/>
      <c r="J498" s="206"/>
      <c r="K498" s="206"/>
      <c r="L498" s="206"/>
      <c r="M498" s="206"/>
      <c r="N498" s="206"/>
      <c r="O498" s="206"/>
      <c r="P498" s="206"/>
      <c r="Q498" s="206"/>
      <c r="R498" s="206"/>
      <c r="S498" s="206"/>
      <c r="T498" s="207"/>
      <c r="U498" s="207"/>
      <c r="V498" s="2306"/>
      <c r="W498" s="2962"/>
      <c r="X498" s="2962"/>
      <c r="Y498" s="2307"/>
      <c r="Z498" s="2306"/>
      <c r="AA498" s="2307"/>
    </row>
    <row r="499" spans="1:27" ht="6.75" customHeight="1" x14ac:dyDescent="0.25">
      <c r="A499" s="513"/>
      <c r="B499" s="2298"/>
      <c r="C499" s="2332"/>
      <c r="D499" s="2305"/>
      <c r="E499" s="2314"/>
      <c r="F499" s="208"/>
      <c r="G499" s="208"/>
      <c r="H499" s="208"/>
      <c r="I499" s="208"/>
      <c r="J499" s="208"/>
      <c r="K499" s="208"/>
      <c r="L499" s="208"/>
      <c r="M499" s="208"/>
      <c r="N499" s="208"/>
      <c r="O499" s="208"/>
      <c r="P499" s="208"/>
      <c r="Q499" s="208"/>
      <c r="R499" s="208"/>
      <c r="S499" s="1661"/>
      <c r="T499" s="209"/>
      <c r="U499" s="207"/>
      <c r="V499" s="2963"/>
      <c r="W499" s="2964"/>
      <c r="X499" s="2964"/>
      <c r="Y499" s="2965"/>
      <c r="Z499" s="2963"/>
      <c r="AA499" s="2965"/>
    </row>
    <row r="500" spans="1:27" ht="16.5" customHeight="1" x14ac:dyDescent="0.25">
      <c r="A500" s="513"/>
      <c r="B500" s="2298" t="s">
        <v>18</v>
      </c>
      <c r="C500" s="2331">
        <v>3999999</v>
      </c>
      <c r="D500" s="2305" t="s">
        <v>163</v>
      </c>
      <c r="E500" s="2314"/>
      <c r="F500" s="204"/>
      <c r="G500" s="204"/>
      <c r="H500" s="204"/>
      <c r="I500" s="204"/>
      <c r="J500" s="204"/>
      <c r="K500" s="204"/>
      <c r="L500" s="204"/>
      <c r="M500" s="204"/>
      <c r="N500" s="204"/>
      <c r="O500" s="204"/>
      <c r="P500" s="204"/>
      <c r="Q500" s="204"/>
      <c r="R500" s="204"/>
      <c r="S500" s="204"/>
      <c r="T500" s="206"/>
      <c r="U500" s="211"/>
      <c r="V500" s="2314" t="s">
        <v>15</v>
      </c>
      <c r="W500" s="2315"/>
      <c r="X500" s="2315"/>
      <c r="Y500" s="2316"/>
      <c r="Z500" s="2314" t="s">
        <v>16</v>
      </c>
      <c r="AA500" s="2316"/>
    </row>
    <row r="501" spans="1:27" x14ac:dyDescent="0.25">
      <c r="A501" s="513"/>
      <c r="B501" s="2298"/>
      <c r="C501" s="2332"/>
      <c r="D501" s="2305"/>
      <c r="E501" s="2314"/>
      <c r="F501" s="208"/>
      <c r="G501" s="208"/>
      <c r="H501" s="208"/>
      <c r="I501" s="208"/>
      <c r="J501" s="208"/>
      <c r="K501" s="208"/>
      <c r="L501" s="208"/>
      <c r="M501" s="208"/>
      <c r="N501" s="208"/>
      <c r="O501" s="208"/>
      <c r="P501" s="208"/>
      <c r="Q501" s="208"/>
      <c r="R501" s="208"/>
      <c r="S501" s="208"/>
      <c r="T501" s="208"/>
      <c r="U501" s="213"/>
      <c r="V501" s="1306"/>
      <c r="W501" s="1353"/>
      <c r="X501" s="1353"/>
      <c r="Y501" s="1307"/>
      <c r="Z501" s="1662"/>
      <c r="AA501" s="232"/>
    </row>
    <row r="502" spans="1:27" x14ac:dyDescent="0.25">
      <c r="A502" s="513"/>
      <c r="B502" s="2320" t="s">
        <v>20</v>
      </c>
      <c r="C502" s="2324" t="s">
        <v>21</v>
      </c>
      <c r="D502" s="2324" t="s">
        <v>22</v>
      </c>
      <c r="E502" s="2324" t="s">
        <v>23</v>
      </c>
      <c r="F502" s="2324" t="s">
        <v>24</v>
      </c>
      <c r="G502" s="2324" t="s">
        <v>25</v>
      </c>
      <c r="H502" s="2324" t="s">
        <v>26</v>
      </c>
      <c r="I502" s="2324" t="s">
        <v>27</v>
      </c>
      <c r="J502" s="2322" t="s">
        <v>28</v>
      </c>
      <c r="K502" s="2323"/>
      <c r="L502" s="2324" t="s">
        <v>29</v>
      </c>
      <c r="M502" s="2322" t="s">
        <v>30</v>
      </c>
      <c r="N502" s="2323"/>
      <c r="O502" s="2343" t="s">
        <v>31</v>
      </c>
      <c r="P502" s="2344"/>
      <c r="Q502" s="2344"/>
      <c r="R502" s="2344"/>
      <c r="S502" s="2344"/>
      <c r="T502" s="2344"/>
      <c r="U502" s="2344"/>
      <c r="V502" s="2344"/>
      <c r="W502" s="2344"/>
      <c r="X502" s="2344"/>
      <c r="Y502" s="2344"/>
      <c r="Z502" s="2345"/>
      <c r="AA502" s="2346" t="s">
        <v>32</v>
      </c>
    </row>
    <row r="503" spans="1:27" ht="21.75" customHeight="1" x14ac:dyDescent="0.25">
      <c r="A503" s="513"/>
      <c r="B503" s="2321"/>
      <c r="C503" s="2324"/>
      <c r="D503" s="2324"/>
      <c r="E503" s="2324"/>
      <c r="F503" s="2324"/>
      <c r="G503" s="2324"/>
      <c r="H503" s="2324"/>
      <c r="I503" s="2324"/>
      <c r="J503" s="1355" t="s">
        <v>33</v>
      </c>
      <c r="K503" s="1355" t="s">
        <v>34</v>
      </c>
      <c r="L503" s="2324"/>
      <c r="M503" s="2325"/>
      <c r="N503" s="2326"/>
      <c r="O503" s="1354" t="s">
        <v>35</v>
      </c>
      <c r="P503" s="1354" t="s">
        <v>36</v>
      </c>
      <c r="Q503" s="1354" t="s">
        <v>37</v>
      </c>
      <c r="R503" s="1354" t="s">
        <v>38</v>
      </c>
      <c r="S503" s="1354" t="s">
        <v>39</v>
      </c>
      <c r="T503" s="1354" t="s">
        <v>40</v>
      </c>
      <c r="U503" s="1354" t="s">
        <v>41</v>
      </c>
      <c r="V503" s="1354" t="s">
        <v>42</v>
      </c>
      <c r="W503" s="1354" t="s">
        <v>43</v>
      </c>
      <c r="X503" s="1354" t="s">
        <v>44</v>
      </c>
      <c r="Y503" s="1354" t="s">
        <v>45</v>
      </c>
      <c r="Z503" s="1354" t="s">
        <v>46</v>
      </c>
      <c r="AA503" s="2346"/>
    </row>
    <row r="504" spans="1:27" x14ac:dyDescent="0.25">
      <c r="A504" s="513"/>
      <c r="B504" s="2925">
        <v>500000</v>
      </c>
      <c r="C504" s="2353" t="s">
        <v>232</v>
      </c>
      <c r="D504" s="2353" t="s">
        <v>2544</v>
      </c>
      <c r="E504" s="4551">
        <v>10</v>
      </c>
      <c r="F504" s="3148" t="s">
        <v>148</v>
      </c>
      <c r="G504" s="3148" t="s">
        <v>149</v>
      </c>
      <c r="H504" s="2353"/>
      <c r="I504" s="2353" t="s">
        <v>235</v>
      </c>
      <c r="J504" s="3150">
        <v>12</v>
      </c>
      <c r="K504" s="3150">
        <f>+SUM(AA506:AA516)</f>
        <v>276539</v>
      </c>
      <c r="L504" s="2353" t="s">
        <v>2545</v>
      </c>
      <c r="M504" s="2294" t="s">
        <v>51</v>
      </c>
      <c r="N504" s="2295"/>
      <c r="O504" s="481">
        <v>1</v>
      </c>
      <c r="P504" s="481">
        <v>1</v>
      </c>
      <c r="Q504" s="481">
        <v>1</v>
      </c>
      <c r="R504" s="481">
        <v>1</v>
      </c>
      <c r="S504" s="481">
        <v>1</v>
      </c>
      <c r="T504" s="481">
        <v>1</v>
      </c>
      <c r="U504" s="481">
        <v>1</v>
      </c>
      <c r="V504" s="481">
        <v>1</v>
      </c>
      <c r="W504" s="481">
        <v>1</v>
      </c>
      <c r="X504" s="481">
        <v>1</v>
      </c>
      <c r="Y504" s="481">
        <v>1</v>
      </c>
      <c r="Z504" s="481">
        <v>1</v>
      </c>
      <c r="AA504" s="1577">
        <f t="shared" ref="AA504:AA516" si="35">SUM(O504:Z504)</f>
        <v>12</v>
      </c>
    </row>
    <row r="505" spans="1:27" x14ac:dyDescent="0.25">
      <c r="A505" s="513"/>
      <c r="B505" s="2926"/>
      <c r="C505" s="4282"/>
      <c r="D505" s="4282"/>
      <c r="E505" s="4552"/>
      <c r="F505" s="4512"/>
      <c r="G505" s="4512"/>
      <c r="H505" s="4282"/>
      <c r="I505" s="4282"/>
      <c r="J505" s="4474"/>
      <c r="K505" s="4474"/>
      <c r="L505" s="4282"/>
      <c r="M505" s="2294" t="s">
        <v>111</v>
      </c>
      <c r="N505" s="2295"/>
      <c r="O505" s="479">
        <f t="shared" ref="O505:Z505" si="36">SUM(O506:O515)</f>
        <v>22278.916666666664</v>
      </c>
      <c r="P505" s="479">
        <f t="shared" si="36"/>
        <v>22278.916666666664</v>
      </c>
      <c r="Q505" s="479">
        <f t="shared" si="36"/>
        <v>22278.916666666664</v>
      </c>
      <c r="R505" s="479">
        <f t="shared" si="36"/>
        <v>22278.916666666664</v>
      </c>
      <c r="S505" s="479">
        <f t="shared" si="36"/>
        <v>22278.916666666664</v>
      </c>
      <c r="T505" s="479">
        <f t="shared" si="36"/>
        <v>22278.916666666664</v>
      </c>
      <c r="U505" s="479">
        <f t="shared" si="36"/>
        <v>22278.916666666664</v>
      </c>
      <c r="V505" s="479">
        <f t="shared" si="36"/>
        <v>22278.916666666664</v>
      </c>
      <c r="W505" s="479">
        <f t="shared" si="36"/>
        <v>22278.916666666664</v>
      </c>
      <c r="X505" s="479">
        <f t="shared" si="36"/>
        <v>22278.916666666664</v>
      </c>
      <c r="Y505" s="479">
        <f t="shared" si="36"/>
        <v>22278.916666666664</v>
      </c>
      <c r="Z505" s="479">
        <f t="shared" si="36"/>
        <v>22278.916666666664</v>
      </c>
      <c r="AA505" s="1578">
        <f t="shared" si="35"/>
        <v>267346.99999999994</v>
      </c>
    </row>
    <row r="506" spans="1:27" ht="54.75" customHeight="1" x14ac:dyDescent="0.25">
      <c r="A506" s="513"/>
      <c r="B506" s="2926"/>
      <c r="C506" s="4282"/>
      <c r="D506" s="4282"/>
      <c r="E506" s="4552"/>
      <c r="F506" s="4512"/>
      <c r="G506" s="4512"/>
      <c r="H506" s="4282"/>
      <c r="I506" s="4282"/>
      <c r="J506" s="4474"/>
      <c r="K506" s="4474"/>
      <c r="L506" s="4282"/>
      <c r="M506" s="1974" t="s">
        <v>169</v>
      </c>
      <c r="N506" s="1925" t="s">
        <v>1315</v>
      </c>
      <c r="O506" s="352">
        <v>7239.916666666667</v>
      </c>
      <c r="P506" s="352">
        <v>7239.916666666667</v>
      </c>
      <c r="Q506" s="352">
        <v>7239.916666666667</v>
      </c>
      <c r="R506" s="352">
        <v>7239.916666666667</v>
      </c>
      <c r="S506" s="352">
        <v>7239.916666666667</v>
      </c>
      <c r="T506" s="352">
        <v>7239.916666666667</v>
      </c>
      <c r="U506" s="352">
        <v>7239.916666666667</v>
      </c>
      <c r="V506" s="352">
        <v>7239.916666666667</v>
      </c>
      <c r="W506" s="352">
        <v>7239.916666666667</v>
      </c>
      <c r="X506" s="352">
        <v>7239.916666666667</v>
      </c>
      <c r="Y506" s="352">
        <v>7239.916666666667</v>
      </c>
      <c r="Z506" s="352">
        <v>7239.916666666667</v>
      </c>
      <c r="AA506" s="1578">
        <f t="shared" si="35"/>
        <v>86879</v>
      </c>
    </row>
    <row r="507" spans="1:27" ht="33.75" x14ac:dyDescent="0.25">
      <c r="A507" s="513"/>
      <c r="B507" s="2926"/>
      <c r="C507" s="4282"/>
      <c r="D507" s="4282"/>
      <c r="E507" s="4552"/>
      <c r="F507" s="4512"/>
      <c r="G507" s="4512"/>
      <c r="H507" s="4282"/>
      <c r="I507" s="4282"/>
      <c r="J507" s="4474"/>
      <c r="K507" s="4474"/>
      <c r="L507" s="4282"/>
      <c r="M507" s="1974" t="s">
        <v>171</v>
      </c>
      <c r="N507" s="1925" t="s">
        <v>1319</v>
      </c>
      <c r="O507" s="352">
        <v>9193.6666666666661</v>
      </c>
      <c r="P507" s="352">
        <v>9193.6666666666661</v>
      </c>
      <c r="Q507" s="352">
        <v>9193.6666666666661</v>
      </c>
      <c r="R507" s="352">
        <v>9193.6666666666661</v>
      </c>
      <c r="S507" s="352">
        <v>9193.6666666666661</v>
      </c>
      <c r="T507" s="352">
        <v>9193.6666666666661</v>
      </c>
      <c r="U507" s="352">
        <v>9193.6666666666661</v>
      </c>
      <c r="V507" s="352">
        <v>9193.6666666666661</v>
      </c>
      <c r="W507" s="352">
        <v>9193.6666666666661</v>
      </c>
      <c r="X507" s="352">
        <v>9193.6666666666661</v>
      </c>
      <c r="Y507" s="352">
        <v>9193.6666666666661</v>
      </c>
      <c r="Z507" s="352">
        <v>9193.6666666666661</v>
      </c>
      <c r="AA507" s="1578">
        <f t="shared" si="35"/>
        <v>110324.00000000001</v>
      </c>
    </row>
    <row r="508" spans="1:27" x14ac:dyDescent="0.25">
      <c r="A508" s="513"/>
      <c r="B508" s="2926"/>
      <c r="C508" s="4282"/>
      <c r="D508" s="4282"/>
      <c r="E508" s="4552"/>
      <c r="F508" s="4512"/>
      <c r="G508" s="4512"/>
      <c r="H508" s="4282"/>
      <c r="I508" s="4282"/>
      <c r="J508" s="4474"/>
      <c r="K508" s="4474"/>
      <c r="L508" s="4282"/>
      <c r="M508" s="1974" t="s">
        <v>172</v>
      </c>
      <c r="N508" s="1925" t="s">
        <v>1321</v>
      </c>
      <c r="O508" s="352">
        <v>450</v>
      </c>
      <c r="P508" s="352">
        <v>450</v>
      </c>
      <c r="Q508" s="352">
        <v>450</v>
      </c>
      <c r="R508" s="352">
        <v>450</v>
      </c>
      <c r="S508" s="352">
        <v>450</v>
      </c>
      <c r="T508" s="352">
        <v>450</v>
      </c>
      <c r="U508" s="352">
        <v>450</v>
      </c>
      <c r="V508" s="352">
        <v>450</v>
      </c>
      <c r="W508" s="352">
        <v>450</v>
      </c>
      <c r="X508" s="352">
        <v>450</v>
      </c>
      <c r="Y508" s="352">
        <v>450</v>
      </c>
      <c r="Z508" s="352">
        <v>450</v>
      </c>
      <c r="AA508" s="1578">
        <f t="shared" si="35"/>
        <v>5400</v>
      </c>
    </row>
    <row r="509" spans="1:27" ht="33.75" x14ac:dyDescent="0.25">
      <c r="A509" s="513"/>
      <c r="B509" s="2926"/>
      <c r="C509" s="4282"/>
      <c r="D509" s="4282"/>
      <c r="E509" s="4552"/>
      <c r="F509" s="4512"/>
      <c r="G509" s="4512"/>
      <c r="H509" s="4282"/>
      <c r="I509" s="4282"/>
      <c r="J509" s="4474"/>
      <c r="K509" s="4474"/>
      <c r="L509" s="4282"/>
      <c r="M509" s="1974" t="s">
        <v>174</v>
      </c>
      <c r="N509" s="1925" t="s">
        <v>1323</v>
      </c>
      <c r="O509" s="352">
        <v>300</v>
      </c>
      <c r="P509" s="352">
        <v>300</v>
      </c>
      <c r="Q509" s="352">
        <v>300</v>
      </c>
      <c r="R509" s="352">
        <v>300</v>
      </c>
      <c r="S509" s="352">
        <v>300</v>
      </c>
      <c r="T509" s="352">
        <v>300</v>
      </c>
      <c r="U509" s="352">
        <v>300</v>
      </c>
      <c r="V509" s="352">
        <v>300</v>
      </c>
      <c r="W509" s="352">
        <v>300</v>
      </c>
      <c r="X509" s="352">
        <v>300</v>
      </c>
      <c r="Y509" s="352">
        <v>300</v>
      </c>
      <c r="Z509" s="352">
        <v>300</v>
      </c>
      <c r="AA509" s="1578">
        <f t="shared" si="35"/>
        <v>3600</v>
      </c>
    </row>
    <row r="510" spans="1:27" ht="22.5" x14ac:dyDescent="0.25">
      <c r="A510" s="513"/>
      <c r="B510" s="2926"/>
      <c r="C510" s="4282"/>
      <c r="D510" s="4282"/>
      <c r="E510" s="4552"/>
      <c r="F510" s="4512"/>
      <c r="G510" s="4512"/>
      <c r="H510" s="4282"/>
      <c r="I510" s="4282"/>
      <c r="J510" s="4474"/>
      <c r="K510" s="4474"/>
      <c r="L510" s="4282"/>
      <c r="M510" s="1974" t="s">
        <v>176</v>
      </c>
      <c r="N510" s="1925" t="s">
        <v>1329</v>
      </c>
      <c r="O510" s="352">
        <v>637</v>
      </c>
      <c r="P510" s="352">
        <v>637</v>
      </c>
      <c r="Q510" s="352">
        <v>637</v>
      </c>
      <c r="R510" s="352">
        <v>637</v>
      </c>
      <c r="S510" s="352">
        <v>637</v>
      </c>
      <c r="T510" s="352">
        <v>637</v>
      </c>
      <c r="U510" s="352">
        <v>637</v>
      </c>
      <c r="V510" s="352">
        <v>637</v>
      </c>
      <c r="W510" s="352">
        <v>637</v>
      </c>
      <c r="X510" s="352">
        <v>637</v>
      </c>
      <c r="Y510" s="352">
        <v>637</v>
      </c>
      <c r="Z510" s="352">
        <v>637</v>
      </c>
      <c r="AA510" s="1578">
        <f t="shared" si="35"/>
        <v>7644</v>
      </c>
    </row>
    <row r="511" spans="1:27" ht="45" x14ac:dyDescent="0.25">
      <c r="A511" s="513"/>
      <c r="B511" s="2926"/>
      <c r="C511" s="4282"/>
      <c r="D511" s="4282"/>
      <c r="E511" s="4552"/>
      <c r="F511" s="4512"/>
      <c r="G511" s="4512"/>
      <c r="H511" s="4282"/>
      <c r="I511" s="4282"/>
      <c r="J511" s="4474"/>
      <c r="K511" s="4474"/>
      <c r="L511" s="4282"/>
      <c r="M511" s="1974" t="s">
        <v>178</v>
      </c>
      <c r="N511" s="1925" t="s">
        <v>2546</v>
      </c>
      <c r="O511" s="352">
        <v>375</v>
      </c>
      <c r="P511" s="352">
        <v>375</v>
      </c>
      <c r="Q511" s="352">
        <v>375</v>
      </c>
      <c r="R511" s="352">
        <v>375</v>
      </c>
      <c r="S511" s="352">
        <v>375</v>
      </c>
      <c r="T511" s="352">
        <v>375</v>
      </c>
      <c r="U511" s="352">
        <v>375</v>
      </c>
      <c r="V511" s="352">
        <v>375</v>
      </c>
      <c r="W511" s="352">
        <v>375</v>
      </c>
      <c r="X511" s="352">
        <v>375</v>
      </c>
      <c r="Y511" s="352">
        <v>375</v>
      </c>
      <c r="Z511" s="352">
        <v>375</v>
      </c>
      <c r="AA511" s="1578">
        <f t="shared" si="35"/>
        <v>4500</v>
      </c>
    </row>
    <row r="512" spans="1:27" ht="33.75" x14ac:dyDescent="0.25">
      <c r="A512" s="513"/>
      <c r="B512" s="2926"/>
      <c r="C512" s="4282"/>
      <c r="D512" s="4282"/>
      <c r="E512" s="4552"/>
      <c r="F512" s="4512"/>
      <c r="G512" s="4512"/>
      <c r="H512" s="4282"/>
      <c r="I512" s="4282"/>
      <c r="J512" s="4474"/>
      <c r="K512" s="4474"/>
      <c r="L512" s="4282"/>
      <c r="M512" s="1974" t="s">
        <v>541</v>
      </c>
      <c r="N512" s="1925" t="s">
        <v>2547</v>
      </c>
      <c r="O512" s="352">
        <v>333.33333333333331</v>
      </c>
      <c r="P512" s="352">
        <v>333.33333333333331</v>
      </c>
      <c r="Q512" s="352">
        <v>333.33333333333331</v>
      </c>
      <c r="R512" s="352">
        <v>333.33333333333331</v>
      </c>
      <c r="S512" s="352">
        <v>333.33333333333331</v>
      </c>
      <c r="T512" s="352">
        <v>333.33333333333331</v>
      </c>
      <c r="U512" s="352">
        <v>333.33333333333331</v>
      </c>
      <c r="V512" s="352">
        <v>333.33333333333331</v>
      </c>
      <c r="W512" s="352">
        <v>333.33333333333331</v>
      </c>
      <c r="X512" s="352">
        <v>333.33333333333331</v>
      </c>
      <c r="Y512" s="352">
        <v>333.33333333333331</v>
      </c>
      <c r="Z512" s="352">
        <v>333.33333333333331</v>
      </c>
      <c r="AA512" s="1578">
        <f t="shared" si="35"/>
        <v>4000.0000000000005</v>
      </c>
    </row>
    <row r="513" spans="1:27" ht="33.75" x14ac:dyDescent="0.25">
      <c r="A513" s="513"/>
      <c r="B513" s="2926"/>
      <c r="C513" s="4282"/>
      <c r="D513" s="4282"/>
      <c r="E513" s="4552"/>
      <c r="F513" s="4512"/>
      <c r="G513" s="4512"/>
      <c r="H513" s="4282"/>
      <c r="I513" s="4282"/>
      <c r="J513" s="4474"/>
      <c r="K513" s="4474"/>
      <c r="L513" s="4282"/>
      <c r="M513" s="1925" t="s">
        <v>194</v>
      </c>
      <c r="N513" s="1925" t="s">
        <v>1368</v>
      </c>
      <c r="O513" s="352">
        <v>2083.3333333333335</v>
      </c>
      <c r="P513" s="352">
        <v>2083.3333333333335</v>
      </c>
      <c r="Q513" s="352">
        <v>2083.3333333333335</v>
      </c>
      <c r="R513" s="352">
        <v>2083.3333333333335</v>
      </c>
      <c r="S513" s="352">
        <v>2083.3333333333335</v>
      </c>
      <c r="T513" s="352">
        <v>2083.3333333333335</v>
      </c>
      <c r="U513" s="352">
        <v>2083.3333333333335</v>
      </c>
      <c r="V513" s="352">
        <v>2083.3333333333335</v>
      </c>
      <c r="W513" s="352">
        <v>2083.3333333333335</v>
      </c>
      <c r="X513" s="352">
        <v>2083.3333333333335</v>
      </c>
      <c r="Y513" s="352">
        <v>2083.3333333333335</v>
      </c>
      <c r="Z513" s="352">
        <v>2083.3333333333335</v>
      </c>
      <c r="AA513" s="1578">
        <f t="shared" si="35"/>
        <v>24999.999999999996</v>
      </c>
    </row>
    <row r="514" spans="1:27" ht="33.75" x14ac:dyDescent="0.25">
      <c r="A514" s="513"/>
      <c r="B514" s="2926"/>
      <c r="C514" s="4282"/>
      <c r="D514" s="4282"/>
      <c r="E514" s="4552"/>
      <c r="F514" s="4512"/>
      <c r="G514" s="4512"/>
      <c r="H514" s="4282"/>
      <c r="I514" s="4282"/>
      <c r="J514" s="4474"/>
      <c r="K514" s="4474"/>
      <c r="L514" s="4282"/>
      <c r="M514" s="1925" t="s">
        <v>2382</v>
      </c>
      <c r="N514" s="1925" t="s">
        <v>2548</v>
      </c>
      <c r="O514" s="352">
        <v>416.66666666666669</v>
      </c>
      <c r="P514" s="352">
        <v>416.66666666666669</v>
      </c>
      <c r="Q514" s="352">
        <v>416.66666666666669</v>
      </c>
      <c r="R514" s="352">
        <v>416.66666666666669</v>
      </c>
      <c r="S514" s="352">
        <v>416.66666666666669</v>
      </c>
      <c r="T514" s="352">
        <v>416.66666666666669</v>
      </c>
      <c r="U514" s="352">
        <v>416.66666666666669</v>
      </c>
      <c r="V514" s="352">
        <v>416.66666666666669</v>
      </c>
      <c r="W514" s="352">
        <v>416.66666666666669</v>
      </c>
      <c r="X514" s="352">
        <v>416.66666666666669</v>
      </c>
      <c r="Y514" s="352">
        <v>416.66666666666669</v>
      </c>
      <c r="Z514" s="352">
        <v>416.66666666666669</v>
      </c>
      <c r="AA514" s="1578">
        <f t="shared" si="35"/>
        <v>5000</v>
      </c>
    </row>
    <row r="515" spans="1:27" ht="22.5" x14ac:dyDescent="0.25">
      <c r="A515" s="513"/>
      <c r="B515" s="2926"/>
      <c r="C515" s="4282"/>
      <c r="D515" s="4282"/>
      <c r="E515" s="4552"/>
      <c r="F515" s="4512"/>
      <c r="G515" s="4512"/>
      <c r="H515" s="4282"/>
      <c r="I515" s="4282"/>
      <c r="J515" s="4474"/>
      <c r="K515" s="4474"/>
      <c r="L515" s="4282"/>
      <c r="M515" s="1925" t="s">
        <v>205</v>
      </c>
      <c r="N515" s="1925" t="s">
        <v>2549</v>
      </c>
      <c r="O515" s="352">
        <v>1250</v>
      </c>
      <c r="P515" s="352">
        <v>1250</v>
      </c>
      <c r="Q515" s="352">
        <v>1250</v>
      </c>
      <c r="R515" s="352">
        <v>1250</v>
      </c>
      <c r="S515" s="352">
        <v>1250</v>
      </c>
      <c r="T515" s="352">
        <v>1250</v>
      </c>
      <c r="U515" s="352">
        <v>1250</v>
      </c>
      <c r="V515" s="352">
        <v>1250</v>
      </c>
      <c r="W515" s="352">
        <v>1250</v>
      </c>
      <c r="X515" s="352">
        <v>1250</v>
      </c>
      <c r="Y515" s="352">
        <v>1250</v>
      </c>
      <c r="Z515" s="352">
        <v>1250</v>
      </c>
      <c r="AA515" s="1578">
        <f t="shared" si="35"/>
        <v>15000</v>
      </c>
    </row>
    <row r="516" spans="1:27" ht="22.5" x14ac:dyDescent="0.25">
      <c r="A516" s="513"/>
      <c r="B516" s="2927"/>
      <c r="C516" s="2354"/>
      <c r="D516" s="2354"/>
      <c r="E516" s="4683"/>
      <c r="F516" s="3149"/>
      <c r="G516" s="3149"/>
      <c r="H516" s="2354"/>
      <c r="I516" s="2354"/>
      <c r="J516" s="3151"/>
      <c r="K516" s="3151"/>
      <c r="L516" s="2354"/>
      <c r="M516" s="1925" t="s">
        <v>206</v>
      </c>
      <c r="N516" s="1925" t="s">
        <v>2550</v>
      </c>
      <c r="O516" s="352">
        <v>766</v>
      </c>
      <c r="P516" s="352">
        <v>766</v>
      </c>
      <c r="Q516" s="352">
        <v>766</v>
      </c>
      <c r="R516" s="352">
        <v>766</v>
      </c>
      <c r="S516" s="352">
        <v>766</v>
      </c>
      <c r="T516" s="352">
        <v>766</v>
      </c>
      <c r="U516" s="352">
        <v>766</v>
      </c>
      <c r="V516" s="352">
        <v>766</v>
      </c>
      <c r="W516" s="352">
        <v>766</v>
      </c>
      <c r="X516" s="352">
        <v>766</v>
      </c>
      <c r="Y516" s="352">
        <v>766</v>
      </c>
      <c r="Z516" s="352">
        <v>766</v>
      </c>
      <c r="AA516" s="1578">
        <f t="shared" si="35"/>
        <v>9192</v>
      </c>
    </row>
    <row r="517" spans="1:27" x14ac:dyDescent="0.25">
      <c r="A517" s="513"/>
      <c r="B517" s="2320" t="s">
        <v>20</v>
      </c>
      <c r="C517" s="2324" t="s">
        <v>21</v>
      </c>
      <c r="D517" s="2324" t="s">
        <v>22</v>
      </c>
      <c r="E517" s="2324" t="s">
        <v>23</v>
      </c>
      <c r="F517" s="2324" t="s">
        <v>24</v>
      </c>
      <c r="G517" s="2324" t="s">
        <v>25</v>
      </c>
      <c r="H517" s="2324" t="s">
        <v>26</v>
      </c>
      <c r="I517" s="2324" t="s">
        <v>27</v>
      </c>
      <c r="J517" s="2322" t="s">
        <v>28</v>
      </c>
      <c r="K517" s="2323"/>
      <c r="L517" s="2324" t="s">
        <v>29</v>
      </c>
      <c r="M517" s="2322" t="s">
        <v>30</v>
      </c>
      <c r="N517" s="2323"/>
      <c r="O517" s="2343" t="s">
        <v>31</v>
      </c>
      <c r="P517" s="2344"/>
      <c r="Q517" s="2344"/>
      <c r="R517" s="2344"/>
      <c r="S517" s="2344"/>
      <c r="T517" s="2344"/>
      <c r="U517" s="2344"/>
      <c r="V517" s="2344"/>
      <c r="W517" s="2344"/>
      <c r="X517" s="2344"/>
      <c r="Y517" s="2344"/>
      <c r="Z517" s="2345"/>
      <c r="AA517" s="4685" t="s">
        <v>32</v>
      </c>
    </row>
    <row r="518" spans="1:27" ht="24.75" customHeight="1" x14ac:dyDescent="0.25">
      <c r="A518" s="513"/>
      <c r="B518" s="2321"/>
      <c r="C518" s="2324"/>
      <c r="D518" s="2324"/>
      <c r="E518" s="2324"/>
      <c r="F518" s="2324"/>
      <c r="G518" s="2324"/>
      <c r="H518" s="2324"/>
      <c r="I518" s="2324"/>
      <c r="J518" s="1355" t="s">
        <v>33</v>
      </c>
      <c r="K518" s="1355" t="s">
        <v>34</v>
      </c>
      <c r="L518" s="2324"/>
      <c r="M518" s="2325"/>
      <c r="N518" s="2326"/>
      <c r="O518" s="1354" t="s">
        <v>35</v>
      </c>
      <c r="P518" s="1354" t="s">
        <v>36</v>
      </c>
      <c r="Q518" s="1354" t="s">
        <v>37</v>
      </c>
      <c r="R518" s="1354" t="s">
        <v>38</v>
      </c>
      <c r="S518" s="1354" t="s">
        <v>39</v>
      </c>
      <c r="T518" s="1354" t="s">
        <v>40</v>
      </c>
      <c r="U518" s="1354" t="s">
        <v>41</v>
      </c>
      <c r="V518" s="1354" t="s">
        <v>42</v>
      </c>
      <c r="W518" s="1354" t="s">
        <v>43</v>
      </c>
      <c r="X518" s="1354" t="s">
        <v>44</v>
      </c>
      <c r="Y518" s="1354" t="s">
        <v>45</v>
      </c>
      <c r="Z518" s="1354" t="s">
        <v>46</v>
      </c>
      <c r="AA518" s="4686"/>
    </row>
    <row r="519" spans="1:27" x14ac:dyDescent="0.25">
      <c r="A519" s="513"/>
      <c r="B519" s="3155">
        <v>500000</v>
      </c>
      <c r="C519" s="2357" t="s">
        <v>2551</v>
      </c>
      <c r="D519" s="2357"/>
      <c r="E519" s="4337">
        <v>10</v>
      </c>
      <c r="F519" s="2351" t="s">
        <v>165</v>
      </c>
      <c r="G519" s="2351" t="s">
        <v>166</v>
      </c>
      <c r="H519" s="2357"/>
      <c r="I519" s="2357" t="s">
        <v>235</v>
      </c>
      <c r="J519" s="2355">
        <v>12</v>
      </c>
      <c r="K519" s="2355">
        <f>+SUM(AA521:AA554)</f>
        <v>1334332</v>
      </c>
      <c r="L519" s="2357" t="s">
        <v>2545</v>
      </c>
      <c r="M519" s="2294" t="s">
        <v>51</v>
      </c>
      <c r="N519" s="2295"/>
      <c r="O519" s="481">
        <v>1</v>
      </c>
      <c r="P519" s="481">
        <v>1</v>
      </c>
      <c r="Q519" s="481">
        <v>1</v>
      </c>
      <c r="R519" s="481">
        <v>1</v>
      </c>
      <c r="S519" s="481">
        <v>1</v>
      </c>
      <c r="T519" s="481">
        <v>1</v>
      </c>
      <c r="U519" s="481">
        <v>1</v>
      </c>
      <c r="V519" s="481">
        <v>1</v>
      </c>
      <c r="W519" s="481">
        <v>1</v>
      </c>
      <c r="X519" s="481">
        <v>1</v>
      </c>
      <c r="Y519" s="481">
        <v>1</v>
      </c>
      <c r="Z519" s="481">
        <v>1</v>
      </c>
      <c r="AA519" s="1578">
        <f t="shared" ref="AA519:AA554" si="37">SUM(O519:Z519)</f>
        <v>12</v>
      </c>
    </row>
    <row r="520" spans="1:27" x14ac:dyDescent="0.25">
      <c r="A520" s="513"/>
      <c r="B520" s="3156"/>
      <c r="C520" s="4289"/>
      <c r="D520" s="4289"/>
      <c r="E520" s="4338"/>
      <c r="F520" s="4687"/>
      <c r="G520" s="4687"/>
      <c r="H520" s="4289"/>
      <c r="I520" s="4289"/>
      <c r="J520" s="4343"/>
      <c r="K520" s="4343"/>
      <c r="L520" s="4289"/>
      <c r="M520" s="2294" t="s">
        <v>111</v>
      </c>
      <c r="N520" s="2295"/>
      <c r="O520" s="479">
        <f t="shared" ref="O520:Z520" si="38">SUM(O521:O554)</f>
        <v>111194.33333333336</v>
      </c>
      <c r="P520" s="479">
        <f t="shared" si="38"/>
        <v>111194.33333333336</v>
      </c>
      <c r="Q520" s="479">
        <f t="shared" si="38"/>
        <v>111194.33333333336</v>
      </c>
      <c r="R520" s="479">
        <f t="shared" si="38"/>
        <v>111194.33333333336</v>
      </c>
      <c r="S520" s="479">
        <f t="shared" si="38"/>
        <v>111194.33333333336</v>
      </c>
      <c r="T520" s="479">
        <f t="shared" si="38"/>
        <v>111194.33333333336</v>
      </c>
      <c r="U520" s="479">
        <f t="shared" si="38"/>
        <v>111194.33333333336</v>
      </c>
      <c r="V520" s="479">
        <f t="shared" si="38"/>
        <v>111194.33333333336</v>
      </c>
      <c r="W520" s="479">
        <f t="shared" si="38"/>
        <v>111194.33333333336</v>
      </c>
      <c r="X520" s="479">
        <f t="shared" si="38"/>
        <v>111194.33333333336</v>
      </c>
      <c r="Y520" s="479">
        <f t="shared" si="38"/>
        <v>111194.33333333336</v>
      </c>
      <c r="Z520" s="479">
        <f t="shared" si="38"/>
        <v>111194.33333333336</v>
      </c>
      <c r="AA520" s="1578">
        <f t="shared" si="37"/>
        <v>1334332</v>
      </c>
    </row>
    <row r="521" spans="1:27" ht="67.5" x14ac:dyDescent="0.25">
      <c r="A521" s="513"/>
      <c r="B521" s="3156"/>
      <c r="C521" s="4289"/>
      <c r="D521" s="4289"/>
      <c r="E521" s="4338"/>
      <c r="F521" s="4687"/>
      <c r="G521" s="4687"/>
      <c r="H521" s="4289"/>
      <c r="I521" s="4289"/>
      <c r="J521" s="4343"/>
      <c r="K521" s="4343"/>
      <c r="L521" s="4289"/>
      <c r="M521" s="1974" t="s">
        <v>169</v>
      </c>
      <c r="N521" s="877" t="s">
        <v>1315</v>
      </c>
      <c r="O521" s="352">
        <v>14477.083333333334</v>
      </c>
      <c r="P521" s="352">
        <v>14477.083333333334</v>
      </c>
      <c r="Q521" s="352">
        <v>14477.083333333334</v>
      </c>
      <c r="R521" s="352">
        <v>14477.083333333334</v>
      </c>
      <c r="S521" s="352">
        <v>14477.083333333334</v>
      </c>
      <c r="T521" s="352">
        <v>14477.083333333334</v>
      </c>
      <c r="U521" s="352">
        <v>14477.083333333334</v>
      </c>
      <c r="V521" s="352">
        <v>14477.083333333334</v>
      </c>
      <c r="W521" s="352">
        <v>14477.083333333334</v>
      </c>
      <c r="X521" s="352">
        <v>14477.083333333334</v>
      </c>
      <c r="Y521" s="352">
        <v>14477.083333333334</v>
      </c>
      <c r="Z521" s="352">
        <v>14477.083333333334</v>
      </c>
      <c r="AA521" s="1578">
        <f t="shared" si="37"/>
        <v>173725</v>
      </c>
    </row>
    <row r="522" spans="1:27" ht="33.75" x14ac:dyDescent="0.25">
      <c r="A522" s="513"/>
      <c r="B522" s="3156"/>
      <c r="C522" s="4289"/>
      <c r="D522" s="4289"/>
      <c r="E522" s="4338"/>
      <c r="F522" s="4687"/>
      <c r="G522" s="4687"/>
      <c r="H522" s="4289"/>
      <c r="I522" s="4289"/>
      <c r="J522" s="4343"/>
      <c r="K522" s="4343"/>
      <c r="L522" s="4289"/>
      <c r="M522" s="1974" t="s">
        <v>171</v>
      </c>
      <c r="N522" s="877" t="s">
        <v>1319</v>
      </c>
      <c r="O522" s="352">
        <v>24667.25</v>
      </c>
      <c r="P522" s="352">
        <v>24667.25</v>
      </c>
      <c r="Q522" s="352">
        <v>24667.25</v>
      </c>
      <c r="R522" s="352">
        <v>24667.25</v>
      </c>
      <c r="S522" s="352">
        <v>24667.25</v>
      </c>
      <c r="T522" s="352">
        <v>24667.25</v>
      </c>
      <c r="U522" s="352">
        <v>24667.25</v>
      </c>
      <c r="V522" s="352">
        <v>24667.25</v>
      </c>
      <c r="W522" s="352">
        <v>24667.25</v>
      </c>
      <c r="X522" s="352">
        <v>24667.25</v>
      </c>
      <c r="Y522" s="352">
        <v>24667.25</v>
      </c>
      <c r="Z522" s="352">
        <v>24667.25</v>
      </c>
      <c r="AA522" s="1578">
        <f t="shared" si="37"/>
        <v>296007</v>
      </c>
    </row>
    <row r="523" spans="1:27" x14ac:dyDescent="0.25">
      <c r="A523" s="513"/>
      <c r="B523" s="3156"/>
      <c r="C523" s="4289"/>
      <c r="D523" s="4289"/>
      <c r="E523" s="4338"/>
      <c r="F523" s="4687"/>
      <c r="G523" s="4687"/>
      <c r="H523" s="4289"/>
      <c r="I523" s="4289"/>
      <c r="J523" s="4343"/>
      <c r="K523" s="4343"/>
      <c r="L523" s="4289"/>
      <c r="M523" s="1974" t="s">
        <v>172</v>
      </c>
      <c r="N523" s="877" t="s">
        <v>1321</v>
      </c>
      <c r="O523" s="352">
        <v>1100</v>
      </c>
      <c r="P523" s="352">
        <v>1100</v>
      </c>
      <c r="Q523" s="352">
        <v>1100</v>
      </c>
      <c r="R523" s="352">
        <v>1100</v>
      </c>
      <c r="S523" s="352">
        <v>1100</v>
      </c>
      <c r="T523" s="352">
        <v>1100</v>
      </c>
      <c r="U523" s="352">
        <v>1100</v>
      </c>
      <c r="V523" s="352">
        <v>1100</v>
      </c>
      <c r="W523" s="352">
        <v>1100</v>
      </c>
      <c r="X523" s="352">
        <v>1100</v>
      </c>
      <c r="Y523" s="352">
        <v>1100</v>
      </c>
      <c r="Z523" s="352">
        <v>1100</v>
      </c>
      <c r="AA523" s="1578">
        <f t="shared" si="37"/>
        <v>13200</v>
      </c>
    </row>
    <row r="524" spans="1:27" ht="33.75" x14ac:dyDescent="0.25">
      <c r="A524" s="513"/>
      <c r="B524" s="3156"/>
      <c r="C524" s="4289"/>
      <c r="D524" s="4289"/>
      <c r="E524" s="4338"/>
      <c r="F524" s="4687"/>
      <c r="G524" s="4687"/>
      <c r="H524" s="4289"/>
      <c r="I524" s="4289"/>
      <c r="J524" s="4343"/>
      <c r="K524" s="4343"/>
      <c r="L524" s="4289"/>
      <c r="M524" s="1974" t="s">
        <v>174</v>
      </c>
      <c r="N524" s="877" t="s">
        <v>1323</v>
      </c>
      <c r="O524" s="352">
        <v>733.33333333333337</v>
      </c>
      <c r="P524" s="352">
        <v>733.33333333333337</v>
      </c>
      <c r="Q524" s="352">
        <v>733.33333333333337</v>
      </c>
      <c r="R524" s="352">
        <v>733.33333333333337</v>
      </c>
      <c r="S524" s="352">
        <v>733.33333333333337</v>
      </c>
      <c r="T524" s="352">
        <v>733.33333333333337</v>
      </c>
      <c r="U524" s="352">
        <v>733.33333333333337</v>
      </c>
      <c r="V524" s="352">
        <v>733.33333333333337</v>
      </c>
      <c r="W524" s="352">
        <v>733.33333333333337</v>
      </c>
      <c r="X524" s="352">
        <v>733.33333333333337</v>
      </c>
      <c r="Y524" s="352">
        <v>733.33333333333337</v>
      </c>
      <c r="Z524" s="352">
        <v>733.33333333333337</v>
      </c>
      <c r="AA524" s="1578">
        <f t="shared" si="37"/>
        <v>8799.9999999999982</v>
      </c>
    </row>
    <row r="525" spans="1:27" ht="33.75" x14ac:dyDescent="0.25">
      <c r="A525" s="513"/>
      <c r="B525" s="3156"/>
      <c r="C525" s="4289"/>
      <c r="D525" s="4289"/>
      <c r="E525" s="4338"/>
      <c r="F525" s="4687"/>
      <c r="G525" s="4687"/>
      <c r="H525" s="4289"/>
      <c r="I525" s="4289"/>
      <c r="J525" s="4343"/>
      <c r="K525" s="4343"/>
      <c r="L525" s="4289"/>
      <c r="M525" s="1974" t="s">
        <v>2552</v>
      </c>
      <c r="N525" s="877" t="s">
        <v>1700</v>
      </c>
      <c r="O525" s="352">
        <v>208.33333333333334</v>
      </c>
      <c r="P525" s="352">
        <v>208.33333333333334</v>
      </c>
      <c r="Q525" s="352">
        <v>208.33333333333334</v>
      </c>
      <c r="R525" s="352">
        <v>208.33333333333334</v>
      </c>
      <c r="S525" s="352">
        <v>208.33333333333334</v>
      </c>
      <c r="T525" s="352">
        <v>208.33333333333334</v>
      </c>
      <c r="U525" s="352">
        <v>208.33333333333334</v>
      </c>
      <c r="V525" s="352">
        <v>208.33333333333334</v>
      </c>
      <c r="W525" s="352">
        <v>208.33333333333334</v>
      </c>
      <c r="X525" s="352">
        <v>208.33333333333334</v>
      </c>
      <c r="Y525" s="352">
        <v>208.33333333333334</v>
      </c>
      <c r="Z525" s="352">
        <v>208.33333333333334</v>
      </c>
      <c r="AA525" s="1578">
        <f t="shared" si="37"/>
        <v>2500</v>
      </c>
    </row>
    <row r="526" spans="1:27" ht="22.5" x14ac:dyDescent="0.25">
      <c r="A526" s="513"/>
      <c r="B526" s="3156"/>
      <c r="C526" s="4289"/>
      <c r="D526" s="4289"/>
      <c r="E526" s="4338"/>
      <c r="F526" s="4687"/>
      <c r="G526" s="4687"/>
      <c r="H526" s="4289"/>
      <c r="I526" s="4289"/>
      <c r="J526" s="4343"/>
      <c r="K526" s="4343"/>
      <c r="L526" s="4289"/>
      <c r="M526" s="1974" t="s">
        <v>176</v>
      </c>
      <c r="N526" s="877" t="s">
        <v>1329</v>
      </c>
      <c r="O526" s="352">
        <v>1554.1666666666667</v>
      </c>
      <c r="P526" s="352">
        <v>1554.1666666666667</v>
      </c>
      <c r="Q526" s="352">
        <v>1554.1666666666667</v>
      </c>
      <c r="R526" s="352">
        <v>1554.1666666666667</v>
      </c>
      <c r="S526" s="352">
        <v>1554.1666666666667</v>
      </c>
      <c r="T526" s="352">
        <v>1554.1666666666667</v>
      </c>
      <c r="U526" s="352">
        <v>1554.1666666666667</v>
      </c>
      <c r="V526" s="352">
        <v>1554.1666666666667</v>
      </c>
      <c r="W526" s="352">
        <v>1554.1666666666667</v>
      </c>
      <c r="X526" s="352">
        <v>1554.1666666666667</v>
      </c>
      <c r="Y526" s="352">
        <v>1554.1666666666667</v>
      </c>
      <c r="Z526" s="352">
        <v>1554.1666666666667</v>
      </c>
      <c r="AA526" s="1578">
        <f t="shared" si="37"/>
        <v>18650</v>
      </c>
    </row>
    <row r="527" spans="1:27" ht="45" x14ac:dyDescent="0.25">
      <c r="A527" s="513"/>
      <c r="B527" s="3156"/>
      <c r="C527" s="4289"/>
      <c r="D527" s="4289"/>
      <c r="E527" s="4338"/>
      <c r="F527" s="4687"/>
      <c r="G527" s="4687"/>
      <c r="H527" s="4289"/>
      <c r="I527" s="4289"/>
      <c r="J527" s="4343"/>
      <c r="K527" s="4343"/>
      <c r="L527" s="4289"/>
      <c r="M527" s="1974" t="s">
        <v>178</v>
      </c>
      <c r="N527" s="877" t="s">
        <v>2546</v>
      </c>
      <c r="O527" s="352">
        <v>825</v>
      </c>
      <c r="P527" s="352">
        <v>825</v>
      </c>
      <c r="Q527" s="352">
        <v>825</v>
      </c>
      <c r="R527" s="352">
        <v>825</v>
      </c>
      <c r="S527" s="352">
        <v>825</v>
      </c>
      <c r="T527" s="352">
        <v>825</v>
      </c>
      <c r="U527" s="352">
        <v>825</v>
      </c>
      <c r="V527" s="352">
        <v>825</v>
      </c>
      <c r="W527" s="352">
        <v>825</v>
      </c>
      <c r="X527" s="352">
        <v>825</v>
      </c>
      <c r="Y527" s="352">
        <v>825</v>
      </c>
      <c r="Z527" s="352">
        <v>825</v>
      </c>
      <c r="AA527" s="1578">
        <f t="shared" si="37"/>
        <v>9900</v>
      </c>
    </row>
    <row r="528" spans="1:27" ht="22.5" x14ac:dyDescent="0.25">
      <c r="A528" s="513"/>
      <c r="B528" s="3156"/>
      <c r="C528" s="4289"/>
      <c r="D528" s="4289"/>
      <c r="E528" s="4338"/>
      <c r="F528" s="4687"/>
      <c r="G528" s="4687"/>
      <c r="H528" s="4289"/>
      <c r="I528" s="4289"/>
      <c r="J528" s="4343"/>
      <c r="K528" s="4343"/>
      <c r="L528" s="4289"/>
      <c r="M528" s="1974" t="s">
        <v>213</v>
      </c>
      <c r="N528" s="877" t="s">
        <v>2553</v>
      </c>
      <c r="O528" s="352">
        <v>3133.3333333333335</v>
      </c>
      <c r="P528" s="352">
        <v>3133.3333333333335</v>
      </c>
      <c r="Q528" s="352">
        <v>3133.3333333333335</v>
      </c>
      <c r="R528" s="352">
        <v>3133.3333333333335</v>
      </c>
      <c r="S528" s="352">
        <v>3133.3333333333335</v>
      </c>
      <c r="T528" s="352">
        <v>3133.3333333333335</v>
      </c>
      <c r="U528" s="352">
        <v>3133.3333333333335</v>
      </c>
      <c r="V528" s="352">
        <v>3133.3333333333335</v>
      </c>
      <c r="W528" s="352">
        <v>3133.3333333333335</v>
      </c>
      <c r="X528" s="352">
        <v>3133.3333333333335</v>
      </c>
      <c r="Y528" s="352">
        <v>3133.3333333333335</v>
      </c>
      <c r="Z528" s="352">
        <v>3133.3333333333335</v>
      </c>
      <c r="AA528" s="1578">
        <f t="shared" si="37"/>
        <v>37600</v>
      </c>
    </row>
    <row r="529" spans="1:27" x14ac:dyDescent="0.25">
      <c r="A529" s="513"/>
      <c r="B529" s="3156"/>
      <c r="C529" s="4289"/>
      <c r="D529" s="4289"/>
      <c r="E529" s="4338"/>
      <c r="F529" s="4687"/>
      <c r="G529" s="4687"/>
      <c r="H529" s="4289"/>
      <c r="I529" s="4289"/>
      <c r="J529" s="4343"/>
      <c r="K529" s="4343"/>
      <c r="L529" s="4289"/>
      <c r="M529" s="1974" t="s">
        <v>180</v>
      </c>
      <c r="N529" s="877" t="s">
        <v>2554</v>
      </c>
      <c r="O529" s="352">
        <v>3333.3333333333335</v>
      </c>
      <c r="P529" s="352">
        <v>3333.3333333333335</v>
      </c>
      <c r="Q529" s="352">
        <v>3333.3333333333335</v>
      </c>
      <c r="R529" s="352">
        <v>3333.3333333333335</v>
      </c>
      <c r="S529" s="352">
        <v>3333.3333333333335</v>
      </c>
      <c r="T529" s="352">
        <v>3333.3333333333335</v>
      </c>
      <c r="U529" s="352">
        <v>3333.3333333333335</v>
      </c>
      <c r="V529" s="352">
        <v>3333.3333333333335</v>
      </c>
      <c r="W529" s="352">
        <v>3333.3333333333335</v>
      </c>
      <c r="X529" s="352">
        <v>3333.3333333333335</v>
      </c>
      <c r="Y529" s="352">
        <v>3333.3333333333335</v>
      </c>
      <c r="Z529" s="352">
        <v>3333.3333333333335</v>
      </c>
      <c r="AA529" s="1578">
        <f t="shared" si="37"/>
        <v>40000</v>
      </c>
    </row>
    <row r="530" spans="1:27" x14ac:dyDescent="0.25">
      <c r="A530" s="513"/>
      <c r="B530" s="3156"/>
      <c r="C530" s="4289"/>
      <c r="D530" s="4289"/>
      <c r="E530" s="4338"/>
      <c r="F530" s="4687"/>
      <c r="G530" s="4687"/>
      <c r="H530" s="4289"/>
      <c r="I530" s="4289"/>
      <c r="J530" s="4343"/>
      <c r="K530" s="4343"/>
      <c r="L530" s="4289"/>
      <c r="M530" s="1974" t="s">
        <v>215</v>
      </c>
      <c r="N530" s="877" t="s">
        <v>2555</v>
      </c>
      <c r="O530" s="352">
        <v>183.33333333333334</v>
      </c>
      <c r="P530" s="352">
        <v>183.33333333333334</v>
      </c>
      <c r="Q530" s="352">
        <v>183.33333333333334</v>
      </c>
      <c r="R530" s="352">
        <v>183.33333333333334</v>
      </c>
      <c r="S530" s="352">
        <v>183.33333333333334</v>
      </c>
      <c r="T530" s="352">
        <v>183.33333333333334</v>
      </c>
      <c r="U530" s="352">
        <v>183.33333333333334</v>
      </c>
      <c r="V530" s="352">
        <v>183.33333333333334</v>
      </c>
      <c r="W530" s="352">
        <v>183.33333333333334</v>
      </c>
      <c r="X530" s="352">
        <v>183.33333333333334</v>
      </c>
      <c r="Y530" s="352">
        <v>183.33333333333334</v>
      </c>
      <c r="Z530" s="352">
        <v>183.33333333333334</v>
      </c>
      <c r="AA530" s="1578">
        <f t="shared" si="37"/>
        <v>2199.9999999999995</v>
      </c>
    </row>
    <row r="531" spans="1:27" x14ac:dyDescent="0.25">
      <c r="A531" s="513"/>
      <c r="B531" s="3156"/>
      <c r="C531" s="4289"/>
      <c r="D531" s="4289"/>
      <c r="E531" s="4338"/>
      <c r="F531" s="4687"/>
      <c r="G531" s="4687"/>
      <c r="H531" s="4289"/>
      <c r="I531" s="4289"/>
      <c r="J531" s="4343"/>
      <c r="K531" s="4343"/>
      <c r="L531" s="4289"/>
      <c r="M531" s="1974" t="s">
        <v>182</v>
      </c>
      <c r="N531" s="877" t="s">
        <v>2556</v>
      </c>
      <c r="O531" s="352">
        <v>1286.5833333333333</v>
      </c>
      <c r="P531" s="352">
        <v>1286.5833333333333</v>
      </c>
      <c r="Q531" s="352">
        <v>1286.5833333333333</v>
      </c>
      <c r="R531" s="352">
        <v>1286.5833333333333</v>
      </c>
      <c r="S531" s="352">
        <v>1286.5833333333333</v>
      </c>
      <c r="T531" s="352">
        <v>1286.5833333333333</v>
      </c>
      <c r="U531" s="352">
        <v>1286.5833333333333</v>
      </c>
      <c r="V531" s="352">
        <v>1286.5833333333333</v>
      </c>
      <c r="W531" s="352">
        <v>1286.5833333333333</v>
      </c>
      <c r="X531" s="352">
        <v>1286.5833333333333</v>
      </c>
      <c r="Y531" s="352">
        <v>1286.5833333333333</v>
      </c>
      <c r="Z531" s="352">
        <v>1286.5833333333333</v>
      </c>
      <c r="AA531" s="1578">
        <f t="shared" si="37"/>
        <v>15439.000000000002</v>
      </c>
    </row>
    <row r="532" spans="1:27" ht="22.5" x14ac:dyDescent="0.25">
      <c r="A532" s="513"/>
      <c r="B532" s="3156"/>
      <c r="C532" s="4289"/>
      <c r="D532" s="4289"/>
      <c r="E532" s="4338"/>
      <c r="F532" s="4687"/>
      <c r="G532" s="4687"/>
      <c r="H532" s="4289"/>
      <c r="I532" s="4289"/>
      <c r="J532" s="4343"/>
      <c r="K532" s="4343"/>
      <c r="L532" s="4289"/>
      <c r="M532" s="1974" t="s">
        <v>184</v>
      </c>
      <c r="N532" s="877" t="s">
        <v>2557</v>
      </c>
      <c r="O532" s="352">
        <v>833.33333333333337</v>
      </c>
      <c r="P532" s="352">
        <v>833.33333333333337</v>
      </c>
      <c r="Q532" s="352">
        <v>833.33333333333337</v>
      </c>
      <c r="R532" s="352">
        <v>833.33333333333337</v>
      </c>
      <c r="S532" s="352">
        <v>833.33333333333337</v>
      </c>
      <c r="T532" s="352">
        <v>833.33333333333337</v>
      </c>
      <c r="U532" s="352">
        <v>833.33333333333337</v>
      </c>
      <c r="V532" s="352">
        <v>833.33333333333337</v>
      </c>
      <c r="W532" s="352">
        <v>833.33333333333337</v>
      </c>
      <c r="X532" s="352">
        <v>833.33333333333337</v>
      </c>
      <c r="Y532" s="352">
        <v>833.33333333333337</v>
      </c>
      <c r="Z532" s="352">
        <v>833.33333333333337</v>
      </c>
      <c r="AA532" s="1578">
        <f t="shared" si="37"/>
        <v>10000</v>
      </c>
    </row>
    <row r="533" spans="1:27" ht="33.75" x14ac:dyDescent="0.25">
      <c r="A533" s="513"/>
      <c r="B533" s="3156"/>
      <c r="C533" s="4289"/>
      <c r="D533" s="4289"/>
      <c r="E533" s="4338"/>
      <c r="F533" s="4687"/>
      <c r="G533" s="4687"/>
      <c r="H533" s="4289"/>
      <c r="I533" s="4289"/>
      <c r="J533" s="4343"/>
      <c r="K533" s="4343"/>
      <c r="L533" s="4289"/>
      <c r="M533" s="1974" t="s">
        <v>186</v>
      </c>
      <c r="N533" s="877" t="s">
        <v>1268</v>
      </c>
      <c r="O533" s="352">
        <v>125</v>
      </c>
      <c r="P533" s="352">
        <v>125</v>
      </c>
      <c r="Q533" s="352">
        <v>125</v>
      </c>
      <c r="R533" s="352">
        <v>125</v>
      </c>
      <c r="S533" s="352">
        <v>125</v>
      </c>
      <c r="T533" s="352">
        <v>125</v>
      </c>
      <c r="U533" s="352">
        <v>125</v>
      </c>
      <c r="V533" s="352">
        <v>125</v>
      </c>
      <c r="W533" s="352">
        <v>125</v>
      </c>
      <c r="X533" s="352">
        <v>125</v>
      </c>
      <c r="Y533" s="352">
        <v>125</v>
      </c>
      <c r="Z533" s="352">
        <v>125</v>
      </c>
      <c r="AA533" s="1578">
        <f t="shared" si="37"/>
        <v>1500</v>
      </c>
    </row>
    <row r="534" spans="1:27" ht="33.75" x14ac:dyDescent="0.25">
      <c r="A534" s="513"/>
      <c r="B534" s="3156"/>
      <c r="C534" s="4289"/>
      <c r="D534" s="4289"/>
      <c r="E534" s="4338"/>
      <c r="F534" s="4687"/>
      <c r="G534" s="4687"/>
      <c r="H534" s="4289"/>
      <c r="I534" s="4289"/>
      <c r="J534" s="4343"/>
      <c r="K534" s="4343"/>
      <c r="L534" s="4289"/>
      <c r="M534" s="1974" t="s">
        <v>1780</v>
      </c>
      <c r="N534" s="877" t="s">
        <v>1270</v>
      </c>
      <c r="O534" s="352">
        <v>83.333333333333329</v>
      </c>
      <c r="P534" s="352">
        <v>83.333333333333329</v>
      </c>
      <c r="Q534" s="352">
        <v>83.333333333333329</v>
      </c>
      <c r="R534" s="352">
        <v>83.333333333333329</v>
      </c>
      <c r="S534" s="352">
        <v>83.333333333333329</v>
      </c>
      <c r="T534" s="352">
        <v>83.333333333333329</v>
      </c>
      <c r="U534" s="352">
        <v>83.333333333333329</v>
      </c>
      <c r="V534" s="352">
        <v>83.333333333333329</v>
      </c>
      <c r="W534" s="352">
        <v>83.333333333333329</v>
      </c>
      <c r="X534" s="352">
        <v>83.333333333333329</v>
      </c>
      <c r="Y534" s="352">
        <v>83.333333333333329</v>
      </c>
      <c r="Z534" s="352">
        <v>83.333333333333329</v>
      </c>
      <c r="AA534" s="1578">
        <f t="shared" si="37"/>
        <v>1000.0000000000001</v>
      </c>
    </row>
    <row r="535" spans="1:27" x14ac:dyDescent="0.25">
      <c r="A535" s="513"/>
      <c r="B535" s="3156"/>
      <c r="C535" s="4289"/>
      <c r="D535" s="4289"/>
      <c r="E535" s="4338"/>
      <c r="F535" s="4687"/>
      <c r="G535" s="4687"/>
      <c r="H535" s="4289"/>
      <c r="I535" s="4289"/>
      <c r="J535" s="4343"/>
      <c r="K535" s="4343"/>
      <c r="L535" s="4289"/>
      <c r="M535" s="1974" t="s">
        <v>217</v>
      </c>
      <c r="N535" s="877" t="s">
        <v>1224</v>
      </c>
      <c r="O535" s="352">
        <v>416.66666666666669</v>
      </c>
      <c r="P535" s="352">
        <v>416.66666666666669</v>
      </c>
      <c r="Q535" s="352">
        <v>416.66666666666669</v>
      </c>
      <c r="R535" s="352">
        <v>416.66666666666669</v>
      </c>
      <c r="S535" s="352">
        <v>416.66666666666669</v>
      </c>
      <c r="T535" s="352">
        <v>416.66666666666669</v>
      </c>
      <c r="U535" s="352">
        <v>416.66666666666669</v>
      </c>
      <c r="V535" s="352">
        <v>416.66666666666669</v>
      </c>
      <c r="W535" s="352">
        <v>416.66666666666669</v>
      </c>
      <c r="X535" s="352">
        <v>416.66666666666669</v>
      </c>
      <c r="Y535" s="352">
        <v>416.66666666666669</v>
      </c>
      <c r="Z535" s="352">
        <v>416.66666666666669</v>
      </c>
      <c r="AA535" s="1578">
        <f t="shared" si="37"/>
        <v>5000</v>
      </c>
    </row>
    <row r="536" spans="1:27" ht="78.75" x14ac:dyDescent="0.25">
      <c r="A536" s="513"/>
      <c r="B536" s="3156"/>
      <c r="C536" s="4289"/>
      <c r="D536" s="4289"/>
      <c r="E536" s="4338"/>
      <c r="F536" s="4687"/>
      <c r="G536" s="4687"/>
      <c r="H536" s="4289"/>
      <c r="I536" s="4289"/>
      <c r="J536" s="4343"/>
      <c r="K536" s="4343"/>
      <c r="L536" s="4289"/>
      <c r="M536" s="1974" t="s">
        <v>2412</v>
      </c>
      <c r="N536" s="877" t="s">
        <v>2558</v>
      </c>
      <c r="O536" s="352">
        <v>166.66666666666666</v>
      </c>
      <c r="P536" s="352">
        <v>166.66666666666666</v>
      </c>
      <c r="Q536" s="352">
        <v>166.66666666666666</v>
      </c>
      <c r="R536" s="352">
        <v>166.66666666666666</v>
      </c>
      <c r="S536" s="352">
        <v>166.66666666666666</v>
      </c>
      <c r="T536" s="352">
        <v>166.66666666666666</v>
      </c>
      <c r="U536" s="352">
        <v>166.66666666666666</v>
      </c>
      <c r="V536" s="352">
        <v>166.66666666666666</v>
      </c>
      <c r="W536" s="352">
        <v>166.66666666666666</v>
      </c>
      <c r="X536" s="352">
        <v>166.66666666666666</v>
      </c>
      <c r="Y536" s="352">
        <v>166.66666666666666</v>
      </c>
      <c r="Z536" s="352">
        <v>166.66666666666666</v>
      </c>
      <c r="AA536" s="1578">
        <f t="shared" si="37"/>
        <v>2000.0000000000002</v>
      </c>
    </row>
    <row r="537" spans="1:27" x14ac:dyDescent="0.25">
      <c r="A537" s="513"/>
      <c r="B537" s="3156"/>
      <c r="C537" s="4289"/>
      <c r="D537" s="4289"/>
      <c r="E537" s="4338"/>
      <c r="F537" s="4687"/>
      <c r="G537" s="4687"/>
      <c r="H537" s="4289"/>
      <c r="I537" s="4289"/>
      <c r="J537" s="4343"/>
      <c r="K537" s="4343"/>
      <c r="L537" s="4289"/>
      <c r="M537" s="1974" t="s">
        <v>190</v>
      </c>
      <c r="N537" s="877" t="s">
        <v>2559</v>
      </c>
      <c r="O537" s="352">
        <v>333.33333333333331</v>
      </c>
      <c r="P537" s="352">
        <v>333.33333333333331</v>
      </c>
      <c r="Q537" s="352">
        <v>333.33333333333331</v>
      </c>
      <c r="R537" s="352">
        <v>333.33333333333331</v>
      </c>
      <c r="S537" s="352">
        <v>333.33333333333331</v>
      </c>
      <c r="T537" s="352">
        <v>333.33333333333331</v>
      </c>
      <c r="U537" s="352">
        <v>333.33333333333331</v>
      </c>
      <c r="V537" s="352">
        <v>333.33333333333331</v>
      </c>
      <c r="W537" s="352">
        <v>333.33333333333331</v>
      </c>
      <c r="X537" s="352">
        <v>333.33333333333331</v>
      </c>
      <c r="Y537" s="352">
        <v>333.33333333333331</v>
      </c>
      <c r="Z537" s="352">
        <v>333.33333333333331</v>
      </c>
      <c r="AA537" s="1578">
        <f t="shared" si="37"/>
        <v>4000.0000000000005</v>
      </c>
    </row>
    <row r="538" spans="1:27" ht="33.75" x14ac:dyDescent="0.25">
      <c r="A538" s="513"/>
      <c r="B538" s="3156"/>
      <c r="C538" s="4289"/>
      <c r="D538" s="4289"/>
      <c r="E538" s="4338"/>
      <c r="F538" s="4687"/>
      <c r="G538" s="4687"/>
      <c r="H538" s="4289"/>
      <c r="I538" s="4289"/>
      <c r="J538" s="4343"/>
      <c r="K538" s="4343"/>
      <c r="L538" s="4289"/>
      <c r="M538" s="1974" t="s">
        <v>541</v>
      </c>
      <c r="N538" s="877" t="s">
        <v>2547</v>
      </c>
      <c r="O538" s="352">
        <v>833.33333333333337</v>
      </c>
      <c r="P538" s="352">
        <v>833.33333333333337</v>
      </c>
      <c r="Q538" s="352">
        <v>833.33333333333337</v>
      </c>
      <c r="R538" s="352">
        <v>833.33333333333337</v>
      </c>
      <c r="S538" s="352">
        <v>833.33333333333337</v>
      </c>
      <c r="T538" s="352">
        <v>833.33333333333337</v>
      </c>
      <c r="U538" s="352">
        <v>833.33333333333337</v>
      </c>
      <c r="V538" s="352">
        <v>833.33333333333337</v>
      </c>
      <c r="W538" s="352">
        <v>833.33333333333337</v>
      </c>
      <c r="X538" s="352">
        <v>833.33333333333337</v>
      </c>
      <c r="Y538" s="352">
        <v>833.33333333333337</v>
      </c>
      <c r="Z538" s="352">
        <v>833.33333333333337</v>
      </c>
      <c r="AA538" s="1578">
        <f t="shared" si="37"/>
        <v>10000</v>
      </c>
    </row>
    <row r="539" spans="1:27" ht="33.75" x14ac:dyDescent="0.25">
      <c r="A539" s="513"/>
      <c r="B539" s="3156"/>
      <c r="C539" s="4289"/>
      <c r="D539" s="4289"/>
      <c r="E539" s="4338"/>
      <c r="F539" s="4687"/>
      <c r="G539" s="4687"/>
      <c r="H539" s="4289"/>
      <c r="I539" s="4289"/>
      <c r="J539" s="4343"/>
      <c r="K539" s="4343"/>
      <c r="L539" s="4289"/>
      <c r="M539" s="1925" t="s">
        <v>194</v>
      </c>
      <c r="N539" s="877" t="s">
        <v>1368</v>
      </c>
      <c r="O539" s="352">
        <v>2083.3333333333335</v>
      </c>
      <c r="P539" s="352">
        <v>2083.3333333333335</v>
      </c>
      <c r="Q539" s="352">
        <v>2083.3333333333335</v>
      </c>
      <c r="R539" s="352">
        <v>2083.3333333333335</v>
      </c>
      <c r="S539" s="352">
        <v>2083.3333333333335</v>
      </c>
      <c r="T539" s="352">
        <v>2083.3333333333335</v>
      </c>
      <c r="U539" s="352">
        <v>2083.3333333333335</v>
      </c>
      <c r="V539" s="352">
        <v>2083.3333333333335</v>
      </c>
      <c r="W539" s="352">
        <v>2083.3333333333335</v>
      </c>
      <c r="X539" s="352">
        <v>2083.3333333333335</v>
      </c>
      <c r="Y539" s="352">
        <v>2083.3333333333335</v>
      </c>
      <c r="Z539" s="352">
        <v>2083.3333333333335</v>
      </c>
      <c r="AA539" s="1578">
        <f t="shared" si="37"/>
        <v>24999.999999999996</v>
      </c>
    </row>
    <row r="540" spans="1:27" ht="45" x14ac:dyDescent="0.25">
      <c r="A540" s="513"/>
      <c r="B540" s="3156"/>
      <c r="C540" s="4289"/>
      <c r="D540" s="4289"/>
      <c r="E540" s="4338"/>
      <c r="F540" s="4687"/>
      <c r="G540" s="4687"/>
      <c r="H540" s="4289"/>
      <c r="I540" s="4289"/>
      <c r="J540" s="4343"/>
      <c r="K540" s="4343"/>
      <c r="L540" s="4289"/>
      <c r="M540" s="1925" t="s">
        <v>195</v>
      </c>
      <c r="N540" s="877" t="s">
        <v>1281</v>
      </c>
      <c r="O540" s="352">
        <v>1083.3333333333333</v>
      </c>
      <c r="P540" s="352">
        <v>1083.3333333333333</v>
      </c>
      <c r="Q540" s="352">
        <v>1083.3333333333333</v>
      </c>
      <c r="R540" s="352">
        <v>1083.3333333333333</v>
      </c>
      <c r="S540" s="352">
        <v>1083.3333333333333</v>
      </c>
      <c r="T540" s="352">
        <v>1083.3333333333333</v>
      </c>
      <c r="U540" s="352">
        <v>1083.3333333333333</v>
      </c>
      <c r="V540" s="352">
        <v>1083.3333333333333</v>
      </c>
      <c r="W540" s="352">
        <v>1083.3333333333333</v>
      </c>
      <c r="X540" s="352">
        <v>1083.3333333333333</v>
      </c>
      <c r="Y540" s="352">
        <v>1083.3333333333333</v>
      </c>
      <c r="Z540" s="352">
        <v>1083.3333333333333</v>
      </c>
      <c r="AA540" s="1578">
        <f t="shared" si="37"/>
        <v>13000.000000000002</v>
      </c>
    </row>
    <row r="541" spans="1:27" ht="33.75" x14ac:dyDescent="0.25">
      <c r="A541" s="513"/>
      <c r="B541" s="3156"/>
      <c r="C541" s="4289"/>
      <c r="D541" s="4289"/>
      <c r="E541" s="4338"/>
      <c r="F541" s="4687"/>
      <c r="G541" s="4687"/>
      <c r="H541" s="4289"/>
      <c r="I541" s="4289"/>
      <c r="J541" s="4343"/>
      <c r="K541" s="4343"/>
      <c r="L541" s="4289"/>
      <c r="M541" s="1925" t="s">
        <v>196</v>
      </c>
      <c r="N541" s="877" t="s">
        <v>1283</v>
      </c>
      <c r="O541" s="352">
        <v>766.66666666666663</v>
      </c>
      <c r="P541" s="352">
        <v>766.66666666666663</v>
      </c>
      <c r="Q541" s="352">
        <v>766.66666666666663</v>
      </c>
      <c r="R541" s="352">
        <v>766.66666666666663</v>
      </c>
      <c r="S541" s="352">
        <v>766.66666666666663</v>
      </c>
      <c r="T541" s="352">
        <v>766.66666666666663</v>
      </c>
      <c r="U541" s="352">
        <v>766.66666666666663</v>
      </c>
      <c r="V541" s="352">
        <v>766.66666666666663</v>
      </c>
      <c r="W541" s="352">
        <v>766.66666666666663</v>
      </c>
      <c r="X541" s="352">
        <v>766.66666666666663</v>
      </c>
      <c r="Y541" s="352">
        <v>766.66666666666663</v>
      </c>
      <c r="Z541" s="352">
        <v>766.66666666666663</v>
      </c>
      <c r="AA541" s="1578">
        <f t="shared" si="37"/>
        <v>9200</v>
      </c>
    </row>
    <row r="542" spans="1:27" ht="33.75" x14ac:dyDescent="0.25">
      <c r="A542" s="513"/>
      <c r="B542" s="3156"/>
      <c r="C542" s="4289"/>
      <c r="D542" s="4289"/>
      <c r="E542" s="4338"/>
      <c r="F542" s="4687"/>
      <c r="G542" s="4687"/>
      <c r="H542" s="4289"/>
      <c r="I542" s="4289"/>
      <c r="J542" s="4343"/>
      <c r="K542" s="4343"/>
      <c r="L542" s="4289"/>
      <c r="M542" s="1925" t="s">
        <v>198</v>
      </c>
      <c r="N542" s="877" t="s">
        <v>2560</v>
      </c>
      <c r="O542" s="352">
        <v>83.333333333333329</v>
      </c>
      <c r="P542" s="352">
        <v>83.333333333333329</v>
      </c>
      <c r="Q542" s="352">
        <v>83.333333333333329</v>
      </c>
      <c r="R542" s="352">
        <v>83.333333333333329</v>
      </c>
      <c r="S542" s="352">
        <v>83.333333333333329</v>
      </c>
      <c r="T542" s="352">
        <v>83.333333333333329</v>
      </c>
      <c r="U542" s="352">
        <v>83.333333333333329</v>
      </c>
      <c r="V542" s="352">
        <v>83.333333333333329</v>
      </c>
      <c r="W542" s="352">
        <v>83.333333333333329</v>
      </c>
      <c r="X542" s="352">
        <v>83.333333333333329</v>
      </c>
      <c r="Y542" s="352">
        <v>83.333333333333329</v>
      </c>
      <c r="Z542" s="352">
        <v>83.333333333333329</v>
      </c>
      <c r="AA542" s="1578">
        <f t="shared" si="37"/>
        <v>1000.0000000000001</v>
      </c>
    </row>
    <row r="543" spans="1:27" ht="22.5" x14ac:dyDescent="0.25">
      <c r="A543" s="513"/>
      <c r="B543" s="3156"/>
      <c r="C543" s="4289"/>
      <c r="D543" s="4289"/>
      <c r="E543" s="4338"/>
      <c r="F543" s="4687"/>
      <c r="G543" s="4687"/>
      <c r="H543" s="4289"/>
      <c r="I543" s="4289"/>
      <c r="J543" s="4343"/>
      <c r="K543" s="4343"/>
      <c r="L543" s="4289"/>
      <c r="M543" s="1925" t="s">
        <v>199</v>
      </c>
      <c r="N543" s="877" t="s">
        <v>2303</v>
      </c>
      <c r="O543" s="352">
        <v>583.33333333333337</v>
      </c>
      <c r="P543" s="352">
        <v>583.33333333333337</v>
      </c>
      <c r="Q543" s="352">
        <v>583.33333333333337</v>
      </c>
      <c r="R543" s="352">
        <v>583.33333333333337</v>
      </c>
      <c r="S543" s="352">
        <v>583.33333333333337</v>
      </c>
      <c r="T543" s="352">
        <v>583.33333333333337</v>
      </c>
      <c r="U543" s="352">
        <v>583.33333333333337</v>
      </c>
      <c r="V543" s="352">
        <v>583.33333333333337</v>
      </c>
      <c r="W543" s="352">
        <v>583.33333333333337</v>
      </c>
      <c r="X543" s="352">
        <v>583.33333333333337</v>
      </c>
      <c r="Y543" s="352">
        <v>583.33333333333337</v>
      </c>
      <c r="Z543" s="352">
        <v>583.33333333333337</v>
      </c>
      <c r="AA543" s="1578">
        <f t="shared" si="37"/>
        <v>6999.9999999999991</v>
      </c>
    </row>
    <row r="544" spans="1:27" ht="22.5" x14ac:dyDescent="0.25">
      <c r="A544" s="513"/>
      <c r="B544" s="3156"/>
      <c r="C544" s="4289"/>
      <c r="D544" s="4289"/>
      <c r="E544" s="4338"/>
      <c r="F544" s="4687"/>
      <c r="G544" s="4687"/>
      <c r="H544" s="4289"/>
      <c r="I544" s="4289"/>
      <c r="J544" s="4343"/>
      <c r="K544" s="4343"/>
      <c r="L544" s="4289"/>
      <c r="M544" s="1925" t="s">
        <v>2561</v>
      </c>
      <c r="N544" s="877" t="s">
        <v>2305</v>
      </c>
      <c r="O544" s="352">
        <v>583.33333333333337</v>
      </c>
      <c r="P544" s="352">
        <v>583.33333333333337</v>
      </c>
      <c r="Q544" s="352">
        <v>583.33333333333337</v>
      </c>
      <c r="R544" s="352">
        <v>583.33333333333337</v>
      </c>
      <c r="S544" s="352">
        <v>583.33333333333337</v>
      </c>
      <c r="T544" s="352">
        <v>583.33333333333337</v>
      </c>
      <c r="U544" s="352">
        <v>583.33333333333337</v>
      </c>
      <c r="V544" s="352">
        <v>583.33333333333337</v>
      </c>
      <c r="W544" s="352">
        <v>583.33333333333337</v>
      </c>
      <c r="X544" s="352">
        <v>583.33333333333337</v>
      </c>
      <c r="Y544" s="352">
        <v>583.33333333333337</v>
      </c>
      <c r="Z544" s="352">
        <v>583.33333333333337</v>
      </c>
      <c r="AA544" s="1578">
        <f t="shared" si="37"/>
        <v>6999.9999999999991</v>
      </c>
    </row>
    <row r="545" spans="1:27" ht="33.75" x14ac:dyDescent="0.25">
      <c r="A545" s="513"/>
      <c r="B545" s="3156"/>
      <c r="C545" s="4289"/>
      <c r="D545" s="4289"/>
      <c r="E545" s="4338"/>
      <c r="F545" s="4687"/>
      <c r="G545" s="4687"/>
      <c r="H545" s="4289"/>
      <c r="I545" s="4289"/>
      <c r="J545" s="4343"/>
      <c r="K545" s="4343"/>
      <c r="L545" s="4289"/>
      <c r="M545" s="1925" t="s">
        <v>544</v>
      </c>
      <c r="N545" s="877" t="s">
        <v>2562</v>
      </c>
      <c r="O545" s="352">
        <v>646.66666666666663</v>
      </c>
      <c r="P545" s="352">
        <v>646.66666666666663</v>
      </c>
      <c r="Q545" s="352">
        <v>646.66666666666663</v>
      </c>
      <c r="R545" s="352">
        <v>646.66666666666663</v>
      </c>
      <c r="S545" s="352">
        <v>646.66666666666663</v>
      </c>
      <c r="T545" s="352">
        <v>646.66666666666663</v>
      </c>
      <c r="U545" s="352">
        <v>646.66666666666663</v>
      </c>
      <c r="V545" s="352">
        <v>646.66666666666663</v>
      </c>
      <c r="W545" s="352">
        <v>646.66666666666663</v>
      </c>
      <c r="X545" s="352">
        <v>646.66666666666663</v>
      </c>
      <c r="Y545" s="352">
        <v>646.66666666666663</v>
      </c>
      <c r="Z545" s="352">
        <v>646.66666666666663</v>
      </c>
      <c r="AA545" s="1578">
        <f t="shared" si="37"/>
        <v>7760.0000000000009</v>
      </c>
    </row>
    <row r="546" spans="1:27" ht="45" x14ac:dyDescent="0.25">
      <c r="A546" s="513"/>
      <c r="B546" s="3156"/>
      <c r="C546" s="4289"/>
      <c r="D546" s="4289"/>
      <c r="E546" s="4338"/>
      <c r="F546" s="4687"/>
      <c r="G546" s="4687"/>
      <c r="H546" s="4289"/>
      <c r="I546" s="4289"/>
      <c r="J546" s="4343"/>
      <c r="K546" s="4343"/>
      <c r="L546" s="4289"/>
      <c r="M546" s="1925" t="s">
        <v>220</v>
      </c>
      <c r="N546" s="877" t="s">
        <v>2563</v>
      </c>
      <c r="O546" s="352">
        <v>83.333333333333329</v>
      </c>
      <c r="P546" s="352">
        <v>83.333333333333329</v>
      </c>
      <c r="Q546" s="352">
        <v>83.333333333333329</v>
      </c>
      <c r="R546" s="352">
        <v>83.333333333333329</v>
      </c>
      <c r="S546" s="352">
        <v>83.333333333333329</v>
      </c>
      <c r="T546" s="352">
        <v>83.333333333333329</v>
      </c>
      <c r="U546" s="352">
        <v>83.333333333333329</v>
      </c>
      <c r="V546" s="352">
        <v>83.333333333333329</v>
      </c>
      <c r="W546" s="352">
        <v>83.333333333333329</v>
      </c>
      <c r="X546" s="352">
        <v>83.333333333333329</v>
      </c>
      <c r="Y546" s="352">
        <v>83.333333333333329</v>
      </c>
      <c r="Z546" s="352">
        <v>83.333333333333329</v>
      </c>
      <c r="AA546" s="1578">
        <f t="shared" si="37"/>
        <v>1000.0000000000001</v>
      </c>
    </row>
    <row r="547" spans="1:27" ht="56.25" x14ac:dyDescent="0.25">
      <c r="A547" s="513"/>
      <c r="B547" s="3156"/>
      <c r="C547" s="4289"/>
      <c r="D547" s="4289"/>
      <c r="E547" s="4338"/>
      <c r="F547" s="4687"/>
      <c r="G547" s="4687"/>
      <c r="H547" s="4289"/>
      <c r="I547" s="4289"/>
      <c r="J547" s="4343"/>
      <c r="K547" s="4343"/>
      <c r="L547" s="4289"/>
      <c r="M547" s="1925" t="s">
        <v>200</v>
      </c>
      <c r="N547" s="877" t="s">
        <v>1242</v>
      </c>
      <c r="O547" s="352">
        <v>416.66666666666669</v>
      </c>
      <c r="P547" s="352">
        <v>416.66666666666669</v>
      </c>
      <c r="Q547" s="352">
        <v>416.66666666666669</v>
      </c>
      <c r="R547" s="352">
        <v>416.66666666666669</v>
      </c>
      <c r="S547" s="352">
        <v>416.66666666666669</v>
      </c>
      <c r="T547" s="352">
        <v>416.66666666666669</v>
      </c>
      <c r="U547" s="352">
        <v>416.66666666666669</v>
      </c>
      <c r="V547" s="352">
        <v>416.66666666666669</v>
      </c>
      <c r="W547" s="352">
        <v>416.66666666666669</v>
      </c>
      <c r="X547" s="352">
        <v>416.66666666666669</v>
      </c>
      <c r="Y547" s="352">
        <v>416.66666666666669</v>
      </c>
      <c r="Z547" s="352">
        <v>416.66666666666669</v>
      </c>
      <c r="AA547" s="1578">
        <f t="shared" si="37"/>
        <v>5000</v>
      </c>
    </row>
    <row r="548" spans="1:27" ht="33.75" x14ac:dyDescent="0.25">
      <c r="A548" s="513"/>
      <c r="B548" s="3156"/>
      <c r="C548" s="4289"/>
      <c r="D548" s="4289"/>
      <c r="E548" s="4338"/>
      <c r="F548" s="4687"/>
      <c r="G548" s="4687"/>
      <c r="H548" s="4289"/>
      <c r="I548" s="4289"/>
      <c r="J548" s="4343"/>
      <c r="K548" s="4343"/>
      <c r="L548" s="4289"/>
      <c r="M548" s="1925" t="s">
        <v>224</v>
      </c>
      <c r="N548" s="877" t="s">
        <v>2564</v>
      </c>
      <c r="O548" s="352">
        <v>619.75</v>
      </c>
      <c r="P548" s="352">
        <v>619.75</v>
      </c>
      <c r="Q548" s="352">
        <v>619.75</v>
      </c>
      <c r="R548" s="352">
        <v>619.75</v>
      </c>
      <c r="S548" s="352">
        <v>619.75</v>
      </c>
      <c r="T548" s="352">
        <v>619.75</v>
      </c>
      <c r="U548" s="352">
        <v>619.75</v>
      </c>
      <c r="V548" s="352">
        <v>619.75</v>
      </c>
      <c r="W548" s="352">
        <v>619.75</v>
      </c>
      <c r="X548" s="352">
        <v>619.75</v>
      </c>
      <c r="Y548" s="352">
        <v>619.75</v>
      </c>
      <c r="Z548" s="352">
        <v>619.75</v>
      </c>
      <c r="AA548" s="1578">
        <f t="shared" si="37"/>
        <v>7437</v>
      </c>
    </row>
    <row r="549" spans="1:27" x14ac:dyDescent="0.25">
      <c r="A549" s="513"/>
      <c r="B549" s="3156"/>
      <c r="C549" s="4289"/>
      <c r="D549" s="4289"/>
      <c r="E549" s="4338"/>
      <c r="F549" s="4687"/>
      <c r="G549" s="4687"/>
      <c r="H549" s="4289"/>
      <c r="I549" s="4289"/>
      <c r="J549" s="4343"/>
      <c r="K549" s="4343"/>
      <c r="L549" s="4289"/>
      <c r="M549" s="1925" t="s">
        <v>1001</v>
      </c>
      <c r="N549" s="877" t="s">
        <v>1224</v>
      </c>
      <c r="O549" s="352">
        <v>500</v>
      </c>
      <c r="P549" s="352">
        <v>500</v>
      </c>
      <c r="Q549" s="352">
        <v>500</v>
      </c>
      <c r="R549" s="352">
        <v>500</v>
      </c>
      <c r="S549" s="352">
        <v>500</v>
      </c>
      <c r="T549" s="352">
        <v>500</v>
      </c>
      <c r="U549" s="352">
        <v>500</v>
      </c>
      <c r="V549" s="352">
        <v>500</v>
      </c>
      <c r="W549" s="352">
        <v>500</v>
      </c>
      <c r="X549" s="352">
        <v>500</v>
      </c>
      <c r="Y549" s="352">
        <v>500</v>
      </c>
      <c r="Z549" s="352">
        <v>500</v>
      </c>
      <c r="AA549" s="1578">
        <f t="shared" si="37"/>
        <v>6000</v>
      </c>
    </row>
    <row r="550" spans="1:27" x14ac:dyDescent="0.25">
      <c r="A550" s="513"/>
      <c r="B550" s="3156"/>
      <c r="C550" s="4289"/>
      <c r="D550" s="4289"/>
      <c r="E550" s="4338"/>
      <c r="F550" s="4687"/>
      <c r="G550" s="4687"/>
      <c r="H550" s="4289"/>
      <c r="I550" s="4289"/>
      <c r="J550" s="4343"/>
      <c r="K550" s="4343"/>
      <c r="L550" s="4289"/>
      <c r="M550" s="1925" t="s">
        <v>1126</v>
      </c>
      <c r="N550" s="877" t="s">
        <v>2565</v>
      </c>
      <c r="O550" s="352">
        <v>766.66666666666663</v>
      </c>
      <c r="P550" s="352">
        <v>766.66666666666663</v>
      </c>
      <c r="Q550" s="352">
        <v>766.66666666666663</v>
      </c>
      <c r="R550" s="352">
        <v>766.66666666666663</v>
      </c>
      <c r="S550" s="352">
        <v>766.66666666666663</v>
      </c>
      <c r="T550" s="352">
        <v>766.66666666666663</v>
      </c>
      <c r="U550" s="352">
        <v>766.66666666666663</v>
      </c>
      <c r="V550" s="352">
        <v>766.66666666666663</v>
      </c>
      <c r="W550" s="352">
        <v>766.66666666666663</v>
      </c>
      <c r="X550" s="352">
        <v>766.66666666666663</v>
      </c>
      <c r="Y550" s="352">
        <v>766.66666666666663</v>
      </c>
      <c r="Z550" s="352">
        <v>766.66666666666663</v>
      </c>
      <c r="AA550" s="1578">
        <f t="shared" si="37"/>
        <v>9200</v>
      </c>
    </row>
    <row r="551" spans="1:27" ht="22.5" x14ac:dyDescent="0.25">
      <c r="A551" s="513"/>
      <c r="B551" s="3156"/>
      <c r="C551" s="4289"/>
      <c r="D551" s="4289"/>
      <c r="E551" s="4338"/>
      <c r="F551" s="4687"/>
      <c r="G551" s="4687"/>
      <c r="H551" s="4289"/>
      <c r="I551" s="4289"/>
      <c r="J551" s="4343"/>
      <c r="K551" s="4343"/>
      <c r="L551" s="4289"/>
      <c r="M551" s="1925" t="s">
        <v>206</v>
      </c>
      <c r="N551" s="877" t="s">
        <v>2550</v>
      </c>
      <c r="O551" s="352">
        <v>1666.6666666666667</v>
      </c>
      <c r="P551" s="352">
        <v>1666.6666666666667</v>
      </c>
      <c r="Q551" s="352">
        <v>1666.6666666666667</v>
      </c>
      <c r="R551" s="352">
        <v>1666.6666666666667</v>
      </c>
      <c r="S551" s="352">
        <v>1666.6666666666667</v>
      </c>
      <c r="T551" s="352">
        <v>1666.6666666666667</v>
      </c>
      <c r="U551" s="352">
        <v>1666.6666666666667</v>
      </c>
      <c r="V551" s="352">
        <v>1666.6666666666667</v>
      </c>
      <c r="W551" s="352">
        <v>1666.6666666666667</v>
      </c>
      <c r="X551" s="352">
        <v>1666.6666666666667</v>
      </c>
      <c r="Y551" s="352">
        <v>1666.6666666666667</v>
      </c>
      <c r="Z551" s="352">
        <v>1666.6666666666667</v>
      </c>
      <c r="AA551" s="1578">
        <f t="shared" si="37"/>
        <v>20000</v>
      </c>
    </row>
    <row r="552" spans="1:27" ht="33.75" x14ac:dyDescent="0.25">
      <c r="A552" s="513"/>
      <c r="B552" s="3156"/>
      <c r="C552" s="4289"/>
      <c r="D552" s="4289"/>
      <c r="E552" s="4338"/>
      <c r="F552" s="4687"/>
      <c r="G552" s="4687"/>
      <c r="H552" s="4289"/>
      <c r="I552" s="4289"/>
      <c r="J552" s="4343"/>
      <c r="K552" s="4343"/>
      <c r="L552" s="4289"/>
      <c r="M552" s="1925" t="s">
        <v>203</v>
      </c>
      <c r="N552" s="877" t="s">
        <v>2566</v>
      </c>
      <c r="O552" s="352">
        <v>166.66666666666666</v>
      </c>
      <c r="P552" s="352">
        <v>166.66666666666666</v>
      </c>
      <c r="Q552" s="352">
        <v>166.66666666666666</v>
      </c>
      <c r="R552" s="352">
        <v>166.66666666666666</v>
      </c>
      <c r="S552" s="352">
        <v>166.66666666666666</v>
      </c>
      <c r="T552" s="352">
        <v>166.66666666666666</v>
      </c>
      <c r="U552" s="352">
        <v>166.66666666666666</v>
      </c>
      <c r="V552" s="352">
        <v>166.66666666666666</v>
      </c>
      <c r="W552" s="352">
        <v>166.66666666666666</v>
      </c>
      <c r="X552" s="352">
        <v>166.66666666666666</v>
      </c>
      <c r="Y552" s="352">
        <v>166.66666666666666</v>
      </c>
      <c r="Z552" s="352">
        <v>166.66666666666666</v>
      </c>
      <c r="AA552" s="1578">
        <f t="shared" si="37"/>
        <v>2000.0000000000002</v>
      </c>
    </row>
    <row r="553" spans="1:27" ht="45" x14ac:dyDescent="0.25">
      <c r="A553" s="513"/>
      <c r="B553" s="3156"/>
      <c r="C553" s="4289"/>
      <c r="D553" s="4289"/>
      <c r="E553" s="4338"/>
      <c r="F553" s="4687"/>
      <c r="G553" s="4687"/>
      <c r="H553" s="4289"/>
      <c r="I553" s="4289"/>
      <c r="J553" s="4343"/>
      <c r="K553" s="4343"/>
      <c r="L553" s="4289"/>
      <c r="M553" s="1925" t="s">
        <v>208</v>
      </c>
      <c r="N553" s="877" t="s">
        <v>2567</v>
      </c>
      <c r="O553" s="352">
        <v>44929.5</v>
      </c>
      <c r="P553" s="352">
        <v>44929.5</v>
      </c>
      <c r="Q553" s="352">
        <v>44929.5</v>
      </c>
      <c r="R553" s="352">
        <v>44929.5</v>
      </c>
      <c r="S553" s="352">
        <v>44929.5</v>
      </c>
      <c r="T553" s="352">
        <v>44929.5</v>
      </c>
      <c r="U553" s="352">
        <v>44929.5</v>
      </c>
      <c r="V553" s="352">
        <v>44929.5</v>
      </c>
      <c r="W553" s="352">
        <v>44929.5</v>
      </c>
      <c r="X553" s="352">
        <v>44929.5</v>
      </c>
      <c r="Y553" s="352">
        <v>44929.5</v>
      </c>
      <c r="Z553" s="352">
        <v>44929.5</v>
      </c>
      <c r="AA553" s="1578">
        <f t="shared" si="37"/>
        <v>539154</v>
      </c>
    </row>
    <row r="554" spans="1:27" ht="33.75" x14ac:dyDescent="0.25">
      <c r="A554" s="513"/>
      <c r="B554" s="3157"/>
      <c r="C554" s="2358"/>
      <c r="D554" s="2358"/>
      <c r="E554" s="4339"/>
      <c r="F554" s="2352"/>
      <c r="G554" s="2352"/>
      <c r="H554" s="2358"/>
      <c r="I554" s="2358"/>
      <c r="J554" s="2356"/>
      <c r="K554" s="2356"/>
      <c r="L554" s="2358"/>
      <c r="M554" s="1983" t="s">
        <v>210</v>
      </c>
      <c r="N554" s="877" t="s">
        <v>2568</v>
      </c>
      <c r="O554" s="352">
        <v>1921.6666666666667</v>
      </c>
      <c r="P554" s="352">
        <v>1921.6666666666667</v>
      </c>
      <c r="Q554" s="352">
        <v>1921.6666666666667</v>
      </c>
      <c r="R554" s="352">
        <v>1921.6666666666667</v>
      </c>
      <c r="S554" s="352">
        <v>1921.6666666666667</v>
      </c>
      <c r="T554" s="352">
        <v>1921.6666666666667</v>
      </c>
      <c r="U554" s="352">
        <v>1921.6666666666667</v>
      </c>
      <c r="V554" s="352">
        <v>1921.6666666666667</v>
      </c>
      <c r="W554" s="352">
        <v>1921.6666666666667</v>
      </c>
      <c r="X554" s="352">
        <v>1921.6666666666667</v>
      </c>
      <c r="Y554" s="352">
        <v>1921.6666666666667</v>
      </c>
      <c r="Z554" s="352">
        <v>1921.6666666666667</v>
      </c>
      <c r="AA554" s="1578">
        <f t="shared" si="37"/>
        <v>23060.000000000004</v>
      </c>
    </row>
    <row r="555" spans="1:27" x14ac:dyDescent="0.25">
      <c r="A555" s="513"/>
      <c r="B555" s="2320" t="s">
        <v>20</v>
      </c>
      <c r="C555" s="2324" t="s">
        <v>21</v>
      </c>
      <c r="D555" s="2324" t="s">
        <v>22</v>
      </c>
      <c r="E555" s="2324" t="s">
        <v>23</v>
      </c>
      <c r="F555" s="2324" t="s">
        <v>24</v>
      </c>
      <c r="G555" s="2324" t="s">
        <v>25</v>
      </c>
      <c r="H555" s="2324" t="s">
        <v>26</v>
      </c>
      <c r="I555" s="2324" t="s">
        <v>27</v>
      </c>
      <c r="J555" s="2322" t="s">
        <v>28</v>
      </c>
      <c r="K555" s="2323"/>
      <c r="L555" s="2324" t="s">
        <v>29</v>
      </c>
      <c r="M555" s="2924" t="s">
        <v>529</v>
      </c>
      <c r="N555" s="2320" t="s">
        <v>530</v>
      </c>
      <c r="O555" s="2343" t="s">
        <v>31</v>
      </c>
      <c r="P555" s="2344"/>
      <c r="Q555" s="2344"/>
      <c r="R555" s="2344"/>
      <c r="S555" s="2344"/>
      <c r="T555" s="2344"/>
      <c r="U555" s="2344"/>
      <c r="V555" s="2344"/>
      <c r="W555" s="2344"/>
      <c r="X555" s="2344"/>
      <c r="Y555" s="2344"/>
      <c r="Z555" s="2345"/>
      <c r="AA555" s="4685" t="s">
        <v>32</v>
      </c>
    </row>
    <row r="556" spans="1:27" ht="19.5" customHeight="1" x14ac:dyDescent="0.25">
      <c r="A556" s="513"/>
      <c r="B556" s="2321"/>
      <c r="C556" s="2324"/>
      <c r="D556" s="2324"/>
      <c r="E556" s="2324"/>
      <c r="F556" s="2324"/>
      <c r="G556" s="2324"/>
      <c r="H556" s="2324"/>
      <c r="I556" s="2324"/>
      <c r="J556" s="1355" t="s">
        <v>33</v>
      </c>
      <c r="K556" s="1355" t="s">
        <v>34</v>
      </c>
      <c r="L556" s="2324"/>
      <c r="M556" s="2924"/>
      <c r="N556" s="2321"/>
      <c r="O556" s="1354" t="s">
        <v>35</v>
      </c>
      <c r="P556" s="1354" t="s">
        <v>36</v>
      </c>
      <c r="Q556" s="1354" t="s">
        <v>37</v>
      </c>
      <c r="R556" s="1354" t="s">
        <v>38</v>
      </c>
      <c r="S556" s="1354" t="s">
        <v>39</v>
      </c>
      <c r="T556" s="1354" t="s">
        <v>40</v>
      </c>
      <c r="U556" s="1354" t="s">
        <v>41</v>
      </c>
      <c r="V556" s="1354" t="s">
        <v>42</v>
      </c>
      <c r="W556" s="1354" t="s">
        <v>43</v>
      </c>
      <c r="X556" s="1354" t="s">
        <v>44</v>
      </c>
      <c r="Y556" s="1354" t="s">
        <v>45</v>
      </c>
      <c r="Z556" s="1354" t="s">
        <v>46</v>
      </c>
      <c r="AA556" s="4686"/>
    </row>
    <row r="557" spans="1:27" x14ac:dyDescent="0.25">
      <c r="A557" s="513"/>
      <c r="B557" s="2925">
        <v>500000</v>
      </c>
      <c r="C557" s="2928" t="s">
        <v>2551</v>
      </c>
      <c r="D557" s="2353"/>
      <c r="E557" s="4551">
        <v>10</v>
      </c>
      <c r="F557" s="3148" t="s">
        <v>165</v>
      </c>
      <c r="G557" s="3148" t="s">
        <v>166</v>
      </c>
      <c r="H557" s="2353"/>
      <c r="I557" s="2353" t="s">
        <v>235</v>
      </c>
      <c r="J557" s="3150">
        <v>12</v>
      </c>
      <c r="K557" s="3150">
        <f>+SUM(AA559:AA583)</f>
        <v>549458</v>
      </c>
      <c r="L557" s="2353" t="s">
        <v>2545</v>
      </c>
      <c r="M557" s="3673" t="s">
        <v>51</v>
      </c>
      <c r="N557" s="3674"/>
      <c r="O557" s="481">
        <v>1</v>
      </c>
      <c r="P557" s="481">
        <v>1</v>
      </c>
      <c r="Q557" s="481">
        <v>1</v>
      </c>
      <c r="R557" s="481">
        <v>1</v>
      </c>
      <c r="S557" s="481">
        <v>1</v>
      </c>
      <c r="T557" s="481">
        <v>1</v>
      </c>
      <c r="U557" s="481">
        <v>1</v>
      </c>
      <c r="V557" s="481">
        <v>1</v>
      </c>
      <c r="W557" s="481">
        <v>1</v>
      </c>
      <c r="X557" s="481">
        <v>1</v>
      </c>
      <c r="Y557" s="481">
        <v>1</v>
      </c>
      <c r="Z557" s="481">
        <v>1</v>
      </c>
      <c r="AA557" s="1578">
        <f t="shared" ref="AA557:AA583" si="39">SUM(O557:Z557)</f>
        <v>12</v>
      </c>
    </row>
    <row r="558" spans="1:27" x14ac:dyDescent="0.25">
      <c r="A558" s="513"/>
      <c r="B558" s="2926"/>
      <c r="C558" s="2929"/>
      <c r="D558" s="4282"/>
      <c r="E558" s="4552"/>
      <c r="F558" s="4512"/>
      <c r="G558" s="4512"/>
      <c r="H558" s="4282"/>
      <c r="I558" s="4282"/>
      <c r="J558" s="4474"/>
      <c r="K558" s="4474"/>
      <c r="L558" s="4282"/>
      <c r="M558" s="3673" t="s">
        <v>111</v>
      </c>
      <c r="N558" s="3674"/>
      <c r="O558" s="1608">
        <f t="shared" ref="O558:Z558" si="40">SUM(O559:O583)</f>
        <v>45788.166666666679</v>
      </c>
      <c r="P558" s="1608">
        <f t="shared" si="40"/>
        <v>45788.166666666679</v>
      </c>
      <c r="Q558" s="1608">
        <f t="shared" si="40"/>
        <v>45788.166666666679</v>
      </c>
      <c r="R558" s="1608">
        <f t="shared" si="40"/>
        <v>45788.166666666679</v>
      </c>
      <c r="S558" s="1608">
        <f t="shared" si="40"/>
        <v>45788.166666666679</v>
      </c>
      <c r="T558" s="1608">
        <f t="shared" si="40"/>
        <v>45788.166666666679</v>
      </c>
      <c r="U558" s="1608">
        <f t="shared" si="40"/>
        <v>45788.166666666679</v>
      </c>
      <c r="V558" s="1608">
        <f t="shared" si="40"/>
        <v>45788.166666666679</v>
      </c>
      <c r="W558" s="1608">
        <f t="shared" si="40"/>
        <v>45788.166666666679</v>
      </c>
      <c r="X558" s="1608">
        <f t="shared" si="40"/>
        <v>45788.166666666679</v>
      </c>
      <c r="Y558" s="1608">
        <f t="shared" si="40"/>
        <v>45788.166666666679</v>
      </c>
      <c r="Z558" s="1608">
        <f t="shared" si="40"/>
        <v>45788.166666666679</v>
      </c>
      <c r="AA558" s="1578">
        <f t="shared" si="39"/>
        <v>549458.00000000012</v>
      </c>
    </row>
    <row r="559" spans="1:27" ht="45" x14ac:dyDescent="0.25">
      <c r="A559" s="513"/>
      <c r="B559" s="2926"/>
      <c r="C559" s="2929"/>
      <c r="D559" s="4282"/>
      <c r="E559" s="4552"/>
      <c r="F559" s="4512"/>
      <c r="G559" s="4512"/>
      <c r="H559" s="4282"/>
      <c r="I559" s="4282"/>
      <c r="J559" s="4474"/>
      <c r="K559" s="4474"/>
      <c r="L559" s="4282"/>
      <c r="M559" s="1974" t="s">
        <v>2569</v>
      </c>
      <c r="N559" s="877" t="s">
        <v>2570</v>
      </c>
      <c r="O559" s="352">
        <v>1166.6666666666667</v>
      </c>
      <c r="P559" s="352">
        <v>1166.6666666666667</v>
      </c>
      <c r="Q559" s="352">
        <v>1166.6666666666667</v>
      </c>
      <c r="R559" s="352">
        <v>1166.6666666666667</v>
      </c>
      <c r="S559" s="352">
        <v>1166.6666666666667</v>
      </c>
      <c r="T559" s="352">
        <v>1166.6666666666667</v>
      </c>
      <c r="U559" s="352">
        <v>1166.6666666666667</v>
      </c>
      <c r="V559" s="352">
        <v>1166.6666666666667</v>
      </c>
      <c r="W559" s="352">
        <v>1166.6666666666667</v>
      </c>
      <c r="X559" s="352">
        <v>1166.6666666666667</v>
      </c>
      <c r="Y559" s="352">
        <v>1166.6666666666667</v>
      </c>
      <c r="Z559" s="352">
        <v>1166.6666666666667</v>
      </c>
      <c r="AA559" s="1578">
        <f t="shared" si="39"/>
        <v>13999.999999999998</v>
      </c>
    </row>
    <row r="560" spans="1:27" ht="45" x14ac:dyDescent="0.25">
      <c r="A560" s="513"/>
      <c r="B560" s="2926"/>
      <c r="C560" s="2929"/>
      <c r="D560" s="4282"/>
      <c r="E560" s="4552"/>
      <c r="F560" s="4512"/>
      <c r="G560" s="4512"/>
      <c r="H560" s="4282"/>
      <c r="I560" s="4282"/>
      <c r="J560" s="4474"/>
      <c r="K560" s="4474"/>
      <c r="L560" s="4282"/>
      <c r="M560" s="1974" t="s">
        <v>178</v>
      </c>
      <c r="N560" s="877" t="s">
        <v>2546</v>
      </c>
      <c r="O560" s="352">
        <v>916.66666666666663</v>
      </c>
      <c r="P560" s="352">
        <v>916.66666666666663</v>
      </c>
      <c r="Q560" s="352">
        <v>916.66666666666663</v>
      </c>
      <c r="R560" s="352">
        <v>916.66666666666663</v>
      </c>
      <c r="S560" s="352">
        <v>916.66666666666663</v>
      </c>
      <c r="T560" s="352">
        <v>916.66666666666663</v>
      </c>
      <c r="U560" s="352">
        <v>916.66666666666663</v>
      </c>
      <c r="V560" s="352">
        <v>916.66666666666663</v>
      </c>
      <c r="W560" s="352">
        <v>916.66666666666663</v>
      </c>
      <c r="X560" s="352">
        <v>916.66666666666663</v>
      </c>
      <c r="Y560" s="352">
        <v>916.66666666666663</v>
      </c>
      <c r="Z560" s="352">
        <v>916.66666666666663</v>
      </c>
      <c r="AA560" s="1578">
        <f t="shared" si="39"/>
        <v>10999.999999999998</v>
      </c>
    </row>
    <row r="561" spans="1:27" ht="45" x14ac:dyDescent="0.25">
      <c r="A561" s="513"/>
      <c r="B561" s="2926"/>
      <c r="C561" s="2929"/>
      <c r="D561" s="4282"/>
      <c r="E561" s="4552"/>
      <c r="F561" s="4512"/>
      <c r="G561" s="4512"/>
      <c r="H561" s="4282"/>
      <c r="I561" s="4282"/>
      <c r="J561" s="4474"/>
      <c r="K561" s="4474"/>
      <c r="L561" s="4282"/>
      <c r="M561" s="1974" t="s">
        <v>2571</v>
      </c>
      <c r="N561" s="877" t="s">
        <v>2572</v>
      </c>
      <c r="O561" s="352">
        <v>408.33333333333331</v>
      </c>
      <c r="P561" s="352">
        <v>408.33333333333331</v>
      </c>
      <c r="Q561" s="352">
        <v>408.33333333333331</v>
      </c>
      <c r="R561" s="352">
        <v>408.33333333333331</v>
      </c>
      <c r="S561" s="352">
        <v>408.33333333333331</v>
      </c>
      <c r="T561" s="352">
        <v>408.33333333333331</v>
      </c>
      <c r="U561" s="352">
        <v>408.33333333333331</v>
      </c>
      <c r="V561" s="352">
        <v>408.33333333333331</v>
      </c>
      <c r="W561" s="352">
        <v>408.33333333333331</v>
      </c>
      <c r="X561" s="352">
        <v>408.33333333333331</v>
      </c>
      <c r="Y561" s="352">
        <v>408.33333333333331</v>
      </c>
      <c r="Z561" s="352">
        <v>408.33333333333331</v>
      </c>
      <c r="AA561" s="1578">
        <f t="shared" si="39"/>
        <v>4900</v>
      </c>
    </row>
    <row r="562" spans="1:27" ht="22.5" x14ac:dyDescent="0.25">
      <c r="A562" s="513"/>
      <c r="B562" s="2926"/>
      <c r="C562" s="2929"/>
      <c r="D562" s="4282"/>
      <c r="E562" s="4552"/>
      <c r="F562" s="4512"/>
      <c r="G562" s="4512"/>
      <c r="H562" s="4282"/>
      <c r="I562" s="4282"/>
      <c r="J562" s="4474"/>
      <c r="K562" s="4474"/>
      <c r="L562" s="4282"/>
      <c r="M562" s="1974" t="s">
        <v>2573</v>
      </c>
      <c r="N562" s="877" t="s">
        <v>1218</v>
      </c>
      <c r="O562" s="352">
        <v>1000</v>
      </c>
      <c r="P562" s="352">
        <v>1000</v>
      </c>
      <c r="Q562" s="352">
        <v>1000</v>
      </c>
      <c r="R562" s="352">
        <v>1000</v>
      </c>
      <c r="S562" s="352">
        <v>1000</v>
      </c>
      <c r="T562" s="352">
        <v>1000</v>
      </c>
      <c r="U562" s="352">
        <v>1000</v>
      </c>
      <c r="V562" s="352">
        <v>1000</v>
      </c>
      <c r="W562" s="352">
        <v>1000</v>
      </c>
      <c r="X562" s="352">
        <v>1000</v>
      </c>
      <c r="Y562" s="352">
        <v>1000</v>
      </c>
      <c r="Z562" s="352">
        <v>1000</v>
      </c>
      <c r="AA562" s="1578">
        <f t="shared" si="39"/>
        <v>12000</v>
      </c>
    </row>
    <row r="563" spans="1:27" ht="22.5" x14ac:dyDescent="0.25">
      <c r="A563" s="513"/>
      <c r="B563" s="2926"/>
      <c r="C563" s="2929"/>
      <c r="D563" s="4282"/>
      <c r="E563" s="4552"/>
      <c r="F563" s="4512"/>
      <c r="G563" s="4512"/>
      <c r="H563" s="4282"/>
      <c r="I563" s="4282"/>
      <c r="J563" s="4474"/>
      <c r="K563" s="4474"/>
      <c r="L563" s="4282"/>
      <c r="M563" s="1974" t="s">
        <v>213</v>
      </c>
      <c r="N563" s="877" t="s">
        <v>2553</v>
      </c>
      <c r="O563" s="352">
        <v>833.33333333333337</v>
      </c>
      <c r="P563" s="352">
        <v>833.33333333333337</v>
      </c>
      <c r="Q563" s="352">
        <v>833.33333333333337</v>
      </c>
      <c r="R563" s="352">
        <v>833.33333333333337</v>
      </c>
      <c r="S563" s="352">
        <v>833.33333333333337</v>
      </c>
      <c r="T563" s="352">
        <v>833.33333333333337</v>
      </c>
      <c r="U563" s="352">
        <v>833.33333333333337</v>
      </c>
      <c r="V563" s="352">
        <v>833.33333333333337</v>
      </c>
      <c r="W563" s="352">
        <v>833.33333333333337</v>
      </c>
      <c r="X563" s="352">
        <v>833.33333333333337</v>
      </c>
      <c r="Y563" s="352">
        <v>833.33333333333337</v>
      </c>
      <c r="Z563" s="352">
        <v>833.33333333333337</v>
      </c>
      <c r="AA563" s="1578">
        <f t="shared" si="39"/>
        <v>10000</v>
      </c>
    </row>
    <row r="564" spans="1:27" x14ac:dyDescent="0.25">
      <c r="A564" s="513"/>
      <c r="B564" s="2926"/>
      <c r="C564" s="2929"/>
      <c r="D564" s="4282"/>
      <c r="E564" s="4552"/>
      <c r="F564" s="4512"/>
      <c r="G564" s="4512"/>
      <c r="H564" s="4282"/>
      <c r="I564" s="4282"/>
      <c r="J564" s="4474"/>
      <c r="K564" s="4474"/>
      <c r="L564" s="4282"/>
      <c r="M564" s="1974" t="s">
        <v>180</v>
      </c>
      <c r="N564" s="877" t="s">
        <v>2554</v>
      </c>
      <c r="O564" s="352">
        <v>416.66666666666669</v>
      </c>
      <c r="P564" s="352">
        <v>416.66666666666669</v>
      </c>
      <c r="Q564" s="352">
        <v>416.66666666666669</v>
      </c>
      <c r="R564" s="352">
        <v>416.66666666666669</v>
      </c>
      <c r="S564" s="352">
        <v>416.66666666666669</v>
      </c>
      <c r="T564" s="352">
        <v>416.66666666666669</v>
      </c>
      <c r="U564" s="352">
        <v>416.66666666666669</v>
      </c>
      <c r="V564" s="352">
        <v>416.66666666666669</v>
      </c>
      <c r="W564" s="352">
        <v>416.66666666666669</v>
      </c>
      <c r="X564" s="352">
        <v>416.66666666666669</v>
      </c>
      <c r="Y564" s="352">
        <v>416.66666666666669</v>
      </c>
      <c r="Z564" s="352">
        <v>416.66666666666669</v>
      </c>
      <c r="AA564" s="1578">
        <f t="shared" si="39"/>
        <v>5000</v>
      </c>
    </row>
    <row r="565" spans="1:27" x14ac:dyDescent="0.25">
      <c r="A565" s="513"/>
      <c r="B565" s="2926"/>
      <c r="C565" s="2929"/>
      <c r="D565" s="4282"/>
      <c r="E565" s="4552"/>
      <c r="F565" s="4512"/>
      <c r="G565" s="4512"/>
      <c r="H565" s="4282"/>
      <c r="I565" s="4282"/>
      <c r="J565" s="4474"/>
      <c r="K565" s="4474"/>
      <c r="L565" s="4282"/>
      <c r="M565" s="1974" t="s">
        <v>182</v>
      </c>
      <c r="N565" s="877" t="s">
        <v>2556</v>
      </c>
      <c r="O565" s="352">
        <v>416.91666666666669</v>
      </c>
      <c r="P565" s="352">
        <v>416.91666666666669</v>
      </c>
      <c r="Q565" s="352">
        <v>416.91666666666669</v>
      </c>
      <c r="R565" s="352">
        <v>416.91666666666669</v>
      </c>
      <c r="S565" s="352">
        <v>416.91666666666669</v>
      </c>
      <c r="T565" s="352">
        <v>416.91666666666669</v>
      </c>
      <c r="U565" s="352">
        <v>416.91666666666669</v>
      </c>
      <c r="V565" s="352">
        <v>416.91666666666669</v>
      </c>
      <c r="W565" s="352">
        <v>416.91666666666669</v>
      </c>
      <c r="X565" s="352">
        <v>416.91666666666669</v>
      </c>
      <c r="Y565" s="352">
        <v>416.91666666666669</v>
      </c>
      <c r="Z565" s="352">
        <v>416.91666666666669</v>
      </c>
      <c r="AA565" s="1578">
        <f t="shared" si="39"/>
        <v>5003</v>
      </c>
    </row>
    <row r="566" spans="1:27" ht="22.5" x14ac:dyDescent="0.25">
      <c r="A566" s="513"/>
      <c r="B566" s="2926"/>
      <c r="C566" s="2929"/>
      <c r="D566" s="4282"/>
      <c r="E566" s="4552"/>
      <c r="F566" s="4512"/>
      <c r="G566" s="4512"/>
      <c r="H566" s="4282"/>
      <c r="I566" s="4282"/>
      <c r="J566" s="4474"/>
      <c r="K566" s="4474"/>
      <c r="L566" s="4282"/>
      <c r="M566" s="1974" t="s">
        <v>184</v>
      </c>
      <c r="N566" s="877" t="s">
        <v>2557</v>
      </c>
      <c r="O566" s="352">
        <v>583.33333333333337</v>
      </c>
      <c r="P566" s="352">
        <v>583.33333333333337</v>
      </c>
      <c r="Q566" s="352">
        <v>583.33333333333337</v>
      </c>
      <c r="R566" s="352">
        <v>583.33333333333337</v>
      </c>
      <c r="S566" s="352">
        <v>583.33333333333337</v>
      </c>
      <c r="T566" s="352">
        <v>583.33333333333337</v>
      </c>
      <c r="U566" s="352">
        <v>583.33333333333337</v>
      </c>
      <c r="V566" s="352">
        <v>583.33333333333337</v>
      </c>
      <c r="W566" s="352">
        <v>583.33333333333337</v>
      </c>
      <c r="X566" s="352">
        <v>583.33333333333337</v>
      </c>
      <c r="Y566" s="352">
        <v>583.33333333333337</v>
      </c>
      <c r="Z566" s="352">
        <v>583.33333333333337</v>
      </c>
      <c r="AA566" s="1578">
        <f t="shared" si="39"/>
        <v>6999.9999999999991</v>
      </c>
    </row>
    <row r="567" spans="1:27" x14ac:dyDescent="0.25">
      <c r="A567" s="513"/>
      <c r="B567" s="2926"/>
      <c r="C567" s="2929"/>
      <c r="D567" s="4282"/>
      <c r="E567" s="4552"/>
      <c r="F567" s="4512"/>
      <c r="G567" s="4512"/>
      <c r="H567" s="4282"/>
      <c r="I567" s="4282"/>
      <c r="J567" s="4474"/>
      <c r="K567" s="4474"/>
      <c r="L567" s="4282"/>
      <c r="M567" s="1974" t="s">
        <v>217</v>
      </c>
      <c r="N567" s="877" t="s">
        <v>1224</v>
      </c>
      <c r="O567" s="352">
        <v>833.33333333333337</v>
      </c>
      <c r="P567" s="352">
        <v>833.33333333333337</v>
      </c>
      <c r="Q567" s="352">
        <v>833.33333333333337</v>
      </c>
      <c r="R567" s="352">
        <v>833.33333333333337</v>
      </c>
      <c r="S567" s="352">
        <v>833.33333333333337</v>
      </c>
      <c r="T567" s="352">
        <v>833.33333333333337</v>
      </c>
      <c r="U567" s="352">
        <v>833.33333333333337</v>
      </c>
      <c r="V567" s="352">
        <v>833.33333333333337</v>
      </c>
      <c r="W567" s="352">
        <v>833.33333333333337</v>
      </c>
      <c r="X567" s="352">
        <v>833.33333333333337</v>
      </c>
      <c r="Y567" s="352">
        <v>833.33333333333337</v>
      </c>
      <c r="Z567" s="352">
        <v>833.33333333333337</v>
      </c>
      <c r="AA567" s="1578">
        <f t="shared" si="39"/>
        <v>10000</v>
      </c>
    </row>
    <row r="568" spans="1:27" ht="22.5" x14ac:dyDescent="0.25">
      <c r="A568" s="513"/>
      <c r="B568" s="2926"/>
      <c r="C568" s="2929"/>
      <c r="D568" s="4282"/>
      <c r="E568" s="4552"/>
      <c r="F568" s="4512"/>
      <c r="G568" s="4512"/>
      <c r="H568" s="4282"/>
      <c r="I568" s="4282"/>
      <c r="J568" s="4474"/>
      <c r="K568" s="4474"/>
      <c r="L568" s="4282"/>
      <c r="M568" s="1974" t="s">
        <v>2574</v>
      </c>
      <c r="N568" s="877" t="s">
        <v>1572</v>
      </c>
      <c r="O568" s="352">
        <v>1000</v>
      </c>
      <c r="P568" s="352">
        <v>1000</v>
      </c>
      <c r="Q568" s="352">
        <v>1000</v>
      </c>
      <c r="R568" s="352">
        <v>1000</v>
      </c>
      <c r="S568" s="352">
        <v>1000</v>
      </c>
      <c r="T568" s="352">
        <v>1000</v>
      </c>
      <c r="U568" s="352">
        <v>1000</v>
      </c>
      <c r="V568" s="352">
        <v>1000</v>
      </c>
      <c r="W568" s="352">
        <v>1000</v>
      </c>
      <c r="X568" s="352">
        <v>1000</v>
      </c>
      <c r="Y568" s="352">
        <v>1000</v>
      </c>
      <c r="Z568" s="352">
        <v>1000</v>
      </c>
      <c r="AA568" s="1578">
        <f t="shared" si="39"/>
        <v>12000</v>
      </c>
    </row>
    <row r="569" spans="1:27" x14ac:dyDescent="0.25">
      <c r="A569" s="513"/>
      <c r="B569" s="2926"/>
      <c r="C569" s="2929"/>
      <c r="D569" s="4282"/>
      <c r="E569" s="4552"/>
      <c r="F569" s="4512"/>
      <c r="G569" s="4512"/>
      <c r="H569" s="4282"/>
      <c r="I569" s="4282"/>
      <c r="J569" s="4474"/>
      <c r="K569" s="4474"/>
      <c r="L569" s="4282"/>
      <c r="M569" s="1974" t="s">
        <v>190</v>
      </c>
      <c r="N569" s="877" t="s">
        <v>2559</v>
      </c>
      <c r="O569" s="352">
        <v>3333.3333333333335</v>
      </c>
      <c r="P569" s="352">
        <v>3333.3333333333335</v>
      </c>
      <c r="Q569" s="352">
        <v>3333.3333333333335</v>
      </c>
      <c r="R569" s="352">
        <v>3333.3333333333335</v>
      </c>
      <c r="S569" s="352">
        <v>3333.3333333333335</v>
      </c>
      <c r="T569" s="352">
        <v>3333.3333333333335</v>
      </c>
      <c r="U569" s="352">
        <v>3333.3333333333335</v>
      </c>
      <c r="V569" s="352">
        <v>3333.3333333333335</v>
      </c>
      <c r="W569" s="352">
        <v>3333.3333333333335</v>
      </c>
      <c r="X569" s="352">
        <v>3333.3333333333335</v>
      </c>
      <c r="Y569" s="352">
        <v>3333.3333333333335</v>
      </c>
      <c r="Z569" s="352">
        <v>3333.3333333333335</v>
      </c>
      <c r="AA569" s="1578">
        <f t="shared" si="39"/>
        <v>40000</v>
      </c>
    </row>
    <row r="570" spans="1:27" ht="33.75" x14ac:dyDescent="0.25">
      <c r="A570" s="513"/>
      <c r="B570" s="2926"/>
      <c r="C570" s="2929"/>
      <c r="D570" s="4282"/>
      <c r="E570" s="4552"/>
      <c r="F570" s="4512"/>
      <c r="G570" s="4512"/>
      <c r="H570" s="4282"/>
      <c r="I570" s="4282"/>
      <c r="J570" s="4474"/>
      <c r="K570" s="4474"/>
      <c r="L570" s="4282"/>
      <c r="M570" s="1974" t="s">
        <v>541</v>
      </c>
      <c r="N570" s="877" t="s">
        <v>2547</v>
      </c>
      <c r="O570" s="352">
        <v>208.33333333333334</v>
      </c>
      <c r="P570" s="352">
        <v>208.33333333333334</v>
      </c>
      <c r="Q570" s="352">
        <v>208.33333333333334</v>
      </c>
      <c r="R570" s="352">
        <v>208.33333333333334</v>
      </c>
      <c r="S570" s="352">
        <v>208.33333333333334</v>
      </c>
      <c r="T570" s="352">
        <v>208.33333333333334</v>
      </c>
      <c r="U570" s="352">
        <v>208.33333333333334</v>
      </c>
      <c r="V570" s="352">
        <v>208.33333333333334</v>
      </c>
      <c r="W570" s="352">
        <v>208.33333333333334</v>
      </c>
      <c r="X570" s="352">
        <v>208.33333333333334</v>
      </c>
      <c r="Y570" s="352">
        <v>208.33333333333334</v>
      </c>
      <c r="Z570" s="352">
        <v>208.33333333333334</v>
      </c>
      <c r="AA570" s="1578">
        <f t="shared" si="39"/>
        <v>2500</v>
      </c>
    </row>
    <row r="571" spans="1:27" ht="33.75" x14ac:dyDescent="0.25">
      <c r="A571" s="513"/>
      <c r="B571" s="2926"/>
      <c r="C571" s="2929"/>
      <c r="D571" s="4282"/>
      <c r="E571" s="4552"/>
      <c r="F571" s="4512"/>
      <c r="G571" s="4512"/>
      <c r="H571" s="4282"/>
      <c r="I571" s="4282"/>
      <c r="J571" s="4474"/>
      <c r="K571" s="4474"/>
      <c r="L571" s="4282"/>
      <c r="M571" s="1925" t="s">
        <v>194</v>
      </c>
      <c r="N571" s="877" t="s">
        <v>1368</v>
      </c>
      <c r="O571" s="352">
        <v>416.66666666666669</v>
      </c>
      <c r="P571" s="352">
        <v>416.66666666666669</v>
      </c>
      <c r="Q571" s="352">
        <v>416.66666666666669</v>
      </c>
      <c r="R571" s="352">
        <v>416.66666666666669</v>
      </c>
      <c r="S571" s="352">
        <v>416.66666666666669</v>
      </c>
      <c r="T571" s="352">
        <v>416.66666666666669</v>
      </c>
      <c r="U571" s="352">
        <v>416.66666666666669</v>
      </c>
      <c r="V571" s="352">
        <v>416.66666666666669</v>
      </c>
      <c r="W571" s="352">
        <v>416.66666666666669</v>
      </c>
      <c r="X571" s="352">
        <v>416.66666666666669</v>
      </c>
      <c r="Y571" s="352">
        <v>416.66666666666669</v>
      </c>
      <c r="Z571" s="352">
        <v>416.66666666666669</v>
      </c>
      <c r="AA571" s="1578">
        <f t="shared" si="39"/>
        <v>5000</v>
      </c>
    </row>
    <row r="572" spans="1:27" ht="45" x14ac:dyDescent="0.25">
      <c r="A572" s="513"/>
      <c r="B572" s="2926"/>
      <c r="C572" s="2929"/>
      <c r="D572" s="4282"/>
      <c r="E572" s="4552"/>
      <c r="F572" s="4512"/>
      <c r="G572" s="4512"/>
      <c r="H572" s="4282"/>
      <c r="I572" s="4282"/>
      <c r="J572" s="4474"/>
      <c r="K572" s="4474"/>
      <c r="L572" s="4282"/>
      <c r="M572" s="1925" t="s">
        <v>220</v>
      </c>
      <c r="N572" s="877" t="s">
        <v>2563</v>
      </c>
      <c r="O572" s="352">
        <v>416.66666666666669</v>
      </c>
      <c r="P572" s="352">
        <v>416.66666666666669</v>
      </c>
      <c r="Q572" s="352">
        <v>416.66666666666669</v>
      </c>
      <c r="R572" s="352">
        <v>416.66666666666669</v>
      </c>
      <c r="S572" s="352">
        <v>416.66666666666669</v>
      </c>
      <c r="T572" s="352">
        <v>416.66666666666669</v>
      </c>
      <c r="U572" s="352">
        <v>416.66666666666669</v>
      </c>
      <c r="V572" s="352">
        <v>416.66666666666669</v>
      </c>
      <c r="W572" s="352">
        <v>416.66666666666669</v>
      </c>
      <c r="X572" s="352">
        <v>416.66666666666669</v>
      </c>
      <c r="Y572" s="352">
        <v>416.66666666666669</v>
      </c>
      <c r="Z572" s="352">
        <v>416.66666666666669</v>
      </c>
      <c r="AA572" s="1578">
        <f t="shared" si="39"/>
        <v>5000</v>
      </c>
    </row>
    <row r="573" spans="1:27" ht="56.25" x14ac:dyDescent="0.25">
      <c r="A573" s="513"/>
      <c r="B573" s="2926"/>
      <c r="C573" s="2929"/>
      <c r="D573" s="4282"/>
      <c r="E573" s="4552"/>
      <c r="F573" s="4512"/>
      <c r="G573" s="4512"/>
      <c r="H573" s="4282"/>
      <c r="I573" s="4282"/>
      <c r="J573" s="4474"/>
      <c r="K573" s="4474"/>
      <c r="L573" s="4282"/>
      <c r="M573" s="1925" t="s">
        <v>226</v>
      </c>
      <c r="N573" s="877" t="s">
        <v>2575</v>
      </c>
      <c r="O573" s="352">
        <v>833.33333333333337</v>
      </c>
      <c r="P573" s="352">
        <v>833.33333333333337</v>
      </c>
      <c r="Q573" s="352">
        <v>833.33333333333337</v>
      </c>
      <c r="R573" s="352">
        <v>833.33333333333337</v>
      </c>
      <c r="S573" s="352">
        <v>833.33333333333337</v>
      </c>
      <c r="T573" s="352">
        <v>833.33333333333337</v>
      </c>
      <c r="U573" s="352">
        <v>833.33333333333337</v>
      </c>
      <c r="V573" s="352">
        <v>833.33333333333337</v>
      </c>
      <c r="W573" s="352">
        <v>833.33333333333337</v>
      </c>
      <c r="X573" s="352">
        <v>833.33333333333337</v>
      </c>
      <c r="Y573" s="352">
        <v>833.33333333333337</v>
      </c>
      <c r="Z573" s="352">
        <v>833.33333333333337</v>
      </c>
      <c r="AA573" s="1578">
        <f t="shared" si="39"/>
        <v>10000</v>
      </c>
    </row>
    <row r="574" spans="1:27" x14ac:dyDescent="0.25">
      <c r="A574" s="513"/>
      <c r="B574" s="2926"/>
      <c r="C574" s="2929"/>
      <c r="D574" s="4282"/>
      <c r="E574" s="4552"/>
      <c r="F574" s="4512"/>
      <c r="G574" s="4512"/>
      <c r="H574" s="4282"/>
      <c r="I574" s="4282"/>
      <c r="J574" s="4474"/>
      <c r="K574" s="4474"/>
      <c r="L574" s="4282"/>
      <c r="M574" s="1925" t="s">
        <v>1001</v>
      </c>
      <c r="N574" s="877" t="s">
        <v>1224</v>
      </c>
      <c r="O574" s="352">
        <v>833.33333333333337</v>
      </c>
      <c r="P574" s="352">
        <v>833.33333333333337</v>
      </c>
      <c r="Q574" s="352">
        <v>833.33333333333337</v>
      </c>
      <c r="R574" s="352">
        <v>833.33333333333337</v>
      </c>
      <c r="S574" s="352">
        <v>833.33333333333337</v>
      </c>
      <c r="T574" s="352">
        <v>833.33333333333337</v>
      </c>
      <c r="U574" s="352">
        <v>833.33333333333337</v>
      </c>
      <c r="V574" s="352">
        <v>833.33333333333337</v>
      </c>
      <c r="W574" s="352">
        <v>833.33333333333337</v>
      </c>
      <c r="X574" s="352">
        <v>833.33333333333337</v>
      </c>
      <c r="Y574" s="352">
        <v>833.33333333333337</v>
      </c>
      <c r="Z574" s="352">
        <v>833.33333333333337</v>
      </c>
      <c r="AA574" s="1578">
        <f t="shared" si="39"/>
        <v>10000</v>
      </c>
    </row>
    <row r="575" spans="1:27" ht="22.5" x14ac:dyDescent="0.25">
      <c r="A575" s="513"/>
      <c r="B575" s="2926"/>
      <c r="C575" s="2929"/>
      <c r="D575" s="4282"/>
      <c r="E575" s="4552"/>
      <c r="F575" s="4512"/>
      <c r="G575" s="4512"/>
      <c r="H575" s="4282"/>
      <c r="I575" s="4282"/>
      <c r="J575" s="4474"/>
      <c r="K575" s="4474"/>
      <c r="L575" s="4282"/>
      <c r="M575" s="1925" t="s">
        <v>228</v>
      </c>
      <c r="N575" s="877" t="s">
        <v>2576</v>
      </c>
      <c r="O575" s="352">
        <v>8861.9166666666661</v>
      </c>
      <c r="P575" s="352">
        <v>8861.9166666666661</v>
      </c>
      <c r="Q575" s="352">
        <v>8861.9166666666661</v>
      </c>
      <c r="R575" s="352">
        <v>8861.9166666666661</v>
      </c>
      <c r="S575" s="352">
        <v>8861.9166666666661</v>
      </c>
      <c r="T575" s="352">
        <v>8861.9166666666661</v>
      </c>
      <c r="U575" s="352">
        <v>8861.9166666666661</v>
      </c>
      <c r="V575" s="352">
        <v>8861.9166666666661</v>
      </c>
      <c r="W575" s="352">
        <v>8861.9166666666661</v>
      </c>
      <c r="X575" s="352">
        <v>8861.9166666666661</v>
      </c>
      <c r="Y575" s="352">
        <v>8861.9166666666661</v>
      </c>
      <c r="Z575" s="352">
        <v>8861.9166666666661</v>
      </c>
      <c r="AA575" s="1578">
        <f t="shared" si="39"/>
        <v>106343.00000000001</v>
      </c>
    </row>
    <row r="576" spans="1:27" ht="22.5" x14ac:dyDescent="0.25">
      <c r="A576" s="513"/>
      <c r="B576" s="2926"/>
      <c r="C576" s="2929"/>
      <c r="D576" s="4282"/>
      <c r="E576" s="4552"/>
      <c r="F576" s="4512"/>
      <c r="G576" s="4512"/>
      <c r="H576" s="4282"/>
      <c r="I576" s="4282"/>
      <c r="J576" s="4474"/>
      <c r="K576" s="4474"/>
      <c r="L576" s="4282"/>
      <c r="M576" s="1925" t="s">
        <v>206</v>
      </c>
      <c r="N576" s="877" t="s">
        <v>2550</v>
      </c>
      <c r="O576" s="352">
        <v>3333.3333333333335</v>
      </c>
      <c r="P576" s="352">
        <v>3333.3333333333335</v>
      </c>
      <c r="Q576" s="352">
        <v>3333.3333333333335</v>
      </c>
      <c r="R576" s="352">
        <v>3333.3333333333335</v>
      </c>
      <c r="S576" s="352">
        <v>3333.3333333333335</v>
      </c>
      <c r="T576" s="352">
        <v>3333.3333333333335</v>
      </c>
      <c r="U576" s="352">
        <v>3333.3333333333335</v>
      </c>
      <c r="V576" s="352">
        <v>3333.3333333333335</v>
      </c>
      <c r="W576" s="352">
        <v>3333.3333333333335</v>
      </c>
      <c r="X576" s="352">
        <v>3333.3333333333335</v>
      </c>
      <c r="Y576" s="352">
        <v>3333.3333333333335</v>
      </c>
      <c r="Z576" s="352">
        <v>3333.3333333333335</v>
      </c>
      <c r="AA576" s="1578">
        <f t="shared" si="39"/>
        <v>40000</v>
      </c>
    </row>
    <row r="577" spans="1:27" ht="33.75" x14ac:dyDescent="0.25">
      <c r="A577" s="513"/>
      <c r="B577" s="2926"/>
      <c r="C577" s="2929"/>
      <c r="D577" s="4282"/>
      <c r="E577" s="4552"/>
      <c r="F577" s="4512"/>
      <c r="G577" s="4512"/>
      <c r="H577" s="4282"/>
      <c r="I577" s="4282"/>
      <c r="J577" s="4474"/>
      <c r="K577" s="4474"/>
      <c r="L577" s="4282"/>
      <c r="M577" s="1925" t="s">
        <v>2382</v>
      </c>
      <c r="N577" s="877" t="s">
        <v>2577</v>
      </c>
      <c r="O577" s="352">
        <v>416.66666666666669</v>
      </c>
      <c r="P577" s="352">
        <v>416.66666666666669</v>
      </c>
      <c r="Q577" s="352">
        <v>416.66666666666669</v>
      </c>
      <c r="R577" s="352">
        <v>416.66666666666669</v>
      </c>
      <c r="S577" s="352">
        <v>416.66666666666669</v>
      </c>
      <c r="T577" s="352">
        <v>416.66666666666669</v>
      </c>
      <c r="U577" s="352">
        <v>416.66666666666669</v>
      </c>
      <c r="V577" s="352">
        <v>416.66666666666669</v>
      </c>
      <c r="W577" s="352">
        <v>416.66666666666669</v>
      </c>
      <c r="X577" s="352">
        <v>416.66666666666669</v>
      </c>
      <c r="Y577" s="352">
        <v>416.66666666666669</v>
      </c>
      <c r="Z577" s="352">
        <v>416.66666666666669</v>
      </c>
      <c r="AA577" s="1578">
        <f t="shared" si="39"/>
        <v>5000</v>
      </c>
    </row>
    <row r="578" spans="1:27" ht="45" x14ac:dyDescent="0.25">
      <c r="A578" s="513"/>
      <c r="B578" s="2926"/>
      <c r="C578" s="2929"/>
      <c r="D578" s="4282"/>
      <c r="E578" s="4552"/>
      <c r="F578" s="4512"/>
      <c r="G578" s="4512"/>
      <c r="H578" s="4282"/>
      <c r="I578" s="4282"/>
      <c r="J578" s="4474"/>
      <c r="K578" s="4474"/>
      <c r="L578" s="4282"/>
      <c r="M578" s="1925" t="s">
        <v>208</v>
      </c>
      <c r="N578" s="877" t="s">
        <v>2567</v>
      </c>
      <c r="O578" s="352">
        <v>5250</v>
      </c>
      <c r="P578" s="352">
        <v>5250</v>
      </c>
      <c r="Q578" s="352">
        <v>5250</v>
      </c>
      <c r="R578" s="352">
        <v>5250</v>
      </c>
      <c r="S578" s="352">
        <v>5250</v>
      </c>
      <c r="T578" s="352">
        <v>5250</v>
      </c>
      <c r="U578" s="352">
        <v>5250</v>
      </c>
      <c r="V578" s="352">
        <v>5250</v>
      </c>
      <c r="W578" s="352">
        <v>5250</v>
      </c>
      <c r="X578" s="352">
        <v>5250</v>
      </c>
      <c r="Y578" s="352">
        <v>5250</v>
      </c>
      <c r="Z578" s="352">
        <v>5250</v>
      </c>
      <c r="AA578" s="1578">
        <f t="shared" si="39"/>
        <v>63000</v>
      </c>
    </row>
    <row r="579" spans="1:27" ht="33.75" x14ac:dyDescent="0.25">
      <c r="A579" s="513"/>
      <c r="B579" s="2926"/>
      <c r="C579" s="2929"/>
      <c r="D579" s="4282"/>
      <c r="E579" s="4552"/>
      <c r="F579" s="4512"/>
      <c r="G579" s="4512"/>
      <c r="H579" s="4282"/>
      <c r="I579" s="4282"/>
      <c r="J579" s="4474"/>
      <c r="K579" s="4474"/>
      <c r="L579" s="4282"/>
      <c r="M579" s="1982" t="s">
        <v>210</v>
      </c>
      <c r="N579" s="877" t="s">
        <v>2568</v>
      </c>
      <c r="O579" s="352">
        <v>892.75</v>
      </c>
      <c r="P579" s="352">
        <v>892.75</v>
      </c>
      <c r="Q579" s="352">
        <v>892.75</v>
      </c>
      <c r="R579" s="352">
        <v>892.75</v>
      </c>
      <c r="S579" s="352">
        <v>892.75</v>
      </c>
      <c r="T579" s="352">
        <v>892.75</v>
      </c>
      <c r="U579" s="352">
        <v>892.75</v>
      </c>
      <c r="V579" s="352">
        <v>892.75</v>
      </c>
      <c r="W579" s="352">
        <v>892.75</v>
      </c>
      <c r="X579" s="352">
        <v>892.75</v>
      </c>
      <c r="Y579" s="352">
        <v>892.75</v>
      </c>
      <c r="Z579" s="352">
        <v>892.75</v>
      </c>
      <c r="AA579" s="1578">
        <f t="shared" si="39"/>
        <v>10713</v>
      </c>
    </row>
    <row r="580" spans="1:27" ht="33.75" x14ac:dyDescent="0.25">
      <c r="A580" s="513"/>
      <c r="B580" s="2926"/>
      <c r="C580" s="2929"/>
      <c r="D580" s="4282"/>
      <c r="E580" s="4552"/>
      <c r="F580" s="4512"/>
      <c r="G580" s="4512"/>
      <c r="H580" s="4282"/>
      <c r="I580" s="4282"/>
      <c r="J580" s="4474"/>
      <c r="K580" s="4474"/>
      <c r="L580" s="4282"/>
      <c r="M580" s="1979" t="s">
        <v>2578</v>
      </c>
      <c r="N580" s="877" t="s">
        <v>2579</v>
      </c>
      <c r="O580" s="352">
        <v>2083.3333333333335</v>
      </c>
      <c r="P580" s="352">
        <v>2083.3333333333335</v>
      </c>
      <c r="Q580" s="352">
        <v>2083.3333333333335</v>
      </c>
      <c r="R580" s="352">
        <v>2083.3333333333335</v>
      </c>
      <c r="S580" s="352">
        <v>2083.3333333333335</v>
      </c>
      <c r="T580" s="352">
        <v>2083.3333333333335</v>
      </c>
      <c r="U580" s="352">
        <v>2083.3333333333335</v>
      </c>
      <c r="V580" s="352">
        <v>2083.3333333333335</v>
      </c>
      <c r="W580" s="352">
        <v>2083.3333333333335</v>
      </c>
      <c r="X580" s="352">
        <v>2083.3333333333335</v>
      </c>
      <c r="Y580" s="352">
        <v>2083.3333333333335</v>
      </c>
      <c r="Z580" s="352">
        <v>2083.3333333333335</v>
      </c>
      <c r="AA580" s="1578">
        <f t="shared" si="39"/>
        <v>24999.999999999996</v>
      </c>
    </row>
    <row r="581" spans="1:27" ht="22.5" x14ac:dyDescent="0.25">
      <c r="A581" s="513"/>
      <c r="B581" s="2926"/>
      <c r="C581" s="2929"/>
      <c r="D581" s="4282"/>
      <c r="E581" s="4552"/>
      <c r="F581" s="4512"/>
      <c r="G581" s="4512"/>
      <c r="H581" s="4282"/>
      <c r="I581" s="4282"/>
      <c r="J581" s="4474"/>
      <c r="K581" s="4474"/>
      <c r="L581" s="4282"/>
      <c r="M581" s="1979" t="s">
        <v>1137</v>
      </c>
      <c r="N581" s="877" t="s">
        <v>1607</v>
      </c>
      <c r="O581" s="352">
        <v>3333.3333333333335</v>
      </c>
      <c r="P581" s="352">
        <v>3333.3333333333335</v>
      </c>
      <c r="Q581" s="352">
        <v>3333.3333333333335</v>
      </c>
      <c r="R581" s="352">
        <v>3333.3333333333335</v>
      </c>
      <c r="S581" s="352">
        <v>3333.3333333333335</v>
      </c>
      <c r="T581" s="352">
        <v>3333.3333333333335</v>
      </c>
      <c r="U581" s="352">
        <v>3333.3333333333335</v>
      </c>
      <c r="V581" s="352">
        <v>3333.3333333333335</v>
      </c>
      <c r="W581" s="352">
        <v>3333.3333333333335</v>
      </c>
      <c r="X581" s="352">
        <v>3333.3333333333335</v>
      </c>
      <c r="Y581" s="352">
        <v>3333.3333333333335</v>
      </c>
      <c r="Z581" s="352">
        <v>3333.3333333333335</v>
      </c>
      <c r="AA581" s="1578">
        <f t="shared" si="39"/>
        <v>40000</v>
      </c>
    </row>
    <row r="582" spans="1:27" x14ac:dyDescent="0.25">
      <c r="A582" s="513"/>
      <c r="B582" s="2926"/>
      <c r="C582" s="2929"/>
      <c r="D582" s="4282"/>
      <c r="E582" s="4552"/>
      <c r="F582" s="4512"/>
      <c r="G582" s="4512"/>
      <c r="H582" s="4282"/>
      <c r="I582" s="4282"/>
      <c r="J582" s="4474"/>
      <c r="K582" s="4474"/>
      <c r="L582" s="4282"/>
      <c r="M582" s="1979" t="s">
        <v>555</v>
      </c>
      <c r="N582" s="1981" t="s">
        <v>1609</v>
      </c>
      <c r="O582" s="352">
        <v>2083.3333333333335</v>
      </c>
      <c r="P582" s="352">
        <v>2083.3333333333335</v>
      </c>
      <c r="Q582" s="352">
        <v>2083.3333333333335</v>
      </c>
      <c r="R582" s="352">
        <v>2083.3333333333335</v>
      </c>
      <c r="S582" s="352">
        <v>2083.3333333333335</v>
      </c>
      <c r="T582" s="352">
        <v>2083.3333333333335</v>
      </c>
      <c r="U582" s="352">
        <v>2083.3333333333335</v>
      </c>
      <c r="V582" s="352">
        <v>2083.3333333333335</v>
      </c>
      <c r="W582" s="352">
        <v>2083.3333333333335</v>
      </c>
      <c r="X582" s="352">
        <v>2083.3333333333335</v>
      </c>
      <c r="Y582" s="352">
        <v>2083.3333333333335</v>
      </c>
      <c r="Z582" s="352">
        <v>2083.3333333333335</v>
      </c>
      <c r="AA582" s="1578">
        <f t="shared" si="39"/>
        <v>24999.999999999996</v>
      </c>
    </row>
    <row r="583" spans="1:27" ht="22.5" x14ac:dyDescent="0.25">
      <c r="A583" s="513"/>
      <c r="B583" s="2927"/>
      <c r="C583" s="2930"/>
      <c r="D583" s="2354"/>
      <c r="E583" s="4683"/>
      <c r="F583" s="3149"/>
      <c r="G583" s="3149"/>
      <c r="H583" s="2354"/>
      <c r="I583" s="2354"/>
      <c r="J583" s="3151"/>
      <c r="K583" s="3151"/>
      <c r="L583" s="2354"/>
      <c r="M583" s="1925" t="s">
        <v>2580</v>
      </c>
      <c r="N583" s="877" t="s">
        <v>2581</v>
      </c>
      <c r="O583" s="352">
        <v>5916.583333333333</v>
      </c>
      <c r="P583" s="352">
        <v>5916.583333333333</v>
      </c>
      <c r="Q583" s="352">
        <v>5916.583333333333</v>
      </c>
      <c r="R583" s="352">
        <v>5916.583333333333</v>
      </c>
      <c r="S583" s="352">
        <v>5916.583333333333</v>
      </c>
      <c r="T583" s="352">
        <v>5916.583333333333</v>
      </c>
      <c r="U583" s="352">
        <v>5916.583333333333</v>
      </c>
      <c r="V583" s="352">
        <v>5916.583333333333</v>
      </c>
      <c r="W583" s="352">
        <v>5916.583333333333</v>
      </c>
      <c r="X583" s="352">
        <v>5916.583333333333</v>
      </c>
      <c r="Y583" s="352">
        <v>5916.583333333333</v>
      </c>
      <c r="Z583" s="352">
        <v>5916.583333333333</v>
      </c>
      <c r="AA583" s="1577">
        <f t="shared" si="39"/>
        <v>70999.000000000015</v>
      </c>
    </row>
    <row r="584" spans="1:27" x14ac:dyDescent="0.25">
      <c r="A584" s="4297" t="s">
        <v>2582</v>
      </c>
      <c r="B584" s="4297"/>
      <c r="C584" s="4297"/>
      <c r="D584" s="4297"/>
      <c r="E584" s="4297"/>
      <c r="F584" s="4297"/>
      <c r="G584" s="4297"/>
      <c r="H584" s="4297"/>
      <c r="I584" s="4297"/>
      <c r="J584" s="4297"/>
      <c r="K584" s="4297"/>
      <c r="L584" s="4297"/>
      <c r="M584" s="4297"/>
      <c r="N584" s="4297"/>
      <c r="O584" s="4297"/>
      <c r="P584" s="4297"/>
      <c r="Q584" s="4297"/>
      <c r="R584" s="4297"/>
      <c r="S584" s="4297"/>
      <c r="T584" s="4297"/>
      <c r="U584" s="4297"/>
      <c r="V584" s="4297"/>
      <c r="W584" s="4297"/>
      <c r="X584" s="4297"/>
      <c r="Y584" s="4297"/>
      <c r="Z584" s="513"/>
      <c r="AA584" s="226"/>
    </row>
    <row r="585" spans="1:27" x14ac:dyDescent="0.25">
      <c r="A585" s="2291" t="s">
        <v>251</v>
      </c>
      <c r="B585" s="449" t="s">
        <v>1</v>
      </c>
      <c r="C585" s="4696" t="s">
        <v>2583</v>
      </c>
      <c r="D585" s="4696"/>
      <c r="E585" s="4696"/>
      <c r="F585" s="4696"/>
      <c r="G585" s="514"/>
      <c r="H585" s="514"/>
      <c r="I585" s="514"/>
      <c r="J585" s="514"/>
      <c r="K585" s="514"/>
      <c r="L585" s="514"/>
      <c r="M585" s="514"/>
      <c r="N585" s="514"/>
      <c r="O585" s="514"/>
      <c r="P585" s="514"/>
      <c r="Q585" s="514"/>
      <c r="R585" s="514"/>
      <c r="S585" s="514"/>
      <c r="T585" s="514"/>
      <c r="U585" s="514"/>
      <c r="V585" s="514"/>
      <c r="W585" s="514"/>
      <c r="X585" s="514"/>
      <c r="Y585" s="514"/>
      <c r="Z585" s="203"/>
      <c r="AA585" s="346"/>
    </row>
    <row r="586" spans="1:27" ht="24" x14ac:dyDescent="0.25">
      <c r="A586" s="2291"/>
      <c r="B586" s="1352" t="s">
        <v>2</v>
      </c>
      <c r="C586" s="3154" t="s">
        <v>2584</v>
      </c>
      <c r="D586" s="3154"/>
      <c r="E586" s="3154"/>
      <c r="F586" s="3154"/>
      <c r="G586" s="3154"/>
      <c r="H586" s="3154"/>
      <c r="I586" s="3154"/>
      <c r="J586" s="3154"/>
      <c r="K586" s="3154"/>
      <c r="L586" s="3154"/>
      <c r="M586" s="3154"/>
      <c r="N586" s="3154"/>
      <c r="O586" s="3154"/>
      <c r="P586" s="3154"/>
      <c r="Q586" s="3154"/>
      <c r="R586" s="3154"/>
      <c r="S586" s="3154"/>
      <c r="T586" s="3154"/>
      <c r="U586" s="3154"/>
      <c r="V586" s="3154"/>
      <c r="W586" s="3154"/>
      <c r="X586" s="3154"/>
      <c r="Y586" s="3038"/>
      <c r="Z586" s="203"/>
      <c r="AA586" s="346"/>
    </row>
    <row r="587" spans="1:27" x14ac:dyDescent="0.25">
      <c r="A587" s="2291"/>
      <c r="B587" s="1352" t="s">
        <v>4</v>
      </c>
      <c r="C587" s="3038" t="s">
        <v>2585</v>
      </c>
      <c r="D587" s="4697"/>
      <c r="E587" s="4697"/>
      <c r="F587" s="4697"/>
      <c r="G587" s="4697"/>
      <c r="H587" s="4697"/>
      <c r="I587" s="4697"/>
      <c r="J587" s="4697"/>
      <c r="K587" s="4697"/>
      <c r="L587" s="4697"/>
      <c r="M587" s="4697"/>
      <c r="N587" s="4697"/>
      <c r="O587" s="1364"/>
      <c r="P587" s="1364"/>
      <c r="Q587" s="1364"/>
      <c r="R587" s="1364"/>
      <c r="S587" s="1364"/>
      <c r="T587" s="1364"/>
      <c r="U587" s="1364"/>
      <c r="V587" s="1364"/>
      <c r="W587" s="1364"/>
      <c r="X587" s="1364"/>
      <c r="Y587" s="1364"/>
      <c r="Z587" s="203"/>
      <c r="AA587" s="346"/>
    </row>
    <row r="588" spans="1:27" ht="24" x14ac:dyDescent="0.25">
      <c r="A588" s="2291"/>
      <c r="B588" s="1352" t="s">
        <v>6</v>
      </c>
      <c r="C588" s="3154" t="s">
        <v>2523</v>
      </c>
      <c r="D588" s="3154"/>
      <c r="E588" s="3154"/>
      <c r="F588" s="3154"/>
      <c r="G588" s="3154"/>
      <c r="H588" s="3154"/>
      <c r="I588" s="3154"/>
      <c r="J588" s="3154"/>
      <c r="K588" s="3154"/>
      <c r="L588" s="3154"/>
      <c r="M588" s="3154"/>
      <c r="N588" s="3154"/>
      <c r="O588" s="3154"/>
      <c r="P588" s="3154"/>
      <c r="Q588" s="3154"/>
      <c r="R588" s="3154"/>
      <c r="S588" s="3154"/>
      <c r="T588" s="3154"/>
      <c r="U588" s="3154"/>
      <c r="V588" s="3154"/>
      <c r="W588" s="3154"/>
      <c r="X588" s="3154"/>
      <c r="Y588" s="3038"/>
      <c r="Z588" s="203"/>
      <c r="AA588" s="346"/>
    </row>
    <row r="589" spans="1:27" ht="30" customHeight="1" x14ac:dyDescent="0.25">
      <c r="A589" s="2291"/>
      <c r="B589" s="1859" t="s">
        <v>8</v>
      </c>
      <c r="C589" s="2911" t="s">
        <v>2586</v>
      </c>
      <c r="D589" s="2912"/>
      <c r="E589" s="2912"/>
      <c r="F589" s="2912"/>
      <c r="G589" s="2912"/>
      <c r="H589" s="2912"/>
      <c r="I589" s="363"/>
      <c r="J589" s="363"/>
      <c r="K589" s="363"/>
      <c r="L589" s="363"/>
      <c r="M589" s="363"/>
      <c r="N589" s="363"/>
      <c r="O589" s="363"/>
      <c r="P589" s="363"/>
      <c r="Q589" s="363"/>
      <c r="R589" s="363"/>
      <c r="S589" s="363"/>
      <c r="T589" s="363"/>
      <c r="U589" s="363"/>
      <c r="V589" s="363"/>
      <c r="W589" s="363"/>
      <c r="X589" s="363"/>
      <c r="Y589" s="363"/>
      <c r="Z589" s="365"/>
      <c r="AA589" s="515"/>
    </row>
    <row r="590" spans="1:27" ht="26.25" customHeight="1" x14ac:dyDescent="0.25">
      <c r="A590" s="2291" t="s">
        <v>256</v>
      </c>
      <c r="B590" s="1352" t="s">
        <v>11</v>
      </c>
      <c r="C590" s="4688" t="s">
        <v>229</v>
      </c>
      <c r="D590" s="4688"/>
      <c r="E590" s="4688"/>
      <c r="F590" s="4688"/>
      <c r="G590" s="4688"/>
      <c r="H590" s="4688"/>
      <c r="I590" s="4688"/>
      <c r="J590" s="4688"/>
      <c r="K590" s="4688"/>
      <c r="L590" s="4688"/>
      <c r="M590" s="4688"/>
      <c r="N590" s="4688"/>
      <c r="O590" s="4688"/>
      <c r="P590" s="4688"/>
      <c r="Q590" s="4688"/>
      <c r="R590" s="4688"/>
      <c r="S590" s="4688"/>
      <c r="T590" s="4688"/>
      <c r="U590" s="4688"/>
      <c r="V590" s="4688"/>
      <c r="W590" s="4688"/>
      <c r="X590" s="4688"/>
      <c r="Y590" s="4689"/>
      <c r="Z590" s="203"/>
      <c r="AA590" s="346"/>
    </row>
    <row r="591" spans="1:27" x14ac:dyDescent="0.25">
      <c r="A591" s="2291"/>
      <c r="B591" s="2298" t="s">
        <v>13</v>
      </c>
      <c r="C591" s="4690">
        <v>9001</v>
      </c>
      <c r="D591" s="4692" t="s">
        <v>230</v>
      </c>
      <c r="E591" s="4693"/>
      <c r="F591" s="516"/>
      <c r="G591" s="516"/>
      <c r="H591" s="516"/>
      <c r="I591" s="516"/>
      <c r="J591" s="516"/>
      <c r="K591" s="516"/>
      <c r="L591" s="516"/>
      <c r="M591" s="516"/>
      <c r="N591" s="516"/>
      <c r="O591" s="516"/>
      <c r="P591" s="516"/>
      <c r="Q591" s="516"/>
      <c r="R591" s="516"/>
      <c r="S591" s="516"/>
      <c r="T591" s="517"/>
      <c r="U591" s="518"/>
      <c r="V591" s="513"/>
      <c r="W591" s="4693" t="s">
        <v>15</v>
      </c>
      <c r="X591" s="4694"/>
      <c r="Y591" s="4695"/>
      <c r="Z591" s="2314" t="s">
        <v>16</v>
      </c>
      <c r="AA591" s="2316"/>
    </row>
    <row r="592" spans="1:27" x14ac:dyDescent="0.25">
      <c r="A592" s="2291"/>
      <c r="B592" s="2298"/>
      <c r="C592" s="4691"/>
      <c r="D592" s="4692"/>
      <c r="E592" s="4693"/>
      <c r="F592" s="519"/>
      <c r="G592" s="519"/>
      <c r="H592" s="519"/>
      <c r="I592" s="519"/>
      <c r="J592" s="519"/>
      <c r="K592" s="519"/>
      <c r="L592" s="519"/>
      <c r="M592" s="519"/>
      <c r="N592" s="519"/>
      <c r="O592" s="519"/>
      <c r="P592" s="519"/>
      <c r="Q592" s="519"/>
      <c r="R592" s="519"/>
      <c r="S592" s="519"/>
      <c r="T592" s="520"/>
      <c r="U592" s="518"/>
      <c r="V592" s="513"/>
      <c r="W592" s="4703" t="s">
        <v>19</v>
      </c>
      <c r="X592" s="4704"/>
      <c r="Y592" s="4705"/>
      <c r="Z592" s="4703"/>
      <c r="AA592" s="4705"/>
    </row>
    <row r="593" spans="1:29" ht="15" customHeight="1" x14ac:dyDescent="0.25">
      <c r="A593" s="2291"/>
      <c r="B593" s="2298" t="s">
        <v>18</v>
      </c>
      <c r="C593" s="4690">
        <v>3999999</v>
      </c>
      <c r="D593" s="4692" t="s">
        <v>163</v>
      </c>
      <c r="E593" s="4693"/>
      <c r="F593" s="516"/>
      <c r="G593" s="516"/>
      <c r="H593" s="516"/>
      <c r="I593" s="516"/>
      <c r="J593" s="516"/>
      <c r="K593" s="516"/>
      <c r="L593" s="516"/>
      <c r="M593" s="516"/>
      <c r="N593" s="516"/>
      <c r="O593" s="516"/>
      <c r="P593" s="516"/>
      <c r="Q593" s="516"/>
      <c r="R593" s="516"/>
      <c r="S593" s="516"/>
      <c r="T593" s="516"/>
      <c r="U593" s="4707"/>
      <c r="V593" s="4708"/>
      <c r="W593" s="4693" t="s">
        <v>15</v>
      </c>
      <c r="X593" s="4694"/>
      <c r="Y593" s="4695"/>
      <c r="Z593" s="2314" t="s">
        <v>16</v>
      </c>
      <c r="AA593" s="2316"/>
    </row>
    <row r="594" spans="1:29" x14ac:dyDescent="0.25">
      <c r="A594" s="2291"/>
      <c r="B594" s="2298"/>
      <c r="C594" s="4706"/>
      <c r="D594" s="4692"/>
      <c r="E594" s="4693"/>
      <c r="F594" s="521"/>
      <c r="G594" s="521"/>
      <c r="H594" s="521"/>
      <c r="I594" s="521"/>
      <c r="J594" s="521"/>
      <c r="K594" s="521"/>
      <c r="L594" s="521"/>
      <c r="M594" s="521"/>
      <c r="N594" s="521"/>
      <c r="O594" s="521"/>
      <c r="P594" s="521"/>
      <c r="Q594" s="521"/>
      <c r="R594" s="521"/>
      <c r="S594" s="521"/>
      <c r="T594" s="521"/>
      <c r="U594" s="4709"/>
      <c r="V594" s="4710"/>
      <c r="W594" s="1367" t="s">
        <v>19</v>
      </c>
      <c r="X594" s="1368"/>
      <c r="Y594" s="1368"/>
      <c r="Z594" s="1369"/>
      <c r="AA594" s="1306"/>
    </row>
    <row r="595" spans="1:29" ht="15" customHeight="1" x14ac:dyDescent="0.25">
      <c r="A595" s="2291"/>
      <c r="B595" s="2320" t="s">
        <v>20</v>
      </c>
      <c r="C595" s="2324" t="s">
        <v>21</v>
      </c>
      <c r="D595" s="2324" t="s">
        <v>22</v>
      </c>
      <c r="E595" s="2324" t="s">
        <v>23</v>
      </c>
      <c r="F595" s="2324" t="s">
        <v>164</v>
      </c>
      <c r="G595" s="2324" t="s">
        <v>25</v>
      </c>
      <c r="H595" s="2324" t="s">
        <v>26</v>
      </c>
      <c r="I595" s="2324" t="s">
        <v>27</v>
      </c>
      <c r="J595" s="2322" t="s">
        <v>28</v>
      </c>
      <c r="K595" s="2323"/>
      <c r="L595" s="2324" t="s">
        <v>29</v>
      </c>
      <c r="M595" s="2322" t="s">
        <v>30</v>
      </c>
      <c r="N595" s="4308"/>
      <c r="O595" s="2343" t="s">
        <v>31</v>
      </c>
      <c r="P595" s="2344"/>
      <c r="Q595" s="2344"/>
      <c r="R595" s="2344"/>
      <c r="S595" s="2344"/>
      <c r="T595" s="2344"/>
      <c r="U595" s="2344"/>
      <c r="V595" s="2344"/>
      <c r="W595" s="2344"/>
      <c r="X595" s="2344"/>
      <c r="Y595" s="2344"/>
      <c r="Z595" s="2345"/>
      <c r="AA595" s="4685" t="s">
        <v>32</v>
      </c>
    </row>
    <row r="596" spans="1:29" ht="20.25" customHeight="1" x14ac:dyDescent="0.25">
      <c r="A596" s="2291"/>
      <c r="B596" s="2321"/>
      <c r="C596" s="2324"/>
      <c r="D596" s="2324"/>
      <c r="E596" s="2324"/>
      <c r="F596" s="2324"/>
      <c r="G596" s="2324"/>
      <c r="H596" s="2324"/>
      <c r="I596" s="2324"/>
      <c r="J596" s="1355" t="s">
        <v>33</v>
      </c>
      <c r="K596" s="1355" t="s">
        <v>34</v>
      </c>
      <c r="L596" s="2324"/>
      <c r="M596" s="2325"/>
      <c r="N596" s="4309"/>
      <c r="O596" s="1354" t="s">
        <v>35</v>
      </c>
      <c r="P596" s="1354" t="s">
        <v>36</v>
      </c>
      <c r="Q596" s="1354" t="s">
        <v>37</v>
      </c>
      <c r="R596" s="1354" t="s">
        <v>38</v>
      </c>
      <c r="S596" s="1354" t="s">
        <v>39</v>
      </c>
      <c r="T596" s="1354" t="s">
        <v>40</v>
      </c>
      <c r="U596" s="1354" t="s">
        <v>41</v>
      </c>
      <c r="V596" s="1354" t="s">
        <v>42</v>
      </c>
      <c r="W596" s="1354" t="s">
        <v>43</v>
      </c>
      <c r="X596" s="1354" t="s">
        <v>44</v>
      </c>
      <c r="Y596" s="1354" t="s">
        <v>45</v>
      </c>
      <c r="Z596" s="1354" t="s">
        <v>46</v>
      </c>
      <c r="AA596" s="4686"/>
    </row>
    <row r="597" spans="1:29" x14ac:dyDescent="0.25">
      <c r="A597" s="2291"/>
      <c r="B597" s="4698">
        <v>5000002</v>
      </c>
      <c r="C597" s="4432" t="s">
        <v>2329</v>
      </c>
      <c r="D597" s="4701" t="s">
        <v>2587</v>
      </c>
      <c r="E597" s="4176" t="s">
        <v>3262</v>
      </c>
      <c r="F597" s="4551" t="s">
        <v>165</v>
      </c>
      <c r="G597" s="4551" t="s">
        <v>2370</v>
      </c>
      <c r="H597" s="4176" t="s">
        <v>1213</v>
      </c>
      <c r="I597" s="4176" t="s">
        <v>235</v>
      </c>
      <c r="J597" s="4440">
        <v>12</v>
      </c>
      <c r="K597" s="4440">
        <v>11604</v>
      </c>
      <c r="L597" s="4176" t="s">
        <v>2586</v>
      </c>
      <c r="M597" s="2671" t="s">
        <v>51</v>
      </c>
      <c r="N597" s="2672"/>
      <c r="O597" s="481"/>
      <c r="P597" s="481"/>
      <c r="Q597" s="481"/>
      <c r="R597" s="481"/>
      <c r="S597" s="481"/>
      <c r="T597" s="481"/>
      <c r="U597" s="481"/>
      <c r="V597" s="481"/>
      <c r="W597" s="481"/>
      <c r="X597" s="481"/>
      <c r="Y597" s="481"/>
      <c r="Z597" s="481"/>
      <c r="AA597" s="513"/>
    </row>
    <row r="598" spans="1:29" x14ac:dyDescent="0.25">
      <c r="A598" s="2291"/>
      <c r="B598" s="4699"/>
      <c r="C598" s="4433"/>
      <c r="D598" s="4702"/>
      <c r="E598" s="4552"/>
      <c r="F598" s="4552"/>
      <c r="G598" s="4552"/>
      <c r="H598" s="4431"/>
      <c r="I598" s="4431"/>
      <c r="J598" s="4441"/>
      <c r="K598" s="4441"/>
      <c r="L598" s="4431"/>
      <c r="M598" s="2671" t="s">
        <v>111</v>
      </c>
      <c r="N598" s="2672"/>
      <c r="O598" s="527">
        <f t="shared" ref="O598:Z598" si="41">SUM(O599:O602)</f>
        <v>3116.94</v>
      </c>
      <c r="P598" s="527">
        <f t="shared" si="41"/>
        <v>593</v>
      </c>
      <c r="Q598" s="527">
        <f t="shared" si="41"/>
        <v>1588</v>
      </c>
      <c r="R598" s="527">
        <f t="shared" si="41"/>
        <v>3116.94</v>
      </c>
      <c r="S598" s="527">
        <f t="shared" si="41"/>
        <v>261</v>
      </c>
      <c r="T598" s="527">
        <f t="shared" si="41"/>
        <v>506</v>
      </c>
      <c r="U598" s="527">
        <f t="shared" si="41"/>
        <v>737</v>
      </c>
      <c r="V598" s="527">
        <f t="shared" si="41"/>
        <v>721</v>
      </c>
      <c r="W598" s="527">
        <f t="shared" si="41"/>
        <v>1831</v>
      </c>
      <c r="X598" s="527">
        <f t="shared" si="41"/>
        <v>845</v>
      </c>
      <c r="Y598" s="527">
        <f t="shared" si="41"/>
        <v>993</v>
      </c>
      <c r="Z598" s="527">
        <f t="shared" si="41"/>
        <v>412</v>
      </c>
      <c r="AA598" s="1663">
        <f>SUM(P598:Z598)</f>
        <v>11603.94</v>
      </c>
    </row>
    <row r="599" spans="1:29" ht="22.5" x14ac:dyDescent="0.25">
      <c r="A599" s="2291"/>
      <c r="B599" s="4699"/>
      <c r="C599" s="4433"/>
      <c r="D599" s="4702"/>
      <c r="E599" s="4552"/>
      <c r="F599" s="4552"/>
      <c r="G599" s="4552"/>
      <c r="H599" s="4431"/>
      <c r="I599" s="4431"/>
      <c r="J599" s="4441"/>
      <c r="K599" s="4441"/>
      <c r="L599" s="4431"/>
      <c r="M599" s="1925" t="s">
        <v>182</v>
      </c>
      <c r="N599" s="1925" t="s">
        <v>183</v>
      </c>
      <c r="O599" s="352">
        <v>2216.94</v>
      </c>
      <c r="P599" s="352"/>
      <c r="Q599" s="352"/>
      <c r="R599" s="352">
        <v>2216.94</v>
      </c>
      <c r="S599" s="352"/>
      <c r="T599" s="352"/>
      <c r="U599" s="352"/>
      <c r="V599" s="352"/>
      <c r="W599" s="352"/>
      <c r="X599" s="352"/>
      <c r="Y599" s="352"/>
      <c r="Z599" s="352"/>
      <c r="AA599" s="1663">
        <f>SUM(P599:Z599)</f>
        <v>2216.94</v>
      </c>
      <c r="AC599" s="369">
        <f>+AA598-19649</f>
        <v>-8045.0599999999995</v>
      </c>
    </row>
    <row r="600" spans="1:29" ht="22.5" x14ac:dyDescent="0.25">
      <c r="A600" s="2291"/>
      <c r="B600" s="4699"/>
      <c r="C600" s="4433"/>
      <c r="D600" s="4702"/>
      <c r="E600" s="4552"/>
      <c r="F600" s="4552"/>
      <c r="G600" s="4552"/>
      <c r="H600" s="4431"/>
      <c r="I600" s="4431"/>
      <c r="J600" s="4441"/>
      <c r="K600" s="4441"/>
      <c r="L600" s="4431"/>
      <c r="M600" s="1925" t="s">
        <v>2588</v>
      </c>
      <c r="N600" s="1925" t="s">
        <v>2589</v>
      </c>
      <c r="O600" s="352"/>
      <c r="P600" s="352"/>
      <c r="Q600" s="352">
        <v>961</v>
      </c>
      <c r="R600" s="352"/>
      <c r="S600" s="352"/>
      <c r="T600" s="352"/>
      <c r="U600" s="352"/>
      <c r="V600" s="352"/>
      <c r="W600" s="352">
        <v>1171</v>
      </c>
      <c r="X600" s="352"/>
      <c r="Y600" s="352"/>
      <c r="Z600" s="352"/>
      <c r="AA600" s="1663">
        <f>SUM(P600:Z600)</f>
        <v>2132</v>
      </c>
    </row>
    <row r="601" spans="1:29" ht="22.5" x14ac:dyDescent="0.25">
      <c r="A601" s="2291"/>
      <c r="B601" s="4699"/>
      <c r="C601" s="4433"/>
      <c r="D601" s="4702"/>
      <c r="E601" s="4552"/>
      <c r="F601" s="4552"/>
      <c r="G601" s="4552"/>
      <c r="H601" s="4431"/>
      <c r="I601" s="4431"/>
      <c r="J601" s="4441"/>
      <c r="K601" s="4441"/>
      <c r="L601" s="4431"/>
      <c r="M601" s="1925" t="s">
        <v>541</v>
      </c>
      <c r="N601" s="1925" t="s">
        <v>1468</v>
      </c>
      <c r="O601" s="352">
        <v>350</v>
      </c>
      <c r="P601" s="352">
        <v>121</v>
      </c>
      <c r="Q601" s="352">
        <v>150</v>
      </c>
      <c r="R601" s="352">
        <v>350</v>
      </c>
      <c r="S601" s="352"/>
      <c r="T601" s="352">
        <v>16</v>
      </c>
      <c r="U601" s="352"/>
      <c r="V601" s="352"/>
      <c r="W601" s="352">
        <v>132</v>
      </c>
      <c r="X601" s="352">
        <v>140</v>
      </c>
      <c r="Y601" s="352">
        <v>250</v>
      </c>
      <c r="Z601" s="352"/>
      <c r="AA601" s="1663">
        <f>SUM(P601:Z601)</f>
        <v>1159</v>
      </c>
    </row>
    <row r="602" spans="1:29" ht="22.5" x14ac:dyDescent="0.25">
      <c r="A602" s="2291"/>
      <c r="B602" s="4700"/>
      <c r="C602" s="4434"/>
      <c r="D602" s="4702"/>
      <c r="E602" s="4552"/>
      <c r="F602" s="4552"/>
      <c r="G602" s="4552"/>
      <c r="H602" s="4431"/>
      <c r="I602" s="4431"/>
      <c r="J602" s="4441"/>
      <c r="K602" s="4441"/>
      <c r="L602" s="4431"/>
      <c r="M602" s="1390" t="s">
        <v>194</v>
      </c>
      <c r="N602" s="1390" t="s">
        <v>1197</v>
      </c>
      <c r="O602" s="1612">
        <v>550</v>
      </c>
      <c r="P602" s="1612">
        <v>472</v>
      </c>
      <c r="Q602" s="1612">
        <v>477</v>
      </c>
      <c r="R602" s="1612">
        <v>550</v>
      </c>
      <c r="S602" s="1612">
        <v>261</v>
      </c>
      <c r="T602" s="1612">
        <v>490</v>
      </c>
      <c r="U602" s="1612">
        <v>737</v>
      </c>
      <c r="V602" s="1612">
        <v>721</v>
      </c>
      <c r="W602" s="1612">
        <v>528</v>
      </c>
      <c r="X602" s="1612">
        <v>705</v>
      </c>
      <c r="Y602" s="1612">
        <v>743</v>
      </c>
      <c r="Z602" s="1612">
        <v>412</v>
      </c>
      <c r="AA602" s="1663">
        <f>SUM(P602:Z602)</f>
        <v>6096</v>
      </c>
    </row>
    <row r="603" spans="1:29" ht="29.25" customHeight="1" x14ac:dyDescent="0.25">
      <c r="A603" s="513"/>
      <c r="B603" s="1859" t="s">
        <v>8</v>
      </c>
      <c r="C603" s="2911" t="s">
        <v>2590</v>
      </c>
      <c r="D603" s="2912"/>
      <c r="E603" s="2912"/>
      <c r="F603" s="2912"/>
      <c r="G603" s="2912"/>
      <c r="H603" s="2912"/>
      <c r="I603" s="363"/>
      <c r="J603" s="363"/>
      <c r="K603" s="363"/>
      <c r="L603" s="363"/>
      <c r="M603" s="363"/>
      <c r="N603" s="363"/>
      <c r="O603" s="363"/>
      <c r="P603" s="363"/>
      <c r="Q603" s="363"/>
      <c r="R603" s="363"/>
      <c r="S603" s="363"/>
      <c r="T603" s="363"/>
      <c r="U603" s="363"/>
      <c r="V603" s="363"/>
      <c r="W603" s="363"/>
      <c r="X603" s="363"/>
      <c r="Y603" s="363"/>
      <c r="Z603" s="365"/>
      <c r="AA603" s="1664"/>
    </row>
    <row r="604" spans="1:29" x14ac:dyDescent="0.25">
      <c r="A604" s="513"/>
      <c r="B604" s="1352" t="s">
        <v>11</v>
      </c>
      <c r="C604" s="522" t="s">
        <v>229</v>
      </c>
      <c r="D604" s="523"/>
      <c r="E604" s="523"/>
      <c r="F604" s="523"/>
      <c r="G604" s="523"/>
      <c r="H604" s="523"/>
      <c r="I604" s="523"/>
      <c r="J604" s="523"/>
      <c r="K604" s="523"/>
      <c r="L604" s="523"/>
      <c r="M604" s="523"/>
      <c r="N604" s="523"/>
      <c r="O604" s="523"/>
      <c r="P604" s="523"/>
      <c r="Q604" s="523"/>
      <c r="R604" s="523"/>
      <c r="S604" s="523"/>
      <c r="T604" s="523"/>
      <c r="U604" s="523"/>
      <c r="V604" s="523"/>
      <c r="W604" s="523"/>
      <c r="X604" s="523"/>
      <c r="Y604" s="523"/>
      <c r="Z604" s="203"/>
      <c r="AA604" s="513"/>
    </row>
    <row r="605" spans="1:29" x14ac:dyDescent="0.25">
      <c r="A605" s="513"/>
      <c r="B605" s="2298" t="s">
        <v>13</v>
      </c>
      <c r="C605" s="4690">
        <v>9001</v>
      </c>
      <c r="D605" s="4692" t="s">
        <v>230</v>
      </c>
      <c r="E605" s="4693"/>
      <c r="F605" s="516"/>
      <c r="G605" s="516"/>
      <c r="H605" s="516"/>
      <c r="I605" s="516"/>
      <c r="J605" s="516"/>
      <c r="K605" s="516"/>
      <c r="L605" s="516"/>
      <c r="M605" s="516"/>
      <c r="N605" s="516"/>
      <c r="O605" s="516"/>
      <c r="P605" s="516"/>
      <c r="Q605" s="516"/>
      <c r="R605" s="516"/>
      <c r="S605" s="516"/>
      <c r="T605" s="517"/>
      <c r="U605" s="518"/>
      <c r="V605" s="4693" t="s">
        <v>15</v>
      </c>
      <c r="W605" s="4694"/>
      <c r="X605" s="4694"/>
      <c r="Y605" s="4695"/>
      <c r="Z605" s="2306" t="s">
        <v>16</v>
      </c>
      <c r="AA605" s="2307"/>
    </row>
    <row r="606" spans="1:29" x14ac:dyDescent="0.25">
      <c r="A606" s="513"/>
      <c r="B606" s="2298"/>
      <c r="C606" s="4691"/>
      <c r="D606" s="4692"/>
      <c r="E606" s="4693"/>
      <c r="F606" s="519"/>
      <c r="G606" s="519"/>
      <c r="H606" s="519"/>
      <c r="I606" s="519"/>
      <c r="J606" s="519"/>
      <c r="K606" s="519"/>
      <c r="L606" s="519"/>
      <c r="M606" s="519"/>
      <c r="N606" s="519"/>
      <c r="O606" s="519"/>
      <c r="P606" s="519"/>
      <c r="Q606" s="519"/>
      <c r="R606" s="519"/>
      <c r="S606" s="519"/>
      <c r="T606" s="520"/>
      <c r="U606" s="518"/>
      <c r="V606" s="4703" t="s">
        <v>19</v>
      </c>
      <c r="W606" s="4704"/>
      <c r="X606" s="4704"/>
      <c r="Y606" s="4705"/>
      <c r="Z606" s="4317"/>
      <c r="AA606" s="4317"/>
    </row>
    <row r="607" spans="1:29" x14ac:dyDescent="0.25">
      <c r="A607" s="513"/>
      <c r="B607" s="2298" t="s">
        <v>18</v>
      </c>
      <c r="C607" s="4690">
        <v>3999999</v>
      </c>
      <c r="D607" s="4692" t="s">
        <v>163</v>
      </c>
      <c r="E607" s="4693"/>
      <c r="F607" s="516"/>
      <c r="G607" s="516"/>
      <c r="H607" s="516"/>
      <c r="I607" s="516"/>
      <c r="J607" s="516"/>
      <c r="K607" s="516"/>
      <c r="L607" s="516"/>
      <c r="M607" s="516"/>
      <c r="N607" s="516"/>
      <c r="O607" s="516"/>
      <c r="P607" s="516"/>
      <c r="Q607" s="516"/>
      <c r="R607" s="516"/>
      <c r="S607" s="516"/>
      <c r="T607" s="516"/>
      <c r="U607" s="524"/>
      <c r="V607" s="4693" t="s">
        <v>15</v>
      </c>
      <c r="W607" s="4694"/>
      <c r="X607" s="4694"/>
      <c r="Y607" s="4695"/>
      <c r="Z607" s="2305" t="s">
        <v>16</v>
      </c>
      <c r="AA607" s="2305"/>
    </row>
    <row r="608" spans="1:29" x14ac:dyDescent="0.25">
      <c r="A608" s="513"/>
      <c r="B608" s="2298"/>
      <c r="C608" s="4706"/>
      <c r="D608" s="4692"/>
      <c r="E608" s="4693"/>
      <c r="F608" s="521"/>
      <c r="G608" s="521"/>
      <c r="H608" s="521"/>
      <c r="I608" s="521"/>
      <c r="J608" s="521"/>
      <c r="K608" s="521"/>
      <c r="L608" s="521"/>
      <c r="M608" s="521"/>
      <c r="N608" s="521"/>
      <c r="O608" s="521"/>
      <c r="P608" s="521"/>
      <c r="Q608" s="521"/>
      <c r="R608" s="521"/>
      <c r="S608" s="521"/>
      <c r="T608" s="521"/>
      <c r="U608" s="525"/>
      <c r="V608" s="4703" t="s">
        <v>19</v>
      </c>
      <c r="W608" s="4704"/>
      <c r="X608" s="4704"/>
      <c r="Y608" s="4705"/>
      <c r="Z608" s="4312"/>
      <c r="AA608" s="4715"/>
    </row>
    <row r="609" spans="1:27" x14ac:dyDescent="0.25">
      <c r="A609" s="513"/>
      <c r="B609" s="2320" t="s">
        <v>20</v>
      </c>
      <c r="C609" s="2324" t="s">
        <v>21</v>
      </c>
      <c r="D609" s="2324" t="s">
        <v>22</v>
      </c>
      <c r="E609" s="2324" t="s">
        <v>23</v>
      </c>
      <c r="F609" s="2324" t="s">
        <v>164</v>
      </c>
      <c r="G609" s="2324" t="s">
        <v>25</v>
      </c>
      <c r="H609" s="2324" t="s">
        <v>26</v>
      </c>
      <c r="I609" s="2324" t="s">
        <v>27</v>
      </c>
      <c r="J609" s="2322" t="s">
        <v>28</v>
      </c>
      <c r="K609" s="2323"/>
      <c r="L609" s="2324" t="s">
        <v>29</v>
      </c>
      <c r="M609" s="2322" t="s">
        <v>30</v>
      </c>
      <c r="N609" s="4308"/>
      <c r="O609" s="2343" t="s">
        <v>31</v>
      </c>
      <c r="P609" s="2344"/>
      <c r="Q609" s="2344"/>
      <c r="R609" s="2344"/>
      <c r="S609" s="2344"/>
      <c r="T609" s="2344"/>
      <c r="U609" s="2344"/>
      <c r="V609" s="2344"/>
      <c r="W609" s="2344"/>
      <c r="X609" s="2344"/>
      <c r="Y609" s="2344"/>
      <c r="Z609" s="2345"/>
      <c r="AA609" s="4685" t="s">
        <v>32</v>
      </c>
    </row>
    <row r="610" spans="1:27" ht="22.5" customHeight="1" x14ac:dyDescent="0.25">
      <c r="A610" s="513"/>
      <c r="B610" s="2321"/>
      <c r="C610" s="2324"/>
      <c r="D610" s="2324"/>
      <c r="E610" s="2324"/>
      <c r="F610" s="2324"/>
      <c r="G610" s="2324"/>
      <c r="H610" s="2324"/>
      <c r="I610" s="2324"/>
      <c r="J610" s="1355" t="s">
        <v>33</v>
      </c>
      <c r="K610" s="1355" t="s">
        <v>34</v>
      </c>
      <c r="L610" s="2324"/>
      <c r="M610" s="2325"/>
      <c r="N610" s="4309"/>
      <c r="O610" s="1354" t="s">
        <v>35</v>
      </c>
      <c r="P610" s="1354" t="s">
        <v>36</v>
      </c>
      <c r="Q610" s="1354" t="s">
        <v>37</v>
      </c>
      <c r="R610" s="1354" t="s">
        <v>38</v>
      </c>
      <c r="S610" s="1354" t="s">
        <v>39</v>
      </c>
      <c r="T610" s="1354" t="s">
        <v>40</v>
      </c>
      <c r="U610" s="1354" t="s">
        <v>41</v>
      </c>
      <c r="V610" s="1354" t="s">
        <v>42</v>
      </c>
      <c r="W610" s="1354" t="s">
        <v>43</v>
      </c>
      <c r="X610" s="1354" t="s">
        <v>44</v>
      </c>
      <c r="Y610" s="1354" t="s">
        <v>45</v>
      </c>
      <c r="Z610" s="1354" t="s">
        <v>46</v>
      </c>
      <c r="AA610" s="4686"/>
    </row>
    <row r="611" spans="1:27" x14ac:dyDescent="0.25">
      <c r="A611" s="513"/>
      <c r="B611" s="4698">
        <v>5000002</v>
      </c>
      <c r="C611" s="4711" t="s">
        <v>2329</v>
      </c>
      <c r="D611" s="4713" t="s">
        <v>2587</v>
      </c>
      <c r="E611" s="4711" t="s">
        <v>3262</v>
      </c>
      <c r="F611" s="4714" t="s">
        <v>165</v>
      </c>
      <c r="G611" s="4714" t="s">
        <v>2370</v>
      </c>
      <c r="H611" s="4711" t="s">
        <v>1213</v>
      </c>
      <c r="I611" s="4711" t="s">
        <v>235</v>
      </c>
      <c r="J611" s="4712">
        <v>12</v>
      </c>
      <c r="K611" s="4712">
        <v>11300</v>
      </c>
      <c r="L611" s="4711" t="s">
        <v>2590</v>
      </c>
      <c r="M611" s="2294" t="s">
        <v>51</v>
      </c>
      <c r="N611" s="2295"/>
      <c r="O611" s="481"/>
      <c r="P611" s="481"/>
      <c r="Q611" s="481"/>
      <c r="R611" s="481"/>
      <c r="S611" s="481"/>
      <c r="T611" s="481"/>
      <c r="U611" s="481"/>
      <c r="V611" s="481"/>
      <c r="W611" s="481"/>
      <c r="X611" s="481"/>
      <c r="Y611" s="481"/>
      <c r="Z611" s="481"/>
      <c r="AA611" s="513"/>
    </row>
    <row r="612" spans="1:27" x14ac:dyDescent="0.25">
      <c r="A612" s="513"/>
      <c r="B612" s="4699"/>
      <c r="C612" s="4711"/>
      <c r="D612" s="4713"/>
      <c r="E612" s="4714"/>
      <c r="F612" s="4714"/>
      <c r="G612" s="4714"/>
      <c r="H612" s="4711"/>
      <c r="I612" s="4711"/>
      <c r="J612" s="4712"/>
      <c r="K612" s="4712"/>
      <c r="L612" s="4711"/>
      <c r="M612" s="2294" t="s">
        <v>111</v>
      </c>
      <c r="N612" s="2295"/>
      <c r="O612" s="480"/>
      <c r="P612" s="526">
        <f t="shared" ref="P612:Z612" si="42">SUM(P613:P616)</f>
        <v>593</v>
      </c>
      <c r="Q612" s="526">
        <f t="shared" si="42"/>
        <v>1588</v>
      </c>
      <c r="R612" s="526">
        <f t="shared" si="42"/>
        <v>3116.94</v>
      </c>
      <c r="S612" s="526">
        <f t="shared" si="42"/>
        <v>261</v>
      </c>
      <c r="T612" s="526">
        <f t="shared" si="42"/>
        <v>506</v>
      </c>
      <c r="U612" s="526">
        <f t="shared" si="42"/>
        <v>737</v>
      </c>
      <c r="V612" s="526">
        <f t="shared" si="42"/>
        <v>721</v>
      </c>
      <c r="W612" s="526">
        <f t="shared" si="42"/>
        <v>1527</v>
      </c>
      <c r="X612" s="526">
        <f t="shared" si="42"/>
        <v>845</v>
      </c>
      <c r="Y612" s="526">
        <f t="shared" si="42"/>
        <v>993</v>
      </c>
      <c r="Z612" s="526">
        <f t="shared" si="42"/>
        <v>412</v>
      </c>
      <c r="AA612" s="1663">
        <f>SUM(P612:Z612)</f>
        <v>11299.94</v>
      </c>
    </row>
    <row r="613" spans="1:27" ht="24" x14ac:dyDescent="0.25">
      <c r="A613" s="513"/>
      <c r="B613" s="4699"/>
      <c r="C613" s="4711"/>
      <c r="D613" s="4713"/>
      <c r="E613" s="4714"/>
      <c r="F613" s="4714"/>
      <c r="G613" s="4714"/>
      <c r="H613" s="4711"/>
      <c r="I613" s="4711"/>
      <c r="J613" s="4712"/>
      <c r="K613" s="4712"/>
      <c r="L613" s="4711"/>
      <c r="M613" s="1665" t="s">
        <v>182</v>
      </c>
      <c r="N613" s="1665" t="s">
        <v>183</v>
      </c>
      <c r="O613" s="352"/>
      <c r="P613" s="352"/>
      <c r="Q613" s="352"/>
      <c r="R613" s="352">
        <v>2216.94</v>
      </c>
      <c r="S613" s="352"/>
      <c r="T613" s="352"/>
      <c r="U613" s="352"/>
      <c r="V613" s="352"/>
      <c r="W613" s="352"/>
      <c r="X613" s="352"/>
      <c r="Y613" s="352"/>
      <c r="Z613" s="352"/>
      <c r="AA613" s="1663">
        <f>SUM(P613:Z613)</f>
        <v>2216.94</v>
      </c>
    </row>
    <row r="614" spans="1:27" ht="24" x14ac:dyDescent="0.25">
      <c r="A614" s="513"/>
      <c r="B614" s="4699"/>
      <c r="C614" s="4711"/>
      <c r="D614" s="4713"/>
      <c r="E614" s="4714"/>
      <c r="F614" s="4714"/>
      <c r="G614" s="4714"/>
      <c r="H614" s="4711"/>
      <c r="I614" s="4711"/>
      <c r="J614" s="4712"/>
      <c r="K614" s="4712"/>
      <c r="L614" s="4711"/>
      <c r="M614" s="1665" t="s">
        <v>2588</v>
      </c>
      <c r="N614" s="1665" t="s">
        <v>2589</v>
      </c>
      <c r="O614" s="352"/>
      <c r="P614" s="352"/>
      <c r="Q614" s="352">
        <v>961</v>
      </c>
      <c r="R614" s="352"/>
      <c r="S614" s="352"/>
      <c r="T614" s="352"/>
      <c r="U614" s="352"/>
      <c r="V614" s="352"/>
      <c r="W614" s="352">
        <v>867</v>
      </c>
      <c r="X614" s="352"/>
      <c r="Y614" s="352"/>
      <c r="Z614" s="352"/>
      <c r="AA614" s="1663">
        <f>SUM(P614:Z614)</f>
        <v>1828</v>
      </c>
    </row>
    <row r="615" spans="1:27" ht="24" x14ac:dyDescent="0.25">
      <c r="A615" s="513"/>
      <c r="B615" s="4699"/>
      <c r="C615" s="4711"/>
      <c r="D615" s="4713"/>
      <c r="E615" s="4714"/>
      <c r="F615" s="4714"/>
      <c r="G615" s="4714"/>
      <c r="H615" s="4711"/>
      <c r="I615" s="4711"/>
      <c r="J615" s="4712"/>
      <c r="K615" s="4712"/>
      <c r="L615" s="4711"/>
      <c r="M615" s="1665" t="s">
        <v>541</v>
      </c>
      <c r="N615" s="1665" t="s">
        <v>1468</v>
      </c>
      <c r="O615" s="352"/>
      <c r="P615" s="352">
        <v>121</v>
      </c>
      <c r="Q615" s="352">
        <v>150</v>
      </c>
      <c r="R615" s="352">
        <v>350</v>
      </c>
      <c r="S615" s="352"/>
      <c r="T615" s="352">
        <v>16</v>
      </c>
      <c r="U615" s="352"/>
      <c r="V615" s="352"/>
      <c r="W615" s="352">
        <v>132</v>
      </c>
      <c r="X615" s="352">
        <v>140</v>
      </c>
      <c r="Y615" s="352">
        <v>250</v>
      </c>
      <c r="Z615" s="352"/>
      <c r="AA615" s="1663">
        <f>SUM(P615:Z615)</f>
        <v>1159</v>
      </c>
    </row>
    <row r="616" spans="1:27" ht="36" x14ac:dyDescent="0.25">
      <c r="A616" s="513"/>
      <c r="B616" s="4700"/>
      <c r="C616" s="4711"/>
      <c r="D616" s="4713"/>
      <c r="E616" s="4714"/>
      <c r="F616" s="4714"/>
      <c r="G616" s="4714"/>
      <c r="H616" s="4711"/>
      <c r="I616" s="4711"/>
      <c r="J616" s="4712"/>
      <c r="K616" s="4712"/>
      <c r="L616" s="4711"/>
      <c r="M616" s="1666" t="s">
        <v>194</v>
      </c>
      <c r="N616" s="1666" t="s">
        <v>1197</v>
      </c>
      <c r="O616" s="352"/>
      <c r="P616" s="352">
        <v>472</v>
      </c>
      <c r="Q616" s="352">
        <v>477</v>
      </c>
      <c r="R616" s="352">
        <v>550</v>
      </c>
      <c r="S616" s="352">
        <v>261</v>
      </c>
      <c r="T616" s="352">
        <v>490</v>
      </c>
      <c r="U616" s="352">
        <v>737</v>
      </c>
      <c r="V616" s="352">
        <v>721</v>
      </c>
      <c r="W616" s="352">
        <v>528</v>
      </c>
      <c r="X616" s="352">
        <v>705</v>
      </c>
      <c r="Y616" s="352">
        <v>743</v>
      </c>
      <c r="Z616" s="352">
        <v>412</v>
      </c>
      <c r="AA616" s="1663">
        <f>SUM(P616:Z616)</f>
        <v>6096</v>
      </c>
    </row>
    <row r="617" spans="1:27" ht="30.75" customHeight="1" x14ac:dyDescent="0.25">
      <c r="A617" s="513"/>
      <c r="B617" s="1859" t="s">
        <v>8</v>
      </c>
      <c r="C617" s="2911" t="s">
        <v>2591</v>
      </c>
      <c r="D617" s="2912"/>
      <c r="E617" s="2912"/>
      <c r="F617" s="2912"/>
      <c r="G617" s="2912"/>
      <c r="H617" s="2912"/>
      <c r="I617" s="363"/>
      <c r="J617" s="363"/>
      <c r="K617" s="363"/>
      <c r="L617" s="363"/>
      <c r="M617" s="363"/>
      <c r="N617" s="363"/>
      <c r="O617" s="363"/>
      <c r="P617" s="363"/>
      <c r="Q617" s="363"/>
      <c r="R617" s="363"/>
      <c r="S617" s="363"/>
      <c r="T617" s="363"/>
      <c r="U617" s="363"/>
      <c r="V617" s="363"/>
      <c r="W617" s="363"/>
      <c r="X617" s="363"/>
      <c r="Y617" s="363"/>
      <c r="Z617" s="365"/>
      <c r="AA617" s="515"/>
    </row>
    <row r="618" spans="1:27" x14ac:dyDescent="0.25">
      <c r="A618" s="513"/>
      <c r="B618" s="1352" t="s">
        <v>11</v>
      </c>
      <c r="C618" s="4688" t="s">
        <v>229</v>
      </c>
      <c r="D618" s="4688"/>
      <c r="E618" s="4688"/>
      <c r="F618" s="4688"/>
      <c r="G618" s="4688"/>
      <c r="H618" s="4688"/>
      <c r="I618" s="4688"/>
      <c r="J618" s="4688"/>
      <c r="K618" s="4688"/>
      <c r="L618" s="4688"/>
      <c r="M618" s="4688"/>
      <c r="N618" s="4688"/>
      <c r="O618" s="4688"/>
      <c r="P618" s="4688"/>
      <c r="Q618" s="4688"/>
      <c r="R618" s="4688"/>
      <c r="S618" s="4688"/>
      <c r="T618" s="4688"/>
      <c r="U618" s="4688"/>
      <c r="V618" s="4688"/>
      <c r="W618" s="4688"/>
      <c r="X618" s="4688"/>
      <c r="Y618" s="4689"/>
      <c r="Z618" s="203"/>
      <c r="AA618" s="513"/>
    </row>
    <row r="619" spans="1:27" x14ac:dyDescent="0.25">
      <c r="A619" s="513"/>
      <c r="B619" s="2298" t="s">
        <v>13</v>
      </c>
      <c r="C619" s="4690">
        <v>9001</v>
      </c>
      <c r="D619" s="4692" t="s">
        <v>230</v>
      </c>
      <c r="E619" s="4693"/>
      <c r="F619" s="516"/>
      <c r="G619" s="516"/>
      <c r="H619" s="516"/>
      <c r="I619" s="516"/>
      <c r="J619" s="516"/>
      <c r="K619" s="516"/>
      <c r="L619" s="516"/>
      <c r="M619" s="516"/>
      <c r="N619" s="516"/>
      <c r="O619" s="516"/>
      <c r="P619" s="516"/>
      <c r="Q619" s="516"/>
      <c r="R619" s="516"/>
      <c r="S619" s="516"/>
      <c r="T619" s="517"/>
      <c r="U619" s="518"/>
      <c r="V619" s="4693" t="s">
        <v>15</v>
      </c>
      <c r="W619" s="4694"/>
      <c r="X619" s="4694"/>
      <c r="Y619" s="4695"/>
      <c r="Z619" s="2306" t="s">
        <v>16</v>
      </c>
      <c r="AA619" s="2307"/>
    </row>
    <row r="620" spans="1:27" x14ac:dyDescent="0.25">
      <c r="A620" s="513"/>
      <c r="B620" s="2298"/>
      <c r="C620" s="4691"/>
      <c r="D620" s="4692"/>
      <c r="E620" s="4693"/>
      <c r="F620" s="519"/>
      <c r="G620" s="519"/>
      <c r="H620" s="519"/>
      <c r="I620" s="519"/>
      <c r="J620" s="519"/>
      <c r="K620" s="519"/>
      <c r="L620" s="519"/>
      <c r="M620" s="519"/>
      <c r="N620" s="519"/>
      <c r="O620" s="519"/>
      <c r="P620" s="519"/>
      <c r="Q620" s="519"/>
      <c r="R620" s="519"/>
      <c r="S620" s="519"/>
      <c r="T620" s="520"/>
      <c r="U620" s="518"/>
      <c r="V620" s="4703" t="s">
        <v>19</v>
      </c>
      <c r="W620" s="4704"/>
      <c r="X620" s="4704"/>
      <c r="Y620" s="4705"/>
      <c r="Z620" s="4317"/>
      <c r="AA620" s="4317"/>
    </row>
    <row r="621" spans="1:27" x14ac:dyDescent="0.25">
      <c r="A621" s="513"/>
      <c r="B621" s="2298" t="s">
        <v>18</v>
      </c>
      <c r="C621" s="4690">
        <v>3999999</v>
      </c>
      <c r="D621" s="4692" t="s">
        <v>163</v>
      </c>
      <c r="E621" s="4693"/>
      <c r="F621" s="516"/>
      <c r="G621" s="516"/>
      <c r="H621" s="516"/>
      <c r="I621" s="516"/>
      <c r="J621" s="516"/>
      <c r="K621" s="516"/>
      <c r="L621" s="516"/>
      <c r="M621" s="516"/>
      <c r="N621" s="516"/>
      <c r="O621" s="516"/>
      <c r="P621" s="516"/>
      <c r="Q621" s="516"/>
      <c r="R621" s="516"/>
      <c r="S621" s="516"/>
      <c r="T621" s="516"/>
      <c r="U621" s="524"/>
      <c r="V621" s="4693" t="s">
        <v>15</v>
      </c>
      <c r="W621" s="4694"/>
      <c r="X621" s="4694"/>
      <c r="Y621" s="4695"/>
      <c r="Z621" s="2305" t="s">
        <v>16</v>
      </c>
      <c r="AA621" s="2305"/>
    </row>
    <row r="622" spans="1:27" x14ac:dyDescent="0.25">
      <c r="A622" s="513"/>
      <c r="B622" s="2298"/>
      <c r="C622" s="4706"/>
      <c r="D622" s="4692"/>
      <c r="E622" s="4693"/>
      <c r="F622" s="521"/>
      <c r="G622" s="521"/>
      <c r="H622" s="521"/>
      <c r="I622" s="521"/>
      <c r="J622" s="521"/>
      <c r="K622" s="521"/>
      <c r="L622" s="521"/>
      <c r="M622" s="521"/>
      <c r="N622" s="521"/>
      <c r="O622" s="521"/>
      <c r="P622" s="521"/>
      <c r="Q622" s="521"/>
      <c r="R622" s="521"/>
      <c r="S622" s="521"/>
      <c r="T622" s="521"/>
      <c r="U622" s="525"/>
      <c r="V622" s="4703" t="s">
        <v>19</v>
      </c>
      <c r="W622" s="4704"/>
      <c r="X622" s="4704"/>
      <c r="Y622" s="4705"/>
      <c r="Z622" s="4312"/>
      <c r="AA622" s="4715"/>
    </row>
    <row r="623" spans="1:27" ht="15" customHeight="1" x14ac:dyDescent="0.25">
      <c r="A623" s="513"/>
      <c r="B623" s="2320" t="s">
        <v>20</v>
      </c>
      <c r="C623" s="2324" t="s">
        <v>21</v>
      </c>
      <c r="D623" s="2324" t="s">
        <v>22</v>
      </c>
      <c r="E623" s="2324" t="s">
        <v>23</v>
      </c>
      <c r="F623" s="2324" t="s">
        <v>164</v>
      </c>
      <c r="G623" s="2324" t="s">
        <v>25</v>
      </c>
      <c r="H623" s="2324" t="s">
        <v>26</v>
      </c>
      <c r="I623" s="2324" t="s">
        <v>27</v>
      </c>
      <c r="J623" s="2322" t="s">
        <v>28</v>
      </c>
      <c r="K623" s="2323"/>
      <c r="L623" s="2324" t="s">
        <v>29</v>
      </c>
      <c r="M623" s="2322" t="s">
        <v>30</v>
      </c>
      <c r="N623" s="4308"/>
      <c r="O623" s="2343" t="s">
        <v>31</v>
      </c>
      <c r="P623" s="2344"/>
      <c r="Q623" s="2344"/>
      <c r="R623" s="2344"/>
      <c r="S623" s="2344"/>
      <c r="T623" s="2344"/>
      <c r="U623" s="2344"/>
      <c r="V623" s="2344"/>
      <c r="W623" s="2344"/>
      <c r="X623" s="2344"/>
      <c r="Y623" s="2344"/>
      <c r="Z623" s="2345"/>
      <c r="AA623" s="4685" t="s">
        <v>32</v>
      </c>
    </row>
    <row r="624" spans="1:27" x14ac:dyDescent="0.25">
      <c r="A624" s="513"/>
      <c r="B624" s="2321"/>
      <c r="C624" s="2324"/>
      <c r="D624" s="2324"/>
      <c r="E624" s="2324"/>
      <c r="F624" s="2324"/>
      <c r="G624" s="2324"/>
      <c r="H624" s="2324"/>
      <c r="I624" s="2324"/>
      <c r="J624" s="1355" t="s">
        <v>33</v>
      </c>
      <c r="K624" s="1355" t="s">
        <v>34</v>
      </c>
      <c r="L624" s="2324"/>
      <c r="M624" s="2325"/>
      <c r="N624" s="4309"/>
      <c r="O624" s="1354" t="s">
        <v>35</v>
      </c>
      <c r="P624" s="1354" t="s">
        <v>36</v>
      </c>
      <c r="Q624" s="1354" t="s">
        <v>37</v>
      </c>
      <c r="R624" s="1354" t="s">
        <v>38</v>
      </c>
      <c r="S624" s="1354" t="s">
        <v>39</v>
      </c>
      <c r="T624" s="1354" t="s">
        <v>40</v>
      </c>
      <c r="U624" s="1354" t="s">
        <v>41</v>
      </c>
      <c r="V624" s="1354" t="s">
        <v>42</v>
      </c>
      <c r="W624" s="1354" t="s">
        <v>43</v>
      </c>
      <c r="X624" s="1354" t="s">
        <v>44</v>
      </c>
      <c r="Y624" s="1354" t="s">
        <v>45</v>
      </c>
      <c r="Z624" s="1354" t="s">
        <v>46</v>
      </c>
      <c r="AA624" s="4686"/>
    </row>
    <row r="625" spans="1:27" x14ac:dyDescent="0.25">
      <c r="A625" s="513"/>
      <c r="B625" s="4717">
        <v>5000002</v>
      </c>
      <c r="C625" s="4711" t="s">
        <v>2329</v>
      </c>
      <c r="D625" s="4713" t="s">
        <v>2587</v>
      </c>
      <c r="E625" s="4711" t="s">
        <v>3262</v>
      </c>
      <c r="F625" s="4714" t="s">
        <v>165</v>
      </c>
      <c r="G625" s="4714" t="s">
        <v>2370</v>
      </c>
      <c r="H625" s="4711" t="s">
        <v>1213</v>
      </c>
      <c r="I625" s="4711" t="s">
        <v>235</v>
      </c>
      <c r="J625" s="4712">
        <v>12</v>
      </c>
      <c r="K625" s="4712">
        <v>17800</v>
      </c>
      <c r="L625" s="4711" t="s">
        <v>2591</v>
      </c>
      <c r="M625" s="2294" t="s">
        <v>51</v>
      </c>
      <c r="N625" s="2295"/>
      <c r="O625" s="481"/>
      <c r="P625" s="481"/>
      <c r="Q625" s="481"/>
      <c r="R625" s="481"/>
      <c r="S625" s="481"/>
      <c r="T625" s="481"/>
      <c r="U625" s="481"/>
      <c r="V625" s="481"/>
      <c r="W625" s="481"/>
      <c r="X625" s="481"/>
      <c r="Y625" s="481"/>
      <c r="Z625" s="481"/>
      <c r="AA625" s="513"/>
    </row>
    <row r="626" spans="1:27" x14ac:dyDescent="0.25">
      <c r="A626" s="513"/>
      <c r="B626" s="4717"/>
      <c r="C626" s="4711"/>
      <c r="D626" s="4713"/>
      <c r="E626" s="4714"/>
      <c r="F626" s="4714"/>
      <c r="G626" s="4714"/>
      <c r="H626" s="4711"/>
      <c r="I626" s="4711"/>
      <c r="J626" s="4712"/>
      <c r="K626" s="4712"/>
      <c r="L626" s="4711"/>
      <c r="M626" s="2294" t="s">
        <v>111</v>
      </c>
      <c r="N626" s="2295"/>
      <c r="O626" s="480"/>
      <c r="P626" s="526">
        <f t="shared" ref="P626:Z626" si="43">SUM(P627:P630)</f>
        <v>1033</v>
      </c>
      <c r="Q626" s="526">
        <f t="shared" si="43"/>
        <v>2749</v>
      </c>
      <c r="R626" s="526">
        <f t="shared" si="43"/>
        <v>2136</v>
      </c>
      <c r="S626" s="526">
        <f t="shared" si="43"/>
        <v>935</v>
      </c>
      <c r="T626" s="526">
        <f t="shared" si="43"/>
        <v>1153</v>
      </c>
      <c r="U626" s="526">
        <f t="shared" si="43"/>
        <v>1443</v>
      </c>
      <c r="V626" s="526">
        <f t="shared" si="43"/>
        <v>1367</v>
      </c>
      <c r="W626" s="526">
        <f t="shared" si="43"/>
        <v>3037</v>
      </c>
      <c r="X626" s="526">
        <f t="shared" si="43"/>
        <v>1420</v>
      </c>
      <c r="Y626" s="526">
        <f t="shared" si="43"/>
        <v>1435</v>
      </c>
      <c r="Z626" s="526">
        <f t="shared" si="43"/>
        <v>1092</v>
      </c>
      <c r="AA626" s="1663">
        <f t="shared" ref="AA626:AA631" si="44">SUM(P626:Z626)</f>
        <v>17800</v>
      </c>
    </row>
    <row r="627" spans="1:27" ht="24" x14ac:dyDescent="0.25">
      <c r="A627" s="513"/>
      <c r="B627" s="4717"/>
      <c r="C627" s="4711"/>
      <c r="D627" s="4713"/>
      <c r="E627" s="4714"/>
      <c r="F627" s="4714"/>
      <c r="G627" s="4714"/>
      <c r="H627" s="4711"/>
      <c r="I627" s="4711"/>
      <c r="J627" s="4712"/>
      <c r="K627" s="4712"/>
      <c r="L627" s="4711"/>
      <c r="M627" s="1665" t="s">
        <v>182</v>
      </c>
      <c r="N627" s="1665" t="s">
        <v>183</v>
      </c>
      <c r="O627" s="352"/>
      <c r="P627" s="352"/>
      <c r="Q627" s="352"/>
      <c r="R627" s="352">
        <v>300</v>
      </c>
      <c r="S627" s="352"/>
      <c r="T627" s="352"/>
      <c r="U627" s="352"/>
      <c r="V627" s="352"/>
      <c r="W627" s="352"/>
      <c r="X627" s="352"/>
      <c r="Y627" s="352"/>
      <c r="Z627" s="352"/>
      <c r="AA627" s="1663">
        <f t="shared" si="44"/>
        <v>300</v>
      </c>
    </row>
    <row r="628" spans="1:27" ht="24" x14ac:dyDescent="0.25">
      <c r="A628" s="513"/>
      <c r="B628" s="4717"/>
      <c r="C628" s="4711"/>
      <c r="D628" s="4713"/>
      <c r="E628" s="4714"/>
      <c r="F628" s="4714"/>
      <c r="G628" s="4714"/>
      <c r="H628" s="4711"/>
      <c r="I628" s="4711"/>
      <c r="J628" s="4712"/>
      <c r="K628" s="4712"/>
      <c r="L628" s="4711"/>
      <c r="M628" s="1665" t="s">
        <v>2588</v>
      </c>
      <c r="N628" s="1665" t="s">
        <v>2589</v>
      </c>
      <c r="O628" s="352"/>
      <c r="P628" s="352"/>
      <c r="Q628" s="352">
        <v>1633</v>
      </c>
      <c r="R628" s="352"/>
      <c r="S628" s="352"/>
      <c r="T628" s="352"/>
      <c r="U628" s="352"/>
      <c r="V628" s="352"/>
      <c r="W628" s="352">
        <v>867</v>
      </c>
      <c r="X628" s="352"/>
      <c r="Y628" s="352"/>
      <c r="Z628" s="352"/>
      <c r="AA628" s="1663">
        <f t="shared" si="44"/>
        <v>2500</v>
      </c>
    </row>
    <row r="629" spans="1:27" ht="24" x14ac:dyDescent="0.25">
      <c r="A629" s="513"/>
      <c r="B629" s="4717"/>
      <c r="C629" s="4711"/>
      <c r="D629" s="4713"/>
      <c r="E629" s="4714"/>
      <c r="F629" s="4714"/>
      <c r="G629" s="4714"/>
      <c r="H629" s="4711"/>
      <c r="I629" s="4711"/>
      <c r="J629" s="4712"/>
      <c r="K629" s="4712"/>
      <c r="L629" s="4711"/>
      <c r="M629" s="1665" t="s">
        <v>541</v>
      </c>
      <c r="N629" s="1665" t="s">
        <v>1468</v>
      </c>
      <c r="O629" s="352"/>
      <c r="P629" s="352">
        <v>361</v>
      </c>
      <c r="Q629" s="352">
        <v>439</v>
      </c>
      <c r="R629" s="352">
        <v>486</v>
      </c>
      <c r="S629" s="352">
        <v>470</v>
      </c>
      <c r="T629" s="352">
        <v>463</v>
      </c>
      <c r="U629" s="352">
        <v>506</v>
      </c>
      <c r="V629" s="352">
        <v>446</v>
      </c>
      <c r="W629" s="352">
        <v>442</v>
      </c>
      <c r="X629" s="352">
        <v>465</v>
      </c>
      <c r="Y629" s="352">
        <v>442</v>
      </c>
      <c r="Z629" s="352">
        <v>480</v>
      </c>
      <c r="AA629" s="1663">
        <f t="shared" si="44"/>
        <v>5000</v>
      </c>
    </row>
    <row r="630" spans="1:27" ht="36" x14ac:dyDescent="0.25">
      <c r="A630" s="513"/>
      <c r="B630" s="4717"/>
      <c r="C630" s="4711"/>
      <c r="D630" s="4713"/>
      <c r="E630" s="4714"/>
      <c r="F630" s="4714"/>
      <c r="G630" s="4714"/>
      <c r="H630" s="4711"/>
      <c r="I630" s="4711"/>
      <c r="J630" s="4712"/>
      <c r="K630" s="4712"/>
      <c r="L630" s="4711"/>
      <c r="M630" s="1666" t="s">
        <v>194</v>
      </c>
      <c r="N630" s="1666" t="s">
        <v>1197</v>
      </c>
      <c r="O630" s="352"/>
      <c r="P630" s="352">
        <v>672</v>
      </c>
      <c r="Q630" s="352">
        <v>677</v>
      </c>
      <c r="R630" s="352">
        <v>1350</v>
      </c>
      <c r="S630" s="352">
        <v>465</v>
      </c>
      <c r="T630" s="352">
        <v>690</v>
      </c>
      <c r="U630" s="352">
        <v>937</v>
      </c>
      <c r="V630" s="352">
        <v>921</v>
      </c>
      <c r="W630" s="352">
        <v>1728</v>
      </c>
      <c r="X630" s="352">
        <v>955</v>
      </c>
      <c r="Y630" s="352">
        <v>993</v>
      </c>
      <c r="Z630" s="352">
        <v>612</v>
      </c>
      <c r="AA630" s="1663">
        <f t="shared" si="44"/>
        <v>10000</v>
      </c>
    </row>
    <row r="631" spans="1:27" x14ac:dyDescent="0.25">
      <c r="A631" s="513"/>
      <c r="B631" s="4717"/>
      <c r="C631" s="4711"/>
      <c r="D631" s="4713"/>
      <c r="E631" s="4714"/>
      <c r="F631" s="4714"/>
      <c r="G631" s="4714"/>
      <c r="H631" s="4711"/>
      <c r="I631" s="4711"/>
      <c r="J631" s="4712"/>
      <c r="K631" s="4712"/>
      <c r="L631" s="4711"/>
      <c r="M631" s="1666" t="s">
        <v>206</v>
      </c>
      <c r="N631" s="1637" t="s">
        <v>207</v>
      </c>
      <c r="O631" s="349"/>
      <c r="P631" s="349">
        <v>4230</v>
      </c>
      <c r="Q631" s="349">
        <v>4640</v>
      </c>
      <c r="R631" s="349">
        <v>4120</v>
      </c>
      <c r="S631" s="349">
        <v>4470</v>
      </c>
      <c r="T631" s="349">
        <v>3950</v>
      </c>
      <c r="U631" s="349">
        <v>4650</v>
      </c>
      <c r="V631" s="349">
        <v>4180</v>
      </c>
      <c r="W631" s="349">
        <v>4550</v>
      </c>
      <c r="X631" s="349">
        <v>4250</v>
      </c>
      <c r="Y631" s="349">
        <v>4600</v>
      </c>
      <c r="Z631" s="349">
        <v>4360</v>
      </c>
      <c r="AA631" s="1663">
        <f t="shared" si="44"/>
        <v>48000</v>
      </c>
    </row>
    <row r="632" spans="1:27" ht="28.5" customHeight="1" x14ac:dyDescent="0.25">
      <c r="A632" s="513"/>
      <c r="B632" s="2080" t="s">
        <v>8</v>
      </c>
      <c r="C632" s="2911" t="s">
        <v>2592</v>
      </c>
      <c r="D632" s="2912"/>
      <c r="E632" s="2912"/>
      <c r="F632" s="2912"/>
      <c r="G632" s="2912"/>
      <c r="H632" s="2912"/>
      <c r="I632" s="363"/>
      <c r="J632" s="363"/>
      <c r="K632" s="363"/>
      <c r="L632" s="363"/>
      <c r="M632" s="363"/>
      <c r="N632" s="363"/>
      <c r="O632" s="363"/>
      <c r="P632" s="363"/>
      <c r="Q632" s="363"/>
      <c r="R632" s="363"/>
      <c r="S632" s="363"/>
      <c r="T632" s="363"/>
      <c r="U632" s="363"/>
      <c r="V632" s="363"/>
      <c r="W632" s="363"/>
      <c r="X632" s="363"/>
      <c r="Y632" s="363"/>
      <c r="Z632" s="365"/>
      <c r="AA632" s="1664"/>
    </row>
    <row r="633" spans="1:27" x14ac:dyDescent="0.25">
      <c r="A633" s="513"/>
      <c r="B633" s="1352" t="s">
        <v>11</v>
      </c>
      <c r="C633" s="4688" t="s">
        <v>229</v>
      </c>
      <c r="D633" s="4688"/>
      <c r="E633" s="4688"/>
      <c r="F633" s="4688"/>
      <c r="G633" s="4688"/>
      <c r="H633" s="4688"/>
      <c r="I633" s="4688"/>
      <c r="J633" s="4688"/>
      <c r="K633" s="4688"/>
      <c r="L633" s="4688"/>
      <c r="M633" s="4688"/>
      <c r="N633" s="4688"/>
      <c r="O633" s="4688"/>
      <c r="P633" s="4688"/>
      <c r="Q633" s="4688"/>
      <c r="R633" s="4688"/>
      <c r="S633" s="4688"/>
      <c r="T633" s="4688"/>
      <c r="U633" s="4688"/>
      <c r="V633" s="4688"/>
      <c r="W633" s="4688"/>
      <c r="X633" s="4688"/>
      <c r="Y633" s="4689"/>
      <c r="Z633" s="4716"/>
      <c r="AA633" s="4716"/>
    </row>
    <row r="634" spans="1:27" ht="24" x14ac:dyDescent="0.25">
      <c r="A634" s="513"/>
      <c r="B634" s="2298" t="s">
        <v>13</v>
      </c>
      <c r="C634" s="4690">
        <v>9001</v>
      </c>
      <c r="D634" s="4692" t="s">
        <v>230</v>
      </c>
      <c r="E634" s="4693"/>
      <c r="F634" s="516"/>
      <c r="G634" s="516"/>
      <c r="H634" s="516"/>
      <c r="I634" s="516"/>
      <c r="J634" s="516"/>
      <c r="K634" s="516"/>
      <c r="L634" s="516"/>
      <c r="M634" s="516"/>
      <c r="N634" s="516"/>
      <c r="O634" s="516"/>
      <c r="P634" s="516"/>
      <c r="Q634" s="516"/>
      <c r="R634" s="516"/>
      <c r="S634" s="516"/>
      <c r="T634" s="517"/>
      <c r="U634" s="518"/>
      <c r="V634" s="4693" t="s">
        <v>15</v>
      </c>
      <c r="W634" s="4694"/>
      <c r="X634" s="4694"/>
      <c r="Y634" s="4695"/>
      <c r="Z634" s="1305" t="s">
        <v>16</v>
      </c>
      <c r="AA634" s="513"/>
    </row>
    <row r="635" spans="1:27" x14ac:dyDescent="0.25">
      <c r="A635" s="513"/>
      <c r="B635" s="2298"/>
      <c r="C635" s="4691"/>
      <c r="D635" s="4692"/>
      <c r="E635" s="4693"/>
      <c r="F635" s="519"/>
      <c r="G635" s="519"/>
      <c r="H635" s="519"/>
      <c r="I635" s="519"/>
      <c r="J635" s="519"/>
      <c r="K635" s="519"/>
      <c r="L635" s="519"/>
      <c r="M635" s="519"/>
      <c r="N635" s="519"/>
      <c r="O635" s="519"/>
      <c r="P635" s="519"/>
      <c r="Q635" s="519"/>
      <c r="R635" s="519"/>
      <c r="S635" s="519"/>
      <c r="T635" s="520"/>
      <c r="U635" s="518"/>
      <c r="V635" s="4703" t="s">
        <v>19</v>
      </c>
      <c r="W635" s="4704"/>
      <c r="X635" s="4704"/>
      <c r="Y635" s="4705"/>
      <c r="Z635" s="1305"/>
      <c r="AA635" s="513"/>
    </row>
    <row r="636" spans="1:27" ht="24" x14ac:dyDescent="0.25">
      <c r="A636" s="513"/>
      <c r="B636" s="2298" t="s">
        <v>18</v>
      </c>
      <c r="C636" s="4690">
        <v>3999999</v>
      </c>
      <c r="D636" s="4692" t="s">
        <v>163</v>
      </c>
      <c r="E636" s="4693"/>
      <c r="F636" s="516"/>
      <c r="G636" s="516"/>
      <c r="H636" s="516"/>
      <c r="I636" s="516"/>
      <c r="J636" s="516"/>
      <c r="K636" s="516"/>
      <c r="L636" s="516"/>
      <c r="M636" s="516"/>
      <c r="N636" s="516"/>
      <c r="O636" s="516"/>
      <c r="P636" s="516"/>
      <c r="Q636" s="516"/>
      <c r="R636" s="516"/>
      <c r="S636" s="516"/>
      <c r="T636" s="516"/>
      <c r="U636" s="524"/>
      <c r="V636" s="1362" t="s">
        <v>15</v>
      </c>
      <c r="W636" s="1362"/>
      <c r="X636" s="1362"/>
      <c r="Y636" s="1362"/>
      <c r="Z636" s="1305" t="s">
        <v>16</v>
      </c>
      <c r="AA636" s="513"/>
    </row>
    <row r="637" spans="1:27" x14ac:dyDescent="0.25">
      <c r="A637" s="513"/>
      <c r="B637" s="2298"/>
      <c r="C637" s="4706"/>
      <c r="D637" s="4692"/>
      <c r="E637" s="4693"/>
      <c r="F637" s="521"/>
      <c r="G637" s="521"/>
      <c r="H637" s="521"/>
      <c r="I637" s="521"/>
      <c r="J637" s="521"/>
      <c r="K637" s="521"/>
      <c r="L637" s="521"/>
      <c r="M637" s="521"/>
      <c r="N637" s="521"/>
      <c r="O637" s="521"/>
      <c r="P637" s="521"/>
      <c r="Q637" s="521"/>
      <c r="R637" s="521"/>
      <c r="S637" s="521"/>
      <c r="T637" s="521"/>
      <c r="U637" s="525"/>
      <c r="V637" s="4703" t="s">
        <v>19</v>
      </c>
      <c r="W637" s="4704"/>
      <c r="X637" s="4704"/>
      <c r="Y637" s="4705"/>
      <c r="Z637" s="1306"/>
      <c r="AA637" s="513"/>
    </row>
    <row r="638" spans="1:27" ht="15" customHeight="1" x14ac:dyDescent="0.25">
      <c r="A638" s="513"/>
      <c r="B638" s="2320" t="s">
        <v>20</v>
      </c>
      <c r="C638" s="2324" t="s">
        <v>21</v>
      </c>
      <c r="D638" s="2324" t="s">
        <v>22</v>
      </c>
      <c r="E638" s="2324" t="s">
        <v>23</v>
      </c>
      <c r="F638" s="2324" t="s">
        <v>164</v>
      </c>
      <c r="G638" s="2324" t="s">
        <v>25</v>
      </c>
      <c r="H638" s="2324" t="s">
        <v>26</v>
      </c>
      <c r="I638" s="2324" t="s">
        <v>27</v>
      </c>
      <c r="J638" s="2322" t="s">
        <v>28</v>
      </c>
      <c r="K638" s="2323"/>
      <c r="L638" s="2324" t="s">
        <v>29</v>
      </c>
      <c r="M638" s="2322" t="s">
        <v>30</v>
      </c>
      <c r="N638" s="4308"/>
      <c r="O638" s="2343" t="s">
        <v>31</v>
      </c>
      <c r="P638" s="2344"/>
      <c r="Q638" s="2344"/>
      <c r="R638" s="2344"/>
      <c r="S638" s="2344"/>
      <c r="T638" s="2344"/>
      <c r="U638" s="2344"/>
      <c r="V638" s="2344"/>
      <c r="W638" s="2344"/>
      <c r="X638" s="2344"/>
      <c r="Y638" s="2344"/>
      <c r="Z638" s="2345"/>
      <c r="AA638" s="4685" t="s">
        <v>32</v>
      </c>
    </row>
    <row r="639" spans="1:27" x14ac:dyDescent="0.25">
      <c r="A639" s="513"/>
      <c r="B639" s="2321"/>
      <c r="C639" s="2324"/>
      <c r="D639" s="2324"/>
      <c r="E639" s="2324"/>
      <c r="F639" s="2324"/>
      <c r="G639" s="2324"/>
      <c r="H639" s="2324"/>
      <c r="I639" s="2324"/>
      <c r="J639" s="1355" t="s">
        <v>33</v>
      </c>
      <c r="K639" s="1355" t="s">
        <v>34</v>
      </c>
      <c r="L639" s="2324"/>
      <c r="M639" s="2325"/>
      <c r="N639" s="4309"/>
      <c r="O639" s="1354" t="s">
        <v>35</v>
      </c>
      <c r="P639" s="1354" t="s">
        <v>36</v>
      </c>
      <c r="Q639" s="1354" t="s">
        <v>37</v>
      </c>
      <c r="R639" s="1354" t="s">
        <v>38</v>
      </c>
      <c r="S639" s="1354" t="s">
        <v>39</v>
      </c>
      <c r="T639" s="1354" t="s">
        <v>40</v>
      </c>
      <c r="U639" s="1354" t="s">
        <v>41</v>
      </c>
      <c r="V639" s="1354" t="s">
        <v>42</v>
      </c>
      <c r="W639" s="1354" t="s">
        <v>43</v>
      </c>
      <c r="X639" s="1354" t="s">
        <v>44</v>
      </c>
      <c r="Y639" s="1354" t="s">
        <v>45</v>
      </c>
      <c r="Z639" s="1354" t="s">
        <v>46</v>
      </c>
      <c r="AA639" s="4686"/>
    </row>
    <row r="640" spans="1:27" x14ac:dyDescent="0.25">
      <c r="A640" s="513"/>
      <c r="B640" s="4717">
        <v>5000002</v>
      </c>
      <c r="C640" s="4711" t="s">
        <v>2329</v>
      </c>
      <c r="D640" s="4713" t="s">
        <v>2587</v>
      </c>
      <c r="E640" s="4711" t="s">
        <v>3262</v>
      </c>
      <c r="F640" s="4714" t="s">
        <v>165</v>
      </c>
      <c r="G640" s="4714" t="s">
        <v>2370</v>
      </c>
      <c r="H640" s="4711" t="s">
        <v>1213</v>
      </c>
      <c r="I640" s="4711" t="s">
        <v>235</v>
      </c>
      <c r="J640" s="4712">
        <v>12</v>
      </c>
      <c r="K640" s="4712">
        <v>25300</v>
      </c>
      <c r="L640" s="4711" t="s">
        <v>2592</v>
      </c>
      <c r="M640" s="2671" t="s">
        <v>51</v>
      </c>
      <c r="N640" s="2672"/>
      <c r="O640" s="481"/>
      <c r="P640" s="481"/>
      <c r="Q640" s="481"/>
      <c r="R640" s="481"/>
      <c r="S640" s="481"/>
      <c r="T640" s="481"/>
      <c r="U640" s="481"/>
      <c r="V640" s="481"/>
      <c r="W640" s="481"/>
      <c r="X640" s="481"/>
      <c r="Y640" s="481"/>
      <c r="Z640" s="481"/>
      <c r="AA640" s="513"/>
    </row>
    <row r="641" spans="1:27" x14ac:dyDescent="0.25">
      <c r="A641" s="513"/>
      <c r="B641" s="4717"/>
      <c r="C641" s="4711"/>
      <c r="D641" s="4713"/>
      <c r="E641" s="4714"/>
      <c r="F641" s="4714"/>
      <c r="G641" s="4714"/>
      <c r="H641" s="4711"/>
      <c r="I641" s="4711"/>
      <c r="J641" s="4712"/>
      <c r="K641" s="4712"/>
      <c r="L641" s="4711"/>
      <c r="M641" s="2671" t="s">
        <v>111</v>
      </c>
      <c r="N641" s="2672"/>
      <c r="O641" s="479"/>
      <c r="P641" s="527">
        <f t="shared" ref="P641:Z641" si="45">SUM(P642:P646)</f>
        <v>1187</v>
      </c>
      <c r="Q641" s="527">
        <f t="shared" si="45"/>
        <v>3226</v>
      </c>
      <c r="R641" s="527">
        <f t="shared" si="45"/>
        <v>4124</v>
      </c>
      <c r="S641" s="527">
        <f t="shared" si="45"/>
        <v>2424</v>
      </c>
      <c r="T641" s="527">
        <f t="shared" si="45"/>
        <v>1501</v>
      </c>
      <c r="U641" s="527">
        <f t="shared" si="45"/>
        <v>2465</v>
      </c>
      <c r="V641" s="527">
        <f t="shared" si="45"/>
        <v>1578</v>
      </c>
      <c r="W641" s="527">
        <f t="shared" si="45"/>
        <v>3895</v>
      </c>
      <c r="X641" s="527">
        <f t="shared" si="45"/>
        <v>1586</v>
      </c>
      <c r="Y641" s="527">
        <f t="shared" si="45"/>
        <v>2117</v>
      </c>
      <c r="Z641" s="527">
        <f t="shared" si="45"/>
        <v>1197</v>
      </c>
      <c r="AA641" s="1663">
        <f t="shared" ref="AA641:AA646" si="46">SUM(P641:Z641)</f>
        <v>25300</v>
      </c>
    </row>
    <row r="642" spans="1:27" ht="22.5" x14ac:dyDescent="0.25">
      <c r="A642" s="513"/>
      <c r="B642" s="4717"/>
      <c r="C642" s="4711"/>
      <c r="D642" s="4713"/>
      <c r="E642" s="4714"/>
      <c r="F642" s="4714"/>
      <c r="G642" s="4714"/>
      <c r="H642" s="4711"/>
      <c r="I642" s="4711"/>
      <c r="J642" s="4712"/>
      <c r="K642" s="4712"/>
      <c r="L642" s="4711"/>
      <c r="M642" s="1280" t="s">
        <v>182</v>
      </c>
      <c r="N642" s="1280" t="s">
        <v>183</v>
      </c>
      <c r="O642" s="352"/>
      <c r="P642" s="352"/>
      <c r="Q642" s="352"/>
      <c r="R642" s="352">
        <v>2000</v>
      </c>
      <c r="S642" s="352"/>
      <c r="T642" s="352"/>
      <c r="U642" s="352"/>
      <c r="V642" s="352"/>
      <c r="W642" s="352"/>
      <c r="X642" s="352"/>
      <c r="Y642" s="352"/>
      <c r="Z642" s="352"/>
      <c r="AA642" s="1607">
        <f t="shared" si="46"/>
        <v>2000</v>
      </c>
    </row>
    <row r="643" spans="1:27" ht="22.5" x14ac:dyDescent="0.25">
      <c r="A643" s="513"/>
      <c r="B643" s="4717"/>
      <c r="C643" s="4711"/>
      <c r="D643" s="4713"/>
      <c r="E643" s="4714"/>
      <c r="F643" s="4714"/>
      <c r="G643" s="4714"/>
      <c r="H643" s="4711"/>
      <c r="I643" s="4711"/>
      <c r="J643" s="4712"/>
      <c r="K643" s="4712"/>
      <c r="L643" s="4711"/>
      <c r="M643" s="1280" t="s">
        <v>2588</v>
      </c>
      <c r="N643" s="1280" t="s">
        <v>2589</v>
      </c>
      <c r="O643" s="352"/>
      <c r="P643" s="352"/>
      <c r="Q643" s="352">
        <v>1891</v>
      </c>
      <c r="R643" s="352"/>
      <c r="S643" s="352">
        <v>961</v>
      </c>
      <c r="T643" s="352"/>
      <c r="U643" s="352">
        <v>961</v>
      </c>
      <c r="V643" s="352"/>
      <c r="W643" s="352">
        <v>1697</v>
      </c>
      <c r="X643" s="352"/>
      <c r="Y643" s="352">
        <v>490</v>
      </c>
      <c r="Z643" s="352"/>
      <c r="AA643" s="1607">
        <f t="shared" si="46"/>
        <v>6000</v>
      </c>
    </row>
    <row r="644" spans="1:27" ht="22.5" x14ac:dyDescent="0.25">
      <c r="A644" s="513"/>
      <c r="B644" s="4717"/>
      <c r="C644" s="4711"/>
      <c r="D644" s="4713"/>
      <c r="E644" s="4714"/>
      <c r="F644" s="4714"/>
      <c r="G644" s="4714"/>
      <c r="H644" s="4711"/>
      <c r="I644" s="4711"/>
      <c r="J644" s="4712"/>
      <c r="K644" s="4712"/>
      <c r="L644" s="4711"/>
      <c r="M644" s="1280" t="s">
        <v>541</v>
      </c>
      <c r="N644" s="1280" t="s">
        <v>1468</v>
      </c>
      <c r="O644" s="352"/>
      <c r="P644" s="352">
        <v>415</v>
      </c>
      <c r="Q644" s="352">
        <v>463</v>
      </c>
      <c r="R644" s="352">
        <v>458</v>
      </c>
      <c r="S644" s="352">
        <v>495</v>
      </c>
      <c r="T644" s="352">
        <v>456</v>
      </c>
      <c r="U644" s="352">
        <v>474</v>
      </c>
      <c r="V644" s="352">
        <v>431</v>
      </c>
      <c r="W644" s="352">
        <v>464</v>
      </c>
      <c r="X644" s="352">
        <v>422</v>
      </c>
      <c r="Y644" s="352">
        <v>474</v>
      </c>
      <c r="Z644" s="352">
        <v>448</v>
      </c>
      <c r="AA644" s="1607">
        <f t="shared" si="46"/>
        <v>5000</v>
      </c>
    </row>
    <row r="645" spans="1:27" ht="22.5" x14ac:dyDescent="0.25">
      <c r="A645" s="513"/>
      <c r="B645" s="4717"/>
      <c r="C645" s="4711"/>
      <c r="D645" s="4713"/>
      <c r="E645" s="4714"/>
      <c r="F645" s="4714"/>
      <c r="G645" s="4714"/>
      <c r="H645" s="4711"/>
      <c r="I645" s="4711"/>
      <c r="J645" s="4712"/>
      <c r="K645" s="4712"/>
      <c r="L645" s="4711"/>
      <c r="M645" s="307" t="s">
        <v>194</v>
      </c>
      <c r="N645" s="307" t="s">
        <v>1197</v>
      </c>
      <c r="O645" s="528"/>
      <c r="P645" s="352">
        <v>572</v>
      </c>
      <c r="Q645" s="352">
        <v>677</v>
      </c>
      <c r="R645" s="352">
        <v>1450</v>
      </c>
      <c r="S645" s="352">
        <v>761</v>
      </c>
      <c r="T645" s="352">
        <v>814</v>
      </c>
      <c r="U645" s="352">
        <v>837</v>
      </c>
      <c r="V645" s="352">
        <v>921</v>
      </c>
      <c r="W645" s="352">
        <v>1528</v>
      </c>
      <c r="X645" s="352">
        <v>955</v>
      </c>
      <c r="Y645" s="352">
        <v>943</v>
      </c>
      <c r="Z645" s="352">
        <v>542</v>
      </c>
      <c r="AA645" s="1607">
        <f t="shared" si="46"/>
        <v>10000</v>
      </c>
    </row>
    <row r="646" spans="1:27" ht="23.25" x14ac:dyDescent="0.25">
      <c r="A646" s="513"/>
      <c r="B646" s="4717"/>
      <c r="C646" s="4711"/>
      <c r="D646" s="4713"/>
      <c r="E646" s="4714"/>
      <c r="F646" s="4714"/>
      <c r="G646" s="4714"/>
      <c r="H646" s="4711"/>
      <c r="I646" s="4711"/>
      <c r="J646" s="4712"/>
      <c r="K646" s="4712"/>
      <c r="L646" s="4711"/>
      <c r="M646" s="307" t="s">
        <v>206</v>
      </c>
      <c r="N646" s="104" t="s">
        <v>207</v>
      </c>
      <c r="O646" s="349"/>
      <c r="P646" s="349">
        <v>200</v>
      </c>
      <c r="Q646" s="349">
        <v>195</v>
      </c>
      <c r="R646" s="349">
        <v>216</v>
      </c>
      <c r="S646" s="349">
        <v>207</v>
      </c>
      <c r="T646" s="349">
        <v>231</v>
      </c>
      <c r="U646" s="349">
        <v>193</v>
      </c>
      <c r="V646" s="349">
        <v>226</v>
      </c>
      <c r="W646" s="349">
        <v>206</v>
      </c>
      <c r="X646" s="349">
        <v>209</v>
      </c>
      <c r="Y646" s="349">
        <v>210</v>
      </c>
      <c r="Z646" s="349">
        <v>207</v>
      </c>
      <c r="AA646" s="1607">
        <f t="shared" si="46"/>
        <v>2300</v>
      </c>
    </row>
    <row r="647" spans="1:27" ht="33.75" x14ac:dyDescent="0.25">
      <c r="A647" s="513"/>
      <c r="B647" s="4717"/>
      <c r="C647" s="4711"/>
      <c r="D647" s="4713"/>
      <c r="E647" s="4714"/>
      <c r="F647" s="4714"/>
      <c r="G647" s="4714"/>
      <c r="H647" s="4711"/>
      <c r="I647" s="4711"/>
      <c r="J647" s="4712"/>
      <c r="K647" s="4712"/>
      <c r="L647" s="4711"/>
      <c r="M647" s="307" t="s">
        <v>208</v>
      </c>
      <c r="N647" s="307" t="s">
        <v>553</v>
      </c>
      <c r="O647" s="352">
        <v>3103.95</v>
      </c>
      <c r="P647" s="352">
        <v>3103.95</v>
      </c>
      <c r="Q647" s="352">
        <v>3103.95</v>
      </c>
      <c r="R647" s="352">
        <v>3103.95</v>
      </c>
      <c r="S647" s="352">
        <v>3103.95</v>
      </c>
      <c r="T647" s="352">
        <v>3103.95</v>
      </c>
      <c r="U647" s="352">
        <v>3403.95</v>
      </c>
      <c r="V647" s="352">
        <v>3103.95</v>
      </c>
      <c r="W647" s="352">
        <v>3103.95</v>
      </c>
      <c r="X647" s="352">
        <v>3103.95</v>
      </c>
      <c r="Y647" s="352">
        <v>3103.95</v>
      </c>
      <c r="Z647" s="352">
        <v>3403.95</v>
      </c>
      <c r="AA647" s="1607">
        <f>SUM(O647:Z647)</f>
        <v>37847.4</v>
      </c>
    </row>
    <row r="648" spans="1:27" ht="23.25" x14ac:dyDescent="0.25">
      <c r="A648" s="513"/>
      <c r="B648" s="4717"/>
      <c r="C648" s="4711"/>
      <c r="D648" s="4713"/>
      <c r="E648" s="4714"/>
      <c r="F648" s="4714"/>
      <c r="G648" s="4714"/>
      <c r="H648" s="4711"/>
      <c r="I648" s="4711"/>
      <c r="J648" s="4712"/>
      <c r="K648" s="4712"/>
      <c r="L648" s="4711"/>
      <c r="M648" s="307" t="s">
        <v>210</v>
      </c>
      <c r="N648" s="104" t="s">
        <v>554</v>
      </c>
      <c r="O648" s="352">
        <v>103.95</v>
      </c>
      <c r="P648" s="352">
        <v>103.95</v>
      </c>
      <c r="Q648" s="352">
        <v>103.95</v>
      </c>
      <c r="R648" s="352">
        <v>103.95</v>
      </c>
      <c r="S648" s="352">
        <v>103.95</v>
      </c>
      <c r="T648" s="352">
        <v>103.95</v>
      </c>
      <c r="U648" s="352">
        <v>103.95</v>
      </c>
      <c r="V648" s="352">
        <v>103.95</v>
      </c>
      <c r="W648" s="352">
        <v>103.95</v>
      </c>
      <c r="X648" s="352">
        <v>103.95</v>
      </c>
      <c r="Y648" s="352">
        <v>103.95</v>
      </c>
      <c r="Z648" s="352">
        <v>103.95</v>
      </c>
      <c r="AA648" s="1607">
        <f>SUM(O648:Z648)</f>
        <v>1247.4000000000003</v>
      </c>
    </row>
    <row r="649" spans="1:27" ht="30.75" customHeight="1" x14ac:dyDescent="0.25">
      <c r="B649" s="1547" t="s">
        <v>8</v>
      </c>
      <c r="C649" s="1548" t="s">
        <v>2593</v>
      </c>
      <c r="D649" s="1549"/>
      <c r="E649" s="512"/>
      <c r="F649" s="512"/>
      <c r="G649" s="512"/>
      <c r="H649" s="512"/>
      <c r="I649" s="512"/>
      <c r="J649" s="512"/>
      <c r="K649" s="512"/>
      <c r="L649" s="512"/>
      <c r="M649" s="512"/>
      <c r="N649" s="512"/>
      <c r="O649" s="512"/>
      <c r="P649" s="512"/>
      <c r="Q649" s="1255"/>
      <c r="R649" s="1255"/>
      <c r="S649" s="1255"/>
      <c r="T649" s="1255"/>
      <c r="U649" s="1255"/>
      <c r="V649" s="512"/>
      <c r="W649" s="512"/>
      <c r="X649" s="512"/>
      <c r="Y649" s="512"/>
      <c r="Z649" s="512"/>
      <c r="AA649" s="512"/>
    </row>
    <row r="650" spans="1:27" x14ac:dyDescent="0.25">
      <c r="B650" s="1150" t="s">
        <v>11</v>
      </c>
      <c r="C650" s="529" t="s">
        <v>230</v>
      </c>
      <c r="D650" s="530"/>
      <c r="E650" s="530"/>
      <c r="F650" s="1242"/>
      <c r="G650" s="1243"/>
      <c r="H650" s="1243"/>
      <c r="I650" s="1243"/>
      <c r="J650" s="1243"/>
      <c r="K650" s="1243"/>
      <c r="L650" s="1243"/>
      <c r="M650" s="1243"/>
      <c r="N650" s="1243"/>
      <c r="O650" s="1243"/>
      <c r="P650" s="1243"/>
      <c r="Q650" s="1244"/>
      <c r="R650" s="1244"/>
      <c r="S650" s="1244"/>
      <c r="T650" s="1244"/>
      <c r="U650" s="1245"/>
      <c r="V650" s="530"/>
      <c r="W650" s="530"/>
      <c r="X650" s="530"/>
      <c r="Y650" s="530"/>
      <c r="Z650" s="530"/>
      <c r="AA650" s="530"/>
    </row>
    <row r="651" spans="1:27" x14ac:dyDescent="0.25">
      <c r="B651" s="3430" t="s">
        <v>13</v>
      </c>
      <c r="C651" s="4718">
        <v>9001</v>
      </c>
      <c r="D651" s="4718" t="s">
        <v>230</v>
      </c>
      <c r="E651" s="4718"/>
      <c r="F651" s="1246"/>
      <c r="G651" s="1247"/>
      <c r="H651" s="1247"/>
      <c r="I651" s="1247"/>
      <c r="J651" s="1247"/>
      <c r="K651" s="1247"/>
      <c r="L651" s="1247"/>
      <c r="M651" s="1247"/>
      <c r="N651" s="1247"/>
      <c r="O651" s="1247"/>
      <c r="P651" s="1247"/>
      <c r="Q651" s="1244"/>
      <c r="R651" s="1244"/>
      <c r="S651" s="1244"/>
      <c r="T651" s="1244"/>
      <c r="U651" s="1245"/>
      <c r="V651" s="3333" t="s">
        <v>15</v>
      </c>
      <c r="W651" s="3333"/>
      <c r="X651" s="3333"/>
      <c r="Y651" s="3333"/>
      <c r="Z651" s="3333" t="s">
        <v>16</v>
      </c>
      <c r="AA651" s="3333"/>
    </row>
    <row r="652" spans="1:27" ht="2.25" customHeight="1" x14ac:dyDescent="0.25">
      <c r="B652" s="3430"/>
      <c r="C652" s="4718"/>
      <c r="D652" s="4718"/>
      <c r="E652" s="4718"/>
      <c r="F652" s="1246"/>
      <c r="G652" s="1247"/>
      <c r="H652" s="1247"/>
      <c r="I652" s="1247"/>
      <c r="J652" s="1247"/>
      <c r="K652" s="1247"/>
      <c r="L652" s="1247"/>
      <c r="M652" s="1247"/>
      <c r="N652" s="1247"/>
      <c r="O652" s="1247"/>
      <c r="P652" s="1247"/>
      <c r="Q652" s="1244"/>
      <c r="R652" s="1244"/>
      <c r="S652" s="1244"/>
      <c r="T652" s="1244"/>
      <c r="U652" s="1245"/>
      <c r="V652" s="3333" t="s">
        <v>1213</v>
      </c>
      <c r="W652" s="3333"/>
      <c r="X652" s="3333"/>
      <c r="Y652" s="3333"/>
      <c r="Z652" s="3333" t="s">
        <v>1213</v>
      </c>
      <c r="AA652" s="3333"/>
    </row>
    <row r="653" spans="1:27" ht="10.5" customHeight="1" x14ac:dyDescent="0.25">
      <c r="B653" s="3430"/>
      <c r="C653" s="4718"/>
      <c r="D653" s="4718"/>
      <c r="E653" s="4718"/>
      <c r="F653" s="1246"/>
      <c r="G653" s="1247"/>
      <c r="H653" s="1247"/>
      <c r="I653" s="1247"/>
      <c r="J653" s="1247"/>
      <c r="K653" s="1247"/>
      <c r="L653" s="1247"/>
      <c r="M653" s="1247"/>
      <c r="N653" s="1247"/>
      <c r="O653" s="1247"/>
      <c r="P653" s="1247"/>
      <c r="Q653" s="1244"/>
      <c r="R653" s="1244"/>
      <c r="S653" s="1244"/>
      <c r="T653" s="1244"/>
      <c r="U653" s="1245"/>
      <c r="V653" s="3333"/>
      <c r="W653" s="3333"/>
      <c r="X653" s="3333"/>
      <c r="Y653" s="3333"/>
      <c r="Z653" s="3333"/>
      <c r="AA653" s="3333"/>
    </row>
    <row r="654" spans="1:27" x14ac:dyDescent="0.25">
      <c r="B654" s="3430" t="s">
        <v>18</v>
      </c>
      <c r="C654" s="4718">
        <v>3.9999989999999999</v>
      </c>
      <c r="D654" s="3216" t="s">
        <v>163</v>
      </c>
      <c r="E654" s="3216"/>
      <c r="F654" s="1248"/>
      <c r="G654" s="1249"/>
      <c r="H654" s="1249"/>
      <c r="I654" s="1249"/>
      <c r="J654" s="1249"/>
      <c r="K654" s="1249"/>
      <c r="L654" s="1249"/>
      <c r="M654" s="1249"/>
      <c r="N654" s="1249"/>
      <c r="O654" s="1249"/>
      <c r="P654" s="1249"/>
      <c r="Q654" s="1247"/>
      <c r="R654" s="1247"/>
      <c r="S654" s="1247"/>
      <c r="T654" s="1247"/>
      <c r="U654" s="1250"/>
      <c r="V654" s="3216" t="s">
        <v>15</v>
      </c>
      <c r="W654" s="3216"/>
      <c r="X654" s="3216"/>
      <c r="Y654" s="3216"/>
      <c r="Z654" s="3333" t="s">
        <v>16</v>
      </c>
      <c r="AA654" s="3333"/>
    </row>
    <row r="655" spans="1:27" x14ac:dyDescent="0.25">
      <c r="B655" s="3430"/>
      <c r="C655" s="4718"/>
      <c r="D655" s="3216"/>
      <c r="E655" s="3216"/>
      <c r="F655" s="1251"/>
      <c r="G655" s="1252"/>
      <c r="H655" s="1252"/>
      <c r="I655" s="1252"/>
      <c r="J655" s="1252"/>
      <c r="K655" s="1252"/>
      <c r="L655" s="1252"/>
      <c r="M655" s="1252"/>
      <c r="N655" s="1252"/>
      <c r="O655" s="1252"/>
      <c r="P655" s="1252"/>
      <c r="Q655" s="1253"/>
      <c r="R655" s="1253"/>
      <c r="S655" s="1253"/>
      <c r="T655" s="1253"/>
      <c r="U655" s="1254"/>
      <c r="V655" s="3216" t="s">
        <v>1213</v>
      </c>
      <c r="W655" s="3216"/>
      <c r="X655" s="3216"/>
      <c r="Y655" s="3216"/>
      <c r="Z655" s="3333" t="s">
        <v>1213</v>
      </c>
      <c r="AA655" s="3333"/>
    </row>
    <row r="656" spans="1:27" x14ac:dyDescent="0.25">
      <c r="B656" s="4724" t="s">
        <v>20</v>
      </c>
      <c r="C656" s="3577" t="s">
        <v>21</v>
      </c>
      <c r="D656" s="3577" t="s">
        <v>22</v>
      </c>
      <c r="E656" s="3577" t="s">
        <v>23</v>
      </c>
      <c r="F656" s="3577" t="s">
        <v>164</v>
      </c>
      <c r="G656" s="3577" t="s">
        <v>25</v>
      </c>
      <c r="H656" s="3577" t="s">
        <v>26</v>
      </c>
      <c r="I656" s="3577" t="s">
        <v>27</v>
      </c>
      <c r="J656" s="3577" t="s">
        <v>28</v>
      </c>
      <c r="K656" s="3577"/>
      <c r="L656" s="3577" t="s">
        <v>2594</v>
      </c>
      <c r="M656" s="3577" t="s">
        <v>30</v>
      </c>
      <c r="N656" s="3577"/>
      <c r="O656" s="2399" t="s">
        <v>31</v>
      </c>
      <c r="P656" s="2399"/>
      <c r="Q656" s="2399"/>
      <c r="R656" s="2399"/>
      <c r="S656" s="2399"/>
      <c r="T656" s="2399"/>
      <c r="U656" s="2399"/>
      <c r="V656" s="2399"/>
      <c r="W656" s="2399"/>
      <c r="X656" s="2399"/>
      <c r="Y656" s="2399"/>
      <c r="Z656" s="2399"/>
      <c r="AA656" s="2399" t="s">
        <v>32</v>
      </c>
    </row>
    <row r="657" spans="2:27" x14ac:dyDescent="0.25">
      <c r="B657" s="4724"/>
      <c r="C657" s="3577"/>
      <c r="D657" s="3577"/>
      <c r="E657" s="3577"/>
      <c r="F657" s="3577"/>
      <c r="G657" s="3577"/>
      <c r="H657" s="3577"/>
      <c r="I657" s="3577"/>
      <c r="J657" s="504" t="s">
        <v>33</v>
      </c>
      <c r="K657" s="504" t="s">
        <v>34</v>
      </c>
      <c r="L657" s="3577"/>
      <c r="M657" s="3577"/>
      <c r="N657" s="3577"/>
      <c r="O657" s="505" t="s">
        <v>35</v>
      </c>
      <c r="P657" s="505" t="s">
        <v>36</v>
      </c>
      <c r="Q657" s="505" t="s">
        <v>37</v>
      </c>
      <c r="R657" s="505" t="s">
        <v>38</v>
      </c>
      <c r="S657" s="505" t="s">
        <v>39</v>
      </c>
      <c r="T657" s="505" t="s">
        <v>40</v>
      </c>
      <c r="U657" s="505" t="s">
        <v>41</v>
      </c>
      <c r="V657" s="505" t="s">
        <v>42</v>
      </c>
      <c r="W657" s="505" t="s">
        <v>43</v>
      </c>
      <c r="X657" s="505" t="s">
        <v>44</v>
      </c>
      <c r="Y657" s="505" t="s">
        <v>45</v>
      </c>
      <c r="Z657" s="505" t="s">
        <v>46</v>
      </c>
      <c r="AA657" s="2399"/>
    </row>
    <row r="658" spans="2:27" x14ac:dyDescent="0.25">
      <c r="B658" s="4719">
        <v>5000001</v>
      </c>
      <c r="C658" s="4720" t="s">
        <v>2595</v>
      </c>
      <c r="D658" s="4720" t="s">
        <v>2596</v>
      </c>
      <c r="E658" s="4721">
        <v>3</v>
      </c>
      <c r="F658" s="4722">
        <v>4</v>
      </c>
      <c r="G658" s="4723">
        <v>5</v>
      </c>
      <c r="H658" s="4720" t="s">
        <v>1352</v>
      </c>
      <c r="I658" s="4720" t="s">
        <v>2597</v>
      </c>
      <c r="J658" s="4720">
        <v>12</v>
      </c>
      <c r="K658" s="4729">
        <f>2429846+4384191</f>
        <v>6814037</v>
      </c>
      <c r="L658" s="4720" t="s">
        <v>2593</v>
      </c>
      <c r="M658" s="3677" t="s">
        <v>51</v>
      </c>
      <c r="N658" s="3677"/>
      <c r="O658" s="506">
        <v>1</v>
      </c>
      <c r="P658" s="376">
        <v>1</v>
      </c>
      <c r="Q658" s="376">
        <v>1</v>
      </c>
      <c r="R658" s="376">
        <v>1</v>
      </c>
      <c r="S658" s="376">
        <v>1</v>
      </c>
      <c r="T658" s="376">
        <v>1</v>
      </c>
      <c r="U658" s="376">
        <v>1</v>
      </c>
      <c r="V658" s="376">
        <v>1</v>
      </c>
      <c r="W658" s="376">
        <v>1</v>
      </c>
      <c r="X658" s="376">
        <v>1</v>
      </c>
      <c r="Y658" s="376">
        <v>1</v>
      </c>
      <c r="Z658" s="376">
        <v>1</v>
      </c>
      <c r="AA658" s="510">
        <f t="shared" ref="AA658:AA670" si="47">SUM(O658:Z658)</f>
        <v>12</v>
      </c>
    </row>
    <row r="659" spans="2:27" x14ac:dyDescent="0.25">
      <c r="B659" s="4719"/>
      <c r="C659" s="4720"/>
      <c r="D659" s="4720"/>
      <c r="E659" s="4721"/>
      <c r="F659" s="4722"/>
      <c r="G659" s="4723"/>
      <c r="H659" s="4720"/>
      <c r="I659" s="4720"/>
      <c r="J659" s="4720"/>
      <c r="K659" s="4729"/>
      <c r="L659" s="4720"/>
      <c r="M659" s="3677" t="s">
        <v>111</v>
      </c>
      <c r="N659" s="3677"/>
      <c r="O659" s="510">
        <f t="shared" ref="O659:Z659" si="48">SUM(O660:O670)</f>
        <v>0</v>
      </c>
      <c r="P659" s="510">
        <f t="shared" si="48"/>
        <v>0</v>
      </c>
      <c r="Q659" s="510">
        <f t="shared" si="48"/>
        <v>0</v>
      </c>
      <c r="R659" s="510">
        <f t="shared" si="48"/>
        <v>0</v>
      </c>
      <c r="S659" s="510">
        <f t="shared" si="48"/>
        <v>0</v>
      </c>
      <c r="T659" s="510">
        <f t="shared" si="48"/>
        <v>0</v>
      </c>
      <c r="U659" s="510">
        <f t="shared" si="48"/>
        <v>0</v>
      </c>
      <c r="V659" s="510">
        <f t="shared" si="48"/>
        <v>0</v>
      </c>
      <c r="W659" s="510">
        <f t="shared" si="48"/>
        <v>0</v>
      </c>
      <c r="X659" s="510">
        <f t="shared" si="48"/>
        <v>0</v>
      </c>
      <c r="Y659" s="510">
        <f t="shared" si="48"/>
        <v>0</v>
      </c>
      <c r="Z659" s="510">
        <f t="shared" si="48"/>
        <v>0</v>
      </c>
      <c r="AA659" s="510">
        <f t="shared" si="47"/>
        <v>0</v>
      </c>
    </row>
    <row r="660" spans="2:27" ht="22.5" x14ac:dyDescent="0.25">
      <c r="B660" s="4719"/>
      <c r="C660" s="4720"/>
      <c r="D660" s="4720"/>
      <c r="E660" s="4721"/>
      <c r="F660" s="4722"/>
      <c r="G660" s="4723"/>
      <c r="H660" s="4720"/>
      <c r="I660" s="4720"/>
      <c r="J660" s="4720"/>
      <c r="K660" s="4729"/>
      <c r="L660" s="4720"/>
      <c r="M660" s="531" t="s">
        <v>1245</v>
      </c>
      <c r="N660" s="531" t="s">
        <v>183</v>
      </c>
      <c r="O660" s="376">
        <f t="shared" ref="O660:Z660" si="49">SUMIF($N$30:$N$53,$N$17,O$30:O$53)</f>
        <v>0</v>
      </c>
      <c r="P660" s="376">
        <f t="shared" si="49"/>
        <v>0</v>
      </c>
      <c r="Q660" s="376">
        <f t="shared" si="49"/>
        <v>0</v>
      </c>
      <c r="R660" s="376">
        <f t="shared" si="49"/>
        <v>0</v>
      </c>
      <c r="S660" s="376">
        <f t="shared" si="49"/>
        <v>0</v>
      </c>
      <c r="T660" s="376">
        <f t="shared" si="49"/>
        <v>0</v>
      </c>
      <c r="U660" s="376">
        <f t="shared" si="49"/>
        <v>0</v>
      </c>
      <c r="V660" s="376">
        <f t="shared" si="49"/>
        <v>0</v>
      </c>
      <c r="W660" s="376">
        <f t="shared" si="49"/>
        <v>0</v>
      </c>
      <c r="X660" s="376">
        <f t="shared" si="49"/>
        <v>0</v>
      </c>
      <c r="Y660" s="376">
        <f t="shared" si="49"/>
        <v>0</v>
      </c>
      <c r="Z660" s="376">
        <f t="shared" si="49"/>
        <v>0</v>
      </c>
      <c r="AA660" s="510">
        <f t="shared" si="47"/>
        <v>0</v>
      </c>
    </row>
    <row r="661" spans="2:27" ht="45" x14ac:dyDescent="0.25">
      <c r="B661" s="4719"/>
      <c r="C661" s="4720"/>
      <c r="D661" s="4720"/>
      <c r="E661" s="4721"/>
      <c r="F661" s="4722"/>
      <c r="G661" s="4723"/>
      <c r="H661" s="4720"/>
      <c r="I661" s="4720"/>
      <c r="J661" s="4720"/>
      <c r="K661" s="4729"/>
      <c r="L661" s="4720"/>
      <c r="M661" s="531" t="s">
        <v>1235</v>
      </c>
      <c r="N661" s="531" t="s">
        <v>2598</v>
      </c>
      <c r="O661" s="376">
        <f t="shared" ref="O661:Z661" si="50">SUMIF($N$30:$N$53,$N$18,O$30:O$53)</f>
        <v>0</v>
      </c>
      <c r="P661" s="376">
        <f t="shared" si="50"/>
        <v>0</v>
      </c>
      <c r="Q661" s="376">
        <f t="shared" si="50"/>
        <v>0</v>
      </c>
      <c r="R661" s="376">
        <f t="shared" si="50"/>
        <v>0</v>
      </c>
      <c r="S661" s="376">
        <f t="shared" si="50"/>
        <v>0</v>
      </c>
      <c r="T661" s="376">
        <f t="shared" si="50"/>
        <v>0</v>
      </c>
      <c r="U661" s="376">
        <f t="shared" si="50"/>
        <v>0</v>
      </c>
      <c r="V661" s="376">
        <f t="shared" si="50"/>
        <v>0</v>
      </c>
      <c r="W661" s="376">
        <f t="shared" si="50"/>
        <v>0</v>
      </c>
      <c r="X661" s="376">
        <f t="shared" si="50"/>
        <v>0</v>
      </c>
      <c r="Y661" s="376">
        <f t="shared" si="50"/>
        <v>0</v>
      </c>
      <c r="Z661" s="376">
        <f t="shared" si="50"/>
        <v>0</v>
      </c>
      <c r="AA661" s="510">
        <f t="shared" si="47"/>
        <v>0</v>
      </c>
    </row>
    <row r="662" spans="2:27" ht="22.5" x14ac:dyDescent="0.25">
      <c r="B662" s="4719"/>
      <c r="C662" s="4720"/>
      <c r="D662" s="4720"/>
      <c r="E662" s="4721"/>
      <c r="F662" s="4722"/>
      <c r="G662" s="4723"/>
      <c r="H662" s="4720"/>
      <c r="I662" s="4720"/>
      <c r="J662" s="4720"/>
      <c r="K662" s="4729"/>
      <c r="L662" s="4720"/>
      <c r="M662" s="531" t="s">
        <v>1267</v>
      </c>
      <c r="N662" s="531" t="s">
        <v>187</v>
      </c>
      <c r="O662" s="376">
        <f t="shared" ref="O662:Z662" si="51">SUMIF($N$30:$N$53,$N$19,O$30:O$53)</f>
        <v>0</v>
      </c>
      <c r="P662" s="376">
        <f t="shared" si="51"/>
        <v>0</v>
      </c>
      <c r="Q662" s="376">
        <f t="shared" si="51"/>
        <v>0</v>
      </c>
      <c r="R662" s="376">
        <f t="shared" si="51"/>
        <v>0</v>
      </c>
      <c r="S662" s="376">
        <f t="shared" si="51"/>
        <v>0</v>
      </c>
      <c r="T662" s="376">
        <f t="shared" si="51"/>
        <v>0</v>
      </c>
      <c r="U662" s="376">
        <f t="shared" si="51"/>
        <v>0</v>
      </c>
      <c r="V662" s="376">
        <f t="shared" si="51"/>
        <v>0</v>
      </c>
      <c r="W662" s="376">
        <f t="shared" si="51"/>
        <v>0</v>
      </c>
      <c r="X662" s="376">
        <f t="shared" si="51"/>
        <v>0</v>
      </c>
      <c r="Y662" s="376">
        <f t="shared" si="51"/>
        <v>0</v>
      </c>
      <c r="Z662" s="376">
        <f t="shared" si="51"/>
        <v>0</v>
      </c>
      <c r="AA662" s="510">
        <f t="shared" si="47"/>
        <v>0</v>
      </c>
    </row>
    <row r="663" spans="2:27" ht="33.75" x14ac:dyDescent="0.25">
      <c r="B663" s="4719"/>
      <c r="C663" s="4720"/>
      <c r="D663" s="4720"/>
      <c r="E663" s="4721"/>
      <c r="F663" s="4722"/>
      <c r="G663" s="4723"/>
      <c r="H663" s="4720"/>
      <c r="I663" s="4720"/>
      <c r="J663" s="4720"/>
      <c r="K663" s="4729"/>
      <c r="L663" s="4720"/>
      <c r="M663" s="531" t="s">
        <v>1237</v>
      </c>
      <c r="N663" s="531" t="s">
        <v>1196</v>
      </c>
      <c r="O663" s="376">
        <f t="shared" ref="O663:Z663" si="52">SUMIF($N$30:$N$53,$N$20,O$30:O$53)</f>
        <v>0</v>
      </c>
      <c r="P663" s="376">
        <f t="shared" si="52"/>
        <v>0</v>
      </c>
      <c r="Q663" s="376">
        <f t="shared" si="52"/>
        <v>0</v>
      </c>
      <c r="R663" s="376">
        <f t="shared" si="52"/>
        <v>0</v>
      </c>
      <c r="S663" s="376">
        <f t="shared" si="52"/>
        <v>0</v>
      </c>
      <c r="T663" s="376">
        <f t="shared" si="52"/>
        <v>0</v>
      </c>
      <c r="U663" s="376">
        <f t="shared" si="52"/>
        <v>0</v>
      </c>
      <c r="V663" s="376">
        <f t="shared" si="52"/>
        <v>0</v>
      </c>
      <c r="W663" s="376">
        <f t="shared" si="52"/>
        <v>0</v>
      </c>
      <c r="X663" s="376">
        <f t="shared" si="52"/>
        <v>0</v>
      </c>
      <c r="Y663" s="376">
        <f t="shared" si="52"/>
        <v>0</v>
      </c>
      <c r="Z663" s="376">
        <f t="shared" si="52"/>
        <v>0</v>
      </c>
      <c r="AA663" s="510">
        <f t="shared" si="47"/>
        <v>0</v>
      </c>
    </row>
    <row r="664" spans="2:27" ht="45" x14ac:dyDescent="0.25">
      <c r="B664" s="4719"/>
      <c r="C664" s="4720"/>
      <c r="D664" s="4720"/>
      <c r="E664" s="4721"/>
      <c r="F664" s="4722"/>
      <c r="G664" s="4723"/>
      <c r="H664" s="4720"/>
      <c r="I664" s="4720"/>
      <c r="J664" s="4720"/>
      <c r="K664" s="4729"/>
      <c r="L664" s="4720"/>
      <c r="M664" s="531" t="s">
        <v>1239</v>
      </c>
      <c r="N664" s="531" t="s">
        <v>2599</v>
      </c>
      <c r="O664" s="376">
        <f t="shared" ref="O664:Z664" si="53">SUMIF($N$30:$N$53,$N$21,O$30:O$53)</f>
        <v>0</v>
      </c>
      <c r="P664" s="376">
        <f t="shared" si="53"/>
        <v>0</v>
      </c>
      <c r="Q664" s="376">
        <f t="shared" si="53"/>
        <v>0</v>
      </c>
      <c r="R664" s="376">
        <f t="shared" si="53"/>
        <v>0</v>
      </c>
      <c r="S664" s="376">
        <f t="shared" si="53"/>
        <v>0</v>
      </c>
      <c r="T664" s="376">
        <f t="shared" si="53"/>
        <v>0</v>
      </c>
      <c r="U664" s="376">
        <f t="shared" si="53"/>
        <v>0</v>
      </c>
      <c r="V664" s="376">
        <f t="shared" si="53"/>
        <v>0</v>
      </c>
      <c r="W664" s="376">
        <f t="shared" si="53"/>
        <v>0</v>
      </c>
      <c r="X664" s="376">
        <f t="shared" si="53"/>
        <v>0</v>
      </c>
      <c r="Y664" s="376">
        <f t="shared" si="53"/>
        <v>0</v>
      </c>
      <c r="Z664" s="376">
        <f t="shared" si="53"/>
        <v>0</v>
      </c>
      <c r="AA664" s="510">
        <f t="shared" si="47"/>
        <v>0</v>
      </c>
    </row>
    <row r="665" spans="2:27" ht="56.25" x14ac:dyDescent="0.25">
      <c r="B665" s="4719"/>
      <c r="C665" s="4720"/>
      <c r="D665" s="4720"/>
      <c r="E665" s="4721"/>
      <c r="F665" s="4722"/>
      <c r="G665" s="4723"/>
      <c r="H665" s="4720"/>
      <c r="I665" s="4720"/>
      <c r="J665" s="4720"/>
      <c r="K665" s="4729"/>
      <c r="L665" s="4720"/>
      <c r="M665" s="531" t="s">
        <v>1241</v>
      </c>
      <c r="N665" s="531" t="s">
        <v>2600</v>
      </c>
      <c r="O665" s="376">
        <f t="shared" ref="O665:Z665" si="54">SUMIF($N$30:$N$53,$N$22,O$30:O$53)</f>
        <v>0</v>
      </c>
      <c r="P665" s="376">
        <f t="shared" si="54"/>
        <v>0</v>
      </c>
      <c r="Q665" s="376">
        <f t="shared" si="54"/>
        <v>0</v>
      </c>
      <c r="R665" s="376">
        <f t="shared" si="54"/>
        <v>0</v>
      </c>
      <c r="S665" s="376">
        <f t="shared" si="54"/>
        <v>0</v>
      </c>
      <c r="T665" s="376">
        <f t="shared" si="54"/>
        <v>0</v>
      </c>
      <c r="U665" s="376">
        <f t="shared" si="54"/>
        <v>0</v>
      </c>
      <c r="V665" s="376">
        <f t="shared" si="54"/>
        <v>0</v>
      </c>
      <c r="W665" s="376">
        <f t="shared" si="54"/>
        <v>0</v>
      </c>
      <c r="X665" s="376">
        <f t="shared" si="54"/>
        <v>0</v>
      </c>
      <c r="Y665" s="376">
        <f t="shared" si="54"/>
        <v>0</v>
      </c>
      <c r="Z665" s="376">
        <f t="shared" si="54"/>
        <v>0</v>
      </c>
      <c r="AA665" s="510">
        <f t="shared" si="47"/>
        <v>0</v>
      </c>
    </row>
    <row r="666" spans="2:27" ht="33.75" x14ac:dyDescent="0.25">
      <c r="B666" s="4719"/>
      <c r="C666" s="4720"/>
      <c r="D666" s="4720"/>
      <c r="E666" s="4721"/>
      <c r="F666" s="4722"/>
      <c r="G666" s="4723"/>
      <c r="H666" s="4720"/>
      <c r="I666" s="4720"/>
      <c r="J666" s="4720"/>
      <c r="K666" s="4729"/>
      <c r="L666" s="4720"/>
      <c r="M666" s="531" t="s">
        <v>1330</v>
      </c>
      <c r="N666" s="531" t="s">
        <v>1360</v>
      </c>
      <c r="O666" s="376">
        <f t="shared" ref="O666:Z666" si="55">SUMIF($N$30:$N$53,$N$23,O$30:O$53)</f>
        <v>0</v>
      </c>
      <c r="P666" s="376">
        <f t="shared" si="55"/>
        <v>0</v>
      </c>
      <c r="Q666" s="376">
        <f t="shared" si="55"/>
        <v>0</v>
      </c>
      <c r="R666" s="376">
        <f t="shared" si="55"/>
        <v>0</v>
      </c>
      <c r="S666" s="376">
        <f t="shared" si="55"/>
        <v>0</v>
      </c>
      <c r="T666" s="376">
        <f t="shared" si="55"/>
        <v>0</v>
      </c>
      <c r="U666" s="376">
        <f t="shared" si="55"/>
        <v>0</v>
      </c>
      <c r="V666" s="376">
        <f t="shared" si="55"/>
        <v>0</v>
      </c>
      <c r="W666" s="376">
        <f t="shared" si="55"/>
        <v>0</v>
      </c>
      <c r="X666" s="376">
        <f t="shared" si="55"/>
        <v>0</v>
      </c>
      <c r="Y666" s="376">
        <f t="shared" si="55"/>
        <v>0</v>
      </c>
      <c r="Z666" s="376">
        <f t="shared" si="55"/>
        <v>0</v>
      </c>
      <c r="AA666" s="510">
        <f t="shared" si="47"/>
        <v>0</v>
      </c>
    </row>
    <row r="667" spans="2:27" ht="33.75" x14ac:dyDescent="0.25">
      <c r="B667" s="4719"/>
      <c r="C667" s="4720"/>
      <c r="D667" s="4720"/>
      <c r="E667" s="4721"/>
      <c r="F667" s="4722"/>
      <c r="G667" s="4723"/>
      <c r="H667" s="4720"/>
      <c r="I667" s="4720"/>
      <c r="J667" s="4720"/>
      <c r="K667" s="4729"/>
      <c r="L667" s="4720"/>
      <c r="M667" s="531" t="s">
        <v>1332</v>
      </c>
      <c r="N667" s="531" t="s">
        <v>2601</v>
      </c>
      <c r="O667" s="376">
        <f t="shared" ref="O667:Z667" si="56">SUMIF($N$30:$N$53,$N$24,O$30:O$53)</f>
        <v>0</v>
      </c>
      <c r="P667" s="376">
        <f t="shared" si="56"/>
        <v>0</v>
      </c>
      <c r="Q667" s="376">
        <f t="shared" si="56"/>
        <v>0</v>
      </c>
      <c r="R667" s="376">
        <f t="shared" si="56"/>
        <v>0</v>
      </c>
      <c r="S667" s="376">
        <f t="shared" si="56"/>
        <v>0</v>
      </c>
      <c r="T667" s="376">
        <f t="shared" si="56"/>
        <v>0</v>
      </c>
      <c r="U667" s="376">
        <f t="shared" si="56"/>
        <v>0</v>
      </c>
      <c r="V667" s="376">
        <f t="shared" si="56"/>
        <v>0</v>
      </c>
      <c r="W667" s="376">
        <f t="shared" si="56"/>
        <v>0</v>
      </c>
      <c r="X667" s="376">
        <f t="shared" si="56"/>
        <v>0</v>
      </c>
      <c r="Y667" s="376">
        <f t="shared" si="56"/>
        <v>0</v>
      </c>
      <c r="Z667" s="376">
        <f t="shared" si="56"/>
        <v>0</v>
      </c>
      <c r="AA667" s="510">
        <f t="shared" si="47"/>
        <v>0</v>
      </c>
    </row>
    <row r="668" spans="2:27" ht="33.75" x14ac:dyDescent="0.25">
      <c r="B668" s="4719"/>
      <c r="C668" s="4720"/>
      <c r="D668" s="4720"/>
      <c r="E668" s="4721"/>
      <c r="F668" s="4722"/>
      <c r="G668" s="4723"/>
      <c r="H668" s="4720"/>
      <c r="I668" s="4720"/>
      <c r="J668" s="4720"/>
      <c r="K668" s="4729"/>
      <c r="L668" s="4720"/>
      <c r="M668" s="531" t="s">
        <v>2602</v>
      </c>
      <c r="N668" s="531" t="s">
        <v>2603</v>
      </c>
      <c r="O668" s="376">
        <f t="shared" ref="O668:Z668" si="57">SUMIF($N$30:$N$53,$N$25,O$30:O$53)</f>
        <v>0</v>
      </c>
      <c r="P668" s="376">
        <f t="shared" si="57"/>
        <v>0</v>
      </c>
      <c r="Q668" s="376">
        <f t="shared" si="57"/>
        <v>0</v>
      </c>
      <c r="R668" s="376">
        <f t="shared" si="57"/>
        <v>0</v>
      </c>
      <c r="S668" s="376">
        <f t="shared" si="57"/>
        <v>0</v>
      </c>
      <c r="T668" s="376">
        <f t="shared" si="57"/>
        <v>0</v>
      </c>
      <c r="U668" s="376">
        <f t="shared" si="57"/>
        <v>0</v>
      </c>
      <c r="V668" s="376">
        <f t="shared" si="57"/>
        <v>0</v>
      </c>
      <c r="W668" s="376">
        <f t="shared" si="57"/>
        <v>0</v>
      </c>
      <c r="X668" s="376">
        <f t="shared" si="57"/>
        <v>0</v>
      </c>
      <c r="Y668" s="376">
        <f t="shared" si="57"/>
        <v>0</v>
      </c>
      <c r="Z668" s="376">
        <f t="shared" si="57"/>
        <v>0</v>
      </c>
      <c r="AA668" s="510">
        <f t="shared" si="47"/>
        <v>0</v>
      </c>
    </row>
    <row r="669" spans="2:27" x14ac:dyDescent="0.25">
      <c r="B669" s="4719"/>
      <c r="C669" s="4720"/>
      <c r="D669" s="4720"/>
      <c r="E669" s="4721"/>
      <c r="F669" s="4722"/>
      <c r="G669" s="4723"/>
      <c r="H669" s="4720"/>
      <c r="I669" s="4720"/>
      <c r="J669" s="4720"/>
      <c r="K669" s="4729"/>
      <c r="L669" s="4720"/>
      <c r="M669" s="531" t="s">
        <v>1608</v>
      </c>
      <c r="N669" s="531" t="s">
        <v>556</v>
      </c>
      <c r="O669" s="376">
        <f t="shared" ref="O669:Z669" si="58">SUMIF($N$30:$N$53,$N$26,O$30:O$53)</f>
        <v>0</v>
      </c>
      <c r="P669" s="376">
        <f t="shared" si="58"/>
        <v>0</v>
      </c>
      <c r="Q669" s="376">
        <f t="shared" si="58"/>
        <v>0</v>
      </c>
      <c r="R669" s="376">
        <f t="shared" si="58"/>
        <v>0</v>
      </c>
      <c r="S669" s="376">
        <f t="shared" si="58"/>
        <v>0</v>
      </c>
      <c r="T669" s="376">
        <f t="shared" si="58"/>
        <v>0</v>
      </c>
      <c r="U669" s="376">
        <f t="shared" si="58"/>
        <v>0</v>
      </c>
      <c r="V669" s="376">
        <f t="shared" si="58"/>
        <v>0</v>
      </c>
      <c r="W669" s="376">
        <f t="shared" si="58"/>
        <v>0</v>
      </c>
      <c r="X669" s="376">
        <f t="shared" si="58"/>
        <v>0</v>
      </c>
      <c r="Y669" s="376">
        <f t="shared" si="58"/>
        <v>0</v>
      </c>
      <c r="Z669" s="376">
        <f t="shared" si="58"/>
        <v>0</v>
      </c>
      <c r="AA669" s="510">
        <f t="shared" si="47"/>
        <v>0</v>
      </c>
    </row>
    <row r="670" spans="2:27" ht="45" x14ac:dyDescent="0.25">
      <c r="B670" s="4719"/>
      <c r="C670" s="4720"/>
      <c r="D670" s="4720"/>
      <c r="E670" s="4721"/>
      <c r="F670" s="4722"/>
      <c r="G670" s="4723"/>
      <c r="H670" s="4720"/>
      <c r="I670" s="4720"/>
      <c r="J670" s="4720"/>
      <c r="K670" s="4729"/>
      <c r="L670" s="4720"/>
      <c r="M670" s="531" t="s">
        <v>2604</v>
      </c>
      <c r="N670" s="531" t="s">
        <v>3103</v>
      </c>
      <c r="O670" s="376">
        <f t="shared" ref="O670:Z670" si="59">SUMIF($N$30:$N$53,$N$27,O$30:O$53)</f>
        <v>0</v>
      </c>
      <c r="P670" s="376">
        <f t="shared" si="59"/>
        <v>0</v>
      </c>
      <c r="Q670" s="376">
        <f t="shared" si="59"/>
        <v>0</v>
      </c>
      <c r="R670" s="376">
        <f t="shared" si="59"/>
        <v>0</v>
      </c>
      <c r="S670" s="376">
        <f t="shared" si="59"/>
        <v>0</v>
      </c>
      <c r="T670" s="376">
        <f t="shared" si="59"/>
        <v>0</v>
      </c>
      <c r="U670" s="376">
        <f t="shared" si="59"/>
        <v>0</v>
      </c>
      <c r="V670" s="376">
        <f t="shared" si="59"/>
        <v>0</v>
      </c>
      <c r="W670" s="376">
        <f t="shared" si="59"/>
        <v>0</v>
      </c>
      <c r="X670" s="376">
        <f t="shared" si="59"/>
        <v>0</v>
      </c>
      <c r="Y670" s="376">
        <f t="shared" si="59"/>
        <v>0</v>
      </c>
      <c r="Z670" s="376">
        <f t="shared" si="59"/>
        <v>0</v>
      </c>
      <c r="AA670" s="510">
        <f t="shared" si="47"/>
        <v>0</v>
      </c>
    </row>
    <row r="671" spans="2:27" x14ac:dyDescent="0.25">
      <c r="B671" s="4206"/>
      <c r="C671" s="3606" t="s">
        <v>2605</v>
      </c>
      <c r="D671" s="3567"/>
      <c r="E671" s="3573"/>
      <c r="F671" s="3573"/>
      <c r="G671" s="3573"/>
      <c r="H671" s="3567" t="s">
        <v>2606</v>
      </c>
      <c r="I671" s="3573" t="s">
        <v>2420</v>
      </c>
      <c r="J671" s="3573">
        <v>1</v>
      </c>
      <c r="K671" s="4237">
        <f>AA672</f>
        <v>4369211</v>
      </c>
      <c r="L671" s="3567" t="s">
        <v>2593</v>
      </c>
      <c r="M671" s="3677" t="s">
        <v>51</v>
      </c>
      <c r="N671" s="3677"/>
      <c r="O671" s="506">
        <v>1</v>
      </c>
      <c r="P671" s="376">
        <v>1</v>
      </c>
      <c r="Q671" s="376">
        <v>1</v>
      </c>
      <c r="R671" s="376">
        <v>1</v>
      </c>
      <c r="S671" s="376">
        <v>1</v>
      </c>
      <c r="T671" s="376">
        <v>1</v>
      </c>
      <c r="U671" s="376">
        <v>1</v>
      </c>
      <c r="V671" s="376">
        <v>1</v>
      </c>
      <c r="W671" s="376">
        <v>1</v>
      </c>
      <c r="X671" s="376">
        <v>1</v>
      </c>
      <c r="Y671" s="376">
        <v>1</v>
      </c>
      <c r="Z671" s="376">
        <v>1</v>
      </c>
      <c r="AA671" s="510">
        <v>12</v>
      </c>
    </row>
    <row r="672" spans="2:27" x14ac:dyDescent="0.25">
      <c r="B672" s="4206"/>
      <c r="C672" s="3606"/>
      <c r="D672" s="3567"/>
      <c r="E672" s="3573"/>
      <c r="F672" s="3573"/>
      <c r="G672" s="3573"/>
      <c r="H672" s="3567"/>
      <c r="I672" s="3573"/>
      <c r="J672" s="3573"/>
      <c r="K672" s="4237"/>
      <c r="L672" s="3567"/>
      <c r="M672" s="3677" t="s">
        <v>111</v>
      </c>
      <c r="N672" s="3677"/>
      <c r="O672" s="510">
        <f t="shared" ref="O672:Z672" si="60">SUM(O673:O682)</f>
        <v>551430.75</v>
      </c>
      <c r="P672" s="510">
        <f t="shared" si="60"/>
        <v>2017856.75</v>
      </c>
      <c r="Q672" s="510">
        <f t="shared" si="60"/>
        <v>1633423.75</v>
      </c>
      <c r="R672" s="510">
        <f t="shared" si="60"/>
        <v>19196.75</v>
      </c>
      <c r="S672" s="510">
        <f t="shared" si="60"/>
        <v>19196.75</v>
      </c>
      <c r="T672" s="510">
        <f t="shared" si="60"/>
        <v>16856.75</v>
      </c>
      <c r="U672" s="510">
        <f t="shared" si="60"/>
        <v>20696.75</v>
      </c>
      <c r="V672" s="510">
        <f t="shared" si="60"/>
        <v>17696.75</v>
      </c>
      <c r="W672" s="510">
        <f t="shared" si="60"/>
        <v>19196.75</v>
      </c>
      <c r="X672" s="510">
        <f t="shared" si="60"/>
        <v>18366.75</v>
      </c>
      <c r="Y672" s="510">
        <f t="shared" si="60"/>
        <v>17906.75</v>
      </c>
      <c r="Z672" s="510">
        <f t="shared" si="60"/>
        <v>17385.75</v>
      </c>
      <c r="AA672" s="510">
        <f t="shared" ref="AA672:AA695" si="61">SUM(O672:Z672)</f>
        <v>4369211</v>
      </c>
    </row>
    <row r="673" spans="2:27" ht="22.5" x14ac:dyDescent="0.25">
      <c r="B673" s="4206"/>
      <c r="C673" s="3606"/>
      <c r="D673" s="3567"/>
      <c r="E673" s="3573"/>
      <c r="F673" s="3573"/>
      <c r="G673" s="3573"/>
      <c r="H673" s="3567"/>
      <c r="I673" s="3573"/>
      <c r="J673" s="3573"/>
      <c r="K673" s="4237"/>
      <c r="L673" s="3567"/>
      <c r="M673" s="531" t="s">
        <v>1245</v>
      </c>
      <c r="N673" s="531" t="s">
        <v>183</v>
      </c>
      <c r="O673" s="376">
        <v>0</v>
      </c>
      <c r="P673" s="376">
        <v>0</v>
      </c>
      <c r="Q673" s="376">
        <v>5000</v>
      </c>
      <c r="R673" s="376">
        <v>0</v>
      </c>
      <c r="S673" s="376">
        <v>0</v>
      </c>
      <c r="T673" s="376">
        <v>0</v>
      </c>
      <c r="U673" s="376">
        <v>0</v>
      </c>
      <c r="V673" s="376">
        <v>0</v>
      </c>
      <c r="W673" s="376">
        <v>0</v>
      </c>
      <c r="X673" s="376">
        <v>0</v>
      </c>
      <c r="Y673" s="376">
        <v>0</v>
      </c>
      <c r="Z673" s="376">
        <v>0</v>
      </c>
      <c r="AA673" s="2081">
        <f t="shared" si="61"/>
        <v>5000</v>
      </c>
    </row>
    <row r="674" spans="2:27" ht="45" x14ac:dyDescent="0.25">
      <c r="B674" s="4206"/>
      <c r="C674" s="3606"/>
      <c r="D674" s="3567"/>
      <c r="E674" s="3573"/>
      <c r="F674" s="3573"/>
      <c r="G674" s="3573"/>
      <c r="H674" s="3567"/>
      <c r="I674" s="3573"/>
      <c r="J674" s="3573"/>
      <c r="K674" s="4237"/>
      <c r="L674" s="3567"/>
      <c r="M674" s="531" t="s">
        <v>1235</v>
      </c>
      <c r="N674" s="531" t="s">
        <v>2598</v>
      </c>
      <c r="O674" s="376">
        <v>0</v>
      </c>
      <c r="P674" s="376">
        <v>1000</v>
      </c>
      <c r="Q674" s="376">
        <v>4650</v>
      </c>
      <c r="R674" s="376">
        <v>0</v>
      </c>
      <c r="S674" s="376">
        <v>0</v>
      </c>
      <c r="T674" s="376">
        <v>0</v>
      </c>
      <c r="U674" s="376">
        <v>0</v>
      </c>
      <c r="V674" s="376">
        <v>0</v>
      </c>
      <c r="W674" s="376">
        <v>0</v>
      </c>
      <c r="X674" s="376">
        <v>0</v>
      </c>
      <c r="Y674" s="376">
        <v>0</v>
      </c>
      <c r="Z674" s="376">
        <v>0</v>
      </c>
      <c r="AA674" s="2081">
        <f t="shared" si="61"/>
        <v>5650</v>
      </c>
    </row>
    <row r="675" spans="2:27" ht="22.5" x14ac:dyDescent="0.25">
      <c r="B675" s="4206"/>
      <c r="C675" s="3606"/>
      <c r="D675" s="3567"/>
      <c r="E675" s="3573"/>
      <c r="F675" s="3573"/>
      <c r="G675" s="3573"/>
      <c r="H675" s="3567"/>
      <c r="I675" s="3573"/>
      <c r="J675" s="3573"/>
      <c r="K675" s="4237"/>
      <c r="L675" s="3567"/>
      <c r="M675" s="531" t="s">
        <v>1267</v>
      </c>
      <c r="N675" s="531" t="s">
        <v>187</v>
      </c>
      <c r="O675" s="376">
        <v>0</v>
      </c>
      <c r="P675" s="376">
        <v>0</v>
      </c>
      <c r="Q675" s="376">
        <v>494</v>
      </c>
      <c r="R675" s="376">
        <v>0</v>
      </c>
      <c r="S675" s="376">
        <v>0</v>
      </c>
      <c r="T675" s="376">
        <v>0</v>
      </c>
      <c r="U675" s="376">
        <v>0</v>
      </c>
      <c r="V675" s="376">
        <v>0</v>
      </c>
      <c r="W675" s="376">
        <v>0</v>
      </c>
      <c r="X675" s="376">
        <v>0</v>
      </c>
      <c r="Y675" s="376">
        <v>0</v>
      </c>
      <c r="Z675" s="376">
        <v>0</v>
      </c>
      <c r="AA675" s="2081">
        <f t="shared" si="61"/>
        <v>494</v>
      </c>
    </row>
    <row r="676" spans="2:27" ht="33.75" x14ac:dyDescent="0.25">
      <c r="B676" s="4206"/>
      <c r="C676" s="3606"/>
      <c r="D676" s="3567"/>
      <c r="E676" s="3573"/>
      <c r="F676" s="3573"/>
      <c r="G676" s="3573"/>
      <c r="H676" s="3567"/>
      <c r="I676" s="3573"/>
      <c r="J676" s="3573"/>
      <c r="K676" s="4237"/>
      <c r="L676" s="3567"/>
      <c r="M676" s="531" t="s">
        <v>1237</v>
      </c>
      <c r="N676" s="531" t="s">
        <v>1196</v>
      </c>
      <c r="O676" s="376">
        <v>0</v>
      </c>
      <c r="P676" s="376">
        <v>500</v>
      </c>
      <c r="Q676" s="376">
        <v>1140</v>
      </c>
      <c r="R676" s="376">
        <v>1140</v>
      </c>
      <c r="S676" s="376">
        <v>1140</v>
      </c>
      <c r="T676" s="376">
        <v>500</v>
      </c>
      <c r="U676" s="376">
        <v>1140</v>
      </c>
      <c r="V676" s="376">
        <v>1140</v>
      </c>
      <c r="W676" s="376">
        <v>1140</v>
      </c>
      <c r="X676" s="376">
        <v>610</v>
      </c>
      <c r="Y676" s="376">
        <v>850</v>
      </c>
      <c r="Z676" s="376">
        <v>0</v>
      </c>
      <c r="AA676" s="2081">
        <f t="shared" si="61"/>
        <v>9300</v>
      </c>
    </row>
    <row r="677" spans="2:27" ht="45" x14ac:dyDescent="0.25">
      <c r="B677" s="4206"/>
      <c r="C677" s="3606"/>
      <c r="D677" s="3567"/>
      <c r="E677" s="3573"/>
      <c r="F677" s="3573"/>
      <c r="G677" s="3573"/>
      <c r="H677" s="3567"/>
      <c r="I677" s="3573"/>
      <c r="J677" s="3573"/>
      <c r="K677" s="4237"/>
      <c r="L677" s="3567"/>
      <c r="M677" s="531" t="s">
        <v>1239</v>
      </c>
      <c r="N677" s="531" t="s">
        <v>2599</v>
      </c>
      <c r="O677" s="376">
        <v>0</v>
      </c>
      <c r="P677" s="376">
        <v>1800</v>
      </c>
      <c r="Q677" s="376">
        <v>2700</v>
      </c>
      <c r="R677" s="376">
        <v>3500</v>
      </c>
      <c r="S677" s="376">
        <v>3500</v>
      </c>
      <c r="T677" s="376">
        <v>1800</v>
      </c>
      <c r="U677" s="376">
        <v>3500</v>
      </c>
      <c r="V677" s="376">
        <v>2000</v>
      </c>
      <c r="W677" s="376">
        <v>3500</v>
      </c>
      <c r="X677" s="376">
        <v>3200</v>
      </c>
      <c r="Y677" s="376">
        <v>2500</v>
      </c>
      <c r="Z677" s="376">
        <v>0</v>
      </c>
      <c r="AA677" s="2081">
        <f t="shared" si="61"/>
        <v>28000</v>
      </c>
    </row>
    <row r="678" spans="2:27" ht="33.75" x14ac:dyDescent="0.25">
      <c r="B678" s="4206"/>
      <c r="C678" s="3606"/>
      <c r="D678" s="3567"/>
      <c r="E678" s="3573"/>
      <c r="F678" s="3573"/>
      <c r="G678" s="3573"/>
      <c r="H678" s="3567"/>
      <c r="I678" s="3573"/>
      <c r="J678" s="3573"/>
      <c r="K678" s="4237"/>
      <c r="L678" s="3567"/>
      <c r="M678" s="531" t="s">
        <v>1330</v>
      </c>
      <c r="N678" s="531" t="s">
        <v>1360</v>
      </c>
      <c r="O678" s="376">
        <f t="shared" ref="O678:T678" si="62">10933+3104</f>
        <v>14037</v>
      </c>
      <c r="P678" s="376">
        <f t="shared" si="62"/>
        <v>14037</v>
      </c>
      <c r="Q678" s="376">
        <f t="shared" si="62"/>
        <v>14037</v>
      </c>
      <c r="R678" s="376">
        <f t="shared" si="62"/>
        <v>14037</v>
      </c>
      <c r="S678" s="376">
        <f t="shared" si="62"/>
        <v>14037</v>
      </c>
      <c r="T678" s="376">
        <f t="shared" si="62"/>
        <v>14037</v>
      </c>
      <c r="U678" s="376">
        <f>10933+3104+1500</f>
        <v>15537</v>
      </c>
      <c r="V678" s="376">
        <f>10933+3104</f>
        <v>14037</v>
      </c>
      <c r="W678" s="376">
        <f>10933+3104</f>
        <v>14037</v>
      </c>
      <c r="X678" s="376">
        <f>10933+3104</f>
        <v>14037</v>
      </c>
      <c r="Y678" s="376">
        <f>10933+3104</f>
        <v>14037</v>
      </c>
      <c r="Z678" s="376">
        <f>10933+3104+1500+1248</f>
        <v>16785</v>
      </c>
      <c r="AA678" s="2081">
        <f t="shared" si="61"/>
        <v>172692</v>
      </c>
    </row>
    <row r="679" spans="2:27" ht="33.75" x14ac:dyDescent="0.25">
      <c r="B679" s="4206"/>
      <c r="C679" s="3606"/>
      <c r="D679" s="3567"/>
      <c r="E679" s="3573"/>
      <c r="F679" s="3573"/>
      <c r="G679" s="3573"/>
      <c r="H679" s="3567"/>
      <c r="I679" s="3573"/>
      <c r="J679" s="3573"/>
      <c r="K679" s="4237"/>
      <c r="L679" s="3567"/>
      <c r="M679" s="531" t="s">
        <v>1332</v>
      </c>
      <c r="N679" s="531" t="s">
        <v>2607</v>
      </c>
      <c r="O679" s="376">
        <f t="shared" ref="O679:Y679" si="63">(((3850*0.3*0.09)))*5</f>
        <v>519.75</v>
      </c>
      <c r="P679" s="376">
        <f t="shared" si="63"/>
        <v>519.75</v>
      </c>
      <c r="Q679" s="376">
        <f t="shared" si="63"/>
        <v>519.75</v>
      </c>
      <c r="R679" s="376">
        <f t="shared" si="63"/>
        <v>519.75</v>
      </c>
      <c r="S679" s="376">
        <f t="shared" si="63"/>
        <v>519.75</v>
      </c>
      <c r="T679" s="376">
        <f t="shared" si="63"/>
        <v>519.75</v>
      </c>
      <c r="U679" s="376">
        <f t="shared" si="63"/>
        <v>519.75</v>
      </c>
      <c r="V679" s="376">
        <f t="shared" si="63"/>
        <v>519.75</v>
      </c>
      <c r="W679" s="376">
        <f t="shared" si="63"/>
        <v>519.75</v>
      </c>
      <c r="X679" s="376">
        <f t="shared" si="63"/>
        <v>519.75</v>
      </c>
      <c r="Y679" s="376">
        <f t="shared" si="63"/>
        <v>519.75</v>
      </c>
      <c r="Z679" s="376">
        <f>(((3850*0.3*0.09)))*5+81</f>
        <v>600.75</v>
      </c>
      <c r="AA679" s="2081">
        <f t="shared" si="61"/>
        <v>6318</v>
      </c>
    </row>
    <row r="680" spans="2:27" ht="33.75" x14ac:dyDescent="0.25">
      <c r="B680" s="4206"/>
      <c r="C680" s="3606"/>
      <c r="D680" s="3567"/>
      <c r="E680" s="3573"/>
      <c r="F680" s="3573"/>
      <c r="G680" s="3573"/>
      <c r="H680" s="3567"/>
      <c r="I680" s="3573"/>
      <c r="J680" s="3573"/>
      <c r="K680" s="4237"/>
      <c r="L680" s="3567"/>
      <c r="M680" s="531" t="s">
        <v>2602</v>
      </c>
      <c r="N680" s="531" t="s">
        <v>2603</v>
      </c>
      <c r="O680" s="376">
        <v>0</v>
      </c>
      <c r="P680" s="376">
        <v>2000000</v>
      </c>
      <c r="Q680" s="376">
        <v>1604883</v>
      </c>
      <c r="R680" s="376">
        <v>0</v>
      </c>
      <c r="S680" s="376">
        <v>0</v>
      </c>
      <c r="T680" s="376">
        <v>0</v>
      </c>
      <c r="U680" s="376">
        <v>0</v>
      </c>
      <c r="V680" s="376">
        <v>0</v>
      </c>
      <c r="W680" s="376">
        <v>0</v>
      </c>
      <c r="X680" s="376">
        <v>0</v>
      </c>
      <c r="Y680" s="376">
        <v>0</v>
      </c>
      <c r="Z680" s="376">
        <v>0</v>
      </c>
      <c r="AA680" s="2081">
        <f t="shared" si="61"/>
        <v>3604883</v>
      </c>
    </row>
    <row r="681" spans="2:27" x14ac:dyDescent="0.25">
      <c r="B681" s="4206"/>
      <c r="C681" s="3606"/>
      <c r="D681" s="3567"/>
      <c r="E681" s="3573"/>
      <c r="F681" s="3573"/>
      <c r="G681" s="3573"/>
      <c r="H681" s="3567"/>
      <c r="I681" s="3573"/>
      <c r="J681" s="3573"/>
      <c r="K681" s="4237"/>
      <c r="L681" s="3567"/>
      <c r="M681" s="531" t="s">
        <v>1608</v>
      </c>
      <c r="N681" s="531" t="s">
        <v>556</v>
      </c>
      <c r="O681" s="376">
        <v>236874</v>
      </c>
      <c r="P681" s="376">
        <v>0</v>
      </c>
      <c r="Q681" s="376">
        <v>0</v>
      </c>
      <c r="R681" s="376">
        <v>0</v>
      </c>
      <c r="S681" s="376">
        <v>0</v>
      </c>
      <c r="T681" s="376">
        <v>0</v>
      </c>
      <c r="U681" s="376">
        <v>0</v>
      </c>
      <c r="V681" s="376">
        <v>0</v>
      </c>
      <c r="W681" s="376">
        <v>0</v>
      </c>
      <c r="X681" s="376">
        <v>0</v>
      </c>
      <c r="Y681" s="376">
        <v>0</v>
      </c>
      <c r="Z681" s="376">
        <v>0</v>
      </c>
      <c r="AA681" s="2081">
        <f t="shared" si="61"/>
        <v>236874</v>
      </c>
    </row>
    <row r="682" spans="2:27" ht="45" x14ac:dyDescent="0.25">
      <c r="B682" s="4206"/>
      <c r="C682" s="3606"/>
      <c r="D682" s="3567"/>
      <c r="E682" s="3573"/>
      <c r="F682" s="3573"/>
      <c r="G682" s="3573"/>
      <c r="H682" s="3567"/>
      <c r="I682" s="3573"/>
      <c r="J682" s="3573"/>
      <c r="K682" s="4237"/>
      <c r="L682" s="3567"/>
      <c r="M682" s="531" t="s">
        <v>2604</v>
      </c>
      <c r="N682" s="531" t="s">
        <v>2361</v>
      </c>
      <c r="O682" s="376">
        <v>300000</v>
      </c>
      <c r="P682" s="376">
        <v>0</v>
      </c>
      <c r="Q682" s="376">
        <v>0</v>
      </c>
      <c r="R682" s="376">
        <v>0</v>
      </c>
      <c r="S682" s="376">
        <v>0</v>
      </c>
      <c r="T682" s="376">
        <v>0</v>
      </c>
      <c r="U682" s="376">
        <v>0</v>
      </c>
      <c r="V682" s="376">
        <v>0</v>
      </c>
      <c r="W682" s="376">
        <v>0</v>
      </c>
      <c r="X682" s="376">
        <v>0</v>
      </c>
      <c r="Y682" s="376">
        <v>0</v>
      </c>
      <c r="Z682" s="376">
        <v>0</v>
      </c>
      <c r="AA682" s="2081">
        <f t="shared" si="61"/>
        <v>300000</v>
      </c>
    </row>
    <row r="683" spans="2:27" x14ac:dyDescent="0.25">
      <c r="B683" s="4206"/>
      <c r="C683" s="3606" t="s">
        <v>2608</v>
      </c>
      <c r="D683" s="3567"/>
      <c r="E683" s="3573"/>
      <c r="F683" s="3573"/>
      <c r="G683" s="3573"/>
      <c r="H683" s="3567" t="s">
        <v>2609</v>
      </c>
      <c r="I683" s="3573" t="s">
        <v>2420</v>
      </c>
      <c r="J683" s="3573">
        <v>1</v>
      </c>
      <c r="K683" s="4237">
        <f>AA684</f>
        <v>9230</v>
      </c>
      <c r="L683" s="3567" t="s">
        <v>2593</v>
      </c>
      <c r="M683" s="3677" t="s">
        <v>51</v>
      </c>
      <c r="N683" s="3677"/>
      <c r="O683" s="506">
        <v>0</v>
      </c>
      <c r="P683" s="376">
        <v>0</v>
      </c>
      <c r="Q683" s="376">
        <v>1</v>
      </c>
      <c r="R683" s="376">
        <v>0</v>
      </c>
      <c r="S683" s="376">
        <v>0</v>
      </c>
      <c r="T683" s="376">
        <v>0</v>
      </c>
      <c r="U683" s="376">
        <v>0</v>
      </c>
      <c r="V683" s="376">
        <v>0</v>
      </c>
      <c r="W683" s="376">
        <v>0</v>
      </c>
      <c r="X683" s="376">
        <v>0</v>
      </c>
      <c r="Y683" s="376">
        <v>0</v>
      </c>
      <c r="Z683" s="376">
        <v>0</v>
      </c>
      <c r="AA683" s="2081">
        <f t="shared" si="61"/>
        <v>1</v>
      </c>
    </row>
    <row r="684" spans="2:27" x14ac:dyDescent="0.25">
      <c r="B684" s="4206"/>
      <c r="C684" s="3606"/>
      <c r="D684" s="3567"/>
      <c r="E684" s="3573"/>
      <c r="F684" s="3573"/>
      <c r="G684" s="3573"/>
      <c r="H684" s="3567"/>
      <c r="I684" s="3573"/>
      <c r="J684" s="3573"/>
      <c r="K684" s="4237"/>
      <c r="L684" s="3567"/>
      <c r="M684" s="3677" t="s">
        <v>111</v>
      </c>
      <c r="N684" s="3677"/>
      <c r="O684" s="510">
        <f t="shared" ref="O684:Z684" si="64">SUM(O685:O689)</f>
        <v>0</v>
      </c>
      <c r="P684" s="510">
        <f t="shared" si="64"/>
        <v>0</v>
      </c>
      <c r="Q684" s="510">
        <f t="shared" si="64"/>
        <v>9030</v>
      </c>
      <c r="R684" s="510">
        <f t="shared" si="64"/>
        <v>200</v>
      </c>
      <c r="S684" s="510">
        <f t="shared" si="64"/>
        <v>0</v>
      </c>
      <c r="T684" s="510">
        <f t="shared" si="64"/>
        <v>0</v>
      </c>
      <c r="U684" s="510">
        <f t="shared" si="64"/>
        <v>0</v>
      </c>
      <c r="V684" s="510">
        <f t="shared" si="64"/>
        <v>0</v>
      </c>
      <c r="W684" s="510">
        <f t="shared" si="64"/>
        <v>0</v>
      </c>
      <c r="X684" s="510">
        <f t="shared" si="64"/>
        <v>0</v>
      </c>
      <c r="Y684" s="510">
        <f t="shared" si="64"/>
        <v>0</v>
      </c>
      <c r="Z684" s="510">
        <f t="shared" si="64"/>
        <v>0</v>
      </c>
      <c r="AA684" s="2081">
        <f t="shared" si="61"/>
        <v>9230</v>
      </c>
    </row>
    <row r="685" spans="2:27" ht="22.5" x14ac:dyDescent="0.25">
      <c r="B685" s="4206"/>
      <c r="C685" s="3606"/>
      <c r="D685" s="3567"/>
      <c r="E685" s="3573"/>
      <c r="F685" s="3573"/>
      <c r="G685" s="3573"/>
      <c r="H685" s="3567"/>
      <c r="I685" s="3573"/>
      <c r="J685" s="3573"/>
      <c r="K685" s="4237"/>
      <c r="L685" s="3567"/>
      <c r="M685" s="531" t="s">
        <v>1245</v>
      </c>
      <c r="N685" s="531" t="s">
        <v>183</v>
      </c>
      <c r="O685" s="376">
        <v>0</v>
      </c>
      <c r="P685" s="376">
        <v>0</v>
      </c>
      <c r="Q685" s="376">
        <v>1830</v>
      </c>
      <c r="R685" s="376">
        <v>0</v>
      </c>
      <c r="S685" s="376">
        <v>0</v>
      </c>
      <c r="T685" s="376">
        <v>0</v>
      </c>
      <c r="U685" s="376">
        <v>0</v>
      </c>
      <c r="V685" s="376">
        <v>0</v>
      </c>
      <c r="W685" s="376">
        <v>0</v>
      </c>
      <c r="X685" s="376">
        <v>0</v>
      </c>
      <c r="Y685" s="376">
        <v>0</v>
      </c>
      <c r="Z685" s="376">
        <v>0</v>
      </c>
      <c r="AA685" s="2081">
        <f t="shared" si="61"/>
        <v>1830</v>
      </c>
    </row>
    <row r="686" spans="2:27" ht="45" x14ac:dyDescent="0.25">
      <c r="B686" s="4206"/>
      <c r="C686" s="3606"/>
      <c r="D686" s="3567"/>
      <c r="E686" s="3573"/>
      <c r="F686" s="3573"/>
      <c r="G686" s="3573"/>
      <c r="H686" s="3567"/>
      <c r="I686" s="3573"/>
      <c r="J686" s="3573"/>
      <c r="K686" s="4237"/>
      <c r="L686" s="3567"/>
      <c r="M686" s="531" t="s">
        <v>1235</v>
      </c>
      <c r="N686" s="531" t="s">
        <v>2598</v>
      </c>
      <c r="O686" s="376">
        <v>0</v>
      </c>
      <c r="P686" s="376">
        <v>0</v>
      </c>
      <c r="Q686" s="376">
        <v>1850</v>
      </c>
      <c r="R686" s="376">
        <v>0</v>
      </c>
      <c r="S686" s="376">
        <v>0</v>
      </c>
      <c r="T686" s="376">
        <v>0</v>
      </c>
      <c r="U686" s="376">
        <v>0</v>
      </c>
      <c r="V686" s="376">
        <v>0</v>
      </c>
      <c r="W686" s="376">
        <v>0</v>
      </c>
      <c r="X686" s="376">
        <v>0</v>
      </c>
      <c r="Y686" s="376">
        <v>0</v>
      </c>
      <c r="Z686" s="376">
        <v>0</v>
      </c>
      <c r="AA686" s="2081">
        <f t="shared" si="61"/>
        <v>1850</v>
      </c>
    </row>
    <row r="687" spans="2:27" ht="33.75" x14ac:dyDescent="0.25">
      <c r="B687" s="4206"/>
      <c r="C687" s="3606"/>
      <c r="D687" s="3567"/>
      <c r="E687" s="3573"/>
      <c r="F687" s="3573"/>
      <c r="G687" s="3573"/>
      <c r="H687" s="3567"/>
      <c r="I687" s="3573"/>
      <c r="J687" s="3573"/>
      <c r="K687" s="4237"/>
      <c r="L687" s="3567"/>
      <c r="M687" s="531" t="s">
        <v>1237</v>
      </c>
      <c r="N687" s="531" t="s">
        <v>1196</v>
      </c>
      <c r="O687" s="376">
        <v>0</v>
      </c>
      <c r="P687" s="376">
        <v>0</v>
      </c>
      <c r="Q687" s="376">
        <v>1050</v>
      </c>
      <c r="R687" s="376">
        <v>0</v>
      </c>
      <c r="S687" s="376">
        <v>0</v>
      </c>
      <c r="T687" s="376">
        <v>0</v>
      </c>
      <c r="U687" s="376">
        <v>0</v>
      </c>
      <c r="V687" s="376">
        <v>0</v>
      </c>
      <c r="W687" s="376">
        <v>0</v>
      </c>
      <c r="X687" s="376">
        <v>0</v>
      </c>
      <c r="Y687" s="376">
        <v>0</v>
      </c>
      <c r="Z687" s="376">
        <v>0</v>
      </c>
      <c r="AA687" s="2081">
        <f t="shared" si="61"/>
        <v>1050</v>
      </c>
    </row>
    <row r="688" spans="2:27" ht="45" x14ac:dyDescent="0.25">
      <c r="B688" s="4206"/>
      <c r="C688" s="3606"/>
      <c r="D688" s="3567"/>
      <c r="E688" s="3573"/>
      <c r="F688" s="3573"/>
      <c r="G688" s="3573"/>
      <c r="H688" s="3567"/>
      <c r="I688" s="3573"/>
      <c r="J688" s="3573"/>
      <c r="K688" s="4237"/>
      <c r="L688" s="3567"/>
      <c r="M688" s="531" t="s">
        <v>1239</v>
      </c>
      <c r="N688" s="531" t="s">
        <v>2972</v>
      </c>
      <c r="O688" s="376">
        <v>0</v>
      </c>
      <c r="P688" s="376">
        <v>0</v>
      </c>
      <c r="Q688" s="376">
        <v>3500</v>
      </c>
      <c r="R688" s="376">
        <v>0</v>
      </c>
      <c r="S688" s="376">
        <v>0</v>
      </c>
      <c r="T688" s="376">
        <v>0</v>
      </c>
      <c r="U688" s="376">
        <v>0</v>
      </c>
      <c r="V688" s="376">
        <v>0</v>
      </c>
      <c r="W688" s="376">
        <v>0</v>
      </c>
      <c r="X688" s="376">
        <v>0</v>
      </c>
      <c r="Y688" s="376">
        <v>0</v>
      </c>
      <c r="Z688" s="376">
        <v>0</v>
      </c>
      <c r="AA688" s="2081">
        <f t="shared" si="61"/>
        <v>3500</v>
      </c>
    </row>
    <row r="689" spans="2:27" ht="56.25" x14ac:dyDescent="0.25">
      <c r="B689" s="4206"/>
      <c r="C689" s="3606"/>
      <c r="D689" s="3567"/>
      <c r="E689" s="3573"/>
      <c r="F689" s="3573"/>
      <c r="G689" s="3573"/>
      <c r="H689" s="3567"/>
      <c r="I689" s="3573"/>
      <c r="J689" s="3573"/>
      <c r="K689" s="4237"/>
      <c r="L689" s="3567"/>
      <c r="M689" s="531" t="s">
        <v>1241</v>
      </c>
      <c r="N689" s="531" t="s">
        <v>2600</v>
      </c>
      <c r="O689" s="376">
        <v>0</v>
      </c>
      <c r="P689" s="376">
        <v>0</v>
      </c>
      <c r="Q689" s="376">
        <v>800</v>
      </c>
      <c r="R689" s="376">
        <v>200</v>
      </c>
      <c r="S689" s="376">
        <v>0</v>
      </c>
      <c r="T689" s="376">
        <v>0</v>
      </c>
      <c r="U689" s="376">
        <v>0</v>
      </c>
      <c r="V689" s="376">
        <v>0</v>
      </c>
      <c r="W689" s="376">
        <v>0</v>
      </c>
      <c r="X689" s="376">
        <v>0</v>
      </c>
      <c r="Y689" s="376">
        <v>0</v>
      </c>
      <c r="Z689" s="376"/>
      <c r="AA689" s="2081">
        <f t="shared" si="61"/>
        <v>1000</v>
      </c>
    </row>
    <row r="690" spans="2:27" x14ac:dyDescent="0.25">
      <c r="B690" s="4206"/>
      <c r="C690" s="3606" t="s">
        <v>2610</v>
      </c>
      <c r="D690" s="3567"/>
      <c r="E690" s="3573"/>
      <c r="F690" s="3573"/>
      <c r="G690" s="3573"/>
      <c r="H690" s="3567" t="s">
        <v>2611</v>
      </c>
      <c r="I690" s="3573" t="s">
        <v>2420</v>
      </c>
      <c r="J690" s="3573">
        <v>1</v>
      </c>
      <c r="K690" s="4237">
        <f>AA691</f>
        <v>5750</v>
      </c>
      <c r="L690" s="3567" t="s">
        <v>2593</v>
      </c>
      <c r="M690" s="3677" t="s">
        <v>51</v>
      </c>
      <c r="N690" s="3677"/>
      <c r="O690" s="506">
        <v>0</v>
      </c>
      <c r="P690" s="376">
        <v>0</v>
      </c>
      <c r="Q690" s="376">
        <v>0</v>
      </c>
      <c r="R690" s="376">
        <v>0</v>
      </c>
      <c r="S690" s="376">
        <v>0</v>
      </c>
      <c r="T690" s="376">
        <v>0</v>
      </c>
      <c r="U690" s="376">
        <v>1</v>
      </c>
      <c r="V690" s="376">
        <v>0</v>
      </c>
      <c r="W690" s="376">
        <v>0</v>
      </c>
      <c r="X690" s="376">
        <v>0</v>
      </c>
      <c r="Y690" s="376">
        <v>0</v>
      </c>
      <c r="Z690" s="376">
        <v>0</v>
      </c>
      <c r="AA690" s="2081">
        <f t="shared" si="61"/>
        <v>1</v>
      </c>
    </row>
    <row r="691" spans="2:27" x14ac:dyDescent="0.25">
      <c r="B691" s="4206"/>
      <c r="C691" s="3606"/>
      <c r="D691" s="3567"/>
      <c r="E691" s="3573"/>
      <c r="F691" s="3573"/>
      <c r="G691" s="3573"/>
      <c r="H691" s="3567"/>
      <c r="I691" s="3573"/>
      <c r="J691" s="3573"/>
      <c r="K691" s="4237"/>
      <c r="L691" s="3567"/>
      <c r="M691" s="3677" t="s">
        <v>111</v>
      </c>
      <c r="N691" s="3677"/>
      <c r="O691" s="510">
        <f t="shared" ref="O691:Z691" si="65">SUM(O692:O694)</f>
        <v>0</v>
      </c>
      <c r="P691" s="510">
        <f t="shared" si="65"/>
        <v>0</v>
      </c>
      <c r="Q691" s="510">
        <f t="shared" si="65"/>
        <v>0</v>
      </c>
      <c r="R691" s="510">
        <f t="shared" si="65"/>
        <v>0</v>
      </c>
      <c r="S691" s="510">
        <f t="shared" si="65"/>
        <v>0</v>
      </c>
      <c r="T691" s="510">
        <f t="shared" si="65"/>
        <v>0</v>
      </c>
      <c r="U691" s="510">
        <f t="shared" si="65"/>
        <v>5350</v>
      </c>
      <c r="V691" s="510">
        <f t="shared" si="65"/>
        <v>400</v>
      </c>
      <c r="W691" s="510">
        <f t="shared" si="65"/>
        <v>0</v>
      </c>
      <c r="X691" s="510">
        <f t="shared" si="65"/>
        <v>0</v>
      </c>
      <c r="Y691" s="510">
        <f t="shared" si="65"/>
        <v>0</v>
      </c>
      <c r="Z691" s="510">
        <f t="shared" si="65"/>
        <v>0</v>
      </c>
      <c r="AA691" s="2081">
        <f t="shared" si="61"/>
        <v>5750</v>
      </c>
    </row>
    <row r="692" spans="2:27" ht="33.75" x14ac:dyDescent="0.25">
      <c r="B692" s="4206"/>
      <c r="C692" s="3606"/>
      <c r="D692" s="3567"/>
      <c r="E692" s="3573"/>
      <c r="F692" s="3573"/>
      <c r="G692" s="3573"/>
      <c r="H692" s="3567"/>
      <c r="I692" s="3573"/>
      <c r="J692" s="3573"/>
      <c r="K692" s="4237"/>
      <c r="L692" s="3567"/>
      <c r="M692" s="1671" t="s">
        <v>1237</v>
      </c>
      <c r="N692" s="704" t="s">
        <v>1196</v>
      </c>
      <c r="O692" s="376">
        <v>0</v>
      </c>
      <c r="P692" s="376">
        <v>0</v>
      </c>
      <c r="Q692" s="376">
        <v>0</v>
      </c>
      <c r="R692" s="376">
        <v>0</v>
      </c>
      <c r="S692" s="376">
        <v>0</v>
      </c>
      <c r="T692" s="376">
        <v>0</v>
      </c>
      <c r="U692" s="376">
        <v>1050</v>
      </c>
      <c r="V692" s="376">
        <v>0</v>
      </c>
      <c r="W692" s="376">
        <v>0</v>
      </c>
      <c r="X692" s="376">
        <v>0</v>
      </c>
      <c r="Y692" s="376">
        <v>0</v>
      </c>
      <c r="Z692" s="376">
        <v>0</v>
      </c>
      <c r="AA692" s="2081">
        <f t="shared" si="61"/>
        <v>1050</v>
      </c>
    </row>
    <row r="693" spans="2:27" ht="45" x14ac:dyDescent="0.25">
      <c r="B693" s="4206"/>
      <c r="C693" s="3606"/>
      <c r="D693" s="3567"/>
      <c r="E693" s="3573"/>
      <c r="F693" s="3573"/>
      <c r="G693" s="3573"/>
      <c r="H693" s="3567"/>
      <c r="I693" s="3573"/>
      <c r="J693" s="3573"/>
      <c r="K693" s="4237"/>
      <c r="L693" s="3567"/>
      <c r="M693" s="1671" t="s">
        <v>1239</v>
      </c>
      <c r="N693" s="704" t="s">
        <v>2599</v>
      </c>
      <c r="O693" s="376">
        <v>0</v>
      </c>
      <c r="P693" s="376">
        <v>0</v>
      </c>
      <c r="Q693" s="376">
        <v>0</v>
      </c>
      <c r="R693" s="376">
        <v>0</v>
      </c>
      <c r="S693" s="376">
        <v>0</v>
      </c>
      <c r="T693" s="376">
        <v>0</v>
      </c>
      <c r="U693" s="376">
        <v>3500</v>
      </c>
      <c r="V693" s="376">
        <v>0</v>
      </c>
      <c r="W693" s="376">
        <v>0</v>
      </c>
      <c r="X693" s="376">
        <v>0</v>
      </c>
      <c r="Y693" s="376">
        <v>0</v>
      </c>
      <c r="Z693" s="376">
        <v>0</v>
      </c>
      <c r="AA693" s="2081">
        <f t="shared" si="61"/>
        <v>3500</v>
      </c>
    </row>
    <row r="694" spans="2:27" ht="56.25" x14ac:dyDescent="0.25">
      <c r="B694" s="4206"/>
      <c r="C694" s="3606"/>
      <c r="D694" s="3567"/>
      <c r="E694" s="3573"/>
      <c r="F694" s="3573"/>
      <c r="G694" s="3573"/>
      <c r="H694" s="3567"/>
      <c r="I694" s="3573"/>
      <c r="J694" s="3573"/>
      <c r="K694" s="4237"/>
      <c r="L694" s="3567"/>
      <c r="M694" s="1671" t="s">
        <v>1241</v>
      </c>
      <c r="N694" s="704" t="s">
        <v>2600</v>
      </c>
      <c r="O694" s="376">
        <v>0</v>
      </c>
      <c r="P694" s="376">
        <v>0</v>
      </c>
      <c r="Q694" s="376">
        <v>0</v>
      </c>
      <c r="R694" s="376">
        <v>0</v>
      </c>
      <c r="S694" s="376">
        <v>0</v>
      </c>
      <c r="T694" s="376">
        <v>0</v>
      </c>
      <c r="U694" s="376">
        <v>800</v>
      </c>
      <c r="V694" s="376">
        <v>400</v>
      </c>
      <c r="W694" s="376">
        <v>0</v>
      </c>
      <c r="X694" s="376">
        <v>0</v>
      </c>
      <c r="Y694" s="376">
        <v>0</v>
      </c>
      <c r="Z694" s="376">
        <v>0</v>
      </c>
      <c r="AA694" s="2081">
        <f t="shared" si="61"/>
        <v>1200</v>
      </c>
    </row>
    <row r="695" spans="2:27" x14ac:dyDescent="0.25">
      <c r="B695" s="4206"/>
      <c r="C695" s="3606" t="s">
        <v>2612</v>
      </c>
      <c r="D695" s="3567"/>
      <c r="E695" s="3573"/>
      <c r="F695" s="3573"/>
      <c r="G695" s="3573"/>
      <c r="H695" s="3567" t="s">
        <v>2613</v>
      </c>
      <c r="I695" s="3573" t="s">
        <v>2420</v>
      </c>
      <c r="J695" s="3573">
        <v>2</v>
      </c>
      <c r="K695" s="4237">
        <f>AA696</f>
        <v>0</v>
      </c>
      <c r="L695" s="3567" t="s">
        <v>2593</v>
      </c>
      <c r="M695" s="3677" t="s">
        <v>51</v>
      </c>
      <c r="N695" s="3677"/>
      <c r="O695" s="506">
        <v>1</v>
      </c>
      <c r="P695" s="376">
        <v>0</v>
      </c>
      <c r="Q695" s="376">
        <v>0</v>
      </c>
      <c r="R695" s="376">
        <v>0</v>
      </c>
      <c r="S695" s="376">
        <v>0</v>
      </c>
      <c r="T695" s="376">
        <v>0</v>
      </c>
      <c r="U695" s="376">
        <v>1</v>
      </c>
      <c r="V695" s="376">
        <v>0</v>
      </c>
      <c r="W695" s="376">
        <v>0</v>
      </c>
      <c r="X695" s="376">
        <v>0</v>
      </c>
      <c r="Y695" s="376">
        <v>0</v>
      </c>
      <c r="Z695" s="376">
        <v>0</v>
      </c>
      <c r="AA695" s="2081">
        <f t="shared" si="61"/>
        <v>2</v>
      </c>
    </row>
    <row r="696" spans="2:27" ht="20.25" customHeight="1" x14ac:dyDescent="0.25">
      <c r="B696" s="4206"/>
      <c r="C696" s="3606"/>
      <c r="D696" s="3567"/>
      <c r="E696" s="3573"/>
      <c r="F696" s="3573"/>
      <c r="G696" s="3573"/>
      <c r="H696" s="3567"/>
      <c r="I696" s="3573"/>
      <c r="J696" s="3573"/>
      <c r="K696" s="4237"/>
      <c r="L696" s="3567"/>
      <c r="M696" s="3677" t="s">
        <v>111</v>
      </c>
      <c r="N696" s="3677"/>
      <c r="O696" s="510">
        <v>0</v>
      </c>
      <c r="P696" s="510">
        <v>0</v>
      </c>
      <c r="Q696" s="510">
        <v>0</v>
      </c>
      <c r="R696" s="510">
        <v>0</v>
      </c>
      <c r="S696" s="510">
        <v>0</v>
      </c>
      <c r="T696" s="510">
        <v>0</v>
      </c>
      <c r="U696" s="510">
        <v>0</v>
      </c>
      <c r="V696" s="510">
        <v>0</v>
      </c>
      <c r="W696" s="510">
        <v>0</v>
      </c>
      <c r="X696" s="510">
        <v>0</v>
      </c>
      <c r="Y696" s="510">
        <v>0</v>
      </c>
      <c r="Z696" s="510">
        <v>0</v>
      </c>
      <c r="AA696" s="2081">
        <v>0</v>
      </c>
    </row>
    <row r="697" spans="2:27" ht="20.25" customHeight="1" x14ac:dyDescent="0.25">
      <c r="B697" s="4208"/>
      <c r="C697" s="4730" t="s">
        <v>3702</v>
      </c>
      <c r="D697" s="3567"/>
      <c r="E697" s="3573"/>
      <c r="F697" s="3573"/>
      <c r="G697" s="3573"/>
      <c r="H697" s="2471"/>
      <c r="I697" s="3573" t="s">
        <v>3632</v>
      </c>
      <c r="J697" s="3573">
        <v>2</v>
      </c>
      <c r="K697" s="4237">
        <v>2429846</v>
      </c>
      <c r="L697" s="3567" t="s">
        <v>2593</v>
      </c>
      <c r="M697" s="3677" t="s">
        <v>51</v>
      </c>
      <c r="N697" s="3677"/>
      <c r="O697" s="510">
        <v>2</v>
      </c>
      <c r="P697" s="510">
        <v>0</v>
      </c>
      <c r="Q697" s="510">
        <v>0</v>
      </c>
      <c r="R697" s="510">
        <v>0</v>
      </c>
      <c r="S697" s="510">
        <v>0</v>
      </c>
      <c r="T697" s="510">
        <v>0</v>
      </c>
      <c r="U697" s="510">
        <v>0</v>
      </c>
      <c r="V697" s="510">
        <v>0</v>
      </c>
      <c r="W697" s="510">
        <v>0</v>
      </c>
      <c r="X697" s="510">
        <v>0</v>
      </c>
      <c r="Y697" s="510">
        <v>0</v>
      </c>
      <c r="Z697" s="510">
        <v>0</v>
      </c>
      <c r="AA697" s="2081">
        <f t="shared" ref="AA697:AA698" si="66">SUM(O697:Z697)</f>
        <v>2</v>
      </c>
    </row>
    <row r="698" spans="2:27" ht="15" customHeight="1" x14ac:dyDescent="0.25">
      <c r="B698" s="4725"/>
      <c r="C698" s="4731"/>
      <c r="D698" s="3567"/>
      <c r="E698" s="3573"/>
      <c r="F698" s="3573"/>
      <c r="G698" s="3573"/>
      <c r="H698" s="2892"/>
      <c r="I698" s="3573"/>
      <c r="J698" s="3573"/>
      <c r="K698" s="4237"/>
      <c r="L698" s="3567"/>
      <c r="M698" s="3677" t="s">
        <v>111</v>
      </c>
      <c r="N698" s="3677"/>
      <c r="O698" s="510">
        <v>2429846</v>
      </c>
      <c r="P698" s="510">
        <v>0</v>
      </c>
      <c r="Q698" s="510">
        <v>0</v>
      </c>
      <c r="R698" s="510">
        <v>0</v>
      </c>
      <c r="S698" s="510">
        <v>0</v>
      </c>
      <c r="T698" s="510">
        <v>0</v>
      </c>
      <c r="U698" s="510">
        <v>0</v>
      </c>
      <c r="V698" s="510">
        <v>0</v>
      </c>
      <c r="W698" s="510">
        <v>0</v>
      </c>
      <c r="X698" s="510">
        <v>0</v>
      </c>
      <c r="Y698" s="510">
        <v>0</v>
      </c>
      <c r="Z698" s="510">
        <v>0</v>
      </c>
      <c r="AA698" s="2081">
        <f t="shared" si="66"/>
        <v>2429846</v>
      </c>
    </row>
    <row r="699" spans="2:27" ht="25.5" customHeight="1" x14ac:dyDescent="0.25">
      <c r="B699" s="1546" t="s">
        <v>8</v>
      </c>
      <c r="C699" s="3227" t="s">
        <v>2939</v>
      </c>
      <c r="D699" s="3228"/>
      <c r="E699" s="3228"/>
      <c r="F699" s="3228"/>
      <c r="G699" s="3228"/>
      <c r="H699" s="3228"/>
      <c r="I699" s="701"/>
      <c r="J699" s="701"/>
      <c r="K699" s="701"/>
      <c r="L699" s="701"/>
      <c r="M699" s="701"/>
      <c r="N699" s="701"/>
      <c r="O699" s="701"/>
      <c r="P699" s="701"/>
      <c r="Q699" s="701"/>
      <c r="R699" s="701"/>
      <c r="S699" s="701"/>
      <c r="T699" s="701"/>
      <c r="U699" s="701"/>
      <c r="V699" s="701"/>
      <c r="W699" s="701"/>
      <c r="X699" s="701"/>
      <c r="Y699" s="701"/>
      <c r="Z699" s="702"/>
      <c r="AA699" s="703"/>
    </row>
    <row r="700" spans="2:27" x14ac:dyDescent="0.25">
      <c r="B700" s="1285" t="s">
        <v>272</v>
      </c>
      <c r="C700" s="3139" t="s">
        <v>84</v>
      </c>
      <c r="D700" s="3139"/>
      <c r="E700" s="3139"/>
      <c r="F700" s="3139"/>
      <c r="G700" s="3139"/>
      <c r="H700" s="3139"/>
      <c r="I700" s="3139"/>
      <c r="J700" s="3139"/>
      <c r="K700" s="3139"/>
      <c r="L700" s="3139"/>
      <c r="M700" s="3139"/>
      <c r="N700" s="3139"/>
      <c r="O700" s="3139"/>
      <c r="P700" s="3139"/>
      <c r="Q700" s="3139"/>
      <c r="R700" s="3139"/>
      <c r="S700" s="3139"/>
      <c r="T700" s="3139"/>
      <c r="U700" s="3139"/>
      <c r="V700" s="3139"/>
      <c r="W700" s="3139"/>
      <c r="X700" s="3139"/>
      <c r="Y700" s="3045"/>
      <c r="Z700" s="80"/>
      <c r="AA700" s="81"/>
    </row>
    <row r="701" spans="2:27" x14ac:dyDescent="0.25">
      <c r="B701" s="2913" t="s">
        <v>13</v>
      </c>
      <c r="C701" s="3140">
        <v>9001</v>
      </c>
      <c r="D701" s="2922" t="s">
        <v>230</v>
      </c>
      <c r="E701" s="2974"/>
      <c r="F701" s="28"/>
      <c r="G701" s="28"/>
      <c r="H701" s="28"/>
      <c r="I701" s="28"/>
      <c r="J701" s="28"/>
      <c r="K701" s="28"/>
      <c r="L701" s="28"/>
      <c r="M701" s="28"/>
      <c r="N701" s="28"/>
      <c r="O701" s="28"/>
      <c r="P701" s="28"/>
      <c r="Q701" s="28"/>
      <c r="R701" s="28"/>
      <c r="S701" s="28"/>
      <c r="T701" s="82"/>
      <c r="U701" s="344"/>
      <c r="V701" s="2974" t="s">
        <v>15</v>
      </c>
      <c r="W701" s="2975"/>
      <c r="X701" s="2975"/>
      <c r="Y701" s="2976"/>
      <c r="Z701" s="2974" t="s">
        <v>16</v>
      </c>
      <c r="AA701" s="2976"/>
    </row>
    <row r="702" spans="2:27" x14ac:dyDescent="0.25">
      <c r="B702" s="2913"/>
      <c r="C702" s="3018"/>
      <c r="D702" s="2922"/>
      <c r="E702" s="2974"/>
      <c r="F702" s="84"/>
      <c r="G702" s="84"/>
      <c r="H702" s="84"/>
      <c r="I702" s="84"/>
      <c r="J702" s="84"/>
      <c r="K702" s="84"/>
      <c r="L702" s="84"/>
      <c r="M702" s="84"/>
      <c r="N702" s="84"/>
      <c r="O702" s="84"/>
      <c r="P702" s="84"/>
      <c r="Q702" s="84"/>
      <c r="R702" s="84"/>
      <c r="S702" s="84"/>
      <c r="T702" s="83"/>
      <c r="U702" s="344"/>
      <c r="V702" s="2977" t="s">
        <v>19</v>
      </c>
      <c r="W702" s="2978"/>
      <c r="X702" s="2978"/>
      <c r="Y702" s="2979"/>
      <c r="Z702" s="1289"/>
      <c r="AA702" s="1289"/>
    </row>
    <row r="703" spans="2:27" x14ac:dyDescent="0.25">
      <c r="B703" s="2913" t="s">
        <v>18</v>
      </c>
      <c r="C703" s="3140">
        <v>3999999</v>
      </c>
      <c r="D703" s="2922" t="s">
        <v>163</v>
      </c>
      <c r="E703" s="2974"/>
      <c r="F703" s="28"/>
      <c r="G703" s="28"/>
      <c r="H703" s="28"/>
      <c r="I703" s="28"/>
      <c r="J703" s="28"/>
      <c r="K703" s="28"/>
      <c r="L703" s="28"/>
      <c r="M703" s="28"/>
      <c r="N703" s="28"/>
      <c r="O703" s="28"/>
      <c r="P703" s="28"/>
      <c r="Q703" s="28"/>
      <c r="R703" s="28"/>
      <c r="S703" s="28"/>
      <c r="T703" s="28"/>
      <c r="U703" s="29"/>
      <c r="V703" s="1289" t="s">
        <v>15</v>
      </c>
      <c r="W703" s="2974"/>
      <c r="X703" s="2975"/>
      <c r="Y703" s="2976"/>
      <c r="Z703" s="2974" t="s">
        <v>16</v>
      </c>
      <c r="AA703" s="2976"/>
    </row>
    <row r="704" spans="2:27" x14ac:dyDescent="0.25">
      <c r="B704" s="2913"/>
      <c r="C704" s="3141"/>
      <c r="D704" s="2922"/>
      <c r="E704" s="2974"/>
      <c r="F704" s="31"/>
      <c r="G704" s="31"/>
      <c r="H704" s="31"/>
      <c r="I704" s="31"/>
      <c r="J704" s="31"/>
      <c r="K704" s="31"/>
      <c r="L704" s="31"/>
      <c r="M704" s="31"/>
      <c r="N704" s="31"/>
      <c r="O704" s="31"/>
      <c r="P704" s="31"/>
      <c r="Q704" s="31"/>
      <c r="R704" s="31"/>
      <c r="S704" s="31"/>
      <c r="T704" s="31"/>
      <c r="U704" s="22"/>
      <c r="V704" s="2977" t="s">
        <v>19</v>
      </c>
      <c r="W704" s="2978"/>
      <c r="X704" s="2978"/>
      <c r="Y704" s="2979"/>
      <c r="Z704" s="1291"/>
      <c r="AA704" s="1292"/>
    </row>
    <row r="705" spans="2:27" ht="15" customHeight="1" x14ac:dyDescent="0.25">
      <c r="B705" s="2320" t="s">
        <v>20</v>
      </c>
      <c r="C705" s="2324" t="s">
        <v>21</v>
      </c>
      <c r="D705" s="2324" t="s">
        <v>22</v>
      </c>
      <c r="E705" s="2324" t="s">
        <v>23</v>
      </c>
      <c r="F705" s="2324" t="s">
        <v>24</v>
      </c>
      <c r="G705" s="2324" t="s">
        <v>25</v>
      </c>
      <c r="H705" s="2324" t="s">
        <v>26</v>
      </c>
      <c r="I705" s="2324" t="s">
        <v>27</v>
      </c>
      <c r="J705" s="2322" t="s">
        <v>28</v>
      </c>
      <c r="K705" s="2323"/>
      <c r="L705" s="4330" t="s">
        <v>29</v>
      </c>
      <c r="M705" s="2324" t="s">
        <v>529</v>
      </c>
      <c r="N705" s="4330" t="s">
        <v>530</v>
      </c>
      <c r="O705" s="2343" t="s">
        <v>31</v>
      </c>
      <c r="P705" s="2344"/>
      <c r="Q705" s="2344"/>
      <c r="R705" s="2344"/>
      <c r="S705" s="2344"/>
      <c r="T705" s="2344"/>
      <c r="U705" s="2344"/>
      <c r="V705" s="2344"/>
      <c r="W705" s="2344"/>
      <c r="X705" s="2344"/>
      <c r="Y705" s="2344"/>
      <c r="Z705" s="2345"/>
      <c r="AA705" s="2346" t="s">
        <v>32</v>
      </c>
    </row>
    <row r="706" spans="2:27" ht="24" customHeight="1" x14ac:dyDescent="0.25">
      <c r="B706" s="2321"/>
      <c r="C706" s="2324"/>
      <c r="D706" s="2324"/>
      <c r="E706" s="2324"/>
      <c r="F706" s="2324"/>
      <c r="G706" s="2324"/>
      <c r="H706" s="2324"/>
      <c r="I706" s="2324"/>
      <c r="J706" s="1917" t="s">
        <v>33</v>
      </c>
      <c r="K706" s="1917" t="s">
        <v>34</v>
      </c>
      <c r="L706" s="4331"/>
      <c r="M706" s="2324"/>
      <c r="N706" s="4331"/>
      <c r="O706" s="1918" t="s">
        <v>35</v>
      </c>
      <c r="P706" s="1918" t="s">
        <v>36</v>
      </c>
      <c r="Q706" s="1918" t="s">
        <v>37</v>
      </c>
      <c r="R706" s="1918" t="s">
        <v>38</v>
      </c>
      <c r="S706" s="1918" t="s">
        <v>39</v>
      </c>
      <c r="T706" s="1918" t="s">
        <v>40</v>
      </c>
      <c r="U706" s="1918" t="s">
        <v>41</v>
      </c>
      <c r="V706" s="1918" t="s">
        <v>42</v>
      </c>
      <c r="W706" s="1918" t="s">
        <v>43</v>
      </c>
      <c r="X706" s="1918" t="s">
        <v>44</v>
      </c>
      <c r="Y706" s="1918" t="s">
        <v>45</v>
      </c>
      <c r="Z706" s="1918" t="s">
        <v>46</v>
      </c>
      <c r="AA706" s="2346"/>
    </row>
    <row r="707" spans="2:27" ht="15" customHeight="1" x14ac:dyDescent="0.25">
      <c r="B707" s="4698">
        <v>5000001</v>
      </c>
      <c r="C707" s="4440" t="s">
        <v>232</v>
      </c>
      <c r="D707" s="4440" t="s">
        <v>2544</v>
      </c>
      <c r="E707" s="4440">
        <v>10</v>
      </c>
      <c r="F707" s="4440" t="s">
        <v>1967</v>
      </c>
      <c r="G707" s="4440" t="s">
        <v>1968</v>
      </c>
      <c r="H707" s="4440"/>
      <c r="I707" s="4440" t="s">
        <v>235</v>
      </c>
      <c r="J707" s="4440"/>
      <c r="K707" s="4440">
        <v>177551</v>
      </c>
      <c r="L707" s="2082"/>
      <c r="M707" s="4144" t="s">
        <v>51</v>
      </c>
      <c r="N707" s="4145"/>
      <c r="O707" s="1626"/>
      <c r="P707" s="1626"/>
      <c r="Q707" s="1626"/>
      <c r="R707" s="1626"/>
      <c r="S707" s="1626"/>
      <c r="T707" s="1626"/>
      <c r="U707" s="1626"/>
      <c r="V707" s="1626"/>
      <c r="W707" s="1626"/>
      <c r="X707" s="1626"/>
      <c r="Y707" s="1626"/>
      <c r="Z707" s="1626"/>
      <c r="AA707" s="1626"/>
    </row>
    <row r="708" spans="2:27" x14ac:dyDescent="0.25">
      <c r="B708" s="4699"/>
      <c r="C708" s="4441"/>
      <c r="D708" s="4441"/>
      <c r="E708" s="4441"/>
      <c r="F708" s="4441"/>
      <c r="G708" s="4441"/>
      <c r="H708" s="4441"/>
      <c r="I708" s="4441"/>
      <c r="J708" s="4441"/>
      <c r="K708" s="4441"/>
      <c r="L708" s="2083"/>
      <c r="M708" s="4144" t="s">
        <v>111</v>
      </c>
      <c r="N708" s="4145"/>
      <c r="O708" s="2084">
        <f t="shared" ref="O708:Z708" si="67">SUM(O709:O717)</f>
        <v>10752.6</v>
      </c>
      <c r="P708" s="2084">
        <f t="shared" si="67"/>
        <v>25272.6</v>
      </c>
      <c r="Q708" s="2084">
        <f t="shared" si="67"/>
        <v>25152.6</v>
      </c>
      <c r="R708" s="2084">
        <f t="shared" si="67"/>
        <v>21752.6</v>
      </c>
      <c r="S708" s="2084">
        <f t="shared" si="67"/>
        <v>11752.6</v>
      </c>
      <c r="T708" s="2084">
        <f t="shared" si="67"/>
        <v>12592.6</v>
      </c>
      <c r="U708" s="2084">
        <f t="shared" si="67"/>
        <v>13072.6</v>
      </c>
      <c r="V708" s="2084">
        <f t="shared" si="67"/>
        <v>11872.6</v>
      </c>
      <c r="W708" s="2084">
        <f t="shared" si="67"/>
        <v>11872.6</v>
      </c>
      <c r="X708" s="2084">
        <f t="shared" si="67"/>
        <v>10752.6</v>
      </c>
      <c r="Y708" s="2084">
        <f t="shared" si="67"/>
        <v>10752.6</v>
      </c>
      <c r="Z708" s="2084">
        <f t="shared" si="67"/>
        <v>11952.6</v>
      </c>
      <c r="AA708" s="2084">
        <f t="shared" ref="AA708:AA717" si="68">SUM(O708:Z708)</f>
        <v>177551.20000000004</v>
      </c>
    </row>
    <row r="709" spans="2:27" ht="22.5" x14ac:dyDescent="0.25">
      <c r="B709" s="4699"/>
      <c r="C709" s="4441"/>
      <c r="D709" s="4441"/>
      <c r="E709" s="4441"/>
      <c r="F709" s="4441"/>
      <c r="G709" s="4441"/>
      <c r="H709" s="4441"/>
      <c r="I709" s="4441"/>
      <c r="J709" s="4441"/>
      <c r="K709" s="4441"/>
      <c r="L709" s="2083"/>
      <c r="M709" s="877" t="s">
        <v>184</v>
      </c>
      <c r="N709" s="877" t="s">
        <v>1367</v>
      </c>
      <c r="O709" s="2085"/>
      <c r="P709" s="2085"/>
      <c r="Q709" s="2085">
        <v>12260</v>
      </c>
      <c r="R709" s="2085"/>
      <c r="S709" s="2085"/>
      <c r="T709" s="2085"/>
      <c r="U709" s="2085"/>
      <c r="V709" s="2085"/>
      <c r="W709" s="2085"/>
      <c r="X709" s="2085"/>
      <c r="Y709" s="2085"/>
      <c r="Z709" s="2085"/>
      <c r="AA709" s="2086">
        <f t="shared" si="68"/>
        <v>12260</v>
      </c>
    </row>
    <row r="710" spans="2:27" ht="33.75" x14ac:dyDescent="0.25">
      <c r="B710" s="4699"/>
      <c r="C710" s="4441"/>
      <c r="D710" s="4441"/>
      <c r="E710" s="4441"/>
      <c r="F710" s="4441"/>
      <c r="G710" s="4441"/>
      <c r="H710" s="4441"/>
      <c r="I710" s="4441"/>
      <c r="J710" s="4441"/>
      <c r="K710" s="4441"/>
      <c r="L710" s="2083"/>
      <c r="M710" s="877" t="s">
        <v>194</v>
      </c>
      <c r="N710" s="877" t="s">
        <v>1368</v>
      </c>
      <c r="O710" s="2085">
        <f t="shared" ref="O710:Z710" si="69">O720+O725</f>
        <v>0</v>
      </c>
      <c r="P710" s="2085">
        <f t="shared" si="69"/>
        <v>7560</v>
      </c>
      <c r="Q710" s="2085">
        <f t="shared" si="69"/>
        <v>840</v>
      </c>
      <c r="R710" s="2085">
        <f t="shared" si="69"/>
        <v>6720</v>
      </c>
      <c r="S710" s="2085">
        <f t="shared" si="69"/>
        <v>0</v>
      </c>
      <c r="T710" s="2085">
        <f t="shared" si="69"/>
        <v>0</v>
      </c>
      <c r="U710" s="2085">
        <f t="shared" si="69"/>
        <v>0</v>
      </c>
      <c r="V710" s="2085">
        <f t="shared" si="69"/>
        <v>0</v>
      </c>
      <c r="W710" s="2085">
        <f t="shared" si="69"/>
        <v>0</v>
      </c>
      <c r="X710" s="2085">
        <f t="shared" si="69"/>
        <v>0</v>
      </c>
      <c r="Y710" s="2085">
        <f t="shared" si="69"/>
        <v>0</v>
      </c>
      <c r="Z710" s="2085">
        <f t="shared" si="69"/>
        <v>0</v>
      </c>
      <c r="AA710" s="2086">
        <f t="shared" si="68"/>
        <v>15120</v>
      </c>
    </row>
    <row r="711" spans="2:27" x14ac:dyDescent="0.25">
      <c r="B711" s="4699"/>
      <c r="C711" s="4441"/>
      <c r="D711" s="4441"/>
      <c r="E711" s="4441"/>
      <c r="F711" s="4441"/>
      <c r="G711" s="4441"/>
      <c r="H711" s="4441"/>
      <c r="I711" s="4441"/>
      <c r="J711" s="4441"/>
      <c r="K711" s="4441"/>
      <c r="L711" s="2083"/>
      <c r="M711" s="877" t="s">
        <v>215</v>
      </c>
      <c r="N711" s="877" t="s">
        <v>1370</v>
      </c>
      <c r="O711" s="2085">
        <f t="shared" ref="O711:Z711" si="70">O721+O726</f>
        <v>0</v>
      </c>
      <c r="P711" s="2085">
        <f t="shared" si="70"/>
        <v>2340</v>
      </c>
      <c r="Q711" s="2085">
        <f t="shared" si="70"/>
        <v>180</v>
      </c>
      <c r="R711" s="2085">
        <f t="shared" si="70"/>
        <v>2160</v>
      </c>
      <c r="S711" s="2085">
        <f t="shared" si="70"/>
        <v>0</v>
      </c>
      <c r="T711" s="2085">
        <f t="shared" si="70"/>
        <v>0</v>
      </c>
      <c r="U711" s="2085">
        <f t="shared" si="70"/>
        <v>0</v>
      </c>
      <c r="V711" s="2085">
        <f t="shared" si="70"/>
        <v>0</v>
      </c>
      <c r="W711" s="2085">
        <f t="shared" si="70"/>
        <v>0</v>
      </c>
      <c r="X711" s="2085">
        <f t="shared" si="70"/>
        <v>0</v>
      </c>
      <c r="Y711" s="2085">
        <f t="shared" si="70"/>
        <v>0</v>
      </c>
      <c r="Z711" s="2085">
        <f t="shared" si="70"/>
        <v>0</v>
      </c>
      <c r="AA711" s="2086">
        <f t="shared" si="68"/>
        <v>4680</v>
      </c>
    </row>
    <row r="712" spans="2:27" ht="33.75" x14ac:dyDescent="0.25">
      <c r="B712" s="4699"/>
      <c r="C712" s="4441"/>
      <c r="D712" s="4441"/>
      <c r="E712" s="4441"/>
      <c r="F712" s="4441"/>
      <c r="G712" s="4441"/>
      <c r="H712" s="4441"/>
      <c r="I712" s="4441"/>
      <c r="J712" s="4441"/>
      <c r="K712" s="4441"/>
      <c r="L712" s="2083" t="s">
        <v>2940</v>
      </c>
      <c r="M712" s="307" t="s">
        <v>208</v>
      </c>
      <c r="N712" s="307" t="s">
        <v>553</v>
      </c>
      <c r="O712" s="2085">
        <f t="shared" ref="O712:T712" si="71">3104*2+2400+1725</f>
        <v>10333</v>
      </c>
      <c r="P712" s="2085">
        <f t="shared" si="71"/>
        <v>10333</v>
      </c>
      <c r="Q712" s="2085">
        <f t="shared" si="71"/>
        <v>10333</v>
      </c>
      <c r="R712" s="2085">
        <f t="shared" si="71"/>
        <v>10333</v>
      </c>
      <c r="S712" s="2085">
        <f t="shared" si="71"/>
        <v>10333</v>
      </c>
      <c r="T712" s="2085">
        <f t="shared" si="71"/>
        <v>10333</v>
      </c>
      <c r="U712" s="2085">
        <f>3104*2+2400+1725+300*4</f>
        <v>11533</v>
      </c>
      <c r="V712" s="2085">
        <f>3104*2+2400+1725</f>
        <v>10333</v>
      </c>
      <c r="W712" s="2085">
        <f>3104*2+2400+1725</f>
        <v>10333</v>
      </c>
      <c r="X712" s="2085">
        <f>3104*2+2400+1725</f>
        <v>10333</v>
      </c>
      <c r="Y712" s="2085">
        <f>3104*2+2400+1725</f>
        <v>10333</v>
      </c>
      <c r="Z712" s="2085">
        <f>3104*2+2400+1725+300*4</f>
        <v>11533</v>
      </c>
      <c r="AA712" s="2085">
        <f t="shared" si="68"/>
        <v>126396</v>
      </c>
    </row>
    <row r="713" spans="2:27" ht="22.5" x14ac:dyDescent="0.25">
      <c r="B713" s="4699"/>
      <c r="C713" s="4441"/>
      <c r="D713" s="4441"/>
      <c r="E713" s="4441"/>
      <c r="F713" s="4441"/>
      <c r="G713" s="4441"/>
      <c r="H713" s="4441"/>
      <c r="I713" s="4441"/>
      <c r="J713" s="4441"/>
      <c r="K713" s="4441"/>
      <c r="L713" s="2083"/>
      <c r="M713" s="307" t="s">
        <v>210</v>
      </c>
      <c r="N713" s="307" t="s">
        <v>2941</v>
      </c>
      <c r="O713" s="2085">
        <f t="shared" ref="O713:Z713" si="72">104.9*4</f>
        <v>419.6</v>
      </c>
      <c r="P713" s="2085">
        <f t="shared" si="72"/>
        <v>419.6</v>
      </c>
      <c r="Q713" s="2085">
        <f t="shared" si="72"/>
        <v>419.6</v>
      </c>
      <c r="R713" s="2085">
        <f t="shared" si="72"/>
        <v>419.6</v>
      </c>
      <c r="S713" s="2085">
        <f t="shared" si="72"/>
        <v>419.6</v>
      </c>
      <c r="T713" s="2085">
        <f t="shared" si="72"/>
        <v>419.6</v>
      </c>
      <c r="U713" s="2085">
        <f t="shared" si="72"/>
        <v>419.6</v>
      </c>
      <c r="V713" s="2085">
        <f t="shared" si="72"/>
        <v>419.6</v>
      </c>
      <c r="W713" s="2085">
        <f t="shared" si="72"/>
        <v>419.6</v>
      </c>
      <c r="X713" s="2085">
        <f t="shared" si="72"/>
        <v>419.6</v>
      </c>
      <c r="Y713" s="2085">
        <f t="shared" si="72"/>
        <v>419.6</v>
      </c>
      <c r="Z713" s="2085">
        <f t="shared" si="72"/>
        <v>419.6</v>
      </c>
      <c r="AA713" s="2085">
        <f t="shared" si="68"/>
        <v>5035.2000000000007</v>
      </c>
    </row>
    <row r="714" spans="2:27" ht="22.5" x14ac:dyDescent="0.25">
      <c r="B714" s="4699"/>
      <c r="C714" s="4441"/>
      <c r="D714" s="4441"/>
      <c r="E714" s="4441"/>
      <c r="F714" s="4441"/>
      <c r="G714" s="4441"/>
      <c r="H714" s="4441"/>
      <c r="I714" s="4441"/>
      <c r="J714" s="4441"/>
      <c r="K714" s="4441"/>
      <c r="L714" s="2083"/>
      <c r="M714" s="307" t="s">
        <v>1452</v>
      </c>
      <c r="N714" s="307" t="s">
        <v>1477</v>
      </c>
      <c r="O714" s="2085">
        <f t="shared" ref="O714:Z714" si="73">O722+O727</f>
        <v>0</v>
      </c>
      <c r="P714" s="2085">
        <f t="shared" si="73"/>
        <v>3500</v>
      </c>
      <c r="Q714" s="2085">
        <f t="shared" si="73"/>
        <v>0</v>
      </c>
      <c r="R714" s="2085">
        <f t="shared" si="73"/>
        <v>0</v>
      </c>
      <c r="S714" s="2085">
        <f t="shared" si="73"/>
        <v>0</v>
      </c>
      <c r="T714" s="2085">
        <f t="shared" si="73"/>
        <v>720</v>
      </c>
      <c r="U714" s="2085">
        <f t="shared" si="73"/>
        <v>0</v>
      </c>
      <c r="V714" s="2085">
        <f t="shared" si="73"/>
        <v>0</v>
      </c>
      <c r="W714" s="2085">
        <f t="shared" si="73"/>
        <v>0</v>
      </c>
      <c r="X714" s="2085">
        <f t="shared" si="73"/>
        <v>0</v>
      </c>
      <c r="Y714" s="2085">
        <f t="shared" si="73"/>
        <v>0</v>
      </c>
      <c r="Z714" s="2085">
        <f t="shared" si="73"/>
        <v>0</v>
      </c>
      <c r="AA714" s="2085">
        <f t="shared" si="68"/>
        <v>4220</v>
      </c>
    </row>
    <row r="715" spans="2:27" x14ac:dyDescent="0.25">
      <c r="B715" s="4699"/>
      <c r="C715" s="4441"/>
      <c r="D715" s="4441"/>
      <c r="E715" s="4441"/>
      <c r="F715" s="4441"/>
      <c r="G715" s="4441"/>
      <c r="H715" s="4441"/>
      <c r="I715" s="4441"/>
      <c r="J715" s="4441"/>
      <c r="K715" s="4441"/>
      <c r="L715" s="2083"/>
      <c r="M715" s="307" t="s">
        <v>541</v>
      </c>
      <c r="N715" s="307" t="s">
        <v>1369</v>
      </c>
      <c r="O715" s="2085"/>
      <c r="P715" s="2085">
        <f>280*2*2</f>
        <v>1120</v>
      </c>
      <c r="Q715" s="2085">
        <f>280*2*2</f>
        <v>1120</v>
      </c>
      <c r="R715" s="2085">
        <f>280*2*2</f>
        <v>1120</v>
      </c>
      <c r="S715" s="2085"/>
      <c r="T715" s="2085">
        <f>280*2*2</f>
        <v>1120</v>
      </c>
      <c r="U715" s="2085">
        <f>280*2*2</f>
        <v>1120</v>
      </c>
      <c r="V715" s="2085">
        <f>280*2*2</f>
        <v>1120</v>
      </c>
      <c r="W715" s="2085">
        <f>280*2*2</f>
        <v>1120</v>
      </c>
      <c r="X715" s="2085"/>
      <c r="Y715" s="2085"/>
      <c r="Z715" s="2085"/>
      <c r="AA715" s="2085">
        <f t="shared" si="68"/>
        <v>7840</v>
      </c>
    </row>
    <row r="716" spans="2:27" ht="22.5" x14ac:dyDescent="0.25">
      <c r="B716" s="4699"/>
      <c r="C716" s="4441"/>
      <c r="D716" s="4441"/>
      <c r="E716" s="4441"/>
      <c r="F716" s="4441"/>
      <c r="G716" s="4441"/>
      <c r="H716" s="4441"/>
      <c r="I716" s="4441"/>
      <c r="J716" s="4441"/>
      <c r="K716" s="4441"/>
      <c r="L716" s="2083"/>
      <c r="M716" s="307" t="s">
        <v>200</v>
      </c>
      <c r="N716" s="307" t="s">
        <v>1441</v>
      </c>
      <c r="O716" s="2085">
        <f t="shared" ref="O716:Z716" si="74">O728</f>
        <v>0</v>
      </c>
      <c r="P716" s="2085">
        <f t="shared" si="74"/>
        <v>0</v>
      </c>
      <c r="Q716" s="2085">
        <f t="shared" si="74"/>
        <v>0</v>
      </c>
      <c r="R716" s="2085">
        <f t="shared" si="74"/>
        <v>0</v>
      </c>
      <c r="S716" s="2085">
        <f t="shared" si="74"/>
        <v>1000</v>
      </c>
      <c r="T716" s="2085">
        <f t="shared" si="74"/>
        <v>0</v>
      </c>
      <c r="U716" s="2085">
        <f t="shared" si="74"/>
        <v>0</v>
      </c>
      <c r="V716" s="2085">
        <f t="shared" si="74"/>
        <v>0</v>
      </c>
      <c r="W716" s="2085">
        <f t="shared" si="74"/>
        <v>0</v>
      </c>
      <c r="X716" s="2085">
        <f t="shared" si="74"/>
        <v>0</v>
      </c>
      <c r="Y716" s="2085">
        <f t="shared" si="74"/>
        <v>0</v>
      </c>
      <c r="Z716" s="2085">
        <f t="shared" si="74"/>
        <v>0</v>
      </c>
      <c r="AA716" s="2085">
        <f t="shared" si="68"/>
        <v>1000</v>
      </c>
    </row>
    <row r="717" spans="2:27" ht="22.5" x14ac:dyDescent="0.25">
      <c r="B717" s="4700"/>
      <c r="C717" s="4442"/>
      <c r="D717" s="4442"/>
      <c r="E717" s="4442"/>
      <c r="F717" s="4442"/>
      <c r="G717" s="4442"/>
      <c r="H717" s="4442"/>
      <c r="I717" s="4442"/>
      <c r="J717" s="4442"/>
      <c r="K717" s="4442"/>
      <c r="L717" s="2087"/>
      <c r="M717" s="307" t="s">
        <v>1443</v>
      </c>
      <c r="N717" s="307" t="s">
        <v>1444</v>
      </c>
      <c r="O717" s="2085">
        <f t="shared" ref="O717:Z717" si="75">O729</f>
        <v>0</v>
      </c>
      <c r="P717" s="2085">
        <f t="shared" si="75"/>
        <v>0</v>
      </c>
      <c r="Q717" s="2085">
        <f t="shared" si="75"/>
        <v>0</v>
      </c>
      <c r="R717" s="2085">
        <f t="shared" si="75"/>
        <v>1000</v>
      </c>
      <c r="S717" s="2085">
        <f t="shared" si="75"/>
        <v>0</v>
      </c>
      <c r="T717" s="2085">
        <f t="shared" si="75"/>
        <v>0</v>
      </c>
      <c r="U717" s="2085">
        <f t="shared" si="75"/>
        <v>0</v>
      </c>
      <c r="V717" s="2085">
        <f t="shared" si="75"/>
        <v>0</v>
      </c>
      <c r="W717" s="2085">
        <f t="shared" si="75"/>
        <v>0</v>
      </c>
      <c r="X717" s="2085">
        <f t="shared" si="75"/>
        <v>0</v>
      </c>
      <c r="Y717" s="2085">
        <f t="shared" si="75"/>
        <v>0</v>
      </c>
      <c r="Z717" s="2085">
        <f t="shared" si="75"/>
        <v>0</v>
      </c>
      <c r="AA717" s="2085">
        <f t="shared" si="68"/>
        <v>1000</v>
      </c>
    </row>
    <row r="718" spans="2:27" ht="15" customHeight="1" x14ac:dyDescent="0.25">
      <c r="B718" s="4428"/>
      <c r="C718" s="4176"/>
      <c r="D718" s="4432" t="s">
        <v>2942</v>
      </c>
      <c r="E718" s="4176"/>
      <c r="F718" s="4176"/>
      <c r="G718" s="4176"/>
      <c r="H718" s="4432" t="s">
        <v>2419</v>
      </c>
      <c r="I718" s="4176" t="s">
        <v>2420</v>
      </c>
      <c r="J718" s="4176">
        <v>1</v>
      </c>
      <c r="K718" s="4262">
        <f>AA719</f>
        <v>5540</v>
      </c>
      <c r="L718" s="4262" t="s">
        <v>2943</v>
      </c>
      <c r="M718" s="4128" t="s">
        <v>51</v>
      </c>
      <c r="N718" s="4129"/>
      <c r="O718" s="2085"/>
      <c r="P718" s="2085"/>
      <c r="Q718" s="1796">
        <v>1</v>
      </c>
      <c r="R718" s="2085"/>
      <c r="S718" s="2085"/>
      <c r="T718" s="2085"/>
      <c r="U718" s="2085"/>
      <c r="V718" s="2085"/>
      <c r="W718" s="2085"/>
      <c r="X718" s="2085"/>
      <c r="Y718" s="2085"/>
      <c r="Z718" s="2085"/>
      <c r="AA718" s="1796"/>
    </row>
    <row r="719" spans="2:27" x14ac:dyDescent="0.25">
      <c r="B719" s="4429"/>
      <c r="C719" s="4431"/>
      <c r="D719" s="4433"/>
      <c r="E719" s="4431"/>
      <c r="F719" s="4431"/>
      <c r="G719" s="4431"/>
      <c r="H719" s="4433"/>
      <c r="I719" s="4431"/>
      <c r="J719" s="4431"/>
      <c r="K719" s="4427"/>
      <c r="L719" s="4427"/>
      <c r="M719" s="4128" t="s">
        <v>111</v>
      </c>
      <c r="N719" s="4129"/>
      <c r="O719" s="2084">
        <f t="shared" ref="O719:Z719" si="76">SUM(O720:O722)</f>
        <v>0</v>
      </c>
      <c r="P719" s="2084">
        <f t="shared" si="76"/>
        <v>4520</v>
      </c>
      <c r="Q719" s="2084">
        <f t="shared" si="76"/>
        <v>1020</v>
      </c>
      <c r="R719" s="2084">
        <f t="shared" si="76"/>
        <v>0</v>
      </c>
      <c r="S719" s="2084">
        <f t="shared" si="76"/>
        <v>0</v>
      </c>
      <c r="T719" s="2084">
        <f t="shared" si="76"/>
        <v>0</v>
      </c>
      <c r="U719" s="2084">
        <f t="shared" si="76"/>
        <v>0</v>
      </c>
      <c r="V719" s="2084">
        <f t="shared" si="76"/>
        <v>0</v>
      </c>
      <c r="W719" s="2084">
        <f t="shared" si="76"/>
        <v>0</v>
      </c>
      <c r="X719" s="2084">
        <f t="shared" si="76"/>
        <v>0</v>
      </c>
      <c r="Y719" s="2084">
        <f t="shared" si="76"/>
        <v>0</v>
      </c>
      <c r="Z719" s="2084">
        <f t="shared" si="76"/>
        <v>0</v>
      </c>
      <c r="AA719" s="2084">
        <f>SUM(O719:Z719)</f>
        <v>5540</v>
      </c>
    </row>
    <row r="720" spans="2:27" x14ac:dyDescent="0.25">
      <c r="B720" s="4429"/>
      <c r="C720" s="4431"/>
      <c r="D720" s="4433"/>
      <c r="E720" s="4431"/>
      <c r="F720" s="4431"/>
      <c r="G720" s="4431"/>
      <c r="H720" s="4433"/>
      <c r="I720" s="4431"/>
      <c r="J720" s="4431"/>
      <c r="K720" s="4427"/>
      <c r="L720" s="4427"/>
      <c r="M720" s="877" t="s">
        <v>194</v>
      </c>
      <c r="N720" s="877" t="s">
        <v>1372</v>
      </c>
      <c r="O720" s="2085"/>
      <c r="P720" s="2085">
        <f>140*2*2+140*2</f>
        <v>840</v>
      </c>
      <c r="Q720" s="2085">
        <f>140*2*2+140*2</f>
        <v>840</v>
      </c>
      <c r="R720" s="2085"/>
      <c r="S720" s="2085"/>
      <c r="T720" s="2085"/>
      <c r="U720" s="2085"/>
      <c r="V720" s="2085"/>
      <c r="W720" s="2085"/>
      <c r="X720" s="2085"/>
      <c r="Y720" s="2085"/>
      <c r="Z720" s="2085"/>
      <c r="AA720" s="2084">
        <f>SUM(O720:Z720)</f>
        <v>1680</v>
      </c>
    </row>
    <row r="721" spans="2:27" x14ac:dyDescent="0.25">
      <c r="B721" s="4429"/>
      <c r="C721" s="4431"/>
      <c r="D721" s="4433"/>
      <c r="E721" s="4431"/>
      <c r="F721" s="4431"/>
      <c r="G721" s="4431"/>
      <c r="H721" s="4433"/>
      <c r="I721" s="4431"/>
      <c r="J721" s="4431"/>
      <c r="K721" s="4427"/>
      <c r="L721" s="4427"/>
      <c r="M721" s="877" t="s">
        <v>215</v>
      </c>
      <c r="N721" s="877" t="s">
        <v>1370</v>
      </c>
      <c r="O721" s="2085"/>
      <c r="P721" s="2085">
        <f>15*12</f>
        <v>180</v>
      </c>
      <c r="Q721" s="2085">
        <f>15*12</f>
        <v>180</v>
      </c>
      <c r="R721" s="2085"/>
      <c r="S721" s="2085"/>
      <c r="T721" s="2085"/>
      <c r="U721" s="2085"/>
      <c r="V721" s="2085"/>
      <c r="W721" s="2085"/>
      <c r="X721" s="2085"/>
      <c r="Y721" s="2085"/>
      <c r="Z721" s="2085"/>
      <c r="AA721" s="2084">
        <f>SUM(O721:Z721)</f>
        <v>360</v>
      </c>
    </row>
    <row r="722" spans="2:27" ht="22.5" x14ac:dyDescent="0.25">
      <c r="B722" s="4430"/>
      <c r="C722" s="4177"/>
      <c r="D722" s="4434"/>
      <c r="E722" s="4177"/>
      <c r="F722" s="4177"/>
      <c r="G722" s="4177"/>
      <c r="H722" s="4434"/>
      <c r="I722" s="4177"/>
      <c r="J722" s="4177"/>
      <c r="K722" s="4263"/>
      <c r="L722" s="4263"/>
      <c r="M722" s="307" t="s">
        <v>1452</v>
      </c>
      <c r="N722" s="307" t="s">
        <v>1477</v>
      </c>
      <c r="O722" s="2085"/>
      <c r="P722" s="2085">
        <f>50*5*2*7</f>
        <v>3500</v>
      </c>
      <c r="Q722" s="2085"/>
      <c r="R722" s="2085"/>
      <c r="S722" s="2085"/>
      <c r="T722" s="2085"/>
      <c r="U722" s="2085"/>
      <c r="V722" s="2085"/>
      <c r="W722" s="2085"/>
      <c r="X722" s="2085"/>
      <c r="Y722" s="2085"/>
      <c r="Z722" s="2085"/>
      <c r="AA722" s="1796"/>
    </row>
    <row r="723" spans="2:27" ht="15" customHeight="1" x14ac:dyDescent="0.25">
      <c r="B723" s="4428"/>
      <c r="C723" s="4176"/>
      <c r="D723" s="4432" t="s">
        <v>2944</v>
      </c>
      <c r="E723" s="4176"/>
      <c r="F723" s="4176"/>
      <c r="G723" s="4176"/>
      <c r="H723" s="4432" t="s">
        <v>2945</v>
      </c>
      <c r="I723" s="4176" t="s">
        <v>2420</v>
      </c>
      <c r="J723" s="4176">
        <v>1</v>
      </c>
      <c r="K723" s="4262">
        <f>AA724</f>
        <v>20480</v>
      </c>
      <c r="L723" s="4262" t="s">
        <v>2943</v>
      </c>
      <c r="M723" s="4128" t="s">
        <v>51</v>
      </c>
      <c r="N723" s="4129"/>
      <c r="O723" s="2085"/>
      <c r="P723" s="2085"/>
      <c r="Q723" s="2085"/>
      <c r="R723" s="2085"/>
      <c r="S723" s="2085"/>
      <c r="T723" s="2084">
        <v>1</v>
      </c>
      <c r="U723" s="2085"/>
      <c r="V723" s="2085"/>
      <c r="W723" s="2085"/>
      <c r="X723" s="2085"/>
      <c r="Y723" s="2085"/>
      <c r="Z723" s="2085"/>
      <c r="AA723" s="1796"/>
    </row>
    <row r="724" spans="2:27" x14ac:dyDescent="0.25">
      <c r="B724" s="4429"/>
      <c r="C724" s="4431"/>
      <c r="D724" s="4433"/>
      <c r="E724" s="4431"/>
      <c r="F724" s="4431"/>
      <c r="G724" s="4431"/>
      <c r="H724" s="4433"/>
      <c r="I724" s="4431"/>
      <c r="J724" s="4431"/>
      <c r="K724" s="4427"/>
      <c r="L724" s="4427"/>
      <c r="M724" s="4128" t="s">
        <v>111</v>
      </c>
      <c r="N724" s="4129"/>
      <c r="O724" s="2084">
        <f>SUM(O725:O728)</f>
        <v>0</v>
      </c>
      <c r="P724" s="2084">
        <f>SUM(P725:P728)</f>
        <v>8880</v>
      </c>
      <c r="Q724" s="2084">
        <f t="shared" ref="Q724:Z724" si="77">SUM(Q725:Q729)</f>
        <v>0</v>
      </c>
      <c r="R724" s="2084">
        <f t="shared" si="77"/>
        <v>9880</v>
      </c>
      <c r="S724" s="2084">
        <f t="shared" si="77"/>
        <v>1000</v>
      </c>
      <c r="T724" s="2084">
        <f t="shared" si="77"/>
        <v>720</v>
      </c>
      <c r="U724" s="2084">
        <f t="shared" si="77"/>
        <v>0</v>
      </c>
      <c r="V724" s="2084">
        <f t="shared" si="77"/>
        <v>0</v>
      </c>
      <c r="W724" s="2084">
        <f t="shared" si="77"/>
        <v>0</v>
      </c>
      <c r="X724" s="2084">
        <f t="shared" si="77"/>
        <v>0</v>
      </c>
      <c r="Y724" s="2084">
        <f t="shared" si="77"/>
        <v>0</v>
      </c>
      <c r="Z724" s="2084">
        <f t="shared" si="77"/>
        <v>0</v>
      </c>
      <c r="AA724" s="2084">
        <f t="shared" ref="AA724:AA729" si="78">SUM(O724:Z724)</f>
        <v>20480</v>
      </c>
    </row>
    <row r="725" spans="2:27" x14ac:dyDescent="0.25">
      <c r="B725" s="4429"/>
      <c r="C725" s="4431"/>
      <c r="D725" s="4433"/>
      <c r="E725" s="4431"/>
      <c r="F725" s="4431"/>
      <c r="G725" s="4431"/>
      <c r="H725" s="4433"/>
      <c r="I725" s="4431"/>
      <c r="J725" s="4431"/>
      <c r="K725" s="4427"/>
      <c r="L725" s="4427"/>
      <c r="M725" s="877" t="s">
        <v>194</v>
      </c>
      <c r="N725" s="877" t="s">
        <v>1372</v>
      </c>
      <c r="O725" s="2085"/>
      <c r="P725" s="2085">
        <f>140*3*4*4</f>
        <v>6720</v>
      </c>
      <c r="Q725" s="2085"/>
      <c r="R725" s="2085">
        <f>140*3*4*4</f>
        <v>6720</v>
      </c>
      <c r="S725" s="2085"/>
      <c r="T725" s="2085"/>
      <c r="U725" s="2085"/>
      <c r="V725" s="2085"/>
      <c r="W725" s="2085"/>
      <c r="X725" s="2085"/>
      <c r="Y725" s="2085"/>
      <c r="Z725" s="2085"/>
      <c r="AA725" s="2084">
        <f t="shared" si="78"/>
        <v>13440</v>
      </c>
    </row>
    <row r="726" spans="2:27" x14ac:dyDescent="0.25">
      <c r="B726" s="4429"/>
      <c r="C726" s="4431"/>
      <c r="D726" s="4433"/>
      <c r="E726" s="4431"/>
      <c r="F726" s="4431"/>
      <c r="G726" s="4431"/>
      <c r="H726" s="4433"/>
      <c r="I726" s="4431"/>
      <c r="J726" s="4431"/>
      <c r="K726" s="4427"/>
      <c r="L726" s="4427"/>
      <c r="M726" s="877" t="s">
        <v>215</v>
      </c>
      <c r="N726" s="877" t="s">
        <v>1370</v>
      </c>
      <c r="O726" s="2085"/>
      <c r="P726" s="2085">
        <f>180*12</f>
        <v>2160</v>
      </c>
      <c r="Q726" s="2085"/>
      <c r="R726" s="2085">
        <f>180*12</f>
        <v>2160</v>
      </c>
      <c r="S726" s="2085"/>
      <c r="T726" s="2085"/>
      <c r="U726" s="2085"/>
      <c r="V726" s="2085"/>
      <c r="W726" s="2085"/>
      <c r="X726" s="2085"/>
      <c r="Y726" s="2085"/>
      <c r="Z726" s="2085"/>
      <c r="AA726" s="2084">
        <f t="shared" si="78"/>
        <v>4320</v>
      </c>
    </row>
    <row r="727" spans="2:27" ht="22.5" x14ac:dyDescent="0.25">
      <c r="B727" s="4429"/>
      <c r="C727" s="4431"/>
      <c r="D727" s="4433"/>
      <c r="E727" s="4431"/>
      <c r="F727" s="4431"/>
      <c r="G727" s="4431"/>
      <c r="H727" s="4433"/>
      <c r="I727" s="4431"/>
      <c r="J727" s="4431"/>
      <c r="K727" s="4427"/>
      <c r="L727" s="4427"/>
      <c r="M727" s="307" t="s">
        <v>1452</v>
      </c>
      <c r="N727" s="307" t="s">
        <v>1477</v>
      </c>
      <c r="O727" s="2085"/>
      <c r="P727" s="2085"/>
      <c r="Q727" s="2085"/>
      <c r="R727" s="2085"/>
      <c r="S727" s="2085"/>
      <c r="T727" s="2085">
        <f>60*12</f>
        <v>720</v>
      </c>
      <c r="U727" s="2085"/>
      <c r="V727" s="2085"/>
      <c r="W727" s="2085"/>
      <c r="X727" s="2085"/>
      <c r="Y727" s="2085"/>
      <c r="Z727" s="2085"/>
      <c r="AA727" s="2084">
        <f t="shared" si="78"/>
        <v>720</v>
      </c>
    </row>
    <row r="728" spans="2:27" ht="22.5" x14ac:dyDescent="0.25">
      <c r="B728" s="4429"/>
      <c r="C728" s="4431"/>
      <c r="D728" s="4433"/>
      <c r="E728" s="4431"/>
      <c r="F728" s="4431"/>
      <c r="G728" s="4431"/>
      <c r="H728" s="4433"/>
      <c r="I728" s="4431"/>
      <c r="J728" s="4431"/>
      <c r="K728" s="4427"/>
      <c r="L728" s="4427"/>
      <c r="M728" s="307" t="s">
        <v>200</v>
      </c>
      <c r="N728" s="307" t="s">
        <v>1441</v>
      </c>
      <c r="O728" s="2085"/>
      <c r="P728" s="2085"/>
      <c r="Q728" s="2085"/>
      <c r="R728" s="2085"/>
      <c r="S728" s="2085">
        <f>1000</f>
        <v>1000</v>
      </c>
      <c r="T728" s="2085"/>
      <c r="U728" s="2085"/>
      <c r="V728" s="2085"/>
      <c r="W728" s="2085"/>
      <c r="X728" s="2085"/>
      <c r="Y728" s="2085"/>
      <c r="Z728" s="2085"/>
      <c r="AA728" s="2084">
        <f t="shared" si="78"/>
        <v>1000</v>
      </c>
    </row>
    <row r="729" spans="2:27" ht="22.5" x14ac:dyDescent="0.25">
      <c r="B729" s="4430"/>
      <c r="C729" s="4177"/>
      <c r="D729" s="4434"/>
      <c r="E729" s="1973"/>
      <c r="F729" s="1973"/>
      <c r="G729" s="1973"/>
      <c r="H729" s="4434"/>
      <c r="I729" s="4177"/>
      <c r="J729" s="1973"/>
      <c r="K729" s="4263"/>
      <c r="L729" s="4263"/>
      <c r="M729" s="307" t="s">
        <v>1443</v>
      </c>
      <c r="N729" s="307" t="s">
        <v>1444</v>
      </c>
      <c r="O729" s="2085"/>
      <c r="P729" s="2085"/>
      <c r="Q729" s="2085"/>
      <c r="R729" s="2085">
        <v>1000</v>
      </c>
      <c r="S729" s="2085"/>
      <c r="T729" s="2085"/>
      <c r="U729" s="2085"/>
      <c r="V729" s="2085"/>
      <c r="W729" s="2085"/>
      <c r="X729" s="2085"/>
      <c r="Y729" s="2085"/>
      <c r="Z729" s="2085"/>
      <c r="AA729" s="2084">
        <f t="shared" si="78"/>
        <v>1000</v>
      </c>
    </row>
    <row r="730" spans="2:27" ht="15" customHeight="1" x14ac:dyDescent="0.25">
      <c r="B730" s="4448"/>
      <c r="C730" s="2931"/>
      <c r="D730" s="2928" t="s">
        <v>2946</v>
      </c>
      <c r="E730" s="2931"/>
      <c r="F730" s="2931"/>
      <c r="G730" s="2931"/>
      <c r="H730" s="4443" t="s">
        <v>2949</v>
      </c>
      <c r="I730" s="2931" t="s">
        <v>2420</v>
      </c>
      <c r="J730" s="2931">
        <v>1</v>
      </c>
      <c r="K730" s="4318"/>
      <c r="L730" s="4286" t="s">
        <v>2947</v>
      </c>
      <c r="M730" s="2840" t="s">
        <v>51</v>
      </c>
      <c r="N730" s="2840"/>
      <c r="O730" s="1636"/>
      <c r="P730" s="1592">
        <v>1</v>
      </c>
      <c r="Q730" s="1636"/>
      <c r="R730" s="1636"/>
      <c r="S730" s="1636"/>
      <c r="T730" s="1636"/>
      <c r="U730" s="1636"/>
      <c r="V730" s="1636"/>
      <c r="W730" s="1636"/>
      <c r="X730" s="1636"/>
      <c r="Y730" s="1636"/>
      <c r="Z730" s="1636"/>
      <c r="AA730" s="1592"/>
    </row>
    <row r="731" spans="2:27" ht="34.5" customHeight="1" x14ac:dyDescent="0.25">
      <c r="B731" s="4448"/>
      <c r="C731" s="2931"/>
      <c r="D731" s="2930"/>
      <c r="E731" s="2931"/>
      <c r="F731" s="2931"/>
      <c r="G731" s="2931"/>
      <c r="H731" s="4443"/>
      <c r="I731" s="2931"/>
      <c r="J731" s="2931"/>
      <c r="K731" s="4318"/>
      <c r="L731" s="4288"/>
      <c r="M731" s="2840" t="s">
        <v>111</v>
      </c>
      <c r="N731" s="2840"/>
      <c r="O731" s="1636"/>
      <c r="P731" s="1636"/>
      <c r="Q731" s="1636"/>
      <c r="R731" s="1636"/>
      <c r="S731" s="1636"/>
      <c r="T731" s="1636"/>
      <c r="U731" s="1636"/>
      <c r="V731" s="1636"/>
      <c r="W731" s="1636"/>
      <c r="X731" s="1636"/>
      <c r="Y731" s="1636"/>
      <c r="Z731" s="1636"/>
      <c r="AA731" s="1592"/>
    </row>
    <row r="732" spans="2:27" ht="15" customHeight="1" x14ac:dyDescent="0.25">
      <c r="B732" s="4448"/>
      <c r="C732" s="2931"/>
      <c r="D732" s="4443" t="s">
        <v>2948</v>
      </c>
      <c r="E732" s="2931"/>
      <c r="F732" s="2931"/>
      <c r="G732" s="2931"/>
      <c r="H732" s="4443" t="s">
        <v>2949</v>
      </c>
      <c r="I732" s="2931" t="s">
        <v>2420</v>
      </c>
      <c r="J732" s="2931">
        <v>1</v>
      </c>
      <c r="K732" s="4318"/>
      <c r="L732" s="4286" t="s">
        <v>2950</v>
      </c>
      <c r="M732" s="2840" t="s">
        <v>51</v>
      </c>
      <c r="N732" s="2840"/>
      <c r="O732" s="1636"/>
      <c r="P732" s="1592">
        <v>1</v>
      </c>
      <c r="Q732" s="1636"/>
      <c r="R732" s="1636"/>
      <c r="S732" s="1636"/>
      <c r="T732" s="1636"/>
      <c r="U732" s="1636"/>
      <c r="V732" s="1636"/>
      <c r="W732" s="1636"/>
      <c r="X732" s="1636"/>
      <c r="Y732" s="1636"/>
      <c r="Z732" s="1636"/>
      <c r="AA732" s="1592"/>
    </row>
    <row r="733" spans="2:27" ht="35.25" customHeight="1" x14ac:dyDescent="0.25">
      <c r="B733" s="4448"/>
      <c r="C733" s="2931"/>
      <c r="D733" s="4443"/>
      <c r="E733" s="2931"/>
      <c r="F733" s="2931"/>
      <c r="G733" s="2931"/>
      <c r="H733" s="4443"/>
      <c r="I733" s="2931"/>
      <c r="J733" s="2931"/>
      <c r="K733" s="4318"/>
      <c r="L733" s="4288"/>
      <c r="M733" s="2840" t="s">
        <v>111</v>
      </c>
      <c r="N733" s="2840"/>
      <c r="O733" s="1636"/>
      <c r="P733" s="1636"/>
      <c r="Q733" s="1636"/>
      <c r="R733" s="1636"/>
      <c r="S733" s="1636"/>
      <c r="T733" s="1636"/>
      <c r="U733" s="1636"/>
      <c r="V733" s="1636"/>
      <c r="W733" s="1636"/>
      <c r="X733" s="1636"/>
      <c r="Y733" s="1636"/>
      <c r="Z733" s="1636"/>
      <c r="AA733" s="1592"/>
    </row>
    <row r="734" spans="2:27" ht="15" customHeight="1" x14ac:dyDescent="0.25">
      <c r="B734" s="4449"/>
      <c r="C734" s="2353"/>
      <c r="D734" s="2928" t="s">
        <v>2951</v>
      </c>
      <c r="E734" s="2353"/>
      <c r="F734" s="2353"/>
      <c r="G734" s="2353"/>
      <c r="H734" s="2928" t="s">
        <v>2952</v>
      </c>
      <c r="I734" s="2353" t="s">
        <v>2420</v>
      </c>
      <c r="J734" s="2353">
        <v>1</v>
      </c>
      <c r="K734" s="4286">
        <f>AA735</f>
        <v>11672</v>
      </c>
      <c r="L734" s="4286" t="s">
        <v>2953</v>
      </c>
      <c r="M734" s="3673" t="s">
        <v>51</v>
      </c>
      <c r="N734" s="3674"/>
      <c r="O734" s="1636"/>
      <c r="P734" s="1636"/>
      <c r="Q734" s="1636"/>
      <c r="R734" s="1636"/>
      <c r="S734" s="1636"/>
      <c r="T734" s="1636"/>
      <c r="U734" s="1636"/>
      <c r="V734" s="1636"/>
      <c r="W734" s="1636"/>
      <c r="X734" s="1636"/>
      <c r="Y734" s="1636"/>
      <c r="Z734" s="1636"/>
      <c r="AA734" s="1592"/>
    </row>
    <row r="735" spans="2:27" x14ac:dyDescent="0.25">
      <c r="B735" s="4450"/>
      <c r="C735" s="4282"/>
      <c r="D735" s="2929"/>
      <c r="E735" s="4282"/>
      <c r="F735" s="4282"/>
      <c r="G735" s="4282"/>
      <c r="H735" s="2929"/>
      <c r="I735" s="4282"/>
      <c r="J735" s="4282"/>
      <c r="K735" s="4287"/>
      <c r="L735" s="4287"/>
      <c r="M735" s="3673" t="s">
        <v>111</v>
      </c>
      <c r="N735" s="3674"/>
      <c r="O735" s="1592">
        <f t="shared" ref="O735:Z735" si="79">SUM(O736:O738)</f>
        <v>1279</v>
      </c>
      <c r="P735" s="1592">
        <f t="shared" si="79"/>
        <v>119</v>
      </c>
      <c r="Q735" s="1592">
        <f t="shared" si="79"/>
        <v>119</v>
      </c>
      <c r="R735" s="1592">
        <f t="shared" si="79"/>
        <v>1279</v>
      </c>
      <c r="S735" s="1592">
        <f t="shared" si="79"/>
        <v>119</v>
      </c>
      <c r="T735" s="1592">
        <f t="shared" si="79"/>
        <v>119</v>
      </c>
      <c r="U735" s="1592">
        <f t="shared" si="79"/>
        <v>7240</v>
      </c>
      <c r="V735" s="1592">
        <f t="shared" si="79"/>
        <v>0</v>
      </c>
      <c r="W735" s="1592">
        <f t="shared" si="79"/>
        <v>1279</v>
      </c>
      <c r="X735" s="1592">
        <f t="shared" si="79"/>
        <v>119</v>
      </c>
      <c r="Y735" s="1592">
        <f t="shared" si="79"/>
        <v>0</v>
      </c>
      <c r="Z735" s="1592">
        <f t="shared" si="79"/>
        <v>0</v>
      </c>
      <c r="AA735" s="1592">
        <f>SUM(O735:Z735)</f>
        <v>11672</v>
      </c>
    </row>
    <row r="736" spans="2:27" ht="13.5" customHeight="1" x14ac:dyDescent="0.25">
      <c r="B736" s="4450"/>
      <c r="C736" s="4282"/>
      <c r="D736" s="2929"/>
      <c r="E736" s="4282"/>
      <c r="F736" s="4282"/>
      <c r="G736" s="4282"/>
      <c r="H736" s="2929"/>
      <c r="I736" s="4282"/>
      <c r="J736" s="4282"/>
      <c r="K736" s="4287"/>
      <c r="L736" s="4287"/>
      <c r="M736" s="1925" t="s">
        <v>194</v>
      </c>
      <c r="N736" s="1925" t="s">
        <v>1372</v>
      </c>
      <c r="O736" s="1636">
        <f>140*2*3</f>
        <v>840</v>
      </c>
      <c r="P736" s="1636"/>
      <c r="Q736" s="1636"/>
      <c r="R736" s="1636">
        <f>140*2*3</f>
        <v>840</v>
      </c>
      <c r="S736" s="1636"/>
      <c r="T736" s="1636"/>
      <c r="U736" s="1636">
        <f>200*3.3*2*4+840</f>
        <v>6120</v>
      </c>
      <c r="V736" s="1636"/>
      <c r="W736" s="1636">
        <f>140*2*3</f>
        <v>840</v>
      </c>
      <c r="X736" s="1636"/>
      <c r="Y736" s="352"/>
      <c r="Z736" s="352"/>
      <c r="AA736" s="1592">
        <f>SUM(O736:Z736)</f>
        <v>8640</v>
      </c>
    </row>
    <row r="737" spans="2:27" x14ac:dyDescent="0.25">
      <c r="B737" s="4450"/>
      <c r="C737" s="4282"/>
      <c r="D737" s="2929"/>
      <c r="E737" s="4282"/>
      <c r="F737" s="4282"/>
      <c r="G737" s="4282"/>
      <c r="H737" s="2929"/>
      <c r="I737" s="4282"/>
      <c r="J737" s="4282"/>
      <c r="K737" s="4287"/>
      <c r="L737" s="4287"/>
      <c r="M737" s="1925" t="s">
        <v>541</v>
      </c>
      <c r="N737" s="1925" t="s">
        <v>1369</v>
      </c>
      <c r="O737" s="1636">
        <f>160*2</f>
        <v>320</v>
      </c>
      <c r="P737" s="1636"/>
      <c r="Q737" s="1636"/>
      <c r="R737" s="1636">
        <f>160*2</f>
        <v>320</v>
      </c>
      <c r="S737" s="1636"/>
      <c r="T737" s="1636"/>
      <c r="U737" s="1636">
        <f>400*2+320</f>
        <v>1120</v>
      </c>
      <c r="V737" s="1636"/>
      <c r="W737" s="1636">
        <f>160*2</f>
        <v>320</v>
      </c>
      <c r="X737" s="1636"/>
      <c r="Y737" s="352"/>
      <c r="Z737" s="352"/>
      <c r="AA737" s="1592">
        <f>SUM(O737:Z737)</f>
        <v>2080</v>
      </c>
    </row>
    <row r="738" spans="2:27" ht="21.75" customHeight="1" x14ac:dyDescent="0.25">
      <c r="B738" s="4451"/>
      <c r="C738" s="2354"/>
      <c r="D738" s="2930"/>
      <c r="E738" s="2354"/>
      <c r="F738" s="2354"/>
      <c r="G738" s="2354"/>
      <c r="H738" s="2930"/>
      <c r="I738" s="2354"/>
      <c r="J738" s="2354"/>
      <c r="K738" s="4288"/>
      <c r="L738" s="4288"/>
      <c r="M738" s="307" t="s">
        <v>1452</v>
      </c>
      <c r="N738" s="307" t="s">
        <v>1477</v>
      </c>
      <c r="O738" s="1636">
        <f t="shared" ref="O738:T738" si="80">17*7</f>
        <v>119</v>
      </c>
      <c r="P738" s="1636">
        <f t="shared" si="80"/>
        <v>119</v>
      </c>
      <c r="Q738" s="1636">
        <f t="shared" si="80"/>
        <v>119</v>
      </c>
      <c r="R738" s="1636">
        <f t="shared" si="80"/>
        <v>119</v>
      </c>
      <c r="S738" s="1636">
        <f t="shared" si="80"/>
        <v>119</v>
      </c>
      <c r="T738" s="1636">
        <f t="shared" si="80"/>
        <v>119</v>
      </c>
      <c r="U738" s="1636"/>
      <c r="V738" s="1636"/>
      <c r="W738" s="1636">
        <f>17*7</f>
        <v>119</v>
      </c>
      <c r="X738" s="1636">
        <f>17*7</f>
        <v>119</v>
      </c>
      <c r="Y738" s="352"/>
      <c r="Z738" s="352"/>
      <c r="AA738" s="1592">
        <f>SUM(O738:Z738)</f>
        <v>952</v>
      </c>
    </row>
    <row r="739" spans="2:27" ht="15" customHeight="1" x14ac:dyDescent="0.25">
      <c r="B739" s="4449"/>
      <c r="C739" s="2353"/>
      <c r="D739" s="2928" t="s">
        <v>2954</v>
      </c>
      <c r="E739" s="2353"/>
      <c r="F739" s="2353"/>
      <c r="G739" s="2353"/>
      <c r="H739" s="2928" t="s">
        <v>2955</v>
      </c>
      <c r="I739" s="2353" t="s">
        <v>2420</v>
      </c>
      <c r="J739" s="2353">
        <v>1</v>
      </c>
      <c r="K739" s="4286">
        <f>AA740</f>
        <v>3640</v>
      </c>
      <c r="L739" s="4286" t="s">
        <v>2953</v>
      </c>
      <c r="M739" s="3673" t="s">
        <v>51</v>
      </c>
      <c r="N739" s="3674"/>
      <c r="O739" s="1636"/>
      <c r="P739" s="1636"/>
      <c r="Q739" s="1636"/>
      <c r="R739" s="1636"/>
      <c r="S739" s="1636"/>
      <c r="T739" s="1636"/>
      <c r="U739" s="1636"/>
      <c r="V739" s="1636"/>
      <c r="W739" s="1636"/>
      <c r="X739" s="1636"/>
      <c r="Y739" s="1636"/>
      <c r="Z739" s="1636"/>
      <c r="AA739" s="1592"/>
    </row>
    <row r="740" spans="2:27" x14ac:dyDescent="0.25">
      <c r="B740" s="4450"/>
      <c r="C740" s="4282"/>
      <c r="D740" s="2929"/>
      <c r="E740" s="4282"/>
      <c r="F740" s="4282"/>
      <c r="G740" s="4282"/>
      <c r="H740" s="2929"/>
      <c r="I740" s="4282"/>
      <c r="J740" s="4282"/>
      <c r="K740" s="4287"/>
      <c r="L740" s="4287"/>
      <c r="M740" s="3673" t="s">
        <v>111</v>
      </c>
      <c r="N740" s="3674"/>
      <c r="O740" s="1592">
        <f t="shared" ref="O740:Z740" si="81">SUM(O741:O742)</f>
        <v>0</v>
      </c>
      <c r="P740" s="1592">
        <f t="shared" si="81"/>
        <v>910</v>
      </c>
      <c r="Q740" s="1592">
        <f t="shared" si="81"/>
        <v>0</v>
      </c>
      <c r="R740" s="1592">
        <f t="shared" si="81"/>
        <v>0</v>
      </c>
      <c r="S740" s="1592">
        <f t="shared" si="81"/>
        <v>910</v>
      </c>
      <c r="T740" s="1592">
        <f t="shared" si="81"/>
        <v>0</v>
      </c>
      <c r="U740" s="1592">
        <f t="shared" si="81"/>
        <v>0</v>
      </c>
      <c r="V740" s="1592">
        <f t="shared" si="81"/>
        <v>910</v>
      </c>
      <c r="W740" s="1592">
        <f t="shared" si="81"/>
        <v>0</v>
      </c>
      <c r="X740" s="1592">
        <f t="shared" si="81"/>
        <v>0</v>
      </c>
      <c r="Y740" s="1592">
        <f t="shared" si="81"/>
        <v>910</v>
      </c>
      <c r="Z740" s="1592">
        <f t="shared" si="81"/>
        <v>0</v>
      </c>
      <c r="AA740" s="1592">
        <f>SUM(O740:Z740)</f>
        <v>3640</v>
      </c>
    </row>
    <row r="741" spans="2:27" x14ac:dyDescent="0.25">
      <c r="B741" s="4450"/>
      <c r="C741" s="4282"/>
      <c r="D741" s="2929"/>
      <c r="E741" s="4282"/>
      <c r="F741" s="4282"/>
      <c r="G741" s="4282"/>
      <c r="H741" s="2929"/>
      <c r="I741" s="4282"/>
      <c r="J741" s="4282"/>
      <c r="K741" s="4287"/>
      <c r="L741" s="4287"/>
      <c r="M741" s="1925" t="s">
        <v>194</v>
      </c>
      <c r="N741" s="1925" t="s">
        <v>1372</v>
      </c>
      <c r="O741" s="1636"/>
      <c r="P741" s="1636">
        <f>210*3</f>
        <v>630</v>
      </c>
      <c r="Q741" s="1636"/>
      <c r="R741" s="1636"/>
      <c r="S741" s="1636">
        <f>210*3</f>
        <v>630</v>
      </c>
      <c r="T741" s="1636"/>
      <c r="U741" s="1636"/>
      <c r="V741" s="1636">
        <f>210*3</f>
        <v>630</v>
      </c>
      <c r="W741" s="1636"/>
      <c r="X741" s="1636"/>
      <c r="Y741" s="1636">
        <f>210*3</f>
        <v>630</v>
      </c>
      <c r="Z741" s="352"/>
      <c r="AA741" s="1592">
        <f>SUM(O741:Z741)</f>
        <v>2520</v>
      </c>
    </row>
    <row r="742" spans="2:27" ht="18" customHeight="1" x14ac:dyDescent="0.25">
      <c r="B742" s="4450"/>
      <c r="C742" s="4282"/>
      <c r="D742" s="2929"/>
      <c r="E742" s="4282"/>
      <c r="F742" s="4282"/>
      <c r="G742" s="4282"/>
      <c r="H742" s="2929"/>
      <c r="I742" s="4282"/>
      <c r="J742" s="4282"/>
      <c r="K742" s="4287"/>
      <c r="L742" s="4288"/>
      <c r="M742" s="1925" t="s">
        <v>541</v>
      </c>
      <c r="N742" s="1925" t="s">
        <v>1369</v>
      </c>
      <c r="O742" s="1636"/>
      <c r="P742" s="1636">
        <v>280</v>
      </c>
      <c r="Q742" s="1636"/>
      <c r="R742" s="1636"/>
      <c r="S742" s="1636">
        <v>280</v>
      </c>
      <c r="T742" s="1636"/>
      <c r="U742" s="1636"/>
      <c r="V742" s="1636">
        <v>280</v>
      </c>
      <c r="W742" s="1636"/>
      <c r="X742" s="1636"/>
      <c r="Y742" s="1636">
        <v>280</v>
      </c>
      <c r="Z742" s="352"/>
      <c r="AA742" s="1592">
        <f>SUM(O742:Z742)</f>
        <v>1120</v>
      </c>
    </row>
    <row r="743" spans="2:27" ht="15" customHeight="1" x14ac:dyDescent="0.25">
      <c r="B743" s="4449"/>
      <c r="C743" s="2353"/>
      <c r="D743" s="2928" t="s">
        <v>2956</v>
      </c>
      <c r="E743" s="2353"/>
      <c r="F743" s="2353"/>
      <c r="G743" s="2353"/>
      <c r="H743" s="2928" t="s">
        <v>2957</v>
      </c>
      <c r="I743" s="2931" t="s">
        <v>2420</v>
      </c>
      <c r="J743" s="2353">
        <v>1</v>
      </c>
      <c r="K743" s="4286">
        <f>AA744</f>
        <v>349523</v>
      </c>
      <c r="L743" s="4286" t="s">
        <v>2958</v>
      </c>
      <c r="M743" s="3673" t="s">
        <v>51</v>
      </c>
      <c r="N743" s="3674"/>
      <c r="O743" s="1636"/>
      <c r="P743" s="1636"/>
      <c r="Q743" s="1636"/>
      <c r="R743" s="1636"/>
      <c r="S743" s="1636"/>
      <c r="T743" s="1636"/>
      <c r="U743" s="1636"/>
      <c r="V743" s="1636"/>
      <c r="W743" s="1636"/>
      <c r="X743" s="1636"/>
      <c r="Y743" s="1636"/>
      <c r="Z743" s="1636"/>
      <c r="AA743" s="1592"/>
    </row>
    <row r="744" spans="2:27" x14ac:dyDescent="0.25">
      <c r="B744" s="4450"/>
      <c r="C744" s="4282"/>
      <c r="D744" s="2929"/>
      <c r="E744" s="4282"/>
      <c r="F744" s="4282"/>
      <c r="G744" s="4282"/>
      <c r="H744" s="2929"/>
      <c r="I744" s="2931"/>
      <c r="J744" s="4282"/>
      <c r="K744" s="4287"/>
      <c r="L744" s="4287"/>
      <c r="M744" s="3673" t="s">
        <v>111</v>
      </c>
      <c r="N744" s="3674"/>
      <c r="O744" s="1592">
        <f>SUM(O745:O752)</f>
        <v>35843</v>
      </c>
      <c r="P744" s="1592">
        <f t="shared" ref="P744:Z744" si="82">SUM(P746:P752)</f>
        <v>19270</v>
      </c>
      <c r="Q744" s="1592">
        <f t="shared" si="82"/>
        <v>39120</v>
      </c>
      <c r="R744" s="1592">
        <f t="shared" si="82"/>
        <v>27090</v>
      </c>
      <c r="S744" s="1592">
        <f t="shared" si="82"/>
        <v>48660</v>
      </c>
      <c r="T744" s="1592">
        <f t="shared" si="82"/>
        <v>33480</v>
      </c>
      <c r="U744" s="1592">
        <f t="shared" si="82"/>
        <v>24480</v>
      </c>
      <c r="V744" s="1592">
        <f t="shared" si="82"/>
        <v>12300</v>
      </c>
      <c r="W744" s="1592">
        <f t="shared" si="82"/>
        <v>48660</v>
      </c>
      <c r="X744" s="1592">
        <f t="shared" si="82"/>
        <v>23840</v>
      </c>
      <c r="Y744" s="1592">
        <f t="shared" si="82"/>
        <v>24480</v>
      </c>
      <c r="Z744" s="1592">
        <f t="shared" si="82"/>
        <v>12300</v>
      </c>
      <c r="AA744" s="1592">
        <f t="shared" ref="AA744:AA752" si="83">SUM(O744:Z744)</f>
        <v>349523</v>
      </c>
    </row>
    <row r="745" spans="2:27" ht="22.5" x14ac:dyDescent="0.25">
      <c r="B745" s="4450"/>
      <c r="C745" s="4282"/>
      <c r="D745" s="2929"/>
      <c r="E745" s="4282"/>
      <c r="F745" s="4282"/>
      <c r="G745" s="4282"/>
      <c r="H745" s="2929"/>
      <c r="I745" s="2931"/>
      <c r="J745" s="4282"/>
      <c r="K745" s="4287"/>
      <c r="L745" s="4287"/>
      <c r="M745" s="877" t="s">
        <v>184</v>
      </c>
      <c r="N745" s="877" t="s">
        <v>1367</v>
      </c>
      <c r="O745" s="1636">
        <f>349+708+400</f>
        <v>1457</v>
      </c>
      <c r="P745" s="349"/>
      <c r="Q745" s="1636"/>
      <c r="R745" s="1636"/>
      <c r="S745" s="1636"/>
      <c r="T745" s="1636"/>
      <c r="U745" s="1592"/>
      <c r="V745" s="1592"/>
      <c r="W745" s="1592"/>
      <c r="X745" s="1592"/>
      <c r="Y745" s="1592"/>
      <c r="Z745" s="1592"/>
      <c r="AA745" s="1592">
        <f t="shared" si="83"/>
        <v>1457</v>
      </c>
    </row>
    <row r="746" spans="2:27" x14ac:dyDescent="0.25">
      <c r="B746" s="4450"/>
      <c r="C746" s="4282"/>
      <c r="D746" s="2929"/>
      <c r="E746" s="4282"/>
      <c r="F746" s="4282"/>
      <c r="G746" s="4282"/>
      <c r="H746" s="2929"/>
      <c r="I746" s="2931"/>
      <c r="J746" s="4282"/>
      <c r="K746" s="4287"/>
      <c r="L746" s="4287"/>
      <c r="M746" s="1925" t="s">
        <v>194</v>
      </c>
      <c r="N746" s="1925" t="s">
        <v>1372</v>
      </c>
      <c r="O746" s="1636"/>
      <c r="P746" s="1636">
        <f>140*3*5+140*7*4+2100+800+140*3*5</f>
        <v>11020</v>
      </c>
      <c r="Q746" s="1636">
        <f>140*7*4+800+2100+140*3*5+140*7*4+800+2100+140*3*5</f>
        <v>17840</v>
      </c>
      <c r="R746" s="1636">
        <f>140*7*4+2100+800+40*50*2+25*50*2</f>
        <v>13320</v>
      </c>
      <c r="S746" s="1636">
        <f>140*7*4*4+(2100+800)*4</f>
        <v>27280</v>
      </c>
      <c r="T746" s="1636">
        <f>140*7*4*2+(2100+800)*2</f>
        <v>13640</v>
      </c>
      <c r="U746" s="1636">
        <f>140*7*4*2+(2100+800)*2</f>
        <v>13640</v>
      </c>
      <c r="V746" s="1636">
        <f>40*50*2+25*50*2</f>
        <v>6500</v>
      </c>
      <c r="W746" s="1636">
        <f>140*7*4*4+(2100+800)*4</f>
        <v>27280</v>
      </c>
      <c r="X746" s="1636">
        <f>40*50*2+25*50*2+140*7*4+(2100+800)</f>
        <v>13320</v>
      </c>
      <c r="Y746" s="1636">
        <f>140*7*4*2+(2100+800)*2</f>
        <v>13640</v>
      </c>
      <c r="Z746" s="1636">
        <f>40*50*2+25*50*2</f>
        <v>6500</v>
      </c>
      <c r="AA746" s="1592">
        <f t="shared" si="83"/>
        <v>163980</v>
      </c>
    </row>
    <row r="747" spans="2:27" x14ac:dyDescent="0.25">
      <c r="B747" s="4450"/>
      <c r="C747" s="4282"/>
      <c r="D747" s="2929"/>
      <c r="E747" s="4282"/>
      <c r="F747" s="4282"/>
      <c r="G747" s="4282"/>
      <c r="H747" s="2930"/>
      <c r="I747" s="2931"/>
      <c r="J747" s="4282"/>
      <c r="K747" s="4287"/>
      <c r="L747" s="4287"/>
      <c r="M747" s="1925" t="s">
        <v>215</v>
      </c>
      <c r="N747" s="1925" t="s">
        <v>1370</v>
      </c>
      <c r="O747" s="1636"/>
      <c r="P747" s="1636">
        <f>12*60+12*60+12*80</f>
        <v>2400</v>
      </c>
      <c r="Q747" s="1636">
        <f>12*60+12*60+12*60+12*60</f>
        <v>2880</v>
      </c>
      <c r="R747" s="1636">
        <f>12*60</f>
        <v>720</v>
      </c>
      <c r="S747" s="1636">
        <f>12*60*4</f>
        <v>2880</v>
      </c>
      <c r="T747" s="1636">
        <f>12*60*2</f>
        <v>1440</v>
      </c>
      <c r="U747" s="1636">
        <f>12*60*2</f>
        <v>1440</v>
      </c>
      <c r="V747" s="1636"/>
      <c r="W747" s="1636">
        <f>12*60*4</f>
        <v>2880</v>
      </c>
      <c r="X747" s="1636">
        <f>12*60</f>
        <v>720</v>
      </c>
      <c r="Y747" s="1636">
        <f>12*60*2</f>
        <v>1440</v>
      </c>
      <c r="Z747" s="1636"/>
      <c r="AA747" s="1592">
        <f t="shared" si="83"/>
        <v>16800</v>
      </c>
    </row>
    <row r="748" spans="2:27" ht="15" customHeight="1" x14ac:dyDescent="0.25">
      <c r="B748" s="4450"/>
      <c r="C748" s="4282"/>
      <c r="D748" s="2929"/>
      <c r="E748" s="4282"/>
      <c r="F748" s="4282"/>
      <c r="G748" s="4282"/>
      <c r="H748" s="2928" t="s">
        <v>3703</v>
      </c>
      <c r="I748" s="2931" t="s">
        <v>2420</v>
      </c>
      <c r="J748" s="4282"/>
      <c r="K748" s="4287"/>
      <c r="L748" s="4287"/>
      <c r="M748" s="307" t="s">
        <v>1452</v>
      </c>
      <c r="N748" s="307" t="s">
        <v>1477</v>
      </c>
      <c r="O748" s="1636"/>
      <c r="P748" s="1636">
        <f>1000+3500</f>
        <v>4500</v>
      </c>
      <c r="Q748" s="1636">
        <f>3500*2</f>
        <v>7000</v>
      </c>
      <c r="R748" s="1636">
        <f>3500+4*10*100</f>
        <v>7500</v>
      </c>
      <c r="S748" s="1636">
        <f>3500*4</f>
        <v>14000</v>
      </c>
      <c r="T748" s="1636">
        <f>3500*2</f>
        <v>7000</v>
      </c>
      <c r="U748" s="1636">
        <f>3500*2</f>
        <v>7000</v>
      </c>
      <c r="V748" s="1636">
        <f>4*10*100</f>
        <v>4000</v>
      </c>
      <c r="W748" s="1636">
        <f>3500*4</f>
        <v>14000</v>
      </c>
      <c r="X748" s="1636">
        <f>4*10*100+3500</f>
        <v>7500</v>
      </c>
      <c r="Y748" s="1636">
        <f>3500*2</f>
        <v>7000</v>
      </c>
      <c r="Z748" s="1636">
        <f>4*10*100</f>
        <v>4000</v>
      </c>
      <c r="AA748" s="1592">
        <f t="shared" si="83"/>
        <v>83500</v>
      </c>
    </row>
    <row r="749" spans="2:27" ht="22.5" x14ac:dyDescent="0.25">
      <c r="B749" s="4450"/>
      <c r="C749" s="4282"/>
      <c r="D749" s="2929"/>
      <c r="E749" s="4282"/>
      <c r="F749" s="4282"/>
      <c r="G749" s="4282"/>
      <c r="H749" s="2929"/>
      <c r="I749" s="2931"/>
      <c r="J749" s="4282"/>
      <c r="K749" s="4287"/>
      <c r="L749" s="4287"/>
      <c r="M749" s="307" t="s">
        <v>200</v>
      </c>
      <c r="N749" s="307" t="s">
        <v>1441</v>
      </c>
      <c r="O749" s="1636">
        <f>6500+2000+360+150*4</f>
        <v>9460</v>
      </c>
      <c r="P749" s="1636">
        <v>300</v>
      </c>
      <c r="Q749" s="1636">
        <v>300</v>
      </c>
      <c r="R749" s="1636">
        <v>300</v>
      </c>
      <c r="S749" s="1636">
        <v>300</v>
      </c>
      <c r="T749" s="1636">
        <v>300</v>
      </c>
      <c r="U749" s="1636">
        <v>300</v>
      </c>
      <c r="V749" s="1636">
        <v>300</v>
      </c>
      <c r="W749" s="1636">
        <v>300</v>
      </c>
      <c r="X749" s="1636">
        <v>300</v>
      </c>
      <c r="Y749" s="1636">
        <v>300</v>
      </c>
      <c r="Z749" s="1636">
        <v>300</v>
      </c>
      <c r="AA749" s="1592">
        <f t="shared" si="83"/>
        <v>12760</v>
      </c>
    </row>
    <row r="750" spans="2:27" ht="22.5" x14ac:dyDescent="0.25">
      <c r="B750" s="4450"/>
      <c r="C750" s="4282"/>
      <c r="D750" s="2929"/>
      <c r="E750" s="4282"/>
      <c r="F750" s="4282"/>
      <c r="G750" s="4282"/>
      <c r="H750" s="2929"/>
      <c r="I750" s="2931"/>
      <c r="J750" s="4282"/>
      <c r="K750" s="4287"/>
      <c r="L750" s="4287"/>
      <c r="M750" s="307" t="s">
        <v>1454</v>
      </c>
      <c r="N750" s="307" t="s">
        <v>1478</v>
      </c>
      <c r="O750" s="1636">
        <v>6000</v>
      </c>
      <c r="P750" s="1636">
        <v>250</v>
      </c>
      <c r="Q750" s="1636">
        <f>250*2+9000</f>
        <v>9500</v>
      </c>
      <c r="R750" s="1636">
        <f>250+1500</f>
        <v>1750</v>
      </c>
      <c r="S750" s="1636">
        <f>250*4</f>
        <v>1000</v>
      </c>
      <c r="T750" s="1636">
        <f>500+9000</f>
        <v>9500</v>
      </c>
      <c r="U750" s="1636">
        <v>500</v>
      </c>
      <c r="V750" s="1636">
        <v>1500</v>
      </c>
      <c r="W750" s="1636">
        <f>250*4</f>
        <v>1000</v>
      </c>
      <c r="X750" s="1636">
        <f>1500+500</f>
        <v>2000</v>
      </c>
      <c r="Y750" s="1636">
        <v>500</v>
      </c>
      <c r="Z750" s="1636">
        <v>1500</v>
      </c>
      <c r="AA750" s="1592">
        <f t="shared" si="83"/>
        <v>35000</v>
      </c>
    </row>
    <row r="751" spans="2:27" x14ac:dyDescent="0.25">
      <c r="B751" s="4450"/>
      <c r="C751" s="4282"/>
      <c r="D751" s="2929"/>
      <c r="E751" s="4282"/>
      <c r="F751" s="4282"/>
      <c r="G751" s="4282"/>
      <c r="H751" s="2929"/>
      <c r="I751" s="2931"/>
      <c r="J751" s="4282"/>
      <c r="K751" s="4287"/>
      <c r="L751" s="4287"/>
      <c r="M751" s="1925" t="s">
        <v>541</v>
      </c>
      <c r="N751" s="1925" t="s">
        <v>1369</v>
      </c>
      <c r="O751" s="1636"/>
      <c r="P751" s="1636">
        <v>800</v>
      </c>
      <c r="Q751" s="1636">
        <f>800*2</f>
        <v>1600</v>
      </c>
      <c r="R751" s="1636">
        <f>800+15*60+40*45</f>
        <v>3500</v>
      </c>
      <c r="S751" s="1636">
        <f>800*4</f>
        <v>3200</v>
      </c>
      <c r="T751" s="1636">
        <f>800*2</f>
        <v>1600</v>
      </c>
      <c r="U751" s="1636">
        <f>800*2</f>
        <v>1600</v>
      </c>
      <c r="V751" s="1636"/>
      <c r="W751" s="1636">
        <f>800*4</f>
        <v>3200</v>
      </c>
      <c r="X751" s="1636"/>
      <c r="Y751" s="1636">
        <f>800*2</f>
        <v>1600</v>
      </c>
      <c r="Z751" s="352"/>
      <c r="AA751" s="1592">
        <f t="shared" si="83"/>
        <v>17100</v>
      </c>
    </row>
    <row r="752" spans="2:27" ht="22.5" x14ac:dyDescent="0.25">
      <c r="B752" s="4451"/>
      <c r="C752" s="2354"/>
      <c r="D752" s="2930"/>
      <c r="E752" s="2354"/>
      <c r="F752" s="2354"/>
      <c r="G752" s="2354"/>
      <c r="H752" s="2930"/>
      <c r="I752" s="2931"/>
      <c r="J752" s="2354"/>
      <c r="K752" s="4288"/>
      <c r="L752" s="4288"/>
      <c r="M752" s="307" t="s">
        <v>1443</v>
      </c>
      <c r="N752" s="307" t="s">
        <v>1444</v>
      </c>
      <c r="O752" s="1636">
        <f>8000+8926+2000</f>
        <v>18926</v>
      </c>
      <c r="P752" s="1636"/>
      <c r="Q752" s="1636"/>
      <c r="R752" s="1636"/>
      <c r="S752" s="1636"/>
      <c r="T752" s="1636"/>
      <c r="U752" s="1636"/>
      <c r="V752" s="1636"/>
      <c r="W752" s="1636"/>
      <c r="X752" s="1636"/>
      <c r="Y752" s="352"/>
      <c r="Z752" s="352"/>
      <c r="AA752" s="1592">
        <f t="shared" si="83"/>
        <v>18926</v>
      </c>
    </row>
    <row r="753" spans="2:27" ht="15" customHeight="1" x14ac:dyDescent="0.25">
      <c r="B753" s="4449"/>
      <c r="C753" s="2353"/>
      <c r="D753" s="2928" t="s">
        <v>2959</v>
      </c>
      <c r="E753" s="2353"/>
      <c r="F753" s="2353"/>
      <c r="G753" s="2353"/>
      <c r="H753" s="2928" t="s">
        <v>3704</v>
      </c>
      <c r="I753" s="2353" t="s">
        <v>2420</v>
      </c>
      <c r="J753" s="2353">
        <v>1</v>
      </c>
      <c r="K753" s="4286">
        <f>AA754</f>
        <v>69620</v>
      </c>
      <c r="L753" s="4286" t="s">
        <v>2958</v>
      </c>
      <c r="M753" s="3673" t="s">
        <v>51</v>
      </c>
      <c r="N753" s="3674"/>
      <c r="O753" s="1636"/>
      <c r="P753" s="1636"/>
      <c r="Q753" s="1636"/>
      <c r="R753" s="1636"/>
      <c r="S753" s="1636"/>
      <c r="T753" s="1636"/>
      <c r="U753" s="1636"/>
      <c r="V753" s="1636"/>
      <c r="W753" s="1636"/>
      <c r="X753" s="1636"/>
      <c r="Y753" s="1636"/>
      <c r="Z753" s="1592">
        <v>1</v>
      </c>
      <c r="AA753" s="1592"/>
    </row>
    <row r="754" spans="2:27" x14ac:dyDescent="0.25">
      <c r="B754" s="4450"/>
      <c r="C754" s="4282"/>
      <c r="D754" s="2929"/>
      <c r="E754" s="4282"/>
      <c r="F754" s="4282"/>
      <c r="G754" s="4282"/>
      <c r="H754" s="2929"/>
      <c r="I754" s="4282"/>
      <c r="J754" s="4282"/>
      <c r="K754" s="4287"/>
      <c r="L754" s="4287"/>
      <c r="M754" s="3673" t="s">
        <v>111</v>
      </c>
      <c r="N754" s="3674"/>
      <c r="O754" s="1592">
        <f t="shared" ref="O754:Z754" si="84">SUM(O756:O761)</f>
        <v>0</v>
      </c>
      <c r="P754" s="1592">
        <f t="shared" si="84"/>
        <v>0</v>
      </c>
      <c r="Q754" s="1592">
        <f t="shared" si="84"/>
        <v>0</v>
      </c>
      <c r="R754" s="1592">
        <f t="shared" si="84"/>
        <v>0</v>
      </c>
      <c r="S754" s="1592">
        <f t="shared" si="84"/>
        <v>0</v>
      </c>
      <c r="T754" s="1592">
        <f t="shared" si="84"/>
        <v>0</v>
      </c>
      <c r="U754" s="1592">
        <f t="shared" si="84"/>
        <v>0</v>
      </c>
      <c r="V754" s="1592">
        <f t="shared" si="84"/>
        <v>0</v>
      </c>
      <c r="W754" s="1592">
        <f t="shared" si="84"/>
        <v>0</v>
      </c>
      <c r="X754" s="1592">
        <f t="shared" si="84"/>
        <v>32840</v>
      </c>
      <c r="Y754" s="1592">
        <f t="shared" si="84"/>
        <v>24480</v>
      </c>
      <c r="Z754" s="1592">
        <f t="shared" si="84"/>
        <v>12300</v>
      </c>
      <c r="AA754" s="1592">
        <f t="shared" ref="AA754:AA761" si="85">SUM(O754:Z754)</f>
        <v>69620</v>
      </c>
    </row>
    <row r="755" spans="2:27" ht="22.5" x14ac:dyDescent="0.25">
      <c r="B755" s="4450"/>
      <c r="C755" s="4282"/>
      <c r="D755" s="2929"/>
      <c r="E755" s="4282"/>
      <c r="F755" s="4282"/>
      <c r="G755" s="4282"/>
      <c r="H755" s="2929"/>
      <c r="I755" s="4282"/>
      <c r="J755" s="4282"/>
      <c r="K755" s="4287"/>
      <c r="L755" s="4287"/>
      <c r="M755" s="877" t="s">
        <v>184</v>
      </c>
      <c r="N755" s="877" t="s">
        <v>1367</v>
      </c>
      <c r="O755" s="1636"/>
      <c r="P755" s="349"/>
      <c r="Q755" s="1636"/>
      <c r="R755" s="1636"/>
      <c r="S755" s="1636"/>
      <c r="T755" s="1636"/>
      <c r="U755" s="1592"/>
      <c r="V755" s="1592"/>
      <c r="W755" s="1592"/>
      <c r="X755" s="1592"/>
      <c r="Y755" s="1592"/>
      <c r="Z755" s="1592"/>
      <c r="AA755" s="1592">
        <f t="shared" si="85"/>
        <v>0</v>
      </c>
    </row>
    <row r="756" spans="2:27" x14ac:dyDescent="0.25">
      <c r="B756" s="4450"/>
      <c r="C756" s="4282"/>
      <c r="D756" s="2929"/>
      <c r="E756" s="4282"/>
      <c r="F756" s="4282"/>
      <c r="G756" s="4282"/>
      <c r="H756" s="2929"/>
      <c r="I756" s="4282"/>
      <c r="J756" s="4282"/>
      <c r="K756" s="4287"/>
      <c r="L756" s="4287"/>
      <c r="M756" s="1925" t="s">
        <v>194</v>
      </c>
      <c r="N756" s="1925" t="s">
        <v>1372</v>
      </c>
      <c r="O756" s="1636"/>
      <c r="P756" s="1636"/>
      <c r="Q756" s="1636"/>
      <c r="R756" s="1636"/>
      <c r="S756" s="1636"/>
      <c r="T756" s="1636"/>
      <c r="U756" s="1636"/>
      <c r="V756" s="1636"/>
      <c r="W756" s="1636"/>
      <c r="X756" s="1636">
        <f>40*50*2+25*50*2+140*7*4+(2100+800)</f>
        <v>13320</v>
      </c>
      <c r="Y756" s="1636">
        <f>140*7*4*2+(2100+800)*2</f>
        <v>13640</v>
      </c>
      <c r="Z756" s="1636">
        <f>40*50*2+25*50*2</f>
        <v>6500</v>
      </c>
      <c r="AA756" s="1592">
        <f t="shared" si="85"/>
        <v>33460</v>
      </c>
    </row>
    <row r="757" spans="2:27" x14ac:dyDescent="0.25">
      <c r="B757" s="4450"/>
      <c r="C757" s="4282"/>
      <c r="D757" s="2929"/>
      <c r="E757" s="4282"/>
      <c r="F757" s="4282"/>
      <c r="G757" s="4282"/>
      <c r="H757" s="2929"/>
      <c r="I757" s="4282"/>
      <c r="J757" s="4282"/>
      <c r="K757" s="4287"/>
      <c r="L757" s="4287"/>
      <c r="M757" s="1925" t="s">
        <v>215</v>
      </c>
      <c r="N757" s="1925" t="s">
        <v>1370</v>
      </c>
      <c r="O757" s="1636"/>
      <c r="P757" s="1636"/>
      <c r="Q757" s="1636"/>
      <c r="R757" s="1636"/>
      <c r="S757" s="1636"/>
      <c r="T757" s="1636"/>
      <c r="U757" s="1636"/>
      <c r="V757" s="1636"/>
      <c r="W757" s="1636"/>
      <c r="X757" s="1636">
        <f>12*60</f>
        <v>720</v>
      </c>
      <c r="Y757" s="1636">
        <f>12*60*2</f>
        <v>1440</v>
      </c>
      <c r="Z757" s="1636"/>
      <c r="AA757" s="1592">
        <f t="shared" si="85"/>
        <v>2160</v>
      </c>
    </row>
    <row r="758" spans="2:27" ht="22.5" x14ac:dyDescent="0.25">
      <c r="B758" s="4450"/>
      <c r="C758" s="4282"/>
      <c r="D758" s="2929"/>
      <c r="E758" s="4282"/>
      <c r="F758" s="4282"/>
      <c r="G758" s="4282"/>
      <c r="H758" s="2929"/>
      <c r="I758" s="4282"/>
      <c r="J758" s="4282"/>
      <c r="K758" s="4287"/>
      <c r="L758" s="4287"/>
      <c r="M758" s="307" t="s">
        <v>1452</v>
      </c>
      <c r="N758" s="307" t="s">
        <v>1477</v>
      </c>
      <c r="O758" s="1636"/>
      <c r="P758" s="1636"/>
      <c r="Q758" s="1636"/>
      <c r="R758" s="1636"/>
      <c r="S758" s="1636"/>
      <c r="T758" s="1636"/>
      <c r="U758" s="1636"/>
      <c r="V758" s="1636"/>
      <c r="W758" s="1636"/>
      <c r="X758" s="1636">
        <f>4*10*100+3500</f>
        <v>7500</v>
      </c>
      <c r="Y758" s="1636">
        <f>3500*2</f>
        <v>7000</v>
      </c>
      <c r="Z758" s="1636">
        <f>4*10*100</f>
        <v>4000</v>
      </c>
      <c r="AA758" s="1592">
        <f t="shared" si="85"/>
        <v>18500</v>
      </c>
    </row>
    <row r="759" spans="2:27" ht="22.5" x14ac:dyDescent="0.25">
      <c r="B759" s="4450"/>
      <c r="C759" s="4282"/>
      <c r="D759" s="2929"/>
      <c r="E759" s="4282"/>
      <c r="F759" s="4282"/>
      <c r="G759" s="4282"/>
      <c r="H759" s="2929"/>
      <c r="I759" s="4282"/>
      <c r="J759" s="4282"/>
      <c r="K759" s="4287"/>
      <c r="L759" s="4287"/>
      <c r="M759" s="307" t="s">
        <v>200</v>
      </c>
      <c r="N759" s="307" t="s">
        <v>1441</v>
      </c>
      <c r="O759" s="1636"/>
      <c r="P759" s="1636"/>
      <c r="Q759" s="1636"/>
      <c r="R759" s="1636"/>
      <c r="S759" s="1636"/>
      <c r="T759" s="1636"/>
      <c r="U759" s="1636"/>
      <c r="V759" s="1636"/>
      <c r="W759" s="1636"/>
      <c r="X759" s="1636">
        <v>300</v>
      </c>
      <c r="Y759" s="1636">
        <v>300</v>
      </c>
      <c r="Z759" s="1636">
        <v>300</v>
      </c>
      <c r="AA759" s="1592">
        <f t="shared" si="85"/>
        <v>900</v>
      </c>
    </row>
    <row r="760" spans="2:27" ht="22.5" x14ac:dyDescent="0.25">
      <c r="B760" s="4450"/>
      <c r="C760" s="4282"/>
      <c r="D760" s="2929"/>
      <c r="E760" s="4282"/>
      <c r="F760" s="4282"/>
      <c r="G760" s="4282"/>
      <c r="H760" s="2929"/>
      <c r="I760" s="4282"/>
      <c r="J760" s="4282"/>
      <c r="K760" s="4287"/>
      <c r="L760" s="4287"/>
      <c r="M760" s="307" t="s">
        <v>1454</v>
      </c>
      <c r="N760" s="307" t="s">
        <v>1478</v>
      </c>
      <c r="O760" s="1636"/>
      <c r="P760" s="1636"/>
      <c r="Q760" s="1636"/>
      <c r="R760" s="1636"/>
      <c r="S760" s="1636"/>
      <c r="T760" s="1636"/>
      <c r="U760" s="1636"/>
      <c r="V760" s="1636"/>
      <c r="W760" s="1636"/>
      <c r="X760" s="1636">
        <f>1500+500+9000</f>
        <v>11000</v>
      </c>
      <c r="Y760" s="1636">
        <v>500</v>
      </c>
      <c r="Z760" s="1636">
        <v>1500</v>
      </c>
      <c r="AA760" s="1592">
        <f t="shared" si="85"/>
        <v>13000</v>
      </c>
    </row>
    <row r="761" spans="2:27" x14ac:dyDescent="0.25">
      <c r="B761" s="4450"/>
      <c r="C761" s="4282"/>
      <c r="D761" s="2929"/>
      <c r="E761" s="4282"/>
      <c r="F761" s="4282"/>
      <c r="G761" s="4282"/>
      <c r="H761" s="2929"/>
      <c r="I761" s="4282"/>
      <c r="J761" s="4282"/>
      <c r="K761" s="4287"/>
      <c r="L761" s="4288"/>
      <c r="M761" s="1925" t="s">
        <v>541</v>
      </c>
      <c r="N761" s="1925" t="s">
        <v>1369</v>
      </c>
      <c r="O761" s="1636"/>
      <c r="P761" s="1636"/>
      <c r="Q761" s="1636"/>
      <c r="R761" s="1636"/>
      <c r="S761" s="1636"/>
      <c r="T761" s="1636"/>
      <c r="U761" s="1636"/>
      <c r="V761" s="1636"/>
      <c r="W761" s="1636"/>
      <c r="X761" s="1636"/>
      <c r="Y761" s="1636">
        <f>800*2</f>
        <v>1600</v>
      </c>
      <c r="Z761" s="352"/>
      <c r="AA761" s="1592">
        <f t="shared" si="85"/>
        <v>1600</v>
      </c>
    </row>
    <row r="762" spans="2:27" ht="15" customHeight="1" x14ac:dyDescent="0.25">
      <c r="B762" s="4449"/>
      <c r="C762" s="2353"/>
      <c r="D762" s="2928" t="s">
        <v>2960</v>
      </c>
      <c r="E762" s="2353"/>
      <c r="F762" s="2353"/>
      <c r="G762" s="2353"/>
      <c r="H762" s="4443" t="s">
        <v>2961</v>
      </c>
      <c r="I762" s="2931" t="s">
        <v>2962</v>
      </c>
      <c r="J762" s="2931">
        <v>1</v>
      </c>
      <c r="K762" s="4286">
        <f>AA763</f>
        <v>6320</v>
      </c>
      <c r="L762" s="4286" t="s">
        <v>2963</v>
      </c>
      <c r="M762" s="3673" t="s">
        <v>51</v>
      </c>
      <c r="N762" s="3674"/>
      <c r="O762" s="1636"/>
      <c r="P762" s="1636"/>
      <c r="Q762" s="1592">
        <v>1</v>
      </c>
      <c r="R762" s="1636"/>
      <c r="S762" s="1636"/>
      <c r="T762" s="1636"/>
      <c r="U762" s="1636"/>
      <c r="V762" s="1636"/>
      <c r="W762" s="1636"/>
      <c r="X762" s="1636"/>
      <c r="Y762" s="1636"/>
      <c r="Z762" s="1636"/>
      <c r="AA762" s="1592"/>
    </row>
    <row r="763" spans="2:27" x14ac:dyDescent="0.25">
      <c r="B763" s="4450"/>
      <c r="C763" s="4282"/>
      <c r="D763" s="2929"/>
      <c r="E763" s="4282"/>
      <c r="F763" s="4282"/>
      <c r="G763" s="4282"/>
      <c r="H763" s="4443"/>
      <c r="I763" s="2931"/>
      <c r="J763" s="2931"/>
      <c r="K763" s="4287"/>
      <c r="L763" s="4287"/>
      <c r="M763" s="3673" t="s">
        <v>111</v>
      </c>
      <c r="N763" s="3674"/>
      <c r="O763" s="1592">
        <f t="shared" ref="O763:Z763" si="86">SUM(O764:O766)</f>
        <v>0</v>
      </c>
      <c r="P763" s="1592">
        <f t="shared" si="86"/>
        <v>1810</v>
      </c>
      <c r="Q763" s="1592">
        <f t="shared" si="86"/>
        <v>910</v>
      </c>
      <c r="R763" s="1592">
        <f t="shared" si="86"/>
        <v>890</v>
      </c>
      <c r="S763" s="1592">
        <f t="shared" si="86"/>
        <v>910</v>
      </c>
      <c r="T763" s="1592">
        <f t="shared" si="86"/>
        <v>890</v>
      </c>
      <c r="U763" s="1592">
        <f t="shared" si="86"/>
        <v>0</v>
      </c>
      <c r="V763" s="1592">
        <f t="shared" si="86"/>
        <v>0</v>
      </c>
      <c r="W763" s="1592">
        <f t="shared" si="86"/>
        <v>0</v>
      </c>
      <c r="X763" s="1592">
        <f t="shared" si="86"/>
        <v>910</v>
      </c>
      <c r="Y763" s="1592">
        <f t="shared" si="86"/>
        <v>0</v>
      </c>
      <c r="Z763" s="1592">
        <f t="shared" si="86"/>
        <v>0</v>
      </c>
      <c r="AA763" s="1592">
        <f>SUM(O763:Z763)</f>
        <v>6320</v>
      </c>
    </row>
    <row r="764" spans="2:27" ht="16.5" customHeight="1" x14ac:dyDescent="0.25">
      <c r="B764" s="4450"/>
      <c r="C764" s="4282"/>
      <c r="D764" s="2929"/>
      <c r="E764" s="4282"/>
      <c r="F764" s="4282"/>
      <c r="G764" s="4282"/>
      <c r="H764" s="4443"/>
      <c r="I764" s="2931"/>
      <c r="J764" s="2931"/>
      <c r="K764" s="4287"/>
      <c r="L764" s="4287"/>
      <c r="M764" s="1925" t="s">
        <v>194</v>
      </c>
      <c r="N764" s="1925" t="s">
        <v>1372</v>
      </c>
      <c r="O764" s="1636"/>
      <c r="P764" s="1636">
        <f>140*3*3</f>
        <v>1260</v>
      </c>
      <c r="Q764" s="1636">
        <f>210*3</f>
        <v>630</v>
      </c>
      <c r="R764" s="1636">
        <f>140*2*2</f>
        <v>560</v>
      </c>
      <c r="S764" s="1636">
        <f>210*3</f>
        <v>630</v>
      </c>
      <c r="T764" s="1636">
        <f>140*2*2</f>
        <v>560</v>
      </c>
      <c r="U764" s="1636"/>
      <c r="V764" s="1636"/>
      <c r="W764" s="1636"/>
      <c r="X764" s="1636">
        <f>210*3</f>
        <v>630</v>
      </c>
      <c r="Y764" s="352"/>
      <c r="Z764" s="352"/>
      <c r="AA764" s="1592">
        <f>SUM(O764:Z764)</f>
        <v>4270</v>
      </c>
    </row>
    <row r="765" spans="2:27" ht="15" customHeight="1" x14ac:dyDescent="0.25">
      <c r="B765" s="4450"/>
      <c r="C765" s="4282"/>
      <c r="D765" s="2929"/>
      <c r="E765" s="4282"/>
      <c r="F765" s="4282"/>
      <c r="G765" s="4282"/>
      <c r="H765" s="4443" t="s">
        <v>2964</v>
      </c>
      <c r="I765" s="4282" t="s">
        <v>2965</v>
      </c>
      <c r="J765" s="4282">
        <v>5</v>
      </c>
      <c r="K765" s="4287"/>
      <c r="L765" s="4287"/>
      <c r="M765" s="1925" t="s">
        <v>541</v>
      </c>
      <c r="N765" s="1925" t="s">
        <v>1369</v>
      </c>
      <c r="O765" s="1636"/>
      <c r="P765" s="1636">
        <f>85*2*2</f>
        <v>340</v>
      </c>
      <c r="Q765" s="1636">
        <v>280</v>
      </c>
      <c r="R765" s="1636">
        <f>60*2</f>
        <v>120</v>
      </c>
      <c r="S765" s="1636">
        <v>280</v>
      </c>
      <c r="T765" s="1636">
        <f>60*2</f>
        <v>120</v>
      </c>
      <c r="U765" s="1636"/>
      <c r="V765" s="1636"/>
      <c r="W765" s="1636"/>
      <c r="X765" s="1636">
        <v>280</v>
      </c>
      <c r="Y765" s="352"/>
      <c r="Z765" s="352"/>
      <c r="AA765" s="1592">
        <f>SUM(O765:Z765)</f>
        <v>1420</v>
      </c>
    </row>
    <row r="766" spans="2:27" ht="45.75" customHeight="1" x14ac:dyDescent="0.25">
      <c r="B766" s="4450"/>
      <c r="C766" s="4282"/>
      <c r="D766" s="2929"/>
      <c r="E766" s="4282"/>
      <c r="F766" s="4282"/>
      <c r="G766" s="4282"/>
      <c r="H766" s="4443"/>
      <c r="I766" s="2354"/>
      <c r="J766" s="2354"/>
      <c r="K766" s="4288"/>
      <c r="L766" s="4288"/>
      <c r="M766" s="307" t="s">
        <v>1452</v>
      </c>
      <c r="N766" s="307" t="s">
        <v>1477</v>
      </c>
      <c r="O766" s="1636"/>
      <c r="P766" s="1636">
        <f>30*7</f>
        <v>210</v>
      </c>
      <c r="Q766" s="1636"/>
      <c r="R766" s="1636">
        <f>30*7</f>
        <v>210</v>
      </c>
      <c r="S766" s="1636"/>
      <c r="T766" s="1636">
        <f>30*7</f>
        <v>210</v>
      </c>
      <c r="U766" s="1636"/>
      <c r="V766" s="1636"/>
      <c r="W766" s="1636"/>
      <c r="X766" s="1636"/>
      <c r="Y766" s="352"/>
      <c r="Z766" s="352"/>
      <c r="AA766" s="1592">
        <f>SUM(O766:Z766)</f>
        <v>630</v>
      </c>
    </row>
    <row r="767" spans="2:27" ht="15" customHeight="1" x14ac:dyDescent="0.25">
      <c r="B767" s="4448"/>
      <c r="C767" s="2931"/>
      <c r="D767" s="4443" t="s">
        <v>2966</v>
      </c>
      <c r="E767" s="2931"/>
      <c r="F767" s="2931"/>
      <c r="G767" s="2931"/>
      <c r="H767" s="4443" t="s">
        <v>2949</v>
      </c>
      <c r="I767" s="2931" t="s">
        <v>2420</v>
      </c>
      <c r="J767" s="2931">
        <v>1</v>
      </c>
      <c r="K767" s="4318">
        <f>AA768</f>
        <v>1840</v>
      </c>
      <c r="L767" s="4286" t="s">
        <v>2958</v>
      </c>
      <c r="M767" s="2913" t="s">
        <v>51</v>
      </c>
      <c r="N767" s="2913"/>
      <c r="O767" s="1636"/>
      <c r="P767" s="1636"/>
      <c r="Q767" s="1636"/>
      <c r="R767" s="1636"/>
      <c r="S767" s="1636"/>
      <c r="T767" s="1636"/>
      <c r="U767" s="1592">
        <v>1</v>
      </c>
      <c r="V767" s="1636"/>
      <c r="W767" s="1636"/>
      <c r="X767" s="1636"/>
      <c r="Y767" s="1636"/>
      <c r="Z767" s="1636"/>
      <c r="AA767" s="1592"/>
    </row>
    <row r="768" spans="2:27" x14ac:dyDescent="0.25">
      <c r="B768" s="4448"/>
      <c r="C768" s="2931"/>
      <c r="D768" s="4443"/>
      <c r="E768" s="2931"/>
      <c r="F768" s="2931"/>
      <c r="G768" s="2931"/>
      <c r="H768" s="4443"/>
      <c r="I768" s="2931"/>
      <c r="J768" s="2931"/>
      <c r="K768" s="4318"/>
      <c r="L768" s="4287"/>
      <c r="M768" s="2913" t="s">
        <v>111</v>
      </c>
      <c r="N768" s="2913"/>
      <c r="O768" s="1592">
        <f t="shared" ref="O768:Z768" si="87">SUM(O769:O770)</f>
        <v>0</v>
      </c>
      <c r="P768" s="1592">
        <f t="shared" si="87"/>
        <v>0</v>
      </c>
      <c r="Q768" s="1592">
        <f t="shared" si="87"/>
        <v>0</v>
      </c>
      <c r="R768" s="1592">
        <f t="shared" si="87"/>
        <v>0</v>
      </c>
      <c r="S768" s="1592">
        <f t="shared" si="87"/>
        <v>0</v>
      </c>
      <c r="T768" s="1592">
        <f t="shared" si="87"/>
        <v>0</v>
      </c>
      <c r="U768" s="1592">
        <f t="shared" si="87"/>
        <v>1840</v>
      </c>
      <c r="V768" s="1592">
        <f t="shared" si="87"/>
        <v>0</v>
      </c>
      <c r="W768" s="1592">
        <f t="shared" si="87"/>
        <v>0</v>
      </c>
      <c r="X768" s="1592">
        <f t="shared" si="87"/>
        <v>0</v>
      </c>
      <c r="Y768" s="1592">
        <f t="shared" si="87"/>
        <v>0</v>
      </c>
      <c r="Z768" s="1592">
        <f t="shared" si="87"/>
        <v>0</v>
      </c>
      <c r="AA768" s="1592">
        <f>SUM(O768:Z768)</f>
        <v>1840</v>
      </c>
    </row>
    <row r="769" spans="2:27" x14ac:dyDescent="0.25">
      <c r="B769" s="4448"/>
      <c r="C769" s="2931"/>
      <c r="D769" s="4443"/>
      <c r="E769" s="2931"/>
      <c r="F769" s="2931"/>
      <c r="G769" s="2931"/>
      <c r="H769" s="4443"/>
      <c r="I769" s="2931"/>
      <c r="J769" s="2931"/>
      <c r="K769" s="4318"/>
      <c r="L769" s="4287"/>
      <c r="M769" s="1925" t="s">
        <v>194</v>
      </c>
      <c r="N769" s="1925" t="s">
        <v>1372</v>
      </c>
      <c r="O769" s="1636"/>
      <c r="P769" s="1636"/>
      <c r="Q769" s="1636"/>
      <c r="R769" s="1636"/>
      <c r="S769" s="1636"/>
      <c r="T769" s="1636"/>
      <c r="U769" s="1636">
        <f>140*2*4</f>
        <v>1120</v>
      </c>
      <c r="V769" s="1636"/>
      <c r="W769" s="1636"/>
      <c r="X769" s="1636"/>
      <c r="Y769" s="352"/>
      <c r="Z769" s="352"/>
      <c r="AA769" s="1592">
        <f>SUM(O769:Z769)</f>
        <v>1120</v>
      </c>
    </row>
    <row r="770" spans="2:27" x14ac:dyDescent="0.25">
      <c r="B770" s="4448"/>
      <c r="C770" s="2931"/>
      <c r="D770" s="4443"/>
      <c r="E770" s="2931"/>
      <c r="F770" s="2931"/>
      <c r="G770" s="2931"/>
      <c r="H770" s="4443"/>
      <c r="I770" s="2931"/>
      <c r="J770" s="2931"/>
      <c r="K770" s="4318"/>
      <c r="L770" s="4288"/>
      <c r="M770" s="1925" t="s">
        <v>215</v>
      </c>
      <c r="N770" s="1925" t="s">
        <v>1370</v>
      </c>
      <c r="O770" s="1636"/>
      <c r="P770" s="1636"/>
      <c r="Q770" s="1636"/>
      <c r="R770" s="1636"/>
      <c r="S770" s="1636"/>
      <c r="T770" s="1636"/>
      <c r="U770" s="1636">
        <f>60*12</f>
        <v>720</v>
      </c>
      <c r="V770" s="1636"/>
      <c r="W770" s="1636"/>
      <c r="X770" s="1636"/>
      <c r="Y770" s="352"/>
      <c r="Z770" s="352"/>
      <c r="AA770" s="1592">
        <f>SUM(O770:Z770)</f>
        <v>720</v>
      </c>
    </row>
    <row r="771" spans="2:27" ht="15" customHeight="1" x14ac:dyDescent="0.25">
      <c r="B771" s="4448"/>
      <c r="C771" s="2931"/>
      <c r="D771" s="4443" t="s">
        <v>2967</v>
      </c>
      <c r="E771" s="2931"/>
      <c r="F771" s="2931"/>
      <c r="G771" s="2931"/>
      <c r="H771" s="4443" t="s">
        <v>2949</v>
      </c>
      <c r="I771" s="2931" t="s">
        <v>2420</v>
      </c>
      <c r="J771" s="2931">
        <v>1</v>
      </c>
      <c r="K771" s="4318"/>
      <c r="L771" s="4286" t="s">
        <v>2947</v>
      </c>
      <c r="M771" s="2913" t="s">
        <v>51</v>
      </c>
      <c r="N771" s="2913"/>
      <c r="O771" s="1636"/>
      <c r="P771" s="1636"/>
      <c r="Q771" s="1636"/>
      <c r="R771" s="1592">
        <v>1</v>
      </c>
      <c r="S771" s="1636"/>
      <c r="T771" s="1636"/>
      <c r="U771" s="1636"/>
      <c r="V771" s="1636"/>
      <c r="W771" s="1636"/>
      <c r="X771" s="1636"/>
      <c r="Y771" s="1636"/>
      <c r="Z771" s="1636"/>
      <c r="AA771" s="1592"/>
    </row>
    <row r="772" spans="2:27" ht="24" customHeight="1" x14ac:dyDescent="0.25">
      <c r="B772" s="4448"/>
      <c r="C772" s="2931"/>
      <c r="D772" s="4443"/>
      <c r="E772" s="2931"/>
      <c r="F772" s="2931"/>
      <c r="G772" s="2931"/>
      <c r="H772" s="4443"/>
      <c r="I772" s="2931"/>
      <c r="J772" s="2931"/>
      <c r="K772" s="4318"/>
      <c r="L772" s="4288"/>
      <c r="M772" s="2913" t="s">
        <v>111</v>
      </c>
      <c r="N772" s="2913"/>
      <c r="O772" s="1636"/>
      <c r="P772" s="1636"/>
      <c r="Q772" s="1636"/>
      <c r="R772" s="1636"/>
      <c r="S772" s="1636"/>
      <c r="T772" s="1636"/>
      <c r="U772" s="1636"/>
      <c r="V772" s="1636"/>
      <c r="W772" s="1636"/>
      <c r="X772" s="1636"/>
      <c r="Y772" s="1636"/>
      <c r="Z772" s="1636"/>
      <c r="AA772" s="1592"/>
    </row>
    <row r="773" spans="2:27" ht="15" customHeight="1" x14ac:dyDescent="0.25">
      <c r="B773" s="4448"/>
      <c r="C773" s="2931"/>
      <c r="D773" s="4443" t="s">
        <v>2968</v>
      </c>
      <c r="E773" s="2931"/>
      <c r="F773" s="2931"/>
      <c r="G773" s="2931"/>
      <c r="H773" s="4443" t="s">
        <v>2949</v>
      </c>
      <c r="I773" s="2931" t="s">
        <v>2420</v>
      </c>
      <c r="J773" s="2931">
        <v>1</v>
      </c>
      <c r="K773" s="4318"/>
      <c r="L773" s="4286" t="s">
        <v>2969</v>
      </c>
      <c r="M773" s="2913" t="s">
        <v>51</v>
      </c>
      <c r="N773" s="2913"/>
      <c r="O773" s="1636"/>
      <c r="P773" s="1636"/>
      <c r="Q773" s="1636"/>
      <c r="R773" s="1636"/>
      <c r="S773" s="1636"/>
      <c r="T773" s="1636"/>
      <c r="U773" s="1592">
        <v>1</v>
      </c>
      <c r="V773" s="1636"/>
      <c r="W773" s="1636"/>
      <c r="X773" s="1636"/>
      <c r="Y773" s="1636"/>
      <c r="Z773" s="1636"/>
      <c r="AA773" s="1592"/>
    </row>
    <row r="774" spans="2:27" ht="19.5" customHeight="1" x14ac:dyDescent="0.25">
      <c r="B774" s="4448"/>
      <c r="C774" s="2931"/>
      <c r="D774" s="4443"/>
      <c r="E774" s="2931"/>
      <c r="F774" s="2931"/>
      <c r="G774" s="2931"/>
      <c r="H774" s="4443"/>
      <c r="I774" s="2931"/>
      <c r="J774" s="2931"/>
      <c r="K774" s="4318"/>
      <c r="L774" s="4288"/>
      <c r="M774" s="2913" t="s">
        <v>111</v>
      </c>
      <c r="N774" s="2913"/>
      <c r="O774" s="1636"/>
      <c r="P774" s="1636"/>
      <c r="Q774" s="1636"/>
      <c r="R774" s="1636"/>
      <c r="S774" s="1636"/>
      <c r="T774" s="1636"/>
      <c r="U774" s="1636"/>
      <c r="V774" s="1636"/>
      <c r="W774" s="1636"/>
      <c r="X774" s="1636"/>
      <c r="Y774" s="1636"/>
      <c r="Z774" s="1636"/>
      <c r="AA774" s="1592"/>
    </row>
    <row r="775" spans="2:27" ht="15" customHeight="1" x14ac:dyDescent="0.25">
      <c r="B775" s="4448"/>
      <c r="C775" s="2931"/>
      <c r="D775" s="4443" t="s">
        <v>2970</v>
      </c>
      <c r="E775" s="2931"/>
      <c r="F775" s="2931"/>
      <c r="G775" s="2931"/>
      <c r="H775" s="2928" t="s">
        <v>2971</v>
      </c>
      <c r="I775" s="2353" t="s">
        <v>2135</v>
      </c>
      <c r="J775" s="2353">
        <v>2</v>
      </c>
      <c r="K775" s="4286">
        <f>AA776</f>
        <v>810</v>
      </c>
      <c r="L775" s="4286" t="s">
        <v>2958</v>
      </c>
      <c r="M775" s="3673" t="s">
        <v>51</v>
      </c>
      <c r="N775" s="3674"/>
      <c r="O775" s="1636"/>
      <c r="P775" s="1636"/>
      <c r="Q775" s="1636"/>
      <c r="R775" s="1592">
        <v>1</v>
      </c>
      <c r="S775" s="1636"/>
      <c r="T775" s="1636"/>
      <c r="U775" s="1636"/>
      <c r="V775" s="1592">
        <v>1</v>
      </c>
      <c r="W775" s="1636"/>
      <c r="X775" s="1636"/>
      <c r="Y775" s="1636"/>
      <c r="Z775" s="1636"/>
      <c r="AA775" s="1592"/>
    </row>
    <row r="776" spans="2:27" x14ac:dyDescent="0.25">
      <c r="B776" s="4448"/>
      <c r="C776" s="2931"/>
      <c r="D776" s="4443"/>
      <c r="E776" s="2931"/>
      <c r="F776" s="2931"/>
      <c r="G776" s="2931"/>
      <c r="H776" s="2929"/>
      <c r="I776" s="4282"/>
      <c r="J776" s="4282"/>
      <c r="K776" s="4282"/>
      <c r="L776" s="4287"/>
      <c r="M776" s="3673" t="s">
        <v>111</v>
      </c>
      <c r="N776" s="3674"/>
      <c r="O776" s="1592">
        <f t="shared" ref="O776:Z776" si="88">SUM(O777:O777)</f>
        <v>0</v>
      </c>
      <c r="P776" s="1592">
        <f t="shared" si="88"/>
        <v>0</v>
      </c>
      <c r="Q776" s="1592">
        <f t="shared" si="88"/>
        <v>0</v>
      </c>
      <c r="R776" s="1592">
        <f t="shared" si="88"/>
        <v>405</v>
      </c>
      <c r="S776" s="1592">
        <f t="shared" si="88"/>
        <v>0</v>
      </c>
      <c r="T776" s="1592">
        <f t="shared" si="88"/>
        <v>0</v>
      </c>
      <c r="U776" s="1592">
        <f t="shared" si="88"/>
        <v>0</v>
      </c>
      <c r="V776" s="1592">
        <f t="shared" si="88"/>
        <v>405</v>
      </c>
      <c r="W776" s="1592">
        <f t="shared" si="88"/>
        <v>0</v>
      </c>
      <c r="X776" s="1592">
        <f t="shared" si="88"/>
        <v>0</v>
      </c>
      <c r="Y776" s="1592">
        <f t="shared" si="88"/>
        <v>0</v>
      </c>
      <c r="Z776" s="1592">
        <f t="shared" si="88"/>
        <v>0</v>
      </c>
      <c r="AA776" s="1592">
        <f>SUM(O776:Z776)</f>
        <v>810</v>
      </c>
    </row>
    <row r="777" spans="2:27" ht="22.5" x14ac:dyDescent="0.25">
      <c r="B777" s="4448"/>
      <c r="C777" s="2931"/>
      <c r="D777" s="4443"/>
      <c r="E777" s="2931"/>
      <c r="F777" s="2931"/>
      <c r="G777" s="2931"/>
      <c r="H777" s="2930"/>
      <c r="I777" s="2354"/>
      <c r="J777" s="2354"/>
      <c r="K777" s="2354"/>
      <c r="L777" s="4288"/>
      <c r="M777" s="307" t="s">
        <v>1452</v>
      </c>
      <c r="N777" s="307" t="s">
        <v>1477</v>
      </c>
      <c r="O777" s="1636"/>
      <c r="P777" s="1636"/>
      <c r="Q777" s="1636"/>
      <c r="R777" s="1636">
        <f>45*9</f>
        <v>405</v>
      </c>
      <c r="S777" s="1636"/>
      <c r="T777" s="1636"/>
      <c r="U777" s="1636"/>
      <c r="V777" s="1636">
        <f>45*9</f>
        <v>405</v>
      </c>
      <c r="W777" s="1636"/>
      <c r="X777" s="1636"/>
      <c r="Y777" s="352"/>
      <c r="Z777" s="352"/>
      <c r="AA777" s="1592">
        <f>SUM(O777:Z777)</f>
        <v>810</v>
      </c>
    </row>
    <row r="778" spans="2:27" ht="30" customHeight="1" x14ac:dyDescent="0.25">
      <c r="B778" s="1546" t="s">
        <v>8</v>
      </c>
      <c r="C778" s="3227" t="s">
        <v>3199</v>
      </c>
      <c r="D778" s="3228"/>
      <c r="E778" s="3228"/>
      <c r="F778" s="3228"/>
      <c r="G778" s="3228"/>
      <c r="H778" s="3228"/>
      <c r="I778" s="721"/>
      <c r="J778" s="721"/>
      <c r="K778" s="721"/>
      <c r="L778" s="721"/>
      <c r="M778" s="721"/>
      <c r="N778" s="721"/>
      <c r="O778" s="721"/>
      <c r="P778" s="721"/>
      <c r="Q778" s="721"/>
      <c r="R778" s="721"/>
      <c r="S778" s="721"/>
      <c r="T778" s="721"/>
      <c r="U778" s="721"/>
      <c r="V778" s="721"/>
      <c r="W778" s="721"/>
      <c r="X778" s="721"/>
      <c r="Y778" s="721"/>
      <c r="Z778" s="2088"/>
      <c r="AA778" s="2089"/>
    </row>
    <row r="779" spans="2:27" x14ac:dyDescent="0.25">
      <c r="B779" s="1915" t="s">
        <v>11</v>
      </c>
      <c r="C779" s="2972" t="s">
        <v>3200</v>
      </c>
      <c r="D779" s="2972"/>
      <c r="E779" s="2972"/>
      <c r="F779" s="2972"/>
      <c r="G779" s="2972"/>
      <c r="H779" s="2972"/>
      <c r="I779" s="2972"/>
      <c r="J779" s="2972"/>
      <c r="K779" s="2972"/>
      <c r="L779" s="2972"/>
      <c r="M779" s="2972"/>
      <c r="N779" s="2972"/>
      <c r="O779" s="2972"/>
      <c r="P779" s="2972"/>
      <c r="Q779" s="2972"/>
      <c r="R779" s="2972"/>
      <c r="S779" s="2972"/>
      <c r="T779" s="2972"/>
      <c r="U779" s="2972"/>
      <c r="V779" s="2972"/>
      <c r="W779" s="2972"/>
      <c r="X779" s="2972"/>
      <c r="Y779" s="4301"/>
      <c r="Z779" s="346"/>
      <c r="AA779" s="346"/>
    </row>
    <row r="780" spans="2:27" ht="22.5" customHeight="1" x14ac:dyDescent="0.25">
      <c r="B780" s="2298" t="s">
        <v>13</v>
      </c>
      <c r="C780" s="2331">
        <v>9001</v>
      </c>
      <c r="D780" s="2357" t="s">
        <v>230</v>
      </c>
      <c r="E780" s="1575"/>
      <c r="F780" s="1575"/>
      <c r="G780" s="1575"/>
      <c r="H780" s="1575"/>
      <c r="I780" s="204"/>
      <c r="J780" s="204"/>
      <c r="K780" s="204"/>
      <c r="L780" s="204"/>
      <c r="M780" s="204"/>
      <c r="N780" s="204"/>
      <c r="O780" s="204"/>
      <c r="P780" s="204"/>
      <c r="Q780" s="204"/>
      <c r="R780" s="204"/>
      <c r="S780" s="204"/>
      <c r="T780" s="205"/>
      <c r="U780" s="207"/>
      <c r="V780" s="2314" t="s">
        <v>15</v>
      </c>
      <c r="W780" s="2315"/>
      <c r="X780" s="2315"/>
      <c r="Y780" s="2316"/>
      <c r="Z780" s="2314" t="s">
        <v>3201</v>
      </c>
      <c r="AA780" s="2316"/>
    </row>
    <row r="781" spans="2:27" ht="15" customHeight="1" x14ac:dyDescent="0.25">
      <c r="B781" s="2298"/>
      <c r="C781" s="2332"/>
      <c r="D781" s="2358"/>
      <c r="E781" s="1576"/>
      <c r="F781" s="1576"/>
      <c r="G781" s="1576"/>
      <c r="H781" s="1576"/>
      <c r="I781" s="206"/>
      <c r="J781" s="206"/>
      <c r="K781" s="206"/>
      <c r="L781" s="206"/>
      <c r="M781" s="206"/>
      <c r="N781" s="206"/>
      <c r="O781" s="206"/>
      <c r="P781" s="206"/>
      <c r="Q781" s="206"/>
      <c r="R781" s="206"/>
      <c r="S781" s="206"/>
      <c r="T781" s="207"/>
      <c r="U781" s="207"/>
      <c r="V781" s="4304" t="s">
        <v>19</v>
      </c>
      <c r="W781" s="4305"/>
      <c r="X781" s="4305"/>
      <c r="Y781" s="4306"/>
      <c r="Z781" s="2314"/>
      <c r="AA781" s="2316"/>
    </row>
    <row r="782" spans="2:27" ht="17.25" customHeight="1" x14ac:dyDescent="0.25">
      <c r="B782" s="2298" t="s">
        <v>18</v>
      </c>
      <c r="C782" s="2331">
        <v>3999999</v>
      </c>
      <c r="D782" s="2357" t="s">
        <v>163</v>
      </c>
      <c r="E782" s="2306"/>
      <c r="F782" s="2962"/>
      <c r="G782" s="2962"/>
      <c r="H782" s="2962"/>
      <c r="I782" s="2962"/>
      <c r="J782" s="2962"/>
      <c r="K782" s="2962"/>
      <c r="L782" s="2962"/>
      <c r="M782" s="204"/>
      <c r="N782" s="204"/>
      <c r="O782" s="204"/>
      <c r="P782" s="204"/>
      <c r="Q782" s="204"/>
      <c r="R782" s="204"/>
      <c r="S782" s="204"/>
      <c r="T782" s="204"/>
      <c r="U782" s="211"/>
      <c r="V782" s="2314" t="s">
        <v>15</v>
      </c>
      <c r="W782" s="2315"/>
      <c r="X782" s="2315"/>
      <c r="Y782" s="2316"/>
      <c r="Z782" s="2314" t="s">
        <v>3202</v>
      </c>
      <c r="AA782" s="2316"/>
    </row>
    <row r="783" spans="2:27" x14ac:dyDescent="0.25">
      <c r="B783" s="2298"/>
      <c r="C783" s="2332"/>
      <c r="D783" s="2358"/>
      <c r="E783" s="2963"/>
      <c r="F783" s="2964"/>
      <c r="G783" s="2964"/>
      <c r="H783" s="2964"/>
      <c r="I783" s="2964"/>
      <c r="J783" s="2964"/>
      <c r="K783" s="2964"/>
      <c r="L783" s="2964"/>
      <c r="M783" s="208"/>
      <c r="N783" s="208"/>
      <c r="O783" s="208"/>
      <c r="P783" s="208"/>
      <c r="Q783" s="208"/>
      <c r="R783" s="208"/>
      <c r="S783" s="208"/>
      <c r="T783" s="208"/>
      <c r="U783" s="213"/>
      <c r="V783" s="4304" t="s">
        <v>19</v>
      </c>
      <c r="W783" s="4305"/>
      <c r="X783" s="4305"/>
      <c r="Y783" s="4306"/>
      <c r="Z783" s="2314"/>
      <c r="AA783" s="2316"/>
    </row>
    <row r="784" spans="2:27" ht="15" customHeight="1" x14ac:dyDescent="0.25">
      <c r="B784" s="2320" t="s">
        <v>20</v>
      </c>
      <c r="C784" s="2324" t="s">
        <v>21</v>
      </c>
      <c r="D784" s="2324" t="s">
        <v>22</v>
      </c>
      <c r="E784" s="2324" t="s">
        <v>23</v>
      </c>
      <c r="F784" s="2324" t="s">
        <v>24</v>
      </c>
      <c r="G784" s="2324" t="s">
        <v>25</v>
      </c>
      <c r="H784" s="2324" t="s">
        <v>26</v>
      </c>
      <c r="I784" s="2324" t="s">
        <v>27</v>
      </c>
      <c r="J784" s="2322" t="s">
        <v>28</v>
      </c>
      <c r="K784" s="2323"/>
      <c r="L784" s="2324" t="s">
        <v>29</v>
      </c>
      <c r="M784" s="2322" t="s">
        <v>3216</v>
      </c>
      <c r="N784" s="2323"/>
      <c r="O784" s="2343" t="s">
        <v>31</v>
      </c>
      <c r="P784" s="2344"/>
      <c r="Q784" s="2344"/>
      <c r="R784" s="2344"/>
      <c r="S784" s="2344"/>
      <c r="T784" s="2344"/>
      <c r="U784" s="2344"/>
      <c r="V784" s="2344"/>
      <c r="W784" s="2344"/>
      <c r="X784" s="2344"/>
      <c r="Y784" s="2344"/>
      <c r="Z784" s="2345"/>
      <c r="AA784" s="2345" t="s">
        <v>32</v>
      </c>
    </row>
    <row r="785" spans="2:29" ht="24" x14ac:dyDescent="0.25">
      <c r="B785" s="2321"/>
      <c r="C785" s="2324"/>
      <c r="D785" s="2324"/>
      <c r="E785" s="2324"/>
      <c r="F785" s="2324"/>
      <c r="G785" s="2324"/>
      <c r="H785" s="2324"/>
      <c r="I785" s="2324"/>
      <c r="J785" s="1917" t="s">
        <v>33</v>
      </c>
      <c r="K785" s="1917" t="s">
        <v>3203</v>
      </c>
      <c r="L785" s="2324"/>
      <c r="M785" s="2325"/>
      <c r="N785" s="2326"/>
      <c r="O785" s="1918" t="s">
        <v>35</v>
      </c>
      <c r="P785" s="1918" t="s">
        <v>36</v>
      </c>
      <c r="Q785" s="1918" t="s">
        <v>37</v>
      </c>
      <c r="R785" s="1918" t="s">
        <v>38</v>
      </c>
      <c r="S785" s="1918" t="s">
        <v>39</v>
      </c>
      <c r="T785" s="1918" t="s">
        <v>40</v>
      </c>
      <c r="U785" s="1918" t="s">
        <v>41</v>
      </c>
      <c r="V785" s="1918" t="s">
        <v>42</v>
      </c>
      <c r="W785" s="1918" t="s">
        <v>43</v>
      </c>
      <c r="X785" s="1918" t="s">
        <v>44</v>
      </c>
      <c r="Y785" s="1918" t="s">
        <v>45</v>
      </c>
      <c r="Z785" s="1918" t="s">
        <v>46</v>
      </c>
      <c r="AA785" s="2345"/>
    </row>
    <row r="786" spans="2:29" ht="15" customHeight="1" x14ac:dyDescent="0.25">
      <c r="B786" s="2364">
        <v>5000003</v>
      </c>
      <c r="C786" s="3974" t="s">
        <v>1085</v>
      </c>
      <c r="D786" s="2364" t="s">
        <v>3204</v>
      </c>
      <c r="E786" s="2366" t="s">
        <v>48</v>
      </c>
      <c r="F786" s="2366" t="s">
        <v>165</v>
      </c>
      <c r="G786" s="2366" t="s">
        <v>166</v>
      </c>
      <c r="H786" s="2361"/>
      <c r="I786" s="2361" t="s">
        <v>477</v>
      </c>
      <c r="J786" s="2361">
        <v>360</v>
      </c>
      <c r="K786" s="4726">
        <v>190984</v>
      </c>
      <c r="L786" s="2361" t="s">
        <v>3205</v>
      </c>
      <c r="M786" s="1969" t="s">
        <v>3217</v>
      </c>
      <c r="N786" s="1370"/>
      <c r="O786" s="1930">
        <v>30</v>
      </c>
      <c r="P786" s="1930">
        <v>30</v>
      </c>
      <c r="Q786" s="1930">
        <v>30</v>
      </c>
      <c r="R786" s="1930">
        <v>30</v>
      </c>
      <c r="S786" s="1930">
        <v>30</v>
      </c>
      <c r="T786" s="1930">
        <v>30</v>
      </c>
      <c r="U786" s="1930">
        <v>30</v>
      </c>
      <c r="V786" s="1930">
        <v>30</v>
      </c>
      <c r="W786" s="1930">
        <v>30</v>
      </c>
      <c r="X786" s="1930">
        <v>30</v>
      </c>
      <c r="Y786" s="1930">
        <v>30</v>
      </c>
      <c r="Z786" s="1930">
        <v>30</v>
      </c>
      <c r="AA786" s="2090">
        <f t="shared" ref="AA786:AA805" si="89">SUM(O786:Z786)</f>
        <v>360</v>
      </c>
    </row>
    <row r="787" spans="2:29" ht="22.5" x14ac:dyDescent="0.25">
      <c r="B787" s="4034"/>
      <c r="C787" s="3975"/>
      <c r="D787" s="4034"/>
      <c r="E787" s="4293"/>
      <c r="F787" s="4293"/>
      <c r="G787" s="4293"/>
      <c r="H787" s="3965"/>
      <c r="I787" s="3965"/>
      <c r="J787" s="3965"/>
      <c r="K787" s="4727"/>
      <c r="L787" s="3965"/>
      <c r="M787" s="1969" t="s">
        <v>3218</v>
      </c>
      <c r="N787" s="1370"/>
      <c r="O787" s="1617">
        <f t="shared" ref="O787:Z787" si="90">SUM(O788:O805)</f>
        <v>14016.4</v>
      </c>
      <c r="P787" s="1617">
        <f t="shared" si="90"/>
        <v>14191.4</v>
      </c>
      <c r="Q787" s="1617">
        <f t="shared" si="90"/>
        <v>15164.4</v>
      </c>
      <c r="R787" s="1617">
        <f t="shared" si="90"/>
        <v>24735.4</v>
      </c>
      <c r="S787" s="1617">
        <f t="shared" si="90"/>
        <v>16769.400000000001</v>
      </c>
      <c r="T787" s="1617">
        <f t="shared" si="90"/>
        <v>14261.4</v>
      </c>
      <c r="U787" s="1617">
        <f t="shared" si="90"/>
        <v>20895.400000000001</v>
      </c>
      <c r="V787" s="1617">
        <f t="shared" si="90"/>
        <v>14461.4</v>
      </c>
      <c r="W787" s="1617">
        <f t="shared" si="90"/>
        <v>14361.4</v>
      </c>
      <c r="X787" s="1617">
        <f t="shared" si="90"/>
        <v>14561.4</v>
      </c>
      <c r="Y787" s="1617">
        <f t="shared" si="90"/>
        <v>14011.4</v>
      </c>
      <c r="Z787" s="1617">
        <f t="shared" si="90"/>
        <v>13554.4</v>
      </c>
      <c r="AA787" s="2090">
        <f t="shared" si="89"/>
        <v>190983.79999999996</v>
      </c>
      <c r="AC787" s="369"/>
    </row>
    <row r="788" spans="2:29" ht="22.5" x14ac:dyDescent="0.25">
      <c r="B788" s="4034"/>
      <c r="C788" s="3975"/>
      <c r="D788" s="4034"/>
      <c r="E788" s="4293"/>
      <c r="F788" s="4293"/>
      <c r="G788" s="4293"/>
      <c r="H788" s="3965"/>
      <c r="I788" s="3965"/>
      <c r="J788" s="3965"/>
      <c r="K788" s="4727"/>
      <c r="L788" s="3965"/>
      <c r="M788" s="1925" t="s">
        <v>184</v>
      </c>
      <c r="N788" s="1925" t="s">
        <v>1367</v>
      </c>
      <c r="O788" s="1931"/>
      <c r="P788" s="1931">
        <v>306</v>
      </c>
      <c r="Q788" s="1931">
        <v>306</v>
      </c>
      <c r="R788" s="1931">
        <v>380</v>
      </c>
      <c r="S788" s="1931">
        <v>500</v>
      </c>
      <c r="T788" s="1931">
        <v>500</v>
      </c>
      <c r="U788" s="1931"/>
      <c r="V788" s="1931"/>
      <c r="W788" s="1931"/>
      <c r="X788" s="1931"/>
      <c r="Y788" s="1931"/>
      <c r="Z788" s="1931"/>
      <c r="AA788" s="2091">
        <f t="shared" si="89"/>
        <v>1992</v>
      </c>
    </row>
    <row r="789" spans="2:29" ht="33.75" x14ac:dyDescent="0.25">
      <c r="B789" s="4034"/>
      <c r="C789" s="3975"/>
      <c r="D789" s="4034"/>
      <c r="E789" s="4293"/>
      <c r="F789" s="4293"/>
      <c r="G789" s="4293"/>
      <c r="H789" s="3965"/>
      <c r="I789" s="3965"/>
      <c r="J789" s="3965"/>
      <c r="K789" s="4727"/>
      <c r="L789" s="3965"/>
      <c r="M789" s="1925" t="s">
        <v>541</v>
      </c>
      <c r="N789" s="1925" t="s">
        <v>1196</v>
      </c>
      <c r="O789" s="1931"/>
      <c r="P789" s="1931"/>
      <c r="Q789" s="1931">
        <v>240</v>
      </c>
      <c r="R789" s="1931">
        <v>2160</v>
      </c>
      <c r="S789" s="1931"/>
      <c r="T789" s="1931"/>
      <c r="U789" s="1931"/>
      <c r="V789" s="1931"/>
      <c r="W789" s="1931"/>
      <c r="X789" s="1931"/>
      <c r="Y789" s="1931"/>
      <c r="Z789" s="1931"/>
      <c r="AA789" s="2091">
        <f t="shared" si="89"/>
        <v>2400</v>
      </c>
    </row>
    <row r="790" spans="2:29" x14ac:dyDescent="0.25">
      <c r="B790" s="4034"/>
      <c r="C790" s="3975"/>
      <c r="D790" s="4034"/>
      <c r="E790" s="4293"/>
      <c r="F790" s="4293"/>
      <c r="G790" s="4293"/>
      <c r="H790" s="3965"/>
      <c r="I790" s="3965"/>
      <c r="J790" s="3965"/>
      <c r="K790" s="4727"/>
      <c r="L790" s="3965"/>
      <c r="M790" s="1925" t="s">
        <v>194</v>
      </c>
      <c r="N790" s="1925" t="s">
        <v>1372</v>
      </c>
      <c r="O790" s="1931"/>
      <c r="P790" s="1931"/>
      <c r="Q790" s="1931"/>
      <c r="R790" s="1931">
        <v>2160</v>
      </c>
      <c r="S790" s="1931">
        <v>900</v>
      </c>
      <c r="T790" s="1931"/>
      <c r="U790" s="1931">
        <v>450</v>
      </c>
      <c r="V790" s="1931">
        <v>900</v>
      </c>
      <c r="W790" s="1931">
        <v>800</v>
      </c>
      <c r="X790" s="1931">
        <v>1000</v>
      </c>
      <c r="Y790" s="1931">
        <v>450</v>
      </c>
      <c r="Z790" s="1931"/>
      <c r="AA790" s="2091">
        <f t="shared" si="89"/>
        <v>6660</v>
      </c>
    </row>
    <row r="791" spans="2:29" ht="22.5" x14ac:dyDescent="0.25">
      <c r="B791" s="4034"/>
      <c r="C791" s="3975"/>
      <c r="D791" s="4034"/>
      <c r="E791" s="4293"/>
      <c r="F791" s="4293"/>
      <c r="G791" s="4293"/>
      <c r="H791" s="3965"/>
      <c r="I791" s="3965"/>
      <c r="J791" s="3965"/>
      <c r="K791" s="4727"/>
      <c r="L791" s="3965"/>
      <c r="M791" s="1925" t="s">
        <v>186</v>
      </c>
      <c r="N791" s="1925" t="s">
        <v>3206</v>
      </c>
      <c r="O791" s="1931">
        <v>300</v>
      </c>
      <c r="P791" s="1931">
        <v>300</v>
      </c>
      <c r="Q791" s="1931">
        <v>300</v>
      </c>
      <c r="R791" s="1931">
        <v>300</v>
      </c>
      <c r="S791" s="1931">
        <v>998</v>
      </c>
      <c r="T791" s="1931">
        <v>300</v>
      </c>
      <c r="U791" s="1931">
        <v>300</v>
      </c>
      <c r="V791" s="1931">
        <v>300</v>
      </c>
      <c r="W791" s="1931">
        <v>300</v>
      </c>
      <c r="X791" s="1931">
        <v>300</v>
      </c>
      <c r="Y791" s="1931">
        <v>300</v>
      </c>
      <c r="Z791" s="1931">
        <v>300</v>
      </c>
      <c r="AA791" s="2091">
        <f t="shared" si="89"/>
        <v>4298</v>
      </c>
    </row>
    <row r="792" spans="2:29" ht="22.5" x14ac:dyDescent="0.25">
      <c r="B792" s="4034"/>
      <c r="C792" s="3975"/>
      <c r="D792" s="4034"/>
      <c r="E792" s="4293"/>
      <c r="F792" s="4293"/>
      <c r="G792" s="4293"/>
      <c r="H792" s="3965"/>
      <c r="I792" s="3965"/>
      <c r="J792" s="3965"/>
      <c r="K792" s="4727"/>
      <c r="L792" s="3965"/>
      <c r="M792" s="1925" t="s">
        <v>1799</v>
      </c>
      <c r="N792" s="1925" t="s">
        <v>1800</v>
      </c>
      <c r="O792" s="1931"/>
      <c r="P792" s="1931">
        <v>200</v>
      </c>
      <c r="Q792" s="1931">
        <v>200</v>
      </c>
      <c r="R792" s="1931">
        <v>200</v>
      </c>
      <c r="S792" s="1931">
        <v>200</v>
      </c>
      <c r="T792" s="1931">
        <v>200</v>
      </c>
      <c r="U792" s="1931">
        <v>200</v>
      </c>
      <c r="V792" s="1931">
        <v>200</v>
      </c>
      <c r="W792" s="1931">
        <v>200</v>
      </c>
      <c r="X792" s="1931">
        <v>200</v>
      </c>
      <c r="Y792" s="1931">
        <v>200</v>
      </c>
      <c r="Z792" s="1931">
        <v>200</v>
      </c>
      <c r="AA792" s="2091">
        <f t="shared" si="89"/>
        <v>2200</v>
      </c>
    </row>
    <row r="793" spans="2:29" ht="33.75" x14ac:dyDescent="0.25">
      <c r="B793" s="4034"/>
      <c r="C793" s="3975"/>
      <c r="D793" s="4034"/>
      <c r="E793" s="4293"/>
      <c r="F793" s="4293"/>
      <c r="G793" s="4293"/>
      <c r="H793" s="3965"/>
      <c r="I793" s="3965"/>
      <c r="J793" s="3965"/>
      <c r="K793" s="4727"/>
      <c r="L793" s="3965"/>
      <c r="M793" s="1925" t="s">
        <v>200</v>
      </c>
      <c r="N793" s="1925" t="s">
        <v>3207</v>
      </c>
      <c r="O793" s="1931"/>
      <c r="P793" s="1931"/>
      <c r="Q793" s="1931"/>
      <c r="R793" s="1931">
        <f>4694+800</f>
        <v>5494</v>
      </c>
      <c r="S793" s="1931"/>
      <c r="T793" s="1931"/>
      <c r="U793" s="1931">
        <v>5794</v>
      </c>
      <c r="V793" s="1931"/>
      <c r="W793" s="1931"/>
      <c r="X793" s="1931"/>
      <c r="Y793" s="1931"/>
      <c r="Z793" s="1931"/>
      <c r="AA793" s="2091">
        <f t="shared" si="89"/>
        <v>11288</v>
      </c>
    </row>
    <row r="794" spans="2:29" x14ac:dyDescent="0.25">
      <c r="B794" s="4034"/>
      <c r="C794" s="3975"/>
      <c r="D794" s="4034"/>
      <c r="E794" s="4293"/>
      <c r="F794" s="4293"/>
      <c r="G794" s="4293"/>
      <c r="H794" s="3965"/>
      <c r="I794" s="3965"/>
      <c r="J794" s="3965"/>
      <c r="K794" s="4727"/>
      <c r="L794" s="3965"/>
      <c r="M794" s="1925" t="s">
        <v>199</v>
      </c>
      <c r="N794" s="1925" t="s">
        <v>2325</v>
      </c>
      <c r="O794" s="1931">
        <v>200</v>
      </c>
      <c r="P794" s="1931">
        <v>200</v>
      </c>
      <c r="Q794" s="1931">
        <v>200</v>
      </c>
      <c r="R794" s="1931">
        <v>200</v>
      </c>
      <c r="S794" s="1931">
        <v>200</v>
      </c>
      <c r="T794" s="1931">
        <v>200</v>
      </c>
      <c r="U794" s="1931">
        <v>200</v>
      </c>
      <c r="V794" s="1931">
        <v>200</v>
      </c>
      <c r="W794" s="1931">
        <v>200</v>
      </c>
      <c r="X794" s="1931">
        <v>200</v>
      </c>
      <c r="Y794" s="1931">
        <v>200</v>
      </c>
      <c r="Z794" s="1931">
        <v>200</v>
      </c>
      <c r="AA794" s="2091">
        <f t="shared" si="89"/>
        <v>2400</v>
      </c>
    </row>
    <row r="795" spans="2:29" ht="22.5" x14ac:dyDescent="0.25">
      <c r="B795" s="4034"/>
      <c r="C795" s="3975"/>
      <c r="D795" s="4034"/>
      <c r="E795" s="4293"/>
      <c r="F795" s="4293"/>
      <c r="G795" s="4293"/>
      <c r="H795" s="3965"/>
      <c r="I795" s="3965"/>
      <c r="J795" s="3965"/>
      <c r="K795" s="4727"/>
      <c r="L795" s="3965"/>
      <c r="M795" s="877" t="s">
        <v>544</v>
      </c>
      <c r="N795" s="1925" t="s">
        <v>3208</v>
      </c>
      <c r="O795" s="1931">
        <v>83</v>
      </c>
      <c r="P795" s="1931">
        <v>80</v>
      </c>
      <c r="Q795" s="1931">
        <v>83</v>
      </c>
      <c r="R795" s="1931">
        <v>83</v>
      </c>
      <c r="S795" s="1931">
        <v>83</v>
      </c>
      <c r="T795" s="1931">
        <v>83</v>
      </c>
      <c r="U795" s="1931">
        <v>83</v>
      </c>
      <c r="V795" s="1931">
        <v>83</v>
      </c>
      <c r="W795" s="1931">
        <v>83</v>
      </c>
      <c r="X795" s="1931">
        <v>83</v>
      </c>
      <c r="Y795" s="1931">
        <v>83</v>
      </c>
      <c r="Z795" s="1931">
        <v>83</v>
      </c>
      <c r="AA795" s="2091">
        <f t="shared" si="89"/>
        <v>993</v>
      </c>
    </row>
    <row r="796" spans="2:29" ht="22.5" x14ac:dyDescent="0.25">
      <c r="B796" s="4034"/>
      <c r="C796" s="3975"/>
      <c r="D796" s="4034"/>
      <c r="E796" s="4293"/>
      <c r="F796" s="4293"/>
      <c r="G796" s="4293"/>
      <c r="H796" s="3965"/>
      <c r="I796" s="3965"/>
      <c r="J796" s="3965"/>
      <c r="K796" s="4727"/>
      <c r="L796" s="3965"/>
      <c r="M796" s="877" t="s">
        <v>1454</v>
      </c>
      <c r="N796" s="1925" t="s">
        <v>1478</v>
      </c>
      <c r="O796" s="1931">
        <v>167</v>
      </c>
      <c r="P796" s="1931">
        <v>167</v>
      </c>
      <c r="Q796" s="1931">
        <v>167</v>
      </c>
      <c r="R796" s="1931">
        <v>167</v>
      </c>
      <c r="S796" s="1931">
        <f>167+1000</f>
        <v>1167</v>
      </c>
      <c r="T796" s="1931">
        <v>167</v>
      </c>
      <c r="U796" s="1931">
        <v>167</v>
      </c>
      <c r="V796" s="1931">
        <v>167</v>
      </c>
      <c r="W796" s="1931">
        <v>167</v>
      </c>
      <c r="X796" s="1931">
        <v>167</v>
      </c>
      <c r="Y796" s="1931">
        <v>167</v>
      </c>
      <c r="Z796" s="1931">
        <v>163</v>
      </c>
      <c r="AA796" s="2091">
        <f t="shared" si="89"/>
        <v>3000</v>
      </c>
    </row>
    <row r="797" spans="2:29" ht="22.5" x14ac:dyDescent="0.25">
      <c r="B797" s="4034"/>
      <c r="C797" s="3975"/>
      <c r="D797" s="4034"/>
      <c r="E797" s="4293"/>
      <c r="F797" s="4293"/>
      <c r="G797" s="4293"/>
      <c r="H797" s="3965"/>
      <c r="I797" s="3965"/>
      <c r="J797" s="3965"/>
      <c r="K797" s="4727"/>
      <c r="L797" s="3965"/>
      <c r="M797" s="1925" t="s">
        <v>178</v>
      </c>
      <c r="N797" s="1925" t="s">
        <v>2061</v>
      </c>
      <c r="O797" s="1931">
        <v>595</v>
      </c>
      <c r="P797" s="1931">
        <v>595</v>
      </c>
      <c r="Q797" s="1931" t="s">
        <v>440</v>
      </c>
      <c r="R797" s="1931">
        <v>595</v>
      </c>
      <c r="S797" s="1931">
        <v>595</v>
      </c>
      <c r="T797" s="1931">
        <v>595</v>
      </c>
      <c r="U797" s="1931">
        <v>595</v>
      </c>
      <c r="V797" s="1931">
        <v>595</v>
      </c>
      <c r="W797" s="1931">
        <v>595</v>
      </c>
      <c r="X797" s="1931">
        <v>595</v>
      </c>
      <c r="Y797" s="1931">
        <v>595</v>
      </c>
      <c r="Z797" s="1931">
        <v>595</v>
      </c>
      <c r="AA797" s="2091">
        <f t="shared" si="89"/>
        <v>6545</v>
      </c>
    </row>
    <row r="798" spans="2:29" x14ac:dyDescent="0.25">
      <c r="B798" s="4034"/>
      <c r="C798" s="3975"/>
      <c r="D798" s="4034"/>
      <c r="E798" s="4293"/>
      <c r="F798" s="4293"/>
      <c r="G798" s="4293"/>
      <c r="H798" s="3965"/>
      <c r="I798" s="3965"/>
      <c r="J798" s="3965"/>
      <c r="K798" s="4727"/>
      <c r="L798" s="3965"/>
      <c r="M798" s="1925" t="s">
        <v>184</v>
      </c>
      <c r="N798" s="111" t="s">
        <v>3209</v>
      </c>
      <c r="O798" s="1931">
        <v>595</v>
      </c>
      <c r="P798" s="1931">
        <v>595</v>
      </c>
      <c r="Q798" s="1931" t="s">
        <v>440</v>
      </c>
      <c r="R798" s="1931">
        <v>595</v>
      </c>
      <c r="S798" s="1931">
        <v>595</v>
      </c>
      <c r="T798" s="1931">
        <v>595</v>
      </c>
      <c r="U798" s="1931">
        <v>595</v>
      </c>
      <c r="V798" s="1931">
        <v>595</v>
      </c>
      <c r="W798" s="1931">
        <v>595</v>
      </c>
      <c r="X798" s="1931">
        <v>595</v>
      </c>
      <c r="Y798" s="1931">
        <v>595</v>
      </c>
      <c r="Z798" s="1931">
        <v>595</v>
      </c>
      <c r="AA798" s="2091">
        <f t="shared" si="89"/>
        <v>6545</v>
      </c>
    </row>
    <row r="799" spans="2:29" x14ac:dyDescent="0.25">
      <c r="B799" s="4034"/>
      <c r="C799" s="3975"/>
      <c r="D799" s="4034"/>
      <c r="E799" s="4293"/>
      <c r="F799" s="4293"/>
      <c r="G799" s="4293"/>
      <c r="H799" s="3965"/>
      <c r="I799" s="3965"/>
      <c r="J799" s="3965"/>
      <c r="K799" s="4727"/>
      <c r="L799" s="3965"/>
      <c r="M799" s="1925" t="s">
        <v>182</v>
      </c>
      <c r="N799" s="111" t="s">
        <v>183</v>
      </c>
      <c r="O799" s="1931">
        <v>655</v>
      </c>
      <c r="P799" s="1931">
        <v>327</v>
      </c>
      <c r="Q799" s="1931">
        <v>327</v>
      </c>
      <c r="R799" s="1931">
        <v>780</v>
      </c>
      <c r="S799" s="1931">
        <v>110</v>
      </c>
      <c r="T799" s="1931"/>
      <c r="U799" s="1931"/>
      <c r="V799" s="1931"/>
      <c r="W799" s="1931"/>
      <c r="X799" s="1931"/>
      <c r="Y799" s="1931"/>
      <c r="Z799" s="1931"/>
      <c r="AA799" s="2091">
        <f t="shared" si="89"/>
        <v>2199</v>
      </c>
    </row>
    <row r="800" spans="2:29" x14ac:dyDescent="0.25">
      <c r="B800" s="4034"/>
      <c r="C800" s="3975"/>
      <c r="D800" s="4034"/>
      <c r="E800" s="4293"/>
      <c r="F800" s="4293"/>
      <c r="G800" s="4293"/>
      <c r="H800" s="3965"/>
      <c r="I800" s="3965"/>
      <c r="J800" s="3965"/>
      <c r="K800" s="4727"/>
      <c r="L800" s="3965"/>
      <c r="M800" s="877" t="s">
        <v>195</v>
      </c>
      <c r="N800" s="913" t="s">
        <v>3210</v>
      </c>
      <c r="O800" s="1931">
        <v>1500</v>
      </c>
      <c r="P800" s="1931">
        <v>1500</v>
      </c>
      <c r="Q800" s="1931">
        <v>1500</v>
      </c>
      <c r="R800" s="1931">
        <v>1500</v>
      </c>
      <c r="S800" s="1931">
        <v>1500</v>
      </c>
      <c r="T800" s="1931">
        <v>1500</v>
      </c>
      <c r="U800" s="1931">
        <v>1500</v>
      </c>
      <c r="V800" s="1931">
        <v>1500</v>
      </c>
      <c r="W800" s="1931">
        <v>1500</v>
      </c>
      <c r="X800" s="1931">
        <v>1500</v>
      </c>
      <c r="Y800" s="1931">
        <v>1500</v>
      </c>
      <c r="Z800" s="1931">
        <v>1500</v>
      </c>
      <c r="AA800" s="2091">
        <f t="shared" si="89"/>
        <v>18000</v>
      </c>
    </row>
    <row r="801" spans="2:27" x14ac:dyDescent="0.25">
      <c r="B801" s="4034"/>
      <c r="C801" s="3975"/>
      <c r="D801" s="4034"/>
      <c r="E801" s="4293"/>
      <c r="F801" s="4293"/>
      <c r="G801" s="4293"/>
      <c r="H801" s="3965"/>
      <c r="I801" s="3965"/>
      <c r="J801" s="3965"/>
      <c r="K801" s="4727"/>
      <c r="L801" s="3965"/>
      <c r="M801" s="877" t="s">
        <v>3211</v>
      </c>
      <c r="N801" s="913" t="s">
        <v>2356</v>
      </c>
      <c r="O801" s="1931">
        <v>520</v>
      </c>
      <c r="P801" s="1931">
        <v>520</v>
      </c>
      <c r="Q801" s="1931">
        <v>520</v>
      </c>
      <c r="R801" s="1931">
        <v>520</v>
      </c>
      <c r="S801" s="1931">
        <v>520</v>
      </c>
      <c r="T801" s="1931">
        <v>520</v>
      </c>
      <c r="U801" s="1931">
        <v>520</v>
      </c>
      <c r="V801" s="1931">
        <v>520</v>
      </c>
      <c r="W801" s="1931">
        <v>520</v>
      </c>
      <c r="X801" s="1931">
        <v>520</v>
      </c>
      <c r="Y801" s="1931">
        <v>520</v>
      </c>
      <c r="Z801" s="1931">
        <v>517</v>
      </c>
      <c r="AA801" s="2091">
        <f t="shared" si="89"/>
        <v>6237</v>
      </c>
    </row>
    <row r="802" spans="2:27" x14ac:dyDescent="0.25">
      <c r="B802" s="4034"/>
      <c r="C802" s="3975"/>
      <c r="D802" s="4034"/>
      <c r="E802" s="4293"/>
      <c r="F802" s="4293"/>
      <c r="G802" s="4293"/>
      <c r="H802" s="3965"/>
      <c r="I802" s="3965"/>
      <c r="J802" s="3965"/>
      <c r="K802" s="4727"/>
      <c r="L802" s="3965"/>
      <c r="M802" s="877" t="s">
        <v>3212</v>
      </c>
      <c r="N802" s="1972" t="s">
        <v>1478</v>
      </c>
      <c r="O802" s="1931"/>
      <c r="P802" s="1931"/>
      <c r="Q802" s="1931"/>
      <c r="R802" s="1931"/>
      <c r="S802" s="1931"/>
      <c r="T802" s="1931"/>
      <c r="U802" s="1931">
        <v>200</v>
      </c>
      <c r="V802" s="1931"/>
      <c r="W802" s="1931"/>
      <c r="X802" s="1931"/>
      <c r="Y802" s="1931"/>
      <c r="Z802" s="1931"/>
      <c r="AA802" s="2091">
        <f t="shared" si="89"/>
        <v>200</v>
      </c>
    </row>
    <row r="803" spans="2:27" x14ac:dyDescent="0.25">
      <c r="B803" s="4034"/>
      <c r="C803" s="3975"/>
      <c r="D803" s="4034"/>
      <c r="E803" s="4293"/>
      <c r="F803" s="4293"/>
      <c r="G803" s="4293"/>
      <c r="H803" s="3965"/>
      <c r="I803" s="3965"/>
      <c r="J803" s="3965"/>
      <c r="K803" s="4727"/>
      <c r="L803" s="3965"/>
      <c r="M803" s="877" t="s">
        <v>555</v>
      </c>
      <c r="N803" s="416" t="s">
        <v>3213</v>
      </c>
      <c r="O803" s="1931"/>
      <c r="P803" s="1931"/>
      <c r="Q803" s="1931">
        <v>1920</v>
      </c>
      <c r="R803" s="1931"/>
      <c r="S803" s="1931"/>
      <c r="T803" s="1931"/>
      <c r="U803" s="1931">
        <v>890</v>
      </c>
      <c r="V803" s="1931"/>
      <c r="W803" s="1931"/>
      <c r="X803" s="1931"/>
      <c r="Y803" s="1931"/>
      <c r="Z803" s="1931"/>
      <c r="AA803" s="2091">
        <f t="shared" si="89"/>
        <v>2810</v>
      </c>
    </row>
    <row r="804" spans="2:27" ht="33.75" x14ac:dyDescent="0.25">
      <c r="B804" s="4034"/>
      <c r="C804" s="3975"/>
      <c r="D804" s="4034"/>
      <c r="E804" s="4293"/>
      <c r="F804" s="4293"/>
      <c r="G804" s="4293"/>
      <c r="H804" s="3965"/>
      <c r="I804" s="3965"/>
      <c r="J804" s="3965"/>
      <c r="K804" s="4727"/>
      <c r="L804" s="3965"/>
      <c r="M804" s="877" t="s">
        <v>3214</v>
      </c>
      <c r="N804" s="1925" t="s">
        <v>3215</v>
      </c>
      <c r="O804" s="1931"/>
      <c r="P804" s="1931"/>
      <c r="Q804" s="1931"/>
      <c r="R804" s="1931">
        <v>200</v>
      </c>
      <c r="S804" s="1931"/>
      <c r="T804" s="1931">
        <v>200</v>
      </c>
      <c r="U804" s="1931"/>
      <c r="V804" s="1931"/>
      <c r="W804" s="1931"/>
      <c r="X804" s="1931"/>
      <c r="Y804" s="1931"/>
      <c r="Z804" s="1931"/>
      <c r="AA804" s="2091">
        <f t="shared" si="89"/>
        <v>400</v>
      </c>
    </row>
    <row r="805" spans="2:27" x14ac:dyDescent="0.25">
      <c r="B805" s="2365"/>
      <c r="C805" s="3972"/>
      <c r="D805" s="2365"/>
      <c r="E805" s="2367"/>
      <c r="F805" s="2367"/>
      <c r="G805" s="2367"/>
      <c r="H805" s="2362"/>
      <c r="I805" s="2362"/>
      <c r="J805" s="2362"/>
      <c r="K805" s="4728"/>
      <c r="L805" s="2362"/>
      <c r="M805" s="877" t="s">
        <v>169</v>
      </c>
      <c r="N805" s="111" t="s">
        <v>3219</v>
      </c>
      <c r="O805" s="2092">
        <v>9401.4</v>
      </c>
      <c r="P805" s="2092">
        <v>9401.4</v>
      </c>
      <c r="Q805" s="2092">
        <v>9401.4</v>
      </c>
      <c r="R805" s="2092">
        <v>9401.4</v>
      </c>
      <c r="S805" s="2092">
        <v>9401.4</v>
      </c>
      <c r="T805" s="2092">
        <v>9401.4</v>
      </c>
      <c r="U805" s="2092">
        <v>9401.4</v>
      </c>
      <c r="V805" s="2092">
        <v>9401.4</v>
      </c>
      <c r="W805" s="2092">
        <v>9401.4</v>
      </c>
      <c r="X805" s="2092">
        <v>9401.4</v>
      </c>
      <c r="Y805" s="2092">
        <v>9401.4</v>
      </c>
      <c r="Z805" s="2092">
        <v>9401.4</v>
      </c>
      <c r="AA805" s="2090">
        <f t="shared" si="89"/>
        <v>112816.79999999997</v>
      </c>
    </row>
    <row r="806" spans="2:27" x14ac:dyDescent="0.25">
      <c r="B806" s="1544" t="s">
        <v>8</v>
      </c>
      <c r="C806" s="1545" t="s">
        <v>3281</v>
      </c>
      <c r="D806" s="1543"/>
      <c r="E806" s="87"/>
      <c r="F806" s="87"/>
      <c r="G806" s="87"/>
      <c r="H806" s="87"/>
      <c r="I806" s="87"/>
      <c r="J806" s="87"/>
      <c r="K806" s="87"/>
      <c r="L806" s="87"/>
      <c r="M806" s="87"/>
      <c r="N806" s="87"/>
      <c r="O806" s="87"/>
      <c r="P806" s="87"/>
      <c r="Q806" s="88"/>
      <c r="R806" s="88"/>
      <c r="S806" s="88"/>
      <c r="T806" s="88"/>
      <c r="U806" s="88"/>
      <c r="V806" s="87"/>
      <c r="W806" s="87"/>
      <c r="X806" s="87"/>
      <c r="Y806" s="87"/>
      <c r="Z806" s="87"/>
      <c r="AA806" s="90"/>
    </row>
    <row r="807" spans="2:27" x14ac:dyDescent="0.25">
      <c r="B807" s="1283" t="s">
        <v>11</v>
      </c>
      <c r="C807" s="1539"/>
      <c r="D807" s="20"/>
      <c r="E807" s="20"/>
      <c r="F807" s="20"/>
      <c r="G807" s="20"/>
      <c r="H807" s="20"/>
      <c r="I807" s="20"/>
      <c r="J807" s="20"/>
      <c r="K807" s="20"/>
      <c r="L807" s="20"/>
      <c r="M807" s="20"/>
      <c r="N807" s="20"/>
      <c r="O807" s="20"/>
      <c r="P807" s="20"/>
      <c r="Q807" s="80"/>
      <c r="R807" s="80"/>
      <c r="S807" s="80"/>
      <c r="T807" s="80"/>
      <c r="U807" s="80"/>
      <c r="V807" s="20"/>
      <c r="W807" s="20"/>
      <c r="X807" s="20"/>
      <c r="Y807" s="20"/>
      <c r="Z807" s="20"/>
      <c r="AA807" s="21"/>
    </row>
    <row r="808" spans="2:27" x14ac:dyDescent="0.25">
      <c r="B808" s="2840" t="s">
        <v>13</v>
      </c>
      <c r="C808" s="2993">
        <v>9001</v>
      </c>
      <c r="D808" s="3139" t="s">
        <v>160</v>
      </c>
      <c r="E808" s="3139"/>
      <c r="F808" s="28"/>
      <c r="G808" s="28"/>
      <c r="H808" s="28"/>
      <c r="I808" s="28"/>
      <c r="J808" s="28"/>
      <c r="K808" s="28"/>
      <c r="L808" s="28"/>
      <c r="M808" s="28"/>
      <c r="N808" s="28"/>
      <c r="O808" s="28"/>
      <c r="P808" s="28"/>
      <c r="Q808" s="82"/>
      <c r="R808" s="82"/>
      <c r="S808" s="82"/>
      <c r="T808" s="82"/>
      <c r="U808" s="82"/>
      <c r="V808" s="2922" t="s">
        <v>15</v>
      </c>
      <c r="W808" s="2922"/>
      <c r="X808" s="2922"/>
      <c r="Y808" s="2922"/>
      <c r="Z808" s="2974" t="s">
        <v>16</v>
      </c>
      <c r="AA808" s="2976"/>
    </row>
    <row r="809" spans="2:27" x14ac:dyDescent="0.25">
      <c r="B809" s="2840"/>
      <c r="C809" s="2915"/>
      <c r="D809" s="3139"/>
      <c r="E809" s="3139"/>
      <c r="F809" s="84"/>
      <c r="G809" s="84"/>
      <c r="H809" s="84"/>
      <c r="I809" s="84"/>
      <c r="J809" s="84"/>
      <c r="K809" s="84"/>
      <c r="L809" s="84"/>
      <c r="M809" s="84"/>
      <c r="N809" s="84"/>
      <c r="O809" s="84"/>
      <c r="P809" s="84"/>
      <c r="Q809" s="83"/>
      <c r="R809" s="83"/>
      <c r="S809" s="83"/>
      <c r="T809" s="83"/>
      <c r="U809" s="83"/>
      <c r="V809" s="3019" t="s">
        <v>1213</v>
      </c>
      <c r="W809" s="3328"/>
      <c r="X809" s="3328"/>
      <c r="Y809" s="3020"/>
      <c r="Z809" s="3019" t="s">
        <v>1213</v>
      </c>
      <c r="AA809" s="3020"/>
    </row>
    <row r="810" spans="2:27" x14ac:dyDescent="0.25">
      <c r="B810" s="2840"/>
      <c r="C810" s="2994"/>
      <c r="D810" s="3139"/>
      <c r="E810" s="3139"/>
      <c r="F810" s="31"/>
      <c r="G810" s="31"/>
      <c r="H810" s="31"/>
      <c r="I810" s="31"/>
      <c r="J810" s="31"/>
      <c r="K810" s="31"/>
      <c r="L810" s="31"/>
      <c r="M810" s="31"/>
      <c r="N810" s="31"/>
      <c r="O810" s="31"/>
      <c r="P810" s="31"/>
      <c r="Q810" s="301"/>
      <c r="R810" s="301"/>
      <c r="S810" s="301"/>
      <c r="T810" s="301"/>
      <c r="U810" s="301"/>
      <c r="V810" s="3023"/>
      <c r="W810" s="3337"/>
      <c r="X810" s="3337"/>
      <c r="Y810" s="3338"/>
      <c r="Z810" s="3023"/>
      <c r="AA810" s="3338"/>
    </row>
    <row r="811" spans="2:27" x14ac:dyDescent="0.25">
      <c r="B811" s="2840" t="s">
        <v>18</v>
      </c>
      <c r="C811" s="2993">
        <v>3.9999989999999999</v>
      </c>
      <c r="D811" s="2840" t="s">
        <v>163</v>
      </c>
      <c r="E811" s="2840"/>
      <c r="F811" s="244"/>
      <c r="G811" s="244"/>
      <c r="H811" s="244"/>
      <c r="I811" s="244"/>
      <c r="J811" s="244"/>
      <c r="K811" s="244"/>
      <c r="L811" s="244"/>
      <c r="M811" s="244"/>
      <c r="N811" s="244"/>
      <c r="O811" s="244"/>
      <c r="P811" s="244"/>
      <c r="Q811" s="28"/>
      <c r="R811" s="28"/>
      <c r="S811" s="28"/>
      <c r="T811" s="28"/>
      <c r="U811" s="29"/>
      <c r="V811" s="2840" t="s">
        <v>15</v>
      </c>
      <c r="W811" s="2840"/>
      <c r="X811" s="2840"/>
      <c r="Y811" s="2840"/>
      <c r="Z811" s="2922" t="s">
        <v>16</v>
      </c>
      <c r="AA811" s="2922"/>
    </row>
    <row r="812" spans="2:27" x14ac:dyDescent="0.25">
      <c r="B812" s="2840"/>
      <c r="C812" s="2994"/>
      <c r="D812" s="2840"/>
      <c r="E812" s="2840"/>
      <c r="F812" s="248"/>
      <c r="G812" s="248"/>
      <c r="H812" s="248"/>
      <c r="I812" s="248"/>
      <c r="J812" s="248"/>
      <c r="K812" s="248"/>
      <c r="L812" s="248"/>
      <c r="M812" s="248"/>
      <c r="N812" s="248"/>
      <c r="O812" s="248"/>
      <c r="P812" s="248"/>
      <c r="Q812" s="31"/>
      <c r="R812" s="31"/>
      <c r="S812" s="31"/>
      <c r="T812" s="31"/>
      <c r="U812" s="22"/>
      <c r="V812" s="2671" t="s">
        <v>1213</v>
      </c>
      <c r="W812" s="2672"/>
      <c r="X812" s="2672"/>
      <c r="Y812" s="3002"/>
      <c r="Z812" s="2922" t="s">
        <v>1213</v>
      </c>
      <c r="AA812" s="2922"/>
    </row>
    <row r="813" spans="2:27" x14ac:dyDescent="0.25">
      <c r="B813" s="2999" t="s">
        <v>20</v>
      </c>
      <c r="C813" s="2847" t="s">
        <v>21</v>
      </c>
      <c r="D813" s="2847" t="s">
        <v>22</v>
      </c>
      <c r="E813" s="2847" t="s">
        <v>23</v>
      </c>
      <c r="F813" s="2847" t="s">
        <v>164</v>
      </c>
      <c r="G813" s="2847" t="s">
        <v>25</v>
      </c>
      <c r="H813" s="2847" t="s">
        <v>26</v>
      </c>
      <c r="I813" s="2847" t="s">
        <v>27</v>
      </c>
      <c r="J813" s="2986" t="s">
        <v>28</v>
      </c>
      <c r="K813" s="2987"/>
      <c r="L813" s="2847" t="s">
        <v>29</v>
      </c>
      <c r="M813" s="2986" t="s">
        <v>30</v>
      </c>
      <c r="N813" s="2987"/>
      <c r="O813" s="2990" t="s">
        <v>31</v>
      </c>
      <c r="P813" s="2991"/>
      <c r="Q813" s="2991"/>
      <c r="R813" s="2991"/>
      <c r="S813" s="2991"/>
      <c r="T813" s="2991"/>
      <c r="U813" s="2991"/>
      <c r="V813" s="2991"/>
      <c r="W813" s="2991"/>
      <c r="X813" s="2991"/>
      <c r="Y813" s="2991"/>
      <c r="Z813" s="2992"/>
      <c r="AA813" s="2916" t="s">
        <v>32</v>
      </c>
    </row>
    <row r="814" spans="2:27" x14ac:dyDescent="0.25">
      <c r="B814" s="2999"/>
      <c r="C814" s="2847"/>
      <c r="D814" s="2847"/>
      <c r="E814" s="2847"/>
      <c r="F814" s="2847"/>
      <c r="G814" s="2847"/>
      <c r="H814" s="2847"/>
      <c r="I814" s="2847"/>
      <c r="J814" s="1284" t="s">
        <v>33</v>
      </c>
      <c r="K814" s="1284" t="s">
        <v>34</v>
      </c>
      <c r="L814" s="2847"/>
      <c r="M814" s="3000"/>
      <c r="N814" s="3001"/>
      <c r="O814" s="1294" t="s">
        <v>35</v>
      </c>
      <c r="P814" s="1294" t="s">
        <v>36</v>
      </c>
      <c r="Q814" s="1294" t="s">
        <v>37</v>
      </c>
      <c r="R814" s="1294" t="s">
        <v>38</v>
      </c>
      <c r="S814" s="1294" t="s">
        <v>39</v>
      </c>
      <c r="T814" s="1294" t="s">
        <v>40</v>
      </c>
      <c r="U814" s="1294" t="s">
        <v>41</v>
      </c>
      <c r="V814" s="1294" t="s">
        <v>42</v>
      </c>
      <c r="W814" s="1294" t="s">
        <v>43</v>
      </c>
      <c r="X814" s="1294" t="s">
        <v>44</v>
      </c>
      <c r="Y814" s="1294" t="s">
        <v>45</v>
      </c>
      <c r="Z814" s="1294" t="s">
        <v>46</v>
      </c>
      <c r="AA814" s="2916"/>
    </row>
    <row r="815" spans="2:27" x14ac:dyDescent="0.25">
      <c r="B815" s="4406">
        <v>5000001</v>
      </c>
      <c r="C815" s="4408" t="s">
        <v>3282</v>
      </c>
      <c r="D815" s="4408" t="s">
        <v>3283</v>
      </c>
      <c r="E815" s="4410" t="s">
        <v>48</v>
      </c>
      <c r="F815" s="4412" t="s">
        <v>148</v>
      </c>
      <c r="G815" s="4412" t="s">
        <v>149</v>
      </c>
      <c r="H815" s="2796" t="s">
        <v>1352</v>
      </c>
      <c r="I815" s="4408" t="s">
        <v>235</v>
      </c>
      <c r="J815" s="4414">
        <v>12</v>
      </c>
      <c r="K815" s="4414">
        <v>263227</v>
      </c>
      <c r="L815" s="3383" t="s">
        <v>3281</v>
      </c>
      <c r="M815" s="4416" t="s">
        <v>51</v>
      </c>
      <c r="N815" s="4417"/>
      <c r="O815" s="1540"/>
      <c r="P815" s="1540"/>
      <c r="Q815" s="1540"/>
      <c r="R815" s="1540"/>
      <c r="S815" s="1540"/>
      <c r="T815" s="1540"/>
      <c r="U815" s="1540"/>
      <c r="V815" s="1540"/>
      <c r="W815" s="1540"/>
      <c r="X815" s="1540"/>
      <c r="Y815" s="1540"/>
      <c r="Z815" s="1540"/>
      <c r="AA815" s="1540"/>
    </row>
    <row r="816" spans="2:27" x14ac:dyDescent="0.25">
      <c r="B816" s="4407"/>
      <c r="C816" s="4409"/>
      <c r="D816" s="4409"/>
      <c r="E816" s="4411"/>
      <c r="F816" s="4413"/>
      <c r="G816" s="4413"/>
      <c r="H816" s="2796"/>
      <c r="I816" s="4409"/>
      <c r="J816" s="4415"/>
      <c r="K816" s="4415"/>
      <c r="L816" s="3391"/>
      <c r="M816" s="4416" t="s">
        <v>111</v>
      </c>
      <c r="N816" s="4417"/>
      <c r="O816" s="4418" t="s">
        <v>3284</v>
      </c>
      <c r="P816" s="4419"/>
      <c r="Q816" s="4419"/>
      <c r="R816" s="4419"/>
      <c r="S816" s="4419"/>
      <c r="T816" s="4419"/>
      <c r="U816" s="4419"/>
      <c r="V816" s="4419"/>
      <c r="W816" s="4419"/>
      <c r="X816" s="4419"/>
      <c r="Y816" s="4419"/>
      <c r="Z816" s="4420"/>
      <c r="AA816" s="1541">
        <v>263227</v>
      </c>
    </row>
    <row r="817" spans="2:27" ht="22.5" x14ac:dyDescent="0.25">
      <c r="B817" s="4407"/>
      <c r="C817" s="4409"/>
      <c r="D817" s="4409"/>
      <c r="E817" s="4411"/>
      <c r="F817" s="4413"/>
      <c r="G817" s="4413"/>
      <c r="H817" s="2796"/>
      <c r="I817" s="4409"/>
      <c r="J817" s="4415"/>
      <c r="K817" s="4415"/>
      <c r="L817" s="3391"/>
      <c r="M817" s="603" t="s">
        <v>184</v>
      </c>
      <c r="N817" s="1345" t="s">
        <v>1367</v>
      </c>
      <c r="O817" s="716">
        <v>0</v>
      </c>
      <c r="P817" s="716">
        <v>200</v>
      </c>
      <c r="Q817" s="716">
        <v>0</v>
      </c>
      <c r="R817" s="716">
        <v>0</v>
      </c>
      <c r="S817" s="716">
        <v>200</v>
      </c>
      <c r="T817" s="716">
        <v>0</v>
      </c>
      <c r="U817" s="716">
        <v>0</v>
      </c>
      <c r="V817" s="716">
        <v>200</v>
      </c>
      <c r="W817" s="716">
        <v>0</v>
      </c>
      <c r="X817" s="716">
        <v>0</v>
      </c>
      <c r="Y817" s="716">
        <v>200</v>
      </c>
      <c r="Z817" s="716">
        <v>0</v>
      </c>
      <c r="AA817" s="1542">
        <f t="shared" ref="AA817:AA826" si="91">SUM(O817:Z817)</f>
        <v>800</v>
      </c>
    </row>
    <row r="818" spans="2:27" ht="45" x14ac:dyDescent="0.25">
      <c r="B818" s="4407"/>
      <c r="C818" s="4409"/>
      <c r="D818" s="4409"/>
      <c r="E818" s="4411"/>
      <c r="F818" s="4413"/>
      <c r="G818" s="4413"/>
      <c r="H818" s="2796"/>
      <c r="I818" s="4409"/>
      <c r="J818" s="4415"/>
      <c r="K818" s="4415"/>
      <c r="L818" s="3391"/>
      <c r="M818" s="603" t="s">
        <v>194</v>
      </c>
      <c r="N818" s="1345" t="s">
        <v>2987</v>
      </c>
      <c r="O818" s="716">
        <v>0</v>
      </c>
      <c r="P818" s="716">
        <v>0</v>
      </c>
      <c r="Q818" s="716">
        <v>1320</v>
      </c>
      <c r="R818" s="716">
        <v>0</v>
      </c>
      <c r="S818" s="716">
        <v>0</v>
      </c>
      <c r="T818" s="716">
        <v>120</v>
      </c>
      <c r="U818" s="716">
        <v>0</v>
      </c>
      <c r="V818" s="716">
        <v>0</v>
      </c>
      <c r="W818" s="716">
        <v>120</v>
      </c>
      <c r="X818" s="716">
        <v>0</v>
      </c>
      <c r="Y818" s="716">
        <v>0</v>
      </c>
      <c r="Z818" s="716">
        <v>0</v>
      </c>
      <c r="AA818" s="1542">
        <f t="shared" si="91"/>
        <v>1560</v>
      </c>
    </row>
    <row r="819" spans="2:27" ht="33.75" x14ac:dyDescent="0.25">
      <c r="B819" s="4407"/>
      <c r="C819" s="4409"/>
      <c r="D819" s="4409"/>
      <c r="E819" s="4411"/>
      <c r="F819" s="4413"/>
      <c r="G819" s="4413"/>
      <c r="H819" s="2796"/>
      <c r="I819" s="4409"/>
      <c r="J819" s="4415"/>
      <c r="K819" s="4415"/>
      <c r="L819" s="3391"/>
      <c r="M819" s="603" t="s">
        <v>3285</v>
      </c>
      <c r="N819" s="1345" t="s">
        <v>1196</v>
      </c>
      <c r="O819" s="716">
        <v>0</v>
      </c>
      <c r="P819" s="716">
        <v>0</v>
      </c>
      <c r="Q819" s="716">
        <v>560</v>
      </c>
      <c r="R819" s="716">
        <v>0</v>
      </c>
      <c r="S819" s="716">
        <v>0</v>
      </c>
      <c r="T819" s="716">
        <v>60</v>
      </c>
      <c r="U819" s="716">
        <v>0</v>
      </c>
      <c r="V819" s="716">
        <v>0</v>
      </c>
      <c r="W819" s="716">
        <v>60</v>
      </c>
      <c r="X819" s="716">
        <v>0</v>
      </c>
      <c r="Y819" s="716">
        <v>0</v>
      </c>
      <c r="Z819" s="716">
        <v>0</v>
      </c>
      <c r="AA819" s="1542">
        <f t="shared" si="91"/>
        <v>680</v>
      </c>
    </row>
    <row r="820" spans="2:27" ht="33.75" x14ac:dyDescent="0.25">
      <c r="B820" s="4407"/>
      <c r="C820" s="4409"/>
      <c r="D820" s="4409"/>
      <c r="E820" s="4411"/>
      <c r="F820" s="4413"/>
      <c r="G820" s="4413"/>
      <c r="H820" s="2796"/>
      <c r="I820" s="4409"/>
      <c r="J820" s="4415"/>
      <c r="K820" s="4415"/>
      <c r="L820" s="3391"/>
      <c r="M820" s="1392" t="s">
        <v>208</v>
      </c>
      <c r="N820" s="1309" t="s">
        <v>553</v>
      </c>
      <c r="O820" s="716">
        <v>18100</v>
      </c>
      <c r="P820" s="716">
        <v>18100</v>
      </c>
      <c r="Q820" s="716">
        <v>18100</v>
      </c>
      <c r="R820" s="716">
        <v>18100</v>
      </c>
      <c r="S820" s="716">
        <v>18100</v>
      </c>
      <c r="T820" s="716">
        <v>18100</v>
      </c>
      <c r="U820" s="716">
        <v>20200</v>
      </c>
      <c r="V820" s="716">
        <v>18100</v>
      </c>
      <c r="W820" s="716">
        <v>18100</v>
      </c>
      <c r="X820" s="716">
        <v>18100</v>
      </c>
      <c r="Y820" s="716">
        <v>18100</v>
      </c>
      <c r="Z820" s="716">
        <v>20200</v>
      </c>
      <c r="AA820" s="1542">
        <f t="shared" si="91"/>
        <v>221400</v>
      </c>
    </row>
    <row r="821" spans="2:27" ht="22.5" x14ac:dyDescent="0.25">
      <c r="B821" s="4407"/>
      <c r="C821" s="4409"/>
      <c r="D821" s="4409"/>
      <c r="E821" s="4411"/>
      <c r="F821" s="4413"/>
      <c r="G821" s="4413"/>
      <c r="H821" s="2796"/>
      <c r="I821" s="4409"/>
      <c r="J821" s="4415"/>
      <c r="K821" s="4415"/>
      <c r="L821" s="3391"/>
      <c r="M821" s="1392" t="s">
        <v>210</v>
      </c>
      <c r="N821" s="1309" t="s">
        <v>1371</v>
      </c>
      <c r="O821" s="716">
        <v>728</v>
      </c>
      <c r="P821" s="716">
        <v>728</v>
      </c>
      <c r="Q821" s="716">
        <v>728</v>
      </c>
      <c r="R821" s="716">
        <v>728</v>
      </c>
      <c r="S821" s="716">
        <v>728</v>
      </c>
      <c r="T821" s="716">
        <v>728</v>
      </c>
      <c r="U821" s="716">
        <v>728</v>
      </c>
      <c r="V821" s="716">
        <v>728</v>
      </c>
      <c r="W821" s="716">
        <v>728</v>
      </c>
      <c r="X821" s="716">
        <v>728</v>
      </c>
      <c r="Y821" s="716">
        <v>728</v>
      </c>
      <c r="Z821" s="716">
        <v>728</v>
      </c>
      <c r="AA821" s="1542">
        <f t="shared" si="91"/>
        <v>8736</v>
      </c>
    </row>
    <row r="822" spans="2:27" ht="33.75" x14ac:dyDescent="0.25">
      <c r="B822" s="4407"/>
      <c r="C822" s="4409"/>
      <c r="D822" s="4409"/>
      <c r="E822" s="4411"/>
      <c r="F822" s="4413"/>
      <c r="G822" s="4413"/>
      <c r="H822" s="2796"/>
      <c r="I822" s="4409"/>
      <c r="J822" s="4415"/>
      <c r="K822" s="4415"/>
      <c r="L822" s="3391"/>
      <c r="M822" s="1392" t="s">
        <v>1399</v>
      </c>
      <c r="N822" s="1309" t="s">
        <v>1400</v>
      </c>
      <c r="O822" s="716">
        <v>0</v>
      </c>
      <c r="P822" s="716">
        <v>0</v>
      </c>
      <c r="Q822" s="716">
        <v>0</v>
      </c>
      <c r="R822" s="716">
        <v>0</v>
      </c>
      <c r="S822" s="716">
        <v>300000</v>
      </c>
      <c r="T822" s="716">
        <v>0</v>
      </c>
      <c r="U822" s="716">
        <v>0</v>
      </c>
      <c r="V822" s="716">
        <v>0</v>
      </c>
      <c r="W822" s="716">
        <v>0</v>
      </c>
      <c r="X822" s="716">
        <v>0</v>
      </c>
      <c r="Y822" s="716">
        <v>0</v>
      </c>
      <c r="Z822" s="716">
        <v>0</v>
      </c>
      <c r="AA822" s="1542">
        <f t="shared" si="91"/>
        <v>300000</v>
      </c>
    </row>
    <row r="823" spans="2:27" x14ac:dyDescent="0.25">
      <c r="B823" s="4407"/>
      <c r="C823" s="4409"/>
      <c r="D823" s="4409"/>
      <c r="E823" s="4411"/>
      <c r="F823" s="4413"/>
      <c r="G823" s="4413"/>
      <c r="H823" s="2796"/>
      <c r="I823" s="4409"/>
      <c r="J823" s="4415"/>
      <c r="K823" s="4415"/>
      <c r="L823" s="3391"/>
      <c r="M823" s="1392" t="s">
        <v>2358</v>
      </c>
      <c r="N823" s="1309" t="s">
        <v>3286</v>
      </c>
      <c r="O823" s="716">
        <v>0</v>
      </c>
      <c r="P823" s="716">
        <v>0</v>
      </c>
      <c r="Q823" s="716">
        <v>0</v>
      </c>
      <c r="R823" s="716">
        <v>150000</v>
      </c>
      <c r="S823" s="716">
        <v>0</v>
      </c>
      <c r="T823" s="716">
        <v>0</v>
      </c>
      <c r="U823" s="716">
        <v>0</v>
      </c>
      <c r="V823" s="716">
        <v>0</v>
      </c>
      <c r="W823" s="716">
        <v>0</v>
      </c>
      <c r="X823" s="716">
        <v>0</v>
      </c>
      <c r="Y823" s="716">
        <v>0</v>
      </c>
      <c r="Z823" s="716">
        <v>0</v>
      </c>
      <c r="AA823" s="1542">
        <f t="shared" si="91"/>
        <v>150000</v>
      </c>
    </row>
    <row r="824" spans="2:27" ht="22.5" x14ac:dyDescent="0.25">
      <c r="B824" s="4407"/>
      <c r="C824" s="4409"/>
      <c r="D824" s="4409"/>
      <c r="E824" s="4411"/>
      <c r="F824" s="4413"/>
      <c r="G824" s="4413"/>
      <c r="H824" s="2796"/>
      <c r="I824" s="4409"/>
      <c r="J824" s="4415"/>
      <c r="K824" s="4415"/>
      <c r="L824" s="3391"/>
      <c r="M824" s="1392" t="s">
        <v>182</v>
      </c>
      <c r="N824" s="1309" t="s">
        <v>534</v>
      </c>
      <c r="O824" s="716">
        <v>0</v>
      </c>
      <c r="P824" s="716">
        <v>3000</v>
      </c>
      <c r="Q824" s="716">
        <v>0</v>
      </c>
      <c r="R824" s="716">
        <v>0</v>
      </c>
      <c r="S824" s="716">
        <v>0</v>
      </c>
      <c r="T824" s="716">
        <v>0</v>
      </c>
      <c r="U824" s="716">
        <v>0</v>
      </c>
      <c r="V824" s="716">
        <v>3000</v>
      </c>
      <c r="W824" s="716">
        <v>0</v>
      </c>
      <c r="X824" s="716">
        <v>0</v>
      </c>
      <c r="Y824" s="716">
        <v>0</v>
      </c>
      <c r="Z824" s="716">
        <v>0</v>
      </c>
      <c r="AA824" s="1542">
        <f t="shared" si="91"/>
        <v>6000</v>
      </c>
    </row>
    <row r="825" spans="2:27" ht="33.75" x14ac:dyDescent="0.25">
      <c r="B825" s="4407"/>
      <c r="C825" s="4409"/>
      <c r="D825" s="4409"/>
      <c r="E825" s="4411"/>
      <c r="F825" s="4413"/>
      <c r="G825" s="4413"/>
      <c r="H825" s="2796"/>
      <c r="I825" s="4409"/>
      <c r="J825" s="4415"/>
      <c r="K825" s="4415"/>
      <c r="L825" s="3391"/>
      <c r="M825" s="1392" t="s">
        <v>3287</v>
      </c>
      <c r="N825" s="1309" t="s">
        <v>2467</v>
      </c>
      <c r="O825" s="716">
        <v>128000</v>
      </c>
      <c r="P825" s="716">
        <v>0</v>
      </c>
      <c r="Q825" s="716">
        <v>225000</v>
      </c>
      <c r="R825" s="716">
        <v>0</v>
      </c>
      <c r="S825" s="716">
        <v>0</v>
      </c>
      <c r="T825" s="716">
        <v>0</v>
      </c>
      <c r="U825" s="716">
        <v>80000</v>
      </c>
      <c r="V825" s="716">
        <v>3000</v>
      </c>
      <c r="W825" s="716">
        <v>0</v>
      </c>
      <c r="X825" s="716">
        <v>0</v>
      </c>
      <c r="Y825" s="716">
        <v>0</v>
      </c>
      <c r="Z825" s="716">
        <v>0</v>
      </c>
      <c r="AA825" s="1542">
        <f t="shared" si="91"/>
        <v>436000</v>
      </c>
    </row>
    <row r="826" spans="2:27" ht="22.5" x14ac:dyDescent="0.25">
      <c r="B826" s="4407"/>
      <c r="C826" s="4409"/>
      <c r="D826" s="4409"/>
      <c r="E826" s="4411"/>
      <c r="F826" s="4413"/>
      <c r="G826" s="4413"/>
      <c r="H826" s="2796"/>
      <c r="I826" s="4409"/>
      <c r="J826" s="4415"/>
      <c r="K826" s="4415"/>
      <c r="L826" s="3391"/>
      <c r="M826" s="1392" t="s">
        <v>1454</v>
      </c>
      <c r="N826" s="1309" t="s">
        <v>1478</v>
      </c>
      <c r="O826" s="716">
        <v>7450</v>
      </c>
      <c r="P826" s="716">
        <v>7450</v>
      </c>
      <c r="Q826" s="716">
        <v>7450</v>
      </c>
      <c r="R826" s="716">
        <v>8050</v>
      </c>
      <c r="S826" s="716">
        <v>7450</v>
      </c>
      <c r="T826" s="716">
        <v>7950</v>
      </c>
      <c r="U826" s="716">
        <v>22450</v>
      </c>
      <c r="V826" s="716">
        <v>8450</v>
      </c>
      <c r="W826" s="716">
        <v>7450</v>
      </c>
      <c r="X826" s="716">
        <v>8050</v>
      </c>
      <c r="Y826" s="716">
        <v>7950</v>
      </c>
      <c r="Z826" s="716">
        <v>7450</v>
      </c>
      <c r="AA826" s="1542">
        <f t="shared" si="91"/>
        <v>107600</v>
      </c>
    </row>
    <row r="827" spans="2:27" x14ac:dyDescent="0.25">
      <c r="B827" s="4407"/>
      <c r="C827" s="4409"/>
      <c r="D827" s="4409"/>
      <c r="E827" s="4411"/>
      <c r="F827" s="4413"/>
      <c r="G827" s="4413"/>
      <c r="H827" s="2796"/>
      <c r="I827" s="4409"/>
      <c r="J827" s="4415"/>
      <c r="K827" s="4415"/>
      <c r="L827" s="3375"/>
      <c r="M827" s="4421" t="s">
        <v>3288</v>
      </c>
      <c r="N827" s="4422"/>
      <c r="O827" s="4422"/>
      <c r="P827" s="4422"/>
      <c r="Q827" s="4422"/>
      <c r="R827" s="4422"/>
      <c r="S827" s="4422"/>
      <c r="T827" s="4422"/>
      <c r="U827" s="4422"/>
      <c r="V827" s="4422"/>
      <c r="W827" s="4422"/>
      <c r="X827" s="4422"/>
      <c r="Y827" s="4422"/>
      <c r="Z827" s="4423"/>
      <c r="AA827" s="1823">
        <f>SUM(AA817:AA826)</f>
        <v>1232776</v>
      </c>
    </row>
    <row r="828" spans="2:27" x14ac:dyDescent="0.25">
      <c r="B828" s="4424"/>
      <c r="C828" s="4424"/>
      <c r="D828" s="4383" t="s">
        <v>3289</v>
      </c>
      <c r="E828" s="4400"/>
      <c r="F828" s="4400"/>
      <c r="G828" s="4400"/>
      <c r="H828" s="4383" t="s">
        <v>3290</v>
      </c>
      <c r="I828" s="4400" t="s">
        <v>3331</v>
      </c>
      <c r="J828" s="4403">
        <v>500</v>
      </c>
      <c r="K828" s="4400"/>
      <c r="L828" s="4400" t="s">
        <v>3291</v>
      </c>
      <c r="M828" s="1672" t="s">
        <v>51</v>
      </c>
      <c r="N828" s="1673"/>
      <c r="O828" s="716"/>
      <c r="P828" s="716"/>
      <c r="Q828" s="716"/>
      <c r="R828" s="716"/>
      <c r="S828" s="716"/>
      <c r="T828" s="716"/>
      <c r="U828" s="716"/>
      <c r="V828" s="716"/>
      <c r="W828" s="716"/>
      <c r="X828" s="716"/>
      <c r="Y828" s="716"/>
      <c r="Z828" s="716"/>
      <c r="AA828" s="1542">
        <f t="shared" ref="AA828:AA866" si="92">SUM(O828:Z828)</f>
        <v>0</v>
      </c>
    </row>
    <row r="829" spans="2:27" x14ac:dyDescent="0.25">
      <c r="B829" s="4425"/>
      <c r="C829" s="4425"/>
      <c r="D829" s="4384"/>
      <c r="E829" s="4401"/>
      <c r="F829" s="4401"/>
      <c r="G829" s="4401"/>
      <c r="H829" s="4384"/>
      <c r="I829" s="4401"/>
      <c r="J829" s="4404"/>
      <c r="K829" s="4401"/>
      <c r="L829" s="4401"/>
      <c r="M829" s="1672" t="s">
        <v>111</v>
      </c>
      <c r="N829" s="603"/>
      <c r="O829" s="716"/>
      <c r="P829" s="716"/>
      <c r="Q829" s="716"/>
      <c r="R829" s="716"/>
      <c r="S829" s="716"/>
      <c r="T829" s="716"/>
      <c r="U829" s="716"/>
      <c r="V829" s="716"/>
      <c r="W829" s="716"/>
      <c r="X829" s="716"/>
      <c r="Y829" s="716"/>
      <c r="Z829" s="716"/>
      <c r="AA829" s="1542">
        <f t="shared" si="92"/>
        <v>0</v>
      </c>
    </row>
    <row r="830" spans="2:27" ht="33.75" x14ac:dyDescent="0.25">
      <c r="B830" s="4425"/>
      <c r="C830" s="4425"/>
      <c r="D830" s="4384"/>
      <c r="E830" s="4401"/>
      <c r="F830" s="4401"/>
      <c r="G830" s="4401"/>
      <c r="H830" s="4384"/>
      <c r="I830" s="4401"/>
      <c r="J830" s="4404"/>
      <c r="K830" s="4401"/>
      <c r="L830" s="4401"/>
      <c r="M830" s="1392" t="s">
        <v>3287</v>
      </c>
      <c r="N830" s="1392" t="s">
        <v>2467</v>
      </c>
      <c r="O830" s="716">
        <v>0</v>
      </c>
      <c r="P830" s="716">
        <v>0</v>
      </c>
      <c r="Q830" s="716">
        <v>225000</v>
      </c>
      <c r="R830" s="716">
        <v>0</v>
      </c>
      <c r="S830" s="716">
        <v>0</v>
      </c>
      <c r="T830" s="716">
        <v>0</v>
      </c>
      <c r="U830" s="716">
        <v>0</v>
      </c>
      <c r="V830" s="716">
        <v>0</v>
      </c>
      <c r="W830" s="716">
        <v>0</v>
      </c>
      <c r="X830" s="716">
        <v>0</v>
      </c>
      <c r="Y830" s="716">
        <v>0</v>
      </c>
      <c r="Z830" s="716">
        <v>0</v>
      </c>
      <c r="AA830" s="1542">
        <f t="shared" si="92"/>
        <v>225000</v>
      </c>
    </row>
    <row r="831" spans="2:27" ht="22.5" x14ac:dyDescent="0.25">
      <c r="B831" s="4426"/>
      <c r="C831" s="4426"/>
      <c r="D831" s="4387"/>
      <c r="E831" s="4402"/>
      <c r="F831" s="4402"/>
      <c r="G831" s="4402"/>
      <c r="H831" s="4387"/>
      <c r="I831" s="4402"/>
      <c r="J831" s="4405"/>
      <c r="K831" s="4402"/>
      <c r="L831" s="4402"/>
      <c r="M831" s="603" t="s">
        <v>184</v>
      </c>
      <c r="N831" s="603" t="s">
        <v>1367</v>
      </c>
      <c r="O831" s="716">
        <v>0</v>
      </c>
      <c r="P831" s="716">
        <v>20</v>
      </c>
      <c r="Q831" s="716">
        <v>0</v>
      </c>
      <c r="R831" s="716">
        <v>0</v>
      </c>
      <c r="S831" s="716">
        <v>20</v>
      </c>
      <c r="T831" s="716">
        <v>0</v>
      </c>
      <c r="U831" s="716">
        <v>0</v>
      </c>
      <c r="V831" s="716">
        <v>20</v>
      </c>
      <c r="W831" s="716">
        <v>0</v>
      </c>
      <c r="X831" s="716">
        <v>0</v>
      </c>
      <c r="Y831" s="716">
        <v>20</v>
      </c>
      <c r="Z831" s="716">
        <v>0</v>
      </c>
      <c r="AA831" s="1542">
        <f t="shared" si="92"/>
        <v>80</v>
      </c>
    </row>
    <row r="832" spans="2:27" x14ac:dyDescent="0.25">
      <c r="B832" s="4381"/>
      <c r="C832" s="4381"/>
      <c r="D832" s="4383" t="s">
        <v>3292</v>
      </c>
      <c r="E832" s="4383"/>
      <c r="F832" s="4383"/>
      <c r="G832" s="4383"/>
      <c r="H832" s="4383" t="s">
        <v>3293</v>
      </c>
      <c r="I832" s="4383" t="s">
        <v>2737</v>
      </c>
      <c r="J832" s="2554">
        <v>2</v>
      </c>
      <c r="K832" s="4383"/>
      <c r="L832" s="4383" t="s">
        <v>3294</v>
      </c>
      <c r="M832" s="1674"/>
      <c r="N832" s="1673"/>
      <c r="O832" s="716"/>
      <c r="P832" s="716"/>
      <c r="Q832" s="716"/>
      <c r="R832" s="716"/>
      <c r="S832" s="716"/>
      <c r="T832" s="716"/>
      <c r="U832" s="716"/>
      <c r="V832" s="716"/>
      <c r="W832" s="716"/>
      <c r="X832" s="716"/>
      <c r="Y832" s="716"/>
      <c r="Z832" s="716"/>
      <c r="AA832" s="1542">
        <f t="shared" si="92"/>
        <v>0</v>
      </c>
    </row>
    <row r="833" spans="2:27" x14ac:dyDescent="0.25">
      <c r="B833" s="4382"/>
      <c r="C833" s="4382"/>
      <c r="D833" s="4384"/>
      <c r="E833" s="4384"/>
      <c r="F833" s="4384"/>
      <c r="G833" s="4384"/>
      <c r="H833" s="4384"/>
      <c r="I833" s="4384"/>
      <c r="J833" s="2555"/>
      <c r="K833" s="4384"/>
      <c r="L833" s="4384"/>
      <c r="M833" s="1672" t="s">
        <v>51</v>
      </c>
      <c r="N833" s="1673"/>
      <c r="O833" s="716"/>
      <c r="P833" s="716"/>
      <c r="Q833" s="716"/>
      <c r="R833" s="716"/>
      <c r="S833" s="716"/>
      <c r="T833" s="716"/>
      <c r="U833" s="716"/>
      <c r="V833" s="716"/>
      <c r="W833" s="716"/>
      <c r="X833" s="716"/>
      <c r="Y833" s="716"/>
      <c r="Z833" s="716"/>
      <c r="AA833" s="1542">
        <f t="shared" si="92"/>
        <v>0</v>
      </c>
    </row>
    <row r="834" spans="2:27" x14ac:dyDescent="0.25">
      <c r="B834" s="4382"/>
      <c r="C834" s="4382"/>
      <c r="D834" s="4384"/>
      <c r="E834" s="4384"/>
      <c r="F834" s="4384"/>
      <c r="G834" s="4384"/>
      <c r="H834" s="4384"/>
      <c r="I834" s="4384"/>
      <c r="J834" s="2555"/>
      <c r="K834" s="4384"/>
      <c r="L834" s="4384"/>
      <c r="M834" s="1672" t="s">
        <v>111</v>
      </c>
      <c r="N834" s="603"/>
      <c r="O834" s="716"/>
      <c r="P834" s="716"/>
      <c r="Q834" s="716"/>
      <c r="R834" s="716"/>
      <c r="S834" s="716"/>
      <c r="T834" s="716"/>
      <c r="U834" s="716"/>
      <c r="V834" s="716"/>
      <c r="W834" s="716"/>
      <c r="X834" s="716"/>
      <c r="Y834" s="716"/>
      <c r="Z834" s="716"/>
      <c r="AA834" s="1542">
        <f t="shared" si="92"/>
        <v>0</v>
      </c>
    </row>
    <row r="835" spans="2:27" ht="22.5" x14ac:dyDescent="0.25">
      <c r="B835" s="4382"/>
      <c r="C835" s="4382"/>
      <c r="D835" s="4384"/>
      <c r="E835" s="4384"/>
      <c r="F835" s="4384"/>
      <c r="G835" s="4384"/>
      <c r="H835" s="4384"/>
      <c r="I835" s="4384"/>
      <c r="J835" s="2555"/>
      <c r="K835" s="4384"/>
      <c r="L835" s="4384"/>
      <c r="M835" s="603" t="s">
        <v>184</v>
      </c>
      <c r="N835" s="603" t="s">
        <v>1367</v>
      </c>
      <c r="O835" s="716">
        <v>0</v>
      </c>
      <c r="P835" s="716">
        <v>20</v>
      </c>
      <c r="Q835" s="716">
        <v>0</v>
      </c>
      <c r="R835" s="716">
        <v>0</v>
      </c>
      <c r="S835" s="716">
        <v>20</v>
      </c>
      <c r="T835" s="716">
        <v>0</v>
      </c>
      <c r="U835" s="716">
        <v>0</v>
      </c>
      <c r="V835" s="716">
        <v>20</v>
      </c>
      <c r="W835" s="716">
        <v>0</v>
      </c>
      <c r="X835" s="716">
        <v>0</v>
      </c>
      <c r="Y835" s="716">
        <v>20</v>
      </c>
      <c r="Z835" s="716">
        <v>0</v>
      </c>
      <c r="AA835" s="1542">
        <f t="shared" si="92"/>
        <v>80</v>
      </c>
    </row>
    <row r="836" spans="2:27" ht="45" x14ac:dyDescent="0.25">
      <c r="B836" s="4382"/>
      <c r="C836" s="4382"/>
      <c r="D836" s="4384"/>
      <c r="E836" s="4384"/>
      <c r="F836" s="4384"/>
      <c r="G836" s="4384"/>
      <c r="H836" s="4384"/>
      <c r="I836" s="4384"/>
      <c r="J836" s="2555"/>
      <c r="K836" s="4384"/>
      <c r="L836" s="4384"/>
      <c r="M836" s="603" t="s">
        <v>194</v>
      </c>
      <c r="N836" s="603" t="s">
        <v>2987</v>
      </c>
      <c r="O836" s="716">
        <v>0</v>
      </c>
      <c r="P836" s="716">
        <v>0</v>
      </c>
      <c r="Q836" s="716">
        <v>1200</v>
      </c>
      <c r="R836" s="716">
        <v>0</v>
      </c>
      <c r="S836" s="716">
        <v>0</v>
      </c>
      <c r="T836" s="716">
        <v>0</v>
      </c>
      <c r="U836" s="716">
        <v>0</v>
      </c>
      <c r="V836" s="716">
        <v>0</v>
      </c>
      <c r="W836" s="716">
        <v>0</v>
      </c>
      <c r="X836" s="716">
        <v>0</v>
      </c>
      <c r="Y836" s="716">
        <v>0</v>
      </c>
      <c r="Z836" s="716">
        <v>0</v>
      </c>
      <c r="AA836" s="1542">
        <f t="shared" si="92"/>
        <v>1200</v>
      </c>
    </row>
    <row r="837" spans="2:27" ht="33.75" x14ac:dyDescent="0.25">
      <c r="B837" s="4386"/>
      <c r="C837" s="4386"/>
      <c r="D837" s="4387"/>
      <c r="E837" s="4387"/>
      <c r="F837" s="4387"/>
      <c r="G837" s="4387"/>
      <c r="H837" s="4387"/>
      <c r="I837" s="4387"/>
      <c r="J837" s="2556"/>
      <c r="K837" s="4387"/>
      <c r="L837" s="4387"/>
      <c r="M837" s="603" t="s">
        <v>3285</v>
      </c>
      <c r="N837" s="603" t="s">
        <v>1196</v>
      </c>
      <c r="O837" s="716">
        <v>0</v>
      </c>
      <c r="P837" s="716">
        <v>0</v>
      </c>
      <c r="Q837" s="716">
        <v>500</v>
      </c>
      <c r="R837" s="716">
        <v>0</v>
      </c>
      <c r="S837" s="716">
        <v>0</v>
      </c>
      <c r="T837" s="716">
        <v>0</v>
      </c>
      <c r="U837" s="716">
        <v>0</v>
      </c>
      <c r="V837" s="716">
        <v>0</v>
      </c>
      <c r="W837" s="716">
        <v>0</v>
      </c>
      <c r="X837" s="716">
        <v>0</v>
      </c>
      <c r="Y837" s="716">
        <v>0</v>
      </c>
      <c r="Z837" s="716">
        <v>0</v>
      </c>
      <c r="AA837" s="1542">
        <f t="shared" si="92"/>
        <v>500</v>
      </c>
    </row>
    <row r="838" spans="2:27" x14ac:dyDescent="0.25">
      <c r="B838" s="4381"/>
      <c r="C838" s="4381"/>
      <c r="D838" s="4383" t="s">
        <v>3295</v>
      </c>
      <c r="E838" s="4383"/>
      <c r="F838" s="4383"/>
      <c r="G838" s="4383"/>
      <c r="H838" s="4383" t="s">
        <v>3296</v>
      </c>
      <c r="I838" s="4383" t="s">
        <v>2737</v>
      </c>
      <c r="J838" s="2554">
        <v>1</v>
      </c>
      <c r="K838" s="4383"/>
      <c r="L838" s="4383" t="s">
        <v>3297</v>
      </c>
      <c r="M838" s="1674"/>
      <c r="N838" s="1673"/>
      <c r="O838" s="716"/>
      <c r="P838" s="716"/>
      <c r="Q838" s="716"/>
      <c r="R838" s="716"/>
      <c r="S838" s="716"/>
      <c r="T838" s="716"/>
      <c r="U838" s="716"/>
      <c r="V838" s="716"/>
      <c r="W838" s="716"/>
      <c r="X838" s="716"/>
      <c r="Y838" s="716"/>
      <c r="Z838" s="716"/>
      <c r="AA838" s="1542">
        <f t="shared" si="92"/>
        <v>0</v>
      </c>
    </row>
    <row r="839" spans="2:27" x14ac:dyDescent="0.25">
      <c r="B839" s="4382"/>
      <c r="C839" s="4382"/>
      <c r="D839" s="4384"/>
      <c r="E839" s="4384"/>
      <c r="F839" s="4384"/>
      <c r="G839" s="4384"/>
      <c r="H839" s="4384"/>
      <c r="I839" s="4384"/>
      <c r="J839" s="2555"/>
      <c r="K839" s="4384"/>
      <c r="L839" s="4384"/>
      <c r="M839" s="1672" t="s">
        <v>51</v>
      </c>
      <c r="N839" s="1673"/>
      <c r="O839" s="716"/>
      <c r="P839" s="716"/>
      <c r="Q839" s="716"/>
      <c r="R839" s="716"/>
      <c r="S839" s="716"/>
      <c r="T839" s="716"/>
      <c r="U839" s="716"/>
      <c r="V839" s="716"/>
      <c r="W839" s="716"/>
      <c r="X839" s="716"/>
      <c r="Y839" s="716"/>
      <c r="Z839" s="716"/>
      <c r="AA839" s="1542">
        <f t="shared" si="92"/>
        <v>0</v>
      </c>
    </row>
    <row r="840" spans="2:27" x14ac:dyDescent="0.25">
      <c r="B840" s="4382"/>
      <c r="C840" s="4382"/>
      <c r="D840" s="4384"/>
      <c r="E840" s="4384"/>
      <c r="F840" s="4384"/>
      <c r="G840" s="4384"/>
      <c r="H840" s="4384"/>
      <c r="I840" s="4384"/>
      <c r="J840" s="2555"/>
      <c r="K840" s="4384"/>
      <c r="L840" s="4384"/>
      <c r="M840" s="1672" t="s">
        <v>111</v>
      </c>
      <c r="N840" s="603"/>
      <c r="O840" s="716"/>
      <c r="P840" s="716"/>
      <c r="Q840" s="716"/>
      <c r="R840" s="716"/>
      <c r="S840" s="716"/>
      <c r="T840" s="716"/>
      <c r="U840" s="716"/>
      <c r="V840" s="716"/>
      <c r="W840" s="716"/>
      <c r="X840" s="716"/>
      <c r="Y840" s="716"/>
      <c r="Z840" s="716"/>
      <c r="AA840" s="1542">
        <f t="shared" si="92"/>
        <v>0</v>
      </c>
    </row>
    <row r="841" spans="2:27" ht="22.5" x14ac:dyDescent="0.25">
      <c r="B841" s="4386"/>
      <c r="C841" s="4386"/>
      <c r="D841" s="4387"/>
      <c r="E841" s="4387"/>
      <c r="F841" s="4387"/>
      <c r="G841" s="4387"/>
      <c r="H841" s="4387"/>
      <c r="I841" s="4387"/>
      <c r="J841" s="2556"/>
      <c r="K841" s="4387"/>
      <c r="L841" s="4387"/>
      <c r="M841" s="603" t="s">
        <v>184</v>
      </c>
      <c r="N841" s="603" t="s">
        <v>1367</v>
      </c>
      <c r="O841" s="716">
        <v>0</v>
      </c>
      <c r="P841" s="716">
        <v>20</v>
      </c>
      <c r="Q841" s="716">
        <v>0</v>
      </c>
      <c r="R841" s="716">
        <v>0</v>
      </c>
      <c r="S841" s="716">
        <v>20</v>
      </c>
      <c r="T841" s="716">
        <v>0</v>
      </c>
      <c r="U841" s="716">
        <v>0</v>
      </c>
      <c r="V841" s="716">
        <v>20</v>
      </c>
      <c r="W841" s="716">
        <v>0</v>
      </c>
      <c r="X841" s="716">
        <v>0</v>
      </c>
      <c r="Y841" s="716">
        <v>20</v>
      </c>
      <c r="Z841" s="716">
        <v>0</v>
      </c>
      <c r="AA841" s="1542">
        <f t="shared" si="92"/>
        <v>80</v>
      </c>
    </row>
    <row r="842" spans="2:27" x14ac:dyDescent="0.25">
      <c r="B842" s="4381"/>
      <c r="C842" s="4381"/>
      <c r="D842" s="4383" t="s">
        <v>3298</v>
      </c>
      <c r="E842" s="4383"/>
      <c r="F842" s="4383"/>
      <c r="G842" s="4383"/>
      <c r="H842" s="4383" t="s">
        <v>3296</v>
      </c>
      <c r="I842" s="4383" t="s">
        <v>2737</v>
      </c>
      <c r="J842" s="2554">
        <v>1</v>
      </c>
      <c r="K842" s="4383"/>
      <c r="L842" s="4383" t="s">
        <v>3299</v>
      </c>
      <c r="M842" s="1674"/>
      <c r="N842" s="1673"/>
      <c r="O842" s="716"/>
      <c r="P842" s="716"/>
      <c r="Q842" s="716"/>
      <c r="R842" s="716"/>
      <c r="S842" s="716"/>
      <c r="T842" s="716"/>
      <c r="U842" s="716"/>
      <c r="V842" s="716"/>
      <c r="W842" s="716"/>
      <c r="X842" s="716"/>
      <c r="Y842" s="716"/>
      <c r="Z842" s="716"/>
      <c r="AA842" s="1542">
        <f t="shared" si="92"/>
        <v>0</v>
      </c>
    </row>
    <row r="843" spans="2:27" x14ac:dyDescent="0.25">
      <c r="B843" s="4382"/>
      <c r="C843" s="4382"/>
      <c r="D843" s="4384"/>
      <c r="E843" s="4384"/>
      <c r="F843" s="4384"/>
      <c r="G843" s="4384"/>
      <c r="H843" s="4384"/>
      <c r="I843" s="4384"/>
      <c r="J843" s="2555"/>
      <c r="K843" s="4384"/>
      <c r="L843" s="4384"/>
      <c r="M843" s="1672" t="s">
        <v>51</v>
      </c>
      <c r="N843" s="1673"/>
      <c r="O843" s="716"/>
      <c r="P843" s="716"/>
      <c r="Q843" s="716"/>
      <c r="R843" s="716"/>
      <c r="S843" s="716"/>
      <c r="T843" s="716"/>
      <c r="U843" s="716"/>
      <c r="V843" s="716"/>
      <c r="W843" s="716"/>
      <c r="X843" s="716"/>
      <c r="Y843" s="716"/>
      <c r="Z843" s="716"/>
      <c r="AA843" s="1542">
        <f t="shared" si="92"/>
        <v>0</v>
      </c>
    </row>
    <row r="844" spans="2:27" x14ac:dyDescent="0.25">
      <c r="B844" s="4382"/>
      <c r="C844" s="4382"/>
      <c r="D844" s="4384"/>
      <c r="E844" s="4384"/>
      <c r="F844" s="4384"/>
      <c r="G844" s="4384"/>
      <c r="H844" s="4384"/>
      <c r="I844" s="4384"/>
      <c r="J844" s="2555"/>
      <c r="K844" s="4384"/>
      <c r="L844" s="4384"/>
      <c r="M844" s="1672" t="s">
        <v>111</v>
      </c>
      <c r="N844" s="603"/>
      <c r="O844" s="716"/>
      <c r="P844" s="716"/>
      <c r="Q844" s="716"/>
      <c r="R844" s="716"/>
      <c r="S844" s="716"/>
      <c r="T844" s="716"/>
      <c r="U844" s="716"/>
      <c r="V844" s="716"/>
      <c r="W844" s="716"/>
      <c r="X844" s="716"/>
      <c r="Y844" s="716"/>
      <c r="Z844" s="716"/>
      <c r="AA844" s="1542">
        <f t="shared" si="92"/>
        <v>0</v>
      </c>
    </row>
    <row r="845" spans="2:27" ht="22.5" x14ac:dyDescent="0.25">
      <c r="B845" s="4386"/>
      <c r="C845" s="4386"/>
      <c r="D845" s="4387"/>
      <c r="E845" s="4387"/>
      <c r="F845" s="4387"/>
      <c r="G845" s="4387"/>
      <c r="H845" s="4387"/>
      <c r="I845" s="4387"/>
      <c r="J845" s="2556"/>
      <c r="K845" s="4387"/>
      <c r="L845" s="4387"/>
      <c r="M845" s="603" t="s">
        <v>184</v>
      </c>
      <c r="N845" s="603" t="s">
        <v>1367</v>
      </c>
      <c r="O845" s="716">
        <v>0</v>
      </c>
      <c r="P845" s="716">
        <v>20</v>
      </c>
      <c r="Q845" s="716">
        <v>0</v>
      </c>
      <c r="R845" s="716">
        <v>0</v>
      </c>
      <c r="S845" s="716">
        <v>20</v>
      </c>
      <c r="T845" s="716">
        <v>0</v>
      </c>
      <c r="U845" s="716">
        <v>0</v>
      </c>
      <c r="V845" s="716">
        <v>20</v>
      </c>
      <c r="W845" s="716">
        <v>0</v>
      </c>
      <c r="X845" s="716">
        <v>0</v>
      </c>
      <c r="Y845" s="716">
        <v>20</v>
      </c>
      <c r="Z845" s="716">
        <v>0</v>
      </c>
      <c r="AA845" s="1542">
        <f t="shared" si="92"/>
        <v>80</v>
      </c>
    </row>
    <row r="846" spans="2:27" x14ac:dyDescent="0.25">
      <c r="B846" s="4397"/>
      <c r="C846" s="4397"/>
      <c r="D846" s="4383" t="s">
        <v>3705</v>
      </c>
      <c r="E846" s="4400"/>
      <c r="F846" s="4400"/>
      <c r="G846" s="4400"/>
      <c r="H846" s="4400" t="s">
        <v>3300</v>
      </c>
      <c r="I846" s="4400" t="s">
        <v>2420</v>
      </c>
      <c r="J846" s="4403">
        <v>1</v>
      </c>
      <c r="K846" s="4400"/>
      <c r="L846" s="4400" t="s">
        <v>3301</v>
      </c>
      <c r="M846" s="1672" t="s">
        <v>51</v>
      </c>
      <c r="N846" s="1673"/>
      <c r="O846" s="716"/>
      <c r="P846" s="716"/>
      <c r="Q846" s="716"/>
      <c r="R846" s="716"/>
      <c r="S846" s="716"/>
      <c r="T846" s="716"/>
      <c r="U846" s="716"/>
      <c r="V846" s="716"/>
      <c r="W846" s="716"/>
      <c r="X846" s="716"/>
      <c r="Y846" s="716"/>
      <c r="Z846" s="716"/>
      <c r="AA846" s="1542">
        <f t="shared" si="92"/>
        <v>0</v>
      </c>
    </row>
    <row r="847" spans="2:27" x14ac:dyDescent="0.25">
      <c r="B847" s="4398"/>
      <c r="C847" s="4398"/>
      <c r="D847" s="4384"/>
      <c r="E847" s="4401"/>
      <c r="F847" s="4401"/>
      <c r="G847" s="4401"/>
      <c r="H847" s="4401"/>
      <c r="I847" s="4401"/>
      <c r="J847" s="4404"/>
      <c r="K847" s="4401"/>
      <c r="L847" s="4401"/>
      <c r="M847" s="1672" t="s">
        <v>111</v>
      </c>
      <c r="N847" s="603"/>
      <c r="O847" s="716"/>
      <c r="P847" s="716"/>
      <c r="Q847" s="716"/>
      <c r="R847" s="716"/>
      <c r="S847" s="716"/>
      <c r="T847" s="716"/>
      <c r="U847" s="716"/>
      <c r="V847" s="716"/>
      <c r="W847" s="716"/>
      <c r="X847" s="716"/>
      <c r="Y847" s="716"/>
      <c r="Z847" s="716"/>
      <c r="AA847" s="1542">
        <f t="shared" si="92"/>
        <v>0</v>
      </c>
    </row>
    <row r="848" spans="2:27" ht="22.5" x14ac:dyDescent="0.25">
      <c r="B848" s="4399"/>
      <c r="C848" s="4399"/>
      <c r="D848" s="4387"/>
      <c r="E848" s="4402"/>
      <c r="F848" s="4402"/>
      <c r="G848" s="4402"/>
      <c r="H848" s="4402"/>
      <c r="I848" s="4402"/>
      <c r="J848" s="4405"/>
      <c r="K848" s="4402"/>
      <c r="L848" s="4402"/>
      <c r="M848" s="603" t="s">
        <v>184</v>
      </c>
      <c r="N848" s="603" t="s">
        <v>1367</v>
      </c>
      <c r="O848" s="716">
        <v>0</v>
      </c>
      <c r="P848" s="716">
        <v>20</v>
      </c>
      <c r="Q848" s="716">
        <v>0</v>
      </c>
      <c r="R848" s="716">
        <v>0</v>
      </c>
      <c r="S848" s="716">
        <v>20</v>
      </c>
      <c r="T848" s="716">
        <v>0</v>
      </c>
      <c r="U848" s="716">
        <v>0</v>
      </c>
      <c r="V848" s="716">
        <v>20</v>
      </c>
      <c r="W848" s="716">
        <v>0</v>
      </c>
      <c r="X848" s="716">
        <v>0</v>
      </c>
      <c r="Y848" s="716">
        <v>20</v>
      </c>
      <c r="Z848" s="716">
        <v>0</v>
      </c>
      <c r="AA848" s="1542">
        <f t="shared" si="92"/>
        <v>80</v>
      </c>
    </row>
    <row r="849" spans="2:27" x14ac:dyDescent="0.25">
      <c r="B849" s="4388"/>
      <c r="C849" s="4388"/>
      <c r="D849" s="4383" t="s">
        <v>3302</v>
      </c>
      <c r="E849" s="4383"/>
      <c r="F849" s="4383"/>
      <c r="G849" s="4383"/>
      <c r="H849" s="4383" t="s">
        <v>3303</v>
      </c>
      <c r="I849" s="4383" t="s">
        <v>156</v>
      </c>
      <c r="J849" s="2554">
        <v>2</v>
      </c>
      <c r="K849" s="4383"/>
      <c r="L849" s="4383" t="s">
        <v>3291</v>
      </c>
      <c r="M849" s="1672" t="s">
        <v>51</v>
      </c>
      <c r="N849" s="1673"/>
      <c r="O849" s="716"/>
      <c r="P849" s="716"/>
      <c r="Q849" s="716"/>
      <c r="R849" s="716"/>
      <c r="S849" s="716"/>
      <c r="T849" s="716"/>
      <c r="U849" s="716"/>
      <c r="V849" s="716"/>
      <c r="W849" s="716"/>
      <c r="X849" s="716"/>
      <c r="Y849" s="716"/>
      <c r="Z849" s="716"/>
      <c r="AA849" s="1542">
        <f t="shared" si="92"/>
        <v>0</v>
      </c>
    </row>
    <row r="850" spans="2:27" x14ac:dyDescent="0.25">
      <c r="B850" s="4389"/>
      <c r="C850" s="4389"/>
      <c r="D850" s="4384"/>
      <c r="E850" s="4384"/>
      <c r="F850" s="4384"/>
      <c r="G850" s="4384"/>
      <c r="H850" s="4384"/>
      <c r="I850" s="4384"/>
      <c r="J850" s="2555"/>
      <c r="K850" s="4384"/>
      <c r="L850" s="4384"/>
      <c r="M850" s="1672" t="s">
        <v>111</v>
      </c>
      <c r="N850" s="603"/>
      <c r="O850" s="716"/>
      <c r="P850" s="716"/>
      <c r="Q850" s="716"/>
      <c r="R850" s="716"/>
      <c r="S850" s="716"/>
      <c r="T850" s="716"/>
      <c r="U850" s="716"/>
      <c r="V850" s="716"/>
      <c r="W850" s="716"/>
      <c r="X850" s="716"/>
      <c r="Y850" s="716"/>
      <c r="Z850" s="716"/>
      <c r="AA850" s="1542">
        <f t="shared" si="92"/>
        <v>0</v>
      </c>
    </row>
    <row r="851" spans="2:27" ht="33.75" x14ac:dyDescent="0.25">
      <c r="B851" s="4390"/>
      <c r="C851" s="4390"/>
      <c r="D851" s="4387"/>
      <c r="E851" s="4387"/>
      <c r="F851" s="4387"/>
      <c r="G851" s="4387"/>
      <c r="H851" s="4387"/>
      <c r="I851" s="4387"/>
      <c r="J851" s="2556"/>
      <c r="K851" s="4387"/>
      <c r="L851" s="4387"/>
      <c r="M851" s="1392" t="s">
        <v>1399</v>
      </c>
      <c r="N851" s="1392" t="s">
        <v>1400</v>
      </c>
      <c r="O851" s="716">
        <v>0</v>
      </c>
      <c r="P851" s="716">
        <v>0</v>
      </c>
      <c r="Q851" s="1675">
        <v>0</v>
      </c>
      <c r="R851" s="716">
        <v>0</v>
      </c>
      <c r="S851" s="716">
        <v>300000</v>
      </c>
      <c r="T851" s="716">
        <v>0</v>
      </c>
      <c r="U851" s="716">
        <v>0</v>
      </c>
      <c r="V851" s="716">
        <v>0</v>
      </c>
      <c r="W851" s="716">
        <v>0</v>
      </c>
      <c r="X851" s="716">
        <v>0</v>
      </c>
      <c r="Y851" s="716">
        <v>0</v>
      </c>
      <c r="Z851" s="716">
        <v>0</v>
      </c>
      <c r="AA851" s="1542">
        <f t="shared" si="92"/>
        <v>300000</v>
      </c>
    </row>
    <row r="852" spans="2:27" x14ac:dyDescent="0.25">
      <c r="B852" s="4388"/>
      <c r="C852" s="4388"/>
      <c r="D852" s="4383" t="s">
        <v>3304</v>
      </c>
      <c r="E852" s="4383"/>
      <c r="F852" s="4383"/>
      <c r="G852" s="4383"/>
      <c r="H852" s="4383" t="s">
        <v>3305</v>
      </c>
      <c r="I852" s="4383" t="s">
        <v>156</v>
      </c>
      <c r="J852" s="2554">
        <v>3</v>
      </c>
      <c r="K852" s="4383"/>
      <c r="L852" s="4383" t="s">
        <v>3291</v>
      </c>
      <c r="M852" s="1672" t="s">
        <v>51</v>
      </c>
      <c r="N852" s="1673"/>
      <c r="O852" s="716"/>
      <c r="P852" s="716"/>
      <c r="Q852" s="716"/>
      <c r="R852" s="716"/>
      <c r="S852" s="716"/>
      <c r="T852" s="716"/>
      <c r="U852" s="716"/>
      <c r="V852" s="716"/>
      <c r="W852" s="716"/>
      <c r="X852" s="716"/>
      <c r="Y852" s="716"/>
      <c r="Z852" s="716"/>
      <c r="AA852" s="1542">
        <f t="shared" si="92"/>
        <v>0</v>
      </c>
    </row>
    <row r="853" spans="2:27" x14ac:dyDescent="0.25">
      <c r="B853" s="4389"/>
      <c r="C853" s="4389"/>
      <c r="D853" s="4384"/>
      <c r="E853" s="4384"/>
      <c r="F853" s="4384"/>
      <c r="G853" s="4384"/>
      <c r="H853" s="4384"/>
      <c r="I853" s="4384"/>
      <c r="J853" s="2555"/>
      <c r="K853" s="4384"/>
      <c r="L853" s="4384"/>
      <c r="M853" s="1672" t="s">
        <v>111</v>
      </c>
      <c r="N853" s="603"/>
      <c r="O853" s="716"/>
      <c r="P853" s="716"/>
      <c r="Q853" s="716"/>
      <c r="R853" s="716"/>
      <c r="S853" s="716"/>
      <c r="T853" s="716"/>
      <c r="U853" s="716"/>
      <c r="V853" s="716"/>
      <c r="W853" s="716"/>
      <c r="X853" s="716"/>
      <c r="Y853" s="716"/>
      <c r="Z853" s="716"/>
      <c r="AA853" s="1542">
        <f t="shared" si="92"/>
        <v>0</v>
      </c>
    </row>
    <row r="854" spans="2:27" ht="33.75" x14ac:dyDescent="0.25">
      <c r="B854" s="4390"/>
      <c r="C854" s="4390"/>
      <c r="D854" s="4387"/>
      <c r="E854" s="4387"/>
      <c r="F854" s="4387"/>
      <c r="G854" s="4387"/>
      <c r="H854" s="4387"/>
      <c r="I854" s="4387"/>
      <c r="J854" s="2556"/>
      <c r="K854" s="4387"/>
      <c r="L854" s="4387"/>
      <c r="M854" s="1392" t="s">
        <v>3287</v>
      </c>
      <c r="N854" s="1392" t="s">
        <v>2467</v>
      </c>
      <c r="O854" s="716">
        <v>0</v>
      </c>
      <c r="P854" s="716">
        <v>0</v>
      </c>
      <c r="Q854" s="1675">
        <v>0</v>
      </c>
      <c r="R854" s="716">
        <v>0</v>
      </c>
      <c r="S854" s="716">
        <v>0</v>
      </c>
      <c r="T854" s="716">
        <v>0</v>
      </c>
      <c r="U854" s="716">
        <v>80000</v>
      </c>
      <c r="V854" s="716">
        <v>0</v>
      </c>
      <c r="W854" s="716">
        <v>0</v>
      </c>
      <c r="X854" s="716">
        <v>0</v>
      </c>
      <c r="Y854" s="716">
        <v>0</v>
      </c>
      <c r="Z854" s="716">
        <v>0</v>
      </c>
      <c r="AA854" s="1542">
        <f t="shared" si="92"/>
        <v>80000</v>
      </c>
    </row>
    <row r="855" spans="2:27" x14ac:dyDescent="0.25">
      <c r="B855" s="4381"/>
      <c r="C855" s="4381"/>
      <c r="D855" s="4383" t="s">
        <v>3306</v>
      </c>
      <c r="E855" s="4383"/>
      <c r="F855" s="4383"/>
      <c r="G855" s="4383"/>
      <c r="H855" s="4383" t="s">
        <v>3307</v>
      </c>
      <c r="I855" s="4383" t="s">
        <v>3332</v>
      </c>
      <c r="J855" s="2554">
        <v>3</v>
      </c>
      <c r="K855" s="4383"/>
      <c r="L855" s="4383" t="s">
        <v>3294</v>
      </c>
      <c r="M855" s="1672" t="s">
        <v>51</v>
      </c>
      <c r="N855" s="1673"/>
      <c r="O855" s="716"/>
      <c r="P855" s="716"/>
      <c r="Q855" s="716"/>
      <c r="R855" s="716"/>
      <c r="S855" s="716"/>
      <c r="T855" s="716"/>
      <c r="U855" s="716"/>
      <c r="V855" s="716"/>
      <c r="W855" s="716"/>
      <c r="X855" s="716"/>
      <c r="Y855" s="716"/>
      <c r="Z855" s="716"/>
      <c r="AA855" s="1542">
        <f t="shared" si="92"/>
        <v>0</v>
      </c>
    </row>
    <row r="856" spans="2:27" x14ac:dyDescent="0.25">
      <c r="B856" s="4382"/>
      <c r="C856" s="4382"/>
      <c r="D856" s="4384"/>
      <c r="E856" s="4384"/>
      <c r="F856" s="4384"/>
      <c r="G856" s="4384"/>
      <c r="H856" s="4384"/>
      <c r="I856" s="4384"/>
      <c r="J856" s="2555"/>
      <c r="K856" s="4384"/>
      <c r="L856" s="4384"/>
      <c r="M856" s="1672" t="s">
        <v>111</v>
      </c>
      <c r="N856" s="603"/>
      <c r="O856" s="716"/>
      <c r="P856" s="716"/>
      <c r="Q856" s="716"/>
      <c r="R856" s="716"/>
      <c r="S856" s="716"/>
      <c r="T856" s="716"/>
      <c r="U856" s="716"/>
      <c r="V856" s="716"/>
      <c r="W856" s="716"/>
      <c r="X856" s="716"/>
      <c r="Y856" s="716"/>
      <c r="Z856" s="716"/>
      <c r="AA856" s="1542">
        <f t="shared" si="92"/>
        <v>0</v>
      </c>
    </row>
    <row r="857" spans="2:27" ht="22.5" x14ac:dyDescent="0.25">
      <c r="B857" s="4386"/>
      <c r="C857" s="4386"/>
      <c r="D857" s="4387"/>
      <c r="E857" s="4387"/>
      <c r="F857" s="4387"/>
      <c r="G857" s="4387"/>
      <c r="H857" s="4387"/>
      <c r="I857" s="4387"/>
      <c r="J857" s="2556"/>
      <c r="K857" s="4387"/>
      <c r="L857" s="4387"/>
      <c r="M857" s="603" t="s">
        <v>184</v>
      </c>
      <c r="N857" s="603" t="s">
        <v>1367</v>
      </c>
      <c r="O857" s="716">
        <v>0</v>
      </c>
      <c r="P857" s="716">
        <v>20</v>
      </c>
      <c r="Q857" s="716">
        <v>0</v>
      </c>
      <c r="R857" s="716">
        <v>0</v>
      </c>
      <c r="S857" s="716">
        <v>20</v>
      </c>
      <c r="T857" s="716">
        <v>0</v>
      </c>
      <c r="U857" s="716">
        <v>0</v>
      </c>
      <c r="V857" s="716">
        <v>20</v>
      </c>
      <c r="W857" s="716">
        <v>0</v>
      </c>
      <c r="X857" s="716">
        <v>0</v>
      </c>
      <c r="Y857" s="716">
        <v>20</v>
      </c>
      <c r="Z857" s="716">
        <v>0</v>
      </c>
      <c r="AA857" s="1542">
        <f t="shared" si="92"/>
        <v>80</v>
      </c>
    </row>
    <row r="858" spans="2:27" x14ac:dyDescent="0.25">
      <c r="B858" s="4381"/>
      <c r="C858" s="4381"/>
      <c r="D858" s="4383" t="s">
        <v>3308</v>
      </c>
      <c r="E858" s="4383"/>
      <c r="F858" s="4383"/>
      <c r="G858" s="4383"/>
      <c r="H858" s="4383" t="s">
        <v>3309</v>
      </c>
      <c r="I858" s="4383" t="s">
        <v>3333</v>
      </c>
      <c r="J858" s="2554">
        <v>150</v>
      </c>
      <c r="K858" s="4383"/>
      <c r="L858" s="4383" t="s">
        <v>3291</v>
      </c>
      <c r="M858" s="1672" t="s">
        <v>51</v>
      </c>
      <c r="N858" s="1673"/>
      <c r="O858" s="716"/>
      <c r="P858" s="716"/>
      <c r="Q858" s="716"/>
      <c r="R858" s="716"/>
      <c r="S858" s="716"/>
      <c r="T858" s="716"/>
      <c r="U858" s="716"/>
      <c r="V858" s="716"/>
      <c r="W858" s="716"/>
      <c r="X858" s="716"/>
      <c r="Y858" s="716"/>
      <c r="Z858" s="716"/>
      <c r="AA858" s="1542">
        <f t="shared" si="92"/>
        <v>0</v>
      </c>
    </row>
    <row r="859" spans="2:27" x14ac:dyDescent="0.25">
      <c r="B859" s="4382"/>
      <c r="C859" s="4382"/>
      <c r="D859" s="4384"/>
      <c r="E859" s="4384"/>
      <c r="F859" s="4384"/>
      <c r="G859" s="4384"/>
      <c r="H859" s="4384"/>
      <c r="I859" s="4384"/>
      <c r="J859" s="2555"/>
      <c r="K859" s="4384"/>
      <c r="L859" s="4384"/>
      <c r="M859" s="1672" t="s">
        <v>111</v>
      </c>
      <c r="N859" s="603"/>
      <c r="O859" s="716"/>
      <c r="P859" s="716"/>
      <c r="Q859" s="716"/>
      <c r="R859" s="716"/>
      <c r="S859" s="716"/>
      <c r="T859" s="716"/>
      <c r="U859" s="716"/>
      <c r="V859" s="716"/>
      <c r="W859" s="716"/>
      <c r="X859" s="716"/>
      <c r="Y859" s="716"/>
      <c r="Z859" s="716"/>
      <c r="AA859" s="1542">
        <f t="shared" si="92"/>
        <v>0</v>
      </c>
    </row>
    <row r="860" spans="2:27" x14ac:dyDescent="0.25">
      <c r="B860" s="4386"/>
      <c r="C860" s="4386"/>
      <c r="D860" s="4387"/>
      <c r="E860" s="4387"/>
      <c r="F860" s="4387"/>
      <c r="G860" s="4387"/>
      <c r="H860" s="4387"/>
      <c r="I860" s="4387"/>
      <c r="J860" s="2556"/>
      <c r="K860" s="4387"/>
      <c r="L860" s="4387"/>
      <c r="M860" s="1392" t="s">
        <v>2358</v>
      </c>
      <c r="N860" s="1392" t="s">
        <v>3286</v>
      </c>
      <c r="O860" s="716">
        <v>0</v>
      </c>
      <c r="P860" s="716">
        <v>0</v>
      </c>
      <c r="Q860" s="716">
        <v>0</v>
      </c>
      <c r="R860" s="716">
        <v>150000</v>
      </c>
      <c r="S860" s="716">
        <v>0</v>
      </c>
      <c r="T860" s="716">
        <v>0</v>
      </c>
      <c r="U860" s="716">
        <v>0</v>
      </c>
      <c r="V860" s="716">
        <v>0</v>
      </c>
      <c r="W860" s="716">
        <v>0</v>
      </c>
      <c r="X860" s="716">
        <v>0</v>
      </c>
      <c r="Y860" s="716">
        <v>0</v>
      </c>
      <c r="Z860" s="716">
        <v>0</v>
      </c>
      <c r="AA860" s="1542">
        <f t="shared" si="92"/>
        <v>150000</v>
      </c>
    </row>
    <row r="861" spans="2:27" x14ac:dyDescent="0.25">
      <c r="B861" s="4381"/>
      <c r="C861" s="4381"/>
      <c r="D861" s="4383" t="s">
        <v>3310</v>
      </c>
      <c r="E861" s="4383"/>
      <c r="F861" s="4383"/>
      <c r="G861" s="4383"/>
      <c r="H861" s="4383" t="s">
        <v>3311</v>
      </c>
      <c r="I861" s="4383" t="s">
        <v>3312</v>
      </c>
      <c r="J861" s="2554">
        <v>400</v>
      </c>
      <c r="K861" s="4383"/>
      <c r="L861" s="4383" t="s">
        <v>3313</v>
      </c>
      <c r="M861" s="1672" t="s">
        <v>51</v>
      </c>
      <c r="N861" s="1673"/>
      <c r="O861" s="716"/>
      <c r="P861" s="716"/>
      <c r="Q861" s="716"/>
      <c r="R861" s="716"/>
      <c r="S861" s="716"/>
      <c r="T861" s="716"/>
      <c r="U861" s="716"/>
      <c r="V861" s="716"/>
      <c r="W861" s="716"/>
      <c r="X861" s="716"/>
      <c r="Y861" s="716"/>
      <c r="Z861" s="716"/>
      <c r="AA861" s="1542">
        <f t="shared" si="92"/>
        <v>0</v>
      </c>
    </row>
    <row r="862" spans="2:27" x14ac:dyDescent="0.25">
      <c r="B862" s="4382"/>
      <c r="C862" s="4382"/>
      <c r="D862" s="4384"/>
      <c r="E862" s="4384"/>
      <c r="F862" s="4384"/>
      <c r="G862" s="4384"/>
      <c r="H862" s="4384"/>
      <c r="I862" s="4384"/>
      <c r="J862" s="2555"/>
      <c r="K862" s="4384"/>
      <c r="L862" s="4384"/>
      <c r="M862" s="1672" t="s">
        <v>111</v>
      </c>
      <c r="N862" s="603"/>
      <c r="O862" s="716"/>
      <c r="P862" s="716"/>
      <c r="Q862" s="716"/>
      <c r="R862" s="716"/>
      <c r="S862" s="716"/>
      <c r="T862" s="716"/>
      <c r="U862" s="716"/>
      <c r="V862" s="716"/>
      <c r="W862" s="716"/>
      <c r="X862" s="716"/>
      <c r="Y862" s="716"/>
      <c r="Z862" s="716"/>
      <c r="AA862" s="1542">
        <f t="shared" si="92"/>
        <v>0</v>
      </c>
    </row>
    <row r="863" spans="2:27" ht="22.5" x14ac:dyDescent="0.25">
      <c r="B863" s="4382"/>
      <c r="C863" s="4382"/>
      <c r="D863" s="4384"/>
      <c r="E863" s="4384"/>
      <c r="F863" s="4384"/>
      <c r="G863" s="4384"/>
      <c r="H863" s="4384"/>
      <c r="I863" s="4384"/>
      <c r="J863" s="2555"/>
      <c r="K863" s="4384"/>
      <c r="L863" s="4384"/>
      <c r="M863" s="603" t="s">
        <v>184</v>
      </c>
      <c r="N863" s="603" t="s">
        <v>1367</v>
      </c>
      <c r="O863" s="716">
        <v>0</v>
      </c>
      <c r="P863" s="716">
        <v>20</v>
      </c>
      <c r="Q863" s="716">
        <v>0</v>
      </c>
      <c r="R863" s="716">
        <v>0</v>
      </c>
      <c r="S863" s="716">
        <v>20</v>
      </c>
      <c r="T863" s="716">
        <v>0</v>
      </c>
      <c r="U863" s="716">
        <v>0</v>
      </c>
      <c r="V863" s="716">
        <v>20</v>
      </c>
      <c r="W863" s="716">
        <v>0</v>
      </c>
      <c r="X863" s="716">
        <v>0</v>
      </c>
      <c r="Y863" s="716">
        <v>20</v>
      </c>
      <c r="Z863" s="716">
        <v>0</v>
      </c>
      <c r="AA863" s="1542">
        <f t="shared" si="92"/>
        <v>80</v>
      </c>
    </row>
    <row r="864" spans="2:27" ht="45" x14ac:dyDescent="0.25">
      <c r="B864" s="4382"/>
      <c r="C864" s="4382"/>
      <c r="D864" s="4384"/>
      <c r="E864" s="4384"/>
      <c r="F864" s="4384"/>
      <c r="G864" s="4384"/>
      <c r="H864" s="4384"/>
      <c r="I864" s="4384"/>
      <c r="J864" s="2555"/>
      <c r="K864" s="4384"/>
      <c r="L864" s="4384"/>
      <c r="M864" s="603" t="s">
        <v>194</v>
      </c>
      <c r="N864" s="603" t="s">
        <v>2987</v>
      </c>
      <c r="O864" s="716">
        <v>0</v>
      </c>
      <c r="P864" s="716">
        <v>0</v>
      </c>
      <c r="Q864" s="716">
        <v>120</v>
      </c>
      <c r="R864" s="716">
        <v>0</v>
      </c>
      <c r="S864" s="716">
        <v>0</v>
      </c>
      <c r="T864" s="716">
        <v>120</v>
      </c>
      <c r="U864" s="716">
        <v>0</v>
      </c>
      <c r="V864" s="716">
        <v>0</v>
      </c>
      <c r="W864" s="716">
        <v>120</v>
      </c>
      <c r="X864" s="716">
        <v>0</v>
      </c>
      <c r="Y864" s="716">
        <v>0</v>
      </c>
      <c r="Z864" s="716">
        <v>0</v>
      </c>
      <c r="AA864" s="1542">
        <f t="shared" si="92"/>
        <v>360</v>
      </c>
    </row>
    <row r="865" spans="2:27" ht="33.75" x14ac:dyDescent="0.25">
      <c r="B865" s="4382"/>
      <c r="C865" s="4382"/>
      <c r="D865" s="4384"/>
      <c r="E865" s="4384"/>
      <c r="F865" s="4384"/>
      <c r="G865" s="4384"/>
      <c r="H865" s="4384"/>
      <c r="I865" s="4384"/>
      <c r="J865" s="2555"/>
      <c r="K865" s="4384"/>
      <c r="L865" s="4384"/>
      <c r="M865" s="603" t="s">
        <v>3285</v>
      </c>
      <c r="N865" s="603" t="s">
        <v>1196</v>
      </c>
      <c r="O865" s="716">
        <v>0</v>
      </c>
      <c r="P865" s="716">
        <v>0</v>
      </c>
      <c r="Q865" s="716">
        <v>60</v>
      </c>
      <c r="R865" s="716">
        <v>0</v>
      </c>
      <c r="S865" s="716">
        <v>0</v>
      </c>
      <c r="T865" s="716">
        <v>60</v>
      </c>
      <c r="U865" s="716">
        <v>0</v>
      </c>
      <c r="V865" s="716">
        <v>0</v>
      </c>
      <c r="W865" s="716">
        <v>60</v>
      </c>
      <c r="X865" s="716">
        <v>0</v>
      </c>
      <c r="Y865" s="716">
        <v>0</v>
      </c>
      <c r="Z865" s="716">
        <v>0</v>
      </c>
      <c r="AA865" s="1542">
        <f t="shared" si="92"/>
        <v>180</v>
      </c>
    </row>
    <row r="866" spans="2:27" ht="22.5" x14ac:dyDescent="0.25">
      <c r="B866" s="4386"/>
      <c r="C866" s="4386"/>
      <c r="D866" s="4387"/>
      <c r="E866" s="4387"/>
      <c r="F866" s="4387"/>
      <c r="G866" s="4387"/>
      <c r="H866" s="4387"/>
      <c r="I866" s="4387"/>
      <c r="J866" s="2556"/>
      <c r="K866" s="4387"/>
      <c r="L866" s="4387"/>
      <c r="M866" s="1392" t="s">
        <v>182</v>
      </c>
      <c r="N866" s="1392" t="s">
        <v>534</v>
      </c>
      <c r="O866" s="716">
        <v>0</v>
      </c>
      <c r="P866" s="716">
        <v>750</v>
      </c>
      <c r="Q866" s="716">
        <v>0</v>
      </c>
      <c r="R866" s="716">
        <v>0</v>
      </c>
      <c r="S866" s="716">
        <v>0</v>
      </c>
      <c r="T866" s="716">
        <v>0</v>
      </c>
      <c r="U866" s="716">
        <v>0</v>
      </c>
      <c r="V866" s="716">
        <v>750</v>
      </c>
      <c r="W866" s="716">
        <v>0</v>
      </c>
      <c r="X866" s="716">
        <v>0</v>
      </c>
      <c r="Y866" s="716">
        <v>0</v>
      </c>
      <c r="Z866" s="716">
        <v>0</v>
      </c>
      <c r="AA866" s="1542">
        <f t="shared" si="92"/>
        <v>1500</v>
      </c>
    </row>
    <row r="867" spans="2:27" x14ac:dyDescent="0.25">
      <c r="B867" s="4381"/>
      <c r="C867" s="4381"/>
      <c r="D867" s="4383" t="s">
        <v>3314</v>
      </c>
      <c r="E867" s="4383"/>
      <c r="F867" s="4383"/>
      <c r="G867" s="4383"/>
      <c r="H867" s="4383" t="s">
        <v>3315</v>
      </c>
      <c r="I867" s="4383" t="s">
        <v>3334</v>
      </c>
      <c r="J867" s="2554">
        <v>1</v>
      </c>
      <c r="K867" s="4383"/>
      <c r="L867" s="4383" t="s">
        <v>3291</v>
      </c>
      <c r="M867" s="1672" t="s">
        <v>51</v>
      </c>
      <c r="N867" s="1673"/>
      <c r="O867" s="716"/>
      <c r="P867" s="716"/>
      <c r="Q867" s="716"/>
      <c r="R867" s="716"/>
      <c r="S867" s="716"/>
      <c r="T867" s="716"/>
      <c r="U867" s="716"/>
      <c r="V867" s="716"/>
      <c r="W867" s="716"/>
      <c r="X867" s="716"/>
      <c r="Y867" s="716"/>
      <c r="Z867" s="716"/>
      <c r="AA867" s="1542"/>
    </row>
    <row r="868" spans="2:27" x14ac:dyDescent="0.25">
      <c r="B868" s="4382"/>
      <c r="C868" s="4382"/>
      <c r="D868" s="4384"/>
      <c r="E868" s="4384"/>
      <c r="F868" s="4384"/>
      <c r="G868" s="4384"/>
      <c r="H868" s="4384"/>
      <c r="I868" s="4384"/>
      <c r="J868" s="2555"/>
      <c r="K868" s="4384"/>
      <c r="L868" s="4384"/>
      <c r="M868" s="1672" t="s">
        <v>111</v>
      </c>
      <c r="N868" s="603"/>
      <c r="O868" s="716"/>
      <c r="P868" s="716"/>
      <c r="Q868" s="716"/>
      <c r="R868" s="716"/>
      <c r="S868" s="716"/>
      <c r="T868" s="716"/>
      <c r="U868" s="716"/>
      <c r="V868" s="716"/>
      <c r="W868" s="716"/>
      <c r="X868" s="716"/>
      <c r="Y868" s="716"/>
      <c r="Z868" s="716"/>
      <c r="AA868" s="1542"/>
    </row>
    <row r="869" spans="2:27" ht="33.75" x14ac:dyDescent="0.25">
      <c r="B869" s="4382"/>
      <c r="C869" s="4382"/>
      <c r="D869" s="4384"/>
      <c r="E869" s="4384"/>
      <c r="F869" s="4384"/>
      <c r="G869" s="4384"/>
      <c r="H869" s="4384"/>
      <c r="I869" s="4384"/>
      <c r="J869" s="2555"/>
      <c r="K869" s="4384"/>
      <c r="L869" s="4384"/>
      <c r="M869" s="1392" t="s">
        <v>3287</v>
      </c>
      <c r="N869" s="1392" t="s">
        <v>2467</v>
      </c>
      <c r="O869" s="716">
        <v>0</v>
      </c>
      <c r="P869" s="716">
        <v>0</v>
      </c>
      <c r="Q869" s="716">
        <v>0</v>
      </c>
      <c r="R869" s="716">
        <v>0</v>
      </c>
      <c r="S869" s="716">
        <v>0</v>
      </c>
      <c r="T869" s="716">
        <v>0</v>
      </c>
      <c r="U869" s="716">
        <v>0</v>
      </c>
      <c r="V869" s="716">
        <v>3000</v>
      </c>
      <c r="W869" s="716">
        <v>0</v>
      </c>
      <c r="X869" s="716">
        <v>0</v>
      </c>
      <c r="Y869" s="716">
        <v>0</v>
      </c>
      <c r="Z869" s="716">
        <v>0</v>
      </c>
      <c r="AA869" s="1542">
        <f>SUM(O869:Z869)</f>
        <v>3000</v>
      </c>
    </row>
    <row r="870" spans="2:27" ht="22.5" x14ac:dyDescent="0.25">
      <c r="B870" s="4382"/>
      <c r="C870" s="4382"/>
      <c r="D870" s="4384"/>
      <c r="E870" s="4384"/>
      <c r="F870" s="4384"/>
      <c r="G870" s="4384"/>
      <c r="H870" s="4384"/>
      <c r="I870" s="4384"/>
      <c r="J870" s="2555"/>
      <c r="K870" s="4384"/>
      <c r="L870" s="4384"/>
      <c r="M870" s="1392" t="s">
        <v>182</v>
      </c>
      <c r="N870" s="1392" t="s">
        <v>534</v>
      </c>
      <c r="O870" s="716">
        <v>0</v>
      </c>
      <c r="P870" s="716">
        <v>500</v>
      </c>
      <c r="Q870" s="716">
        <v>0</v>
      </c>
      <c r="R870" s="716">
        <v>0</v>
      </c>
      <c r="S870" s="716">
        <v>0</v>
      </c>
      <c r="T870" s="716">
        <v>0</v>
      </c>
      <c r="U870" s="716">
        <v>0</v>
      </c>
      <c r="V870" s="716">
        <v>500</v>
      </c>
      <c r="W870" s="716">
        <v>0</v>
      </c>
      <c r="X870" s="716">
        <v>0</v>
      </c>
      <c r="Y870" s="716">
        <v>0</v>
      </c>
      <c r="Z870" s="716">
        <v>0</v>
      </c>
      <c r="AA870" s="1542">
        <f>SUM(O870:Z870)</f>
        <v>1000</v>
      </c>
    </row>
    <row r="871" spans="2:27" ht="22.5" x14ac:dyDescent="0.25">
      <c r="B871" s="4386"/>
      <c r="C871" s="4386"/>
      <c r="D871" s="4387"/>
      <c r="E871" s="4387"/>
      <c r="F871" s="4387"/>
      <c r="G871" s="4387"/>
      <c r="H871" s="4387"/>
      <c r="I871" s="4387"/>
      <c r="J871" s="2556"/>
      <c r="K871" s="4387"/>
      <c r="L871" s="4387"/>
      <c r="M871" s="1392" t="s">
        <v>1454</v>
      </c>
      <c r="N871" s="1392" t="s">
        <v>1478</v>
      </c>
      <c r="O871" s="716">
        <v>0</v>
      </c>
      <c r="P871" s="716">
        <v>0</v>
      </c>
      <c r="Q871" s="716">
        <v>0</v>
      </c>
      <c r="R871" s="716">
        <v>0</v>
      </c>
      <c r="S871" s="716">
        <v>0</v>
      </c>
      <c r="T871" s="716">
        <v>0</v>
      </c>
      <c r="U871" s="716">
        <v>0</v>
      </c>
      <c r="V871" s="716">
        <v>1000</v>
      </c>
      <c r="W871" s="716">
        <v>0</v>
      </c>
      <c r="X871" s="716">
        <v>0</v>
      </c>
      <c r="Y871" s="716">
        <v>0</v>
      </c>
      <c r="Z871" s="716">
        <v>0</v>
      </c>
      <c r="AA871" s="1542">
        <f>SUM(O871:Z871)</f>
        <v>1000</v>
      </c>
    </row>
    <row r="872" spans="2:27" x14ac:dyDescent="0.25">
      <c r="B872" s="4394"/>
      <c r="C872" s="4394"/>
      <c r="D872" s="4375" t="s">
        <v>3316</v>
      </c>
      <c r="E872" s="4375"/>
      <c r="F872" s="4375"/>
      <c r="G872" s="4375"/>
      <c r="H872" s="4375" t="s">
        <v>3317</v>
      </c>
      <c r="I872" s="4375" t="s">
        <v>3331</v>
      </c>
      <c r="J872" s="4378">
        <v>100</v>
      </c>
      <c r="K872" s="4375"/>
      <c r="L872" s="4375" t="s">
        <v>3301</v>
      </c>
      <c r="M872" s="1672" t="s">
        <v>51</v>
      </c>
      <c r="N872" s="1673"/>
      <c r="O872" s="716"/>
      <c r="P872" s="716"/>
      <c r="Q872" s="716"/>
      <c r="R872" s="716"/>
      <c r="S872" s="716"/>
      <c r="T872" s="716"/>
      <c r="U872" s="716"/>
      <c r="V872" s="716"/>
      <c r="W872" s="716"/>
      <c r="X872" s="716"/>
      <c r="Y872" s="716"/>
      <c r="Z872" s="716"/>
      <c r="AA872" s="1542"/>
    </row>
    <row r="873" spans="2:27" x14ac:dyDescent="0.25">
      <c r="B873" s="4395"/>
      <c r="C873" s="4395"/>
      <c r="D873" s="4376"/>
      <c r="E873" s="4376"/>
      <c r="F873" s="4376"/>
      <c r="G873" s="4376"/>
      <c r="H873" s="4376"/>
      <c r="I873" s="4376"/>
      <c r="J873" s="4379"/>
      <c r="K873" s="4376"/>
      <c r="L873" s="4376"/>
      <c r="M873" s="1672" t="s">
        <v>111</v>
      </c>
      <c r="N873" s="603"/>
      <c r="O873" s="716"/>
      <c r="P873" s="716"/>
      <c r="Q873" s="716"/>
      <c r="R873" s="716"/>
      <c r="S873" s="716"/>
      <c r="T873" s="716"/>
      <c r="U873" s="716"/>
      <c r="V873" s="716"/>
      <c r="W873" s="716"/>
      <c r="X873" s="716"/>
      <c r="Y873" s="716"/>
      <c r="Z873" s="716"/>
      <c r="AA873" s="1542"/>
    </row>
    <row r="874" spans="2:27" ht="22.5" x14ac:dyDescent="0.25">
      <c r="B874" s="4395"/>
      <c r="C874" s="4395"/>
      <c r="D874" s="4376"/>
      <c r="E874" s="4376"/>
      <c r="F874" s="4376"/>
      <c r="G874" s="4376"/>
      <c r="H874" s="4376"/>
      <c r="I874" s="4376"/>
      <c r="J874" s="4379"/>
      <c r="K874" s="4376"/>
      <c r="L874" s="4376"/>
      <c r="M874" s="603" t="s">
        <v>184</v>
      </c>
      <c r="N874" s="603" t="s">
        <v>1367</v>
      </c>
      <c r="O874" s="716">
        <v>0</v>
      </c>
      <c r="P874" s="716">
        <v>20</v>
      </c>
      <c r="Q874" s="716">
        <v>0</v>
      </c>
      <c r="R874" s="716">
        <v>0</v>
      </c>
      <c r="S874" s="716">
        <v>20</v>
      </c>
      <c r="T874" s="716">
        <v>0</v>
      </c>
      <c r="U874" s="716">
        <v>0</v>
      </c>
      <c r="V874" s="716">
        <v>20</v>
      </c>
      <c r="W874" s="716">
        <v>0</v>
      </c>
      <c r="X874" s="716">
        <v>0</v>
      </c>
      <c r="Y874" s="716">
        <v>20</v>
      </c>
      <c r="Z874" s="716">
        <v>0</v>
      </c>
      <c r="AA874" s="1542">
        <f t="shared" ref="AA874:AA892" si="93">SUM(O874:Z874)</f>
        <v>80</v>
      </c>
    </row>
    <row r="875" spans="2:27" ht="22.5" x14ac:dyDescent="0.25">
      <c r="B875" s="4396"/>
      <c r="C875" s="4396"/>
      <c r="D875" s="4377"/>
      <c r="E875" s="4377"/>
      <c r="F875" s="4377"/>
      <c r="G875" s="4377"/>
      <c r="H875" s="4377"/>
      <c r="I875" s="4377"/>
      <c r="J875" s="4380"/>
      <c r="K875" s="4377"/>
      <c r="L875" s="4377"/>
      <c r="M875" s="1392" t="s">
        <v>1454</v>
      </c>
      <c r="N875" s="1392" t="s">
        <v>1478</v>
      </c>
      <c r="O875" s="716">
        <v>0</v>
      </c>
      <c r="P875" s="716">
        <v>0</v>
      </c>
      <c r="Q875" s="716">
        <v>0</v>
      </c>
      <c r="R875" s="716">
        <v>0</v>
      </c>
      <c r="S875" s="716">
        <v>0</v>
      </c>
      <c r="T875" s="716">
        <v>500</v>
      </c>
      <c r="U875" s="716">
        <v>0</v>
      </c>
      <c r="V875" s="716">
        <v>0</v>
      </c>
      <c r="W875" s="716">
        <v>0</v>
      </c>
      <c r="X875" s="716">
        <v>0</v>
      </c>
      <c r="Y875" s="716">
        <v>500</v>
      </c>
      <c r="Z875" s="716">
        <v>0</v>
      </c>
      <c r="AA875" s="1542">
        <f t="shared" si="93"/>
        <v>1000</v>
      </c>
    </row>
    <row r="876" spans="2:27" x14ac:dyDescent="0.25">
      <c r="B876" s="4391"/>
      <c r="C876" s="4391"/>
      <c r="D876" s="4375" t="s">
        <v>3318</v>
      </c>
      <c r="E876" s="4375"/>
      <c r="F876" s="4375"/>
      <c r="G876" s="4375"/>
      <c r="H876" s="4375" t="s">
        <v>3319</v>
      </c>
      <c r="I876" s="4375" t="s">
        <v>3320</v>
      </c>
      <c r="J876" s="4378">
        <v>1</v>
      </c>
      <c r="K876" s="4375"/>
      <c r="L876" s="4375" t="s">
        <v>3291</v>
      </c>
      <c r="M876" s="1672" t="s">
        <v>51</v>
      </c>
      <c r="N876" s="1673"/>
      <c r="O876" s="716"/>
      <c r="P876" s="716"/>
      <c r="Q876" s="716"/>
      <c r="R876" s="716"/>
      <c r="S876" s="716"/>
      <c r="T876" s="716"/>
      <c r="U876" s="716"/>
      <c r="V876" s="716"/>
      <c r="W876" s="716"/>
      <c r="X876" s="716"/>
      <c r="Y876" s="716"/>
      <c r="Z876" s="716"/>
      <c r="AA876" s="1542">
        <f t="shared" si="93"/>
        <v>0</v>
      </c>
    </row>
    <row r="877" spans="2:27" x14ac:dyDescent="0.25">
      <c r="B877" s="4392"/>
      <c r="C877" s="4392"/>
      <c r="D877" s="4376"/>
      <c r="E877" s="4376"/>
      <c r="F877" s="4376"/>
      <c r="G877" s="4376"/>
      <c r="H877" s="4376"/>
      <c r="I877" s="4376"/>
      <c r="J877" s="4379"/>
      <c r="K877" s="4376"/>
      <c r="L877" s="4376"/>
      <c r="M877" s="1672" t="s">
        <v>111</v>
      </c>
      <c r="N877" s="603"/>
      <c r="O877" s="716"/>
      <c r="P877" s="716"/>
      <c r="Q877" s="716"/>
      <c r="R877" s="716"/>
      <c r="S877" s="716"/>
      <c r="T877" s="716"/>
      <c r="U877" s="716"/>
      <c r="V877" s="716"/>
      <c r="W877" s="716"/>
      <c r="X877" s="716"/>
      <c r="Y877" s="716"/>
      <c r="Z877" s="716"/>
      <c r="AA877" s="1542">
        <f t="shared" si="93"/>
        <v>0</v>
      </c>
    </row>
    <row r="878" spans="2:27" ht="33.75" x14ac:dyDescent="0.25">
      <c r="B878" s="4393"/>
      <c r="C878" s="4393"/>
      <c r="D878" s="4377"/>
      <c r="E878" s="4377"/>
      <c r="F878" s="4377"/>
      <c r="G878" s="4377"/>
      <c r="H878" s="4377"/>
      <c r="I878" s="4377"/>
      <c r="J878" s="4380"/>
      <c r="K878" s="4377"/>
      <c r="L878" s="4377"/>
      <c r="M878" s="1392" t="s">
        <v>3287</v>
      </c>
      <c r="N878" s="1392" t="s">
        <v>2467</v>
      </c>
      <c r="O878" s="716">
        <v>128000</v>
      </c>
      <c r="P878" s="716">
        <v>0</v>
      </c>
      <c r="Q878" s="716">
        <v>0</v>
      </c>
      <c r="R878" s="716">
        <v>0</v>
      </c>
      <c r="S878" s="716">
        <v>0</v>
      </c>
      <c r="T878" s="716">
        <v>0</v>
      </c>
      <c r="U878" s="716">
        <v>0</v>
      </c>
      <c r="V878" s="716">
        <v>0</v>
      </c>
      <c r="W878" s="716">
        <v>0</v>
      </c>
      <c r="X878" s="716">
        <v>0</v>
      </c>
      <c r="Y878" s="716">
        <v>0</v>
      </c>
      <c r="Z878" s="716">
        <v>0</v>
      </c>
      <c r="AA878" s="1542">
        <f t="shared" si="93"/>
        <v>128000</v>
      </c>
    </row>
    <row r="879" spans="2:27" x14ac:dyDescent="0.25">
      <c r="B879" s="4381"/>
      <c r="C879" s="4381"/>
      <c r="D879" s="4383" t="s">
        <v>3321</v>
      </c>
      <c r="E879" s="4383"/>
      <c r="F879" s="4383"/>
      <c r="G879" s="4383"/>
      <c r="H879" s="4383" t="s">
        <v>3322</v>
      </c>
      <c r="I879" s="4383" t="s">
        <v>3335</v>
      </c>
      <c r="J879" s="2554">
        <v>25</v>
      </c>
      <c r="K879" s="4383"/>
      <c r="L879" s="4383" t="s">
        <v>3291</v>
      </c>
      <c r="M879" s="1672" t="s">
        <v>51</v>
      </c>
      <c r="N879" s="1673"/>
      <c r="O879" s="716"/>
      <c r="P879" s="716"/>
      <c r="Q879" s="716"/>
      <c r="R879" s="716"/>
      <c r="S879" s="716"/>
      <c r="T879" s="716"/>
      <c r="U879" s="716"/>
      <c r="V879" s="716"/>
      <c r="W879" s="716"/>
      <c r="X879" s="716"/>
      <c r="Y879" s="716"/>
      <c r="Z879" s="716"/>
      <c r="AA879" s="1542">
        <f t="shared" si="93"/>
        <v>0</v>
      </c>
    </row>
    <row r="880" spans="2:27" x14ac:dyDescent="0.25">
      <c r="B880" s="4382"/>
      <c r="C880" s="4382"/>
      <c r="D880" s="4384"/>
      <c r="E880" s="4384"/>
      <c r="F880" s="4384"/>
      <c r="G880" s="4384"/>
      <c r="H880" s="4384"/>
      <c r="I880" s="4384"/>
      <c r="J880" s="2555"/>
      <c r="K880" s="4384"/>
      <c r="L880" s="4384"/>
      <c r="M880" s="1672" t="s">
        <v>111</v>
      </c>
      <c r="N880" s="603"/>
      <c r="O880" s="716"/>
      <c r="P880" s="716"/>
      <c r="Q880" s="716"/>
      <c r="R880" s="716"/>
      <c r="S880" s="716"/>
      <c r="T880" s="716"/>
      <c r="U880" s="716"/>
      <c r="V880" s="716"/>
      <c r="W880" s="716"/>
      <c r="X880" s="716"/>
      <c r="Y880" s="716"/>
      <c r="Z880" s="716"/>
      <c r="AA880" s="1542">
        <f t="shared" si="93"/>
        <v>0</v>
      </c>
    </row>
    <row r="881" spans="1:27" ht="22.5" x14ac:dyDescent="0.25">
      <c r="B881" s="4382"/>
      <c r="C881" s="4382"/>
      <c r="D881" s="4384"/>
      <c r="E881" s="4384"/>
      <c r="F881" s="4384"/>
      <c r="G881" s="4384"/>
      <c r="H881" s="4384"/>
      <c r="I881" s="4384"/>
      <c r="J881" s="2555"/>
      <c r="K881" s="4384"/>
      <c r="L881" s="4384"/>
      <c r="M881" s="1392" t="s">
        <v>182</v>
      </c>
      <c r="N881" s="1392" t="s">
        <v>534</v>
      </c>
      <c r="O881" s="716">
        <v>0</v>
      </c>
      <c r="P881" s="716">
        <v>750</v>
      </c>
      <c r="Q881" s="716">
        <v>0</v>
      </c>
      <c r="R881" s="716">
        <v>0</v>
      </c>
      <c r="S881" s="716">
        <v>0</v>
      </c>
      <c r="T881" s="716">
        <v>0</v>
      </c>
      <c r="U881" s="716">
        <v>0</v>
      </c>
      <c r="V881" s="716">
        <v>750</v>
      </c>
      <c r="W881" s="716">
        <v>0</v>
      </c>
      <c r="X881" s="716">
        <v>0</v>
      </c>
      <c r="Y881" s="716">
        <v>0</v>
      </c>
      <c r="Z881" s="716">
        <v>0</v>
      </c>
      <c r="AA881" s="1542">
        <f t="shared" si="93"/>
        <v>1500</v>
      </c>
    </row>
    <row r="882" spans="1:27" ht="22.5" x14ac:dyDescent="0.25">
      <c r="B882" s="4386"/>
      <c r="C882" s="4386"/>
      <c r="D882" s="4387"/>
      <c r="E882" s="4387"/>
      <c r="F882" s="4387"/>
      <c r="G882" s="4387"/>
      <c r="H882" s="4387"/>
      <c r="I882" s="4387"/>
      <c r="J882" s="2556"/>
      <c r="K882" s="4387"/>
      <c r="L882" s="4387"/>
      <c r="M882" s="1392" t="s">
        <v>1454</v>
      </c>
      <c r="N882" s="1392" t="s">
        <v>1478</v>
      </c>
      <c r="O882" s="716">
        <v>0</v>
      </c>
      <c r="P882" s="716">
        <v>0</v>
      </c>
      <c r="Q882" s="716">
        <v>0</v>
      </c>
      <c r="R882" s="716">
        <v>600</v>
      </c>
      <c r="S882" s="716">
        <v>0</v>
      </c>
      <c r="T882" s="716">
        <v>0</v>
      </c>
      <c r="U882" s="716">
        <v>15000</v>
      </c>
      <c r="V882" s="716">
        <v>0</v>
      </c>
      <c r="W882" s="716">
        <v>0</v>
      </c>
      <c r="X882" s="716">
        <v>600</v>
      </c>
      <c r="Y882" s="716">
        <v>0</v>
      </c>
      <c r="Z882" s="716">
        <v>0</v>
      </c>
      <c r="AA882" s="1542">
        <f t="shared" si="93"/>
        <v>16200</v>
      </c>
    </row>
    <row r="883" spans="1:27" x14ac:dyDescent="0.25">
      <c r="B883" s="4388"/>
      <c r="C883" s="4388"/>
      <c r="D883" s="4383" t="s">
        <v>3323</v>
      </c>
      <c r="E883" s="4383"/>
      <c r="F883" s="4383"/>
      <c r="G883" s="4383"/>
      <c r="H883" s="4383" t="s">
        <v>3324</v>
      </c>
      <c r="I883" s="4383" t="s">
        <v>1302</v>
      </c>
      <c r="J883" s="2554">
        <v>30</v>
      </c>
      <c r="K883" s="4383"/>
      <c r="L883" s="4383" t="s">
        <v>3325</v>
      </c>
      <c r="M883" s="1672" t="s">
        <v>51</v>
      </c>
      <c r="N883" s="1673"/>
      <c r="O883" s="716"/>
      <c r="P883" s="716"/>
      <c r="Q883" s="716"/>
      <c r="R883" s="716"/>
      <c r="S883" s="716"/>
      <c r="T883" s="716"/>
      <c r="U883" s="716"/>
      <c r="V883" s="716"/>
      <c r="W883" s="716"/>
      <c r="X883" s="716"/>
      <c r="Y883" s="716"/>
      <c r="Z883" s="716"/>
      <c r="AA883" s="1542">
        <f t="shared" si="93"/>
        <v>0</v>
      </c>
    </row>
    <row r="884" spans="1:27" x14ac:dyDescent="0.25">
      <c r="B884" s="4389"/>
      <c r="C884" s="4389"/>
      <c r="D884" s="4384"/>
      <c r="E884" s="4384"/>
      <c r="F884" s="4384"/>
      <c r="G884" s="4384"/>
      <c r="H884" s="4384"/>
      <c r="I884" s="4384"/>
      <c r="J884" s="2555"/>
      <c r="K884" s="4384"/>
      <c r="L884" s="4384"/>
      <c r="M884" s="1672" t="s">
        <v>111</v>
      </c>
      <c r="N884" s="603"/>
      <c r="O884" s="716"/>
      <c r="P884" s="716"/>
      <c r="Q884" s="716"/>
      <c r="R884" s="716"/>
      <c r="S884" s="716"/>
      <c r="T884" s="716"/>
      <c r="U884" s="716"/>
      <c r="V884" s="716"/>
      <c r="W884" s="716"/>
      <c r="X884" s="716"/>
      <c r="Y884" s="716"/>
      <c r="Z884" s="716"/>
      <c r="AA884" s="1542">
        <f t="shared" si="93"/>
        <v>0</v>
      </c>
    </row>
    <row r="885" spans="1:27" ht="22.5" x14ac:dyDescent="0.25">
      <c r="B885" s="4390"/>
      <c r="C885" s="4390"/>
      <c r="D885" s="4387"/>
      <c r="E885" s="4387"/>
      <c r="F885" s="4387"/>
      <c r="G885" s="4387"/>
      <c r="H885" s="4387"/>
      <c r="I885" s="4387"/>
      <c r="J885" s="2556"/>
      <c r="K885" s="4387"/>
      <c r="L885" s="4387"/>
      <c r="M885" s="1392" t="s">
        <v>182</v>
      </c>
      <c r="N885" s="1392" t="s">
        <v>534</v>
      </c>
      <c r="O885" s="716">
        <v>0</v>
      </c>
      <c r="P885" s="716">
        <v>500</v>
      </c>
      <c r="Q885" s="716">
        <v>0</v>
      </c>
      <c r="R885" s="716">
        <v>0</v>
      </c>
      <c r="S885" s="716">
        <v>0</v>
      </c>
      <c r="T885" s="716">
        <v>0</v>
      </c>
      <c r="U885" s="716">
        <v>0</v>
      </c>
      <c r="V885" s="716">
        <v>500</v>
      </c>
      <c r="W885" s="716">
        <v>0</v>
      </c>
      <c r="X885" s="716">
        <v>0</v>
      </c>
      <c r="Y885" s="716">
        <v>0</v>
      </c>
      <c r="Z885" s="716">
        <v>0</v>
      </c>
      <c r="AA885" s="1542">
        <f t="shared" si="93"/>
        <v>1000</v>
      </c>
    </row>
    <row r="886" spans="1:27" x14ac:dyDescent="0.25">
      <c r="B886" s="4391"/>
      <c r="C886" s="4391"/>
      <c r="D886" s="4375" t="s">
        <v>3326</v>
      </c>
      <c r="E886" s="4375"/>
      <c r="F886" s="4375"/>
      <c r="G886" s="4375"/>
      <c r="H886" s="4375" t="s">
        <v>3293</v>
      </c>
      <c r="I886" s="4375" t="s">
        <v>2737</v>
      </c>
      <c r="J886" s="4378">
        <v>1</v>
      </c>
      <c r="K886" s="4375"/>
      <c r="L886" s="4375" t="s">
        <v>3327</v>
      </c>
      <c r="M886" s="1672" t="s">
        <v>51</v>
      </c>
      <c r="N886" s="1673"/>
      <c r="O886" s="716"/>
      <c r="P886" s="716"/>
      <c r="Q886" s="716"/>
      <c r="R886" s="716"/>
      <c r="S886" s="716"/>
      <c r="T886" s="716"/>
      <c r="U886" s="716"/>
      <c r="V886" s="716"/>
      <c r="W886" s="716"/>
      <c r="X886" s="716"/>
      <c r="Y886" s="716"/>
      <c r="Z886" s="716"/>
      <c r="AA886" s="1542">
        <f t="shared" si="93"/>
        <v>0</v>
      </c>
    </row>
    <row r="887" spans="1:27" x14ac:dyDescent="0.25">
      <c r="B887" s="4392"/>
      <c r="C887" s="4392"/>
      <c r="D887" s="4376"/>
      <c r="E887" s="4376"/>
      <c r="F887" s="4376"/>
      <c r="G887" s="4376"/>
      <c r="H887" s="4376"/>
      <c r="I887" s="4376"/>
      <c r="J887" s="4379"/>
      <c r="K887" s="4376"/>
      <c r="L887" s="4376"/>
      <c r="M887" s="1672" t="s">
        <v>111</v>
      </c>
      <c r="N887" s="603"/>
      <c r="O887" s="716"/>
      <c r="P887" s="716"/>
      <c r="Q887" s="716"/>
      <c r="R887" s="716"/>
      <c r="S887" s="716"/>
      <c r="T887" s="716"/>
      <c r="U887" s="716"/>
      <c r="V887" s="716"/>
      <c r="W887" s="716"/>
      <c r="X887" s="716"/>
      <c r="Y887" s="716"/>
      <c r="Z887" s="716"/>
      <c r="AA887" s="1542">
        <f t="shared" si="93"/>
        <v>0</v>
      </c>
    </row>
    <row r="888" spans="1:27" ht="22.5" x14ac:dyDescent="0.25">
      <c r="B888" s="4393"/>
      <c r="C888" s="4393"/>
      <c r="D888" s="4377"/>
      <c r="E888" s="4377"/>
      <c r="F888" s="4377"/>
      <c r="G888" s="4377"/>
      <c r="H888" s="4377"/>
      <c r="I888" s="4377"/>
      <c r="J888" s="4380"/>
      <c r="K888" s="4377"/>
      <c r="L888" s="4377"/>
      <c r="M888" s="603" t="s">
        <v>184</v>
      </c>
      <c r="N888" s="603" t="s">
        <v>1367</v>
      </c>
      <c r="O888" s="716">
        <v>0</v>
      </c>
      <c r="P888" s="716">
        <v>20</v>
      </c>
      <c r="Q888" s="716">
        <v>0</v>
      </c>
      <c r="R888" s="716">
        <v>0</v>
      </c>
      <c r="S888" s="716">
        <v>20</v>
      </c>
      <c r="T888" s="716">
        <v>0</v>
      </c>
      <c r="U888" s="716">
        <v>0</v>
      </c>
      <c r="V888" s="716">
        <v>20</v>
      </c>
      <c r="W888" s="716">
        <v>0</v>
      </c>
      <c r="X888" s="716">
        <v>0</v>
      </c>
      <c r="Y888" s="716">
        <v>20</v>
      </c>
      <c r="Z888" s="716">
        <v>0</v>
      </c>
      <c r="AA888" s="1542">
        <f t="shared" si="93"/>
        <v>80</v>
      </c>
    </row>
    <row r="889" spans="1:27" x14ac:dyDescent="0.25">
      <c r="B889" s="4381"/>
      <c r="C889" s="4381"/>
      <c r="D889" s="4383" t="s">
        <v>3328</v>
      </c>
      <c r="E889" s="4383"/>
      <c r="F889" s="4383"/>
      <c r="G889" s="4383"/>
      <c r="H889" s="4383" t="s">
        <v>3329</v>
      </c>
      <c r="I889" s="4383" t="s">
        <v>3336</v>
      </c>
      <c r="J889" s="2554">
        <v>1000</v>
      </c>
      <c r="K889" s="4383"/>
      <c r="L889" s="4383" t="s">
        <v>3330</v>
      </c>
      <c r="M889" s="1672" t="s">
        <v>51</v>
      </c>
      <c r="N889" s="1673"/>
      <c r="O889" s="716"/>
      <c r="P889" s="716"/>
      <c r="Q889" s="716"/>
      <c r="R889" s="716"/>
      <c r="S889" s="716"/>
      <c r="T889" s="716"/>
      <c r="U889" s="716"/>
      <c r="V889" s="716"/>
      <c r="W889" s="716"/>
      <c r="X889" s="716"/>
      <c r="Y889" s="716"/>
      <c r="Z889" s="716"/>
      <c r="AA889" s="1542">
        <f t="shared" si="93"/>
        <v>0</v>
      </c>
    </row>
    <row r="890" spans="1:27" x14ac:dyDescent="0.25">
      <c r="B890" s="4382"/>
      <c r="C890" s="4382"/>
      <c r="D890" s="4384"/>
      <c r="E890" s="4384"/>
      <c r="F890" s="4384"/>
      <c r="G890" s="4384"/>
      <c r="H890" s="4384"/>
      <c r="I890" s="4384"/>
      <c r="J890" s="2555"/>
      <c r="K890" s="4384"/>
      <c r="L890" s="4384"/>
      <c r="M890" s="1672" t="s">
        <v>111</v>
      </c>
      <c r="N890" s="603"/>
      <c r="O890" s="716"/>
      <c r="P890" s="716"/>
      <c r="Q890" s="716"/>
      <c r="R890" s="716"/>
      <c r="S890" s="716"/>
      <c r="T890" s="716"/>
      <c r="U890" s="716"/>
      <c r="V890" s="716"/>
      <c r="W890" s="716"/>
      <c r="X890" s="716"/>
      <c r="Y890" s="716"/>
      <c r="Z890" s="716"/>
      <c r="AA890" s="1542">
        <f t="shared" si="93"/>
        <v>0</v>
      </c>
    </row>
    <row r="891" spans="1:27" ht="22.5" x14ac:dyDescent="0.25">
      <c r="B891" s="4382"/>
      <c r="C891" s="4382"/>
      <c r="D891" s="4384"/>
      <c r="E891" s="4384"/>
      <c r="F891" s="4384"/>
      <c r="G891" s="4384"/>
      <c r="H891" s="4384"/>
      <c r="I891" s="4384"/>
      <c r="J891" s="2555"/>
      <c r="K891" s="4384"/>
      <c r="L891" s="4384"/>
      <c r="M891" s="603" t="s">
        <v>184</v>
      </c>
      <c r="N891" s="603" t="s">
        <v>1367</v>
      </c>
      <c r="O891" s="716">
        <v>0</v>
      </c>
      <c r="P891" s="716">
        <v>20</v>
      </c>
      <c r="Q891" s="716">
        <v>0</v>
      </c>
      <c r="R891" s="716">
        <v>0</v>
      </c>
      <c r="S891" s="716">
        <v>20</v>
      </c>
      <c r="T891" s="716">
        <v>0</v>
      </c>
      <c r="U891" s="716">
        <v>0</v>
      </c>
      <c r="V891" s="716">
        <v>20</v>
      </c>
      <c r="W891" s="716">
        <v>0</v>
      </c>
      <c r="X891" s="716">
        <v>0</v>
      </c>
      <c r="Y891" s="716">
        <v>20</v>
      </c>
      <c r="Z891" s="716">
        <v>0</v>
      </c>
      <c r="AA891" s="1542">
        <f t="shared" si="93"/>
        <v>80</v>
      </c>
    </row>
    <row r="892" spans="1:27" ht="22.5" x14ac:dyDescent="0.25">
      <c r="B892" s="4382"/>
      <c r="C892" s="4382"/>
      <c r="D892" s="4384"/>
      <c r="E892" s="4384"/>
      <c r="F892" s="4384"/>
      <c r="G892" s="4384"/>
      <c r="H892" s="4384"/>
      <c r="I892" s="4384"/>
      <c r="J892" s="2555"/>
      <c r="K892" s="4384"/>
      <c r="L892" s="4384"/>
      <c r="M892" s="1395" t="s">
        <v>182</v>
      </c>
      <c r="N892" s="1395" t="s">
        <v>534</v>
      </c>
      <c r="O892" s="1783">
        <v>0</v>
      </c>
      <c r="P892" s="1783">
        <v>500</v>
      </c>
      <c r="Q892" s="1783">
        <v>0</v>
      </c>
      <c r="R892" s="1783">
        <v>0</v>
      </c>
      <c r="S892" s="1783">
        <v>0</v>
      </c>
      <c r="T892" s="1783">
        <v>0</v>
      </c>
      <c r="U892" s="1783">
        <v>0</v>
      </c>
      <c r="V892" s="1783">
        <v>500</v>
      </c>
      <c r="W892" s="1783">
        <v>0</v>
      </c>
      <c r="X892" s="1783">
        <v>0</v>
      </c>
      <c r="Y892" s="1783">
        <v>0</v>
      </c>
      <c r="Z892" s="1783">
        <v>0</v>
      </c>
      <c r="AA892" s="1784">
        <f t="shared" si="93"/>
        <v>1000</v>
      </c>
    </row>
    <row r="893" spans="1:27" ht="20.25" customHeight="1" x14ac:dyDescent="0.25">
      <c r="A893" s="4385" t="s">
        <v>3421</v>
      </c>
      <c r="B893" s="4385"/>
      <c r="C893" s="4385"/>
      <c r="D893" s="4385"/>
      <c r="E893" s="4385"/>
      <c r="F893" s="4385"/>
      <c r="G893" s="4385"/>
      <c r="H893" s="4385"/>
      <c r="I893" s="4385"/>
      <c r="J893" s="4385"/>
      <c r="K893" s="4385"/>
      <c r="L893" s="4385"/>
      <c r="M893" s="4385"/>
      <c r="N893" s="4385"/>
      <c r="O893" s="4385"/>
      <c r="P893" s="4385"/>
      <c r="Q893" s="4385"/>
      <c r="R893" s="4385"/>
      <c r="S893" s="4385"/>
      <c r="T893" s="4385"/>
      <c r="U893" s="4385"/>
      <c r="V893" s="4385"/>
      <c r="W893" s="4385"/>
      <c r="X893" s="4385"/>
      <c r="Y893" s="4385"/>
      <c r="Z893" s="4385"/>
      <c r="AA893" s="4385"/>
    </row>
    <row r="894" spans="1:27" x14ac:dyDescent="0.25">
      <c r="A894" s="2291" t="s">
        <v>251</v>
      </c>
      <c r="B894" s="449" t="s">
        <v>1</v>
      </c>
      <c r="C894" s="3153" t="s">
        <v>2583</v>
      </c>
      <c r="D894" s="3153"/>
      <c r="E894" s="3153"/>
      <c r="F894" s="3153"/>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23"/>
    </row>
    <row r="895" spans="1:27" ht="24" x14ac:dyDescent="0.25">
      <c r="A895" s="2291"/>
      <c r="B895" s="1352" t="s">
        <v>2</v>
      </c>
      <c r="C895" s="2293" t="s">
        <v>3423</v>
      </c>
      <c r="D895" s="2293"/>
      <c r="E895" s="2293"/>
      <c r="F895" s="2293"/>
      <c r="G895" s="2293"/>
      <c r="H895" s="2293"/>
      <c r="I895" s="2293"/>
      <c r="J895" s="2293"/>
      <c r="K895" s="2293"/>
      <c r="L895" s="2293"/>
      <c r="M895" s="2293"/>
      <c r="N895" s="2293"/>
      <c r="O895" s="2293"/>
      <c r="P895" s="2293"/>
      <c r="Q895" s="2293"/>
      <c r="R895" s="2293"/>
      <c r="S895" s="2293"/>
      <c r="T895" s="2293"/>
      <c r="U895" s="2293"/>
      <c r="V895" s="2293"/>
      <c r="W895" s="2293"/>
      <c r="X895" s="2293"/>
      <c r="Y895" s="2293"/>
      <c r="Z895" s="2293"/>
      <c r="AA895" s="2293"/>
    </row>
    <row r="896" spans="1:27" x14ac:dyDescent="0.25">
      <c r="A896" s="2291"/>
      <c r="B896" s="1352" t="s">
        <v>4</v>
      </c>
      <c r="C896" s="2294" t="s">
        <v>3424</v>
      </c>
      <c r="D896" s="2295"/>
      <c r="E896" s="2295"/>
      <c r="F896" s="2295"/>
      <c r="G896" s="2295"/>
      <c r="H896" s="2295"/>
      <c r="I896" s="2295"/>
      <c r="J896" s="2295"/>
      <c r="K896" s="2295"/>
      <c r="L896" s="2295"/>
      <c r="M896" s="2295"/>
      <c r="N896" s="2295"/>
      <c r="O896" s="1358"/>
      <c r="P896" s="1358"/>
      <c r="Q896" s="1358"/>
      <c r="R896" s="1358"/>
      <c r="S896" s="1358"/>
      <c r="T896" s="1358"/>
      <c r="U896" s="1358"/>
      <c r="V896" s="1358"/>
      <c r="W896" s="1358"/>
      <c r="X896" s="1358"/>
      <c r="Y896" s="1358"/>
      <c r="Z896" s="1358"/>
      <c r="AA896" s="1359"/>
    </row>
    <row r="897" spans="1:27" ht="24" x14ac:dyDescent="0.25">
      <c r="A897" s="2291"/>
      <c r="B897" s="1352" t="s">
        <v>6</v>
      </c>
      <c r="C897" s="2293" t="s">
        <v>3425</v>
      </c>
      <c r="D897" s="2293"/>
      <c r="E897" s="2293"/>
      <c r="F897" s="2293"/>
      <c r="G897" s="2293"/>
      <c r="H897" s="2293"/>
      <c r="I897" s="2293"/>
      <c r="J897" s="2293"/>
      <c r="K897" s="2293"/>
      <c r="L897" s="2293"/>
      <c r="M897" s="2293"/>
      <c r="N897" s="2293"/>
      <c r="O897" s="2293"/>
      <c r="P897" s="2293"/>
      <c r="Q897" s="2293"/>
      <c r="R897" s="2293"/>
      <c r="S897" s="2293"/>
      <c r="T897" s="2293"/>
      <c r="U897" s="2293"/>
      <c r="V897" s="2293"/>
      <c r="W897" s="2293"/>
      <c r="X897" s="2293"/>
      <c r="Y897" s="2293"/>
      <c r="Z897" s="2293"/>
      <c r="AA897" s="2293"/>
    </row>
    <row r="898" spans="1:27" ht="27" customHeight="1" x14ac:dyDescent="0.25">
      <c r="A898" s="2291"/>
      <c r="B898" s="1859" t="s">
        <v>8</v>
      </c>
      <c r="C898" s="2911" t="s">
        <v>3426</v>
      </c>
      <c r="D898" s="2912"/>
      <c r="E898" s="2912"/>
      <c r="F898" s="2912"/>
      <c r="G898" s="2912"/>
      <c r="H898" s="2912"/>
      <c r="I898" s="363"/>
      <c r="J898" s="363"/>
      <c r="K898" s="363"/>
      <c r="L898" s="363"/>
      <c r="M898" s="363"/>
      <c r="N898" s="363"/>
      <c r="O898" s="363"/>
      <c r="P898" s="363"/>
      <c r="Q898" s="363"/>
      <c r="R898" s="363"/>
      <c r="S898" s="363"/>
      <c r="T898" s="363"/>
      <c r="U898" s="363"/>
      <c r="V898" s="363"/>
      <c r="W898" s="363"/>
      <c r="X898" s="363"/>
      <c r="Y898" s="363"/>
      <c r="Z898" s="363"/>
      <c r="AA898" s="366"/>
    </row>
    <row r="899" spans="1:27" x14ac:dyDescent="0.25">
      <c r="A899" s="2291" t="s">
        <v>256</v>
      </c>
      <c r="B899" s="1352" t="s">
        <v>11</v>
      </c>
      <c r="C899" s="1730" t="s">
        <v>84</v>
      </c>
      <c r="D899" s="202"/>
      <c r="E899" s="1739"/>
      <c r="F899" s="1739"/>
      <c r="G899" s="1739"/>
      <c r="H899" s="202"/>
      <c r="I899" s="1739"/>
      <c r="J899" s="1739"/>
      <c r="K899" s="1739"/>
      <c r="L899" s="1739"/>
      <c r="M899" s="1739"/>
      <c r="N899" s="1739"/>
      <c r="O899" s="1739"/>
      <c r="P899" s="1739"/>
      <c r="Q899" s="1739"/>
      <c r="R899" s="1739"/>
      <c r="S899" s="1739"/>
      <c r="T899" s="1739"/>
      <c r="U899" s="202"/>
      <c r="V899" s="202"/>
      <c r="W899" s="202"/>
      <c r="X899" s="202"/>
      <c r="Y899" s="202"/>
      <c r="Z899" s="202"/>
      <c r="AA899" s="224"/>
    </row>
    <row r="900" spans="1:27" x14ac:dyDescent="0.25">
      <c r="A900" s="2291"/>
      <c r="B900" s="2298" t="s">
        <v>13</v>
      </c>
      <c r="C900" s="4362">
        <v>9002</v>
      </c>
      <c r="D900" s="3158" t="s">
        <v>3427</v>
      </c>
      <c r="E900" s="3159"/>
      <c r="F900" s="3159"/>
      <c r="G900" s="3159"/>
      <c r="H900" s="3159"/>
      <c r="I900" s="3159"/>
      <c r="J900" s="204"/>
      <c r="K900" s="204"/>
      <c r="L900" s="204"/>
      <c r="M900" s="204"/>
      <c r="N900" s="204"/>
      <c r="O900" s="204"/>
      <c r="P900" s="204"/>
      <c r="Q900" s="204"/>
      <c r="R900" s="204"/>
      <c r="S900" s="204"/>
      <c r="T900" s="204"/>
      <c r="U900" s="211"/>
      <c r="V900" s="2305" t="s">
        <v>15</v>
      </c>
      <c r="W900" s="2305"/>
      <c r="X900" s="2305"/>
      <c r="Y900" s="2305"/>
      <c r="Z900" s="2305" t="s">
        <v>16</v>
      </c>
      <c r="AA900" s="2305"/>
    </row>
    <row r="901" spans="1:27" x14ac:dyDescent="0.25">
      <c r="A901" s="2291"/>
      <c r="B901" s="2298"/>
      <c r="C901" s="4363"/>
      <c r="D901" s="3161"/>
      <c r="E901" s="3162"/>
      <c r="F901" s="3162"/>
      <c r="G901" s="3162"/>
      <c r="H901" s="3162"/>
      <c r="I901" s="3162"/>
      <c r="J901" s="208"/>
      <c r="K901" s="208"/>
      <c r="L901" s="208"/>
      <c r="M901" s="208"/>
      <c r="N901" s="208"/>
      <c r="O901" s="208"/>
      <c r="P901" s="208"/>
      <c r="Q901" s="208"/>
      <c r="R901" s="208"/>
      <c r="S901" s="208"/>
      <c r="T901" s="208"/>
      <c r="U901" s="1775"/>
      <c r="V901" s="3158"/>
      <c r="W901" s="3159"/>
      <c r="X901" s="3159"/>
      <c r="Y901" s="3160"/>
      <c r="Z901" s="2306"/>
      <c r="AA901" s="2307"/>
    </row>
    <row r="902" spans="1:27" x14ac:dyDescent="0.25">
      <c r="A902" s="2291"/>
      <c r="B902" s="2298" t="s">
        <v>18</v>
      </c>
      <c r="C902" s="2331">
        <v>39999</v>
      </c>
      <c r="D902" s="2308" t="s">
        <v>163</v>
      </c>
      <c r="E902" s="2309"/>
      <c r="F902" s="2309"/>
      <c r="G902" s="2309"/>
      <c r="H902" s="2309"/>
      <c r="I902" s="2309"/>
      <c r="J902" s="2309"/>
      <c r="K902" s="2309"/>
      <c r="L902" s="2309"/>
      <c r="M902" s="2309"/>
      <c r="N902" s="2309"/>
      <c r="O902" s="2309"/>
      <c r="P902" s="2309"/>
      <c r="Q902" s="204"/>
      <c r="R902" s="204"/>
      <c r="S902" s="204"/>
      <c r="T902" s="204"/>
      <c r="U902" s="211"/>
      <c r="V902" s="2314" t="s">
        <v>15</v>
      </c>
      <c r="W902" s="2315"/>
      <c r="X902" s="2315"/>
      <c r="Y902" s="2316"/>
      <c r="Z902" s="2305" t="s">
        <v>16</v>
      </c>
      <c r="AA902" s="2305"/>
    </row>
    <row r="903" spans="1:27" ht="29.25" customHeight="1" x14ac:dyDescent="0.25">
      <c r="A903" s="2291"/>
      <c r="B903" s="2298"/>
      <c r="C903" s="2332"/>
      <c r="D903" s="2311"/>
      <c r="E903" s="2312"/>
      <c r="F903" s="2312"/>
      <c r="G903" s="2312"/>
      <c r="H903" s="2312"/>
      <c r="I903" s="2312"/>
      <c r="J903" s="2312"/>
      <c r="K903" s="2312"/>
      <c r="L903" s="2312"/>
      <c r="M903" s="2312"/>
      <c r="N903" s="2312"/>
      <c r="O903" s="2312"/>
      <c r="P903" s="2312"/>
      <c r="Q903" s="208"/>
      <c r="R903" s="208"/>
      <c r="S903" s="208"/>
      <c r="T903" s="208"/>
      <c r="U903" s="213"/>
      <c r="V903" s="2294" t="s">
        <v>3428</v>
      </c>
      <c r="W903" s="2295"/>
      <c r="X903" s="2295"/>
      <c r="Y903" s="2966"/>
      <c r="Z903" s="2305" t="s">
        <v>61</v>
      </c>
      <c r="AA903" s="2305"/>
    </row>
    <row r="904" spans="1:27" x14ac:dyDescent="0.25">
      <c r="A904" s="2291"/>
      <c r="B904" s="2320" t="s">
        <v>20</v>
      </c>
      <c r="C904" s="2324" t="s">
        <v>21</v>
      </c>
      <c r="D904" s="2324" t="s">
        <v>22</v>
      </c>
      <c r="E904" s="2324" t="s">
        <v>23</v>
      </c>
      <c r="F904" s="2324" t="s">
        <v>24</v>
      </c>
      <c r="G904" s="2324" t="s">
        <v>25</v>
      </c>
      <c r="H904" s="2324" t="s">
        <v>26</v>
      </c>
      <c r="I904" s="2324" t="s">
        <v>27</v>
      </c>
      <c r="J904" s="2322" t="s">
        <v>28</v>
      </c>
      <c r="K904" s="2323"/>
      <c r="L904" s="2324" t="s">
        <v>29</v>
      </c>
      <c r="M904" s="2322" t="s">
        <v>30</v>
      </c>
      <c r="N904" s="2323"/>
      <c r="O904" s="2343" t="s">
        <v>31</v>
      </c>
      <c r="P904" s="2344"/>
      <c r="Q904" s="2344"/>
      <c r="R904" s="2344"/>
      <c r="S904" s="2344"/>
      <c r="T904" s="2344"/>
      <c r="U904" s="2344"/>
      <c r="V904" s="2344"/>
      <c r="W904" s="2344"/>
      <c r="X904" s="2344"/>
      <c r="Y904" s="2344"/>
      <c r="Z904" s="2345"/>
      <c r="AA904" s="2346" t="s">
        <v>32</v>
      </c>
    </row>
    <row r="905" spans="1:27" ht="20.25" customHeight="1" x14ac:dyDescent="0.25">
      <c r="A905" s="2291"/>
      <c r="B905" s="2321"/>
      <c r="C905" s="2324"/>
      <c r="D905" s="2324"/>
      <c r="E905" s="2324"/>
      <c r="F905" s="2324"/>
      <c r="G905" s="2324"/>
      <c r="H905" s="2324"/>
      <c r="I905" s="2324"/>
      <c r="J905" s="1355" t="s">
        <v>33</v>
      </c>
      <c r="K905" s="1355" t="s">
        <v>34</v>
      </c>
      <c r="L905" s="2324"/>
      <c r="M905" s="2325"/>
      <c r="N905" s="2326"/>
      <c r="O905" s="1354" t="s">
        <v>35</v>
      </c>
      <c r="P905" s="1354" t="s">
        <v>36</v>
      </c>
      <c r="Q905" s="1354" t="s">
        <v>37</v>
      </c>
      <c r="R905" s="1354" t="s">
        <v>38</v>
      </c>
      <c r="S905" s="1354" t="s">
        <v>39</v>
      </c>
      <c r="T905" s="1354" t="s">
        <v>40</v>
      </c>
      <c r="U905" s="1354" t="s">
        <v>41</v>
      </c>
      <c r="V905" s="1354" t="s">
        <v>42</v>
      </c>
      <c r="W905" s="1354" t="s">
        <v>43</v>
      </c>
      <c r="X905" s="1354" t="s">
        <v>44</v>
      </c>
      <c r="Y905" s="1354" t="s">
        <v>45</v>
      </c>
      <c r="Z905" s="1354" t="s">
        <v>46</v>
      </c>
      <c r="AA905" s="2346"/>
    </row>
    <row r="906" spans="1:27" x14ac:dyDescent="0.25">
      <c r="A906" s="2291"/>
      <c r="B906" s="4332" t="s">
        <v>3429</v>
      </c>
      <c r="C906" s="2928" t="s">
        <v>3430</v>
      </c>
      <c r="D906" s="4096" t="s">
        <v>3431</v>
      </c>
      <c r="E906" s="4371" t="s">
        <v>48</v>
      </c>
      <c r="F906" s="4373" t="s">
        <v>165</v>
      </c>
      <c r="G906" s="4373" t="s">
        <v>1528</v>
      </c>
      <c r="H906" s="2928" t="s">
        <v>3432</v>
      </c>
      <c r="I906" s="2353" t="s">
        <v>3433</v>
      </c>
      <c r="J906" s="2355">
        <v>4</v>
      </c>
      <c r="K906" s="2355">
        <v>798756</v>
      </c>
      <c r="L906" s="2357" t="s">
        <v>3434</v>
      </c>
      <c r="M906" s="2317" t="s">
        <v>51</v>
      </c>
      <c r="N906" s="2319"/>
      <c r="O906" s="1777">
        <f t="shared" ref="O906:Z906" si="94">+(O910+O914+O918+O922)/4</f>
        <v>0.31937500000000002</v>
      </c>
      <c r="P906" s="1777">
        <f t="shared" si="94"/>
        <v>0.14937500000000001</v>
      </c>
      <c r="Q906" s="1777">
        <f t="shared" si="94"/>
        <v>0.18437500000000001</v>
      </c>
      <c r="R906" s="1777">
        <f t="shared" si="94"/>
        <v>7.8125E-2</v>
      </c>
      <c r="S906" s="1777">
        <f t="shared" si="94"/>
        <v>1.8749999999999999E-2</v>
      </c>
      <c r="T906" s="1777">
        <f t="shared" si="94"/>
        <v>6.25E-2</v>
      </c>
      <c r="U906" s="1777">
        <f t="shared" si="94"/>
        <v>6.25E-2</v>
      </c>
      <c r="V906" s="1777">
        <f t="shared" si="94"/>
        <v>6.25E-2</v>
      </c>
      <c r="W906" s="1777">
        <f t="shared" si="94"/>
        <v>6.25E-2</v>
      </c>
      <c r="X906" s="1777">
        <f t="shared" si="94"/>
        <v>0</v>
      </c>
      <c r="Y906" s="1777">
        <f t="shared" si="94"/>
        <v>0</v>
      </c>
      <c r="Z906" s="1777">
        <f t="shared" si="94"/>
        <v>0</v>
      </c>
      <c r="AA906" s="1781">
        <f t="shared" ref="AA906:AA925" si="95">SUM(O906:Z906)</f>
        <v>1</v>
      </c>
    </row>
    <row r="907" spans="1:27" x14ac:dyDescent="0.25">
      <c r="A907" s="2291"/>
      <c r="B907" s="4333"/>
      <c r="C907" s="2929"/>
      <c r="D907" s="4370"/>
      <c r="E907" s="4372"/>
      <c r="F907" s="4374"/>
      <c r="G907" s="4374"/>
      <c r="H907" s="2929"/>
      <c r="I907" s="4282"/>
      <c r="J907" s="4343"/>
      <c r="K907" s="4343"/>
      <c r="L907" s="4289"/>
      <c r="M907" s="2317" t="s">
        <v>111</v>
      </c>
      <c r="N907" s="2319"/>
      <c r="O907" s="1316">
        <f t="shared" ref="O907:Z907" si="96">SUM(O908:O909)</f>
        <v>22981.440000000002</v>
      </c>
      <c r="P907" s="1316">
        <f t="shared" si="96"/>
        <v>29370.768</v>
      </c>
      <c r="Q907" s="1316">
        <f t="shared" si="96"/>
        <v>92189.680000000008</v>
      </c>
      <c r="R907" s="1316">
        <f t="shared" si="96"/>
        <v>194275.72</v>
      </c>
      <c r="S907" s="1316">
        <f t="shared" si="96"/>
        <v>64275.72</v>
      </c>
      <c r="T907" s="1316">
        <f t="shared" si="96"/>
        <v>127839.742</v>
      </c>
      <c r="U907" s="1316">
        <f t="shared" si="96"/>
        <v>89274.31</v>
      </c>
      <c r="V907" s="1316">
        <f t="shared" si="96"/>
        <v>89274.31</v>
      </c>
      <c r="W907" s="1316">
        <f t="shared" si="96"/>
        <v>89274.31</v>
      </c>
      <c r="X907" s="1316">
        <f t="shared" si="96"/>
        <v>0</v>
      </c>
      <c r="Y907" s="1316">
        <f t="shared" si="96"/>
        <v>0</v>
      </c>
      <c r="Z907" s="1316">
        <f t="shared" si="96"/>
        <v>0</v>
      </c>
      <c r="AA907" s="373">
        <f t="shared" si="95"/>
        <v>798756</v>
      </c>
    </row>
    <row r="908" spans="1:27" x14ac:dyDescent="0.25">
      <c r="A908" s="2291"/>
      <c r="B908" s="4333"/>
      <c r="C908" s="2929"/>
      <c r="D908" s="4370"/>
      <c r="E908" s="4372"/>
      <c r="F908" s="4374"/>
      <c r="G908" s="4374"/>
      <c r="H908" s="2929"/>
      <c r="I908" s="4282"/>
      <c r="J908" s="4343"/>
      <c r="K908" s="4343"/>
      <c r="L908" s="4289"/>
      <c r="M908" s="1620" t="s">
        <v>3435</v>
      </c>
      <c r="N908" s="1778" t="s">
        <v>3436</v>
      </c>
      <c r="O908" s="1314">
        <f t="shared" ref="O908:Z908" si="97">O912+O916+O920+O924</f>
        <v>0</v>
      </c>
      <c r="P908" s="1314">
        <f t="shared" si="97"/>
        <v>0</v>
      </c>
      <c r="Q908" s="1314">
        <f t="shared" si="97"/>
        <v>20593</v>
      </c>
      <c r="R908" s="1314">
        <f t="shared" si="97"/>
        <v>0</v>
      </c>
      <c r="S908" s="1314">
        <f t="shared" si="97"/>
        <v>0</v>
      </c>
      <c r="T908" s="1314">
        <f t="shared" si="97"/>
        <v>0</v>
      </c>
      <c r="U908" s="1314">
        <f t="shared" si="97"/>
        <v>0</v>
      </c>
      <c r="V908" s="1314">
        <f t="shared" si="97"/>
        <v>0</v>
      </c>
      <c r="W908" s="1314">
        <f t="shared" si="97"/>
        <v>0</v>
      </c>
      <c r="X908" s="1314">
        <f t="shared" si="97"/>
        <v>0</v>
      </c>
      <c r="Y908" s="1314">
        <f t="shared" si="97"/>
        <v>0</v>
      </c>
      <c r="Z908" s="1314">
        <f t="shared" si="97"/>
        <v>0</v>
      </c>
      <c r="AA908" s="373">
        <f t="shared" si="95"/>
        <v>20593</v>
      </c>
    </row>
    <row r="909" spans="1:27" x14ac:dyDescent="0.25">
      <c r="A909" s="2291"/>
      <c r="B909" s="4333"/>
      <c r="C909" s="2930"/>
      <c r="D909" s="4370"/>
      <c r="E909" s="4372"/>
      <c r="F909" s="4374"/>
      <c r="G909" s="4374"/>
      <c r="H909" s="2929"/>
      <c r="I909" s="4282"/>
      <c r="J909" s="4343"/>
      <c r="K909" s="4343"/>
      <c r="L909" s="4289"/>
      <c r="M909" s="1620" t="s">
        <v>226</v>
      </c>
      <c r="N909" s="1778" t="s">
        <v>3437</v>
      </c>
      <c r="O909" s="1314">
        <f t="shared" ref="O909:Z909" si="98">O913+O917+O921+O925</f>
        <v>22981.440000000002</v>
      </c>
      <c r="P909" s="1314">
        <f t="shared" si="98"/>
        <v>29370.768</v>
      </c>
      <c r="Q909" s="1314">
        <f t="shared" si="98"/>
        <v>71596.680000000008</v>
      </c>
      <c r="R909" s="1314">
        <f t="shared" si="98"/>
        <v>194275.72</v>
      </c>
      <c r="S909" s="1314">
        <f t="shared" si="98"/>
        <v>64275.72</v>
      </c>
      <c r="T909" s="1314">
        <f t="shared" si="98"/>
        <v>127839.742</v>
      </c>
      <c r="U909" s="1314">
        <f t="shared" si="98"/>
        <v>89274.31</v>
      </c>
      <c r="V909" s="1314">
        <f t="shared" si="98"/>
        <v>89274.31</v>
      </c>
      <c r="W909" s="1314">
        <f t="shared" si="98"/>
        <v>89274.31</v>
      </c>
      <c r="X909" s="1314">
        <f t="shared" si="98"/>
        <v>0</v>
      </c>
      <c r="Y909" s="1314">
        <f t="shared" si="98"/>
        <v>0</v>
      </c>
      <c r="Z909" s="1314">
        <f t="shared" si="98"/>
        <v>0</v>
      </c>
      <c r="AA909" s="373">
        <f t="shared" si="95"/>
        <v>778163</v>
      </c>
    </row>
    <row r="910" spans="1:27" x14ac:dyDescent="0.25">
      <c r="A910" s="513"/>
      <c r="B910" s="4349" t="s">
        <v>3438</v>
      </c>
      <c r="C910" s="2928" t="s">
        <v>3439</v>
      </c>
      <c r="D910" s="2353"/>
      <c r="E910" s="4358" t="s">
        <v>48</v>
      </c>
      <c r="F910" s="4360" t="s">
        <v>165</v>
      </c>
      <c r="G910" s="4360" t="s">
        <v>1528</v>
      </c>
      <c r="H910" s="2457" t="s">
        <v>3440</v>
      </c>
      <c r="I910" s="2459" t="s">
        <v>3441</v>
      </c>
      <c r="J910" s="2459">
        <v>1</v>
      </c>
      <c r="K910" s="3683">
        <f>+AA911</f>
        <v>54555.880000000005</v>
      </c>
      <c r="L910" s="2459" t="s">
        <v>3442</v>
      </c>
      <c r="M910" s="2317" t="s">
        <v>51</v>
      </c>
      <c r="N910" s="2319"/>
      <c r="O910" s="1314">
        <v>0.44</v>
      </c>
      <c r="P910" s="1314">
        <v>0.16</v>
      </c>
      <c r="Q910" s="1314">
        <v>0.4</v>
      </c>
      <c r="R910" s="1314">
        <v>0</v>
      </c>
      <c r="S910" s="1314">
        <v>0</v>
      </c>
      <c r="T910" s="1314">
        <v>0</v>
      </c>
      <c r="U910" s="1314">
        <v>0</v>
      </c>
      <c r="V910" s="1314">
        <v>0</v>
      </c>
      <c r="W910" s="1314">
        <v>0</v>
      </c>
      <c r="X910" s="1314">
        <v>0</v>
      </c>
      <c r="Y910" s="1314">
        <v>0</v>
      </c>
      <c r="Z910" s="1314">
        <v>0</v>
      </c>
      <c r="AA910" s="373">
        <f t="shared" si="95"/>
        <v>1</v>
      </c>
    </row>
    <row r="911" spans="1:27" x14ac:dyDescent="0.25">
      <c r="A911" s="513"/>
      <c r="B911" s="4350"/>
      <c r="C911" s="2929"/>
      <c r="D911" s="4282"/>
      <c r="E911" s="4359"/>
      <c r="F911" s="4361"/>
      <c r="G911" s="4361"/>
      <c r="H911" s="2466"/>
      <c r="I911" s="2467"/>
      <c r="J911" s="2467"/>
      <c r="K911" s="3684"/>
      <c r="L911" s="2467"/>
      <c r="M911" s="2317" t="s">
        <v>111</v>
      </c>
      <c r="N911" s="2319"/>
      <c r="O911" s="1314">
        <f t="shared" ref="O911:Z911" si="99">+O912+O913</f>
        <v>22981.440000000002</v>
      </c>
      <c r="P911" s="1314">
        <f t="shared" si="99"/>
        <v>3660.48</v>
      </c>
      <c r="Q911" s="1314">
        <f t="shared" si="99"/>
        <v>27913.96</v>
      </c>
      <c r="R911" s="1314">
        <f t="shared" si="99"/>
        <v>0</v>
      </c>
      <c r="S911" s="1314">
        <f t="shared" si="99"/>
        <v>0</v>
      </c>
      <c r="T911" s="1314">
        <f t="shared" si="99"/>
        <v>0</v>
      </c>
      <c r="U911" s="1314">
        <f t="shared" si="99"/>
        <v>0</v>
      </c>
      <c r="V911" s="1314">
        <f t="shared" si="99"/>
        <v>0</v>
      </c>
      <c r="W911" s="1314">
        <f t="shared" si="99"/>
        <v>0</v>
      </c>
      <c r="X911" s="1314">
        <f t="shared" si="99"/>
        <v>0</v>
      </c>
      <c r="Y911" s="1314">
        <f t="shared" si="99"/>
        <v>0</v>
      </c>
      <c r="Z911" s="1314">
        <f t="shared" si="99"/>
        <v>0</v>
      </c>
      <c r="AA911" s="373">
        <f t="shared" si="95"/>
        <v>54555.880000000005</v>
      </c>
    </row>
    <row r="912" spans="1:27" x14ac:dyDescent="0.25">
      <c r="A912" s="513"/>
      <c r="B912" s="4350"/>
      <c r="C912" s="2929"/>
      <c r="D912" s="4282"/>
      <c r="E912" s="4359"/>
      <c r="F912" s="4361"/>
      <c r="G912" s="4361"/>
      <c r="H912" s="2466"/>
      <c r="I912" s="2467"/>
      <c r="J912" s="2467"/>
      <c r="K912" s="3684"/>
      <c r="L912" s="2467"/>
      <c r="M912" s="1620" t="s">
        <v>3435</v>
      </c>
      <c r="N912" s="1778" t="s">
        <v>3436</v>
      </c>
      <c r="O912" s="1314">
        <v>0</v>
      </c>
      <c r="P912" s="1314">
        <v>0</v>
      </c>
      <c r="Q912" s="1314">
        <v>20593</v>
      </c>
      <c r="R912" s="1314">
        <v>0</v>
      </c>
      <c r="S912" s="1314">
        <v>0</v>
      </c>
      <c r="T912" s="1314">
        <v>0</v>
      </c>
      <c r="U912" s="1314">
        <v>0</v>
      </c>
      <c r="V912" s="1314">
        <v>0</v>
      </c>
      <c r="W912" s="1314">
        <v>0</v>
      </c>
      <c r="X912" s="1314">
        <v>0</v>
      </c>
      <c r="Y912" s="1314">
        <v>0</v>
      </c>
      <c r="Z912" s="1314">
        <v>0</v>
      </c>
      <c r="AA912" s="371">
        <f t="shared" si="95"/>
        <v>20593</v>
      </c>
    </row>
    <row r="913" spans="1:27" x14ac:dyDescent="0.25">
      <c r="A913" s="513"/>
      <c r="B913" s="4351"/>
      <c r="C913" s="2930"/>
      <c r="D913" s="2354"/>
      <c r="E913" s="4359"/>
      <c r="F913" s="4361"/>
      <c r="G913" s="4361"/>
      <c r="H913" s="2458"/>
      <c r="I913" s="2460"/>
      <c r="J913" s="2460"/>
      <c r="K913" s="3685"/>
      <c r="L913" s="2460"/>
      <c r="M913" s="1620" t="s">
        <v>226</v>
      </c>
      <c r="N913" s="1778" t="s">
        <v>3437</v>
      </c>
      <c r="O913" s="1314">
        <f>12000+3660.48*3</f>
        <v>22981.440000000002</v>
      </c>
      <c r="P913" s="1314">
        <v>3660.48</v>
      </c>
      <c r="Q913" s="1314">
        <f>3660.48*2</f>
        <v>7320.96</v>
      </c>
      <c r="R913" s="1314">
        <v>0</v>
      </c>
      <c r="S913" s="1314">
        <v>0</v>
      </c>
      <c r="T913" s="1314">
        <v>0</v>
      </c>
      <c r="U913" s="1314">
        <v>0</v>
      </c>
      <c r="V913" s="1314">
        <v>0</v>
      </c>
      <c r="W913" s="1314">
        <v>0</v>
      </c>
      <c r="X913" s="1314">
        <v>0</v>
      </c>
      <c r="Y913" s="1314">
        <v>0</v>
      </c>
      <c r="Z913" s="1314">
        <v>0</v>
      </c>
      <c r="AA913" s="371">
        <f t="shared" si="95"/>
        <v>33962.880000000005</v>
      </c>
    </row>
    <row r="914" spans="1:27" x14ac:dyDescent="0.25">
      <c r="A914" s="513"/>
      <c r="B914" s="4349" t="s">
        <v>3443</v>
      </c>
      <c r="C914" s="2928" t="s">
        <v>3444</v>
      </c>
      <c r="D914" s="2353"/>
      <c r="E914" s="4358" t="s">
        <v>48</v>
      </c>
      <c r="F914" s="4360" t="s">
        <v>165</v>
      </c>
      <c r="G914" s="4360" t="s">
        <v>1528</v>
      </c>
      <c r="H914" s="2928" t="s">
        <v>3445</v>
      </c>
      <c r="I914" s="2353" t="s">
        <v>3446</v>
      </c>
      <c r="J914" s="2353">
        <v>1</v>
      </c>
      <c r="K914" s="3683">
        <f>+AA915</f>
        <v>130000</v>
      </c>
      <c r="L914" s="2459" t="s">
        <v>3442</v>
      </c>
      <c r="M914" s="2317" t="s">
        <v>51</v>
      </c>
      <c r="N914" s="2319"/>
      <c r="O914" s="1314">
        <v>0.28749999999999998</v>
      </c>
      <c r="P914" s="1314">
        <v>0.3125</v>
      </c>
      <c r="Q914" s="1314">
        <v>0.21249999999999999</v>
      </c>
      <c r="R914" s="1314">
        <v>0.1875</v>
      </c>
      <c r="S914" s="1314">
        <v>0</v>
      </c>
      <c r="T914" s="1314">
        <v>0</v>
      </c>
      <c r="U914" s="1314">
        <v>0</v>
      </c>
      <c r="V914" s="1314">
        <v>0</v>
      </c>
      <c r="W914" s="1314">
        <v>0</v>
      </c>
      <c r="X914" s="1314">
        <v>0</v>
      </c>
      <c r="Y914" s="1314">
        <v>0</v>
      </c>
      <c r="Z914" s="1314">
        <v>0</v>
      </c>
      <c r="AA914" s="373">
        <f t="shared" si="95"/>
        <v>1</v>
      </c>
    </row>
    <row r="915" spans="1:27" x14ac:dyDescent="0.25">
      <c r="A915" s="513"/>
      <c r="B915" s="4350"/>
      <c r="C915" s="2929"/>
      <c r="D915" s="4282"/>
      <c r="E915" s="4359"/>
      <c r="F915" s="4361"/>
      <c r="G915" s="4361"/>
      <c r="H915" s="2929"/>
      <c r="I915" s="4282"/>
      <c r="J915" s="4282"/>
      <c r="K915" s="3684"/>
      <c r="L915" s="2467"/>
      <c r="M915" s="2317" t="s">
        <v>111</v>
      </c>
      <c r="N915" s="2319"/>
      <c r="O915" s="1314">
        <f t="shared" ref="O915:Z915" si="100">+O916+O917</f>
        <v>0</v>
      </c>
      <c r="P915" s="1314">
        <f t="shared" si="100"/>
        <v>0</v>
      </c>
      <c r="Q915" s="1314">
        <f t="shared" si="100"/>
        <v>0</v>
      </c>
      <c r="R915" s="1314">
        <f t="shared" si="100"/>
        <v>130000</v>
      </c>
      <c r="S915" s="1314">
        <f t="shared" si="100"/>
        <v>0</v>
      </c>
      <c r="T915" s="1314">
        <f t="shared" si="100"/>
        <v>0</v>
      </c>
      <c r="U915" s="1314">
        <f t="shared" si="100"/>
        <v>0</v>
      </c>
      <c r="V915" s="1314">
        <f t="shared" si="100"/>
        <v>0</v>
      </c>
      <c r="W915" s="1314">
        <f t="shared" si="100"/>
        <v>0</v>
      </c>
      <c r="X915" s="1314">
        <f t="shared" si="100"/>
        <v>0</v>
      </c>
      <c r="Y915" s="1314">
        <f t="shared" si="100"/>
        <v>0</v>
      </c>
      <c r="Z915" s="1314">
        <f t="shared" si="100"/>
        <v>0</v>
      </c>
      <c r="AA915" s="373">
        <f t="shared" si="95"/>
        <v>130000</v>
      </c>
    </row>
    <row r="916" spans="1:27" x14ac:dyDescent="0.25">
      <c r="A916" s="513"/>
      <c r="B916" s="4350"/>
      <c r="C916" s="2929"/>
      <c r="D916" s="4282"/>
      <c r="E916" s="4359"/>
      <c r="F916" s="4361"/>
      <c r="G916" s="4361"/>
      <c r="H916" s="2929"/>
      <c r="I916" s="4282"/>
      <c r="J916" s="4282"/>
      <c r="K916" s="3684"/>
      <c r="L916" s="2467"/>
      <c r="M916" s="1620" t="s">
        <v>3435</v>
      </c>
      <c r="N916" s="1778" t="s">
        <v>3436</v>
      </c>
      <c r="O916" s="1314">
        <v>0</v>
      </c>
      <c r="P916" s="1314">
        <v>0</v>
      </c>
      <c r="Q916" s="1314">
        <v>0</v>
      </c>
      <c r="R916" s="1314">
        <v>0</v>
      </c>
      <c r="S916" s="1314">
        <v>0</v>
      </c>
      <c r="T916" s="1314">
        <v>0</v>
      </c>
      <c r="U916" s="1314">
        <v>0</v>
      </c>
      <c r="V916" s="1314">
        <v>0</v>
      </c>
      <c r="W916" s="1314">
        <v>0</v>
      </c>
      <c r="X916" s="1314">
        <v>0</v>
      </c>
      <c r="Y916" s="1314">
        <v>0</v>
      </c>
      <c r="Z916" s="1314">
        <v>0</v>
      </c>
      <c r="AA916" s="371">
        <f t="shared" si="95"/>
        <v>0</v>
      </c>
    </row>
    <row r="917" spans="1:27" ht="15.75" customHeight="1" x14ac:dyDescent="0.25">
      <c r="A917" s="513"/>
      <c r="B917" s="4351"/>
      <c r="C917" s="2930"/>
      <c r="D917" s="2354"/>
      <c r="E917" s="4359"/>
      <c r="F917" s="4361"/>
      <c r="G917" s="4361"/>
      <c r="H917" s="2930"/>
      <c r="I917" s="2354"/>
      <c r="J917" s="2354"/>
      <c r="K917" s="3685"/>
      <c r="L917" s="2460"/>
      <c r="M917" s="1620" t="s">
        <v>226</v>
      </c>
      <c r="N917" s="1778" t="s">
        <v>3437</v>
      </c>
      <c r="O917" s="1314">
        <v>0</v>
      </c>
      <c r="P917" s="1314">
        <v>0</v>
      </c>
      <c r="Q917" s="1314">
        <v>0</v>
      </c>
      <c r="R917" s="1314">
        <v>130000</v>
      </c>
      <c r="S917" s="1314">
        <v>0</v>
      </c>
      <c r="T917" s="1314">
        <v>0</v>
      </c>
      <c r="U917" s="1314">
        <v>0</v>
      </c>
      <c r="V917" s="1314">
        <v>0</v>
      </c>
      <c r="W917" s="1314">
        <v>0</v>
      </c>
      <c r="X917" s="1314">
        <v>0</v>
      </c>
      <c r="Y917" s="1314">
        <v>0</v>
      </c>
      <c r="Z917" s="1314">
        <v>0</v>
      </c>
      <c r="AA917" s="371">
        <f t="shared" si="95"/>
        <v>130000</v>
      </c>
    </row>
    <row r="918" spans="1:27" x14ac:dyDescent="0.25">
      <c r="A918" s="513"/>
      <c r="B918" s="4349" t="s">
        <v>3447</v>
      </c>
      <c r="C918" s="2500" t="s">
        <v>3448</v>
      </c>
      <c r="D918" s="4310"/>
      <c r="E918" s="4358" t="s">
        <v>48</v>
      </c>
      <c r="F918" s="4360" t="s">
        <v>165</v>
      </c>
      <c r="G918" s="4360" t="s">
        <v>1528</v>
      </c>
      <c r="H918" s="2500" t="s">
        <v>3449</v>
      </c>
      <c r="I918" s="4364" t="s">
        <v>3450</v>
      </c>
      <c r="J918" s="4367">
        <v>10</v>
      </c>
      <c r="K918" s="3683">
        <f>+AA919</f>
        <v>257102.88</v>
      </c>
      <c r="L918" s="2459" t="s">
        <v>3442</v>
      </c>
      <c r="M918" s="2317" t="s">
        <v>51</v>
      </c>
      <c r="N918" s="2319"/>
      <c r="O918" s="1314">
        <v>0.55000000000000004</v>
      </c>
      <c r="P918" s="1314">
        <v>0.125</v>
      </c>
      <c r="Q918" s="1314">
        <v>0.125</v>
      </c>
      <c r="R918" s="1314">
        <v>0.125</v>
      </c>
      <c r="S918" s="1314">
        <v>7.4999999999999997E-2</v>
      </c>
      <c r="T918" s="1314"/>
      <c r="U918" s="1314"/>
      <c r="V918" s="1314"/>
      <c r="W918" s="1314"/>
      <c r="X918" s="1314"/>
      <c r="Y918" s="1314"/>
      <c r="Z918" s="1314"/>
      <c r="AA918" s="373">
        <f t="shared" si="95"/>
        <v>1</v>
      </c>
    </row>
    <row r="919" spans="1:27" x14ac:dyDescent="0.25">
      <c r="A919" s="513"/>
      <c r="B919" s="4350"/>
      <c r="C919" s="4353"/>
      <c r="D919" s="4323"/>
      <c r="E919" s="4359"/>
      <c r="F919" s="4361"/>
      <c r="G919" s="4361"/>
      <c r="H919" s="4353"/>
      <c r="I919" s="4365"/>
      <c r="J919" s="4368"/>
      <c r="K919" s="3684"/>
      <c r="L919" s="2467"/>
      <c r="M919" s="2317" t="s">
        <v>111</v>
      </c>
      <c r="N919" s="2319"/>
      <c r="O919" s="1314">
        <f t="shared" ref="O919:Z919" si="101">+O920+O921</f>
        <v>0</v>
      </c>
      <c r="P919" s="1314">
        <f t="shared" si="101"/>
        <v>25710.288</v>
      </c>
      <c r="Q919" s="1314">
        <f t="shared" si="101"/>
        <v>64275.72</v>
      </c>
      <c r="R919" s="1314">
        <f t="shared" si="101"/>
        <v>64275.72</v>
      </c>
      <c r="S919" s="1314">
        <f t="shared" si="101"/>
        <v>64275.72</v>
      </c>
      <c r="T919" s="1314">
        <f t="shared" si="101"/>
        <v>38565.432000000001</v>
      </c>
      <c r="U919" s="1314">
        <f t="shared" si="101"/>
        <v>0</v>
      </c>
      <c r="V919" s="1314">
        <f t="shared" si="101"/>
        <v>0</v>
      </c>
      <c r="W919" s="1314">
        <f t="shared" si="101"/>
        <v>0</v>
      </c>
      <c r="X919" s="1314">
        <f t="shared" si="101"/>
        <v>0</v>
      </c>
      <c r="Y919" s="1314">
        <f t="shared" si="101"/>
        <v>0</v>
      </c>
      <c r="Z919" s="1314">
        <f t="shared" si="101"/>
        <v>0</v>
      </c>
      <c r="AA919" s="373">
        <f t="shared" si="95"/>
        <v>257102.88</v>
      </c>
    </row>
    <row r="920" spans="1:27" x14ac:dyDescent="0.25">
      <c r="A920" s="513"/>
      <c r="B920" s="4350"/>
      <c r="C920" s="4353"/>
      <c r="D920" s="4323"/>
      <c r="E920" s="4359"/>
      <c r="F920" s="4361"/>
      <c r="G920" s="4361"/>
      <c r="H920" s="4353"/>
      <c r="I920" s="4365"/>
      <c r="J920" s="4368"/>
      <c r="K920" s="3684"/>
      <c r="L920" s="2467"/>
      <c r="M920" s="1620" t="s">
        <v>3435</v>
      </c>
      <c r="N920" s="1778" t="s">
        <v>3436</v>
      </c>
      <c r="O920" s="1314">
        <v>0</v>
      </c>
      <c r="P920" s="1314">
        <v>0</v>
      </c>
      <c r="Q920" s="1314">
        <v>0</v>
      </c>
      <c r="R920" s="1314">
        <v>0</v>
      </c>
      <c r="S920" s="1314">
        <v>0</v>
      </c>
      <c r="T920" s="1314">
        <v>0</v>
      </c>
      <c r="U920" s="1314">
        <v>0</v>
      </c>
      <c r="V920" s="1314">
        <v>0</v>
      </c>
      <c r="W920" s="1314">
        <v>0</v>
      </c>
      <c r="X920" s="1314">
        <v>0</v>
      </c>
      <c r="Y920" s="1314">
        <v>0</v>
      </c>
      <c r="Z920" s="1314">
        <v>0</v>
      </c>
      <c r="AA920" s="371">
        <f t="shared" si="95"/>
        <v>0</v>
      </c>
    </row>
    <row r="921" spans="1:27" x14ac:dyDescent="0.25">
      <c r="A921" s="227"/>
      <c r="B921" s="4351"/>
      <c r="C921" s="2501"/>
      <c r="D921" s="4311"/>
      <c r="E921" s="4359"/>
      <c r="F921" s="4361"/>
      <c r="G921" s="4361"/>
      <c r="H921" s="2501"/>
      <c r="I921" s="4366"/>
      <c r="J921" s="4369"/>
      <c r="K921" s="3685"/>
      <c r="L921" s="2460"/>
      <c r="M921" s="1620" t="s">
        <v>226</v>
      </c>
      <c r="N921" s="1778" t="s">
        <v>3437</v>
      </c>
      <c r="O921" s="1314">
        <v>0</v>
      </c>
      <c r="P921" s="1314">
        <v>25710.288</v>
      </c>
      <c r="Q921" s="1314">
        <v>64275.72</v>
      </c>
      <c r="R921" s="1314">
        <v>64275.72</v>
      </c>
      <c r="S921" s="1314">
        <v>64275.72</v>
      </c>
      <c r="T921" s="1314">
        <v>38565.432000000001</v>
      </c>
      <c r="U921" s="1314">
        <v>0</v>
      </c>
      <c r="V921" s="1314">
        <v>0</v>
      </c>
      <c r="W921" s="1314">
        <v>0</v>
      </c>
      <c r="X921" s="1314">
        <v>0</v>
      </c>
      <c r="Y921" s="1314">
        <v>0</v>
      </c>
      <c r="Z921" s="1314">
        <v>0</v>
      </c>
      <c r="AA921" s="371">
        <f t="shared" si="95"/>
        <v>257102.88</v>
      </c>
    </row>
    <row r="922" spans="1:27" x14ac:dyDescent="0.25">
      <c r="A922" s="4322"/>
      <c r="B922" s="4349" t="s">
        <v>3451</v>
      </c>
      <c r="C922" s="2500" t="s">
        <v>3452</v>
      </c>
      <c r="D922" s="4317"/>
      <c r="E922" s="4354" t="s">
        <v>48</v>
      </c>
      <c r="F922" s="4355" t="s">
        <v>165</v>
      </c>
      <c r="G922" s="4355" t="s">
        <v>1528</v>
      </c>
      <c r="H922" s="2521" t="s">
        <v>3453</v>
      </c>
      <c r="I922" s="4356" t="s">
        <v>3454</v>
      </c>
      <c r="J922" s="4357">
        <v>1</v>
      </c>
      <c r="K922" s="3683">
        <f>+AA923</f>
        <v>357097.24</v>
      </c>
      <c r="L922" s="2459" t="s">
        <v>3442</v>
      </c>
      <c r="M922" s="2317" t="s">
        <v>51</v>
      </c>
      <c r="N922" s="2319"/>
      <c r="O922" s="1314"/>
      <c r="P922" s="1314"/>
      <c r="Q922" s="1314"/>
      <c r="R922" s="1314"/>
      <c r="S922" s="1314"/>
      <c r="T922" s="1314">
        <v>0.25</v>
      </c>
      <c r="U922" s="1314">
        <v>0.25</v>
      </c>
      <c r="V922" s="1314">
        <v>0.25</v>
      </c>
      <c r="W922" s="1314">
        <v>0.25</v>
      </c>
      <c r="X922" s="1314"/>
      <c r="Y922" s="1314"/>
      <c r="Z922" s="1314"/>
      <c r="AA922" s="373">
        <f t="shared" si="95"/>
        <v>1</v>
      </c>
    </row>
    <row r="923" spans="1:27" x14ac:dyDescent="0.25">
      <c r="A923" s="4322"/>
      <c r="B923" s="4350"/>
      <c r="C923" s="4353"/>
      <c r="D923" s="4317"/>
      <c r="E923" s="4354"/>
      <c r="F923" s="4355"/>
      <c r="G923" s="4355"/>
      <c r="H923" s="2521"/>
      <c r="I923" s="4356"/>
      <c r="J923" s="4357"/>
      <c r="K923" s="3684"/>
      <c r="L923" s="2467"/>
      <c r="M923" s="2317" t="s">
        <v>111</v>
      </c>
      <c r="N923" s="2319"/>
      <c r="O923" s="1314">
        <f t="shared" ref="O923:Z923" si="102">+O924+O925</f>
        <v>0</v>
      </c>
      <c r="P923" s="1314">
        <f t="shared" si="102"/>
        <v>0</v>
      </c>
      <c r="Q923" s="1314">
        <f t="shared" si="102"/>
        <v>0</v>
      </c>
      <c r="R923" s="1314">
        <f t="shared" si="102"/>
        <v>0</v>
      </c>
      <c r="S923" s="1314">
        <f t="shared" si="102"/>
        <v>0</v>
      </c>
      <c r="T923" s="1314">
        <f t="shared" si="102"/>
        <v>89274.31</v>
      </c>
      <c r="U923" s="1314">
        <f t="shared" si="102"/>
        <v>89274.31</v>
      </c>
      <c r="V923" s="1314">
        <f t="shared" si="102"/>
        <v>89274.31</v>
      </c>
      <c r="W923" s="1314">
        <f t="shared" si="102"/>
        <v>89274.31</v>
      </c>
      <c r="X923" s="1314">
        <f t="shared" si="102"/>
        <v>0</v>
      </c>
      <c r="Y923" s="1314">
        <f t="shared" si="102"/>
        <v>0</v>
      </c>
      <c r="Z923" s="1314">
        <f t="shared" si="102"/>
        <v>0</v>
      </c>
      <c r="AA923" s="373">
        <f t="shared" si="95"/>
        <v>357097.24</v>
      </c>
    </row>
    <row r="924" spans="1:27" x14ac:dyDescent="0.25">
      <c r="A924" s="4322"/>
      <c r="B924" s="4350"/>
      <c r="C924" s="4353"/>
      <c r="D924" s="4317"/>
      <c r="E924" s="4354"/>
      <c r="F924" s="4355"/>
      <c r="G924" s="4355"/>
      <c r="H924" s="2521"/>
      <c r="I924" s="4356"/>
      <c r="J924" s="4357"/>
      <c r="K924" s="3684"/>
      <c r="L924" s="2467"/>
      <c r="M924" s="1620" t="s">
        <v>3435</v>
      </c>
      <c r="N924" s="1780" t="s">
        <v>3436</v>
      </c>
      <c r="O924" s="1314">
        <v>0</v>
      </c>
      <c r="P924" s="1314">
        <v>0</v>
      </c>
      <c r="Q924" s="1314">
        <v>0</v>
      </c>
      <c r="R924" s="1314">
        <v>0</v>
      </c>
      <c r="S924" s="1314">
        <v>0</v>
      </c>
      <c r="T924" s="1314">
        <v>0</v>
      </c>
      <c r="U924" s="1314">
        <v>0</v>
      </c>
      <c r="V924" s="1314">
        <v>0</v>
      </c>
      <c r="W924" s="1314">
        <v>0</v>
      </c>
      <c r="X924" s="1314">
        <v>0</v>
      </c>
      <c r="Y924" s="1314">
        <v>0</v>
      </c>
      <c r="Z924" s="1314">
        <v>0</v>
      </c>
      <c r="AA924" s="371">
        <f t="shared" si="95"/>
        <v>0</v>
      </c>
    </row>
    <row r="925" spans="1:27" x14ac:dyDescent="0.25">
      <c r="A925" s="4322"/>
      <c r="B925" s="4351"/>
      <c r="C925" s="2501"/>
      <c r="D925" s="4317"/>
      <c r="E925" s="4354"/>
      <c r="F925" s="4355"/>
      <c r="G925" s="4355"/>
      <c r="H925" s="2521"/>
      <c r="I925" s="4356"/>
      <c r="J925" s="4357"/>
      <c r="K925" s="3685"/>
      <c r="L925" s="2460"/>
      <c r="M925" s="1620" t="s">
        <v>226</v>
      </c>
      <c r="N925" s="1780" t="s">
        <v>3437</v>
      </c>
      <c r="O925" s="1779">
        <v>0</v>
      </c>
      <c r="P925" s="1779">
        <v>0</v>
      </c>
      <c r="Q925" s="1779">
        <v>0</v>
      </c>
      <c r="R925" s="1779">
        <v>0</v>
      </c>
      <c r="S925" s="1779">
        <v>0</v>
      </c>
      <c r="T925" s="1779">
        <v>89274.31</v>
      </c>
      <c r="U925" s="1779">
        <v>89274.31</v>
      </c>
      <c r="V925" s="1779">
        <v>89274.31</v>
      </c>
      <c r="W925" s="1779">
        <v>89274.31</v>
      </c>
      <c r="X925" s="1779">
        <v>0</v>
      </c>
      <c r="Y925" s="1779">
        <v>0</v>
      </c>
      <c r="Z925" s="1779">
        <v>0</v>
      </c>
      <c r="AA925" s="1782">
        <f t="shared" si="95"/>
        <v>357097.24</v>
      </c>
    </row>
    <row r="926" spans="1:27" x14ac:dyDescent="0.25">
      <c r="A926" s="4352" t="s">
        <v>3481</v>
      </c>
      <c r="B926" s="4352"/>
      <c r="C926" s="4352"/>
      <c r="D926" s="4352"/>
      <c r="E926" s="4352"/>
      <c r="F926" s="4352"/>
      <c r="G926" s="4352"/>
      <c r="H926" s="4352"/>
      <c r="I926" s="4352"/>
      <c r="J926" s="4352"/>
      <c r="K926" s="4352"/>
      <c r="L926" s="4352"/>
      <c r="M926" s="4352"/>
      <c r="N926" s="4352"/>
      <c r="O926" s="4352"/>
      <c r="P926" s="4352"/>
      <c r="Q926" s="4352"/>
      <c r="R926" s="4352"/>
      <c r="S926" s="4352"/>
      <c r="T926" s="4352"/>
      <c r="U926" s="4352"/>
      <c r="V926" s="4352"/>
      <c r="W926" s="4352"/>
      <c r="X926" s="4352"/>
      <c r="Y926" s="4352"/>
      <c r="Z926" s="4352"/>
      <c r="AA926" s="4352"/>
    </row>
    <row r="927" spans="1:27" x14ac:dyDescent="0.25">
      <c r="A927" s="4298" t="s">
        <v>251</v>
      </c>
      <c r="B927" s="449" t="s">
        <v>1</v>
      </c>
      <c r="C927" s="3153" t="s">
        <v>3485</v>
      </c>
      <c r="D927" s="3153"/>
      <c r="E927" s="3153"/>
      <c r="F927" s="3153"/>
      <c r="G927" s="1738"/>
      <c r="H927" s="1738"/>
      <c r="I927" s="1738"/>
      <c r="J927" s="1738"/>
      <c r="K927" s="1738"/>
      <c r="L927" s="1738"/>
      <c r="M927" s="1738"/>
      <c r="N927" s="1738"/>
      <c r="O927" s="1738"/>
      <c r="P927" s="1738"/>
      <c r="Q927" s="1738"/>
      <c r="R927" s="1738"/>
      <c r="S927" s="1738"/>
      <c r="T927" s="1738"/>
      <c r="U927" s="1738"/>
      <c r="V927" s="1738"/>
      <c r="W927" s="1738"/>
      <c r="X927" s="1738"/>
      <c r="Y927" s="1722"/>
      <c r="Z927" s="203"/>
      <c r="AA927" s="346"/>
    </row>
    <row r="928" spans="1:27" ht="24" x14ac:dyDescent="0.25">
      <c r="A928" s="4299"/>
      <c r="B928" s="1352" t="s">
        <v>2</v>
      </c>
      <c r="C928" s="2293" t="s">
        <v>3486</v>
      </c>
      <c r="D928" s="2293"/>
      <c r="E928" s="2293"/>
      <c r="F928" s="2293"/>
      <c r="G928" s="2293"/>
      <c r="H928" s="2293"/>
      <c r="I928" s="2293"/>
      <c r="J928" s="2293"/>
      <c r="K928" s="2293"/>
      <c r="L928" s="2293"/>
      <c r="M928" s="2293"/>
      <c r="N928" s="2293"/>
      <c r="O928" s="2293"/>
      <c r="P928" s="2293"/>
      <c r="Q928" s="2293"/>
      <c r="R928" s="2293"/>
      <c r="S928" s="2293"/>
      <c r="T928" s="2293"/>
      <c r="U928" s="2293"/>
      <c r="V928" s="2293"/>
      <c r="W928" s="2293"/>
      <c r="X928" s="2293"/>
      <c r="Y928" s="2294"/>
      <c r="Z928" s="203"/>
      <c r="AA928" s="346"/>
    </row>
    <row r="929" spans="1:29" x14ac:dyDescent="0.25">
      <c r="A929" s="4299"/>
      <c r="B929" s="1352" t="s">
        <v>4</v>
      </c>
      <c r="C929" s="2294" t="s">
        <v>3519</v>
      </c>
      <c r="D929" s="2295"/>
      <c r="E929" s="2295"/>
      <c r="F929" s="2295"/>
      <c r="G929" s="2295"/>
      <c r="H929" s="2295"/>
      <c r="I929" s="2295"/>
      <c r="J929" s="2295"/>
      <c r="K929" s="2295"/>
      <c r="L929" s="2295"/>
      <c r="M929" s="2295"/>
      <c r="N929" s="2295"/>
      <c r="O929" s="1358"/>
      <c r="P929" s="1358"/>
      <c r="Q929" s="1358"/>
      <c r="R929" s="1358"/>
      <c r="S929" s="1358"/>
      <c r="T929" s="1358"/>
      <c r="U929" s="1358"/>
      <c r="V929" s="1358"/>
      <c r="W929" s="1358"/>
      <c r="X929" s="1358"/>
      <c r="Y929" s="1358"/>
      <c r="Z929" s="203"/>
      <c r="AA929" s="346"/>
    </row>
    <row r="930" spans="1:29" ht="24" x14ac:dyDescent="0.25">
      <c r="A930" s="4299"/>
      <c r="B930" s="1352" t="s">
        <v>6</v>
      </c>
      <c r="C930" s="2293" t="s">
        <v>3487</v>
      </c>
      <c r="D930" s="2293"/>
      <c r="E930" s="2293"/>
      <c r="F930" s="2293"/>
      <c r="G930" s="2293"/>
      <c r="H930" s="2293"/>
      <c r="I930" s="2293"/>
      <c r="J930" s="2293"/>
      <c r="K930" s="2293"/>
      <c r="L930" s="2293"/>
      <c r="M930" s="2293"/>
      <c r="N930" s="2293"/>
      <c r="O930" s="2293"/>
      <c r="P930" s="2293"/>
      <c r="Q930" s="2293"/>
      <c r="R930" s="2293"/>
      <c r="S930" s="2293"/>
      <c r="T930" s="2293"/>
      <c r="U930" s="2293"/>
      <c r="V930" s="2293"/>
      <c r="W930" s="2293"/>
      <c r="X930" s="2293"/>
      <c r="Y930" s="2294"/>
      <c r="Z930" s="203"/>
      <c r="AA930" s="346"/>
    </row>
    <row r="931" spans="1:29" ht="28.5" customHeight="1" x14ac:dyDescent="0.25">
      <c r="A931" s="4300"/>
      <c r="B931" s="1859" t="s">
        <v>8</v>
      </c>
      <c r="C931" s="2911" t="s">
        <v>3488</v>
      </c>
      <c r="D931" s="2912"/>
      <c r="E931" s="2912"/>
      <c r="F931" s="2912"/>
      <c r="G931" s="2912"/>
      <c r="H931" s="2912"/>
      <c r="I931" s="363"/>
      <c r="J931" s="363"/>
      <c r="K931" s="363"/>
      <c r="L931" s="363"/>
      <c r="M931" s="363"/>
      <c r="N931" s="363"/>
      <c r="O931" s="363"/>
      <c r="P931" s="363"/>
      <c r="Q931" s="363"/>
      <c r="R931" s="363"/>
      <c r="S931" s="363"/>
      <c r="T931" s="363"/>
      <c r="U931" s="363"/>
      <c r="V931" s="363"/>
      <c r="W931" s="363"/>
      <c r="X931" s="363"/>
      <c r="Y931" s="363"/>
      <c r="Z931" s="365"/>
      <c r="AA931" s="515"/>
    </row>
    <row r="932" spans="1:29" x14ac:dyDescent="0.25">
      <c r="A932" s="2902" t="s">
        <v>256</v>
      </c>
      <c r="B932" s="1352" t="s">
        <v>11</v>
      </c>
      <c r="C932" s="4301" t="s">
        <v>12</v>
      </c>
      <c r="D932" s="4329"/>
      <c r="E932" s="4329"/>
      <c r="F932" s="4329"/>
      <c r="G932" s="4329"/>
      <c r="H932" s="4329"/>
      <c r="I932" s="4329"/>
      <c r="J932" s="4329"/>
      <c r="K932" s="4329"/>
      <c r="L932" s="4329"/>
      <c r="M932" s="4329"/>
      <c r="N932" s="4329"/>
      <c r="O932" s="4329"/>
      <c r="P932" s="4329"/>
      <c r="Q932" s="4329"/>
      <c r="R932" s="4329"/>
      <c r="S932" s="4329"/>
      <c r="T932" s="4329"/>
      <c r="U932" s="4329"/>
      <c r="V932" s="4329"/>
      <c r="W932" s="4329"/>
      <c r="X932" s="4329"/>
      <c r="Y932" s="4329"/>
      <c r="Z932" s="203"/>
      <c r="AA932" s="346"/>
    </row>
    <row r="933" spans="1:29" ht="15" customHeight="1" x14ac:dyDescent="0.25">
      <c r="A933" s="2903"/>
      <c r="B933" s="4345" t="s">
        <v>13</v>
      </c>
      <c r="C933" s="3158" t="s">
        <v>14</v>
      </c>
      <c r="D933" s="3159"/>
      <c r="E933" s="3159"/>
      <c r="F933" s="3159"/>
      <c r="G933" s="3159"/>
      <c r="H933" s="3159"/>
      <c r="I933" s="3159"/>
      <c r="J933" s="3159"/>
      <c r="K933" s="3159"/>
      <c r="L933" s="3159"/>
      <c r="M933" s="3159"/>
      <c r="N933" s="3159"/>
      <c r="O933" s="3159"/>
      <c r="P933" s="204"/>
      <c r="Q933" s="204"/>
      <c r="R933" s="204"/>
      <c r="S933" s="204"/>
      <c r="T933" s="205"/>
      <c r="U933" s="1609"/>
      <c r="V933" s="2314" t="s">
        <v>15</v>
      </c>
      <c r="W933" s="2315"/>
      <c r="X933" s="2315"/>
      <c r="Y933" s="2316"/>
      <c r="Z933" s="1305" t="s">
        <v>16</v>
      </c>
      <c r="AA933" s="1305"/>
    </row>
    <row r="934" spans="1:29" x14ac:dyDescent="0.25">
      <c r="A934" s="2903"/>
      <c r="B934" s="4346"/>
      <c r="C934" s="3161"/>
      <c r="D934" s="3162"/>
      <c r="E934" s="3162"/>
      <c r="F934" s="3162"/>
      <c r="G934" s="3162"/>
      <c r="H934" s="3162"/>
      <c r="I934" s="3162"/>
      <c r="J934" s="3162"/>
      <c r="K934" s="3162"/>
      <c r="L934" s="3162"/>
      <c r="M934" s="3162"/>
      <c r="N934" s="3162"/>
      <c r="O934" s="3162"/>
      <c r="P934" s="206"/>
      <c r="Q934" s="206"/>
      <c r="R934" s="206"/>
      <c r="S934" s="206"/>
      <c r="T934" s="207"/>
      <c r="U934" s="1609"/>
      <c r="V934" s="4304" t="s">
        <v>19</v>
      </c>
      <c r="W934" s="4305"/>
      <c r="X934" s="4305"/>
      <c r="Y934" s="4306"/>
      <c r="Z934" s="1305"/>
      <c r="AA934" s="1305"/>
    </row>
    <row r="935" spans="1:29" ht="24" x14ac:dyDescent="0.25">
      <c r="A935" s="2903"/>
      <c r="B935" s="4345" t="s">
        <v>18</v>
      </c>
      <c r="C935" s="2357">
        <v>399999</v>
      </c>
      <c r="D935" s="2357" t="s">
        <v>2316</v>
      </c>
      <c r="E935" s="2306"/>
      <c r="F935" s="2962"/>
      <c r="G935" s="2962"/>
      <c r="H935" s="2962"/>
      <c r="I935" s="2962"/>
      <c r="J935" s="2962"/>
      <c r="K935" s="2962"/>
      <c r="L935" s="2962"/>
      <c r="M935" s="204"/>
      <c r="N935" s="204"/>
      <c r="O935" s="204"/>
      <c r="P935" s="204"/>
      <c r="Q935" s="204"/>
      <c r="R935" s="204"/>
      <c r="S935" s="204"/>
      <c r="T935" s="204"/>
      <c r="U935" s="211"/>
      <c r="V935" s="1305" t="s">
        <v>15</v>
      </c>
      <c r="W935" s="1305"/>
      <c r="X935" s="1305"/>
      <c r="Y935" s="1305"/>
      <c r="Z935" s="1305" t="s">
        <v>16</v>
      </c>
      <c r="AA935" s="1305"/>
    </row>
    <row r="936" spans="1:29" x14ac:dyDescent="0.25">
      <c r="A936" s="2903"/>
      <c r="B936" s="4346"/>
      <c r="C936" s="2358"/>
      <c r="D936" s="2358"/>
      <c r="E936" s="2963"/>
      <c r="F936" s="2964"/>
      <c r="G936" s="2964"/>
      <c r="H936" s="2964"/>
      <c r="I936" s="2964"/>
      <c r="J936" s="2964"/>
      <c r="K936" s="2964"/>
      <c r="L936" s="2964"/>
      <c r="M936" s="208"/>
      <c r="N936" s="208"/>
      <c r="O936" s="208"/>
      <c r="P936" s="208"/>
      <c r="Q936" s="208"/>
      <c r="R936" s="208"/>
      <c r="S936" s="208"/>
      <c r="T936" s="208"/>
      <c r="U936" s="213"/>
      <c r="V936" s="4304" t="s">
        <v>19</v>
      </c>
      <c r="W936" s="4305"/>
      <c r="X936" s="4305"/>
      <c r="Y936" s="4306"/>
      <c r="Z936" s="1306"/>
      <c r="AA936" s="1307"/>
    </row>
    <row r="937" spans="1:29" x14ac:dyDescent="0.25">
      <c r="A937" s="2903"/>
      <c r="B937" s="2320" t="s">
        <v>20</v>
      </c>
      <c r="C937" s="4330" t="s">
        <v>21</v>
      </c>
      <c r="D937" s="4330" t="s">
        <v>22</v>
      </c>
      <c r="E937" s="4330" t="s">
        <v>23</v>
      </c>
      <c r="F937" s="4330" t="s">
        <v>24</v>
      </c>
      <c r="G937" s="4330" t="s">
        <v>25</v>
      </c>
      <c r="H937" s="4330" t="s">
        <v>26</v>
      </c>
      <c r="I937" s="4330" t="s">
        <v>27</v>
      </c>
      <c r="J937" s="4347" t="s">
        <v>28</v>
      </c>
      <c r="K937" s="4348"/>
      <c r="L937" s="4330" t="s">
        <v>29</v>
      </c>
      <c r="M937" s="4330" t="s">
        <v>529</v>
      </c>
      <c r="N937" s="4330" t="s">
        <v>530</v>
      </c>
      <c r="O937" s="2343" t="s">
        <v>31</v>
      </c>
      <c r="P937" s="2344"/>
      <c r="Q937" s="2344"/>
      <c r="R937" s="2344"/>
      <c r="S937" s="2344"/>
      <c r="T937" s="2344"/>
      <c r="U937" s="2344"/>
      <c r="V937" s="2344"/>
      <c r="W937" s="2344"/>
      <c r="X937" s="2344"/>
      <c r="Y937" s="2344"/>
      <c r="Z937" s="2345"/>
      <c r="AA937" s="4335" t="s">
        <v>32</v>
      </c>
    </row>
    <row r="938" spans="1:29" ht="23.25" customHeight="1" x14ac:dyDescent="0.25">
      <c r="A938" s="2903"/>
      <c r="B938" s="2321"/>
      <c r="C938" s="4331"/>
      <c r="D938" s="4331"/>
      <c r="E938" s="4331"/>
      <c r="F938" s="4331"/>
      <c r="G938" s="4331"/>
      <c r="H938" s="4331"/>
      <c r="I938" s="4331"/>
      <c r="J938" s="1355" t="s">
        <v>33</v>
      </c>
      <c r="K938" s="1355" t="s">
        <v>34</v>
      </c>
      <c r="L938" s="4331"/>
      <c r="M938" s="4331"/>
      <c r="N938" s="4331"/>
      <c r="O938" s="1354" t="s">
        <v>35</v>
      </c>
      <c r="P938" s="1354" t="s">
        <v>36</v>
      </c>
      <c r="Q938" s="1354" t="s">
        <v>37</v>
      </c>
      <c r="R938" s="1354" t="s">
        <v>38</v>
      </c>
      <c r="S938" s="1354" t="s">
        <v>39</v>
      </c>
      <c r="T938" s="1354" t="s">
        <v>40</v>
      </c>
      <c r="U938" s="1354" t="s">
        <v>41</v>
      </c>
      <c r="V938" s="1354" t="s">
        <v>42</v>
      </c>
      <c r="W938" s="1354" t="s">
        <v>43</v>
      </c>
      <c r="X938" s="1354" t="s">
        <v>44</v>
      </c>
      <c r="Y938" s="1354" t="s">
        <v>45</v>
      </c>
      <c r="Z938" s="1354" t="s">
        <v>46</v>
      </c>
      <c r="AA938" s="4336"/>
    </row>
    <row r="939" spans="1:29" x14ac:dyDescent="0.25">
      <c r="A939" s="2903"/>
      <c r="B939" s="4332"/>
      <c r="C939" s="3155" t="s">
        <v>3706</v>
      </c>
      <c r="D939" s="2357">
        <v>58</v>
      </c>
      <c r="E939" s="4337"/>
      <c r="F939" s="4340"/>
      <c r="G939" s="4340"/>
      <c r="H939" s="2357" t="s">
        <v>3489</v>
      </c>
      <c r="I939" s="2357" t="s">
        <v>3490</v>
      </c>
      <c r="J939" s="2355">
        <v>25</v>
      </c>
      <c r="K939" s="2355">
        <v>2210413</v>
      </c>
      <c r="L939" s="2357" t="s">
        <v>3491</v>
      </c>
      <c r="M939" s="2671" t="s">
        <v>51</v>
      </c>
      <c r="N939" s="3002"/>
      <c r="O939" s="481"/>
      <c r="P939" s="481"/>
      <c r="Q939" s="481">
        <v>2</v>
      </c>
      <c r="R939" s="481">
        <v>3</v>
      </c>
      <c r="S939" s="481">
        <v>3</v>
      </c>
      <c r="T939" s="481">
        <v>3</v>
      </c>
      <c r="U939" s="481">
        <v>2</v>
      </c>
      <c r="V939" s="481">
        <v>3</v>
      </c>
      <c r="W939" s="481">
        <v>3</v>
      </c>
      <c r="X939" s="481">
        <v>2</v>
      </c>
      <c r="Y939" s="481">
        <v>2</v>
      </c>
      <c r="Z939" s="481">
        <v>2</v>
      </c>
      <c r="AA939" s="217">
        <f>SUM(O939:Z939)</f>
        <v>25</v>
      </c>
    </row>
    <row r="940" spans="1:29" x14ac:dyDescent="0.25">
      <c r="A940" s="2903"/>
      <c r="B940" s="4333"/>
      <c r="C940" s="3156"/>
      <c r="D940" s="4289"/>
      <c r="E940" s="4338"/>
      <c r="F940" s="4341"/>
      <c r="G940" s="4341"/>
      <c r="H940" s="4289"/>
      <c r="I940" s="4289"/>
      <c r="J940" s="4343"/>
      <c r="K940" s="4343"/>
      <c r="L940" s="4289"/>
      <c r="M940" s="2918" t="s">
        <v>111</v>
      </c>
      <c r="N940" s="2923"/>
      <c r="O940" s="479">
        <f t="shared" ref="O940:AA940" si="103">SUM(O941:O947)</f>
        <v>0</v>
      </c>
      <c r="P940" s="479">
        <f t="shared" si="103"/>
        <v>71200</v>
      </c>
      <c r="Q940" s="479">
        <f t="shared" si="103"/>
        <v>111600</v>
      </c>
      <c r="R940" s="479">
        <f t="shared" si="103"/>
        <v>87499.1</v>
      </c>
      <c r="S940" s="479">
        <f t="shared" si="103"/>
        <v>289199.09999999998</v>
      </c>
      <c r="T940" s="479">
        <f t="shared" si="103"/>
        <v>372099.1</v>
      </c>
      <c r="U940" s="479">
        <f t="shared" si="103"/>
        <v>80699.100000000006</v>
      </c>
      <c r="V940" s="479">
        <f t="shared" si="103"/>
        <v>451499.1</v>
      </c>
      <c r="W940" s="479">
        <f t="shared" si="103"/>
        <v>77799.100000000006</v>
      </c>
      <c r="X940" s="479">
        <f t="shared" si="103"/>
        <v>67799.100000000006</v>
      </c>
      <c r="Y940" s="479">
        <f t="shared" si="103"/>
        <v>54799.100000000006</v>
      </c>
      <c r="Z940" s="479">
        <f t="shared" si="103"/>
        <v>316098.2</v>
      </c>
      <c r="AA940" s="527">
        <f t="shared" si="103"/>
        <v>1980291.0000000002</v>
      </c>
      <c r="AC940" s="1792"/>
    </row>
    <row r="941" spans="1:29" ht="22.5" x14ac:dyDescent="0.25">
      <c r="A941" s="2903"/>
      <c r="B941" s="4333"/>
      <c r="C941" s="3156"/>
      <c r="D941" s="4289"/>
      <c r="E941" s="4338"/>
      <c r="F941" s="4341"/>
      <c r="G941" s="4341"/>
      <c r="H941" s="4289"/>
      <c r="I941" s="4289"/>
      <c r="J941" s="4343"/>
      <c r="K941" s="4343"/>
      <c r="L941" s="4344"/>
      <c r="M941" s="1925" t="s">
        <v>3492</v>
      </c>
      <c r="N941" s="1923" t="s">
        <v>3493</v>
      </c>
      <c r="O941" s="1795"/>
      <c r="P941" s="1795">
        <f t="shared" ref="P941:Z941" si="104">P949+P951+P953+P955+P957+P959+P961+P963+P965+P967+P969+P971+P973+P975+P977+P979+P981+P983+P985+P987+P989+P991+P993</f>
        <v>29200</v>
      </c>
      <c r="Q941" s="1795">
        <f t="shared" si="104"/>
        <v>106600</v>
      </c>
      <c r="R941" s="1795">
        <f t="shared" si="104"/>
        <v>81499.100000000006</v>
      </c>
      <c r="S941" s="1795">
        <f t="shared" si="104"/>
        <v>282199.09999999998</v>
      </c>
      <c r="T941" s="1795">
        <f t="shared" si="104"/>
        <v>368099.1</v>
      </c>
      <c r="U941" s="1795">
        <f t="shared" si="104"/>
        <v>78199.100000000006</v>
      </c>
      <c r="V941" s="1795">
        <f t="shared" si="104"/>
        <v>450499.1</v>
      </c>
      <c r="W941" s="1795">
        <f t="shared" si="104"/>
        <v>77299.100000000006</v>
      </c>
      <c r="X941" s="1795">
        <f t="shared" si="104"/>
        <v>65799.100000000006</v>
      </c>
      <c r="Y941" s="1795">
        <f t="shared" si="104"/>
        <v>52799.100000000006</v>
      </c>
      <c r="Z941" s="352">
        <f t="shared" si="104"/>
        <v>315598.2</v>
      </c>
      <c r="AA941" s="1830">
        <f>SUM(P941:Z941)</f>
        <v>1907791.0000000002</v>
      </c>
    </row>
    <row r="942" spans="1:29" ht="33.75" x14ac:dyDescent="0.25">
      <c r="A942" s="2903"/>
      <c r="B942" s="4333"/>
      <c r="C942" s="3156"/>
      <c r="D942" s="4289"/>
      <c r="E942" s="4338"/>
      <c r="F942" s="4341"/>
      <c r="G942" s="4341"/>
      <c r="H942" s="4289"/>
      <c r="I942" s="4289"/>
      <c r="J942" s="4343"/>
      <c r="K942" s="4343"/>
      <c r="L942" s="4344"/>
      <c r="M942" s="307" t="s">
        <v>3492</v>
      </c>
      <c r="N942" s="1927" t="s">
        <v>553</v>
      </c>
      <c r="O942" s="1795">
        <f>AB942/12</f>
        <v>0</v>
      </c>
      <c r="P942" s="1795">
        <f>AB942/12</f>
        <v>0</v>
      </c>
      <c r="Q942" s="1795">
        <f>AB942/12</f>
        <v>0</v>
      </c>
      <c r="R942" s="1795">
        <f>AB942/12</f>
        <v>0</v>
      </c>
      <c r="S942" s="1795">
        <f>AB942/12</f>
        <v>0</v>
      </c>
      <c r="T942" s="1795">
        <f>AB942/12</f>
        <v>0</v>
      </c>
      <c r="U942" s="1795">
        <f>AB942/12</f>
        <v>0</v>
      </c>
      <c r="V942" s="1795">
        <f>AB942/12</f>
        <v>0</v>
      </c>
      <c r="W942" s="1795">
        <f>AB942/12</f>
        <v>0</v>
      </c>
      <c r="X942" s="1795">
        <f>AB942/12</f>
        <v>0</v>
      </c>
      <c r="Y942" s="1795">
        <f>AB942/12</f>
        <v>0</v>
      </c>
      <c r="Z942" s="352">
        <f>AB942/12</f>
        <v>0</v>
      </c>
      <c r="AA942" s="1830">
        <f t="shared" ref="AA942:AA947" si="105">SUM(O942:Z942)</f>
        <v>0</v>
      </c>
    </row>
    <row r="943" spans="1:29" ht="22.5" x14ac:dyDescent="0.25">
      <c r="A943" s="2903"/>
      <c r="B943" s="4333"/>
      <c r="C943" s="3156"/>
      <c r="D943" s="4289"/>
      <c r="E943" s="4338"/>
      <c r="F943" s="4341"/>
      <c r="G943" s="4341"/>
      <c r="H943" s="4289"/>
      <c r="I943" s="4289"/>
      <c r="J943" s="4343"/>
      <c r="K943" s="4343"/>
      <c r="L943" s="4344"/>
      <c r="M943" s="307" t="s">
        <v>3492</v>
      </c>
      <c r="N943" s="1927" t="s">
        <v>1371</v>
      </c>
      <c r="O943" s="1795">
        <f>0.09*O942</f>
        <v>0</v>
      </c>
      <c r="P943" s="1795">
        <f>0.09*P942</f>
        <v>0</v>
      </c>
      <c r="Q943" s="1795">
        <f>0.09*Q942</f>
        <v>0</v>
      </c>
      <c r="R943" s="1795">
        <f>0.09*R942</f>
        <v>0</v>
      </c>
      <c r="S943" s="1795">
        <f t="shared" ref="S943:Z943" si="106">0.09*S942</f>
        <v>0</v>
      </c>
      <c r="T943" s="1795">
        <f t="shared" si="106"/>
        <v>0</v>
      </c>
      <c r="U943" s="1795">
        <f t="shared" si="106"/>
        <v>0</v>
      </c>
      <c r="V943" s="1795">
        <f t="shared" si="106"/>
        <v>0</v>
      </c>
      <c r="W943" s="1795">
        <f t="shared" si="106"/>
        <v>0</v>
      </c>
      <c r="X943" s="1795">
        <f t="shared" si="106"/>
        <v>0</v>
      </c>
      <c r="Y943" s="1795">
        <f t="shared" si="106"/>
        <v>0</v>
      </c>
      <c r="Z943" s="352">
        <f t="shared" si="106"/>
        <v>0</v>
      </c>
      <c r="AA943" s="1830">
        <f t="shared" si="105"/>
        <v>0</v>
      </c>
    </row>
    <row r="944" spans="1:29" x14ac:dyDescent="0.25">
      <c r="A944" s="2903"/>
      <c r="B944" s="4333"/>
      <c r="C944" s="3156"/>
      <c r="D944" s="4289"/>
      <c r="E944" s="4338"/>
      <c r="F944" s="4341"/>
      <c r="G944" s="4341"/>
      <c r="H944" s="4289"/>
      <c r="I944" s="4289"/>
      <c r="J944" s="4343"/>
      <c r="K944" s="4343"/>
      <c r="L944" s="4344"/>
      <c r="M944" s="307" t="s">
        <v>3492</v>
      </c>
      <c r="N944" s="1927" t="s">
        <v>3494</v>
      </c>
      <c r="O944" s="1795"/>
      <c r="P944" s="1795">
        <v>8000</v>
      </c>
      <c r="Q944" s="1795"/>
      <c r="R944" s="1795"/>
      <c r="S944" s="1795"/>
      <c r="T944" s="1795"/>
      <c r="U944" s="1795"/>
      <c r="V944" s="1795"/>
      <c r="W944" s="1795"/>
      <c r="X944" s="1795"/>
      <c r="Y944" s="1795"/>
      <c r="Z944" s="352"/>
      <c r="AA944" s="1831">
        <f t="shared" si="105"/>
        <v>8000</v>
      </c>
    </row>
    <row r="945" spans="1:27" x14ac:dyDescent="0.25">
      <c r="A945" s="2903"/>
      <c r="B945" s="4333"/>
      <c r="C945" s="3156"/>
      <c r="D945" s="4289"/>
      <c r="E945" s="4338"/>
      <c r="F945" s="4341"/>
      <c r="G945" s="4341"/>
      <c r="H945" s="4289"/>
      <c r="I945" s="4289"/>
      <c r="J945" s="4343"/>
      <c r="K945" s="4343"/>
      <c r="L945" s="4344"/>
      <c r="M945" s="307" t="s">
        <v>3492</v>
      </c>
      <c r="N945" s="1927" t="s">
        <v>2554</v>
      </c>
      <c r="O945" s="1795"/>
      <c r="P945" s="1795">
        <v>30000</v>
      </c>
      <c r="Q945" s="1795"/>
      <c r="R945" s="1795"/>
      <c r="S945" s="1795"/>
      <c r="T945" s="1795"/>
      <c r="U945" s="1795"/>
      <c r="V945" s="1795"/>
      <c r="W945" s="1795"/>
      <c r="X945" s="1795"/>
      <c r="Y945" s="1795"/>
      <c r="Z945" s="352"/>
      <c r="AA945" s="1831">
        <f t="shared" si="105"/>
        <v>30000</v>
      </c>
    </row>
    <row r="946" spans="1:27" x14ac:dyDescent="0.25">
      <c r="A946" s="2903"/>
      <c r="B946" s="4334"/>
      <c r="C946" s="3157"/>
      <c r="D946" s="2358"/>
      <c r="E946" s="4339"/>
      <c r="F946" s="4342"/>
      <c r="G946" s="4342"/>
      <c r="H946" s="2358"/>
      <c r="I946" s="2358"/>
      <c r="J946" s="2356"/>
      <c r="K946" s="2356"/>
      <c r="L946" s="2963"/>
      <c r="M946" s="307" t="s">
        <v>3492</v>
      </c>
      <c r="N946" s="1927" t="s">
        <v>3495</v>
      </c>
      <c r="O946" s="1795"/>
      <c r="P946" s="1795">
        <v>1000</v>
      </c>
      <c r="Q946" s="1795">
        <v>2000</v>
      </c>
      <c r="R946" s="1795">
        <v>1000</v>
      </c>
      <c r="S946" s="1795">
        <v>2000</v>
      </c>
      <c r="T946" s="1795">
        <v>2000</v>
      </c>
      <c r="U946" s="1795">
        <v>500</v>
      </c>
      <c r="V946" s="1795">
        <v>1000</v>
      </c>
      <c r="W946" s="1795">
        <v>500</v>
      </c>
      <c r="X946" s="1795">
        <v>2000</v>
      </c>
      <c r="Y946" s="1795">
        <v>2000</v>
      </c>
      <c r="Z946" s="352">
        <v>500</v>
      </c>
      <c r="AA946" s="1831">
        <f t="shared" si="105"/>
        <v>14500</v>
      </c>
    </row>
    <row r="947" spans="1:27" ht="22.5" x14ac:dyDescent="0.25">
      <c r="A947" s="2903"/>
      <c r="B947" s="1774"/>
      <c r="C947" s="1774"/>
      <c r="D947" s="1728"/>
      <c r="E947" s="1789"/>
      <c r="F947" s="1774"/>
      <c r="G947" s="1774"/>
      <c r="H947" s="1728"/>
      <c r="I947" s="1728"/>
      <c r="J947" s="1776"/>
      <c r="K947" s="1776"/>
      <c r="L947" s="1790"/>
      <c r="M947" s="307" t="s">
        <v>3492</v>
      </c>
      <c r="N947" s="1927" t="s">
        <v>3496</v>
      </c>
      <c r="O947" s="1795"/>
      <c r="P947" s="1795">
        <v>3000</v>
      </c>
      <c r="Q947" s="1795">
        <v>3000</v>
      </c>
      <c r="R947" s="1795">
        <v>5000</v>
      </c>
      <c r="S947" s="1795">
        <v>5000</v>
      </c>
      <c r="T947" s="1795">
        <v>2000</v>
      </c>
      <c r="U947" s="1795">
        <v>2000</v>
      </c>
      <c r="V947" s="1795"/>
      <c r="W947" s="1795"/>
      <c r="X947" s="1795"/>
      <c r="Y947" s="1795"/>
      <c r="Z947" s="352"/>
      <c r="AA947" s="1831">
        <f t="shared" si="105"/>
        <v>20000</v>
      </c>
    </row>
    <row r="948" spans="1:27" x14ac:dyDescent="0.25">
      <c r="A948" s="2903"/>
      <c r="B948" s="4325"/>
      <c r="C948" s="2522" t="s">
        <v>3497</v>
      </c>
      <c r="D948" s="4327"/>
      <c r="E948" s="2353"/>
      <c r="F948" s="2353"/>
      <c r="G948" s="2353"/>
      <c r="H948" s="2353"/>
      <c r="I948" s="2353"/>
      <c r="J948" s="2353"/>
      <c r="K948" s="4286">
        <v>50000</v>
      </c>
      <c r="L948" s="2306"/>
      <c r="M948" s="3161" t="s">
        <v>51</v>
      </c>
      <c r="N948" s="3163"/>
      <c r="O948" s="1729"/>
      <c r="P948" s="1729">
        <v>30</v>
      </c>
      <c r="Q948" s="1729">
        <v>30</v>
      </c>
      <c r="R948" s="1729">
        <v>30</v>
      </c>
      <c r="S948" s="1729">
        <v>10</v>
      </c>
      <c r="T948" s="1729"/>
      <c r="U948" s="1729"/>
      <c r="V948" s="1729"/>
      <c r="W948" s="1729"/>
      <c r="X948" s="1729"/>
      <c r="Y948" s="1729"/>
      <c r="Z948" s="1729"/>
      <c r="AA948" s="1791">
        <f>SUM(N948:Z948)</f>
        <v>100</v>
      </c>
    </row>
    <row r="949" spans="1:27" ht="51" customHeight="1" x14ac:dyDescent="0.25">
      <c r="A949" s="2903"/>
      <c r="B949" s="4326"/>
      <c r="C949" s="2522"/>
      <c r="D949" s="4328"/>
      <c r="E949" s="2354"/>
      <c r="F949" s="2354"/>
      <c r="G949" s="2354"/>
      <c r="H949" s="2354"/>
      <c r="I949" s="2354"/>
      <c r="J949" s="2354"/>
      <c r="K949" s="4288"/>
      <c r="L949" s="2963"/>
      <c r="M949" s="2293" t="s">
        <v>111</v>
      </c>
      <c r="N949" s="2293"/>
      <c r="O949" s="481"/>
      <c r="P949" s="481"/>
      <c r="Q949" s="481"/>
      <c r="R949" s="481">
        <f>K948*0.3</f>
        <v>15000</v>
      </c>
      <c r="S949" s="481"/>
      <c r="T949" s="481">
        <f>K948*0.7</f>
        <v>35000</v>
      </c>
      <c r="U949" s="481"/>
      <c r="V949" s="481"/>
      <c r="W949" s="481"/>
      <c r="X949" s="481"/>
      <c r="Y949" s="481"/>
      <c r="Z949" s="481"/>
      <c r="AA949" s="352">
        <f>SUM(N949:Z949)</f>
        <v>50000</v>
      </c>
    </row>
    <row r="950" spans="1:27" x14ac:dyDescent="0.25">
      <c r="A950" s="513"/>
      <c r="B950" s="4312"/>
      <c r="C950" s="2522" t="s">
        <v>3498</v>
      </c>
      <c r="D950" s="4324"/>
      <c r="E950" s="2353"/>
      <c r="F950" s="2353"/>
      <c r="G950" s="2353"/>
      <c r="H950" s="4317"/>
      <c r="I950" s="4317"/>
      <c r="J950" s="4317"/>
      <c r="K950" s="4286">
        <v>3000</v>
      </c>
      <c r="L950" s="4317"/>
      <c r="M950" s="3161" t="s">
        <v>51</v>
      </c>
      <c r="N950" s="3162"/>
      <c r="O950" s="1726">
        <v>100</v>
      </c>
      <c r="P950" s="1726"/>
      <c r="Q950" s="1726"/>
      <c r="R950" s="1726"/>
      <c r="S950" s="1726"/>
      <c r="T950" s="1726"/>
      <c r="U950" s="1726"/>
      <c r="V950" s="1726"/>
      <c r="W950" s="1726"/>
      <c r="X950" s="1726"/>
      <c r="Y950" s="1726"/>
      <c r="Z950" s="1733"/>
      <c r="AA950" s="1733">
        <f>SUM(N950:Z950)</f>
        <v>100</v>
      </c>
    </row>
    <row r="951" spans="1:27" ht="53.25" customHeight="1" x14ac:dyDescent="0.25">
      <c r="A951" s="513"/>
      <c r="B951" s="4312"/>
      <c r="C951" s="2522"/>
      <c r="D951" s="4324"/>
      <c r="E951" s="4282"/>
      <c r="F951" s="4282"/>
      <c r="G951" s="4282"/>
      <c r="H951" s="4317"/>
      <c r="I951" s="4317"/>
      <c r="J951" s="4317"/>
      <c r="K951" s="4287"/>
      <c r="L951" s="4317"/>
      <c r="M951" s="2294" t="s">
        <v>111</v>
      </c>
      <c r="N951" s="2295"/>
      <c r="O951" s="481"/>
      <c r="P951" s="481">
        <v>3000</v>
      </c>
      <c r="Q951" s="481"/>
      <c r="R951" s="481"/>
      <c r="S951" s="481"/>
      <c r="T951" s="481"/>
      <c r="U951" s="481"/>
      <c r="V951" s="481"/>
      <c r="W951" s="481"/>
      <c r="X951" s="481"/>
      <c r="Y951" s="481"/>
      <c r="Z951" s="352"/>
      <c r="AA951" s="352">
        <f>SUM(N951:Z951)</f>
        <v>3000</v>
      </c>
    </row>
    <row r="952" spans="1:27" x14ac:dyDescent="0.25">
      <c r="A952" s="513"/>
      <c r="B952" s="4312"/>
      <c r="C952" s="2522" t="s">
        <v>3499</v>
      </c>
      <c r="D952" s="4324"/>
      <c r="E952" s="2353"/>
      <c r="F952" s="2353"/>
      <c r="G952" s="2353"/>
      <c r="H952" s="4317"/>
      <c r="I952" s="4317"/>
      <c r="J952" s="4317"/>
      <c r="K952" s="4286">
        <v>5000</v>
      </c>
      <c r="L952" s="4317"/>
      <c r="M952" s="2294" t="s">
        <v>51</v>
      </c>
      <c r="N952" s="2295"/>
      <c r="O952" s="481"/>
      <c r="P952" s="481"/>
      <c r="Q952" s="481"/>
      <c r="R952" s="481">
        <v>50</v>
      </c>
      <c r="S952" s="481">
        <v>50</v>
      </c>
      <c r="T952" s="481"/>
      <c r="U952" s="481"/>
      <c r="V952" s="481"/>
      <c r="W952" s="481"/>
      <c r="X952" s="481"/>
      <c r="Y952" s="481"/>
      <c r="Z952" s="352"/>
      <c r="AA952" s="352">
        <f>SUM(P952:Z952)</f>
        <v>100</v>
      </c>
    </row>
    <row r="953" spans="1:27" ht="62.25" customHeight="1" x14ac:dyDescent="0.25">
      <c r="A953" s="513"/>
      <c r="B953" s="4312"/>
      <c r="C953" s="2522"/>
      <c r="D953" s="4324"/>
      <c r="E953" s="4282"/>
      <c r="F953" s="4282"/>
      <c r="G953" s="4282"/>
      <c r="H953" s="4317"/>
      <c r="I953" s="4317"/>
      <c r="J953" s="4317"/>
      <c r="K953" s="4287"/>
      <c r="L953" s="4317"/>
      <c r="M953" s="2294" t="s">
        <v>111</v>
      </c>
      <c r="N953" s="2295"/>
      <c r="O953" s="481"/>
      <c r="P953" s="481"/>
      <c r="Q953" s="481"/>
      <c r="R953" s="481"/>
      <c r="S953" s="481">
        <v>5000</v>
      </c>
      <c r="T953" s="481"/>
      <c r="U953" s="481"/>
      <c r="V953" s="481"/>
      <c r="W953" s="481"/>
      <c r="X953" s="481"/>
      <c r="Y953" s="481"/>
      <c r="Z953" s="352"/>
      <c r="AA953" s="352">
        <f>SUM(P953:Z953)</f>
        <v>5000</v>
      </c>
    </row>
    <row r="954" spans="1:27" x14ac:dyDescent="0.25">
      <c r="A954" s="513"/>
      <c r="B954" s="4312"/>
      <c r="C954" s="2522" t="s">
        <v>3500</v>
      </c>
      <c r="D954" s="4324"/>
      <c r="E954" s="2353"/>
      <c r="F954" s="2353"/>
      <c r="G954" s="2353"/>
      <c r="H954" s="4317"/>
      <c r="I954" s="4317"/>
      <c r="J954" s="4317"/>
      <c r="K954" s="4286">
        <v>65000</v>
      </c>
      <c r="L954" s="4317"/>
      <c r="M954" s="2294" t="s">
        <v>51</v>
      </c>
      <c r="N954" s="2295"/>
      <c r="O954" s="481"/>
      <c r="P954" s="481"/>
      <c r="Q954" s="481">
        <v>15</v>
      </c>
      <c r="R954" s="481">
        <v>15</v>
      </c>
      <c r="S954" s="481">
        <v>15</v>
      </c>
      <c r="T954" s="481">
        <v>15</v>
      </c>
      <c r="U954" s="481">
        <v>15</v>
      </c>
      <c r="V954" s="481">
        <v>15</v>
      </c>
      <c r="W954" s="481">
        <v>10</v>
      </c>
      <c r="X954" s="481"/>
      <c r="Y954" s="481"/>
      <c r="Z954" s="352"/>
      <c r="AA954" s="352">
        <f>SUM(P954:Z954)</f>
        <v>100</v>
      </c>
    </row>
    <row r="955" spans="1:27" ht="42" customHeight="1" x14ac:dyDescent="0.25">
      <c r="A955" s="513"/>
      <c r="B955" s="4312"/>
      <c r="C955" s="2522"/>
      <c r="D955" s="4324"/>
      <c r="E955" s="4282"/>
      <c r="F955" s="4282"/>
      <c r="G955" s="4282"/>
      <c r="H955" s="4317"/>
      <c r="I955" s="4317"/>
      <c r="J955" s="4317"/>
      <c r="K955" s="4287"/>
      <c r="L955" s="4317"/>
      <c r="M955" s="2294" t="s">
        <v>111</v>
      </c>
      <c r="N955" s="2295"/>
      <c r="O955" s="481"/>
      <c r="P955" s="481"/>
      <c r="Q955" s="481"/>
      <c r="R955" s="481"/>
      <c r="S955" s="481"/>
      <c r="T955" s="481">
        <f>K954*0.4</f>
        <v>26000</v>
      </c>
      <c r="U955" s="481"/>
      <c r="V955" s="481">
        <f>K954*0.4</f>
        <v>26000</v>
      </c>
      <c r="W955" s="481"/>
      <c r="X955" s="481">
        <f>K954*0.2</f>
        <v>13000</v>
      </c>
      <c r="Y955" s="481"/>
      <c r="Z955" s="352"/>
      <c r="AA955" s="352">
        <f>SUM(N955:Z955)</f>
        <v>65000</v>
      </c>
    </row>
    <row r="956" spans="1:27" x14ac:dyDescent="0.25">
      <c r="A956" s="513"/>
      <c r="B956" s="4312"/>
      <c r="C956" s="2522" t="s">
        <v>3501</v>
      </c>
      <c r="D956" s="4324"/>
      <c r="E956" s="4317"/>
      <c r="F956" s="4317"/>
      <c r="G956" s="4317"/>
      <c r="H956" s="4317"/>
      <c r="I956" s="4317"/>
      <c r="J956" s="4317"/>
      <c r="K956" s="4286">
        <v>40000</v>
      </c>
      <c r="L956" s="4317"/>
      <c r="M956" s="2294" t="s">
        <v>51</v>
      </c>
      <c r="N956" s="2295"/>
      <c r="O956" s="481"/>
      <c r="P956" s="481">
        <v>30</v>
      </c>
      <c r="Q956" s="481">
        <v>30</v>
      </c>
      <c r="R956" s="481">
        <v>30</v>
      </c>
      <c r="S956" s="481">
        <v>10</v>
      </c>
      <c r="T956" s="481"/>
      <c r="U956" s="481"/>
      <c r="V956" s="481"/>
      <c r="W956" s="481"/>
      <c r="X956" s="481"/>
      <c r="Y956" s="481"/>
      <c r="Z956" s="352"/>
      <c r="AA956" s="352">
        <f>SUM(P956:Z956)</f>
        <v>100</v>
      </c>
    </row>
    <row r="957" spans="1:27" ht="60.75" customHeight="1" x14ac:dyDescent="0.25">
      <c r="A957" s="513"/>
      <c r="B957" s="4312"/>
      <c r="C957" s="2522"/>
      <c r="D957" s="4324"/>
      <c r="E957" s="4317"/>
      <c r="F957" s="4317"/>
      <c r="G957" s="4317"/>
      <c r="H957" s="4317"/>
      <c r="I957" s="4317"/>
      <c r="J957" s="4317"/>
      <c r="K957" s="4287"/>
      <c r="L957" s="4317"/>
      <c r="M957" s="2294" t="s">
        <v>111</v>
      </c>
      <c r="N957" s="2295"/>
      <c r="O957" s="481"/>
      <c r="P957" s="481"/>
      <c r="Q957" s="481">
        <f>K956*0.4</f>
        <v>16000</v>
      </c>
      <c r="R957" s="481"/>
      <c r="S957" s="481"/>
      <c r="T957" s="481">
        <f>K956*0.4</f>
        <v>16000</v>
      </c>
      <c r="U957" s="481">
        <f>K956*0.2</f>
        <v>8000</v>
      </c>
      <c r="V957" s="481"/>
      <c r="W957" s="481"/>
      <c r="X957" s="481"/>
      <c r="Y957" s="481"/>
      <c r="Z957" s="352"/>
      <c r="AA957" s="352">
        <f>SUM(N957:Z957)</f>
        <v>40000</v>
      </c>
    </row>
    <row r="958" spans="1:27" x14ac:dyDescent="0.25">
      <c r="A958" s="513"/>
      <c r="B958" s="4312"/>
      <c r="C958" s="2522" t="s">
        <v>3502</v>
      </c>
      <c r="D958" s="4315"/>
      <c r="E958" s="4317"/>
      <c r="F958" s="4317"/>
      <c r="G958" s="4317"/>
      <c r="H958" s="4317"/>
      <c r="I958" s="4317"/>
      <c r="J958" s="4317"/>
      <c r="K958" s="4286">
        <v>11000</v>
      </c>
      <c r="L958" s="4317"/>
      <c r="M958" s="2294" t="s">
        <v>51</v>
      </c>
      <c r="N958" s="2295"/>
      <c r="O958" s="481"/>
      <c r="P958" s="481">
        <v>50</v>
      </c>
      <c r="Q958" s="481">
        <v>50</v>
      </c>
      <c r="R958" s="481"/>
      <c r="S958" s="481"/>
      <c r="T958" s="481"/>
      <c r="U958" s="481"/>
      <c r="V958" s="481"/>
      <c r="W958" s="481"/>
      <c r="X958" s="481"/>
      <c r="Y958" s="481"/>
      <c r="Z958" s="352"/>
      <c r="AA958" s="352">
        <f>SUM(P958:Z958)</f>
        <v>100</v>
      </c>
    </row>
    <row r="959" spans="1:27" ht="66.75" customHeight="1" x14ac:dyDescent="0.25">
      <c r="A959" s="513"/>
      <c r="B959" s="4312"/>
      <c r="C959" s="2522"/>
      <c r="D959" s="4315"/>
      <c r="E959" s="4317"/>
      <c r="F959" s="4317"/>
      <c r="G959" s="4317"/>
      <c r="H959" s="4317"/>
      <c r="I959" s="4317"/>
      <c r="J959" s="4317"/>
      <c r="K959" s="4287"/>
      <c r="L959" s="4317"/>
      <c r="M959" s="2294" t="s">
        <v>111</v>
      </c>
      <c r="N959" s="2295"/>
      <c r="O959" s="481"/>
      <c r="P959" s="481">
        <f>K958*0.4</f>
        <v>4400</v>
      </c>
      <c r="Q959" s="481">
        <f>K958*0.6</f>
        <v>6600</v>
      </c>
      <c r="R959" s="481"/>
      <c r="S959" s="481"/>
      <c r="T959" s="481"/>
      <c r="U959" s="481"/>
      <c r="V959" s="481">
        <v>0</v>
      </c>
      <c r="W959" s="481"/>
      <c r="X959" s="481"/>
      <c r="Y959" s="481"/>
      <c r="Z959" s="352"/>
      <c r="AA959" s="352">
        <f>SUM(N959:Z959)</f>
        <v>11000</v>
      </c>
    </row>
    <row r="960" spans="1:27" x14ac:dyDescent="0.25">
      <c r="A960" s="513"/>
      <c r="B960" s="4312"/>
      <c r="C960" s="4314" t="s">
        <v>3503</v>
      </c>
      <c r="D960" s="4315"/>
      <c r="E960" s="4317"/>
      <c r="F960" s="4317"/>
      <c r="G960" s="4317"/>
      <c r="H960" s="4317"/>
      <c r="I960" s="4317"/>
      <c r="J960" s="4317"/>
      <c r="K960" s="4286">
        <v>168000</v>
      </c>
      <c r="L960" s="4317"/>
      <c r="M960" s="2294" t="s">
        <v>51</v>
      </c>
      <c r="N960" s="2295"/>
      <c r="O960" s="481"/>
      <c r="P960" s="481"/>
      <c r="Q960" s="481"/>
      <c r="R960" s="481">
        <v>20</v>
      </c>
      <c r="S960" s="481">
        <v>20</v>
      </c>
      <c r="T960" s="481">
        <v>20</v>
      </c>
      <c r="U960" s="481">
        <v>30</v>
      </c>
      <c r="V960" s="481">
        <v>10</v>
      </c>
      <c r="W960" s="481"/>
      <c r="X960" s="481"/>
      <c r="Y960" s="481"/>
      <c r="Z960" s="352"/>
      <c r="AA960" s="352">
        <f t="shared" ref="AA960:AA976" si="107">SUM(P960:Z960)</f>
        <v>100</v>
      </c>
    </row>
    <row r="961" spans="1:27" ht="53.25" customHeight="1" x14ac:dyDescent="0.25">
      <c r="A961" s="513"/>
      <c r="B961" s="4312"/>
      <c r="C961" s="4314"/>
      <c r="D961" s="4315"/>
      <c r="E961" s="4317"/>
      <c r="F961" s="4317"/>
      <c r="G961" s="4317"/>
      <c r="H961" s="4317"/>
      <c r="I961" s="4317"/>
      <c r="J961" s="4317"/>
      <c r="K961" s="4287"/>
      <c r="L961" s="4317"/>
      <c r="M961" s="2294" t="s">
        <v>111</v>
      </c>
      <c r="N961" s="2295"/>
      <c r="O961" s="481"/>
      <c r="P961" s="481"/>
      <c r="Q961" s="481"/>
      <c r="R961" s="481"/>
      <c r="S961" s="481">
        <f>K960*0.4</f>
        <v>67200</v>
      </c>
      <c r="T961" s="481"/>
      <c r="U961" s="481"/>
      <c r="V961" s="481">
        <f>K960*0.6</f>
        <v>100800</v>
      </c>
      <c r="W961" s="481"/>
      <c r="X961" s="481"/>
      <c r="Y961" s="481"/>
      <c r="Z961" s="352"/>
      <c r="AA961" s="352">
        <f>SUM(N961:Z961)</f>
        <v>168000</v>
      </c>
    </row>
    <row r="962" spans="1:27" x14ac:dyDescent="0.25">
      <c r="A962" s="513"/>
      <c r="B962" s="4312"/>
      <c r="C962" s="4314" t="s">
        <v>3504</v>
      </c>
      <c r="D962" s="4315"/>
      <c r="E962" s="4317"/>
      <c r="F962" s="4317"/>
      <c r="G962" s="4317"/>
      <c r="H962" s="4317"/>
      <c r="I962" s="4317"/>
      <c r="J962" s="4317"/>
      <c r="K962" s="4286">
        <v>165000</v>
      </c>
      <c r="L962" s="4317"/>
      <c r="M962" s="2294" t="s">
        <v>51</v>
      </c>
      <c r="N962" s="2295"/>
      <c r="O962" s="481"/>
      <c r="P962" s="481"/>
      <c r="Q962" s="481"/>
      <c r="R962" s="481">
        <v>20</v>
      </c>
      <c r="S962" s="481">
        <v>20</v>
      </c>
      <c r="T962" s="481">
        <v>20</v>
      </c>
      <c r="U962" s="481">
        <v>30</v>
      </c>
      <c r="V962" s="481">
        <v>10</v>
      </c>
      <c r="W962" s="481"/>
      <c r="X962" s="481"/>
      <c r="Y962" s="481"/>
      <c r="Z962" s="352"/>
      <c r="AA962" s="352">
        <f t="shared" si="107"/>
        <v>100</v>
      </c>
    </row>
    <row r="963" spans="1:27" ht="51" customHeight="1" x14ac:dyDescent="0.25">
      <c r="A963" s="513"/>
      <c r="B963" s="4312"/>
      <c r="C963" s="4314"/>
      <c r="D963" s="4315"/>
      <c r="E963" s="4317"/>
      <c r="F963" s="4317"/>
      <c r="G963" s="4317"/>
      <c r="H963" s="4317"/>
      <c r="I963" s="4317"/>
      <c r="J963" s="4317"/>
      <c r="K963" s="4287"/>
      <c r="L963" s="4317"/>
      <c r="M963" s="2294" t="s">
        <v>111</v>
      </c>
      <c r="N963" s="2295"/>
      <c r="O963" s="481"/>
      <c r="P963" s="481"/>
      <c r="Q963" s="481"/>
      <c r="R963" s="481"/>
      <c r="S963" s="481">
        <f>K962*0.4</f>
        <v>66000</v>
      </c>
      <c r="T963" s="481"/>
      <c r="U963" s="481"/>
      <c r="V963" s="481">
        <f>K962*0.6</f>
        <v>99000</v>
      </c>
      <c r="W963" s="481"/>
      <c r="X963" s="481"/>
      <c r="Y963" s="481"/>
      <c r="Z963" s="352"/>
      <c r="AA963" s="352">
        <f>SUM(N963:Z963)</f>
        <v>165000</v>
      </c>
    </row>
    <row r="964" spans="1:27" x14ac:dyDescent="0.25">
      <c r="A964" s="513"/>
      <c r="B964" s="4312"/>
      <c r="C964" s="4314" t="s">
        <v>3505</v>
      </c>
      <c r="D964" s="4315"/>
      <c r="E964" s="4317"/>
      <c r="F964" s="4317"/>
      <c r="G964" s="4317"/>
      <c r="H964" s="4317"/>
      <c r="I964" s="4317"/>
      <c r="J964" s="4317"/>
      <c r="K964" s="4286">
        <v>170000</v>
      </c>
      <c r="L964" s="4317"/>
      <c r="M964" s="2294" t="s">
        <v>51</v>
      </c>
      <c r="N964" s="2295"/>
      <c r="O964" s="481"/>
      <c r="P964" s="481"/>
      <c r="Q964" s="481"/>
      <c r="R964" s="481">
        <v>20</v>
      </c>
      <c r="S964" s="481">
        <v>20</v>
      </c>
      <c r="T964" s="481">
        <v>20</v>
      </c>
      <c r="U964" s="481">
        <v>30</v>
      </c>
      <c r="V964" s="481">
        <v>10</v>
      </c>
      <c r="W964" s="481"/>
      <c r="X964" s="481"/>
      <c r="Y964" s="481"/>
      <c r="Z964" s="352"/>
      <c r="AA964" s="352">
        <f t="shared" si="107"/>
        <v>100</v>
      </c>
    </row>
    <row r="965" spans="1:27" ht="73.5" customHeight="1" x14ac:dyDescent="0.25">
      <c r="A965" s="513"/>
      <c r="B965" s="4312"/>
      <c r="C965" s="4314"/>
      <c r="D965" s="4315"/>
      <c r="E965" s="4317"/>
      <c r="F965" s="4317"/>
      <c r="G965" s="4317"/>
      <c r="H965" s="4317"/>
      <c r="I965" s="4317"/>
      <c r="J965" s="4317"/>
      <c r="K965" s="4287"/>
      <c r="L965" s="4317"/>
      <c r="M965" s="2294" t="s">
        <v>111</v>
      </c>
      <c r="N965" s="2295"/>
      <c r="O965" s="481"/>
      <c r="P965" s="481"/>
      <c r="Q965" s="481"/>
      <c r="R965" s="481"/>
      <c r="S965" s="481">
        <f>K964*0.4</f>
        <v>68000</v>
      </c>
      <c r="T965" s="481"/>
      <c r="U965" s="481"/>
      <c r="V965" s="481">
        <f>K964*0.6</f>
        <v>102000</v>
      </c>
      <c r="W965" s="481"/>
      <c r="X965" s="481"/>
      <c r="Y965" s="481"/>
      <c r="Z965" s="352"/>
      <c r="AA965" s="352">
        <f t="shared" si="107"/>
        <v>170000</v>
      </c>
    </row>
    <row r="966" spans="1:27" x14ac:dyDescent="0.25">
      <c r="A966" s="513"/>
      <c r="B966" s="4312"/>
      <c r="C966" s="4314" t="s">
        <v>3506</v>
      </c>
      <c r="D966" s="4315"/>
      <c r="E966" s="4317"/>
      <c r="F966" s="4317"/>
      <c r="G966" s="4317"/>
      <c r="H966" s="4317"/>
      <c r="I966" s="4317"/>
      <c r="J966" s="4317"/>
      <c r="K966" s="4286">
        <v>7800</v>
      </c>
      <c r="L966" s="4317"/>
      <c r="M966" s="2294" t="s">
        <v>51</v>
      </c>
      <c r="N966" s="2295"/>
      <c r="O966" s="481">
        <v>100</v>
      </c>
      <c r="P966" s="481"/>
      <c r="Q966" s="481"/>
      <c r="R966" s="481"/>
      <c r="S966" s="481"/>
      <c r="T966" s="481"/>
      <c r="U966" s="481"/>
      <c r="V966" s="481"/>
      <c r="W966" s="481"/>
      <c r="X966" s="481"/>
      <c r="Y966" s="481"/>
      <c r="Z966" s="352"/>
      <c r="AA966" s="352">
        <f>SUM(N966:Z966)</f>
        <v>100</v>
      </c>
    </row>
    <row r="967" spans="1:27" ht="65.25" customHeight="1" x14ac:dyDescent="0.25">
      <c r="A967" s="513"/>
      <c r="B967" s="4312"/>
      <c r="C967" s="4314"/>
      <c r="D967" s="4315"/>
      <c r="E967" s="4317"/>
      <c r="F967" s="4317"/>
      <c r="G967" s="4317"/>
      <c r="H967" s="4317"/>
      <c r="I967" s="4317"/>
      <c r="J967" s="4317"/>
      <c r="K967" s="4287"/>
      <c r="L967" s="4317"/>
      <c r="M967" s="2294" t="s">
        <v>111</v>
      </c>
      <c r="N967" s="2295"/>
      <c r="O967" s="481"/>
      <c r="P967" s="481">
        <v>7800</v>
      </c>
      <c r="Q967" s="481"/>
      <c r="R967" s="481"/>
      <c r="S967" s="481"/>
      <c r="T967" s="481"/>
      <c r="U967" s="481"/>
      <c r="V967" s="481"/>
      <c r="W967" s="481"/>
      <c r="X967" s="481"/>
      <c r="Y967" s="481"/>
      <c r="Z967" s="352"/>
      <c r="AA967" s="352">
        <f t="shared" si="107"/>
        <v>7800</v>
      </c>
    </row>
    <row r="968" spans="1:27" x14ac:dyDescent="0.25">
      <c r="A968" s="513"/>
      <c r="B968" s="4312"/>
      <c r="C968" s="2522" t="s">
        <v>3507</v>
      </c>
      <c r="D968" s="4315"/>
      <c r="E968" s="4317"/>
      <c r="F968" s="4317"/>
      <c r="G968" s="4317"/>
      <c r="H968" s="4317"/>
      <c r="I968" s="4317"/>
      <c r="J968" s="4317"/>
      <c r="K968" s="4286">
        <v>3000</v>
      </c>
      <c r="L968" s="4317"/>
      <c r="M968" s="2294" t="s">
        <v>51</v>
      </c>
      <c r="N968" s="2295"/>
      <c r="O968" s="481">
        <v>50</v>
      </c>
      <c r="P968" s="481">
        <v>50</v>
      </c>
      <c r="Q968" s="481"/>
      <c r="R968" s="481"/>
      <c r="S968" s="481"/>
      <c r="T968" s="481"/>
      <c r="U968" s="481"/>
      <c r="V968" s="481"/>
      <c r="W968" s="481"/>
      <c r="X968" s="481"/>
      <c r="Y968" s="481"/>
      <c r="Z968" s="352"/>
      <c r="AA968" s="352">
        <f>SUM(N968:Z968)</f>
        <v>100</v>
      </c>
    </row>
    <row r="969" spans="1:27" ht="42" customHeight="1" x14ac:dyDescent="0.25">
      <c r="A969" s="513"/>
      <c r="B969" s="4312"/>
      <c r="C969" s="2522"/>
      <c r="D969" s="4315"/>
      <c r="E969" s="4317"/>
      <c r="F969" s="4317"/>
      <c r="G969" s="4317"/>
      <c r="H969" s="4317"/>
      <c r="I969" s="4317"/>
      <c r="J969" s="4317"/>
      <c r="K969" s="4287"/>
      <c r="L969" s="4317"/>
      <c r="M969" s="2294" t="s">
        <v>111</v>
      </c>
      <c r="N969" s="2295"/>
      <c r="O969" s="481"/>
      <c r="P969" s="481">
        <v>3000</v>
      </c>
      <c r="Q969" s="481"/>
      <c r="R969" s="481"/>
      <c r="S969" s="481"/>
      <c r="T969" s="481"/>
      <c r="U969" s="481"/>
      <c r="V969" s="481"/>
      <c r="W969" s="481"/>
      <c r="X969" s="481"/>
      <c r="Y969" s="481"/>
      <c r="Z969" s="352"/>
      <c r="AA969" s="352">
        <f t="shared" si="107"/>
        <v>3000</v>
      </c>
    </row>
    <row r="970" spans="1:27" x14ac:dyDescent="0.25">
      <c r="A970" s="513"/>
      <c r="B970" s="4312"/>
      <c r="C970" s="2522" t="s">
        <v>3508</v>
      </c>
      <c r="D970" s="4315"/>
      <c r="E970" s="4317"/>
      <c r="F970" s="4317"/>
      <c r="G970" s="4317"/>
      <c r="H970" s="4317"/>
      <c r="I970" s="4317"/>
      <c r="J970" s="4317"/>
      <c r="K970" s="4286">
        <v>29000</v>
      </c>
      <c r="L970" s="4317"/>
      <c r="M970" s="2294" t="s">
        <v>51</v>
      </c>
      <c r="N970" s="2295"/>
      <c r="O970" s="481"/>
      <c r="P970" s="481"/>
      <c r="Q970" s="481">
        <v>30</v>
      </c>
      <c r="R970" s="481">
        <v>30</v>
      </c>
      <c r="S970" s="481">
        <v>30</v>
      </c>
      <c r="T970" s="481">
        <v>30</v>
      </c>
      <c r="U970" s="481">
        <v>10</v>
      </c>
      <c r="V970" s="481"/>
      <c r="W970" s="481"/>
      <c r="X970" s="481"/>
      <c r="Y970" s="481"/>
      <c r="Z970" s="352"/>
      <c r="AA970" s="352">
        <f t="shared" si="107"/>
        <v>130</v>
      </c>
    </row>
    <row r="971" spans="1:27" ht="60.75" customHeight="1" x14ac:dyDescent="0.25">
      <c r="A971" s="513"/>
      <c r="B971" s="4312"/>
      <c r="C971" s="2522"/>
      <c r="D971" s="4315"/>
      <c r="E971" s="4317"/>
      <c r="F971" s="4317"/>
      <c r="G971" s="4317"/>
      <c r="H971" s="4317"/>
      <c r="I971" s="4317"/>
      <c r="J971" s="4317"/>
      <c r="K971" s="4287"/>
      <c r="L971" s="4317"/>
      <c r="M971" s="2294" t="s">
        <v>111</v>
      </c>
      <c r="N971" s="2295"/>
      <c r="O971" s="481"/>
      <c r="P971" s="481"/>
      <c r="Q971" s="481"/>
      <c r="R971" s="481"/>
      <c r="S971" s="481">
        <f>K970*0.4</f>
        <v>11600</v>
      </c>
      <c r="T971" s="481"/>
      <c r="U971" s="481"/>
      <c r="V971" s="481">
        <f>K970*0.6</f>
        <v>17400</v>
      </c>
      <c r="W971" s="481"/>
      <c r="X971" s="481"/>
      <c r="Y971" s="481"/>
      <c r="Z971" s="352"/>
      <c r="AA971" s="352">
        <f t="shared" si="107"/>
        <v>29000</v>
      </c>
    </row>
    <row r="972" spans="1:27" x14ac:dyDescent="0.25">
      <c r="A972" s="513"/>
      <c r="B972" s="4313"/>
      <c r="C972" s="2522" t="s">
        <v>3509</v>
      </c>
      <c r="D972" s="4316"/>
      <c r="E972" s="4310"/>
      <c r="F972" s="4310"/>
      <c r="G972" s="4310"/>
      <c r="H972" s="4310"/>
      <c r="I972" s="4310"/>
      <c r="J972" s="4310"/>
      <c r="K972" s="4286">
        <v>6000</v>
      </c>
      <c r="L972" s="4310"/>
      <c r="M972" s="2294" t="s">
        <v>51</v>
      </c>
      <c r="N972" s="2966"/>
      <c r="O972" s="481">
        <v>100</v>
      </c>
      <c r="P972" s="481"/>
      <c r="Q972" s="481"/>
      <c r="R972" s="481"/>
      <c r="S972" s="481"/>
      <c r="T972" s="481"/>
      <c r="U972" s="481"/>
      <c r="V972" s="481"/>
      <c r="W972" s="481"/>
      <c r="X972" s="481"/>
      <c r="Y972" s="481"/>
      <c r="Z972" s="352"/>
      <c r="AA972" s="352">
        <f>SUM(N972:Z972)</f>
        <v>100</v>
      </c>
    </row>
    <row r="973" spans="1:27" ht="105.75" customHeight="1" x14ac:dyDescent="0.25">
      <c r="A973" s="513"/>
      <c r="B973" s="4321"/>
      <c r="C973" s="2522"/>
      <c r="D973" s="4322"/>
      <c r="E973" s="4323"/>
      <c r="F973" s="4323"/>
      <c r="G973" s="4323"/>
      <c r="H973" s="4323"/>
      <c r="I973" s="4323"/>
      <c r="J973" s="4323"/>
      <c r="K973" s="4287"/>
      <c r="L973" s="4323"/>
      <c r="M973" s="2294" t="s">
        <v>111</v>
      </c>
      <c r="N973" s="2966"/>
      <c r="O973" s="481"/>
      <c r="P973" s="481">
        <v>6000</v>
      </c>
      <c r="Q973" s="481"/>
      <c r="R973" s="481"/>
      <c r="S973" s="481"/>
      <c r="T973" s="481"/>
      <c r="U973" s="481"/>
      <c r="V973" s="481"/>
      <c r="W973" s="481"/>
      <c r="X973" s="481"/>
      <c r="Y973" s="481"/>
      <c r="Z973" s="352"/>
      <c r="AA973" s="352">
        <f t="shared" si="107"/>
        <v>6000</v>
      </c>
    </row>
    <row r="974" spans="1:27" x14ac:dyDescent="0.25">
      <c r="A974" s="513"/>
      <c r="B974" s="4312"/>
      <c r="C974" s="4314" t="s">
        <v>3510</v>
      </c>
      <c r="D974" s="4315"/>
      <c r="E974" s="4317"/>
      <c r="F974" s="4317"/>
      <c r="G974" s="4317"/>
      <c r="H974" s="4317"/>
      <c r="I974" s="4317"/>
      <c r="J974" s="4317"/>
      <c r="K974" s="4286">
        <v>5000</v>
      </c>
      <c r="L974" s="4317"/>
      <c r="M974" s="2294" t="s">
        <v>51</v>
      </c>
      <c r="N974" s="2295"/>
      <c r="O974" s="481">
        <v>50</v>
      </c>
      <c r="P974" s="481">
        <v>50</v>
      </c>
      <c r="Q974" s="481"/>
      <c r="R974" s="481"/>
      <c r="S974" s="481"/>
      <c r="T974" s="481"/>
      <c r="U974" s="481"/>
      <c r="V974" s="481"/>
      <c r="W974" s="481"/>
      <c r="X974" s="481"/>
      <c r="Y974" s="481"/>
      <c r="Z974" s="352"/>
      <c r="AA974" s="352">
        <f>SUM(N974:Z974)</f>
        <v>100</v>
      </c>
    </row>
    <row r="975" spans="1:27" ht="60" customHeight="1" x14ac:dyDescent="0.25">
      <c r="A975" s="513"/>
      <c r="B975" s="4312"/>
      <c r="C975" s="4314"/>
      <c r="D975" s="4315"/>
      <c r="E975" s="4317"/>
      <c r="F975" s="4317"/>
      <c r="G975" s="4317"/>
      <c r="H975" s="4317"/>
      <c r="I975" s="4317"/>
      <c r="J975" s="4317"/>
      <c r="K975" s="4287"/>
      <c r="L975" s="4317"/>
      <c r="M975" s="2294" t="s">
        <v>111</v>
      </c>
      <c r="N975" s="2295"/>
      <c r="O975" s="481"/>
      <c r="P975" s="481">
        <v>5000</v>
      </c>
      <c r="Q975" s="481"/>
      <c r="R975" s="481"/>
      <c r="S975" s="481"/>
      <c r="T975" s="481"/>
      <c r="U975" s="481"/>
      <c r="V975" s="481"/>
      <c r="W975" s="481"/>
      <c r="X975" s="481"/>
      <c r="Y975" s="481"/>
      <c r="Z975" s="352"/>
      <c r="AA975" s="352">
        <f t="shared" si="107"/>
        <v>5000</v>
      </c>
    </row>
    <row r="976" spans="1:27" x14ac:dyDescent="0.25">
      <c r="A976" s="513"/>
      <c r="B976" s="4312"/>
      <c r="C976" s="4314" t="s">
        <v>3511</v>
      </c>
      <c r="D976" s="4315"/>
      <c r="E976" s="4317"/>
      <c r="F976" s="4317"/>
      <c r="G976" s="4317"/>
      <c r="H976" s="4317"/>
      <c r="I976" s="4317"/>
      <c r="J976" s="4317"/>
      <c r="K976" s="4286">
        <v>8000</v>
      </c>
      <c r="L976" s="4317"/>
      <c r="M976" s="2294" t="s">
        <v>51</v>
      </c>
      <c r="N976" s="2295"/>
      <c r="O976" s="481"/>
      <c r="P976" s="481">
        <v>30</v>
      </c>
      <c r="Q976" s="481">
        <v>30</v>
      </c>
      <c r="R976" s="481">
        <v>30</v>
      </c>
      <c r="S976" s="481">
        <v>10</v>
      </c>
      <c r="T976" s="481"/>
      <c r="U976" s="481"/>
      <c r="V976" s="481"/>
      <c r="W976" s="481"/>
      <c r="X976" s="481"/>
      <c r="Y976" s="481"/>
      <c r="Z976" s="352"/>
      <c r="AA976" s="352">
        <f t="shared" si="107"/>
        <v>100</v>
      </c>
    </row>
    <row r="977" spans="1:27" ht="51" customHeight="1" x14ac:dyDescent="0.25">
      <c r="A977" s="513"/>
      <c r="B977" s="4312"/>
      <c r="C977" s="4314"/>
      <c r="D977" s="4315"/>
      <c r="E977" s="4317"/>
      <c r="F977" s="4317"/>
      <c r="G977" s="4317"/>
      <c r="H977" s="4317"/>
      <c r="I977" s="4317"/>
      <c r="J977" s="4317"/>
      <c r="K977" s="4287"/>
      <c r="L977" s="4317"/>
      <c r="M977" s="2294" t="s">
        <v>111</v>
      </c>
      <c r="N977" s="2295"/>
      <c r="O977" s="481"/>
      <c r="P977" s="481"/>
      <c r="Q977" s="481"/>
      <c r="R977" s="481">
        <f>K976*0.4</f>
        <v>3200</v>
      </c>
      <c r="S977" s="481"/>
      <c r="T977" s="481">
        <f>K976*0.6</f>
        <v>4800</v>
      </c>
      <c r="U977" s="481"/>
      <c r="V977" s="481"/>
      <c r="W977" s="481"/>
      <c r="X977" s="481"/>
      <c r="Y977" s="481"/>
      <c r="Z977" s="352"/>
      <c r="AA977" s="352">
        <f>SUM(P977:Z977)</f>
        <v>8000</v>
      </c>
    </row>
    <row r="978" spans="1:27" x14ac:dyDescent="0.25">
      <c r="A978" s="513"/>
      <c r="B978" s="4312"/>
      <c r="C978" s="4314" t="s">
        <v>3512</v>
      </c>
      <c r="D978" s="4315"/>
      <c r="E978" s="4317"/>
      <c r="F978" s="4317"/>
      <c r="G978" s="4317"/>
      <c r="H978" s="4317"/>
      <c r="I978" s="4317"/>
      <c r="J978" s="4317"/>
      <c r="K978" s="4318">
        <v>29000</v>
      </c>
      <c r="L978" s="4317"/>
      <c r="M978" s="2294" t="s">
        <v>51</v>
      </c>
      <c r="N978" s="2295"/>
      <c r="O978" s="481"/>
      <c r="P978" s="481"/>
      <c r="Q978" s="481">
        <v>30</v>
      </c>
      <c r="R978" s="481">
        <v>30</v>
      </c>
      <c r="S978" s="481">
        <v>30</v>
      </c>
      <c r="T978" s="481">
        <v>10</v>
      </c>
      <c r="U978" s="481"/>
      <c r="V978" s="481"/>
      <c r="W978" s="481"/>
      <c r="X978" s="481"/>
      <c r="Y978" s="481"/>
      <c r="Z978" s="352"/>
      <c r="AA978" s="352">
        <f>SUM(N978:Z978)</f>
        <v>100</v>
      </c>
    </row>
    <row r="979" spans="1:27" ht="62.25" customHeight="1" x14ac:dyDescent="0.25">
      <c r="A979" s="513"/>
      <c r="B979" s="4313"/>
      <c r="C979" s="4314"/>
      <c r="D979" s="4316"/>
      <c r="E979" s="4310"/>
      <c r="F979" s="4310"/>
      <c r="G979" s="4310"/>
      <c r="H979" s="4310"/>
      <c r="I979" s="4310"/>
      <c r="J979" s="4310"/>
      <c r="K979" s="4318"/>
      <c r="L979" s="4310"/>
      <c r="M979" s="3158" t="s">
        <v>111</v>
      </c>
      <c r="N979" s="3159"/>
      <c r="O979" s="480"/>
      <c r="P979" s="480"/>
      <c r="Q979" s="480"/>
      <c r="R979" s="480"/>
      <c r="S979" s="480">
        <f>K978*0.4</f>
        <v>11600</v>
      </c>
      <c r="T979" s="480"/>
      <c r="U979" s="480">
        <f>K978*0.6</f>
        <v>17400</v>
      </c>
      <c r="V979" s="1793"/>
      <c r="W979" s="480"/>
      <c r="X979" s="480"/>
      <c r="Y979" s="480"/>
      <c r="Z979" s="1612"/>
      <c r="AA979" s="352">
        <f t="shared" ref="AA979:AA992" si="108">SUM(P979:Z979)</f>
        <v>29000</v>
      </c>
    </row>
    <row r="980" spans="1:27" ht="15" customHeight="1" x14ac:dyDescent="0.25">
      <c r="A980" s="513"/>
      <c r="B980" s="4313"/>
      <c r="C980" s="2438" t="s">
        <v>3513</v>
      </c>
      <c r="D980" s="4316"/>
      <c r="E980" s="4316"/>
      <c r="F980" s="4316"/>
      <c r="G980" s="4316"/>
      <c r="H980" s="4316"/>
      <c r="I980" s="4316"/>
      <c r="J980" s="4310"/>
      <c r="K980" s="4286">
        <v>300000</v>
      </c>
      <c r="L980" s="4310"/>
      <c r="M980" s="2294" t="s">
        <v>51</v>
      </c>
      <c r="N980" s="2966"/>
      <c r="O980" s="480"/>
      <c r="P980" s="480"/>
      <c r="Q980" s="480"/>
      <c r="R980" s="480"/>
      <c r="S980" s="481">
        <v>20</v>
      </c>
      <c r="T980" s="481">
        <v>20</v>
      </c>
      <c r="U980" s="481">
        <v>10</v>
      </c>
      <c r="V980" s="481">
        <v>10</v>
      </c>
      <c r="W980" s="480">
        <v>10</v>
      </c>
      <c r="X980" s="480">
        <v>10</v>
      </c>
      <c r="Y980" s="480">
        <v>10</v>
      </c>
      <c r="Z980" s="1612">
        <v>10</v>
      </c>
      <c r="AA980" s="352">
        <f t="shared" si="108"/>
        <v>100</v>
      </c>
    </row>
    <row r="981" spans="1:27" ht="30.75" customHeight="1" x14ac:dyDescent="0.25">
      <c r="A981" s="513"/>
      <c r="B981" s="4319"/>
      <c r="C981" s="2450"/>
      <c r="D981" s="4320"/>
      <c r="E981" s="4320"/>
      <c r="F981" s="4320"/>
      <c r="G981" s="4320"/>
      <c r="H981" s="4320"/>
      <c r="I981" s="4320"/>
      <c r="J981" s="4311"/>
      <c r="K981" s="4288"/>
      <c r="L981" s="4311"/>
      <c r="M981" s="2293" t="s">
        <v>111</v>
      </c>
      <c r="N981" s="2293"/>
      <c r="O981" s="480"/>
      <c r="P981" s="480"/>
      <c r="Q981" s="480"/>
      <c r="R981" s="480"/>
      <c r="S981" s="480"/>
      <c r="T981" s="480">
        <f>K980*0.3</f>
        <v>90000</v>
      </c>
      <c r="U981" s="481"/>
      <c r="V981" s="481"/>
      <c r="W981" s="481"/>
      <c r="X981" s="481"/>
      <c r="Y981" s="481"/>
      <c r="Z981" s="1612">
        <f>K980*0.7</f>
        <v>210000</v>
      </c>
      <c r="AA981" s="352">
        <f t="shared" si="108"/>
        <v>300000</v>
      </c>
    </row>
    <row r="982" spans="1:27" ht="23.25" customHeight="1" x14ac:dyDescent="0.25">
      <c r="A982" s="513"/>
      <c r="B982" s="4310"/>
      <c r="C982" s="2514" t="s">
        <v>3707</v>
      </c>
      <c r="D982" s="4310"/>
      <c r="E982" s="4310"/>
      <c r="F982" s="4310"/>
      <c r="G982" s="4310"/>
      <c r="H982" s="4310"/>
      <c r="I982" s="4310"/>
      <c r="J982" s="4310"/>
      <c r="K982" s="4286">
        <v>75000</v>
      </c>
      <c r="L982" s="4310"/>
      <c r="M982" s="2294" t="s">
        <v>51</v>
      </c>
      <c r="N982" s="2966"/>
      <c r="O982" s="480"/>
      <c r="P982" s="481">
        <v>30</v>
      </c>
      <c r="Q982" s="481">
        <v>30</v>
      </c>
      <c r="R982" s="481">
        <v>30</v>
      </c>
      <c r="S982" s="481">
        <v>10</v>
      </c>
      <c r="T982" s="480"/>
      <c r="U982" s="481"/>
      <c r="V982" s="481"/>
      <c r="W982" s="481"/>
      <c r="X982" s="481"/>
      <c r="Y982" s="481"/>
      <c r="Z982" s="1612"/>
      <c r="AA982" s="352">
        <f t="shared" si="108"/>
        <v>100</v>
      </c>
    </row>
    <row r="983" spans="1:27" ht="76.5" customHeight="1" x14ac:dyDescent="0.25">
      <c r="A983" s="513"/>
      <c r="B983" s="4311"/>
      <c r="C983" s="2516"/>
      <c r="D983" s="4311"/>
      <c r="E983" s="4311"/>
      <c r="F983" s="4311"/>
      <c r="G983" s="4311"/>
      <c r="H983" s="4311"/>
      <c r="I983" s="4311"/>
      <c r="J983" s="4311"/>
      <c r="K983" s="4288"/>
      <c r="L983" s="4311"/>
      <c r="M983" s="2293" t="s">
        <v>111</v>
      </c>
      <c r="N983" s="2293"/>
      <c r="O983" s="480"/>
      <c r="P983" s="480"/>
      <c r="Q983" s="480">
        <f>K982*0.3</f>
        <v>22500</v>
      </c>
      <c r="R983" s="480"/>
      <c r="S983" s="480"/>
      <c r="T983" s="480"/>
      <c r="U983" s="481"/>
      <c r="V983" s="481">
        <f>K982*0.7</f>
        <v>52500</v>
      </c>
      <c r="W983" s="481"/>
      <c r="X983" s="481"/>
      <c r="Y983" s="481"/>
      <c r="Z983" s="1612"/>
      <c r="AA983" s="352">
        <f t="shared" si="108"/>
        <v>75000</v>
      </c>
    </row>
    <row r="984" spans="1:27" ht="39.75" customHeight="1" x14ac:dyDescent="0.25">
      <c r="A984" s="513"/>
      <c r="B984" s="4310"/>
      <c r="C984" s="2438" t="s">
        <v>3514</v>
      </c>
      <c r="D984" s="4310"/>
      <c r="E984" s="4310"/>
      <c r="F984" s="4310"/>
      <c r="G984" s="4310"/>
      <c r="H984" s="4310"/>
      <c r="I984" s="4310"/>
      <c r="J984" s="4310"/>
      <c r="K984" s="4286">
        <v>35000</v>
      </c>
      <c r="L984" s="4310"/>
      <c r="M984" s="2294" t="s">
        <v>51</v>
      </c>
      <c r="N984" s="2966"/>
      <c r="O984" s="480"/>
      <c r="P984" s="481">
        <v>30</v>
      </c>
      <c r="Q984" s="481">
        <v>30</v>
      </c>
      <c r="R984" s="481">
        <v>30</v>
      </c>
      <c r="S984" s="481">
        <v>10</v>
      </c>
      <c r="T984" s="480"/>
      <c r="U984" s="480"/>
      <c r="V984" s="481"/>
      <c r="W984" s="481"/>
      <c r="X984" s="481"/>
      <c r="Y984" s="481"/>
      <c r="Z984" s="1612"/>
      <c r="AA984" s="352">
        <f t="shared" si="108"/>
        <v>100</v>
      </c>
    </row>
    <row r="985" spans="1:27" ht="39.75" customHeight="1" x14ac:dyDescent="0.25">
      <c r="A985" s="513"/>
      <c r="B985" s="4311"/>
      <c r="C985" s="2450"/>
      <c r="D985" s="4311"/>
      <c r="E985" s="4311"/>
      <c r="F985" s="4311"/>
      <c r="G985" s="4311"/>
      <c r="H985" s="4311"/>
      <c r="I985" s="4311"/>
      <c r="J985" s="4311"/>
      <c r="K985" s="4288"/>
      <c r="L985" s="4311"/>
      <c r="M985" s="2293" t="s">
        <v>111</v>
      </c>
      <c r="N985" s="2293"/>
      <c r="O985" s="480"/>
      <c r="P985" s="480"/>
      <c r="Q985" s="480"/>
      <c r="R985" s="480">
        <f>K984*0.3</f>
        <v>10500</v>
      </c>
      <c r="S985" s="480"/>
      <c r="T985" s="480"/>
      <c r="U985" s="480"/>
      <c r="V985" s="481"/>
      <c r="W985" s="481">
        <f>K984*0.7</f>
        <v>24500</v>
      </c>
      <c r="X985" s="481"/>
      <c r="Y985" s="481"/>
      <c r="Z985" s="1612"/>
      <c r="AA985" s="352">
        <f t="shared" si="108"/>
        <v>35000</v>
      </c>
    </row>
    <row r="986" spans="1:27" x14ac:dyDescent="0.25">
      <c r="A986" s="513"/>
      <c r="B986" s="4310"/>
      <c r="C986" s="2438" t="s">
        <v>3515</v>
      </c>
      <c r="D986" s="4310"/>
      <c r="E986" s="4310"/>
      <c r="F986" s="4310"/>
      <c r="G986" s="4310"/>
      <c r="H986" s="4310"/>
      <c r="I986" s="4310"/>
      <c r="J986" s="4310"/>
      <c r="K986" s="4286">
        <v>35000</v>
      </c>
      <c r="L986" s="4310"/>
      <c r="M986" s="2294" t="s">
        <v>51</v>
      </c>
      <c r="N986" s="2966"/>
      <c r="O986" s="480"/>
      <c r="P986" s="481">
        <v>30</v>
      </c>
      <c r="Q986" s="481">
        <v>30</v>
      </c>
      <c r="R986" s="481">
        <v>30</v>
      </c>
      <c r="S986" s="481">
        <v>10</v>
      </c>
      <c r="T986" s="480"/>
      <c r="U986" s="480"/>
      <c r="V986" s="481"/>
      <c r="W986" s="481"/>
      <c r="X986" s="481"/>
      <c r="Y986" s="481"/>
      <c r="Z986" s="1612"/>
      <c r="AA986" s="352">
        <f t="shared" si="108"/>
        <v>100</v>
      </c>
    </row>
    <row r="987" spans="1:27" ht="116.25" customHeight="1" x14ac:dyDescent="0.25">
      <c r="A987" s="513"/>
      <c r="B987" s="4311"/>
      <c r="C987" s="2450"/>
      <c r="D987" s="4311"/>
      <c r="E987" s="4311"/>
      <c r="F987" s="4311"/>
      <c r="G987" s="4311"/>
      <c r="H987" s="4311"/>
      <c r="I987" s="4311"/>
      <c r="J987" s="4311"/>
      <c r="K987" s="4288"/>
      <c r="L987" s="4311"/>
      <c r="M987" s="2293" t="s">
        <v>111</v>
      </c>
      <c r="N987" s="2293"/>
      <c r="O987" s="480"/>
      <c r="P987" s="480"/>
      <c r="Q987" s="480">
        <f>K986*0.3</f>
        <v>10500</v>
      </c>
      <c r="R987" s="480"/>
      <c r="S987" s="480"/>
      <c r="T987" s="480">
        <f>K986*0.7</f>
        <v>24500</v>
      </c>
      <c r="U987" s="481"/>
      <c r="V987" s="481"/>
      <c r="W987" s="481"/>
      <c r="X987" s="481"/>
      <c r="Y987" s="481"/>
      <c r="Z987" s="1612"/>
      <c r="AA987" s="352">
        <f t="shared" si="108"/>
        <v>35000</v>
      </c>
    </row>
    <row r="988" spans="1:27" x14ac:dyDescent="0.25">
      <c r="A988" s="513"/>
      <c r="B988" s="4310"/>
      <c r="C988" s="3782" t="s">
        <v>3516</v>
      </c>
      <c r="D988" s="4310"/>
      <c r="E988" s="4310"/>
      <c r="F988" s="4310"/>
      <c r="G988" s="4310"/>
      <c r="H988" s="4310"/>
      <c r="I988" s="4310"/>
      <c r="J988" s="4310"/>
      <c r="K988" s="4286">
        <v>100000</v>
      </c>
      <c r="L988" s="4310"/>
      <c r="M988" s="2294" t="s">
        <v>51</v>
      </c>
      <c r="N988" s="2966"/>
      <c r="O988" s="480"/>
      <c r="P988" s="481">
        <v>40</v>
      </c>
      <c r="Q988" s="481">
        <v>40</v>
      </c>
      <c r="R988" s="481">
        <v>20</v>
      </c>
      <c r="S988" s="481"/>
      <c r="T988" s="480"/>
      <c r="U988" s="481"/>
      <c r="V988" s="481"/>
      <c r="W988" s="481"/>
      <c r="X988" s="481"/>
      <c r="Y988" s="481"/>
      <c r="Z988" s="1612"/>
      <c r="AA988" s="352">
        <f t="shared" si="108"/>
        <v>100</v>
      </c>
    </row>
    <row r="989" spans="1:27" ht="42" customHeight="1" x14ac:dyDescent="0.25">
      <c r="A989" s="513"/>
      <c r="B989" s="4311"/>
      <c r="C989" s="3783"/>
      <c r="D989" s="4311"/>
      <c r="E989" s="4311"/>
      <c r="F989" s="4311"/>
      <c r="G989" s="4311"/>
      <c r="H989" s="4311"/>
      <c r="I989" s="4311"/>
      <c r="J989" s="4311"/>
      <c r="K989" s="4288"/>
      <c r="L989" s="4311"/>
      <c r="M989" s="2293" t="s">
        <v>111</v>
      </c>
      <c r="N989" s="2293"/>
      <c r="O989" s="480"/>
      <c r="P989" s="480"/>
      <c r="Q989" s="480">
        <f>K988*0.3</f>
        <v>30000</v>
      </c>
      <c r="R989" s="480"/>
      <c r="S989" s="480"/>
      <c r="T989" s="480">
        <f>K988*0.7</f>
        <v>70000</v>
      </c>
      <c r="U989" s="481"/>
      <c r="V989" s="481"/>
      <c r="W989" s="481"/>
      <c r="X989" s="481"/>
      <c r="Y989" s="481"/>
      <c r="Z989" s="1612"/>
      <c r="AA989" s="352">
        <f t="shared" si="108"/>
        <v>100000</v>
      </c>
    </row>
    <row r="990" spans="1:27" x14ac:dyDescent="0.25">
      <c r="A990" s="513"/>
      <c r="B990" s="4310"/>
      <c r="C990" s="3782" t="s">
        <v>3517</v>
      </c>
      <c r="D990" s="4310"/>
      <c r="E990" s="4310"/>
      <c r="F990" s="4310"/>
      <c r="G990" s="4310"/>
      <c r="H990" s="4310"/>
      <c r="I990" s="4310"/>
      <c r="J990" s="4310"/>
      <c r="K990" s="4286">
        <v>70000</v>
      </c>
      <c r="L990" s="4310"/>
      <c r="M990" s="2294" t="s">
        <v>51</v>
      </c>
      <c r="N990" s="2966"/>
      <c r="O990" s="480"/>
      <c r="P990" s="481">
        <v>40</v>
      </c>
      <c r="Q990" s="481">
        <v>40</v>
      </c>
      <c r="R990" s="481">
        <v>20</v>
      </c>
      <c r="S990" s="481"/>
      <c r="T990" s="480"/>
      <c r="U990" s="481"/>
      <c r="V990" s="481"/>
      <c r="W990" s="481"/>
      <c r="X990" s="481"/>
      <c r="Y990" s="481"/>
      <c r="Z990" s="1612"/>
      <c r="AA990" s="352">
        <f t="shared" si="108"/>
        <v>100</v>
      </c>
    </row>
    <row r="991" spans="1:27" ht="41.25" customHeight="1" x14ac:dyDescent="0.25">
      <c r="A991" s="513"/>
      <c r="B991" s="4311"/>
      <c r="C991" s="3783"/>
      <c r="D991" s="4311"/>
      <c r="E991" s="4311"/>
      <c r="F991" s="4311"/>
      <c r="G991" s="4311"/>
      <c r="H991" s="4311"/>
      <c r="I991" s="4311"/>
      <c r="J991" s="4311"/>
      <c r="K991" s="4288"/>
      <c r="L991" s="4311"/>
      <c r="M991" s="2293" t="s">
        <v>111</v>
      </c>
      <c r="N991" s="2293"/>
      <c r="O991" s="480"/>
      <c r="P991" s="480"/>
      <c r="Q991" s="480">
        <f>K990*0.3</f>
        <v>21000</v>
      </c>
      <c r="R991" s="480"/>
      <c r="S991" s="480"/>
      <c r="T991" s="480">
        <f>K990*0.7</f>
        <v>49000</v>
      </c>
      <c r="U991" s="481"/>
      <c r="V991" s="481"/>
      <c r="W991" s="481"/>
      <c r="X991" s="481"/>
      <c r="Y991" s="481"/>
      <c r="Z991" s="1612"/>
      <c r="AA991" s="352">
        <f t="shared" si="108"/>
        <v>70000</v>
      </c>
    </row>
    <row r="992" spans="1:27" x14ac:dyDescent="0.25">
      <c r="A992" s="4310"/>
      <c r="B992" s="4310"/>
      <c r="C992" s="2438" t="s">
        <v>3518</v>
      </c>
      <c r="D992" s="4310"/>
      <c r="E992" s="4310"/>
      <c r="F992" s="4310"/>
      <c r="G992" s="4310"/>
      <c r="H992" s="4310"/>
      <c r="I992" s="4310"/>
      <c r="J992" s="4310"/>
      <c r="K992" s="4286">
        <v>527991</v>
      </c>
      <c r="L992" s="4310"/>
      <c r="M992" s="2294" t="s">
        <v>51</v>
      </c>
      <c r="N992" s="2966"/>
      <c r="O992" s="481"/>
      <c r="P992" s="481"/>
      <c r="Q992" s="481"/>
      <c r="R992" s="481">
        <v>10</v>
      </c>
      <c r="S992" s="481">
        <v>20</v>
      </c>
      <c r="T992" s="481">
        <v>10</v>
      </c>
      <c r="U992" s="481">
        <v>10</v>
      </c>
      <c r="V992" s="481">
        <v>10</v>
      </c>
      <c r="W992" s="481">
        <v>20</v>
      </c>
      <c r="X992" s="481">
        <v>10</v>
      </c>
      <c r="Y992" s="481">
        <v>10</v>
      </c>
      <c r="Z992" s="352"/>
      <c r="AA992" s="352">
        <f t="shared" si="108"/>
        <v>100</v>
      </c>
    </row>
    <row r="993" spans="1:27" x14ac:dyDescent="0.25">
      <c r="A993" s="4311"/>
      <c r="B993" s="4311"/>
      <c r="C993" s="2450"/>
      <c r="D993" s="4311"/>
      <c r="E993" s="4311"/>
      <c r="F993" s="4311"/>
      <c r="G993" s="4311"/>
      <c r="H993" s="4311"/>
      <c r="I993" s="4311"/>
      <c r="J993" s="4311"/>
      <c r="K993" s="4288"/>
      <c r="L993" s="4311"/>
      <c r="M993" s="2293" t="s">
        <v>111</v>
      </c>
      <c r="N993" s="2293"/>
      <c r="O993" s="481"/>
      <c r="P993" s="481"/>
      <c r="Q993" s="481"/>
      <c r="R993" s="481">
        <f>K992*0.1</f>
        <v>52799.100000000006</v>
      </c>
      <c r="S993" s="481">
        <f>K992*0.1</f>
        <v>52799.100000000006</v>
      </c>
      <c r="T993" s="481">
        <f>K992*0.1</f>
        <v>52799.100000000006</v>
      </c>
      <c r="U993" s="481">
        <f>K992*0.1</f>
        <v>52799.100000000006</v>
      </c>
      <c r="V993" s="481">
        <f>K992*0.1</f>
        <v>52799.100000000006</v>
      </c>
      <c r="W993" s="481">
        <f>K992*0.1</f>
        <v>52799.100000000006</v>
      </c>
      <c r="X993" s="481">
        <f>K992*0.1</f>
        <v>52799.100000000006</v>
      </c>
      <c r="Y993" s="481">
        <f>K992*0.1</f>
        <v>52799.100000000006</v>
      </c>
      <c r="Z993" s="352">
        <f>K992*0.2</f>
        <v>105598.20000000001</v>
      </c>
      <c r="AA993" s="352">
        <f>SUM(N993:Z993)</f>
        <v>527991</v>
      </c>
    </row>
    <row r="994" spans="1:27" x14ac:dyDescent="0.25">
      <c r="A994" s="4297" t="s">
        <v>2582</v>
      </c>
      <c r="B994" s="4297"/>
      <c r="C994" s="4297"/>
      <c r="D994" s="4297"/>
      <c r="E994" s="4297"/>
      <c r="F994" s="4297"/>
      <c r="G994" s="4297"/>
      <c r="H994" s="4297"/>
      <c r="I994" s="4297"/>
      <c r="J994" s="4297"/>
      <c r="K994" s="4297"/>
      <c r="L994" s="4297"/>
      <c r="M994" s="4297"/>
      <c r="N994" s="4297"/>
      <c r="O994" s="4297"/>
      <c r="P994" s="4297"/>
      <c r="Q994" s="4297"/>
      <c r="R994" s="4297"/>
      <c r="S994" s="4297"/>
      <c r="T994" s="4297"/>
      <c r="U994" s="4297"/>
      <c r="V994" s="4297"/>
      <c r="W994" s="4297"/>
      <c r="X994" s="4297"/>
      <c r="Y994" s="4297"/>
      <c r="Z994" s="513"/>
      <c r="AA994" s="513"/>
    </row>
    <row r="995" spans="1:27" x14ac:dyDescent="0.25">
      <c r="A995" s="4298" t="s">
        <v>251</v>
      </c>
      <c r="B995" s="449" t="s">
        <v>1</v>
      </c>
      <c r="C995" s="3153" t="s">
        <v>2583</v>
      </c>
      <c r="D995" s="3153"/>
      <c r="E995" s="3153"/>
      <c r="F995" s="3153"/>
      <c r="G995" s="1738"/>
      <c r="H995" s="1738"/>
      <c r="I995" s="1738"/>
      <c r="J995" s="1738"/>
      <c r="K995" s="1738"/>
      <c r="L995" s="1738"/>
      <c r="M995" s="1738"/>
      <c r="N995" s="1738"/>
      <c r="O995" s="1738"/>
      <c r="P995" s="1738"/>
      <c r="Q995" s="1738"/>
      <c r="R995" s="1738"/>
      <c r="S995" s="1738"/>
      <c r="T995" s="1738"/>
      <c r="U995" s="1738"/>
      <c r="V995" s="1738"/>
      <c r="W995" s="1738"/>
      <c r="X995" s="1738"/>
      <c r="Y995" s="1722"/>
      <c r="Z995" s="203"/>
      <c r="AA995" s="346"/>
    </row>
    <row r="996" spans="1:27" ht="24" x14ac:dyDescent="0.25">
      <c r="A996" s="4299"/>
      <c r="B996" s="1352" t="s">
        <v>2</v>
      </c>
      <c r="C996" s="2293" t="s">
        <v>2584</v>
      </c>
      <c r="D996" s="2293"/>
      <c r="E996" s="2293"/>
      <c r="F996" s="2293"/>
      <c r="G996" s="2293"/>
      <c r="H996" s="2293"/>
      <c r="I996" s="2293"/>
      <c r="J996" s="2293"/>
      <c r="K996" s="2293"/>
      <c r="L996" s="2293"/>
      <c r="M996" s="2293"/>
      <c r="N996" s="2293"/>
      <c r="O996" s="2293"/>
      <c r="P996" s="2293"/>
      <c r="Q996" s="2293"/>
      <c r="R996" s="2293"/>
      <c r="S996" s="2293"/>
      <c r="T996" s="2293"/>
      <c r="U996" s="2293"/>
      <c r="V996" s="2293"/>
      <c r="W996" s="2293"/>
      <c r="X996" s="2293"/>
      <c r="Y996" s="2294"/>
      <c r="Z996" s="203"/>
      <c r="AA996" s="346"/>
    </row>
    <row r="997" spans="1:27" x14ac:dyDescent="0.25">
      <c r="A997" s="4299"/>
      <c r="B997" s="1352" t="s">
        <v>4</v>
      </c>
      <c r="C997" s="2294" t="s">
        <v>2585</v>
      </c>
      <c r="D997" s="2295"/>
      <c r="E997" s="2295"/>
      <c r="F997" s="2295"/>
      <c r="G997" s="2295"/>
      <c r="H997" s="2295"/>
      <c r="I997" s="2295"/>
      <c r="J997" s="2295"/>
      <c r="K997" s="2295"/>
      <c r="L997" s="2295"/>
      <c r="M997" s="2295"/>
      <c r="N997" s="2295"/>
      <c r="O997" s="1358"/>
      <c r="P997" s="1358"/>
      <c r="Q997" s="1358"/>
      <c r="R997" s="1358"/>
      <c r="S997" s="1358"/>
      <c r="T997" s="1358"/>
      <c r="U997" s="1358"/>
      <c r="V997" s="1358"/>
      <c r="W997" s="1358"/>
      <c r="X997" s="1358"/>
      <c r="Y997" s="1358"/>
      <c r="Z997" s="203"/>
      <c r="AA997" s="346"/>
    </row>
    <row r="998" spans="1:27" ht="24" x14ac:dyDescent="0.25">
      <c r="A998" s="4299"/>
      <c r="B998" s="1352" t="s">
        <v>6</v>
      </c>
      <c r="C998" s="2293" t="s">
        <v>3520</v>
      </c>
      <c r="D998" s="2293"/>
      <c r="E998" s="2293"/>
      <c r="F998" s="2293"/>
      <c r="G998" s="2293"/>
      <c r="H998" s="2293"/>
      <c r="I998" s="2293"/>
      <c r="J998" s="2293"/>
      <c r="K998" s="2293"/>
      <c r="L998" s="2293"/>
      <c r="M998" s="2293"/>
      <c r="N998" s="2293"/>
      <c r="O998" s="2293"/>
      <c r="P998" s="2293"/>
      <c r="Q998" s="2293"/>
      <c r="R998" s="2293"/>
      <c r="S998" s="2293"/>
      <c r="T998" s="2293"/>
      <c r="U998" s="2293"/>
      <c r="V998" s="2293"/>
      <c r="W998" s="2293"/>
      <c r="X998" s="2293"/>
      <c r="Y998" s="2294"/>
      <c r="Z998" s="203"/>
      <c r="AA998" s="346"/>
    </row>
    <row r="999" spans="1:27" x14ac:dyDescent="0.25">
      <c r="A999" s="4300"/>
      <c r="B999" s="1859" t="s">
        <v>8</v>
      </c>
      <c r="C999" s="2911" t="s">
        <v>3521</v>
      </c>
      <c r="D999" s="2912"/>
      <c r="E999" s="2912"/>
      <c r="F999" s="2912"/>
      <c r="G999" s="2912"/>
      <c r="H999" s="2912"/>
      <c r="I999" s="363"/>
      <c r="J999" s="363"/>
      <c r="K999" s="363"/>
      <c r="L999" s="363"/>
      <c r="M999" s="363"/>
      <c r="N999" s="363"/>
      <c r="O999" s="363"/>
      <c r="P999" s="363"/>
      <c r="Q999" s="363"/>
      <c r="R999" s="363"/>
      <c r="S999" s="363"/>
      <c r="T999" s="363"/>
      <c r="U999" s="363"/>
      <c r="V999" s="363"/>
      <c r="W999" s="363"/>
      <c r="X999" s="363"/>
      <c r="Y999" s="363"/>
      <c r="Z999" s="365"/>
      <c r="AA999" s="515"/>
    </row>
    <row r="1000" spans="1:27" x14ac:dyDescent="0.25">
      <c r="A1000" s="2902" t="s">
        <v>256</v>
      </c>
      <c r="B1000" s="1352" t="s">
        <v>11</v>
      </c>
      <c r="C1000" s="2972" t="s">
        <v>238</v>
      </c>
      <c r="D1000" s="2972"/>
      <c r="E1000" s="2972"/>
      <c r="F1000" s="2972"/>
      <c r="G1000" s="2972"/>
      <c r="H1000" s="2972"/>
      <c r="I1000" s="2972"/>
      <c r="J1000" s="2972"/>
      <c r="K1000" s="2972"/>
      <c r="L1000" s="2972"/>
      <c r="M1000" s="2972"/>
      <c r="N1000" s="2972"/>
      <c r="O1000" s="2972"/>
      <c r="P1000" s="2972"/>
      <c r="Q1000" s="2972"/>
      <c r="R1000" s="2972"/>
      <c r="S1000" s="2972"/>
      <c r="T1000" s="2972"/>
      <c r="U1000" s="2972"/>
      <c r="V1000" s="2972"/>
      <c r="W1000" s="2972"/>
      <c r="X1000" s="2972"/>
      <c r="Y1000" s="4301"/>
      <c r="Z1000" s="203"/>
      <c r="AA1000" s="346"/>
    </row>
    <row r="1001" spans="1:27" ht="24" x14ac:dyDescent="0.25">
      <c r="A1001" s="2903"/>
      <c r="B1001" s="2298" t="s">
        <v>13</v>
      </c>
      <c r="C1001" s="4302">
        <v>9001</v>
      </c>
      <c r="D1001" s="3158" t="s">
        <v>3522</v>
      </c>
      <c r="E1001" s="3159"/>
      <c r="F1001" s="3159"/>
      <c r="G1001" s="3159"/>
      <c r="H1001" s="3159"/>
      <c r="I1001" s="3159"/>
      <c r="J1001" s="204"/>
      <c r="K1001" s="204"/>
      <c r="L1001" s="204"/>
      <c r="M1001" s="204"/>
      <c r="N1001" s="204"/>
      <c r="O1001" s="204"/>
      <c r="P1001" s="204"/>
      <c r="Q1001" s="204"/>
      <c r="R1001" s="204"/>
      <c r="S1001" s="204"/>
      <c r="T1001" s="205"/>
      <c r="U1001" s="1609"/>
      <c r="V1001" s="2314" t="s">
        <v>15</v>
      </c>
      <c r="W1001" s="2315"/>
      <c r="X1001" s="2315"/>
      <c r="Y1001" s="2316"/>
      <c r="Z1001" s="1305" t="s">
        <v>16</v>
      </c>
      <c r="AA1001" s="1305"/>
    </row>
    <row r="1002" spans="1:27" x14ac:dyDescent="0.25">
      <c r="A1002" s="2903"/>
      <c r="B1002" s="2298"/>
      <c r="C1002" s="4303"/>
      <c r="D1002" s="3161"/>
      <c r="E1002" s="3162"/>
      <c r="F1002" s="3162"/>
      <c r="G1002" s="3162"/>
      <c r="H1002" s="3162"/>
      <c r="I1002" s="3162"/>
      <c r="J1002" s="206"/>
      <c r="K1002" s="206"/>
      <c r="L1002" s="206"/>
      <c r="M1002" s="206"/>
      <c r="N1002" s="206"/>
      <c r="O1002" s="206"/>
      <c r="P1002" s="206"/>
      <c r="Q1002" s="206"/>
      <c r="R1002" s="206"/>
      <c r="S1002" s="206"/>
      <c r="T1002" s="207"/>
      <c r="U1002" s="1609"/>
      <c r="V1002" s="4304" t="s">
        <v>19</v>
      </c>
      <c r="W1002" s="4305"/>
      <c r="X1002" s="4305"/>
      <c r="Y1002" s="4306"/>
      <c r="Z1002" s="1305"/>
      <c r="AA1002" s="1305"/>
    </row>
    <row r="1003" spans="1:27" ht="24" x14ac:dyDescent="0.25">
      <c r="A1003" s="2903"/>
      <c r="B1003" s="2298" t="s">
        <v>18</v>
      </c>
      <c r="C1003" s="4302">
        <v>3999999</v>
      </c>
      <c r="D1003" s="2305" t="s">
        <v>163</v>
      </c>
      <c r="E1003" s="2314"/>
      <c r="F1003" s="204"/>
      <c r="G1003" s="204"/>
      <c r="H1003" s="204"/>
      <c r="I1003" s="204"/>
      <c r="J1003" s="204"/>
      <c r="K1003" s="204"/>
      <c r="L1003" s="204"/>
      <c r="M1003" s="204"/>
      <c r="N1003" s="204"/>
      <c r="O1003" s="204"/>
      <c r="P1003" s="204"/>
      <c r="Q1003" s="204"/>
      <c r="R1003" s="204"/>
      <c r="S1003" s="204"/>
      <c r="T1003" s="204"/>
      <c r="U1003" s="211"/>
      <c r="V1003" s="1305" t="s">
        <v>15</v>
      </c>
      <c r="W1003" s="1305"/>
      <c r="X1003" s="1305"/>
      <c r="Y1003" s="1305"/>
      <c r="Z1003" s="1305" t="s">
        <v>16</v>
      </c>
      <c r="AA1003" s="1305"/>
    </row>
    <row r="1004" spans="1:27" x14ac:dyDescent="0.25">
      <c r="A1004" s="2903"/>
      <c r="B1004" s="2298"/>
      <c r="C1004" s="4307"/>
      <c r="D1004" s="2305"/>
      <c r="E1004" s="2314"/>
      <c r="F1004" s="208"/>
      <c r="G1004" s="208"/>
      <c r="H1004" s="208"/>
      <c r="I1004" s="208"/>
      <c r="J1004" s="208"/>
      <c r="K1004" s="208"/>
      <c r="L1004" s="208"/>
      <c r="M1004" s="208"/>
      <c r="N1004" s="208"/>
      <c r="O1004" s="208"/>
      <c r="P1004" s="208"/>
      <c r="Q1004" s="208"/>
      <c r="R1004" s="208"/>
      <c r="S1004" s="208"/>
      <c r="T1004" s="208"/>
      <c r="U1004" s="213"/>
      <c r="V1004" s="4304" t="s">
        <v>19</v>
      </c>
      <c r="W1004" s="4305"/>
      <c r="X1004" s="4305"/>
      <c r="Y1004" s="4306"/>
      <c r="Z1004" s="1306"/>
      <c r="AA1004" s="1307"/>
    </row>
    <row r="1005" spans="1:27" x14ac:dyDescent="0.25">
      <c r="A1005" s="2903"/>
      <c r="B1005" s="2320" t="s">
        <v>20</v>
      </c>
      <c r="C1005" s="2324" t="s">
        <v>21</v>
      </c>
      <c r="D1005" s="2324" t="s">
        <v>22</v>
      </c>
      <c r="E1005" s="2324" t="s">
        <v>23</v>
      </c>
      <c r="F1005" s="2324" t="s">
        <v>164</v>
      </c>
      <c r="G1005" s="2324" t="s">
        <v>25</v>
      </c>
      <c r="H1005" s="2324" t="s">
        <v>26</v>
      </c>
      <c r="I1005" s="2324" t="s">
        <v>27</v>
      </c>
      <c r="J1005" s="2322" t="s">
        <v>28</v>
      </c>
      <c r="K1005" s="2323"/>
      <c r="L1005" s="2324" t="s">
        <v>29</v>
      </c>
      <c r="M1005" s="2322" t="s">
        <v>30</v>
      </c>
      <c r="N1005" s="4308"/>
      <c r="O1005" s="2343" t="s">
        <v>31</v>
      </c>
      <c r="P1005" s="2344"/>
      <c r="Q1005" s="2344"/>
      <c r="R1005" s="2344"/>
      <c r="S1005" s="2344"/>
      <c r="T1005" s="2344"/>
      <c r="U1005" s="2344"/>
      <c r="V1005" s="2344"/>
      <c r="W1005" s="2344"/>
      <c r="X1005" s="2344"/>
      <c r="Y1005" s="2344"/>
      <c r="Z1005" s="2345"/>
      <c r="AA1005" s="2346" t="s">
        <v>32</v>
      </c>
    </row>
    <row r="1006" spans="1:27" x14ac:dyDescent="0.25">
      <c r="A1006" s="2903"/>
      <c r="B1006" s="2321"/>
      <c r="C1006" s="2324"/>
      <c r="D1006" s="2324"/>
      <c r="E1006" s="2324"/>
      <c r="F1006" s="2324"/>
      <c r="G1006" s="2324"/>
      <c r="H1006" s="2324"/>
      <c r="I1006" s="2324"/>
      <c r="J1006" s="1355" t="s">
        <v>33</v>
      </c>
      <c r="K1006" s="1355" t="s">
        <v>34</v>
      </c>
      <c r="L1006" s="2324"/>
      <c r="M1006" s="2325"/>
      <c r="N1006" s="4309"/>
      <c r="O1006" s="1354" t="s">
        <v>35</v>
      </c>
      <c r="P1006" s="1354" t="s">
        <v>36</v>
      </c>
      <c r="Q1006" s="1354" t="s">
        <v>37</v>
      </c>
      <c r="R1006" s="1354" t="s">
        <v>38</v>
      </c>
      <c r="S1006" s="1354" t="s">
        <v>39</v>
      </c>
      <c r="T1006" s="1354" t="s">
        <v>40</v>
      </c>
      <c r="U1006" s="1354" t="s">
        <v>41</v>
      </c>
      <c r="V1006" s="1354" t="s">
        <v>42</v>
      </c>
      <c r="W1006" s="1354" t="s">
        <v>43</v>
      </c>
      <c r="X1006" s="1354" t="s">
        <v>44</v>
      </c>
      <c r="Y1006" s="1354" t="s">
        <v>45</v>
      </c>
      <c r="Z1006" s="1354" t="s">
        <v>46</v>
      </c>
      <c r="AA1006" s="2346"/>
    </row>
    <row r="1007" spans="1:27" x14ac:dyDescent="0.25">
      <c r="A1007" s="2903"/>
      <c r="B1007" s="3155">
        <v>5000842</v>
      </c>
      <c r="C1007" s="2357" t="s">
        <v>3523</v>
      </c>
      <c r="D1007" s="4290" t="s">
        <v>3524</v>
      </c>
      <c r="E1007" s="2366" t="s">
        <v>3556</v>
      </c>
      <c r="F1007" s="2366" t="s">
        <v>3557</v>
      </c>
      <c r="G1007" s="2366" t="s">
        <v>3558</v>
      </c>
      <c r="H1007" s="2361" t="s">
        <v>3525</v>
      </c>
      <c r="I1007" s="2361" t="s">
        <v>61</v>
      </c>
      <c r="J1007" s="4294">
        <v>90</v>
      </c>
      <c r="K1007" s="4294">
        <v>504075</v>
      </c>
      <c r="L1007" s="2361" t="s">
        <v>3521</v>
      </c>
      <c r="M1007" s="2671" t="s">
        <v>51</v>
      </c>
      <c r="N1007" s="2672"/>
      <c r="O1007" s="481"/>
      <c r="P1007" s="481"/>
      <c r="Q1007" s="481"/>
      <c r="R1007" s="481"/>
      <c r="S1007" s="481"/>
      <c r="T1007" s="481"/>
      <c r="U1007" s="481"/>
      <c r="V1007" s="481"/>
      <c r="W1007" s="481"/>
      <c r="X1007" s="481"/>
      <c r="Y1007" s="481"/>
      <c r="Z1007" s="481"/>
      <c r="AA1007" s="229"/>
    </row>
    <row r="1008" spans="1:27" x14ac:dyDescent="0.25">
      <c r="A1008" s="2903"/>
      <c r="B1008" s="3156"/>
      <c r="C1008" s="4289"/>
      <c r="D1008" s="4291"/>
      <c r="E1008" s="4293"/>
      <c r="F1008" s="4293"/>
      <c r="G1008" s="4293"/>
      <c r="H1008" s="3965"/>
      <c r="I1008" s="3965"/>
      <c r="J1008" s="4295"/>
      <c r="K1008" s="4295"/>
      <c r="L1008" s="3965"/>
      <c r="M1008" s="2671" t="s">
        <v>111</v>
      </c>
      <c r="N1008" s="2672"/>
      <c r="O1008" s="480"/>
      <c r="P1008" s="480"/>
      <c r="Q1008" s="480"/>
      <c r="R1008" s="480"/>
      <c r="S1008" s="480"/>
      <c r="T1008" s="480"/>
      <c r="U1008" s="480"/>
      <c r="V1008" s="480"/>
      <c r="W1008" s="480"/>
      <c r="X1008" s="480"/>
      <c r="Y1008" s="480"/>
      <c r="Z1008" s="480"/>
      <c r="AA1008" s="1596">
        <f>SUM(AA1009:AA1013)</f>
        <v>504075</v>
      </c>
    </row>
    <row r="1009" spans="1:27" ht="22.5" x14ac:dyDescent="0.25">
      <c r="A1009" s="2903"/>
      <c r="B1009" s="3156"/>
      <c r="C1009" s="4289"/>
      <c r="D1009" s="4291"/>
      <c r="E1009" s="4293"/>
      <c r="F1009" s="4293"/>
      <c r="G1009" s="4293"/>
      <c r="H1009" s="3965"/>
      <c r="I1009" s="3965"/>
      <c r="J1009" s="4295"/>
      <c r="K1009" s="4295"/>
      <c r="L1009" s="3965"/>
      <c r="M1009" s="1158" t="s">
        <v>184</v>
      </c>
      <c r="N1009" s="1923" t="s">
        <v>1367</v>
      </c>
      <c r="O1009" s="352"/>
      <c r="P1009" s="352">
        <v>5790</v>
      </c>
      <c r="Q1009" s="352"/>
      <c r="R1009" s="352"/>
      <c r="S1009" s="352"/>
      <c r="T1009" s="352"/>
      <c r="U1009" s="352"/>
      <c r="V1009" s="352"/>
      <c r="W1009" s="352"/>
      <c r="X1009" s="352"/>
      <c r="Y1009" s="352"/>
      <c r="Z1009" s="352"/>
      <c r="AA1009" s="1592">
        <f t="shared" ref="AA1009:AA1011" si="109">SUM(O1009:Z1009)</f>
        <v>5790</v>
      </c>
    </row>
    <row r="1010" spans="1:27" ht="33.75" x14ac:dyDescent="0.25">
      <c r="A1010" s="2903"/>
      <c r="B1010" s="3156"/>
      <c r="C1010" s="4289"/>
      <c r="D1010" s="4291"/>
      <c r="E1010" s="4293"/>
      <c r="F1010" s="4293"/>
      <c r="G1010" s="4293"/>
      <c r="H1010" s="3965"/>
      <c r="I1010" s="3965"/>
      <c r="J1010" s="4295"/>
      <c r="K1010" s="4295"/>
      <c r="L1010" s="3965"/>
      <c r="M1010" s="1158" t="s">
        <v>194</v>
      </c>
      <c r="N1010" s="1923" t="s">
        <v>1368</v>
      </c>
      <c r="O1010" s="352"/>
      <c r="P1010" s="352">
        <v>1698</v>
      </c>
      <c r="Q1010" s="352">
        <v>1698</v>
      </c>
      <c r="R1010" s="352">
        <v>1698</v>
      </c>
      <c r="S1010" s="352">
        <v>1698</v>
      </c>
      <c r="T1010" s="352">
        <v>1698</v>
      </c>
      <c r="U1010" s="352">
        <v>1698</v>
      </c>
      <c r="V1010" s="352">
        <v>1705</v>
      </c>
      <c r="W1010" s="352">
        <v>1698</v>
      </c>
      <c r="X1010" s="352">
        <v>1698</v>
      </c>
      <c r="Y1010" s="352">
        <v>1698</v>
      </c>
      <c r="Z1010" s="352">
        <v>1698</v>
      </c>
      <c r="AA1010" s="1592">
        <f t="shared" si="109"/>
        <v>18685</v>
      </c>
    </row>
    <row r="1011" spans="1:27" x14ac:dyDescent="0.25">
      <c r="A1011" s="2903"/>
      <c r="B1011" s="3156"/>
      <c r="C1011" s="4289"/>
      <c r="D1011" s="4291"/>
      <c r="E1011" s="4293"/>
      <c r="F1011" s="4293"/>
      <c r="G1011" s="4293"/>
      <c r="H1011" s="3965"/>
      <c r="I1011" s="3965"/>
      <c r="J1011" s="4295"/>
      <c r="K1011" s="4295"/>
      <c r="L1011" s="3965"/>
      <c r="M1011" s="1158" t="s">
        <v>3526</v>
      </c>
      <c r="N1011" s="1923" t="s">
        <v>1336</v>
      </c>
      <c r="O1011" s="352"/>
      <c r="P1011" s="352"/>
      <c r="Q1011" s="352"/>
      <c r="R1011" s="352">
        <v>20000</v>
      </c>
      <c r="S1011" s="352"/>
      <c r="T1011" s="352"/>
      <c r="U1011" s="352"/>
      <c r="V1011" s="352"/>
      <c r="W1011" s="352">
        <v>15000</v>
      </c>
      <c r="X1011" s="352"/>
      <c r="Y1011" s="352"/>
      <c r="Z1011" s="352"/>
      <c r="AA1011" s="1592">
        <f t="shared" si="109"/>
        <v>35000</v>
      </c>
    </row>
    <row r="1012" spans="1:27" ht="33.75" x14ac:dyDescent="0.25">
      <c r="A1012" s="2903"/>
      <c r="B1012" s="3156"/>
      <c r="C1012" s="4289"/>
      <c r="D1012" s="4291"/>
      <c r="E1012" s="4293"/>
      <c r="F1012" s="4293"/>
      <c r="G1012" s="4293"/>
      <c r="H1012" s="3965"/>
      <c r="I1012" s="3965"/>
      <c r="J1012" s="4295"/>
      <c r="K1012" s="4295"/>
      <c r="L1012" s="3965"/>
      <c r="M1012" s="86" t="s">
        <v>208</v>
      </c>
      <c r="N1012" s="1927" t="s">
        <v>553</v>
      </c>
      <c r="O1012" s="352">
        <v>36150</v>
      </c>
      <c r="P1012" s="352">
        <v>36150</v>
      </c>
      <c r="Q1012" s="352">
        <v>36150</v>
      </c>
      <c r="R1012" s="352">
        <v>36150</v>
      </c>
      <c r="S1012" s="352">
        <v>36150</v>
      </c>
      <c r="T1012" s="352">
        <v>36150</v>
      </c>
      <c r="U1012" s="352">
        <v>36150</v>
      </c>
      <c r="V1012" s="352">
        <v>36150</v>
      </c>
      <c r="W1012" s="352">
        <v>36150</v>
      </c>
      <c r="X1012" s="352">
        <v>36150</v>
      </c>
      <c r="Y1012" s="352">
        <v>36150</v>
      </c>
      <c r="Z1012" s="352">
        <v>36150</v>
      </c>
      <c r="AA1012" s="1592">
        <f>SUM(O1012:Z1012)</f>
        <v>433800</v>
      </c>
    </row>
    <row r="1013" spans="1:27" ht="22.5" x14ac:dyDescent="0.25">
      <c r="A1013" s="2903"/>
      <c r="B1013" s="3157"/>
      <c r="C1013" s="2358"/>
      <c r="D1013" s="4292"/>
      <c r="E1013" s="2367"/>
      <c r="F1013" s="2367"/>
      <c r="G1013" s="2367"/>
      <c r="H1013" s="2362"/>
      <c r="I1013" s="2362"/>
      <c r="J1013" s="4296"/>
      <c r="K1013" s="4296"/>
      <c r="L1013" s="2362"/>
      <c r="M1013" s="86" t="s">
        <v>210</v>
      </c>
      <c r="N1013" s="1927" t="s">
        <v>1371</v>
      </c>
      <c r="O1013" s="352">
        <v>900</v>
      </c>
      <c r="P1013" s="352">
        <v>900</v>
      </c>
      <c r="Q1013" s="352">
        <v>900</v>
      </c>
      <c r="R1013" s="352">
        <v>900</v>
      </c>
      <c r="S1013" s="352">
        <v>900</v>
      </c>
      <c r="T1013" s="352">
        <v>900</v>
      </c>
      <c r="U1013" s="352">
        <v>900</v>
      </c>
      <c r="V1013" s="352">
        <v>900</v>
      </c>
      <c r="W1013" s="352">
        <v>900</v>
      </c>
      <c r="X1013" s="352">
        <v>900</v>
      </c>
      <c r="Y1013" s="352">
        <v>900</v>
      </c>
      <c r="Z1013" s="352">
        <v>900</v>
      </c>
      <c r="AA1013" s="1592">
        <f>SUM(O1013:Z1013)</f>
        <v>10800</v>
      </c>
    </row>
    <row r="1014" spans="1:27" x14ac:dyDescent="0.25">
      <c r="A1014" s="2903"/>
      <c r="B1014" s="2353"/>
      <c r="C1014" s="4283"/>
      <c r="D1014" s="2353" t="s">
        <v>3527</v>
      </c>
      <c r="E1014" s="2353"/>
      <c r="F1014" s="2353"/>
      <c r="G1014" s="2353"/>
      <c r="H1014" s="2353" t="s">
        <v>3528</v>
      </c>
      <c r="I1014" s="2353" t="s">
        <v>2279</v>
      </c>
      <c r="J1014" s="2353">
        <v>300</v>
      </c>
      <c r="K1014" s="4286">
        <v>450390</v>
      </c>
      <c r="L1014" s="2357" t="s">
        <v>3529</v>
      </c>
      <c r="M1014" s="2974" t="s">
        <v>51</v>
      </c>
      <c r="N1014" s="2975"/>
      <c r="O1014" s="481"/>
      <c r="P1014" s="481"/>
      <c r="Q1014" s="481"/>
      <c r="R1014" s="481"/>
      <c r="S1014" s="481"/>
      <c r="T1014" s="481"/>
      <c r="U1014" s="481"/>
      <c r="V1014" s="481"/>
      <c r="W1014" s="481"/>
      <c r="X1014" s="481"/>
      <c r="Y1014" s="481"/>
      <c r="Z1014" s="481"/>
      <c r="AA1014" s="1592"/>
    </row>
    <row r="1015" spans="1:27" x14ac:dyDescent="0.25">
      <c r="A1015" s="2903"/>
      <c r="B1015" s="4282"/>
      <c r="C1015" s="4284"/>
      <c r="D1015" s="4282"/>
      <c r="E1015" s="4282"/>
      <c r="F1015" s="4282"/>
      <c r="G1015" s="4282"/>
      <c r="H1015" s="4282"/>
      <c r="I1015" s="4282"/>
      <c r="J1015" s="4282"/>
      <c r="K1015" s="4287"/>
      <c r="L1015" s="4289"/>
      <c r="M1015" s="2974" t="s">
        <v>111</v>
      </c>
      <c r="N1015" s="2975"/>
      <c r="O1015" s="480"/>
      <c r="P1015" s="480"/>
      <c r="Q1015" s="480"/>
      <c r="R1015" s="480"/>
      <c r="S1015" s="480"/>
      <c r="T1015" s="480"/>
      <c r="U1015" s="480"/>
      <c r="V1015" s="480"/>
      <c r="W1015" s="480"/>
      <c r="X1015" s="480"/>
      <c r="Y1015" s="480"/>
      <c r="Z1015" s="480"/>
      <c r="AA1015" s="1592"/>
    </row>
    <row r="1016" spans="1:27" x14ac:dyDescent="0.25">
      <c r="A1016" s="2903"/>
      <c r="B1016" s="4282"/>
      <c r="C1016" s="4284"/>
      <c r="D1016" s="4282"/>
      <c r="E1016" s="4282"/>
      <c r="F1016" s="4282"/>
      <c r="G1016" s="4282"/>
      <c r="H1016" s="4282"/>
      <c r="I1016" s="4282"/>
      <c r="J1016" s="4282"/>
      <c r="K1016" s="4287"/>
      <c r="L1016" s="4289"/>
      <c r="M1016" s="1158" t="s">
        <v>184</v>
      </c>
      <c r="N1016" s="1923" t="s">
        <v>1365</v>
      </c>
      <c r="O1016" s="352"/>
      <c r="P1016" s="352">
        <v>5790</v>
      </c>
      <c r="Q1016" s="352"/>
      <c r="R1016" s="352"/>
      <c r="S1016" s="352"/>
      <c r="T1016" s="352"/>
      <c r="U1016" s="352"/>
      <c r="V1016" s="352"/>
      <c r="W1016" s="352"/>
      <c r="X1016" s="352"/>
      <c r="Y1016" s="352"/>
      <c r="Z1016" s="352"/>
      <c r="AA1016" s="1592">
        <f t="shared" ref="AA1016:AA1020" si="110">SUM(O1016:Z1016)</f>
        <v>5790</v>
      </c>
    </row>
    <row r="1017" spans="1:27" x14ac:dyDescent="0.25">
      <c r="A1017" s="2903"/>
      <c r="B1017" s="4282"/>
      <c r="C1017" s="4284"/>
      <c r="D1017" s="4282"/>
      <c r="E1017" s="4282"/>
      <c r="F1017" s="4282"/>
      <c r="G1017" s="4282"/>
      <c r="H1017" s="4282"/>
      <c r="I1017" s="4282"/>
      <c r="J1017" s="4282"/>
      <c r="K1017" s="4287"/>
      <c r="L1017" s="4289"/>
      <c r="M1017" s="1158" t="s">
        <v>194</v>
      </c>
      <c r="N1017" s="1923" t="s">
        <v>1372</v>
      </c>
      <c r="O1017" s="352"/>
      <c r="P1017" s="352"/>
      <c r="Q1017" s="352"/>
      <c r="R1017" s="352"/>
      <c r="S1017" s="352"/>
      <c r="T1017" s="352"/>
      <c r="U1017" s="352"/>
      <c r="V1017" s="352"/>
      <c r="W1017" s="352"/>
      <c r="X1017" s="352"/>
      <c r="Y1017" s="352"/>
      <c r="Z1017" s="352"/>
      <c r="AA1017" s="1592"/>
    </row>
    <row r="1018" spans="1:27" x14ac:dyDescent="0.25">
      <c r="A1018" s="2903"/>
      <c r="B1018" s="4282"/>
      <c r="C1018" s="4284"/>
      <c r="D1018" s="4282"/>
      <c r="E1018" s="4282"/>
      <c r="F1018" s="4282"/>
      <c r="G1018" s="4282"/>
      <c r="H1018" s="4282"/>
      <c r="I1018" s="4282"/>
      <c r="J1018" s="4282"/>
      <c r="K1018" s="4287"/>
      <c r="L1018" s="4289"/>
      <c r="M1018" s="1158" t="s">
        <v>215</v>
      </c>
      <c r="N1018" s="1923" t="s">
        <v>1370</v>
      </c>
      <c r="O1018" s="352"/>
      <c r="P1018" s="352"/>
      <c r="Q1018" s="352"/>
      <c r="R1018" s="352"/>
      <c r="S1018" s="352"/>
      <c r="T1018" s="352"/>
      <c r="U1018" s="352"/>
      <c r="V1018" s="352"/>
      <c r="W1018" s="352"/>
      <c r="X1018" s="352"/>
      <c r="Y1018" s="352"/>
      <c r="Z1018" s="352"/>
      <c r="AA1018" s="1592"/>
    </row>
    <row r="1019" spans="1:27" ht="33.75" x14ac:dyDescent="0.25">
      <c r="A1019" s="2903"/>
      <c r="B1019" s="4282"/>
      <c r="C1019" s="4284"/>
      <c r="D1019" s="4282"/>
      <c r="E1019" s="4282"/>
      <c r="F1019" s="4282"/>
      <c r="G1019" s="4282"/>
      <c r="H1019" s="4282"/>
      <c r="I1019" s="4282"/>
      <c r="J1019" s="4282"/>
      <c r="K1019" s="4287"/>
      <c r="L1019" s="4289"/>
      <c r="M1019" s="86" t="s">
        <v>208</v>
      </c>
      <c r="N1019" s="1927" t="s">
        <v>553</v>
      </c>
      <c r="O1019" s="352">
        <v>36150</v>
      </c>
      <c r="P1019" s="352">
        <v>36150</v>
      </c>
      <c r="Q1019" s="352">
        <v>36150</v>
      </c>
      <c r="R1019" s="352">
        <v>36150</v>
      </c>
      <c r="S1019" s="352">
        <v>36150</v>
      </c>
      <c r="T1019" s="352">
        <v>36150</v>
      </c>
      <c r="U1019" s="352">
        <v>36150</v>
      </c>
      <c r="V1019" s="352">
        <v>36150</v>
      </c>
      <c r="W1019" s="352">
        <v>36150</v>
      </c>
      <c r="X1019" s="352">
        <v>36150</v>
      </c>
      <c r="Y1019" s="352">
        <v>36150</v>
      </c>
      <c r="Z1019" s="352">
        <v>36150</v>
      </c>
      <c r="AA1019" s="1592">
        <f t="shared" si="110"/>
        <v>433800</v>
      </c>
    </row>
    <row r="1020" spans="1:27" ht="22.5" x14ac:dyDescent="0.25">
      <c r="A1020" s="2903"/>
      <c r="B1020" s="2354"/>
      <c r="C1020" s="4285"/>
      <c r="D1020" s="2354"/>
      <c r="E1020" s="2354"/>
      <c r="F1020" s="2354"/>
      <c r="G1020" s="2354"/>
      <c r="H1020" s="2354"/>
      <c r="I1020" s="2354"/>
      <c r="J1020" s="2354"/>
      <c r="K1020" s="4288"/>
      <c r="L1020" s="2358"/>
      <c r="M1020" s="86" t="s">
        <v>210</v>
      </c>
      <c r="N1020" s="1927" t="s">
        <v>554</v>
      </c>
      <c r="O1020" s="352">
        <v>900</v>
      </c>
      <c r="P1020" s="352">
        <v>900</v>
      </c>
      <c r="Q1020" s="352">
        <v>900</v>
      </c>
      <c r="R1020" s="352">
        <v>900</v>
      </c>
      <c r="S1020" s="352">
        <v>900</v>
      </c>
      <c r="T1020" s="352">
        <v>900</v>
      </c>
      <c r="U1020" s="352">
        <v>900</v>
      </c>
      <c r="V1020" s="352">
        <v>900</v>
      </c>
      <c r="W1020" s="352">
        <v>900</v>
      </c>
      <c r="X1020" s="352">
        <v>900</v>
      </c>
      <c r="Y1020" s="352">
        <v>900</v>
      </c>
      <c r="Z1020" s="352">
        <v>900</v>
      </c>
      <c r="AA1020" s="1592">
        <f t="shared" si="110"/>
        <v>10800</v>
      </c>
    </row>
    <row r="1021" spans="1:27" x14ac:dyDescent="0.25">
      <c r="A1021" s="2903"/>
      <c r="B1021" s="2353"/>
      <c r="C1021" s="4283"/>
      <c r="D1021" s="2353" t="s">
        <v>3530</v>
      </c>
      <c r="E1021" s="2353"/>
      <c r="F1021" s="2353"/>
      <c r="G1021" s="4286"/>
      <c r="H1021" s="2353" t="s">
        <v>3531</v>
      </c>
      <c r="I1021" s="2353" t="s">
        <v>2279</v>
      </c>
      <c r="J1021" s="2353">
        <v>100</v>
      </c>
      <c r="K1021" s="4286">
        <v>0</v>
      </c>
      <c r="L1021" s="2357" t="s">
        <v>3529</v>
      </c>
      <c r="M1021" s="2974" t="s">
        <v>51</v>
      </c>
      <c r="N1021" s="2975"/>
      <c r="O1021" s="481"/>
      <c r="P1021" s="481"/>
      <c r="Q1021" s="481"/>
      <c r="R1021" s="481"/>
      <c r="S1021" s="481"/>
      <c r="T1021" s="480"/>
      <c r="U1021" s="481"/>
      <c r="V1021" s="481"/>
      <c r="W1021" s="481"/>
      <c r="X1021" s="481"/>
      <c r="Y1021" s="481"/>
      <c r="Z1021" s="481"/>
      <c r="AA1021" s="1592"/>
    </row>
    <row r="1022" spans="1:27" x14ac:dyDescent="0.25">
      <c r="A1022" s="2903"/>
      <c r="B1022" s="4282"/>
      <c r="C1022" s="4284"/>
      <c r="D1022" s="4282"/>
      <c r="E1022" s="4282"/>
      <c r="F1022" s="4282"/>
      <c r="G1022" s="4282"/>
      <c r="H1022" s="4282"/>
      <c r="I1022" s="4282"/>
      <c r="J1022" s="4282"/>
      <c r="K1022" s="4287"/>
      <c r="L1022" s="4289"/>
      <c r="M1022" s="2974" t="s">
        <v>111</v>
      </c>
      <c r="N1022" s="2975"/>
      <c r="O1022" s="480"/>
      <c r="P1022" s="480"/>
      <c r="Q1022" s="480"/>
      <c r="R1022" s="480"/>
      <c r="S1022" s="480"/>
      <c r="T1022" s="480"/>
      <c r="U1022" s="480"/>
      <c r="V1022" s="480"/>
      <c r="W1022" s="480"/>
      <c r="X1022" s="480"/>
      <c r="Y1022" s="480"/>
      <c r="Z1022" s="480"/>
      <c r="AA1022" s="1596"/>
    </row>
    <row r="1023" spans="1:27" x14ac:dyDescent="0.25">
      <c r="A1023" s="2903"/>
      <c r="B1023" s="4282"/>
      <c r="C1023" s="4284"/>
      <c r="D1023" s="4282"/>
      <c r="E1023" s="4282"/>
      <c r="F1023" s="4282"/>
      <c r="G1023" s="4282"/>
      <c r="H1023" s="4282"/>
      <c r="I1023" s="4282"/>
      <c r="J1023" s="4282"/>
      <c r="K1023" s="4287"/>
      <c r="L1023" s="4289"/>
      <c r="M1023" s="1158" t="s">
        <v>184</v>
      </c>
      <c r="N1023" s="1923" t="s">
        <v>1365</v>
      </c>
      <c r="O1023" s="352"/>
      <c r="P1023" s="352"/>
      <c r="Q1023" s="352"/>
      <c r="R1023" s="352"/>
      <c r="S1023" s="352"/>
      <c r="T1023" s="352"/>
      <c r="U1023" s="352"/>
      <c r="V1023" s="352"/>
      <c r="W1023" s="352"/>
      <c r="X1023" s="352"/>
      <c r="Y1023" s="352"/>
      <c r="Z1023" s="352"/>
      <c r="AA1023" s="1592"/>
    </row>
    <row r="1024" spans="1:27" x14ac:dyDescent="0.25">
      <c r="A1024" s="2903"/>
      <c r="B1024" s="4282"/>
      <c r="C1024" s="4284"/>
      <c r="D1024" s="4282"/>
      <c r="E1024" s="4282"/>
      <c r="F1024" s="4282"/>
      <c r="G1024" s="4282"/>
      <c r="H1024" s="4282"/>
      <c r="I1024" s="4282"/>
      <c r="J1024" s="4282"/>
      <c r="K1024" s="4287"/>
      <c r="L1024" s="4289"/>
      <c r="M1024" s="1158" t="s">
        <v>194</v>
      </c>
      <c r="N1024" s="1923" t="s">
        <v>1372</v>
      </c>
      <c r="O1024" s="352"/>
      <c r="P1024" s="352"/>
      <c r="Q1024" s="352"/>
      <c r="R1024" s="352"/>
      <c r="S1024" s="352"/>
      <c r="T1024" s="352"/>
      <c r="U1024" s="352"/>
      <c r="V1024" s="352"/>
      <c r="W1024" s="352"/>
      <c r="X1024" s="352"/>
      <c r="Y1024" s="352"/>
      <c r="Z1024" s="352"/>
      <c r="AA1024" s="1592"/>
    </row>
    <row r="1025" spans="1:27" x14ac:dyDescent="0.25">
      <c r="A1025" s="2903"/>
      <c r="B1025" s="4282"/>
      <c r="C1025" s="4284"/>
      <c r="D1025" s="4282"/>
      <c r="E1025" s="4282"/>
      <c r="F1025" s="4282"/>
      <c r="G1025" s="4282"/>
      <c r="H1025" s="4282"/>
      <c r="I1025" s="4282"/>
      <c r="J1025" s="4282"/>
      <c r="K1025" s="4287"/>
      <c r="L1025" s="4289"/>
      <c r="M1025" s="1158" t="s">
        <v>215</v>
      </c>
      <c r="N1025" s="1923" t="s">
        <v>1370</v>
      </c>
      <c r="O1025" s="352"/>
      <c r="P1025" s="352"/>
      <c r="Q1025" s="352"/>
      <c r="R1025" s="352"/>
      <c r="S1025" s="352"/>
      <c r="T1025" s="352"/>
      <c r="U1025" s="352"/>
      <c r="V1025" s="352"/>
      <c r="W1025" s="352"/>
      <c r="X1025" s="352"/>
      <c r="Y1025" s="352"/>
      <c r="Z1025" s="352"/>
      <c r="AA1025" s="1592"/>
    </row>
    <row r="1026" spans="1:27" ht="33.75" x14ac:dyDescent="0.25">
      <c r="A1026" s="2903"/>
      <c r="B1026" s="4282"/>
      <c r="C1026" s="4284"/>
      <c r="D1026" s="4282"/>
      <c r="E1026" s="4282"/>
      <c r="F1026" s="4282"/>
      <c r="G1026" s="4282"/>
      <c r="H1026" s="4282"/>
      <c r="I1026" s="4282"/>
      <c r="J1026" s="4282"/>
      <c r="K1026" s="4287"/>
      <c r="L1026" s="4289"/>
      <c r="M1026" s="86" t="s">
        <v>208</v>
      </c>
      <c r="N1026" s="1927" t="s">
        <v>553</v>
      </c>
      <c r="O1026" s="352"/>
      <c r="P1026" s="352"/>
      <c r="Q1026" s="352"/>
      <c r="R1026" s="352"/>
      <c r="S1026" s="352"/>
      <c r="T1026" s="352"/>
      <c r="U1026" s="352"/>
      <c r="V1026" s="352"/>
      <c r="W1026" s="352"/>
      <c r="X1026" s="352"/>
      <c r="Y1026" s="352"/>
      <c r="Z1026" s="352"/>
      <c r="AA1026" s="1636"/>
    </row>
    <row r="1027" spans="1:27" ht="22.5" x14ac:dyDescent="0.25">
      <c r="A1027" s="2903"/>
      <c r="B1027" s="2354"/>
      <c r="C1027" s="4285"/>
      <c r="D1027" s="2354"/>
      <c r="E1027" s="2354"/>
      <c r="F1027" s="2354"/>
      <c r="G1027" s="2354"/>
      <c r="H1027" s="2354"/>
      <c r="I1027" s="2354"/>
      <c r="J1027" s="2354"/>
      <c r="K1027" s="4288"/>
      <c r="L1027" s="2358"/>
      <c r="M1027" s="86" t="s">
        <v>210</v>
      </c>
      <c r="N1027" s="1927" t="s">
        <v>1371</v>
      </c>
      <c r="O1027" s="352"/>
      <c r="P1027" s="352"/>
      <c r="Q1027" s="352"/>
      <c r="R1027" s="352"/>
      <c r="S1027" s="352"/>
      <c r="T1027" s="352"/>
      <c r="U1027" s="352"/>
      <c r="V1027" s="352"/>
      <c r="W1027" s="352"/>
      <c r="X1027" s="352"/>
      <c r="Y1027" s="352"/>
      <c r="Z1027" s="352"/>
      <c r="AA1027" s="1592"/>
    </row>
    <row r="1028" spans="1:27" x14ac:dyDescent="0.25">
      <c r="A1028" s="2903"/>
      <c r="B1028" s="2353"/>
      <c r="C1028" s="4283"/>
      <c r="D1028" s="2353" t="s">
        <v>3532</v>
      </c>
      <c r="E1028" s="2353"/>
      <c r="F1028" s="2353"/>
      <c r="G1028" s="4286"/>
      <c r="H1028" s="2353" t="s">
        <v>3533</v>
      </c>
      <c r="I1028" s="2353" t="s">
        <v>2279</v>
      </c>
      <c r="J1028" s="2353">
        <v>50</v>
      </c>
      <c r="K1028" s="4286">
        <v>0</v>
      </c>
      <c r="L1028" s="2357" t="s">
        <v>3529</v>
      </c>
      <c r="M1028" s="2974" t="s">
        <v>51</v>
      </c>
      <c r="N1028" s="2975"/>
      <c r="O1028" s="481"/>
      <c r="P1028" s="481"/>
      <c r="Q1028" s="481"/>
      <c r="R1028" s="481"/>
      <c r="S1028" s="481"/>
      <c r="T1028" s="481"/>
      <c r="U1028" s="481"/>
      <c r="V1028" s="481"/>
      <c r="W1028" s="481"/>
      <c r="X1028" s="481"/>
      <c r="Y1028" s="481"/>
      <c r="Z1028" s="481"/>
      <c r="AA1028" s="1592"/>
    </row>
    <row r="1029" spans="1:27" x14ac:dyDescent="0.25">
      <c r="A1029" s="2903"/>
      <c r="B1029" s="4282"/>
      <c r="C1029" s="4284"/>
      <c r="D1029" s="4282"/>
      <c r="E1029" s="4282"/>
      <c r="F1029" s="4282"/>
      <c r="G1029" s="4282"/>
      <c r="H1029" s="4282"/>
      <c r="I1029" s="4282"/>
      <c r="J1029" s="4282"/>
      <c r="K1029" s="4287"/>
      <c r="L1029" s="4289"/>
      <c r="M1029" s="2974" t="s">
        <v>111</v>
      </c>
      <c r="N1029" s="2975"/>
      <c r="O1029" s="481"/>
      <c r="P1029" s="481"/>
      <c r="Q1029" s="481"/>
      <c r="R1029" s="481"/>
      <c r="S1029" s="481"/>
      <c r="T1029" s="481"/>
      <c r="U1029" s="481"/>
      <c r="V1029" s="481"/>
      <c r="W1029" s="481"/>
      <c r="X1029" s="481"/>
      <c r="Y1029" s="481"/>
      <c r="Z1029" s="481"/>
      <c r="AA1029" s="1592"/>
    </row>
    <row r="1030" spans="1:27" x14ac:dyDescent="0.25">
      <c r="A1030" s="2903"/>
      <c r="B1030" s="4282"/>
      <c r="C1030" s="4284"/>
      <c r="D1030" s="4282"/>
      <c r="E1030" s="4282"/>
      <c r="F1030" s="4282"/>
      <c r="G1030" s="4282"/>
      <c r="H1030" s="4282"/>
      <c r="I1030" s="4282"/>
      <c r="J1030" s="4282"/>
      <c r="K1030" s="4287"/>
      <c r="L1030" s="4289"/>
      <c r="M1030" s="1158" t="s">
        <v>184</v>
      </c>
      <c r="N1030" s="1923" t="s">
        <v>1365</v>
      </c>
      <c r="O1030" s="352"/>
      <c r="P1030" s="352"/>
      <c r="Q1030" s="352"/>
      <c r="R1030" s="352"/>
      <c r="S1030" s="352"/>
      <c r="T1030" s="352"/>
      <c r="U1030" s="352"/>
      <c r="V1030" s="352"/>
      <c r="W1030" s="352"/>
      <c r="X1030" s="352"/>
      <c r="Y1030" s="352"/>
      <c r="Z1030" s="352"/>
      <c r="AA1030" s="1592"/>
    </row>
    <row r="1031" spans="1:27" x14ac:dyDescent="0.25">
      <c r="A1031" s="2903"/>
      <c r="B1031" s="4282"/>
      <c r="C1031" s="4284"/>
      <c r="D1031" s="4282"/>
      <c r="E1031" s="4282"/>
      <c r="F1031" s="4282"/>
      <c r="G1031" s="4282"/>
      <c r="H1031" s="4282"/>
      <c r="I1031" s="4282"/>
      <c r="J1031" s="4282"/>
      <c r="K1031" s="4287"/>
      <c r="L1031" s="4289"/>
      <c r="M1031" s="1158" t="s">
        <v>194</v>
      </c>
      <c r="N1031" s="1923" t="s">
        <v>1372</v>
      </c>
      <c r="O1031" s="352"/>
      <c r="P1031" s="352"/>
      <c r="Q1031" s="352"/>
      <c r="R1031" s="352"/>
      <c r="S1031" s="352"/>
      <c r="T1031" s="352"/>
      <c r="U1031" s="352"/>
      <c r="V1031" s="352"/>
      <c r="W1031" s="352"/>
      <c r="X1031" s="352"/>
      <c r="Y1031" s="352"/>
      <c r="Z1031" s="352"/>
      <c r="AA1031" s="1592"/>
    </row>
    <row r="1032" spans="1:27" x14ac:dyDescent="0.25">
      <c r="A1032" s="2903"/>
      <c r="B1032" s="4282"/>
      <c r="C1032" s="4284"/>
      <c r="D1032" s="4282"/>
      <c r="E1032" s="4282"/>
      <c r="F1032" s="4282"/>
      <c r="G1032" s="4282"/>
      <c r="H1032" s="4282"/>
      <c r="I1032" s="4282"/>
      <c r="J1032" s="4282"/>
      <c r="K1032" s="4287"/>
      <c r="L1032" s="4289"/>
      <c r="M1032" s="1158" t="s">
        <v>215</v>
      </c>
      <c r="N1032" s="1923" t="s">
        <v>1370</v>
      </c>
      <c r="O1032" s="352"/>
      <c r="P1032" s="352"/>
      <c r="Q1032" s="352"/>
      <c r="R1032" s="352"/>
      <c r="S1032" s="352"/>
      <c r="T1032" s="352"/>
      <c r="U1032" s="352"/>
      <c r="V1032" s="352"/>
      <c r="W1032" s="352"/>
      <c r="X1032" s="352"/>
      <c r="Y1032" s="352"/>
      <c r="Z1032" s="352"/>
      <c r="AA1032" s="1592"/>
    </row>
    <row r="1033" spans="1:27" ht="33.75" x14ac:dyDescent="0.25">
      <c r="A1033" s="2903"/>
      <c r="B1033" s="4282"/>
      <c r="C1033" s="4284"/>
      <c r="D1033" s="4282"/>
      <c r="E1033" s="4282"/>
      <c r="F1033" s="4282"/>
      <c r="G1033" s="4282"/>
      <c r="H1033" s="4282"/>
      <c r="I1033" s="4282"/>
      <c r="J1033" s="4282"/>
      <c r="K1033" s="4287"/>
      <c r="L1033" s="4289"/>
      <c r="M1033" s="86" t="s">
        <v>208</v>
      </c>
      <c r="N1033" s="1927" t="s">
        <v>553</v>
      </c>
      <c r="O1033" s="352"/>
      <c r="P1033" s="352"/>
      <c r="Q1033" s="352"/>
      <c r="R1033" s="352"/>
      <c r="S1033" s="352"/>
      <c r="T1033" s="352"/>
      <c r="U1033" s="352"/>
      <c r="V1033" s="352"/>
      <c r="W1033" s="352"/>
      <c r="X1033" s="352"/>
      <c r="Y1033" s="352"/>
      <c r="Z1033" s="352"/>
      <c r="AA1033" s="1592"/>
    </row>
    <row r="1034" spans="1:27" ht="22.5" x14ac:dyDescent="0.25">
      <c r="A1034" s="2903"/>
      <c r="B1034" s="2354"/>
      <c r="C1034" s="4285"/>
      <c r="D1034" s="2354"/>
      <c r="E1034" s="2354"/>
      <c r="F1034" s="2354"/>
      <c r="G1034" s="2354"/>
      <c r="H1034" s="2354"/>
      <c r="I1034" s="2354"/>
      <c r="J1034" s="2354"/>
      <c r="K1034" s="4288"/>
      <c r="L1034" s="2358"/>
      <c r="M1034" s="86" t="s">
        <v>210</v>
      </c>
      <c r="N1034" s="1927" t="s">
        <v>1371</v>
      </c>
      <c r="O1034" s="352"/>
      <c r="P1034" s="352"/>
      <c r="Q1034" s="352"/>
      <c r="R1034" s="352"/>
      <c r="S1034" s="352"/>
      <c r="T1034" s="352"/>
      <c r="U1034" s="352"/>
      <c r="V1034" s="352"/>
      <c r="W1034" s="352"/>
      <c r="X1034" s="352"/>
      <c r="Y1034" s="352"/>
      <c r="Z1034" s="352"/>
      <c r="AA1034" s="1592"/>
    </row>
    <row r="1035" spans="1:27" x14ac:dyDescent="0.25">
      <c r="A1035" s="2903"/>
      <c r="B1035" s="2353"/>
      <c r="C1035" s="4283"/>
      <c r="D1035" s="2353" t="s">
        <v>3534</v>
      </c>
      <c r="E1035" s="2353"/>
      <c r="F1035" s="2353"/>
      <c r="G1035" s="2353"/>
      <c r="H1035" s="2353" t="s">
        <v>3535</v>
      </c>
      <c r="I1035" s="2353" t="s">
        <v>2279</v>
      </c>
      <c r="J1035" s="2353">
        <v>60</v>
      </c>
      <c r="K1035" s="4286">
        <v>0</v>
      </c>
      <c r="L1035" s="2357" t="s">
        <v>3529</v>
      </c>
      <c r="M1035" s="2974" t="s">
        <v>51</v>
      </c>
      <c r="N1035" s="2975"/>
      <c r="O1035" s="481"/>
      <c r="P1035" s="481"/>
      <c r="Q1035" s="481"/>
      <c r="R1035" s="481"/>
      <c r="S1035" s="481"/>
      <c r="T1035" s="481"/>
      <c r="U1035" s="481"/>
      <c r="V1035" s="481"/>
      <c r="W1035" s="481"/>
      <c r="X1035" s="481"/>
      <c r="Y1035" s="481"/>
      <c r="Z1035" s="481"/>
      <c r="AA1035" s="1592"/>
    </row>
    <row r="1036" spans="1:27" x14ac:dyDescent="0.25">
      <c r="A1036" s="2903"/>
      <c r="B1036" s="4282"/>
      <c r="C1036" s="4284"/>
      <c r="D1036" s="4282"/>
      <c r="E1036" s="4282"/>
      <c r="F1036" s="4282"/>
      <c r="G1036" s="4282"/>
      <c r="H1036" s="4282"/>
      <c r="I1036" s="4282"/>
      <c r="J1036" s="4282"/>
      <c r="K1036" s="4287"/>
      <c r="L1036" s="4289"/>
      <c r="M1036" s="2974" t="s">
        <v>111</v>
      </c>
      <c r="N1036" s="2975"/>
      <c r="O1036" s="481"/>
      <c r="P1036" s="481"/>
      <c r="Q1036" s="481"/>
      <c r="R1036" s="481"/>
      <c r="S1036" s="481"/>
      <c r="T1036" s="481"/>
      <c r="U1036" s="481"/>
      <c r="V1036" s="481"/>
      <c r="W1036" s="481"/>
      <c r="X1036" s="481"/>
      <c r="Y1036" s="481"/>
      <c r="Z1036" s="481"/>
      <c r="AA1036" s="1592"/>
    </row>
    <row r="1037" spans="1:27" x14ac:dyDescent="0.25">
      <c r="A1037" s="2903"/>
      <c r="B1037" s="4282"/>
      <c r="C1037" s="4284"/>
      <c r="D1037" s="4282"/>
      <c r="E1037" s="4282"/>
      <c r="F1037" s="4282"/>
      <c r="G1037" s="4282"/>
      <c r="H1037" s="4282"/>
      <c r="I1037" s="4282"/>
      <c r="J1037" s="4282"/>
      <c r="K1037" s="4287"/>
      <c r="L1037" s="4289"/>
      <c r="M1037" s="1158" t="s">
        <v>184</v>
      </c>
      <c r="N1037" s="1923" t="s">
        <v>1365</v>
      </c>
      <c r="O1037" s="352"/>
      <c r="P1037" s="352"/>
      <c r="Q1037" s="352"/>
      <c r="R1037" s="352"/>
      <c r="S1037" s="352"/>
      <c r="T1037" s="352"/>
      <c r="U1037" s="352"/>
      <c r="V1037" s="352"/>
      <c r="W1037" s="352"/>
      <c r="X1037" s="352"/>
      <c r="Y1037" s="352"/>
      <c r="Z1037" s="352"/>
      <c r="AA1037" s="1592"/>
    </row>
    <row r="1038" spans="1:27" x14ac:dyDescent="0.25">
      <c r="A1038" s="2903"/>
      <c r="B1038" s="4282"/>
      <c r="C1038" s="4284"/>
      <c r="D1038" s="4282"/>
      <c r="E1038" s="4282"/>
      <c r="F1038" s="4282"/>
      <c r="G1038" s="4282"/>
      <c r="H1038" s="4282"/>
      <c r="I1038" s="4282"/>
      <c r="J1038" s="4282"/>
      <c r="K1038" s="4287"/>
      <c r="L1038" s="4289"/>
      <c r="M1038" s="1158" t="s">
        <v>194</v>
      </c>
      <c r="N1038" s="1923" t="s">
        <v>1372</v>
      </c>
      <c r="O1038" s="352"/>
      <c r="P1038" s="352"/>
      <c r="Q1038" s="352"/>
      <c r="R1038" s="352"/>
      <c r="S1038" s="352"/>
      <c r="T1038" s="352"/>
      <c r="U1038" s="352"/>
      <c r="V1038" s="352"/>
      <c r="W1038" s="352"/>
      <c r="X1038" s="352"/>
      <c r="Y1038" s="352"/>
      <c r="Z1038" s="352"/>
      <c r="AA1038" s="1592"/>
    </row>
    <row r="1039" spans="1:27" x14ac:dyDescent="0.25">
      <c r="A1039" s="2903"/>
      <c r="B1039" s="4282"/>
      <c r="C1039" s="4284"/>
      <c r="D1039" s="4282"/>
      <c r="E1039" s="4282"/>
      <c r="F1039" s="4282"/>
      <c r="G1039" s="4282"/>
      <c r="H1039" s="4282"/>
      <c r="I1039" s="4282"/>
      <c r="J1039" s="4282"/>
      <c r="K1039" s="4287"/>
      <c r="L1039" s="4289"/>
      <c r="M1039" s="1158" t="s">
        <v>215</v>
      </c>
      <c r="N1039" s="1923" t="s">
        <v>1370</v>
      </c>
      <c r="O1039" s="352"/>
      <c r="P1039" s="352"/>
      <c r="Q1039" s="352"/>
      <c r="R1039" s="352"/>
      <c r="S1039" s="352"/>
      <c r="T1039" s="352"/>
      <c r="U1039" s="352"/>
      <c r="V1039" s="352"/>
      <c r="W1039" s="352"/>
      <c r="X1039" s="352"/>
      <c r="Y1039" s="352"/>
      <c r="Z1039" s="352"/>
      <c r="AA1039" s="1592"/>
    </row>
    <row r="1040" spans="1:27" ht="33.75" x14ac:dyDescent="0.25">
      <c r="A1040" s="2903"/>
      <c r="B1040" s="4282"/>
      <c r="C1040" s="4284"/>
      <c r="D1040" s="4282"/>
      <c r="E1040" s="4282"/>
      <c r="F1040" s="4282"/>
      <c r="G1040" s="4282"/>
      <c r="H1040" s="4282"/>
      <c r="I1040" s="4282"/>
      <c r="J1040" s="4282"/>
      <c r="K1040" s="4287"/>
      <c r="L1040" s="4289"/>
      <c r="M1040" s="86" t="s">
        <v>208</v>
      </c>
      <c r="N1040" s="1927" t="s">
        <v>553</v>
      </c>
      <c r="O1040" s="352"/>
      <c r="P1040" s="352"/>
      <c r="Q1040" s="352"/>
      <c r="R1040" s="352"/>
      <c r="S1040" s="352"/>
      <c r="T1040" s="352"/>
      <c r="U1040" s="352"/>
      <c r="V1040" s="352"/>
      <c r="W1040" s="352"/>
      <c r="X1040" s="352"/>
      <c r="Y1040" s="352"/>
      <c r="Z1040" s="352"/>
      <c r="AA1040" s="1592"/>
    </row>
    <row r="1041" spans="1:27" ht="22.5" x14ac:dyDescent="0.25">
      <c r="A1041" s="2903"/>
      <c r="B1041" s="2354"/>
      <c r="C1041" s="4285"/>
      <c r="D1041" s="2354"/>
      <c r="E1041" s="2354"/>
      <c r="F1041" s="2354"/>
      <c r="G1041" s="2354"/>
      <c r="H1041" s="2354"/>
      <c r="I1041" s="2354"/>
      <c r="J1041" s="2354"/>
      <c r="K1041" s="4288"/>
      <c r="L1041" s="2358"/>
      <c r="M1041" s="86" t="s">
        <v>210</v>
      </c>
      <c r="N1041" s="1927" t="s">
        <v>1371</v>
      </c>
      <c r="O1041" s="352"/>
      <c r="P1041" s="352"/>
      <c r="Q1041" s="352"/>
      <c r="R1041" s="352"/>
      <c r="S1041" s="352"/>
      <c r="T1041" s="352"/>
      <c r="U1041" s="352"/>
      <c r="V1041" s="352"/>
      <c r="W1041" s="352"/>
      <c r="X1041" s="352"/>
      <c r="Y1041" s="352"/>
      <c r="Z1041" s="352"/>
      <c r="AA1041" s="1592"/>
    </row>
    <row r="1042" spans="1:27" x14ac:dyDescent="0.25">
      <c r="A1042" s="2903"/>
      <c r="B1042" s="2353"/>
      <c r="C1042" s="4283"/>
      <c r="D1042" s="2353" t="s">
        <v>3536</v>
      </c>
      <c r="E1042" s="2353"/>
      <c r="F1042" s="2353"/>
      <c r="G1042" s="2353"/>
      <c r="H1042" s="2353" t="s">
        <v>3537</v>
      </c>
      <c r="I1042" s="2353" t="s">
        <v>3538</v>
      </c>
      <c r="J1042" s="2353">
        <v>80</v>
      </c>
      <c r="K1042" s="4286">
        <v>18685</v>
      </c>
      <c r="L1042" s="2357" t="s">
        <v>3529</v>
      </c>
      <c r="M1042" s="2974" t="s">
        <v>51</v>
      </c>
      <c r="N1042" s="2975"/>
      <c r="O1042" s="481"/>
      <c r="P1042" s="481"/>
      <c r="Q1042" s="481"/>
      <c r="R1042" s="481"/>
      <c r="S1042" s="481"/>
      <c r="T1042" s="481"/>
      <c r="U1042" s="481"/>
      <c r="V1042" s="481"/>
      <c r="W1042" s="481"/>
      <c r="X1042" s="481"/>
      <c r="Y1042" s="481"/>
      <c r="Z1042" s="481"/>
      <c r="AA1042" s="1592"/>
    </row>
    <row r="1043" spans="1:27" x14ac:dyDescent="0.25">
      <c r="A1043" s="2903"/>
      <c r="B1043" s="4282"/>
      <c r="C1043" s="4284"/>
      <c r="D1043" s="4282"/>
      <c r="E1043" s="4282"/>
      <c r="F1043" s="4282"/>
      <c r="G1043" s="4282"/>
      <c r="H1043" s="4282"/>
      <c r="I1043" s="4282"/>
      <c r="J1043" s="4282"/>
      <c r="K1043" s="4287"/>
      <c r="L1043" s="4289"/>
      <c r="M1043" s="2974" t="s">
        <v>111</v>
      </c>
      <c r="N1043" s="2975"/>
      <c r="O1043" s="481"/>
      <c r="P1043" s="481"/>
      <c r="Q1043" s="481"/>
      <c r="R1043" s="481"/>
      <c r="S1043" s="481"/>
      <c r="T1043" s="481"/>
      <c r="U1043" s="481"/>
      <c r="V1043" s="481"/>
      <c r="W1043" s="481"/>
      <c r="X1043" s="481"/>
      <c r="Y1043" s="481"/>
      <c r="Z1043" s="481"/>
      <c r="AA1043" s="1592"/>
    </row>
    <row r="1044" spans="1:27" x14ac:dyDescent="0.25">
      <c r="A1044" s="2903"/>
      <c r="B1044" s="4282"/>
      <c r="C1044" s="4284"/>
      <c r="D1044" s="4282"/>
      <c r="E1044" s="4282"/>
      <c r="F1044" s="4282"/>
      <c r="G1044" s="4282"/>
      <c r="H1044" s="4282"/>
      <c r="I1044" s="4282"/>
      <c r="J1044" s="4282"/>
      <c r="K1044" s="4287"/>
      <c r="L1044" s="4289"/>
      <c r="M1044" s="1158" t="s">
        <v>184</v>
      </c>
      <c r="N1044" s="1923" t="s">
        <v>1365</v>
      </c>
      <c r="O1044" s="352"/>
      <c r="P1044" s="352"/>
      <c r="Q1044" s="352"/>
      <c r="R1044" s="352"/>
      <c r="S1044" s="352"/>
      <c r="T1044" s="352"/>
      <c r="U1044" s="352"/>
      <c r="V1044" s="352"/>
      <c r="W1044" s="352"/>
      <c r="X1044" s="352"/>
      <c r="Y1044" s="352"/>
      <c r="Z1044" s="352"/>
      <c r="AA1044" s="1592"/>
    </row>
    <row r="1045" spans="1:27" x14ac:dyDescent="0.25">
      <c r="A1045" s="2903"/>
      <c r="B1045" s="4282"/>
      <c r="C1045" s="4284"/>
      <c r="D1045" s="4282"/>
      <c r="E1045" s="4282"/>
      <c r="F1045" s="4282"/>
      <c r="G1045" s="4282"/>
      <c r="H1045" s="4282"/>
      <c r="I1045" s="4282"/>
      <c r="J1045" s="4282"/>
      <c r="K1045" s="4287"/>
      <c r="L1045" s="4289"/>
      <c r="M1045" s="1158" t="s">
        <v>194</v>
      </c>
      <c r="N1045" s="1923" t="s">
        <v>1372</v>
      </c>
      <c r="O1045" s="352"/>
      <c r="P1045" s="352">
        <v>1698</v>
      </c>
      <c r="Q1045" s="352">
        <v>1698</v>
      </c>
      <c r="R1045" s="352">
        <v>1698</v>
      </c>
      <c r="S1045" s="352">
        <v>1698</v>
      </c>
      <c r="T1045" s="352">
        <v>1698</v>
      </c>
      <c r="U1045" s="352">
        <v>1698</v>
      </c>
      <c r="V1045" s="352">
        <v>1705</v>
      </c>
      <c r="W1045" s="352">
        <v>1698</v>
      </c>
      <c r="X1045" s="352">
        <v>1698</v>
      </c>
      <c r="Y1045" s="352">
        <v>1698</v>
      </c>
      <c r="Z1045" s="352">
        <v>1698</v>
      </c>
      <c r="AA1045" s="1592">
        <f>SUM(P1045:Z1045)</f>
        <v>18685</v>
      </c>
    </row>
    <row r="1046" spans="1:27" x14ac:dyDescent="0.25">
      <c r="A1046" s="2903"/>
      <c r="B1046" s="4282"/>
      <c r="C1046" s="4284"/>
      <c r="D1046" s="4282"/>
      <c r="E1046" s="4282"/>
      <c r="F1046" s="4282"/>
      <c r="G1046" s="4282"/>
      <c r="H1046" s="4282"/>
      <c r="I1046" s="4282"/>
      <c r="J1046" s="4282"/>
      <c r="K1046" s="4287"/>
      <c r="L1046" s="4289"/>
      <c r="M1046" s="1158" t="s">
        <v>215</v>
      </c>
      <c r="N1046" s="1923" t="s">
        <v>1370</v>
      </c>
      <c r="O1046" s="352"/>
      <c r="P1046" s="352"/>
      <c r="Q1046" s="352"/>
      <c r="R1046" s="352"/>
      <c r="S1046" s="352"/>
      <c r="T1046" s="352"/>
      <c r="U1046" s="352"/>
      <c r="V1046" s="352"/>
      <c r="W1046" s="352"/>
      <c r="X1046" s="352"/>
      <c r="Y1046" s="352"/>
      <c r="Z1046" s="352"/>
      <c r="AA1046" s="1592"/>
    </row>
    <row r="1047" spans="1:27" ht="33.75" x14ac:dyDescent="0.25">
      <c r="A1047" s="2903"/>
      <c r="B1047" s="4282"/>
      <c r="C1047" s="4284"/>
      <c r="D1047" s="4282"/>
      <c r="E1047" s="4282"/>
      <c r="F1047" s="4282"/>
      <c r="G1047" s="4282"/>
      <c r="H1047" s="4282"/>
      <c r="I1047" s="4282"/>
      <c r="J1047" s="4282"/>
      <c r="K1047" s="4287"/>
      <c r="L1047" s="4289"/>
      <c r="M1047" s="86" t="s">
        <v>208</v>
      </c>
      <c r="N1047" s="1927" t="s">
        <v>553</v>
      </c>
      <c r="O1047" s="352"/>
      <c r="P1047" s="352"/>
      <c r="Q1047" s="352"/>
      <c r="R1047" s="352"/>
      <c r="S1047" s="352"/>
      <c r="T1047" s="352"/>
      <c r="U1047" s="352"/>
      <c r="V1047" s="352"/>
      <c r="W1047" s="352"/>
      <c r="X1047" s="352"/>
      <c r="Y1047" s="352"/>
      <c r="Z1047" s="352"/>
      <c r="AA1047" s="1592"/>
    </row>
    <row r="1048" spans="1:27" ht="22.5" x14ac:dyDescent="0.25">
      <c r="A1048" s="2904"/>
      <c r="B1048" s="2354"/>
      <c r="C1048" s="4285"/>
      <c r="D1048" s="2354"/>
      <c r="E1048" s="2354"/>
      <c r="F1048" s="2354"/>
      <c r="G1048" s="2354"/>
      <c r="H1048" s="2354"/>
      <c r="I1048" s="2354"/>
      <c r="J1048" s="2354"/>
      <c r="K1048" s="4288"/>
      <c r="L1048" s="2358"/>
      <c r="M1048" s="86" t="s">
        <v>210</v>
      </c>
      <c r="N1048" s="1927" t="s">
        <v>1371</v>
      </c>
      <c r="O1048" s="352"/>
      <c r="P1048" s="352"/>
      <c r="Q1048" s="352"/>
      <c r="R1048" s="352"/>
      <c r="S1048" s="352"/>
      <c r="T1048" s="352"/>
      <c r="U1048" s="352"/>
      <c r="V1048" s="352"/>
      <c r="W1048" s="352"/>
      <c r="X1048" s="352"/>
      <c r="Y1048" s="352"/>
      <c r="Z1048" s="352"/>
      <c r="AA1048" s="1592"/>
    </row>
    <row r="1049" spans="1:27" x14ac:dyDescent="0.25">
      <c r="A1049" s="513"/>
      <c r="B1049" s="2353"/>
      <c r="C1049" s="4283"/>
      <c r="D1049" s="2353" t="s">
        <v>3539</v>
      </c>
      <c r="E1049" s="2353"/>
      <c r="F1049" s="2353"/>
      <c r="G1049" s="2353"/>
      <c r="H1049" s="2353" t="s">
        <v>3540</v>
      </c>
      <c r="I1049" s="2353" t="s">
        <v>2279</v>
      </c>
      <c r="J1049" s="2353">
        <v>30</v>
      </c>
      <c r="K1049" s="4286">
        <v>0</v>
      </c>
      <c r="L1049" s="2357" t="s">
        <v>3529</v>
      </c>
      <c r="M1049" s="2974" t="s">
        <v>51</v>
      </c>
      <c r="N1049" s="2975"/>
      <c r="O1049" s="481"/>
      <c r="P1049" s="481"/>
      <c r="Q1049" s="481"/>
      <c r="R1049" s="481"/>
      <c r="S1049" s="481"/>
      <c r="T1049" s="481"/>
      <c r="U1049" s="481"/>
      <c r="V1049" s="481"/>
      <c r="W1049" s="481"/>
      <c r="X1049" s="481"/>
      <c r="Y1049" s="481"/>
      <c r="Z1049" s="481"/>
      <c r="AA1049" s="1592"/>
    </row>
    <row r="1050" spans="1:27" x14ac:dyDescent="0.25">
      <c r="A1050" s="513"/>
      <c r="B1050" s="4282"/>
      <c r="C1050" s="4284"/>
      <c r="D1050" s="4282"/>
      <c r="E1050" s="4282"/>
      <c r="F1050" s="4282"/>
      <c r="G1050" s="4282"/>
      <c r="H1050" s="4282"/>
      <c r="I1050" s="4282"/>
      <c r="J1050" s="4282"/>
      <c r="K1050" s="4287"/>
      <c r="L1050" s="4289"/>
      <c r="M1050" s="2974" t="s">
        <v>111</v>
      </c>
      <c r="N1050" s="2975"/>
      <c r="O1050" s="481"/>
      <c r="P1050" s="481"/>
      <c r="Q1050" s="481"/>
      <c r="R1050" s="481"/>
      <c r="S1050" s="481"/>
      <c r="T1050" s="481"/>
      <c r="U1050" s="481"/>
      <c r="V1050" s="481"/>
      <c r="W1050" s="481"/>
      <c r="X1050" s="481"/>
      <c r="Y1050" s="481"/>
      <c r="Z1050" s="481"/>
      <c r="AA1050" s="1592"/>
    </row>
    <row r="1051" spans="1:27" x14ac:dyDescent="0.25">
      <c r="A1051" s="513"/>
      <c r="B1051" s="4282"/>
      <c r="C1051" s="4284"/>
      <c r="D1051" s="4282"/>
      <c r="E1051" s="4282"/>
      <c r="F1051" s="4282"/>
      <c r="G1051" s="4282"/>
      <c r="H1051" s="4282"/>
      <c r="I1051" s="4282"/>
      <c r="J1051" s="4282"/>
      <c r="K1051" s="4287"/>
      <c r="L1051" s="4289"/>
      <c r="M1051" s="1158" t="s">
        <v>184</v>
      </c>
      <c r="N1051" s="1923" t="s">
        <v>1365</v>
      </c>
      <c r="O1051" s="352"/>
      <c r="P1051" s="352"/>
      <c r="Q1051" s="352"/>
      <c r="R1051" s="352"/>
      <c r="S1051" s="352"/>
      <c r="T1051" s="352"/>
      <c r="U1051" s="352"/>
      <c r="V1051" s="352"/>
      <c r="W1051" s="352"/>
      <c r="X1051" s="352"/>
      <c r="Y1051" s="352"/>
      <c r="Z1051" s="352"/>
      <c r="AA1051" s="1592"/>
    </row>
    <row r="1052" spans="1:27" x14ac:dyDescent="0.25">
      <c r="A1052" s="513"/>
      <c r="B1052" s="4282"/>
      <c r="C1052" s="4284"/>
      <c r="D1052" s="4282"/>
      <c r="E1052" s="4282"/>
      <c r="F1052" s="4282"/>
      <c r="G1052" s="4282"/>
      <c r="H1052" s="4282"/>
      <c r="I1052" s="4282"/>
      <c r="J1052" s="4282"/>
      <c r="K1052" s="4287"/>
      <c r="L1052" s="4289"/>
      <c r="M1052" s="1158" t="s">
        <v>194</v>
      </c>
      <c r="N1052" s="1923" t="s">
        <v>1372</v>
      </c>
      <c r="O1052" s="352"/>
      <c r="P1052" s="352"/>
      <c r="Q1052" s="352"/>
      <c r="R1052" s="352"/>
      <c r="S1052" s="352"/>
      <c r="T1052" s="352"/>
      <c r="U1052" s="352"/>
      <c r="V1052" s="352"/>
      <c r="W1052" s="352"/>
      <c r="X1052" s="352"/>
      <c r="Y1052" s="352"/>
      <c r="Z1052" s="352"/>
      <c r="AA1052" s="1592"/>
    </row>
    <row r="1053" spans="1:27" x14ac:dyDescent="0.25">
      <c r="A1053" s="513"/>
      <c r="B1053" s="4282"/>
      <c r="C1053" s="4284"/>
      <c r="D1053" s="4282"/>
      <c r="E1053" s="4282"/>
      <c r="F1053" s="4282"/>
      <c r="G1053" s="4282"/>
      <c r="H1053" s="4282"/>
      <c r="I1053" s="4282"/>
      <c r="J1053" s="4282"/>
      <c r="K1053" s="4287"/>
      <c r="L1053" s="4289"/>
      <c r="M1053" s="1158" t="s">
        <v>215</v>
      </c>
      <c r="N1053" s="1923" t="s">
        <v>1370</v>
      </c>
      <c r="O1053" s="352"/>
      <c r="P1053" s="352"/>
      <c r="Q1053" s="352"/>
      <c r="R1053" s="352"/>
      <c r="S1053" s="352"/>
      <c r="T1053" s="352"/>
      <c r="U1053" s="352"/>
      <c r="V1053" s="352"/>
      <c r="W1053" s="352"/>
      <c r="X1053" s="352"/>
      <c r="Y1053" s="352"/>
      <c r="Z1053" s="352"/>
      <c r="AA1053" s="1592"/>
    </row>
    <row r="1054" spans="1:27" ht="33.75" x14ac:dyDescent="0.25">
      <c r="A1054" s="513"/>
      <c r="B1054" s="4282"/>
      <c r="C1054" s="4284"/>
      <c r="D1054" s="4282"/>
      <c r="E1054" s="4282"/>
      <c r="F1054" s="4282"/>
      <c r="G1054" s="4282"/>
      <c r="H1054" s="4282"/>
      <c r="I1054" s="4282"/>
      <c r="J1054" s="4282"/>
      <c r="K1054" s="4287"/>
      <c r="L1054" s="4289"/>
      <c r="M1054" s="86" t="s">
        <v>208</v>
      </c>
      <c r="N1054" s="1927" t="s">
        <v>553</v>
      </c>
      <c r="O1054" s="352"/>
      <c r="P1054" s="352"/>
      <c r="Q1054" s="352"/>
      <c r="R1054" s="352"/>
      <c r="S1054" s="352"/>
      <c r="T1054" s="352"/>
      <c r="U1054" s="352"/>
      <c r="V1054" s="352"/>
      <c r="W1054" s="352"/>
      <c r="X1054" s="352"/>
      <c r="Y1054" s="352"/>
      <c r="Z1054" s="352"/>
      <c r="AA1054" s="1592"/>
    </row>
    <row r="1055" spans="1:27" ht="22.5" x14ac:dyDescent="0.25">
      <c r="A1055" s="513"/>
      <c r="B1055" s="2354"/>
      <c r="C1055" s="4285"/>
      <c r="D1055" s="2354"/>
      <c r="E1055" s="2354"/>
      <c r="F1055" s="2354"/>
      <c r="G1055" s="2354"/>
      <c r="H1055" s="2354"/>
      <c r="I1055" s="2354"/>
      <c r="J1055" s="2354"/>
      <c r="K1055" s="4288"/>
      <c r="L1055" s="2358"/>
      <c r="M1055" s="86" t="s">
        <v>210</v>
      </c>
      <c r="N1055" s="1927" t="s">
        <v>1371</v>
      </c>
      <c r="O1055" s="352"/>
      <c r="P1055" s="352"/>
      <c r="Q1055" s="352"/>
      <c r="R1055" s="352"/>
      <c r="S1055" s="352"/>
      <c r="T1055" s="352"/>
      <c r="U1055" s="352"/>
      <c r="V1055" s="352"/>
      <c r="W1055" s="352"/>
      <c r="X1055" s="352"/>
      <c r="Y1055" s="352"/>
      <c r="Z1055" s="352"/>
      <c r="AA1055" s="1592"/>
    </row>
    <row r="1056" spans="1:27" x14ac:dyDescent="0.25">
      <c r="A1056" s="513"/>
      <c r="B1056" s="2353"/>
      <c r="C1056" s="4283"/>
      <c r="D1056" s="2353" t="s">
        <v>3541</v>
      </c>
      <c r="E1056" s="2353"/>
      <c r="F1056" s="2353"/>
      <c r="G1056" s="2353"/>
      <c r="H1056" s="2353" t="s">
        <v>3542</v>
      </c>
      <c r="I1056" s="2353" t="s">
        <v>2279</v>
      </c>
      <c r="J1056" s="2353">
        <v>60</v>
      </c>
      <c r="K1056" s="4286">
        <v>0</v>
      </c>
      <c r="L1056" s="2357" t="s">
        <v>3529</v>
      </c>
      <c r="M1056" s="2974" t="s">
        <v>51</v>
      </c>
      <c r="N1056" s="2975"/>
      <c r="O1056" s="481"/>
      <c r="P1056" s="481"/>
      <c r="Q1056" s="481"/>
      <c r="R1056" s="481"/>
      <c r="S1056" s="481"/>
      <c r="T1056" s="481"/>
      <c r="U1056" s="481"/>
      <c r="V1056" s="481"/>
      <c r="W1056" s="481"/>
      <c r="X1056" s="481"/>
      <c r="Y1056" s="481"/>
      <c r="Z1056" s="481"/>
      <c r="AA1056" s="1592"/>
    </row>
    <row r="1057" spans="1:27" x14ac:dyDescent="0.25">
      <c r="A1057" s="513"/>
      <c r="B1057" s="4282"/>
      <c r="C1057" s="4284"/>
      <c r="D1057" s="4282"/>
      <c r="E1057" s="4282"/>
      <c r="F1057" s="4282"/>
      <c r="G1057" s="4282"/>
      <c r="H1057" s="4282"/>
      <c r="I1057" s="4282"/>
      <c r="J1057" s="4282"/>
      <c r="K1057" s="4287"/>
      <c r="L1057" s="4289"/>
      <c r="M1057" s="2974" t="s">
        <v>111</v>
      </c>
      <c r="N1057" s="2975"/>
      <c r="O1057" s="481"/>
      <c r="P1057" s="481"/>
      <c r="Q1057" s="481"/>
      <c r="R1057" s="481"/>
      <c r="S1057" s="481"/>
      <c r="T1057" s="481"/>
      <c r="U1057" s="481"/>
      <c r="V1057" s="481"/>
      <c r="W1057" s="481"/>
      <c r="X1057" s="481"/>
      <c r="Y1057" s="481"/>
      <c r="Z1057" s="481"/>
      <c r="AA1057" s="1592"/>
    </row>
    <row r="1058" spans="1:27" x14ac:dyDescent="0.25">
      <c r="A1058" s="513"/>
      <c r="B1058" s="4282"/>
      <c r="C1058" s="4284"/>
      <c r="D1058" s="4282"/>
      <c r="E1058" s="4282"/>
      <c r="F1058" s="4282"/>
      <c r="G1058" s="4282"/>
      <c r="H1058" s="4282"/>
      <c r="I1058" s="4282"/>
      <c r="J1058" s="4282"/>
      <c r="K1058" s="4287"/>
      <c r="L1058" s="4289"/>
      <c r="M1058" s="1158" t="s">
        <v>184</v>
      </c>
      <c r="N1058" s="1923" t="s">
        <v>1365</v>
      </c>
      <c r="O1058" s="352"/>
      <c r="P1058" s="352"/>
      <c r="Q1058" s="352"/>
      <c r="R1058" s="352"/>
      <c r="S1058" s="352"/>
      <c r="T1058" s="352"/>
      <c r="U1058" s="352"/>
      <c r="V1058" s="352"/>
      <c r="W1058" s="352"/>
      <c r="X1058" s="352"/>
      <c r="Y1058" s="352"/>
      <c r="Z1058" s="352"/>
      <c r="AA1058" s="1592"/>
    </row>
    <row r="1059" spans="1:27" x14ac:dyDescent="0.25">
      <c r="A1059" s="513"/>
      <c r="B1059" s="4282"/>
      <c r="C1059" s="4284"/>
      <c r="D1059" s="4282"/>
      <c r="E1059" s="4282"/>
      <c r="F1059" s="4282"/>
      <c r="G1059" s="4282"/>
      <c r="H1059" s="4282"/>
      <c r="I1059" s="4282"/>
      <c r="J1059" s="4282"/>
      <c r="K1059" s="4287"/>
      <c r="L1059" s="4289"/>
      <c r="M1059" s="1158" t="s">
        <v>194</v>
      </c>
      <c r="N1059" s="1923" t="s">
        <v>1372</v>
      </c>
      <c r="O1059" s="352"/>
      <c r="P1059" s="352"/>
      <c r="Q1059" s="352"/>
      <c r="R1059" s="352"/>
      <c r="S1059" s="352"/>
      <c r="T1059" s="352"/>
      <c r="U1059" s="352"/>
      <c r="V1059" s="352"/>
      <c r="W1059" s="352"/>
      <c r="X1059" s="352"/>
      <c r="Y1059" s="352"/>
      <c r="Z1059" s="352"/>
      <c r="AA1059" s="1592"/>
    </row>
    <row r="1060" spans="1:27" x14ac:dyDescent="0.25">
      <c r="A1060" s="513"/>
      <c r="B1060" s="4282"/>
      <c r="C1060" s="4284"/>
      <c r="D1060" s="4282"/>
      <c r="E1060" s="4282"/>
      <c r="F1060" s="4282"/>
      <c r="G1060" s="4282"/>
      <c r="H1060" s="4282"/>
      <c r="I1060" s="4282"/>
      <c r="J1060" s="4282"/>
      <c r="K1060" s="4287"/>
      <c r="L1060" s="4289"/>
      <c r="M1060" s="1158" t="s">
        <v>215</v>
      </c>
      <c r="N1060" s="1923" t="s">
        <v>1370</v>
      </c>
      <c r="O1060" s="352"/>
      <c r="P1060" s="352"/>
      <c r="Q1060" s="352"/>
      <c r="R1060" s="352"/>
      <c r="S1060" s="352"/>
      <c r="T1060" s="352"/>
      <c r="U1060" s="352"/>
      <c r="V1060" s="352"/>
      <c r="W1060" s="352"/>
      <c r="X1060" s="352"/>
      <c r="Y1060" s="352"/>
      <c r="Z1060" s="352"/>
      <c r="AA1060" s="1592"/>
    </row>
    <row r="1061" spans="1:27" ht="33.75" x14ac:dyDescent="0.25">
      <c r="A1061" s="513"/>
      <c r="B1061" s="4282"/>
      <c r="C1061" s="4284"/>
      <c r="D1061" s="4282"/>
      <c r="E1061" s="4282"/>
      <c r="F1061" s="4282"/>
      <c r="G1061" s="4282"/>
      <c r="H1061" s="4282"/>
      <c r="I1061" s="4282"/>
      <c r="J1061" s="4282"/>
      <c r="K1061" s="4287"/>
      <c r="L1061" s="4289"/>
      <c r="M1061" s="86" t="s">
        <v>208</v>
      </c>
      <c r="N1061" s="1927" t="s">
        <v>553</v>
      </c>
      <c r="O1061" s="352"/>
      <c r="P1061" s="352"/>
      <c r="Q1061" s="352"/>
      <c r="R1061" s="352"/>
      <c r="S1061" s="352"/>
      <c r="T1061" s="352"/>
      <c r="U1061" s="352"/>
      <c r="V1061" s="352"/>
      <c r="W1061" s="352"/>
      <c r="X1061" s="352"/>
      <c r="Y1061" s="352"/>
      <c r="Z1061" s="352"/>
      <c r="AA1061" s="1592"/>
    </row>
    <row r="1062" spans="1:27" ht="22.5" x14ac:dyDescent="0.25">
      <c r="A1062" s="513"/>
      <c r="B1062" s="2354"/>
      <c r="C1062" s="4285"/>
      <c r="D1062" s="2354"/>
      <c r="E1062" s="2354"/>
      <c r="F1062" s="2354"/>
      <c r="G1062" s="2354"/>
      <c r="H1062" s="2354"/>
      <c r="I1062" s="2354"/>
      <c r="J1062" s="2354"/>
      <c r="K1062" s="4288"/>
      <c r="L1062" s="2358"/>
      <c r="M1062" s="86" t="s">
        <v>210</v>
      </c>
      <c r="N1062" s="1927" t="s">
        <v>1371</v>
      </c>
      <c r="O1062" s="352"/>
      <c r="P1062" s="352"/>
      <c r="Q1062" s="352"/>
      <c r="R1062" s="352"/>
      <c r="S1062" s="352"/>
      <c r="T1062" s="352"/>
      <c r="U1062" s="352"/>
      <c r="V1062" s="352"/>
      <c r="W1062" s="352"/>
      <c r="X1062" s="352"/>
      <c r="Y1062" s="352"/>
      <c r="Z1062" s="352"/>
      <c r="AA1062" s="1592"/>
    </row>
    <row r="1063" spans="1:27" x14ac:dyDescent="0.25">
      <c r="A1063" s="513"/>
      <c r="B1063" s="2353"/>
      <c r="C1063" s="4283"/>
      <c r="D1063" s="2353" t="s">
        <v>3543</v>
      </c>
      <c r="E1063" s="2353"/>
      <c r="F1063" s="2353"/>
      <c r="G1063" s="2353"/>
      <c r="H1063" s="2353" t="s">
        <v>3544</v>
      </c>
      <c r="I1063" s="2353" t="s">
        <v>2279</v>
      </c>
      <c r="J1063" s="2353">
        <v>25</v>
      </c>
      <c r="K1063" s="4286">
        <v>0</v>
      </c>
      <c r="L1063" s="2357" t="s">
        <v>3529</v>
      </c>
      <c r="M1063" s="2974" t="s">
        <v>51</v>
      </c>
      <c r="N1063" s="2975"/>
      <c r="O1063" s="481"/>
      <c r="P1063" s="481"/>
      <c r="Q1063" s="481"/>
      <c r="R1063" s="481"/>
      <c r="S1063" s="481"/>
      <c r="T1063" s="481"/>
      <c r="U1063" s="481"/>
      <c r="V1063" s="481"/>
      <c r="W1063" s="481"/>
      <c r="X1063" s="481"/>
      <c r="Y1063" s="481"/>
      <c r="Z1063" s="481"/>
      <c r="AA1063" s="1592"/>
    </row>
    <row r="1064" spans="1:27" x14ac:dyDescent="0.25">
      <c r="A1064" s="513"/>
      <c r="B1064" s="4282"/>
      <c r="C1064" s="4284"/>
      <c r="D1064" s="4282"/>
      <c r="E1064" s="4282"/>
      <c r="F1064" s="4282"/>
      <c r="G1064" s="4282"/>
      <c r="H1064" s="4282"/>
      <c r="I1064" s="4282"/>
      <c r="J1064" s="4282"/>
      <c r="K1064" s="4287"/>
      <c r="L1064" s="4289"/>
      <c r="M1064" s="2974" t="s">
        <v>111</v>
      </c>
      <c r="N1064" s="2975"/>
      <c r="O1064" s="481"/>
      <c r="P1064" s="481"/>
      <c r="Q1064" s="481"/>
      <c r="R1064" s="481"/>
      <c r="S1064" s="481"/>
      <c r="T1064" s="481"/>
      <c r="U1064" s="481"/>
      <c r="V1064" s="481"/>
      <c r="W1064" s="481"/>
      <c r="X1064" s="481"/>
      <c r="Y1064" s="481"/>
      <c r="Z1064" s="481"/>
      <c r="AA1064" s="1592"/>
    </row>
    <row r="1065" spans="1:27" x14ac:dyDescent="0.25">
      <c r="A1065" s="513"/>
      <c r="B1065" s="4282"/>
      <c r="C1065" s="4284"/>
      <c r="D1065" s="4282"/>
      <c r="E1065" s="4282"/>
      <c r="F1065" s="4282"/>
      <c r="G1065" s="4282"/>
      <c r="H1065" s="4282"/>
      <c r="I1065" s="4282"/>
      <c r="J1065" s="4282"/>
      <c r="K1065" s="4287"/>
      <c r="L1065" s="4289"/>
      <c r="M1065" s="1158" t="s">
        <v>184</v>
      </c>
      <c r="N1065" s="1923" t="s">
        <v>1365</v>
      </c>
      <c r="O1065" s="352"/>
      <c r="P1065" s="352"/>
      <c r="Q1065" s="352"/>
      <c r="R1065" s="352"/>
      <c r="S1065" s="352"/>
      <c r="T1065" s="352"/>
      <c r="U1065" s="352"/>
      <c r="V1065" s="352"/>
      <c r="W1065" s="352"/>
      <c r="X1065" s="352"/>
      <c r="Y1065" s="352"/>
      <c r="Z1065" s="352"/>
      <c r="AA1065" s="1592"/>
    </row>
    <row r="1066" spans="1:27" x14ac:dyDescent="0.25">
      <c r="A1066" s="513"/>
      <c r="B1066" s="4282"/>
      <c r="C1066" s="4284"/>
      <c r="D1066" s="4282"/>
      <c r="E1066" s="4282"/>
      <c r="F1066" s="4282"/>
      <c r="G1066" s="4282"/>
      <c r="H1066" s="4282"/>
      <c r="I1066" s="4282"/>
      <c r="J1066" s="4282"/>
      <c r="K1066" s="4287"/>
      <c r="L1066" s="4289"/>
      <c r="M1066" s="1158" t="s">
        <v>194</v>
      </c>
      <c r="N1066" s="1923" t="s">
        <v>1372</v>
      </c>
      <c r="O1066" s="352"/>
      <c r="P1066" s="352"/>
      <c r="Q1066" s="352"/>
      <c r="R1066" s="352"/>
      <c r="S1066" s="352"/>
      <c r="T1066" s="352"/>
      <c r="U1066" s="352"/>
      <c r="V1066" s="352"/>
      <c r="W1066" s="352"/>
      <c r="X1066" s="352"/>
      <c r="Y1066" s="352"/>
      <c r="Z1066" s="352"/>
      <c r="AA1066" s="1592"/>
    </row>
    <row r="1067" spans="1:27" x14ac:dyDescent="0.25">
      <c r="A1067" s="513"/>
      <c r="B1067" s="4282"/>
      <c r="C1067" s="4284"/>
      <c r="D1067" s="4282"/>
      <c r="E1067" s="4282"/>
      <c r="F1067" s="4282"/>
      <c r="G1067" s="4282"/>
      <c r="H1067" s="4282"/>
      <c r="I1067" s="4282"/>
      <c r="J1067" s="4282"/>
      <c r="K1067" s="4287"/>
      <c r="L1067" s="4289"/>
      <c r="M1067" s="1158" t="s">
        <v>215</v>
      </c>
      <c r="N1067" s="1923" t="s">
        <v>1370</v>
      </c>
      <c r="O1067" s="352"/>
      <c r="P1067" s="352"/>
      <c r="Q1067" s="352"/>
      <c r="R1067" s="352"/>
      <c r="S1067" s="352"/>
      <c r="T1067" s="352"/>
      <c r="U1067" s="352"/>
      <c r="V1067" s="352"/>
      <c r="W1067" s="352"/>
      <c r="X1067" s="352"/>
      <c r="Y1067" s="352"/>
      <c r="Z1067" s="352"/>
      <c r="AA1067" s="1592"/>
    </row>
    <row r="1068" spans="1:27" ht="33.75" x14ac:dyDescent="0.25">
      <c r="A1068" s="513"/>
      <c r="B1068" s="4282"/>
      <c r="C1068" s="4284"/>
      <c r="D1068" s="4282"/>
      <c r="E1068" s="4282"/>
      <c r="F1068" s="4282"/>
      <c r="G1068" s="4282"/>
      <c r="H1068" s="4282"/>
      <c r="I1068" s="4282"/>
      <c r="J1068" s="4282"/>
      <c r="K1068" s="4287"/>
      <c r="L1068" s="4289"/>
      <c r="M1068" s="86" t="s">
        <v>208</v>
      </c>
      <c r="N1068" s="1927" t="s">
        <v>553</v>
      </c>
      <c r="O1068" s="352"/>
      <c r="P1068" s="352"/>
      <c r="Q1068" s="352"/>
      <c r="R1068" s="352"/>
      <c r="S1068" s="352"/>
      <c r="T1068" s="352"/>
      <c r="U1068" s="352"/>
      <c r="V1068" s="352"/>
      <c r="W1068" s="352"/>
      <c r="X1068" s="352"/>
      <c r="Y1068" s="352"/>
      <c r="Z1068" s="352"/>
      <c r="AA1068" s="1592"/>
    </row>
    <row r="1069" spans="1:27" ht="22.5" x14ac:dyDescent="0.25">
      <c r="A1069" s="513"/>
      <c r="B1069" s="2354"/>
      <c r="C1069" s="4285"/>
      <c r="D1069" s="2354"/>
      <c r="E1069" s="2354"/>
      <c r="F1069" s="2354"/>
      <c r="G1069" s="2354"/>
      <c r="H1069" s="2354"/>
      <c r="I1069" s="2354"/>
      <c r="J1069" s="2354"/>
      <c r="K1069" s="4288"/>
      <c r="L1069" s="2358"/>
      <c r="M1069" s="86" t="s">
        <v>210</v>
      </c>
      <c r="N1069" s="1927" t="s">
        <v>1371</v>
      </c>
      <c r="O1069" s="352"/>
      <c r="P1069" s="352"/>
      <c r="Q1069" s="352"/>
      <c r="R1069" s="352"/>
      <c r="S1069" s="352"/>
      <c r="T1069" s="352"/>
      <c r="U1069" s="352"/>
      <c r="V1069" s="352"/>
      <c r="W1069" s="352"/>
      <c r="X1069" s="352"/>
      <c r="Y1069" s="352"/>
      <c r="Z1069" s="352"/>
      <c r="AA1069" s="1592"/>
    </row>
    <row r="1070" spans="1:27" x14ac:dyDescent="0.25">
      <c r="A1070" s="513"/>
      <c r="B1070" s="2353"/>
      <c r="C1070" s="4283"/>
      <c r="D1070" s="2353" t="s">
        <v>3545</v>
      </c>
      <c r="E1070" s="2353"/>
      <c r="F1070" s="2353"/>
      <c r="G1070" s="2353"/>
      <c r="H1070" s="2353" t="s">
        <v>3546</v>
      </c>
      <c r="I1070" s="2353" t="s">
        <v>3547</v>
      </c>
      <c r="J1070" s="2353">
        <v>40</v>
      </c>
      <c r="K1070" s="4286">
        <v>0</v>
      </c>
      <c r="L1070" s="2357" t="s">
        <v>3529</v>
      </c>
      <c r="M1070" s="2974" t="s">
        <v>51</v>
      </c>
      <c r="N1070" s="2975"/>
      <c r="O1070" s="481"/>
      <c r="P1070" s="481"/>
      <c r="Q1070" s="481"/>
      <c r="R1070" s="481"/>
      <c r="S1070" s="481"/>
      <c r="T1070" s="481"/>
      <c r="U1070" s="481"/>
      <c r="V1070" s="481"/>
      <c r="W1070" s="481"/>
      <c r="X1070" s="481"/>
      <c r="Y1070" s="481"/>
      <c r="Z1070" s="481"/>
      <c r="AA1070" s="1592"/>
    </row>
    <row r="1071" spans="1:27" x14ac:dyDescent="0.25">
      <c r="A1071" s="513"/>
      <c r="B1071" s="4282"/>
      <c r="C1071" s="4284"/>
      <c r="D1071" s="4282"/>
      <c r="E1071" s="4282"/>
      <c r="F1071" s="4282"/>
      <c r="G1071" s="4282"/>
      <c r="H1071" s="4282"/>
      <c r="I1071" s="4282"/>
      <c r="J1071" s="4282"/>
      <c r="K1071" s="4287"/>
      <c r="L1071" s="4289"/>
      <c r="M1071" s="2974" t="s">
        <v>111</v>
      </c>
      <c r="N1071" s="2975"/>
      <c r="O1071" s="481"/>
      <c r="P1071" s="481"/>
      <c r="Q1071" s="481"/>
      <c r="R1071" s="481"/>
      <c r="S1071" s="481"/>
      <c r="T1071" s="481"/>
      <c r="U1071" s="481"/>
      <c r="V1071" s="481"/>
      <c r="W1071" s="481"/>
      <c r="X1071" s="481"/>
      <c r="Y1071" s="481"/>
      <c r="Z1071" s="481"/>
      <c r="AA1071" s="1592"/>
    </row>
    <row r="1072" spans="1:27" x14ac:dyDescent="0.25">
      <c r="A1072" s="513"/>
      <c r="B1072" s="4282"/>
      <c r="C1072" s="4284"/>
      <c r="D1072" s="4282"/>
      <c r="E1072" s="4282"/>
      <c r="F1072" s="4282"/>
      <c r="G1072" s="4282"/>
      <c r="H1072" s="4282"/>
      <c r="I1072" s="4282"/>
      <c r="J1072" s="4282"/>
      <c r="K1072" s="4287"/>
      <c r="L1072" s="4289"/>
      <c r="M1072" s="1158" t="s">
        <v>184</v>
      </c>
      <c r="N1072" s="1923" t="s">
        <v>1365</v>
      </c>
      <c r="O1072" s="352"/>
      <c r="P1072" s="352"/>
      <c r="Q1072" s="352"/>
      <c r="R1072" s="352"/>
      <c r="S1072" s="352"/>
      <c r="T1072" s="352"/>
      <c r="U1072" s="352"/>
      <c r="V1072" s="352"/>
      <c r="W1072" s="352"/>
      <c r="X1072" s="352"/>
      <c r="Y1072" s="352"/>
      <c r="Z1072" s="352"/>
      <c r="AA1072" s="1592"/>
    </row>
    <row r="1073" spans="1:27" x14ac:dyDescent="0.25">
      <c r="A1073" s="513"/>
      <c r="B1073" s="4282"/>
      <c r="C1073" s="4284"/>
      <c r="D1073" s="4282"/>
      <c r="E1073" s="4282"/>
      <c r="F1073" s="4282"/>
      <c r="G1073" s="4282"/>
      <c r="H1073" s="4282"/>
      <c r="I1073" s="4282"/>
      <c r="J1073" s="4282"/>
      <c r="K1073" s="4287"/>
      <c r="L1073" s="4289"/>
      <c r="M1073" s="1158" t="s">
        <v>194</v>
      </c>
      <c r="N1073" s="1923" t="s">
        <v>1372</v>
      </c>
      <c r="O1073" s="352"/>
      <c r="P1073" s="352"/>
      <c r="Q1073" s="352"/>
      <c r="R1073" s="352"/>
      <c r="S1073" s="352"/>
      <c r="T1073" s="352"/>
      <c r="U1073" s="352"/>
      <c r="V1073" s="352"/>
      <c r="W1073" s="352"/>
      <c r="X1073" s="352"/>
      <c r="Y1073" s="352"/>
      <c r="Z1073" s="352"/>
      <c r="AA1073" s="1592"/>
    </row>
    <row r="1074" spans="1:27" x14ac:dyDescent="0.25">
      <c r="A1074" s="513"/>
      <c r="B1074" s="4282"/>
      <c r="C1074" s="4284"/>
      <c r="D1074" s="4282"/>
      <c r="E1074" s="4282"/>
      <c r="F1074" s="4282"/>
      <c r="G1074" s="4282"/>
      <c r="H1074" s="4282"/>
      <c r="I1074" s="4282"/>
      <c r="J1074" s="4282"/>
      <c r="K1074" s="4287"/>
      <c r="L1074" s="4289"/>
      <c r="M1074" s="1158" t="s">
        <v>215</v>
      </c>
      <c r="N1074" s="1923" t="s">
        <v>1370</v>
      </c>
      <c r="O1074" s="352"/>
      <c r="P1074" s="352"/>
      <c r="Q1074" s="352"/>
      <c r="R1074" s="352"/>
      <c r="S1074" s="352"/>
      <c r="T1074" s="352"/>
      <c r="U1074" s="352"/>
      <c r="V1074" s="352"/>
      <c r="W1074" s="352"/>
      <c r="X1074" s="352"/>
      <c r="Y1074" s="352"/>
      <c r="Z1074" s="352"/>
      <c r="AA1074" s="1592"/>
    </row>
    <row r="1075" spans="1:27" ht="33.75" x14ac:dyDescent="0.25">
      <c r="A1075" s="513"/>
      <c r="B1075" s="4282"/>
      <c r="C1075" s="4284"/>
      <c r="D1075" s="4282"/>
      <c r="E1075" s="4282"/>
      <c r="F1075" s="4282"/>
      <c r="G1075" s="4282"/>
      <c r="H1075" s="4282"/>
      <c r="I1075" s="4282"/>
      <c r="J1075" s="4282"/>
      <c r="K1075" s="4287"/>
      <c r="L1075" s="4289"/>
      <c r="M1075" s="86" t="s">
        <v>208</v>
      </c>
      <c r="N1075" s="1927" t="s">
        <v>553</v>
      </c>
      <c r="O1075" s="352"/>
      <c r="P1075" s="352"/>
      <c r="Q1075" s="352"/>
      <c r="R1075" s="352"/>
      <c r="S1075" s="352"/>
      <c r="T1075" s="352"/>
      <c r="U1075" s="352"/>
      <c r="V1075" s="352"/>
      <c r="W1075" s="352"/>
      <c r="X1075" s="352"/>
      <c r="Y1075" s="352"/>
      <c r="Z1075" s="352"/>
      <c r="AA1075" s="1592"/>
    </row>
    <row r="1076" spans="1:27" ht="22.5" x14ac:dyDescent="0.25">
      <c r="A1076" s="513"/>
      <c r="B1076" s="2354"/>
      <c r="C1076" s="4285"/>
      <c r="D1076" s="2354"/>
      <c r="E1076" s="2354"/>
      <c r="F1076" s="2354"/>
      <c r="G1076" s="2354"/>
      <c r="H1076" s="2354"/>
      <c r="I1076" s="2354"/>
      <c r="J1076" s="2354"/>
      <c r="K1076" s="4288"/>
      <c r="L1076" s="2358"/>
      <c r="M1076" s="86" t="s">
        <v>210</v>
      </c>
      <c r="N1076" s="1927" t="s">
        <v>1371</v>
      </c>
      <c r="O1076" s="352"/>
      <c r="P1076" s="352"/>
      <c r="Q1076" s="352"/>
      <c r="R1076" s="352"/>
      <c r="S1076" s="352"/>
      <c r="T1076" s="352"/>
      <c r="U1076" s="352"/>
      <c r="V1076" s="352"/>
      <c r="W1076" s="352"/>
      <c r="X1076" s="352"/>
      <c r="Y1076" s="352"/>
      <c r="Z1076" s="352"/>
      <c r="AA1076" s="1592"/>
    </row>
    <row r="1077" spans="1:27" x14ac:dyDescent="0.25">
      <c r="A1077" s="513"/>
      <c r="B1077" s="2353"/>
      <c r="C1077" s="4283"/>
      <c r="D1077" s="2353" t="s">
        <v>3548</v>
      </c>
      <c r="E1077" s="2353"/>
      <c r="F1077" s="2353"/>
      <c r="G1077" s="2353"/>
      <c r="H1077" s="2353" t="s">
        <v>3549</v>
      </c>
      <c r="I1077" s="2353" t="s">
        <v>2279</v>
      </c>
      <c r="J1077" s="2353">
        <v>2</v>
      </c>
      <c r="K1077" s="4286">
        <v>20000</v>
      </c>
      <c r="L1077" s="2357" t="s">
        <v>3550</v>
      </c>
      <c r="M1077" s="2974" t="s">
        <v>51</v>
      </c>
      <c r="N1077" s="2975"/>
      <c r="O1077" s="481"/>
      <c r="P1077" s="481"/>
      <c r="Q1077" s="481"/>
      <c r="R1077" s="481"/>
      <c r="S1077" s="481"/>
      <c r="T1077" s="481"/>
      <c r="U1077" s="481"/>
      <c r="V1077" s="481"/>
      <c r="W1077" s="481"/>
      <c r="X1077" s="481"/>
      <c r="Y1077" s="481"/>
      <c r="Z1077" s="481"/>
      <c r="AA1077" s="1592"/>
    </row>
    <row r="1078" spans="1:27" x14ac:dyDescent="0.25">
      <c r="A1078" s="513"/>
      <c r="B1078" s="4282"/>
      <c r="C1078" s="4284"/>
      <c r="D1078" s="4282"/>
      <c r="E1078" s="4282"/>
      <c r="F1078" s="4282"/>
      <c r="G1078" s="4282"/>
      <c r="H1078" s="4282"/>
      <c r="I1078" s="4282"/>
      <c r="J1078" s="4282"/>
      <c r="K1078" s="4287"/>
      <c r="L1078" s="4289"/>
      <c r="M1078" s="2974" t="s">
        <v>111</v>
      </c>
      <c r="N1078" s="2975"/>
      <c r="O1078" s="481"/>
      <c r="P1078" s="481"/>
      <c r="Q1078" s="481"/>
      <c r="R1078" s="481"/>
      <c r="S1078" s="481"/>
      <c r="T1078" s="481"/>
      <c r="U1078" s="481"/>
      <c r="V1078" s="481"/>
      <c r="W1078" s="481"/>
      <c r="X1078" s="481"/>
      <c r="Y1078" s="481"/>
      <c r="Z1078" s="481"/>
      <c r="AA1078" s="1592"/>
    </row>
    <row r="1079" spans="1:27" x14ac:dyDescent="0.25">
      <c r="A1079" s="513"/>
      <c r="B1079" s="4282"/>
      <c r="C1079" s="4284"/>
      <c r="D1079" s="4282"/>
      <c r="E1079" s="4282"/>
      <c r="F1079" s="4282"/>
      <c r="G1079" s="4282"/>
      <c r="H1079" s="4282"/>
      <c r="I1079" s="4282"/>
      <c r="J1079" s="4282"/>
      <c r="K1079" s="4287"/>
      <c r="L1079" s="4289"/>
      <c r="M1079" s="1158" t="s">
        <v>184</v>
      </c>
      <c r="N1079" s="1923" t="s">
        <v>1365</v>
      </c>
      <c r="O1079" s="352"/>
      <c r="P1079" s="352"/>
      <c r="Q1079" s="352"/>
      <c r="R1079" s="352"/>
      <c r="S1079" s="352"/>
      <c r="T1079" s="352"/>
      <c r="U1079" s="352"/>
      <c r="V1079" s="352"/>
      <c r="W1079" s="352"/>
      <c r="X1079" s="352"/>
      <c r="Y1079" s="352"/>
      <c r="Z1079" s="352"/>
      <c r="AA1079" s="1592"/>
    </row>
    <row r="1080" spans="1:27" x14ac:dyDescent="0.25">
      <c r="A1080" s="513"/>
      <c r="B1080" s="4282"/>
      <c r="C1080" s="4284"/>
      <c r="D1080" s="4282"/>
      <c r="E1080" s="4282"/>
      <c r="F1080" s="4282"/>
      <c r="G1080" s="4282"/>
      <c r="H1080" s="4282"/>
      <c r="I1080" s="4282"/>
      <c r="J1080" s="4282"/>
      <c r="K1080" s="4287"/>
      <c r="L1080" s="4289"/>
      <c r="M1080" s="1158" t="s">
        <v>194</v>
      </c>
      <c r="N1080" s="1923" t="s">
        <v>1372</v>
      </c>
      <c r="O1080" s="352"/>
      <c r="P1080" s="352"/>
      <c r="Q1080" s="352"/>
      <c r="R1080" s="352"/>
      <c r="S1080" s="352"/>
      <c r="T1080" s="352"/>
      <c r="U1080" s="352"/>
      <c r="V1080" s="352"/>
      <c r="W1080" s="352"/>
      <c r="X1080" s="352"/>
      <c r="Y1080" s="352"/>
      <c r="Z1080" s="352"/>
      <c r="AA1080" s="1592"/>
    </row>
    <row r="1081" spans="1:27" x14ac:dyDescent="0.25">
      <c r="A1081" s="513"/>
      <c r="B1081" s="4282"/>
      <c r="C1081" s="4284"/>
      <c r="D1081" s="4282"/>
      <c r="E1081" s="4282"/>
      <c r="F1081" s="4282"/>
      <c r="G1081" s="4282"/>
      <c r="H1081" s="4282"/>
      <c r="I1081" s="4282"/>
      <c r="J1081" s="4282"/>
      <c r="K1081" s="4287"/>
      <c r="L1081" s="4289"/>
      <c r="M1081" s="1158" t="s">
        <v>3551</v>
      </c>
      <c r="N1081" s="1923" t="s">
        <v>1336</v>
      </c>
      <c r="O1081" s="352"/>
      <c r="P1081" s="352"/>
      <c r="Q1081" s="352"/>
      <c r="R1081" s="352">
        <v>20000</v>
      </c>
      <c r="S1081" s="352"/>
      <c r="T1081" s="352"/>
      <c r="U1081" s="352"/>
      <c r="V1081" s="352"/>
      <c r="W1081" s="352"/>
      <c r="X1081" s="352"/>
      <c r="Y1081" s="352"/>
      <c r="Z1081" s="352"/>
      <c r="AA1081" s="1592"/>
    </row>
    <row r="1082" spans="1:27" ht="33.75" x14ac:dyDescent="0.25">
      <c r="A1082" s="513"/>
      <c r="B1082" s="4282"/>
      <c r="C1082" s="4284"/>
      <c r="D1082" s="4282"/>
      <c r="E1082" s="4282"/>
      <c r="F1082" s="4282"/>
      <c r="G1082" s="4282"/>
      <c r="H1082" s="4282"/>
      <c r="I1082" s="4282"/>
      <c r="J1082" s="4282"/>
      <c r="K1082" s="4287"/>
      <c r="L1082" s="4289"/>
      <c r="M1082" s="86" t="s">
        <v>208</v>
      </c>
      <c r="N1082" s="1927" t="s">
        <v>553</v>
      </c>
      <c r="O1082" s="352"/>
      <c r="P1082" s="352"/>
      <c r="Q1082" s="352"/>
      <c r="R1082" s="352"/>
      <c r="S1082" s="352"/>
      <c r="T1082" s="352"/>
      <c r="U1082" s="352"/>
      <c r="V1082" s="352"/>
      <c r="W1082" s="352"/>
      <c r="X1082" s="352"/>
      <c r="Y1082" s="352"/>
      <c r="Z1082" s="352"/>
      <c r="AA1082" s="1592"/>
    </row>
    <row r="1083" spans="1:27" ht="22.5" x14ac:dyDescent="0.25">
      <c r="A1083" s="513"/>
      <c r="B1083" s="2354"/>
      <c r="C1083" s="4285"/>
      <c r="D1083" s="2354"/>
      <c r="E1083" s="2354"/>
      <c r="F1083" s="2354"/>
      <c r="G1083" s="2354"/>
      <c r="H1083" s="2354"/>
      <c r="I1083" s="2354"/>
      <c r="J1083" s="2354"/>
      <c r="K1083" s="4288"/>
      <c r="L1083" s="2358"/>
      <c r="M1083" s="86" t="s">
        <v>210</v>
      </c>
      <c r="N1083" s="1927" t="s">
        <v>1371</v>
      </c>
      <c r="O1083" s="352"/>
      <c r="P1083" s="352"/>
      <c r="Q1083" s="352"/>
      <c r="R1083" s="352"/>
      <c r="S1083" s="352"/>
      <c r="T1083" s="352"/>
      <c r="U1083" s="352"/>
      <c r="V1083" s="352"/>
      <c r="W1083" s="352"/>
      <c r="X1083" s="352"/>
      <c r="Y1083" s="352"/>
      <c r="Z1083" s="352"/>
      <c r="AA1083" s="1592"/>
    </row>
    <row r="1084" spans="1:27" x14ac:dyDescent="0.25">
      <c r="A1084" s="513"/>
      <c r="B1084" s="2353"/>
      <c r="C1084" s="4283"/>
      <c r="D1084" s="2353" t="s">
        <v>3552</v>
      </c>
      <c r="E1084" s="2353"/>
      <c r="F1084" s="2353"/>
      <c r="G1084" s="2353"/>
      <c r="H1084" s="2353" t="s">
        <v>3553</v>
      </c>
      <c r="I1084" s="2353" t="s">
        <v>1801</v>
      </c>
      <c r="J1084" s="2353">
        <v>2</v>
      </c>
      <c r="K1084" s="4286">
        <v>15000</v>
      </c>
      <c r="L1084" s="2357" t="s">
        <v>3550</v>
      </c>
      <c r="M1084" s="2974" t="s">
        <v>51</v>
      </c>
      <c r="N1084" s="2975"/>
      <c r="O1084" s="481"/>
      <c r="P1084" s="481"/>
      <c r="Q1084" s="481"/>
      <c r="R1084" s="481"/>
      <c r="S1084" s="481"/>
      <c r="T1084" s="481"/>
      <c r="U1084" s="481"/>
      <c r="V1084" s="481"/>
      <c r="W1084" s="481"/>
      <c r="X1084" s="481"/>
      <c r="Y1084" s="481"/>
      <c r="Z1084" s="481"/>
      <c r="AA1084" s="1592"/>
    </row>
    <row r="1085" spans="1:27" x14ac:dyDescent="0.25">
      <c r="A1085" s="513"/>
      <c r="B1085" s="4282"/>
      <c r="C1085" s="4284"/>
      <c r="D1085" s="4282"/>
      <c r="E1085" s="4282"/>
      <c r="F1085" s="4282"/>
      <c r="G1085" s="4282"/>
      <c r="H1085" s="4282"/>
      <c r="I1085" s="4282"/>
      <c r="J1085" s="4282"/>
      <c r="K1085" s="4287"/>
      <c r="L1085" s="4289"/>
      <c r="M1085" s="2974" t="s">
        <v>111</v>
      </c>
      <c r="N1085" s="2975"/>
      <c r="O1085" s="481"/>
      <c r="P1085" s="481"/>
      <c r="Q1085" s="481"/>
      <c r="R1085" s="481"/>
      <c r="S1085" s="481"/>
      <c r="T1085" s="481"/>
      <c r="U1085" s="481"/>
      <c r="V1085" s="481"/>
      <c r="W1085" s="481"/>
      <c r="X1085" s="481"/>
      <c r="Y1085" s="481"/>
      <c r="Z1085" s="481"/>
      <c r="AA1085" s="1592"/>
    </row>
    <row r="1086" spans="1:27" x14ac:dyDescent="0.25">
      <c r="A1086" s="513"/>
      <c r="B1086" s="4282"/>
      <c r="C1086" s="4284"/>
      <c r="D1086" s="4282"/>
      <c r="E1086" s="4282"/>
      <c r="F1086" s="4282"/>
      <c r="G1086" s="4282"/>
      <c r="H1086" s="4282"/>
      <c r="I1086" s="4282"/>
      <c r="J1086" s="4282"/>
      <c r="K1086" s="4287"/>
      <c r="L1086" s="4289"/>
      <c r="M1086" s="1158" t="s">
        <v>184</v>
      </c>
      <c r="N1086" s="1923" t="s">
        <v>1365</v>
      </c>
      <c r="O1086" s="352"/>
      <c r="P1086" s="352"/>
      <c r="Q1086" s="352"/>
      <c r="R1086" s="352"/>
      <c r="S1086" s="352"/>
      <c r="T1086" s="352"/>
      <c r="U1086" s="352"/>
      <c r="V1086" s="352"/>
      <c r="W1086" s="352"/>
      <c r="X1086" s="352"/>
      <c r="Y1086" s="352"/>
      <c r="Z1086" s="352"/>
      <c r="AA1086" s="1592"/>
    </row>
    <row r="1087" spans="1:27" x14ac:dyDescent="0.25">
      <c r="A1087" s="513"/>
      <c r="B1087" s="4282"/>
      <c r="C1087" s="4284"/>
      <c r="D1087" s="4282"/>
      <c r="E1087" s="4282"/>
      <c r="F1087" s="4282"/>
      <c r="G1087" s="4282"/>
      <c r="H1087" s="4282"/>
      <c r="I1087" s="4282"/>
      <c r="J1087" s="4282"/>
      <c r="K1087" s="4287"/>
      <c r="L1087" s="4289"/>
      <c r="M1087" s="1158" t="s">
        <v>194</v>
      </c>
      <c r="N1087" s="1923" t="s">
        <v>1372</v>
      </c>
      <c r="O1087" s="352"/>
      <c r="P1087" s="352"/>
      <c r="Q1087" s="352"/>
      <c r="R1087" s="352"/>
      <c r="S1087" s="352"/>
      <c r="T1087" s="352"/>
      <c r="U1087" s="352"/>
      <c r="V1087" s="352"/>
      <c r="W1087" s="352"/>
      <c r="X1087" s="352"/>
      <c r="Y1087" s="352"/>
      <c r="Z1087" s="352"/>
      <c r="AA1087" s="1592"/>
    </row>
    <row r="1088" spans="1:27" x14ac:dyDescent="0.25">
      <c r="A1088" s="513"/>
      <c r="B1088" s="4282"/>
      <c r="C1088" s="4284"/>
      <c r="D1088" s="4282"/>
      <c r="E1088" s="4282"/>
      <c r="F1088" s="4282"/>
      <c r="G1088" s="4282"/>
      <c r="H1088" s="4282"/>
      <c r="I1088" s="4282"/>
      <c r="J1088" s="4282"/>
      <c r="K1088" s="4287"/>
      <c r="L1088" s="4289"/>
      <c r="M1088" s="1158" t="s">
        <v>3551</v>
      </c>
      <c r="N1088" s="1923" t="s">
        <v>1336</v>
      </c>
      <c r="O1088" s="352"/>
      <c r="P1088" s="352"/>
      <c r="Q1088" s="352"/>
      <c r="R1088" s="352"/>
      <c r="S1088" s="352"/>
      <c r="T1088" s="352"/>
      <c r="U1088" s="352"/>
      <c r="V1088" s="352"/>
      <c r="W1088" s="352">
        <v>15000</v>
      </c>
      <c r="X1088" s="352"/>
      <c r="Y1088" s="352"/>
      <c r="Z1088" s="352"/>
      <c r="AA1088" s="1592"/>
    </row>
    <row r="1089" spans="1:27" ht="33.75" x14ac:dyDescent="0.25">
      <c r="A1089" s="513"/>
      <c r="B1089" s="4282"/>
      <c r="C1089" s="4284"/>
      <c r="D1089" s="4282"/>
      <c r="E1089" s="4282"/>
      <c r="F1089" s="4282"/>
      <c r="G1089" s="4282"/>
      <c r="H1089" s="4282"/>
      <c r="I1089" s="4282"/>
      <c r="J1089" s="4282"/>
      <c r="K1089" s="4287"/>
      <c r="L1089" s="4289"/>
      <c r="M1089" s="86" t="s">
        <v>208</v>
      </c>
      <c r="N1089" s="1927" t="s">
        <v>553</v>
      </c>
      <c r="O1089" s="352"/>
      <c r="P1089" s="352"/>
      <c r="Q1089" s="352"/>
      <c r="R1089" s="352"/>
      <c r="S1089" s="352"/>
      <c r="T1089" s="352"/>
      <c r="U1089" s="352"/>
      <c r="V1089" s="352"/>
      <c r="W1089" s="352"/>
      <c r="X1089" s="352"/>
      <c r="Y1089" s="352"/>
      <c r="Z1089" s="352"/>
      <c r="AA1089" s="1592"/>
    </row>
    <row r="1090" spans="1:27" ht="22.5" x14ac:dyDescent="0.25">
      <c r="A1090" s="513"/>
      <c r="B1090" s="2354"/>
      <c r="C1090" s="4285"/>
      <c r="D1090" s="2354"/>
      <c r="E1090" s="2354"/>
      <c r="F1090" s="2354"/>
      <c r="G1090" s="2354"/>
      <c r="H1090" s="2354"/>
      <c r="I1090" s="2354"/>
      <c r="J1090" s="2354"/>
      <c r="K1090" s="4288"/>
      <c r="L1090" s="2358"/>
      <c r="M1090" s="86" t="s">
        <v>210</v>
      </c>
      <c r="N1090" s="1927" t="s">
        <v>1371</v>
      </c>
      <c r="O1090" s="352"/>
      <c r="P1090" s="352"/>
      <c r="Q1090" s="352"/>
      <c r="R1090" s="352"/>
      <c r="S1090" s="352"/>
      <c r="T1090" s="352"/>
      <c r="U1090" s="352"/>
      <c r="V1090" s="352"/>
      <c r="W1090" s="352"/>
      <c r="X1090" s="352"/>
      <c r="Y1090" s="352"/>
      <c r="Z1090" s="352"/>
      <c r="AA1090" s="1592"/>
    </row>
    <row r="1091" spans="1:27" x14ac:dyDescent="0.25">
      <c r="A1091" s="513"/>
      <c r="B1091" s="2353"/>
      <c r="C1091" s="4283"/>
      <c r="D1091" s="2353" t="s">
        <v>3554</v>
      </c>
      <c r="E1091" s="2353"/>
      <c r="F1091" s="2353"/>
      <c r="G1091" s="2353"/>
      <c r="H1091" s="2353" t="s">
        <v>3555</v>
      </c>
      <c r="I1091" s="2353" t="s">
        <v>1178</v>
      </c>
      <c r="J1091" s="2353">
        <f>10*6</f>
        <v>60</v>
      </c>
      <c r="K1091" s="4286">
        <v>0</v>
      </c>
      <c r="L1091" s="2357" t="s">
        <v>3550</v>
      </c>
      <c r="M1091" s="2974" t="s">
        <v>51</v>
      </c>
      <c r="N1091" s="2975"/>
      <c r="O1091" s="481"/>
      <c r="P1091" s="481"/>
      <c r="Q1091" s="481"/>
      <c r="R1091" s="481"/>
      <c r="S1091" s="481"/>
      <c r="T1091" s="481"/>
      <c r="U1091" s="481"/>
      <c r="V1091" s="481"/>
      <c r="W1091" s="481"/>
      <c r="X1091" s="481"/>
      <c r="Y1091" s="481"/>
      <c r="Z1091" s="481"/>
      <c r="AA1091" s="1592"/>
    </row>
    <row r="1092" spans="1:27" x14ac:dyDescent="0.25">
      <c r="A1092" s="513"/>
      <c r="B1092" s="4282"/>
      <c r="C1092" s="4284"/>
      <c r="D1092" s="4282"/>
      <c r="E1092" s="4282"/>
      <c r="F1092" s="4282"/>
      <c r="G1092" s="4282"/>
      <c r="H1092" s="4282"/>
      <c r="I1092" s="4282"/>
      <c r="J1092" s="4282"/>
      <c r="K1092" s="4287"/>
      <c r="L1092" s="4289"/>
      <c r="M1092" s="2974" t="s">
        <v>111</v>
      </c>
      <c r="N1092" s="2975"/>
      <c r="O1092" s="481"/>
      <c r="P1092" s="481"/>
      <c r="Q1092" s="481"/>
      <c r="R1092" s="481"/>
      <c r="S1092" s="481"/>
      <c r="T1092" s="481"/>
      <c r="U1092" s="481"/>
      <c r="V1092" s="481"/>
      <c r="W1092" s="481"/>
      <c r="X1092" s="481"/>
      <c r="Y1092" s="481"/>
      <c r="Z1092" s="481"/>
      <c r="AA1092" s="1592"/>
    </row>
    <row r="1093" spans="1:27" x14ac:dyDescent="0.25">
      <c r="A1093" s="513"/>
      <c r="B1093" s="4282"/>
      <c r="C1093" s="4284"/>
      <c r="D1093" s="4282"/>
      <c r="E1093" s="4282"/>
      <c r="F1093" s="4282"/>
      <c r="G1093" s="4282"/>
      <c r="H1093" s="4282"/>
      <c r="I1093" s="4282"/>
      <c r="J1093" s="4282"/>
      <c r="K1093" s="4287"/>
      <c r="L1093" s="4289"/>
      <c r="M1093" s="1158" t="s">
        <v>184</v>
      </c>
      <c r="N1093" s="1923" t="s">
        <v>1365</v>
      </c>
      <c r="O1093" s="352"/>
      <c r="P1093" s="352"/>
      <c r="Q1093" s="352"/>
      <c r="R1093" s="352"/>
      <c r="S1093" s="352"/>
      <c r="T1093" s="352"/>
      <c r="U1093" s="352"/>
      <c r="V1093" s="352"/>
      <c r="W1093" s="352"/>
      <c r="X1093" s="352"/>
      <c r="Y1093" s="352"/>
      <c r="Z1093" s="352"/>
      <c r="AA1093" s="1592"/>
    </row>
    <row r="1094" spans="1:27" x14ac:dyDescent="0.25">
      <c r="A1094" s="513"/>
      <c r="B1094" s="4282"/>
      <c r="C1094" s="4284"/>
      <c r="D1094" s="4282"/>
      <c r="E1094" s="4282"/>
      <c r="F1094" s="4282"/>
      <c r="G1094" s="4282"/>
      <c r="H1094" s="4282"/>
      <c r="I1094" s="4282"/>
      <c r="J1094" s="4282"/>
      <c r="K1094" s="4287"/>
      <c r="L1094" s="4289"/>
      <c r="M1094" s="1158" t="s">
        <v>194</v>
      </c>
      <c r="N1094" s="1923" t="s">
        <v>1372</v>
      </c>
      <c r="O1094" s="352"/>
      <c r="P1094" s="352"/>
      <c r="Q1094" s="352"/>
      <c r="R1094" s="352"/>
      <c r="S1094" s="352"/>
      <c r="T1094" s="352"/>
      <c r="U1094" s="352"/>
      <c r="V1094" s="352"/>
      <c r="W1094" s="352"/>
      <c r="X1094" s="352"/>
      <c r="Y1094" s="352"/>
      <c r="Z1094" s="352"/>
      <c r="AA1094" s="1592"/>
    </row>
    <row r="1095" spans="1:27" x14ac:dyDescent="0.25">
      <c r="A1095" s="513"/>
      <c r="B1095" s="4282"/>
      <c r="C1095" s="4284"/>
      <c r="D1095" s="4282"/>
      <c r="E1095" s="4282"/>
      <c r="F1095" s="4282"/>
      <c r="G1095" s="4282"/>
      <c r="H1095" s="4282"/>
      <c r="I1095" s="4282"/>
      <c r="J1095" s="4282"/>
      <c r="K1095" s="4287"/>
      <c r="L1095" s="4289"/>
      <c r="M1095" s="1158" t="s">
        <v>3551</v>
      </c>
      <c r="N1095" s="1923" t="s">
        <v>1336</v>
      </c>
      <c r="O1095" s="352"/>
      <c r="P1095" s="352"/>
      <c r="Q1095" s="352"/>
      <c r="R1095" s="352"/>
      <c r="S1095" s="352"/>
      <c r="T1095" s="352"/>
      <c r="U1095" s="352"/>
      <c r="V1095" s="352"/>
      <c r="W1095" s="352"/>
      <c r="X1095" s="352"/>
      <c r="Y1095" s="352"/>
      <c r="Z1095" s="352"/>
      <c r="AA1095" s="1592"/>
    </row>
    <row r="1096" spans="1:27" ht="33.75" x14ac:dyDescent="0.25">
      <c r="A1096" s="513"/>
      <c r="B1096" s="4282"/>
      <c r="C1096" s="4284"/>
      <c r="D1096" s="4282"/>
      <c r="E1096" s="4282"/>
      <c r="F1096" s="4282"/>
      <c r="G1096" s="4282"/>
      <c r="H1096" s="4282"/>
      <c r="I1096" s="4282"/>
      <c r="J1096" s="4282"/>
      <c r="K1096" s="4287"/>
      <c r="L1096" s="4289"/>
      <c r="M1096" s="86" t="s">
        <v>208</v>
      </c>
      <c r="N1096" s="1927" t="s">
        <v>553</v>
      </c>
      <c r="O1096" s="352"/>
      <c r="P1096" s="352"/>
      <c r="Q1096" s="352"/>
      <c r="R1096" s="352"/>
      <c r="S1096" s="352"/>
      <c r="T1096" s="352"/>
      <c r="U1096" s="352"/>
      <c r="V1096" s="352"/>
      <c r="W1096" s="352"/>
      <c r="X1096" s="352"/>
      <c r="Y1096" s="352"/>
      <c r="Z1096" s="352"/>
      <c r="AA1096" s="1592"/>
    </row>
    <row r="1097" spans="1:27" ht="22.5" x14ac:dyDescent="0.25">
      <c r="A1097" s="513"/>
      <c r="B1097" s="2354"/>
      <c r="C1097" s="4285"/>
      <c r="D1097" s="2354"/>
      <c r="E1097" s="2354"/>
      <c r="F1097" s="2354"/>
      <c r="G1097" s="2354"/>
      <c r="H1097" s="2354"/>
      <c r="I1097" s="2354"/>
      <c r="J1097" s="2354"/>
      <c r="K1097" s="4288"/>
      <c r="L1097" s="2358"/>
      <c r="M1097" s="86" t="s">
        <v>210</v>
      </c>
      <c r="N1097" s="1927" t="s">
        <v>1371</v>
      </c>
      <c r="O1097" s="352"/>
      <c r="P1097" s="352"/>
      <c r="Q1097" s="352"/>
      <c r="R1097" s="352"/>
      <c r="S1097" s="352"/>
      <c r="T1097" s="352"/>
      <c r="U1097" s="352"/>
      <c r="V1097" s="352"/>
      <c r="W1097" s="352"/>
      <c r="X1097" s="352"/>
      <c r="Y1097" s="352"/>
      <c r="Z1097" s="352"/>
      <c r="AA1097" s="1592"/>
    </row>
    <row r="1098" spans="1:27" ht="7.5" customHeight="1" x14ac:dyDescent="0.25">
      <c r="A1098" s="513"/>
      <c r="B1098" s="1914"/>
      <c r="C1098" s="2094"/>
      <c r="D1098" s="1862"/>
      <c r="E1098" s="1862"/>
      <c r="F1098" s="1862"/>
      <c r="G1098" s="1862"/>
      <c r="H1098" s="1862"/>
      <c r="I1098" s="1862"/>
      <c r="J1098" s="1862"/>
      <c r="K1098" s="2095"/>
      <c r="L1098" s="1916"/>
      <c r="M1098" s="2096"/>
      <c r="N1098" s="2037"/>
      <c r="O1098" s="2097"/>
      <c r="P1098" s="2097"/>
      <c r="Q1098" s="2097"/>
      <c r="R1098" s="2097"/>
      <c r="S1098" s="2097"/>
      <c r="T1098" s="2097"/>
      <c r="U1098" s="2097"/>
      <c r="V1098" s="2097"/>
      <c r="W1098" s="2097"/>
      <c r="X1098" s="2097"/>
      <c r="Y1098" s="2097"/>
      <c r="Z1098" s="2097"/>
      <c r="AA1098" s="2030"/>
    </row>
    <row r="1099" spans="1:27" ht="25.5" x14ac:dyDescent="0.25">
      <c r="B1099" s="2080" t="s">
        <v>8</v>
      </c>
      <c r="C1099" s="1920" t="s">
        <v>3559</v>
      </c>
      <c r="D1099" s="1860"/>
      <c r="E1099" s="1860"/>
      <c r="F1099" s="1860"/>
      <c r="G1099" s="1860"/>
      <c r="H1099" s="1860"/>
      <c r="I1099" s="1860"/>
      <c r="J1099" s="1860"/>
      <c r="K1099" s="1860"/>
      <c r="L1099" s="1860"/>
      <c r="M1099" s="1860"/>
      <c r="N1099" s="1860"/>
      <c r="O1099" s="1860"/>
      <c r="P1099" s="1860"/>
      <c r="Q1099" s="1860"/>
      <c r="R1099" s="1860"/>
      <c r="S1099" s="1860"/>
      <c r="T1099" s="1860"/>
      <c r="U1099" s="1860"/>
      <c r="V1099" s="1860"/>
      <c r="W1099" s="88"/>
      <c r="X1099" s="88"/>
      <c r="Y1099" s="88"/>
      <c r="Z1099" s="88"/>
      <c r="AA1099" s="2093"/>
    </row>
    <row r="1100" spans="1:27" x14ac:dyDescent="0.25">
      <c r="B1100" s="1285" t="s">
        <v>11</v>
      </c>
      <c r="C1100" s="19" t="s">
        <v>12</v>
      </c>
      <c r="D1100" s="20"/>
      <c r="E1100" s="20"/>
      <c r="F1100" s="20"/>
      <c r="G1100" s="20"/>
      <c r="H1100" s="20"/>
      <c r="I1100" s="20"/>
      <c r="J1100" s="20"/>
      <c r="K1100" s="20"/>
      <c r="L1100" s="20"/>
      <c r="M1100" s="20"/>
      <c r="N1100" s="20"/>
      <c r="O1100" s="20"/>
      <c r="P1100" s="20"/>
      <c r="Q1100" s="20"/>
      <c r="R1100" s="20"/>
      <c r="S1100" s="20"/>
      <c r="T1100" s="20"/>
      <c r="U1100" s="20"/>
      <c r="V1100" s="20"/>
      <c r="W1100" s="20"/>
      <c r="X1100" s="20"/>
      <c r="Y1100" s="20"/>
      <c r="Z1100" s="20"/>
      <c r="AA1100" s="21"/>
    </row>
    <row r="1101" spans="1:27" x14ac:dyDescent="0.25">
      <c r="B1101" s="2913" t="s">
        <v>13</v>
      </c>
      <c r="C1101" s="2914">
        <v>9002</v>
      </c>
      <c r="D1101" s="2918" t="s">
        <v>14</v>
      </c>
      <c r="E1101" s="2919"/>
      <c r="F1101" s="2919"/>
      <c r="G1101" s="2919"/>
      <c r="H1101" s="2919"/>
      <c r="I1101" s="2919"/>
      <c r="J1101" s="2919"/>
      <c r="K1101" s="2919"/>
      <c r="L1101" s="2919"/>
      <c r="M1101" s="2919"/>
      <c r="N1101" s="2919"/>
      <c r="O1101" s="2919"/>
      <c r="P1101" s="2919"/>
      <c r="Q1101" s="23"/>
      <c r="R1101" s="23"/>
      <c r="S1101" s="23"/>
      <c r="T1101" s="23"/>
      <c r="U1101" s="25">
        <f>30224-27300</f>
        <v>2924</v>
      </c>
      <c r="V1101" s="2974" t="s">
        <v>15</v>
      </c>
      <c r="W1101" s="2975"/>
      <c r="X1101" s="2975"/>
      <c r="Y1101" s="2976"/>
      <c r="Z1101" s="2974" t="s">
        <v>16</v>
      </c>
      <c r="AA1101" s="2976"/>
    </row>
    <row r="1102" spans="1:27" x14ac:dyDescent="0.25">
      <c r="B1102" s="2913"/>
      <c r="C1102" s="2915"/>
      <c r="D1102" s="3459"/>
      <c r="E1102" s="3460"/>
      <c r="F1102" s="3460"/>
      <c r="G1102" s="3460"/>
      <c r="H1102" s="3460"/>
      <c r="I1102" s="3460"/>
      <c r="J1102" s="3460"/>
      <c r="K1102" s="3460"/>
      <c r="L1102" s="3460"/>
      <c r="M1102" s="3460"/>
      <c r="N1102" s="3460"/>
      <c r="O1102" s="3460"/>
      <c r="P1102" s="3460"/>
      <c r="Q1102" s="24"/>
      <c r="R1102" s="24"/>
      <c r="S1102" s="24"/>
      <c r="T1102" s="24"/>
      <c r="U1102" s="26"/>
      <c r="V1102" s="2977" t="s">
        <v>19</v>
      </c>
      <c r="W1102" s="2978"/>
      <c r="X1102" s="2978"/>
      <c r="Y1102" s="2979"/>
      <c r="Z1102" s="2974"/>
      <c r="AA1102" s="2976"/>
    </row>
    <row r="1103" spans="1:27" x14ac:dyDescent="0.25">
      <c r="B1103" s="2913" t="s">
        <v>18</v>
      </c>
      <c r="C1103" s="2993">
        <v>3.9999989999999999</v>
      </c>
      <c r="D1103" s="2995" t="s">
        <v>163</v>
      </c>
      <c r="E1103" s="2996"/>
      <c r="F1103" s="2996"/>
      <c r="G1103" s="2996"/>
      <c r="H1103" s="2996"/>
      <c r="I1103" s="2996"/>
      <c r="J1103" s="2996"/>
      <c r="K1103" s="2996"/>
      <c r="L1103" s="2996"/>
      <c r="M1103" s="2996"/>
      <c r="N1103" s="2996"/>
      <c r="O1103" s="2996"/>
      <c r="P1103" s="2996"/>
      <c r="Q1103" s="28"/>
      <c r="R1103" s="28"/>
      <c r="S1103" s="28"/>
      <c r="T1103" s="28"/>
      <c r="U1103" s="29"/>
      <c r="V1103" s="2974" t="s">
        <v>15</v>
      </c>
      <c r="W1103" s="2975"/>
      <c r="X1103" s="2975"/>
      <c r="Y1103" s="2976"/>
      <c r="Z1103" s="2922" t="s">
        <v>16</v>
      </c>
      <c r="AA1103" s="2922"/>
    </row>
    <row r="1104" spans="1:27" x14ac:dyDescent="0.25">
      <c r="B1104" s="2913"/>
      <c r="C1104" s="2994"/>
      <c r="D1104" s="2997"/>
      <c r="E1104" s="2998"/>
      <c r="F1104" s="2998"/>
      <c r="G1104" s="2998"/>
      <c r="H1104" s="2998"/>
      <c r="I1104" s="2998"/>
      <c r="J1104" s="2998"/>
      <c r="K1104" s="2998"/>
      <c r="L1104" s="2998"/>
      <c r="M1104" s="2998"/>
      <c r="N1104" s="2998"/>
      <c r="O1104" s="2998"/>
      <c r="P1104" s="2998"/>
      <c r="Q1104" s="31"/>
      <c r="R1104" s="31"/>
      <c r="S1104" s="31"/>
      <c r="T1104" s="31"/>
      <c r="U1104" s="22"/>
      <c r="V1104" s="2977" t="s">
        <v>19</v>
      </c>
      <c r="W1104" s="2978"/>
      <c r="X1104" s="2978"/>
      <c r="Y1104" s="2979"/>
      <c r="Z1104" s="2922"/>
      <c r="AA1104" s="2922"/>
    </row>
    <row r="1105" spans="2:27" x14ac:dyDescent="0.25">
      <c r="B1105" s="3516" t="s">
        <v>20</v>
      </c>
      <c r="C1105" s="2847" t="s">
        <v>21</v>
      </c>
      <c r="D1105" s="2847" t="s">
        <v>22</v>
      </c>
      <c r="E1105" s="2847" t="s">
        <v>23</v>
      </c>
      <c r="F1105" s="2847" t="s">
        <v>24</v>
      </c>
      <c r="G1105" s="2847" t="s">
        <v>25</v>
      </c>
      <c r="H1105" s="2847" t="s">
        <v>26</v>
      </c>
      <c r="I1105" s="2847" t="s">
        <v>27</v>
      </c>
      <c r="J1105" s="2986" t="s">
        <v>28</v>
      </c>
      <c r="K1105" s="2987"/>
      <c r="L1105" s="2847" t="s">
        <v>29</v>
      </c>
      <c r="M1105" s="2986" t="s">
        <v>30</v>
      </c>
      <c r="N1105" s="2987"/>
      <c r="O1105" s="3259" t="s">
        <v>31</v>
      </c>
      <c r="P1105" s="3260"/>
      <c r="Q1105" s="3260"/>
      <c r="R1105" s="3260"/>
      <c r="S1105" s="3260"/>
      <c r="T1105" s="3260"/>
      <c r="U1105" s="3260"/>
      <c r="V1105" s="3260"/>
      <c r="W1105" s="3260"/>
      <c r="X1105" s="3260"/>
      <c r="Y1105" s="3260"/>
      <c r="Z1105" s="3261"/>
      <c r="AA1105" s="2916" t="s">
        <v>32</v>
      </c>
    </row>
    <row r="1106" spans="2:27" x14ac:dyDescent="0.25">
      <c r="B1106" s="3516"/>
      <c r="C1106" s="2847"/>
      <c r="D1106" s="2847"/>
      <c r="E1106" s="2847"/>
      <c r="F1106" s="2847"/>
      <c r="G1106" s="2847"/>
      <c r="H1106" s="2847"/>
      <c r="I1106" s="2847"/>
      <c r="J1106" s="1284" t="s">
        <v>33</v>
      </c>
      <c r="K1106" s="1284" t="s">
        <v>34</v>
      </c>
      <c r="L1106" s="2847"/>
      <c r="M1106" s="3000"/>
      <c r="N1106" s="3001"/>
      <c r="O1106" s="1294" t="s">
        <v>35</v>
      </c>
      <c r="P1106" s="1294" t="s">
        <v>36</v>
      </c>
      <c r="Q1106" s="1294" t="s">
        <v>37</v>
      </c>
      <c r="R1106" s="1294" t="s">
        <v>38</v>
      </c>
      <c r="S1106" s="1294" t="s">
        <v>39</v>
      </c>
      <c r="T1106" s="1294" t="s">
        <v>40</v>
      </c>
      <c r="U1106" s="1294" t="s">
        <v>41</v>
      </c>
      <c r="V1106" s="1294" t="s">
        <v>42</v>
      </c>
      <c r="W1106" s="1294" t="s">
        <v>43</v>
      </c>
      <c r="X1106" s="1294" t="s">
        <v>44</v>
      </c>
      <c r="Y1106" s="1294" t="s">
        <v>45</v>
      </c>
      <c r="Z1106" s="1294" t="s">
        <v>46</v>
      </c>
      <c r="AA1106" s="2916"/>
    </row>
    <row r="1107" spans="2:27" x14ac:dyDescent="0.25">
      <c r="B1107" s="4274"/>
      <c r="C1107" s="4279"/>
      <c r="D1107" s="4274"/>
      <c r="E1107" s="4274"/>
      <c r="F1107" s="4274"/>
      <c r="G1107" s="4274"/>
      <c r="H1107" s="4274"/>
      <c r="I1107" s="4274"/>
      <c r="J1107" s="4274">
        <v>35</v>
      </c>
      <c r="K1107" s="4278">
        <v>30224</v>
      </c>
      <c r="L1107" s="4274"/>
      <c r="M1107" s="4209" t="s">
        <v>51</v>
      </c>
      <c r="N1107" s="4210"/>
      <c r="O1107" s="763">
        <f>+O1114+O1120+O1126+O1132+O1138+O1144+O1150+O1156+O1162</f>
        <v>0</v>
      </c>
      <c r="P1107" s="763">
        <f t="shared" ref="P1107:Z1107" si="111">+P1114+P1120+P1126+P1132+P1138+P1144+P1150+P1156+P1162</f>
        <v>5</v>
      </c>
      <c r="Q1107" s="763">
        <f t="shared" si="111"/>
        <v>4</v>
      </c>
      <c r="R1107" s="763">
        <f t="shared" si="111"/>
        <v>2</v>
      </c>
      <c r="S1107" s="763">
        <f t="shared" si="111"/>
        <v>5</v>
      </c>
      <c r="T1107" s="763">
        <f t="shared" si="111"/>
        <v>5</v>
      </c>
      <c r="U1107" s="763">
        <f t="shared" si="111"/>
        <v>1</v>
      </c>
      <c r="V1107" s="763">
        <f t="shared" si="111"/>
        <v>5</v>
      </c>
      <c r="W1107" s="763">
        <f t="shared" si="111"/>
        <v>3</v>
      </c>
      <c r="X1107" s="763">
        <f t="shared" si="111"/>
        <v>1</v>
      </c>
      <c r="Y1107" s="763">
        <f t="shared" si="111"/>
        <v>2</v>
      </c>
      <c r="Z1107" s="763">
        <f t="shared" si="111"/>
        <v>2</v>
      </c>
      <c r="AA1107" s="2099">
        <f>SUM(O1107:Z1107)</f>
        <v>35</v>
      </c>
    </row>
    <row r="1108" spans="2:27" x14ac:dyDescent="0.25">
      <c r="B1108" s="4274"/>
      <c r="C1108" s="4280"/>
      <c r="D1108" s="4274"/>
      <c r="E1108" s="4274"/>
      <c r="F1108" s="4274"/>
      <c r="G1108" s="4274"/>
      <c r="H1108" s="4274"/>
      <c r="I1108" s="4274"/>
      <c r="J1108" s="4274"/>
      <c r="K1108" s="4278"/>
      <c r="L1108" s="4274"/>
      <c r="M1108" s="3216" t="s">
        <v>1340</v>
      </c>
      <c r="N1108" s="3216"/>
      <c r="O1108" s="2101">
        <f>SUM(O1109:O1113)</f>
        <v>0</v>
      </c>
      <c r="P1108" s="2101">
        <f t="shared" ref="P1108:Z1108" si="112">SUM(P1109:P1113)</f>
        <v>5250</v>
      </c>
      <c r="Q1108" s="2101">
        <f t="shared" si="112"/>
        <v>1260</v>
      </c>
      <c r="R1108" s="2101">
        <f t="shared" si="112"/>
        <v>0</v>
      </c>
      <c r="S1108" s="2101">
        <f t="shared" si="112"/>
        <v>7540</v>
      </c>
      <c r="T1108" s="2101">
        <f t="shared" si="112"/>
        <v>2860</v>
      </c>
      <c r="U1108" s="2101">
        <f t="shared" si="112"/>
        <v>254</v>
      </c>
      <c r="V1108" s="2101">
        <f t="shared" si="112"/>
        <v>6300</v>
      </c>
      <c r="W1108" s="2101">
        <f t="shared" si="112"/>
        <v>3400</v>
      </c>
      <c r="X1108" s="2101">
        <f t="shared" si="112"/>
        <v>2000</v>
      </c>
      <c r="Y1108" s="2101">
        <f t="shared" si="112"/>
        <v>1360</v>
      </c>
      <c r="Z1108" s="2101">
        <f t="shared" si="112"/>
        <v>0</v>
      </c>
      <c r="AA1108" s="2099">
        <f>SUM(O1108:Z1108)</f>
        <v>30224</v>
      </c>
    </row>
    <row r="1109" spans="2:27" ht="22.5" x14ac:dyDescent="0.25">
      <c r="B1109" s="4274"/>
      <c r="C1109" s="4280"/>
      <c r="D1109" s="4274"/>
      <c r="E1109" s="4274"/>
      <c r="F1109" s="4274"/>
      <c r="G1109" s="4274"/>
      <c r="H1109" s="4274"/>
      <c r="I1109" s="4274"/>
      <c r="J1109" s="4274"/>
      <c r="K1109" s="4278"/>
      <c r="L1109" s="4274"/>
      <c r="M1109" s="1956" t="s">
        <v>184</v>
      </c>
      <c r="N1109" s="1956" t="s">
        <v>3560</v>
      </c>
      <c r="O1109" s="1659">
        <f>+O1116+O1122+O1128+O1134+O1140+O1146+O1152+O1158+O1164</f>
        <v>0</v>
      </c>
      <c r="P1109" s="1659">
        <f t="shared" ref="P1109:Z1109" si="113">+P1116+P1122+P1128+P1134+P1140+P1146+P1152+P1158+P1164</f>
        <v>1250</v>
      </c>
      <c r="Q1109" s="1659">
        <f t="shared" si="113"/>
        <v>0</v>
      </c>
      <c r="R1109" s="1659">
        <f t="shared" si="113"/>
        <v>0</v>
      </c>
      <c r="S1109" s="1659">
        <f t="shared" si="113"/>
        <v>2240</v>
      </c>
      <c r="T1109" s="1659">
        <f t="shared" si="113"/>
        <v>1500</v>
      </c>
      <c r="U1109" s="1659">
        <f t="shared" si="113"/>
        <v>254</v>
      </c>
      <c r="V1109" s="1659">
        <f t="shared" si="113"/>
        <v>1040</v>
      </c>
      <c r="W1109" s="1659">
        <f t="shared" si="113"/>
        <v>2040</v>
      </c>
      <c r="X1109" s="1659">
        <f t="shared" si="113"/>
        <v>0</v>
      </c>
      <c r="Y1109" s="1659">
        <f t="shared" si="113"/>
        <v>0</v>
      </c>
      <c r="Z1109" s="1659">
        <f t="shared" si="113"/>
        <v>0</v>
      </c>
      <c r="AA1109" s="2099">
        <f t="shared" ref="AA1109:AA1111" si="114">SUM(O1109:Z1109)</f>
        <v>8324</v>
      </c>
    </row>
    <row r="1110" spans="2:27" ht="33.75" x14ac:dyDescent="0.25">
      <c r="B1110" s="4274"/>
      <c r="C1110" s="4280"/>
      <c r="D1110" s="4274"/>
      <c r="E1110" s="4274"/>
      <c r="F1110" s="4274"/>
      <c r="G1110" s="4274"/>
      <c r="H1110" s="4274"/>
      <c r="I1110" s="4274"/>
      <c r="J1110" s="4274"/>
      <c r="K1110" s="4278"/>
      <c r="L1110" s="4274"/>
      <c r="M1110" s="1956" t="s">
        <v>541</v>
      </c>
      <c r="N1110" s="1956" t="s">
        <v>3561</v>
      </c>
      <c r="O1110" s="1659">
        <f t="shared" ref="O1110:Z1112" si="115">+O1117+O1123+O1129+O1135+O1141+O1147+O1153+O1159+O1165</f>
        <v>0</v>
      </c>
      <c r="P1110" s="1659">
        <f t="shared" si="115"/>
        <v>0</v>
      </c>
      <c r="Q1110" s="1659">
        <f t="shared" si="115"/>
        <v>300</v>
      </c>
      <c r="R1110" s="1659">
        <f t="shared" si="115"/>
        <v>0</v>
      </c>
      <c r="S1110" s="1659">
        <f t="shared" si="115"/>
        <v>900</v>
      </c>
      <c r="T1110" s="1659">
        <f t="shared" si="115"/>
        <v>400</v>
      </c>
      <c r="U1110" s="1659">
        <f t="shared" si="115"/>
        <v>0</v>
      </c>
      <c r="V1110" s="1659">
        <f t="shared" si="115"/>
        <v>300</v>
      </c>
      <c r="W1110" s="1659">
        <f t="shared" si="115"/>
        <v>400</v>
      </c>
      <c r="X1110" s="1659">
        <f t="shared" si="115"/>
        <v>0</v>
      </c>
      <c r="Y1110" s="1659">
        <f t="shared" si="115"/>
        <v>400</v>
      </c>
      <c r="Z1110" s="1659">
        <f t="shared" si="115"/>
        <v>0</v>
      </c>
      <c r="AA1110" s="2099">
        <f t="shared" si="114"/>
        <v>2700</v>
      </c>
    </row>
    <row r="1111" spans="2:27" x14ac:dyDescent="0.25">
      <c r="B1111" s="4274"/>
      <c r="C1111" s="4280"/>
      <c r="D1111" s="4274"/>
      <c r="E1111" s="4274"/>
      <c r="F1111" s="4274"/>
      <c r="G1111" s="4274"/>
      <c r="H1111" s="4274"/>
      <c r="I1111" s="4274"/>
      <c r="J1111" s="4274"/>
      <c r="K1111" s="4278"/>
      <c r="L1111" s="4274"/>
      <c r="M1111" s="1956" t="s">
        <v>194</v>
      </c>
      <c r="N1111" s="1956" t="s">
        <v>1372</v>
      </c>
      <c r="O1111" s="1659">
        <f t="shared" si="115"/>
        <v>0</v>
      </c>
      <c r="P1111" s="1659">
        <f t="shared" si="115"/>
        <v>0</v>
      </c>
      <c r="Q1111" s="1659">
        <f t="shared" si="115"/>
        <v>960</v>
      </c>
      <c r="R1111" s="1659">
        <f t="shared" si="115"/>
        <v>0</v>
      </c>
      <c r="S1111" s="1659">
        <f t="shared" si="115"/>
        <v>2400</v>
      </c>
      <c r="T1111" s="1659">
        <f t="shared" si="115"/>
        <v>960</v>
      </c>
      <c r="U1111" s="1659">
        <f t="shared" si="115"/>
        <v>0</v>
      </c>
      <c r="V1111" s="1659">
        <f t="shared" si="115"/>
        <v>960</v>
      </c>
      <c r="W1111" s="1659">
        <f t="shared" si="115"/>
        <v>960</v>
      </c>
      <c r="X1111" s="1659">
        <f t="shared" si="115"/>
        <v>0</v>
      </c>
      <c r="Y1111" s="1659">
        <f t="shared" si="115"/>
        <v>960</v>
      </c>
      <c r="Z1111" s="1659">
        <f t="shared" si="115"/>
        <v>0</v>
      </c>
      <c r="AA1111" s="2099">
        <f t="shared" si="114"/>
        <v>7200</v>
      </c>
    </row>
    <row r="1112" spans="2:27" ht="33.75" x14ac:dyDescent="0.25">
      <c r="B1112" s="4274"/>
      <c r="C1112" s="4280"/>
      <c r="D1112" s="4274"/>
      <c r="E1112" s="4274"/>
      <c r="F1112" s="4274"/>
      <c r="G1112" s="4274"/>
      <c r="H1112" s="4274"/>
      <c r="I1112" s="4274"/>
      <c r="J1112" s="4274"/>
      <c r="K1112" s="4278"/>
      <c r="L1112" s="4274"/>
      <c r="M1112" s="1956" t="s">
        <v>1452</v>
      </c>
      <c r="N1112" s="1956" t="s">
        <v>1984</v>
      </c>
      <c r="O1112" s="1659">
        <f t="shared" si="115"/>
        <v>0</v>
      </c>
      <c r="P1112" s="1659">
        <f t="shared" si="115"/>
        <v>0</v>
      </c>
      <c r="Q1112" s="1659">
        <f t="shared" si="115"/>
        <v>0</v>
      </c>
      <c r="R1112" s="1659">
        <f t="shared" si="115"/>
        <v>0</v>
      </c>
      <c r="S1112" s="1659">
        <f t="shared" si="115"/>
        <v>0</v>
      </c>
      <c r="T1112" s="1659">
        <f t="shared" si="115"/>
        <v>0</v>
      </c>
      <c r="U1112" s="1659">
        <f t="shared" si="115"/>
        <v>0</v>
      </c>
      <c r="V1112" s="1659">
        <f t="shared" si="115"/>
        <v>0</v>
      </c>
      <c r="W1112" s="1659">
        <f t="shared" si="115"/>
        <v>0</v>
      </c>
      <c r="X1112" s="1659">
        <f t="shared" si="115"/>
        <v>0</v>
      </c>
      <c r="Y1112" s="1659">
        <f t="shared" si="115"/>
        <v>0</v>
      </c>
      <c r="Z1112" s="1659">
        <f t="shared" si="115"/>
        <v>0</v>
      </c>
      <c r="AA1112" s="2099">
        <f>SUM(O1112:Z1112)</f>
        <v>0</v>
      </c>
    </row>
    <row r="1113" spans="2:27" ht="22.5" x14ac:dyDescent="0.25">
      <c r="B1113" s="4274"/>
      <c r="C1113" s="4280"/>
      <c r="D1113" s="4274"/>
      <c r="E1113" s="4274"/>
      <c r="F1113" s="4274"/>
      <c r="G1113" s="4274"/>
      <c r="H1113" s="4274"/>
      <c r="I1113" s="4274"/>
      <c r="J1113" s="4274"/>
      <c r="K1113" s="4278"/>
      <c r="L1113" s="4274"/>
      <c r="M1113" s="1956" t="s">
        <v>1454</v>
      </c>
      <c r="N1113" s="603" t="s">
        <v>207</v>
      </c>
      <c r="O1113" s="1659">
        <f>+O1168</f>
        <v>0</v>
      </c>
      <c r="P1113" s="1659">
        <f t="shared" ref="P1113:Z1113" si="116">+P1168</f>
        <v>4000</v>
      </c>
      <c r="Q1113" s="1659">
        <f t="shared" si="116"/>
        <v>0</v>
      </c>
      <c r="R1113" s="1659">
        <f t="shared" si="116"/>
        <v>0</v>
      </c>
      <c r="S1113" s="1659">
        <f t="shared" si="116"/>
        <v>2000</v>
      </c>
      <c r="T1113" s="1659">
        <f t="shared" si="116"/>
        <v>0</v>
      </c>
      <c r="U1113" s="1659">
        <f t="shared" si="116"/>
        <v>0</v>
      </c>
      <c r="V1113" s="1659">
        <f t="shared" si="116"/>
        <v>4000</v>
      </c>
      <c r="W1113" s="1659">
        <f t="shared" si="116"/>
        <v>0</v>
      </c>
      <c r="X1113" s="1659">
        <f t="shared" si="116"/>
        <v>2000</v>
      </c>
      <c r="Y1113" s="1659">
        <f t="shared" si="116"/>
        <v>0</v>
      </c>
      <c r="Z1113" s="1659">
        <f t="shared" si="116"/>
        <v>0</v>
      </c>
      <c r="AA1113" s="2099">
        <f>SUM(O1113:Z1113)</f>
        <v>12000</v>
      </c>
    </row>
    <row r="1114" spans="2:27" x14ac:dyDescent="0.25">
      <c r="B1114" s="4274"/>
      <c r="C1114" s="4279" t="s">
        <v>3562</v>
      </c>
      <c r="D1114" s="4274"/>
      <c r="E1114" s="4274"/>
      <c r="F1114" s="4274"/>
      <c r="G1114" s="4274"/>
      <c r="H1114" s="4277" t="s">
        <v>3708</v>
      </c>
      <c r="I1114" s="4274" t="s">
        <v>2420</v>
      </c>
      <c r="J1114" s="4274">
        <v>5</v>
      </c>
      <c r="K1114" s="4278">
        <f>SUM(AA1116:AA1119)</f>
        <v>1440</v>
      </c>
      <c r="L1114" s="4274" t="s">
        <v>3563</v>
      </c>
      <c r="M1114" s="4209" t="s">
        <v>51</v>
      </c>
      <c r="N1114" s="4210"/>
      <c r="O1114" s="1659"/>
      <c r="P1114" s="2101">
        <v>1</v>
      </c>
      <c r="Q1114" s="2101">
        <v>1</v>
      </c>
      <c r="R1114" s="2101">
        <v>1</v>
      </c>
      <c r="S1114" s="2101">
        <v>1</v>
      </c>
      <c r="T1114" s="2101"/>
      <c r="U1114" s="2101"/>
      <c r="V1114" s="2101">
        <v>1</v>
      </c>
      <c r="W1114" s="2101"/>
      <c r="X1114" s="2101"/>
      <c r="Y1114" s="2101"/>
      <c r="Z1114" s="2101"/>
      <c r="AA1114" s="2099">
        <f>SUM(O1114:Z1114)</f>
        <v>5</v>
      </c>
    </row>
    <row r="1115" spans="2:27" x14ac:dyDescent="0.25">
      <c r="B1115" s="4274"/>
      <c r="C1115" s="4280"/>
      <c r="D1115" s="4274"/>
      <c r="E1115" s="4274"/>
      <c r="F1115" s="4274"/>
      <c r="G1115" s="4274"/>
      <c r="H1115" s="4277"/>
      <c r="I1115" s="4274"/>
      <c r="J1115" s="4274"/>
      <c r="K1115" s="4274"/>
      <c r="L1115" s="4274"/>
      <c r="M1115" s="3216" t="s">
        <v>1340</v>
      </c>
      <c r="N1115" s="3216"/>
      <c r="O1115" s="1659"/>
      <c r="P1115" s="2101">
        <v>200</v>
      </c>
      <c r="Q1115" s="2101"/>
      <c r="R1115" s="2101"/>
      <c r="S1115" s="2101">
        <v>200</v>
      </c>
      <c r="T1115" s="2101"/>
      <c r="U1115" s="2101"/>
      <c r="V1115" s="2101">
        <v>1040</v>
      </c>
      <c r="W1115" s="1659"/>
      <c r="X1115" s="1659"/>
      <c r="Y1115" s="1659"/>
      <c r="Z1115" s="1659"/>
      <c r="AA1115" s="2099">
        <f t="shared" ref="AA1115:AA1119" si="117">SUM(O1115:Z1115)</f>
        <v>1440</v>
      </c>
    </row>
    <row r="1116" spans="2:27" ht="22.5" x14ac:dyDescent="0.25">
      <c r="B1116" s="4274"/>
      <c r="C1116" s="4280"/>
      <c r="D1116" s="4274"/>
      <c r="E1116" s="4274"/>
      <c r="F1116" s="4274"/>
      <c r="G1116" s="4274"/>
      <c r="H1116" s="4277"/>
      <c r="I1116" s="4274"/>
      <c r="J1116" s="4274"/>
      <c r="K1116" s="4274"/>
      <c r="L1116" s="4274"/>
      <c r="M1116" s="1956" t="s">
        <v>184</v>
      </c>
      <c r="N1116" s="1956" t="s">
        <v>3560</v>
      </c>
      <c r="O1116" s="1659"/>
      <c r="P1116" s="1659">
        <v>200</v>
      </c>
      <c r="Q1116" s="1659"/>
      <c r="R1116" s="1659"/>
      <c r="S1116" s="1659">
        <v>200</v>
      </c>
      <c r="T1116" s="1659"/>
      <c r="U1116" s="1659"/>
      <c r="V1116" s="1659">
        <v>1040</v>
      </c>
      <c r="W1116" s="1659"/>
      <c r="X1116" s="1659"/>
      <c r="Y1116" s="1659"/>
      <c r="Z1116" s="1659"/>
      <c r="AA1116" s="2099">
        <f t="shared" si="117"/>
        <v>1440</v>
      </c>
    </row>
    <row r="1117" spans="2:27" ht="33.75" x14ac:dyDescent="0.25">
      <c r="B1117" s="4274"/>
      <c r="C1117" s="4280"/>
      <c r="D1117" s="4274"/>
      <c r="E1117" s="4274"/>
      <c r="F1117" s="4274"/>
      <c r="G1117" s="4274"/>
      <c r="H1117" s="4277"/>
      <c r="I1117" s="4274"/>
      <c r="J1117" s="4274"/>
      <c r="K1117" s="4274"/>
      <c r="L1117" s="4274"/>
      <c r="M1117" s="1956" t="s">
        <v>541</v>
      </c>
      <c r="N1117" s="1956" t="s">
        <v>3561</v>
      </c>
      <c r="O1117" s="1659"/>
      <c r="P1117" s="1659"/>
      <c r="Q1117" s="1659"/>
      <c r="R1117" s="1659"/>
      <c r="S1117" s="1659"/>
      <c r="T1117" s="1659"/>
      <c r="U1117" s="1659"/>
      <c r="V1117" s="1659"/>
      <c r="W1117" s="1659"/>
      <c r="X1117" s="1659"/>
      <c r="Y1117" s="1659"/>
      <c r="Z1117" s="1659"/>
      <c r="AA1117" s="2099">
        <f t="shared" si="117"/>
        <v>0</v>
      </c>
    </row>
    <row r="1118" spans="2:27" x14ac:dyDescent="0.25">
      <c r="B1118" s="4274"/>
      <c r="C1118" s="4280"/>
      <c r="D1118" s="4274"/>
      <c r="E1118" s="4274"/>
      <c r="F1118" s="4274"/>
      <c r="G1118" s="4274"/>
      <c r="H1118" s="4277"/>
      <c r="I1118" s="4274"/>
      <c r="J1118" s="4274"/>
      <c r="K1118" s="4274"/>
      <c r="L1118" s="4274"/>
      <c r="M1118" s="1956" t="s">
        <v>194</v>
      </c>
      <c r="N1118" s="1956" t="s">
        <v>1372</v>
      </c>
      <c r="O1118" s="1659"/>
      <c r="P1118" s="1659"/>
      <c r="Q1118" s="1659"/>
      <c r="R1118" s="1659"/>
      <c r="S1118" s="1659"/>
      <c r="T1118" s="1659"/>
      <c r="U1118" s="1659"/>
      <c r="V1118" s="1659"/>
      <c r="W1118" s="1659"/>
      <c r="X1118" s="1659"/>
      <c r="Y1118" s="1659"/>
      <c r="Z1118" s="1659"/>
      <c r="AA1118" s="2099">
        <f t="shared" si="117"/>
        <v>0</v>
      </c>
    </row>
    <row r="1119" spans="2:27" ht="33.75" x14ac:dyDescent="0.25">
      <c r="B1119" s="4274"/>
      <c r="C1119" s="4280"/>
      <c r="D1119" s="4274"/>
      <c r="E1119" s="4274"/>
      <c r="F1119" s="4274"/>
      <c r="G1119" s="4274"/>
      <c r="H1119" s="4277"/>
      <c r="I1119" s="4274"/>
      <c r="J1119" s="4274"/>
      <c r="K1119" s="4274"/>
      <c r="L1119" s="4274"/>
      <c r="M1119" s="1956" t="s">
        <v>1452</v>
      </c>
      <c r="N1119" s="1956" t="s">
        <v>1984</v>
      </c>
      <c r="O1119" s="1659"/>
      <c r="P1119" s="1659"/>
      <c r="Q1119" s="1659"/>
      <c r="R1119" s="1659"/>
      <c r="S1119" s="1659"/>
      <c r="T1119" s="1659"/>
      <c r="U1119" s="1659"/>
      <c r="V1119" s="1659"/>
      <c r="W1119" s="1659"/>
      <c r="X1119" s="1659"/>
      <c r="Y1119" s="1659"/>
      <c r="Z1119" s="1659"/>
      <c r="AA1119" s="2099">
        <f t="shared" si="117"/>
        <v>0</v>
      </c>
    </row>
    <row r="1120" spans="2:27" x14ac:dyDescent="0.25">
      <c r="B1120" s="4274"/>
      <c r="C1120" s="4279" t="s">
        <v>3564</v>
      </c>
      <c r="D1120" s="4274"/>
      <c r="E1120" s="4274"/>
      <c r="F1120" s="4274"/>
      <c r="G1120" s="4274"/>
      <c r="H1120" s="4277" t="s">
        <v>3307</v>
      </c>
      <c r="I1120" s="4274" t="s">
        <v>2420</v>
      </c>
      <c r="J1120" s="4274">
        <v>8</v>
      </c>
      <c r="K1120" s="4278">
        <f>SUM(AA1122:AA1125)</f>
        <v>1400</v>
      </c>
      <c r="L1120" s="4274" t="s">
        <v>3563</v>
      </c>
      <c r="M1120" s="3216" t="s">
        <v>51</v>
      </c>
      <c r="N1120" s="3216"/>
      <c r="O1120" s="1659"/>
      <c r="P1120" s="2101">
        <v>2</v>
      </c>
      <c r="Q1120" s="2101">
        <v>2</v>
      </c>
      <c r="R1120" s="2101"/>
      <c r="S1120" s="2101"/>
      <c r="T1120" s="2101">
        <v>2</v>
      </c>
      <c r="U1120" s="2101"/>
      <c r="V1120" s="2101">
        <v>2</v>
      </c>
      <c r="W1120" s="1659"/>
      <c r="X1120" s="1659"/>
      <c r="Y1120" s="1659"/>
      <c r="Z1120" s="1659"/>
      <c r="AA1120" s="2099">
        <f>SUM(O1121:Z1121)</f>
        <v>1400</v>
      </c>
    </row>
    <row r="1121" spans="2:27" x14ac:dyDescent="0.25">
      <c r="B1121" s="4274"/>
      <c r="C1121" s="4280"/>
      <c r="D1121" s="4274"/>
      <c r="E1121" s="4274"/>
      <c r="F1121" s="4274"/>
      <c r="G1121" s="4274"/>
      <c r="H1121" s="4277"/>
      <c r="I1121" s="4274"/>
      <c r="J1121" s="4274"/>
      <c r="K1121" s="4274"/>
      <c r="L1121" s="4274"/>
      <c r="M1121" s="3216" t="s">
        <v>1340</v>
      </c>
      <c r="N1121" s="3216"/>
      <c r="O1121" s="2101"/>
      <c r="P1121" s="2101">
        <v>400</v>
      </c>
      <c r="Q1121" s="2101"/>
      <c r="R1121" s="2101"/>
      <c r="S1121" s="2101"/>
      <c r="T1121" s="2101">
        <v>1000</v>
      </c>
      <c r="U1121" s="2101"/>
      <c r="V1121" s="2101"/>
      <c r="W1121" s="2101"/>
      <c r="X1121" s="2101"/>
      <c r="Y1121" s="2101"/>
      <c r="Z1121" s="2101"/>
      <c r="AA1121" s="2099">
        <f t="shared" ref="AA1121" si="118">SUM(O1121:Z1121)</f>
        <v>1400</v>
      </c>
    </row>
    <row r="1122" spans="2:27" ht="22.5" x14ac:dyDescent="0.25">
      <c r="B1122" s="4274"/>
      <c r="C1122" s="4280"/>
      <c r="D1122" s="4274"/>
      <c r="E1122" s="4274"/>
      <c r="F1122" s="4274"/>
      <c r="G1122" s="4274"/>
      <c r="H1122" s="4277"/>
      <c r="I1122" s="4274"/>
      <c r="J1122" s="4274"/>
      <c r="K1122" s="4274"/>
      <c r="L1122" s="4274"/>
      <c r="M1122" s="1956" t="s">
        <v>184</v>
      </c>
      <c r="N1122" s="1956" t="s">
        <v>3560</v>
      </c>
      <c r="O1122" s="1659"/>
      <c r="P1122" s="1659">
        <v>400</v>
      </c>
      <c r="Q1122" s="1659"/>
      <c r="R1122" s="1659"/>
      <c r="S1122" s="1659"/>
      <c r="T1122" s="1659">
        <v>1000</v>
      </c>
      <c r="U1122" s="1659"/>
      <c r="V1122" s="1659"/>
      <c r="W1122" s="1659"/>
      <c r="X1122" s="1659"/>
      <c r="Y1122" s="1659"/>
      <c r="Z1122" s="1659"/>
      <c r="AA1122" s="2099">
        <f t="shared" ref="AA1122:AA1125" si="119">SUM(O1122:Z1122)</f>
        <v>1400</v>
      </c>
    </row>
    <row r="1123" spans="2:27" ht="33.75" x14ac:dyDescent="0.25">
      <c r="B1123" s="4274"/>
      <c r="C1123" s="4280"/>
      <c r="D1123" s="4274"/>
      <c r="E1123" s="4274"/>
      <c r="F1123" s="4274"/>
      <c r="G1123" s="4274"/>
      <c r="H1123" s="4277"/>
      <c r="I1123" s="4274"/>
      <c r="J1123" s="4274"/>
      <c r="K1123" s="4274"/>
      <c r="L1123" s="4274"/>
      <c r="M1123" s="1956" t="s">
        <v>541</v>
      </c>
      <c r="N1123" s="1956" t="s">
        <v>3561</v>
      </c>
      <c r="O1123" s="1659"/>
      <c r="P1123" s="1659"/>
      <c r="Q1123" s="1659"/>
      <c r="R1123" s="1659"/>
      <c r="S1123" s="1659"/>
      <c r="T1123" s="1659"/>
      <c r="U1123" s="1659"/>
      <c r="V1123" s="1659"/>
      <c r="W1123" s="1659"/>
      <c r="X1123" s="1659"/>
      <c r="Y1123" s="1659"/>
      <c r="Z1123" s="1659"/>
      <c r="AA1123" s="2099">
        <f t="shared" si="119"/>
        <v>0</v>
      </c>
    </row>
    <row r="1124" spans="2:27" x14ac:dyDescent="0.25">
      <c r="B1124" s="4274"/>
      <c r="C1124" s="4280"/>
      <c r="D1124" s="4274"/>
      <c r="E1124" s="4274"/>
      <c r="F1124" s="4274"/>
      <c r="G1124" s="4274"/>
      <c r="H1124" s="4277"/>
      <c r="I1124" s="4274"/>
      <c r="J1124" s="4274"/>
      <c r="K1124" s="4274"/>
      <c r="L1124" s="4274"/>
      <c r="M1124" s="1956" t="s">
        <v>194</v>
      </c>
      <c r="N1124" s="1956" t="s">
        <v>1372</v>
      </c>
      <c r="O1124" s="1659"/>
      <c r="P1124" s="1659"/>
      <c r="Q1124" s="1659"/>
      <c r="R1124" s="1659"/>
      <c r="S1124" s="1659"/>
      <c r="T1124" s="1659"/>
      <c r="U1124" s="1659"/>
      <c r="V1124" s="1659"/>
      <c r="W1124" s="1659"/>
      <c r="X1124" s="1659"/>
      <c r="Y1124" s="1659"/>
      <c r="Z1124" s="1659"/>
      <c r="AA1124" s="2099">
        <f t="shared" si="119"/>
        <v>0</v>
      </c>
    </row>
    <row r="1125" spans="2:27" ht="33.75" x14ac:dyDescent="0.25">
      <c r="B1125" s="4274"/>
      <c r="C1125" s="4280"/>
      <c r="D1125" s="4274"/>
      <c r="E1125" s="4274"/>
      <c r="F1125" s="4274"/>
      <c r="G1125" s="4274"/>
      <c r="H1125" s="4277"/>
      <c r="I1125" s="4274"/>
      <c r="J1125" s="4274"/>
      <c r="K1125" s="4274"/>
      <c r="L1125" s="4274"/>
      <c r="M1125" s="1956" t="s">
        <v>1452</v>
      </c>
      <c r="N1125" s="1956" t="s">
        <v>1984</v>
      </c>
      <c r="O1125" s="1659"/>
      <c r="P1125" s="1659"/>
      <c r="Q1125" s="1659"/>
      <c r="R1125" s="1659"/>
      <c r="S1125" s="1659"/>
      <c r="T1125" s="1659"/>
      <c r="U1125" s="1659"/>
      <c r="V1125" s="1659"/>
      <c r="W1125" s="1659"/>
      <c r="X1125" s="1659"/>
      <c r="Y1125" s="1659"/>
      <c r="Z1125" s="1659"/>
      <c r="AA1125" s="2099">
        <f t="shared" si="119"/>
        <v>0</v>
      </c>
    </row>
    <row r="1126" spans="2:27" x14ac:dyDescent="0.25">
      <c r="B1126" s="4274"/>
      <c r="C1126" s="4279" t="s">
        <v>3565</v>
      </c>
      <c r="D1126" s="4274"/>
      <c r="E1126" s="4274"/>
      <c r="F1126" s="4274"/>
      <c r="G1126" s="4274"/>
      <c r="H1126" s="4277" t="s">
        <v>3709</v>
      </c>
      <c r="I1126" s="4274" t="s">
        <v>2420</v>
      </c>
      <c r="J1126" s="4274">
        <v>1</v>
      </c>
      <c r="K1126" s="4278">
        <f t="shared" ref="K1126" si="120">SUM(AA1128:AA1131)</f>
        <v>1940</v>
      </c>
      <c r="L1126" s="4274" t="s">
        <v>3563</v>
      </c>
      <c r="M1126" s="3216" t="s">
        <v>51</v>
      </c>
      <c r="N1126" s="3216"/>
      <c r="O1126" s="1659"/>
      <c r="P1126" s="1659"/>
      <c r="Q1126" s="1659"/>
      <c r="R1126" s="1659"/>
      <c r="S1126" s="2101">
        <v>1</v>
      </c>
      <c r="T1126" s="1659"/>
      <c r="U1126" s="1659"/>
      <c r="V1126" s="1659"/>
      <c r="W1126" s="1659"/>
      <c r="X1126" s="1659"/>
      <c r="Y1126" s="1659"/>
      <c r="Z1126" s="1659"/>
      <c r="AA1126" s="2099">
        <f>SUM(O1126:Z1126)</f>
        <v>1</v>
      </c>
    </row>
    <row r="1127" spans="2:27" x14ac:dyDescent="0.25">
      <c r="B1127" s="4274"/>
      <c r="C1127" s="4280"/>
      <c r="D1127" s="4274"/>
      <c r="E1127" s="4274"/>
      <c r="F1127" s="4274"/>
      <c r="G1127" s="4274"/>
      <c r="H1127" s="4277"/>
      <c r="I1127" s="4274"/>
      <c r="J1127" s="4274"/>
      <c r="K1127" s="4274"/>
      <c r="L1127" s="4274"/>
      <c r="M1127" s="3216" t="s">
        <v>1340</v>
      </c>
      <c r="N1127" s="3216"/>
      <c r="O1127" s="1659"/>
      <c r="P1127" s="1659"/>
      <c r="Q1127" s="1659"/>
      <c r="R1127" s="1659"/>
      <c r="S1127" s="2101">
        <f>SUM(S1128:S1131)</f>
        <v>1940</v>
      </c>
      <c r="T1127" s="1659"/>
      <c r="U1127" s="1659"/>
      <c r="V1127" s="1659"/>
      <c r="W1127" s="1659"/>
      <c r="X1127" s="1659"/>
      <c r="Y1127" s="1659"/>
      <c r="Z1127" s="1659"/>
      <c r="AA1127" s="2099">
        <f t="shared" ref="AA1127:AA1131" si="121">SUM(O1127:Z1127)</f>
        <v>1940</v>
      </c>
    </row>
    <row r="1128" spans="2:27" ht="22.5" x14ac:dyDescent="0.25">
      <c r="B1128" s="4274"/>
      <c r="C1128" s="4280"/>
      <c r="D1128" s="4274"/>
      <c r="E1128" s="4274"/>
      <c r="F1128" s="4274"/>
      <c r="G1128" s="4274"/>
      <c r="H1128" s="4277"/>
      <c r="I1128" s="4274"/>
      <c r="J1128" s="4274"/>
      <c r="K1128" s="4274"/>
      <c r="L1128" s="4274"/>
      <c r="M1128" s="1956" t="s">
        <v>184</v>
      </c>
      <c r="N1128" s="1956" t="s">
        <v>3560</v>
      </c>
      <c r="O1128" s="1659"/>
      <c r="P1128" s="1659"/>
      <c r="Q1128" s="1659"/>
      <c r="R1128" s="1659"/>
      <c r="S1128" s="1659"/>
      <c r="T1128" s="1659"/>
      <c r="U1128" s="1659"/>
      <c r="V1128" s="1659"/>
      <c r="W1128" s="1659"/>
      <c r="X1128" s="1659"/>
      <c r="Y1128" s="1659"/>
      <c r="Z1128" s="1659"/>
      <c r="AA1128" s="2099">
        <f t="shared" si="121"/>
        <v>0</v>
      </c>
    </row>
    <row r="1129" spans="2:27" ht="33.75" x14ac:dyDescent="0.25">
      <c r="B1129" s="4274"/>
      <c r="C1129" s="4280"/>
      <c r="D1129" s="4274"/>
      <c r="E1129" s="4274"/>
      <c r="F1129" s="4274"/>
      <c r="G1129" s="4274"/>
      <c r="H1129" s="4277"/>
      <c r="I1129" s="4274"/>
      <c r="J1129" s="4274"/>
      <c r="K1129" s="4274"/>
      <c r="L1129" s="4274"/>
      <c r="M1129" s="1956" t="s">
        <v>541</v>
      </c>
      <c r="N1129" s="1956" t="s">
        <v>3561</v>
      </c>
      <c r="O1129" s="1659"/>
      <c r="P1129" s="1659"/>
      <c r="Q1129" s="1659"/>
      <c r="R1129" s="1659"/>
      <c r="S1129" s="1659">
        <v>500</v>
      </c>
      <c r="T1129" s="1659"/>
      <c r="U1129" s="1659"/>
      <c r="V1129" s="1659"/>
      <c r="W1129" s="1659"/>
      <c r="X1129" s="1659"/>
      <c r="Y1129" s="1659"/>
      <c r="Z1129" s="1659"/>
      <c r="AA1129" s="2099">
        <f t="shared" si="121"/>
        <v>500</v>
      </c>
    </row>
    <row r="1130" spans="2:27" x14ac:dyDescent="0.25">
      <c r="B1130" s="4274"/>
      <c r="C1130" s="4280"/>
      <c r="D1130" s="4274"/>
      <c r="E1130" s="4274"/>
      <c r="F1130" s="4274"/>
      <c r="G1130" s="4274"/>
      <c r="H1130" s="4277"/>
      <c r="I1130" s="4274"/>
      <c r="J1130" s="4274"/>
      <c r="K1130" s="4274"/>
      <c r="L1130" s="4274"/>
      <c r="M1130" s="1956" t="s">
        <v>194</v>
      </c>
      <c r="N1130" s="1956" t="s">
        <v>1372</v>
      </c>
      <c r="O1130" s="1659"/>
      <c r="P1130" s="1659"/>
      <c r="Q1130" s="1659"/>
      <c r="R1130" s="1659"/>
      <c r="S1130" s="1659">
        <v>1440</v>
      </c>
      <c r="T1130" s="1659"/>
      <c r="U1130" s="1659"/>
      <c r="V1130" s="1659"/>
      <c r="W1130" s="1659"/>
      <c r="X1130" s="1659"/>
      <c r="Y1130" s="1659"/>
      <c r="Z1130" s="1659"/>
      <c r="AA1130" s="2099">
        <f t="shared" si="121"/>
        <v>1440</v>
      </c>
    </row>
    <row r="1131" spans="2:27" ht="33.75" x14ac:dyDescent="0.25">
      <c r="B1131" s="4274"/>
      <c r="C1131" s="4280"/>
      <c r="D1131" s="4274"/>
      <c r="E1131" s="4274"/>
      <c r="F1131" s="4274"/>
      <c r="G1131" s="4274"/>
      <c r="H1131" s="4277"/>
      <c r="I1131" s="4274"/>
      <c r="J1131" s="4274"/>
      <c r="K1131" s="4274"/>
      <c r="L1131" s="4274"/>
      <c r="M1131" s="1956" t="s">
        <v>1452</v>
      </c>
      <c r="N1131" s="1956" t="s">
        <v>1984</v>
      </c>
      <c r="O1131" s="1659"/>
      <c r="P1131" s="1659"/>
      <c r="Q1131" s="1659"/>
      <c r="R1131" s="1659"/>
      <c r="S1131" s="1659"/>
      <c r="T1131" s="1659"/>
      <c r="U1131" s="1659"/>
      <c r="V1131" s="1659"/>
      <c r="W1131" s="1659"/>
      <c r="X1131" s="1659"/>
      <c r="Y1131" s="1659"/>
      <c r="Z1131" s="1659"/>
      <c r="AA1131" s="2099">
        <f t="shared" si="121"/>
        <v>0</v>
      </c>
    </row>
    <row r="1132" spans="2:27" x14ac:dyDescent="0.25">
      <c r="B1132" s="4274"/>
      <c r="C1132" s="4279" t="s">
        <v>3566</v>
      </c>
      <c r="D1132" s="4274"/>
      <c r="E1132" s="4274"/>
      <c r="F1132" s="4274"/>
      <c r="G1132" s="4274"/>
      <c r="H1132" s="4277" t="s">
        <v>3567</v>
      </c>
      <c r="I1132" s="4274" t="s">
        <v>2420</v>
      </c>
      <c r="J1132" s="4274">
        <v>1</v>
      </c>
      <c r="K1132" s="4278">
        <f t="shared" ref="K1132" si="122">SUM(AA1134:AA1137)</f>
        <v>500</v>
      </c>
      <c r="L1132" s="4274" t="s">
        <v>3563</v>
      </c>
      <c r="M1132" s="3216" t="s">
        <v>51</v>
      </c>
      <c r="N1132" s="3216"/>
      <c r="O1132" s="1659"/>
      <c r="P1132" s="1659"/>
      <c r="Q1132" s="1659"/>
      <c r="R1132" s="1659"/>
      <c r="S1132" s="1659"/>
      <c r="T1132" s="2101">
        <v>1</v>
      </c>
      <c r="U1132" s="1659"/>
      <c r="V1132" s="1659"/>
      <c r="W1132" s="1659"/>
      <c r="X1132" s="1659"/>
      <c r="Y1132" s="1659"/>
      <c r="Z1132" s="1659"/>
      <c r="AA1132" s="2099">
        <f>SUM(O1132:Z1132)</f>
        <v>1</v>
      </c>
    </row>
    <row r="1133" spans="2:27" x14ac:dyDescent="0.25">
      <c r="B1133" s="4274"/>
      <c r="C1133" s="4280"/>
      <c r="D1133" s="4274"/>
      <c r="E1133" s="4274"/>
      <c r="F1133" s="4274"/>
      <c r="G1133" s="4274"/>
      <c r="H1133" s="4277"/>
      <c r="I1133" s="4274"/>
      <c r="J1133" s="4274"/>
      <c r="K1133" s="4274"/>
      <c r="L1133" s="4274"/>
      <c r="M1133" s="3216" t="s">
        <v>1340</v>
      </c>
      <c r="N1133" s="3216"/>
      <c r="O1133" s="1659"/>
      <c r="P1133" s="1659"/>
      <c r="Q1133" s="1659"/>
      <c r="R1133" s="1659"/>
      <c r="S1133" s="1659"/>
      <c r="T1133" s="2101">
        <f>+T1134</f>
        <v>500</v>
      </c>
      <c r="U1133" s="1659"/>
      <c r="V1133" s="1659"/>
      <c r="W1133" s="1659"/>
      <c r="X1133" s="1659"/>
      <c r="Y1133" s="1659"/>
      <c r="Z1133" s="1659"/>
      <c r="AA1133" s="2099">
        <f t="shared" ref="AA1133:AA1137" si="123">SUM(O1133:Z1133)</f>
        <v>500</v>
      </c>
    </row>
    <row r="1134" spans="2:27" ht="22.5" x14ac:dyDescent="0.25">
      <c r="B1134" s="4274"/>
      <c r="C1134" s="4280"/>
      <c r="D1134" s="4274"/>
      <c r="E1134" s="4274"/>
      <c r="F1134" s="4274"/>
      <c r="G1134" s="4274"/>
      <c r="H1134" s="4277"/>
      <c r="I1134" s="4274"/>
      <c r="J1134" s="4274"/>
      <c r="K1134" s="4274"/>
      <c r="L1134" s="4274"/>
      <c r="M1134" s="1956" t="s">
        <v>184</v>
      </c>
      <c r="N1134" s="1956" t="s">
        <v>3560</v>
      </c>
      <c r="O1134" s="1659"/>
      <c r="P1134" s="2098"/>
      <c r="Q1134" s="1659"/>
      <c r="R1134" s="1659"/>
      <c r="S1134" s="1659"/>
      <c r="T1134" s="1659">
        <v>500</v>
      </c>
      <c r="U1134" s="1659"/>
      <c r="V1134" s="1659"/>
      <c r="W1134" s="1659"/>
      <c r="X1134" s="1659"/>
      <c r="Y1134" s="1659"/>
      <c r="Z1134" s="1659"/>
      <c r="AA1134" s="2099">
        <f t="shared" si="123"/>
        <v>500</v>
      </c>
    </row>
    <row r="1135" spans="2:27" ht="33.75" x14ac:dyDescent="0.25">
      <c r="B1135" s="4274"/>
      <c r="C1135" s="4280"/>
      <c r="D1135" s="4274"/>
      <c r="E1135" s="4274"/>
      <c r="F1135" s="4274"/>
      <c r="G1135" s="4274"/>
      <c r="H1135" s="4277"/>
      <c r="I1135" s="4274"/>
      <c r="J1135" s="4274"/>
      <c r="K1135" s="4274"/>
      <c r="L1135" s="4274"/>
      <c r="M1135" s="1956" t="s">
        <v>541</v>
      </c>
      <c r="N1135" s="1956" t="s">
        <v>3561</v>
      </c>
      <c r="O1135" s="1659"/>
      <c r="P1135" s="1659"/>
      <c r="Q1135" s="1659"/>
      <c r="R1135" s="1659"/>
      <c r="S1135" s="1659"/>
      <c r="T1135" s="1659"/>
      <c r="U1135" s="1659"/>
      <c r="V1135" s="1659"/>
      <c r="W1135" s="1659"/>
      <c r="X1135" s="1659"/>
      <c r="Y1135" s="1659"/>
      <c r="Z1135" s="1659"/>
      <c r="AA1135" s="2099">
        <f t="shared" si="123"/>
        <v>0</v>
      </c>
    </row>
    <row r="1136" spans="2:27" x14ac:dyDescent="0.25">
      <c r="B1136" s="4274"/>
      <c r="C1136" s="4280"/>
      <c r="D1136" s="4274"/>
      <c r="E1136" s="4274"/>
      <c r="F1136" s="4274"/>
      <c r="G1136" s="4274"/>
      <c r="H1136" s="4277"/>
      <c r="I1136" s="4274"/>
      <c r="J1136" s="4274"/>
      <c r="K1136" s="4274"/>
      <c r="L1136" s="4274"/>
      <c r="M1136" s="1956" t="s">
        <v>194</v>
      </c>
      <c r="N1136" s="1956" t="s">
        <v>1372</v>
      </c>
      <c r="O1136" s="1659"/>
      <c r="P1136" s="1659"/>
      <c r="Q1136" s="1659"/>
      <c r="R1136" s="1659"/>
      <c r="S1136" s="1659"/>
      <c r="T1136" s="1659"/>
      <c r="U1136" s="1659"/>
      <c r="V1136" s="1659"/>
      <c r="W1136" s="1659"/>
      <c r="X1136" s="1659"/>
      <c r="Y1136" s="1659"/>
      <c r="Z1136" s="1659"/>
      <c r="AA1136" s="2099">
        <f t="shared" si="123"/>
        <v>0</v>
      </c>
    </row>
    <row r="1137" spans="2:27" ht="33.75" x14ac:dyDescent="0.25">
      <c r="B1137" s="4274"/>
      <c r="C1137" s="4280"/>
      <c r="D1137" s="4274"/>
      <c r="E1137" s="4274"/>
      <c r="F1137" s="4274"/>
      <c r="G1137" s="4274"/>
      <c r="H1137" s="4277"/>
      <c r="I1137" s="4274"/>
      <c r="J1137" s="4274"/>
      <c r="K1137" s="4274"/>
      <c r="L1137" s="4274"/>
      <c r="M1137" s="1956" t="s">
        <v>1452</v>
      </c>
      <c r="N1137" s="1956" t="s">
        <v>1984</v>
      </c>
      <c r="O1137" s="1659"/>
      <c r="P1137" s="1659"/>
      <c r="Q1137" s="1659"/>
      <c r="R1137" s="1659"/>
      <c r="S1137" s="1659"/>
      <c r="T1137" s="1659"/>
      <c r="U1137" s="1659"/>
      <c r="V1137" s="1659"/>
      <c r="W1137" s="1659"/>
      <c r="X1137" s="1659"/>
      <c r="Y1137" s="1659"/>
      <c r="Z1137" s="1659"/>
      <c r="AA1137" s="2099">
        <f t="shared" si="123"/>
        <v>0</v>
      </c>
    </row>
    <row r="1138" spans="2:27" x14ac:dyDescent="0.25">
      <c r="B1138" s="4274"/>
      <c r="C1138" s="4275" t="s">
        <v>3568</v>
      </c>
      <c r="D1138" s="4274"/>
      <c r="E1138" s="4274"/>
      <c r="F1138" s="4274"/>
      <c r="G1138" s="4274"/>
      <c r="H1138" s="4277" t="s">
        <v>3710</v>
      </c>
      <c r="I1138" s="4274" t="s">
        <v>2135</v>
      </c>
      <c r="J1138" s="4274">
        <v>4</v>
      </c>
      <c r="K1138" s="4278">
        <f>SUM(AA1140:AA1143)</f>
        <v>9520</v>
      </c>
      <c r="L1138" s="4274" t="s">
        <v>3563</v>
      </c>
      <c r="M1138" s="3216" t="s">
        <v>51</v>
      </c>
      <c r="N1138" s="3216"/>
      <c r="O1138" s="1659"/>
      <c r="P1138" s="1659"/>
      <c r="Q1138" s="1659"/>
      <c r="R1138" s="1659"/>
      <c r="S1138" s="2101">
        <v>1</v>
      </c>
      <c r="T1138" s="2101">
        <v>1</v>
      </c>
      <c r="U1138" s="2101"/>
      <c r="V1138" s="2101"/>
      <c r="W1138" s="2101">
        <v>1</v>
      </c>
      <c r="X1138" s="2101"/>
      <c r="Y1138" s="2101">
        <v>1</v>
      </c>
      <c r="Z1138" s="2101"/>
      <c r="AA1138" s="2099">
        <f>SUM(O1138:Z1138)</f>
        <v>4</v>
      </c>
    </row>
    <row r="1139" spans="2:27" x14ac:dyDescent="0.25">
      <c r="B1139" s="4274"/>
      <c r="C1139" s="4276"/>
      <c r="D1139" s="4274"/>
      <c r="E1139" s="4274"/>
      <c r="F1139" s="4274"/>
      <c r="G1139" s="4274"/>
      <c r="H1139" s="4277"/>
      <c r="I1139" s="4274"/>
      <c r="J1139" s="4274"/>
      <c r="K1139" s="4274"/>
      <c r="L1139" s="4274"/>
      <c r="M1139" s="3216" t="s">
        <v>1340</v>
      </c>
      <c r="N1139" s="3216"/>
      <c r="O1139" s="1659"/>
      <c r="P1139" s="1659"/>
      <c r="Q1139" s="1659"/>
      <c r="R1139" s="1659"/>
      <c r="S1139" s="2101">
        <f>SUM(S1140:S1142)</f>
        <v>3400</v>
      </c>
      <c r="T1139" s="2101">
        <f>SUM(T1140:T1142)</f>
        <v>1360</v>
      </c>
      <c r="U1139" s="2101"/>
      <c r="V1139" s="2101"/>
      <c r="W1139" s="2101">
        <f>SUM(W1140:W1142)</f>
        <v>3400</v>
      </c>
      <c r="X1139" s="2101"/>
      <c r="Y1139" s="2101">
        <f>SUM(Y1140:Y1142)</f>
        <v>1360</v>
      </c>
      <c r="Z1139" s="2101"/>
      <c r="AA1139" s="2099">
        <f t="shared" ref="AA1139:AA1143" si="124">SUM(O1139:Z1139)</f>
        <v>9520</v>
      </c>
    </row>
    <row r="1140" spans="2:27" ht="22.5" x14ac:dyDescent="0.25">
      <c r="B1140" s="4274"/>
      <c r="C1140" s="4276"/>
      <c r="D1140" s="4274"/>
      <c r="E1140" s="4274"/>
      <c r="F1140" s="4274"/>
      <c r="G1140" s="4274"/>
      <c r="H1140" s="4277"/>
      <c r="I1140" s="4274"/>
      <c r="J1140" s="4274"/>
      <c r="K1140" s="4274"/>
      <c r="L1140" s="4274"/>
      <c r="M1140" s="1956" t="s">
        <v>184</v>
      </c>
      <c r="N1140" s="1956" t="s">
        <v>3560</v>
      </c>
      <c r="O1140" s="1659"/>
      <c r="P1140" s="2098"/>
      <c r="Q1140" s="1659"/>
      <c r="R1140" s="1659"/>
      <c r="S1140" s="1659">
        <v>2040</v>
      </c>
      <c r="T1140" s="1659"/>
      <c r="U1140" s="1659"/>
      <c r="V1140" s="1659"/>
      <c r="W1140" s="1659">
        <v>2040</v>
      </c>
      <c r="X1140" s="1659"/>
      <c r="Y1140" s="1659"/>
      <c r="Z1140" s="1659"/>
      <c r="AA1140" s="2099">
        <f t="shared" si="124"/>
        <v>4080</v>
      </c>
    </row>
    <row r="1141" spans="2:27" ht="33.75" x14ac:dyDescent="0.25">
      <c r="B1141" s="4274"/>
      <c r="C1141" s="4276"/>
      <c r="D1141" s="4274"/>
      <c r="E1141" s="4274"/>
      <c r="F1141" s="4274"/>
      <c r="G1141" s="4274"/>
      <c r="H1141" s="4277"/>
      <c r="I1141" s="4274"/>
      <c r="J1141" s="4274"/>
      <c r="K1141" s="4274"/>
      <c r="L1141" s="4274"/>
      <c r="M1141" s="1956" t="s">
        <v>541</v>
      </c>
      <c r="N1141" s="1956" t="s">
        <v>3561</v>
      </c>
      <c r="O1141" s="1659"/>
      <c r="P1141" s="1659"/>
      <c r="Q1141" s="1659"/>
      <c r="R1141" s="1659"/>
      <c r="S1141" s="1659">
        <v>400</v>
      </c>
      <c r="T1141" s="1659">
        <v>400</v>
      </c>
      <c r="U1141" s="1659"/>
      <c r="V1141" s="1659"/>
      <c r="W1141" s="1659">
        <v>400</v>
      </c>
      <c r="X1141" s="1659"/>
      <c r="Y1141" s="1659">
        <v>400</v>
      </c>
      <c r="Z1141" s="1659"/>
      <c r="AA1141" s="2099">
        <f t="shared" si="124"/>
        <v>1600</v>
      </c>
    </row>
    <row r="1142" spans="2:27" x14ac:dyDescent="0.25">
      <c r="B1142" s="4274"/>
      <c r="C1142" s="4276"/>
      <c r="D1142" s="4274"/>
      <c r="E1142" s="4274"/>
      <c r="F1142" s="4274"/>
      <c r="G1142" s="4274"/>
      <c r="H1142" s="4277"/>
      <c r="I1142" s="4274"/>
      <c r="J1142" s="4274"/>
      <c r="K1142" s="4274"/>
      <c r="L1142" s="4274"/>
      <c r="M1142" s="1956" t="s">
        <v>194</v>
      </c>
      <c r="N1142" s="1956" t="s">
        <v>1372</v>
      </c>
      <c r="O1142" s="1659"/>
      <c r="P1142" s="1659"/>
      <c r="Q1142" s="1659"/>
      <c r="R1142" s="1659"/>
      <c r="S1142" s="1659">
        <v>960</v>
      </c>
      <c r="T1142" s="1659">
        <v>960</v>
      </c>
      <c r="U1142" s="1659"/>
      <c r="V1142" s="1659"/>
      <c r="W1142" s="1659">
        <v>960</v>
      </c>
      <c r="X1142" s="1659"/>
      <c r="Y1142" s="1659">
        <v>960</v>
      </c>
      <c r="Z1142" s="1659"/>
      <c r="AA1142" s="2099">
        <f t="shared" si="124"/>
        <v>3840</v>
      </c>
    </row>
    <row r="1143" spans="2:27" ht="33.75" x14ac:dyDescent="0.25">
      <c r="B1143" s="4274"/>
      <c r="C1143" s="4276"/>
      <c r="D1143" s="4274"/>
      <c r="E1143" s="4274"/>
      <c r="F1143" s="4274"/>
      <c r="G1143" s="4274"/>
      <c r="H1143" s="4277"/>
      <c r="I1143" s="4274"/>
      <c r="J1143" s="4274"/>
      <c r="K1143" s="4274"/>
      <c r="L1143" s="4274"/>
      <c r="M1143" s="1956" t="s">
        <v>1452</v>
      </c>
      <c r="N1143" s="1956" t="s">
        <v>1984</v>
      </c>
      <c r="O1143" s="1659"/>
      <c r="P1143" s="1659"/>
      <c r="Q1143" s="1659"/>
      <c r="R1143" s="1659"/>
      <c r="S1143" s="1659"/>
      <c r="T1143" s="1659"/>
      <c r="U1143" s="1659"/>
      <c r="V1143" s="1659"/>
      <c r="W1143" s="1659"/>
      <c r="X1143" s="1659"/>
      <c r="Y1143" s="1659"/>
      <c r="Z1143" s="1659"/>
      <c r="AA1143" s="2099">
        <f t="shared" si="124"/>
        <v>0</v>
      </c>
    </row>
    <row r="1144" spans="2:27" x14ac:dyDescent="0.25">
      <c r="B1144" s="4274"/>
      <c r="C1144" s="4275" t="s">
        <v>3569</v>
      </c>
      <c r="D1144" s="4274"/>
      <c r="E1144" s="4274"/>
      <c r="F1144" s="4274"/>
      <c r="G1144" s="4274"/>
      <c r="H1144" s="4277" t="s">
        <v>3711</v>
      </c>
      <c r="I1144" s="4274" t="s">
        <v>2420</v>
      </c>
      <c r="J1144" s="4274">
        <v>1</v>
      </c>
      <c r="K1144" s="4278">
        <f>SUM(AA1146:AA1149)</f>
        <v>2520</v>
      </c>
      <c r="L1144" s="4274" t="s">
        <v>3563</v>
      </c>
      <c r="M1144" s="3216" t="s">
        <v>51</v>
      </c>
      <c r="N1144" s="3216"/>
      <c r="O1144" s="1659"/>
      <c r="P1144" s="1659"/>
      <c r="Q1144" s="2101">
        <v>1</v>
      </c>
      <c r="R1144" s="2101"/>
      <c r="S1144" s="2101"/>
      <c r="T1144" s="2101"/>
      <c r="U1144" s="2101"/>
      <c r="V1144" s="2101"/>
      <c r="W1144" s="1659"/>
      <c r="X1144" s="1659"/>
      <c r="Y1144" s="1659"/>
      <c r="Z1144" s="1659"/>
      <c r="AA1144" s="2099">
        <f>SUM(O1144:Z1144)</f>
        <v>1</v>
      </c>
    </row>
    <row r="1145" spans="2:27" x14ac:dyDescent="0.25">
      <c r="B1145" s="4274"/>
      <c r="C1145" s="4276"/>
      <c r="D1145" s="4274"/>
      <c r="E1145" s="4274"/>
      <c r="F1145" s="4274"/>
      <c r="G1145" s="4274"/>
      <c r="H1145" s="4277"/>
      <c r="I1145" s="4274"/>
      <c r="J1145" s="4274"/>
      <c r="K1145" s="4274"/>
      <c r="L1145" s="4274"/>
      <c r="M1145" s="3216" t="s">
        <v>1340</v>
      </c>
      <c r="N1145" s="3216"/>
      <c r="O1145" s="1659"/>
      <c r="P1145" s="1659"/>
      <c r="Q1145" s="2101">
        <f>SUM(Q1146:Q1148)</f>
        <v>1260</v>
      </c>
      <c r="R1145" s="2101"/>
      <c r="S1145" s="2101"/>
      <c r="T1145" s="2101"/>
      <c r="U1145" s="2101"/>
      <c r="V1145" s="2101">
        <f>SUM(V1146:V1148)</f>
        <v>1260</v>
      </c>
      <c r="W1145" s="1659"/>
      <c r="X1145" s="1659"/>
      <c r="Y1145" s="1659"/>
      <c r="Z1145" s="1659"/>
      <c r="AA1145" s="2099">
        <f t="shared" ref="AA1145:AA1149" si="125">SUM(O1145:Z1145)</f>
        <v>2520</v>
      </c>
    </row>
    <row r="1146" spans="2:27" ht="22.5" x14ac:dyDescent="0.25">
      <c r="B1146" s="4274"/>
      <c r="C1146" s="4276"/>
      <c r="D1146" s="4274"/>
      <c r="E1146" s="4274"/>
      <c r="F1146" s="4274"/>
      <c r="G1146" s="4274"/>
      <c r="H1146" s="4277"/>
      <c r="I1146" s="4274"/>
      <c r="J1146" s="4274"/>
      <c r="K1146" s="4274"/>
      <c r="L1146" s="4274"/>
      <c r="M1146" s="1956" t="s">
        <v>184</v>
      </c>
      <c r="N1146" s="1956" t="s">
        <v>3560</v>
      </c>
      <c r="O1146" s="1659"/>
      <c r="P1146" s="1659"/>
      <c r="Q1146" s="1659"/>
      <c r="R1146" s="1659"/>
      <c r="S1146" s="1659"/>
      <c r="T1146" s="1659"/>
      <c r="U1146" s="1659"/>
      <c r="V1146" s="1659"/>
      <c r="W1146" s="1659"/>
      <c r="X1146" s="1659"/>
      <c r="Y1146" s="1659"/>
      <c r="Z1146" s="1659"/>
      <c r="AA1146" s="2099">
        <f t="shared" si="125"/>
        <v>0</v>
      </c>
    </row>
    <row r="1147" spans="2:27" ht="33.75" x14ac:dyDescent="0.25">
      <c r="B1147" s="4274"/>
      <c r="C1147" s="4276"/>
      <c r="D1147" s="4274"/>
      <c r="E1147" s="4274"/>
      <c r="F1147" s="4274"/>
      <c r="G1147" s="4274"/>
      <c r="H1147" s="4277"/>
      <c r="I1147" s="4274"/>
      <c r="J1147" s="4274"/>
      <c r="K1147" s="4274"/>
      <c r="L1147" s="4274"/>
      <c r="M1147" s="1956" t="s">
        <v>541</v>
      </c>
      <c r="N1147" s="1956" t="s">
        <v>3561</v>
      </c>
      <c r="O1147" s="1659"/>
      <c r="P1147" s="1659"/>
      <c r="Q1147" s="1659">
        <v>300</v>
      </c>
      <c r="R1147" s="1659"/>
      <c r="S1147" s="1659"/>
      <c r="T1147" s="1659"/>
      <c r="U1147" s="1659"/>
      <c r="V1147" s="1659">
        <v>300</v>
      </c>
      <c r="W1147" s="1659"/>
      <c r="X1147" s="1659"/>
      <c r="Y1147" s="1659"/>
      <c r="Z1147" s="1659"/>
      <c r="AA1147" s="2099">
        <f t="shared" si="125"/>
        <v>600</v>
      </c>
    </row>
    <row r="1148" spans="2:27" x14ac:dyDescent="0.25">
      <c r="B1148" s="4274"/>
      <c r="C1148" s="4276"/>
      <c r="D1148" s="4274"/>
      <c r="E1148" s="4274"/>
      <c r="F1148" s="4274"/>
      <c r="G1148" s="4274"/>
      <c r="H1148" s="4277"/>
      <c r="I1148" s="4274"/>
      <c r="J1148" s="4274"/>
      <c r="K1148" s="4274"/>
      <c r="L1148" s="4274"/>
      <c r="M1148" s="1956" t="s">
        <v>194</v>
      </c>
      <c r="N1148" s="1956" t="s">
        <v>1372</v>
      </c>
      <c r="O1148" s="1659"/>
      <c r="P1148" s="1659"/>
      <c r="Q1148" s="1659">
        <v>960</v>
      </c>
      <c r="R1148" s="1659"/>
      <c r="S1148" s="1659"/>
      <c r="T1148" s="1659"/>
      <c r="U1148" s="1659"/>
      <c r="V1148" s="1659">
        <v>960</v>
      </c>
      <c r="W1148" s="1659"/>
      <c r="X1148" s="1659"/>
      <c r="Y1148" s="1659"/>
      <c r="Z1148" s="1659"/>
      <c r="AA1148" s="2099">
        <f t="shared" si="125"/>
        <v>1920</v>
      </c>
    </row>
    <row r="1149" spans="2:27" ht="33.75" x14ac:dyDescent="0.25">
      <c r="B1149" s="4274"/>
      <c r="C1149" s="4276"/>
      <c r="D1149" s="4274"/>
      <c r="E1149" s="4274"/>
      <c r="F1149" s="4274"/>
      <c r="G1149" s="4274"/>
      <c r="H1149" s="4277"/>
      <c r="I1149" s="4274"/>
      <c r="J1149" s="4274"/>
      <c r="K1149" s="4274"/>
      <c r="L1149" s="4274"/>
      <c r="M1149" s="1956" t="s">
        <v>1452</v>
      </c>
      <c r="N1149" s="1956" t="s">
        <v>1984</v>
      </c>
      <c r="O1149" s="1659"/>
      <c r="P1149" s="1659"/>
      <c r="Q1149" s="1659"/>
      <c r="R1149" s="1659"/>
      <c r="S1149" s="1659"/>
      <c r="T1149" s="1659"/>
      <c r="U1149" s="1659"/>
      <c r="V1149" s="1659"/>
      <c r="W1149" s="1659"/>
      <c r="X1149" s="1659"/>
      <c r="Y1149" s="1659"/>
      <c r="Z1149" s="1659"/>
      <c r="AA1149" s="2099">
        <f t="shared" si="125"/>
        <v>0</v>
      </c>
    </row>
    <row r="1150" spans="2:27" x14ac:dyDescent="0.25">
      <c r="B1150" s="4274"/>
      <c r="C1150" s="4275" t="s">
        <v>3570</v>
      </c>
      <c r="D1150" s="4274"/>
      <c r="E1150" s="4274"/>
      <c r="F1150" s="4274"/>
      <c r="G1150" s="4274"/>
      <c r="H1150" s="4277" t="s">
        <v>3571</v>
      </c>
      <c r="I1150" s="4274" t="s">
        <v>2279</v>
      </c>
      <c r="J1150" s="4274">
        <v>5</v>
      </c>
      <c r="K1150" s="4278">
        <f t="shared" ref="K1150" si="126">SUM(AA1152:AA1155)</f>
        <v>400</v>
      </c>
      <c r="L1150" s="4274" t="s">
        <v>3563</v>
      </c>
      <c r="M1150" s="3216" t="s">
        <v>51</v>
      </c>
      <c r="N1150" s="3216"/>
      <c r="O1150" s="2101"/>
      <c r="P1150" s="2101"/>
      <c r="Q1150" s="2101"/>
      <c r="R1150" s="2101">
        <v>1</v>
      </c>
      <c r="S1150" s="2101"/>
      <c r="T1150" s="2101">
        <v>1</v>
      </c>
      <c r="U1150" s="2101"/>
      <c r="V1150" s="2101">
        <v>1</v>
      </c>
      <c r="W1150" s="2101">
        <v>1</v>
      </c>
      <c r="X1150" s="2101"/>
      <c r="Y1150" s="2101"/>
      <c r="Z1150" s="2101">
        <v>1</v>
      </c>
      <c r="AA1150" s="2099">
        <f>SUM(O1150:Z1150)</f>
        <v>5</v>
      </c>
    </row>
    <row r="1151" spans="2:27" x14ac:dyDescent="0.25">
      <c r="B1151" s="4274"/>
      <c r="C1151" s="4276"/>
      <c r="D1151" s="4274"/>
      <c r="E1151" s="4274"/>
      <c r="F1151" s="4274"/>
      <c r="G1151" s="4274"/>
      <c r="H1151" s="4277"/>
      <c r="I1151" s="4274"/>
      <c r="J1151" s="4274"/>
      <c r="K1151" s="4274"/>
      <c r="L1151" s="4274"/>
      <c r="M1151" s="3216" t="s">
        <v>1340</v>
      </c>
      <c r="N1151" s="3216"/>
      <c r="O1151" s="1659"/>
      <c r="P1151" s="2101">
        <f>+P1152</f>
        <v>400</v>
      </c>
      <c r="Q1151" s="1659"/>
      <c r="R1151" s="1659"/>
      <c r="S1151" s="1659"/>
      <c r="T1151" s="1659"/>
      <c r="U1151" s="1659"/>
      <c r="V1151" s="1659"/>
      <c r="W1151" s="1659"/>
      <c r="X1151" s="1659"/>
      <c r="Y1151" s="1659"/>
      <c r="Z1151" s="1659"/>
      <c r="AA1151" s="2099">
        <f t="shared" ref="AA1151:AA1155" si="127">SUM(O1151:Z1151)</f>
        <v>400</v>
      </c>
    </row>
    <row r="1152" spans="2:27" ht="22.5" x14ac:dyDescent="0.25">
      <c r="B1152" s="4274"/>
      <c r="C1152" s="4276"/>
      <c r="D1152" s="4274"/>
      <c r="E1152" s="4274"/>
      <c r="F1152" s="4274"/>
      <c r="G1152" s="4274"/>
      <c r="H1152" s="4277"/>
      <c r="I1152" s="4274"/>
      <c r="J1152" s="4274"/>
      <c r="K1152" s="4274"/>
      <c r="L1152" s="4274"/>
      <c r="M1152" s="1956" t="s">
        <v>184</v>
      </c>
      <c r="N1152" s="1956" t="s">
        <v>3560</v>
      </c>
      <c r="O1152" s="1659"/>
      <c r="P1152" s="1659">
        <v>400</v>
      </c>
      <c r="Q1152" s="1659"/>
      <c r="R1152" s="1659"/>
      <c r="S1152" s="1659"/>
      <c r="T1152" s="1659"/>
      <c r="U1152" s="1659"/>
      <c r="V1152" s="1659"/>
      <c r="W1152" s="1659"/>
      <c r="X1152" s="1659"/>
      <c r="Y1152" s="1659"/>
      <c r="Z1152" s="1659"/>
      <c r="AA1152" s="2099">
        <f t="shared" si="127"/>
        <v>400</v>
      </c>
    </row>
    <row r="1153" spans="2:27" ht="33.75" x14ac:dyDescent="0.25">
      <c r="B1153" s="4274"/>
      <c r="C1153" s="4276"/>
      <c r="D1153" s="4274"/>
      <c r="E1153" s="4274"/>
      <c r="F1153" s="4274"/>
      <c r="G1153" s="4274"/>
      <c r="H1153" s="4277"/>
      <c r="I1153" s="4274"/>
      <c r="J1153" s="4274"/>
      <c r="K1153" s="4274"/>
      <c r="L1153" s="4274"/>
      <c r="M1153" s="1956" t="s">
        <v>541</v>
      </c>
      <c r="N1153" s="1956" t="s">
        <v>3561</v>
      </c>
      <c r="O1153" s="1659"/>
      <c r="P1153" s="1659"/>
      <c r="Q1153" s="1659"/>
      <c r="R1153" s="1659"/>
      <c r="S1153" s="1659"/>
      <c r="T1153" s="1659"/>
      <c r="U1153" s="1659"/>
      <c r="V1153" s="1659"/>
      <c r="W1153" s="1659"/>
      <c r="X1153" s="1659"/>
      <c r="Y1153" s="1659"/>
      <c r="Z1153" s="1659"/>
      <c r="AA1153" s="2099">
        <f t="shared" si="127"/>
        <v>0</v>
      </c>
    </row>
    <row r="1154" spans="2:27" x14ac:dyDescent="0.25">
      <c r="B1154" s="4274"/>
      <c r="C1154" s="4276"/>
      <c r="D1154" s="4274"/>
      <c r="E1154" s="4274"/>
      <c r="F1154" s="4274"/>
      <c r="G1154" s="4274"/>
      <c r="H1154" s="4277"/>
      <c r="I1154" s="4274"/>
      <c r="J1154" s="4274"/>
      <c r="K1154" s="4274"/>
      <c r="L1154" s="4274"/>
      <c r="M1154" s="1956" t="s">
        <v>194</v>
      </c>
      <c r="N1154" s="1956" t="s">
        <v>1372</v>
      </c>
      <c r="O1154" s="1659"/>
      <c r="P1154" s="1659"/>
      <c r="Q1154" s="1659"/>
      <c r="R1154" s="1659"/>
      <c r="S1154" s="1659"/>
      <c r="T1154" s="1659"/>
      <c r="U1154" s="1659"/>
      <c r="V1154" s="1659"/>
      <c r="W1154" s="1659"/>
      <c r="X1154" s="1659"/>
      <c r="Y1154" s="1659"/>
      <c r="Z1154" s="1659"/>
      <c r="AA1154" s="2099">
        <f t="shared" si="127"/>
        <v>0</v>
      </c>
    </row>
    <row r="1155" spans="2:27" ht="33.75" x14ac:dyDescent="0.25">
      <c r="B1155" s="4274"/>
      <c r="C1155" s="4276"/>
      <c r="D1155" s="4274"/>
      <c r="E1155" s="4274"/>
      <c r="F1155" s="4274"/>
      <c r="G1155" s="4274"/>
      <c r="H1155" s="4277"/>
      <c r="I1155" s="4274"/>
      <c r="J1155" s="4274"/>
      <c r="K1155" s="4274"/>
      <c r="L1155" s="4274"/>
      <c r="M1155" s="1956" t="s">
        <v>1452</v>
      </c>
      <c r="N1155" s="1956" t="s">
        <v>1984</v>
      </c>
      <c r="O1155" s="1659"/>
      <c r="P1155" s="1659"/>
      <c r="Q1155" s="1659"/>
      <c r="R1155" s="1659"/>
      <c r="S1155" s="1659"/>
      <c r="T1155" s="1659"/>
      <c r="U1155" s="1659"/>
      <c r="V1155" s="1659"/>
      <c r="W1155" s="1659"/>
      <c r="X1155" s="1659"/>
      <c r="Y1155" s="1659"/>
      <c r="Z1155" s="1659"/>
      <c r="AA1155" s="2099">
        <f t="shared" si="127"/>
        <v>0</v>
      </c>
    </row>
    <row r="1156" spans="2:27" x14ac:dyDescent="0.25">
      <c r="B1156" s="4274"/>
      <c r="C1156" s="4275" t="s">
        <v>3572</v>
      </c>
      <c r="D1156" s="4274"/>
      <c r="E1156" s="4274"/>
      <c r="F1156" s="4274"/>
      <c r="G1156" s="4274"/>
      <c r="H1156" s="4277" t="s">
        <v>3710</v>
      </c>
      <c r="I1156" s="4274" t="s">
        <v>2135</v>
      </c>
      <c r="J1156" s="4274">
        <v>6</v>
      </c>
      <c r="K1156" s="4278">
        <f t="shared" ref="K1156" si="128">SUM(AA1158:AA1161)</f>
        <v>504</v>
      </c>
      <c r="L1156" s="4274" t="s">
        <v>3563</v>
      </c>
      <c r="M1156" s="3216" t="s">
        <v>51</v>
      </c>
      <c r="N1156" s="3216"/>
      <c r="O1156" s="1659"/>
      <c r="P1156" s="2101">
        <v>1</v>
      </c>
      <c r="Q1156" s="2101"/>
      <c r="R1156" s="2101"/>
      <c r="S1156" s="2101">
        <v>1</v>
      </c>
      <c r="T1156" s="2101"/>
      <c r="U1156" s="2101">
        <v>1</v>
      </c>
      <c r="V1156" s="2101"/>
      <c r="W1156" s="2101">
        <v>1</v>
      </c>
      <c r="X1156" s="2101"/>
      <c r="Y1156" s="2101">
        <v>1</v>
      </c>
      <c r="Z1156" s="2101">
        <v>1</v>
      </c>
      <c r="AA1156" s="2099">
        <f>SUM(O1156:Z1156)</f>
        <v>6</v>
      </c>
    </row>
    <row r="1157" spans="2:27" x14ac:dyDescent="0.25">
      <c r="B1157" s="4274"/>
      <c r="C1157" s="4276"/>
      <c r="D1157" s="4274"/>
      <c r="E1157" s="4274"/>
      <c r="F1157" s="4274"/>
      <c r="G1157" s="4274"/>
      <c r="H1157" s="4277"/>
      <c r="I1157" s="4274"/>
      <c r="J1157" s="4274"/>
      <c r="K1157" s="4274"/>
      <c r="L1157" s="4274"/>
      <c r="M1157" s="3216" t="s">
        <v>1340</v>
      </c>
      <c r="N1157" s="3216"/>
      <c r="O1157" s="1659"/>
      <c r="P1157" s="2101">
        <f>+P1158</f>
        <v>250</v>
      </c>
      <c r="Q1157" s="2101"/>
      <c r="R1157" s="2101"/>
      <c r="S1157" s="2101"/>
      <c r="T1157" s="2101"/>
      <c r="U1157" s="2101">
        <f>+U1158</f>
        <v>254</v>
      </c>
      <c r="V1157" s="2101"/>
      <c r="W1157" s="2101"/>
      <c r="X1157" s="2101"/>
      <c r="Y1157" s="2101"/>
      <c r="Z1157" s="2101"/>
      <c r="AA1157" s="2099">
        <f t="shared" ref="AA1157:AA1161" si="129">SUM(O1157:Z1157)</f>
        <v>504</v>
      </c>
    </row>
    <row r="1158" spans="2:27" ht="22.5" x14ac:dyDescent="0.25">
      <c r="B1158" s="4274"/>
      <c r="C1158" s="4276"/>
      <c r="D1158" s="4274"/>
      <c r="E1158" s="4274"/>
      <c r="F1158" s="4274"/>
      <c r="G1158" s="4274"/>
      <c r="H1158" s="4277"/>
      <c r="I1158" s="4274"/>
      <c r="J1158" s="4274"/>
      <c r="K1158" s="4274"/>
      <c r="L1158" s="4274"/>
      <c r="M1158" s="1956" t="s">
        <v>184</v>
      </c>
      <c r="N1158" s="1956" t="s">
        <v>3560</v>
      </c>
      <c r="O1158" s="1659"/>
      <c r="P1158" s="1659">
        <v>250</v>
      </c>
      <c r="Q1158" s="1659"/>
      <c r="R1158" s="1659"/>
      <c r="S1158" s="1659"/>
      <c r="T1158" s="1659"/>
      <c r="U1158" s="1659">
        <v>254</v>
      </c>
      <c r="V1158" s="1659"/>
      <c r="W1158" s="1659"/>
      <c r="X1158" s="1659"/>
      <c r="Y1158" s="1659"/>
      <c r="Z1158" s="1659"/>
      <c r="AA1158" s="2099">
        <f t="shared" si="129"/>
        <v>504</v>
      </c>
    </row>
    <row r="1159" spans="2:27" ht="33.75" x14ac:dyDescent="0.25">
      <c r="B1159" s="4274"/>
      <c r="C1159" s="4276"/>
      <c r="D1159" s="4274"/>
      <c r="E1159" s="4274"/>
      <c r="F1159" s="4274"/>
      <c r="G1159" s="4274"/>
      <c r="H1159" s="4277"/>
      <c r="I1159" s="4274"/>
      <c r="J1159" s="4274"/>
      <c r="K1159" s="4274"/>
      <c r="L1159" s="4274"/>
      <c r="M1159" s="1956" t="s">
        <v>541</v>
      </c>
      <c r="N1159" s="1956" t="s">
        <v>3561</v>
      </c>
      <c r="O1159" s="1659"/>
      <c r="P1159" s="1659"/>
      <c r="Q1159" s="1659"/>
      <c r="R1159" s="1659"/>
      <c r="S1159" s="1659"/>
      <c r="T1159" s="1659"/>
      <c r="U1159" s="1659"/>
      <c r="V1159" s="1659"/>
      <c r="W1159" s="1659"/>
      <c r="X1159" s="1659"/>
      <c r="Y1159" s="1659"/>
      <c r="Z1159" s="1659"/>
      <c r="AA1159" s="2099">
        <f t="shared" si="129"/>
        <v>0</v>
      </c>
    </row>
    <row r="1160" spans="2:27" x14ac:dyDescent="0.25">
      <c r="B1160" s="4274"/>
      <c r="C1160" s="4276"/>
      <c r="D1160" s="4274"/>
      <c r="E1160" s="4274"/>
      <c r="F1160" s="4274"/>
      <c r="G1160" s="4274"/>
      <c r="H1160" s="4277"/>
      <c r="I1160" s="4274"/>
      <c r="J1160" s="4274"/>
      <c r="K1160" s="4274"/>
      <c r="L1160" s="4274"/>
      <c r="M1160" s="1956" t="s">
        <v>194</v>
      </c>
      <c r="N1160" s="1956" t="s">
        <v>1372</v>
      </c>
      <c r="O1160" s="1659"/>
      <c r="P1160" s="1659"/>
      <c r="Q1160" s="1659"/>
      <c r="R1160" s="1659"/>
      <c r="S1160" s="1659"/>
      <c r="T1160" s="1659"/>
      <c r="U1160" s="1659"/>
      <c r="V1160" s="1659"/>
      <c r="W1160" s="1659"/>
      <c r="X1160" s="1659"/>
      <c r="Y1160" s="1659"/>
      <c r="Z1160" s="1659"/>
      <c r="AA1160" s="2099">
        <f t="shared" si="129"/>
        <v>0</v>
      </c>
    </row>
    <row r="1161" spans="2:27" ht="33.75" x14ac:dyDescent="0.25">
      <c r="B1161" s="4274"/>
      <c r="C1161" s="4276"/>
      <c r="D1161" s="4274"/>
      <c r="E1161" s="4274"/>
      <c r="F1161" s="4274"/>
      <c r="G1161" s="4274"/>
      <c r="H1161" s="4277"/>
      <c r="I1161" s="4274"/>
      <c r="J1161" s="4274"/>
      <c r="K1161" s="4274"/>
      <c r="L1161" s="4274"/>
      <c r="M1161" s="1956" t="s">
        <v>1452</v>
      </c>
      <c r="N1161" s="1956" t="s">
        <v>1984</v>
      </c>
      <c r="O1161" s="1659"/>
      <c r="P1161" s="1659"/>
      <c r="Q1161" s="1659"/>
      <c r="R1161" s="1659"/>
      <c r="S1161" s="1659"/>
      <c r="T1161" s="1659"/>
      <c r="U1161" s="1659"/>
      <c r="V1161" s="1659"/>
      <c r="W1161" s="1659"/>
      <c r="X1161" s="1659"/>
      <c r="Y1161" s="1659"/>
      <c r="Z1161" s="1659"/>
      <c r="AA1161" s="2099">
        <f t="shared" si="129"/>
        <v>0</v>
      </c>
    </row>
    <row r="1162" spans="2:27" x14ac:dyDescent="0.25">
      <c r="B1162" s="4274"/>
      <c r="C1162" s="4281" t="s">
        <v>3573</v>
      </c>
      <c r="D1162" s="4274"/>
      <c r="E1162" s="4274"/>
      <c r="F1162" s="4274"/>
      <c r="G1162" s="4274"/>
      <c r="H1162" s="4277" t="s">
        <v>3712</v>
      </c>
      <c r="I1162" s="4274" t="s">
        <v>3574</v>
      </c>
      <c r="J1162" s="4274">
        <v>4</v>
      </c>
      <c r="K1162" s="4278">
        <f>SUM(AA1164:AA1168)</f>
        <v>12000</v>
      </c>
      <c r="L1162" s="4274" t="s">
        <v>3563</v>
      </c>
      <c r="M1162" s="3216" t="s">
        <v>51</v>
      </c>
      <c r="N1162" s="3216"/>
      <c r="O1162" s="1659"/>
      <c r="P1162" s="2101">
        <v>1</v>
      </c>
      <c r="Q1162" s="2101"/>
      <c r="R1162" s="2101"/>
      <c r="S1162" s="2101">
        <v>1</v>
      </c>
      <c r="T1162" s="2101"/>
      <c r="U1162" s="2101"/>
      <c r="V1162" s="2101">
        <v>1</v>
      </c>
      <c r="W1162" s="2101"/>
      <c r="X1162" s="2101">
        <v>1</v>
      </c>
      <c r="Y1162" s="2101"/>
      <c r="Z1162" s="2101"/>
      <c r="AA1162" s="2099">
        <f>SUM(O1162:Z1162)</f>
        <v>4</v>
      </c>
    </row>
    <row r="1163" spans="2:27" x14ac:dyDescent="0.25">
      <c r="B1163" s="4274"/>
      <c r="C1163" s="4281"/>
      <c r="D1163" s="4274"/>
      <c r="E1163" s="4274"/>
      <c r="F1163" s="4274"/>
      <c r="G1163" s="4274"/>
      <c r="H1163" s="4277"/>
      <c r="I1163" s="4274"/>
      <c r="J1163" s="4274"/>
      <c r="K1163" s="4274"/>
      <c r="L1163" s="4274"/>
      <c r="M1163" s="3216" t="s">
        <v>1340</v>
      </c>
      <c r="N1163" s="3216"/>
      <c r="O1163" s="1659"/>
      <c r="P1163" s="2101">
        <f>+P1168</f>
        <v>4000</v>
      </c>
      <c r="Q1163" s="2101"/>
      <c r="R1163" s="2101"/>
      <c r="S1163" s="2101">
        <f>+S1168</f>
        <v>2000</v>
      </c>
      <c r="T1163" s="2101"/>
      <c r="U1163" s="2101"/>
      <c r="V1163" s="2101">
        <f>+V1168</f>
        <v>4000</v>
      </c>
      <c r="W1163" s="2101"/>
      <c r="X1163" s="2101">
        <f>+X1168</f>
        <v>2000</v>
      </c>
      <c r="Y1163" s="2101"/>
      <c r="Z1163" s="2101"/>
      <c r="AA1163" s="2099">
        <f t="shared" ref="AA1163:AA1168" si="130">SUM(O1163:Z1163)</f>
        <v>12000</v>
      </c>
    </row>
    <row r="1164" spans="2:27" ht="22.5" x14ac:dyDescent="0.25">
      <c r="B1164" s="4274"/>
      <c r="C1164" s="4281"/>
      <c r="D1164" s="4274"/>
      <c r="E1164" s="4274"/>
      <c r="F1164" s="4274"/>
      <c r="G1164" s="4274"/>
      <c r="H1164" s="4277"/>
      <c r="I1164" s="4274"/>
      <c r="J1164" s="4274"/>
      <c r="K1164" s="4274"/>
      <c r="L1164" s="4274"/>
      <c r="M1164" s="1956" t="s">
        <v>184</v>
      </c>
      <c r="N1164" s="1956" t="s">
        <v>3560</v>
      </c>
      <c r="O1164" s="1659"/>
      <c r="P1164" s="1659"/>
      <c r="Q1164" s="1659"/>
      <c r="R1164" s="1659"/>
      <c r="S1164" s="1659"/>
      <c r="T1164" s="1659"/>
      <c r="U1164" s="1659"/>
      <c r="V1164" s="1659"/>
      <c r="W1164" s="1659"/>
      <c r="X1164" s="1659"/>
      <c r="Y1164" s="1659"/>
      <c r="Z1164" s="1659"/>
      <c r="AA1164" s="2099">
        <f t="shared" si="130"/>
        <v>0</v>
      </c>
    </row>
    <row r="1165" spans="2:27" ht="33.75" x14ac:dyDescent="0.25">
      <c r="B1165" s="4274"/>
      <c r="C1165" s="4281"/>
      <c r="D1165" s="4274"/>
      <c r="E1165" s="4274"/>
      <c r="F1165" s="4274"/>
      <c r="G1165" s="4274"/>
      <c r="H1165" s="4277"/>
      <c r="I1165" s="4274"/>
      <c r="J1165" s="4274"/>
      <c r="K1165" s="4274"/>
      <c r="L1165" s="4274"/>
      <c r="M1165" s="1956" t="s">
        <v>541</v>
      </c>
      <c r="N1165" s="1956" t="s">
        <v>3561</v>
      </c>
      <c r="O1165" s="1659"/>
      <c r="P1165" s="1659"/>
      <c r="Q1165" s="1659"/>
      <c r="R1165" s="1659"/>
      <c r="S1165" s="1659"/>
      <c r="T1165" s="1659"/>
      <c r="U1165" s="1659"/>
      <c r="V1165" s="1659"/>
      <c r="W1165" s="1659"/>
      <c r="X1165" s="1659"/>
      <c r="Y1165" s="1659"/>
      <c r="Z1165" s="1659"/>
      <c r="AA1165" s="2099">
        <f t="shared" si="130"/>
        <v>0</v>
      </c>
    </row>
    <row r="1166" spans="2:27" x14ac:dyDescent="0.25">
      <c r="B1166" s="4274"/>
      <c r="C1166" s="4281"/>
      <c r="D1166" s="4274"/>
      <c r="E1166" s="4274"/>
      <c r="F1166" s="4274"/>
      <c r="G1166" s="4274"/>
      <c r="H1166" s="4277"/>
      <c r="I1166" s="4274"/>
      <c r="J1166" s="4274"/>
      <c r="K1166" s="4274"/>
      <c r="L1166" s="4274"/>
      <c r="M1166" s="1956" t="s">
        <v>194</v>
      </c>
      <c r="N1166" s="1956" t="s">
        <v>1372</v>
      </c>
      <c r="O1166" s="1659"/>
      <c r="P1166" s="1659"/>
      <c r="Q1166" s="1659"/>
      <c r="R1166" s="1659"/>
      <c r="S1166" s="1659"/>
      <c r="T1166" s="1659"/>
      <c r="U1166" s="1659"/>
      <c r="V1166" s="1659"/>
      <c r="W1166" s="1659"/>
      <c r="X1166" s="1659"/>
      <c r="Y1166" s="1659"/>
      <c r="Z1166" s="1659"/>
      <c r="AA1166" s="2099">
        <f t="shared" si="130"/>
        <v>0</v>
      </c>
    </row>
    <row r="1167" spans="2:27" ht="33.75" x14ac:dyDescent="0.25">
      <c r="B1167" s="4274"/>
      <c r="C1167" s="4281"/>
      <c r="D1167" s="4274"/>
      <c r="E1167" s="4274"/>
      <c r="F1167" s="4274"/>
      <c r="G1167" s="4274"/>
      <c r="H1167" s="4277"/>
      <c r="I1167" s="4274"/>
      <c r="J1167" s="4274"/>
      <c r="K1167" s="4274"/>
      <c r="L1167" s="4274"/>
      <c r="M1167" s="1956" t="s">
        <v>1452</v>
      </c>
      <c r="N1167" s="1956" t="s">
        <v>1984</v>
      </c>
      <c r="O1167" s="1659"/>
      <c r="P1167" s="1659"/>
      <c r="Q1167" s="1659"/>
      <c r="R1167" s="1659"/>
      <c r="S1167" s="1659"/>
      <c r="T1167" s="1659"/>
      <c r="U1167" s="1659"/>
      <c r="V1167" s="1659"/>
      <c r="W1167" s="1659"/>
      <c r="X1167" s="1659"/>
      <c r="Y1167" s="1659"/>
      <c r="Z1167" s="1659"/>
      <c r="AA1167" s="2099"/>
    </row>
    <row r="1168" spans="2:27" ht="22.5" x14ac:dyDescent="0.25">
      <c r="B1168" s="4274"/>
      <c r="C1168" s="4281"/>
      <c r="D1168" s="4274"/>
      <c r="E1168" s="4274"/>
      <c r="F1168" s="4274"/>
      <c r="G1168" s="4274"/>
      <c r="H1168" s="4277"/>
      <c r="I1168" s="4274"/>
      <c r="J1168" s="4274"/>
      <c r="K1168" s="4274"/>
      <c r="L1168" s="4274"/>
      <c r="M1168" s="1956" t="s">
        <v>1454</v>
      </c>
      <c r="N1168" s="603" t="s">
        <v>207</v>
      </c>
      <c r="O1168" s="1659"/>
      <c r="P1168" s="1659">
        <v>4000</v>
      </c>
      <c r="Q1168" s="1659"/>
      <c r="R1168" s="1659"/>
      <c r="S1168" s="1659">
        <v>2000</v>
      </c>
      <c r="T1168" s="1659"/>
      <c r="U1168" s="1659"/>
      <c r="V1168" s="1659">
        <v>4000</v>
      </c>
      <c r="W1168" s="1659"/>
      <c r="X1168" s="1659">
        <v>2000</v>
      </c>
      <c r="Y1168" s="1659"/>
      <c r="Z1168" s="1659"/>
      <c r="AA1168" s="2100">
        <f t="shared" si="130"/>
        <v>12000</v>
      </c>
    </row>
  </sheetData>
  <mergeCells count="2673">
    <mergeCell ref="J988:J989"/>
    <mergeCell ref="K988:K989"/>
    <mergeCell ref="L988:L989"/>
    <mergeCell ref="J986:J987"/>
    <mergeCell ref="L986:L987"/>
    <mergeCell ref="K986:K987"/>
    <mergeCell ref="B984:B985"/>
    <mergeCell ref="D984:D985"/>
    <mergeCell ref="E984:E985"/>
    <mergeCell ref="F984:F985"/>
    <mergeCell ref="G984:G985"/>
    <mergeCell ref="H984:H985"/>
    <mergeCell ref="I984:I985"/>
    <mergeCell ref="J984:J985"/>
    <mergeCell ref="K984:K985"/>
    <mergeCell ref="L984:L985"/>
    <mergeCell ref="K982:K983"/>
    <mergeCell ref="L982:L983"/>
    <mergeCell ref="J982:J983"/>
    <mergeCell ref="B982:B983"/>
    <mergeCell ref="D982:D983"/>
    <mergeCell ref="E982:E983"/>
    <mergeCell ref="F982:F983"/>
    <mergeCell ref="G982:G983"/>
    <mergeCell ref="H982:H983"/>
    <mergeCell ref="I982:I983"/>
    <mergeCell ref="C984:C985"/>
    <mergeCell ref="C617:H617"/>
    <mergeCell ref="C618:Y618"/>
    <mergeCell ref="H611:H616"/>
    <mergeCell ref="C697:C698"/>
    <mergeCell ref="D697:D698"/>
    <mergeCell ref="E697:E698"/>
    <mergeCell ref="F697:F698"/>
    <mergeCell ref="G697:G698"/>
    <mergeCell ref="H697:H698"/>
    <mergeCell ref="I697:I698"/>
    <mergeCell ref="J697:J698"/>
    <mergeCell ref="K697:K698"/>
    <mergeCell ref="L697:L698"/>
    <mergeCell ref="M697:N697"/>
    <mergeCell ref="M698:N698"/>
    <mergeCell ref="B990:B991"/>
    <mergeCell ref="D990:D991"/>
    <mergeCell ref="E990:E991"/>
    <mergeCell ref="F990:F991"/>
    <mergeCell ref="G990:G991"/>
    <mergeCell ref="H990:H991"/>
    <mergeCell ref="I990:I991"/>
    <mergeCell ref="J990:J991"/>
    <mergeCell ref="K990:K991"/>
    <mergeCell ref="L990:L991"/>
    <mergeCell ref="B988:B989"/>
    <mergeCell ref="D988:D989"/>
    <mergeCell ref="E988:E989"/>
    <mergeCell ref="F988:F989"/>
    <mergeCell ref="G988:G989"/>
    <mergeCell ref="H988:H989"/>
    <mergeCell ref="I988:I989"/>
    <mergeCell ref="B786:B805"/>
    <mergeCell ref="C786:C805"/>
    <mergeCell ref="D786:D805"/>
    <mergeCell ref="E786:E805"/>
    <mergeCell ref="F786:F805"/>
    <mergeCell ref="G786:G805"/>
    <mergeCell ref="H786:H805"/>
    <mergeCell ref="I786:I805"/>
    <mergeCell ref="J786:J805"/>
    <mergeCell ref="K786:K805"/>
    <mergeCell ref="L786:L805"/>
    <mergeCell ref="H695:H696"/>
    <mergeCell ref="I695:I696"/>
    <mergeCell ref="J695:J696"/>
    <mergeCell ref="K695:K696"/>
    <mergeCell ref="L695:L696"/>
    <mergeCell ref="H683:H689"/>
    <mergeCell ref="I683:I689"/>
    <mergeCell ref="J683:J689"/>
    <mergeCell ref="K683:K689"/>
    <mergeCell ref="L683:L689"/>
    <mergeCell ref="M695:N695"/>
    <mergeCell ref="M696:N696"/>
    <mergeCell ref="B695:B696"/>
    <mergeCell ref="C695:C696"/>
    <mergeCell ref="D695:D696"/>
    <mergeCell ref="E695:E696"/>
    <mergeCell ref="F695:F696"/>
    <mergeCell ref="G695:G696"/>
    <mergeCell ref="E705:E706"/>
    <mergeCell ref="F705:F706"/>
    <mergeCell ref="G705:G706"/>
    <mergeCell ref="H705:H706"/>
    <mergeCell ref="B707:B717"/>
    <mergeCell ref="C707:C717"/>
    <mergeCell ref="D707:D717"/>
    <mergeCell ref="E707:E717"/>
    <mergeCell ref="H690:H694"/>
    <mergeCell ref="I690:I694"/>
    <mergeCell ref="J690:J694"/>
    <mergeCell ref="K690:K694"/>
    <mergeCell ref="L690:L694"/>
    <mergeCell ref="M690:N690"/>
    <mergeCell ref="M691:N691"/>
    <mergeCell ref="B690:B694"/>
    <mergeCell ref="C690:C694"/>
    <mergeCell ref="D690:D694"/>
    <mergeCell ref="E690:E694"/>
    <mergeCell ref="F690:F694"/>
    <mergeCell ref="G690:G694"/>
    <mergeCell ref="L705:L706"/>
    <mergeCell ref="M705:M706"/>
    <mergeCell ref="B697:B698"/>
    <mergeCell ref="M683:N683"/>
    <mergeCell ref="M684:N684"/>
    <mergeCell ref="B683:B689"/>
    <mergeCell ref="C683:C689"/>
    <mergeCell ref="D683:D689"/>
    <mergeCell ref="E683:E689"/>
    <mergeCell ref="F683:F689"/>
    <mergeCell ref="G683:G689"/>
    <mergeCell ref="H671:H682"/>
    <mergeCell ref="I671:I682"/>
    <mergeCell ref="J671:J682"/>
    <mergeCell ref="K671:K682"/>
    <mergeCell ref="L671:L682"/>
    <mergeCell ref="M671:N671"/>
    <mergeCell ref="M672:N672"/>
    <mergeCell ref="B671:B682"/>
    <mergeCell ref="C671:C682"/>
    <mergeCell ref="D671:D682"/>
    <mergeCell ref="E671:E682"/>
    <mergeCell ref="F671:F682"/>
    <mergeCell ref="G671:G682"/>
    <mergeCell ref="M658:N658"/>
    <mergeCell ref="M659:N659"/>
    <mergeCell ref="L656:L657"/>
    <mergeCell ref="M656:N657"/>
    <mergeCell ref="O656:Z656"/>
    <mergeCell ref="AA656:AA657"/>
    <mergeCell ref="B658:B670"/>
    <mergeCell ref="C658:C670"/>
    <mergeCell ref="D658:D670"/>
    <mergeCell ref="E658:E670"/>
    <mergeCell ref="F658:F670"/>
    <mergeCell ref="G658:G670"/>
    <mergeCell ref="Z655:AA655"/>
    <mergeCell ref="B656:B657"/>
    <mergeCell ref="C656:C657"/>
    <mergeCell ref="D656:D657"/>
    <mergeCell ref="E656:E657"/>
    <mergeCell ref="F656:F657"/>
    <mergeCell ref="G656:G657"/>
    <mergeCell ref="H656:H657"/>
    <mergeCell ref="I656:I657"/>
    <mergeCell ref="J656:K656"/>
    <mergeCell ref="H658:H670"/>
    <mergeCell ref="I658:I670"/>
    <mergeCell ref="J658:J670"/>
    <mergeCell ref="K658:K670"/>
    <mergeCell ref="L658:L670"/>
    <mergeCell ref="V651:Y651"/>
    <mergeCell ref="Z651:AA651"/>
    <mergeCell ref="V652:Y653"/>
    <mergeCell ref="Z652:AA653"/>
    <mergeCell ref="B654:B655"/>
    <mergeCell ref="C654:C655"/>
    <mergeCell ref="D654:E655"/>
    <mergeCell ref="V654:Y654"/>
    <mergeCell ref="Z654:AA654"/>
    <mergeCell ref="V655:Y655"/>
    <mergeCell ref="J640:J648"/>
    <mergeCell ref="K640:K648"/>
    <mergeCell ref="L640:L648"/>
    <mergeCell ref="M640:N640"/>
    <mergeCell ref="M641:N641"/>
    <mergeCell ref="B651:B653"/>
    <mergeCell ref="C651:C653"/>
    <mergeCell ref="D651:E653"/>
    <mergeCell ref="O638:Z638"/>
    <mergeCell ref="AA638:AA639"/>
    <mergeCell ref="B640:B648"/>
    <mergeCell ref="C640:C648"/>
    <mergeCell ref="D640:D648"/>
    <mergeCell ref="E640:E648"/>
    <mergeCell ref="F640:F648"/>
    <mergeCell ref="G640:G648"/>
    <mergeCell ref="H640:H648"/>
    <mergeCell ref="I640:I648"/>
    <mergeCell ref="G638:G639"/>
    <mergeCell ref="H638:H639"/>
    <mergeCell ref="I638:I639"/>
    <mergeCell ref="J638:K638"/>
    <mergeCell ref="L638:L639"/>
    <mergeCell ref="M638:N639"/>
    <mergeCell ref="B636:B637"/>
    <mergeCell ref="C636:C637"/>
    <mergeCell ref="D636:D637"/>
    <mergeCell ref="E636:E637"/>
    <mergeCell ref="V637:Y637"/>
    <mergeCell ref="B638:B639"/>
    <mergeCell ref="C638:C639"/>
    <mergeCell ref="D638:D639"/>
    <mergeCell ref="E638:E639"/>
    <mergeCell ref="F638:F639"/>
    <mergeCell ref="Z633:AA633"/>
    <mergeCell ref="B634:B635"/>
    <mergeCell ref="C634:C635"/>
    <mergeCell ref="D634:D635"/>
    <mergeCell ref="E634:E635"/>
    <mergeCell ref="V634:Y634"/>
    <mergeCell ref="V635:Y635"/>
    <mergeCell ref="H625:H631"/>
    <mergeCell ref="I625:I631"/>
    <mergeCell ref="J625:J631"/>
    <mergeCell ref="K625:K631"/>
    <mergeCell ref="L625:L631"/>
    <mergeCell ref="M625:N625"/>
    <mergeCell ref="M626:N626"/>
    <mergeCell ref="L623:L624"/>
    <mergeCell ref="M623:N624"/>
    <mergeCell ref="O623:Z623"/>
    <mergeCell ref="AA623:AA624"/>
    <mergeCell ref="B625:B631"/>
    <mergeCell ref="C625:C631"/>
    <mergeCell ref="D625:D631"/>
    <mergeCell ref="E625:E631"/>
    <mergeCell ref="F625:F631"/>
    <mergeCell ref="G625:G631"/>
    <mergeCell ref="C632:H632"/>
    <mergeCell ref="C633:Y633"/>
    <mergeCell ref="Z622:AA622"/>
    <mergeCell ref="B623:B624"/>
    <mergeCell ref="C623:C624"/>
    <mergeCell ref="D623:D624"/>
    <mergeCell ref="E623:E624"/>
    <mergeCell ref="F623:F624"/>
    <mergeCell ref="G623:G624"/>
    <mergeCell ref="H623:H624"/>
    <mergeCell ref="I623:I624"/>
    <mergeCell ref="J623:K623"/>
    <mergeCell ref="Z619:AA619"/>
    <mergeCell ref="V620:Y620"/>
    <mergeCell ref="Z620:AA620"/>
    <mergeCell ref="B621:B622"/>
    <mergeCell ref="C621:C622"/>
    <mergeCell ref="D621:D622"/>
    <mergeCell ref="E621:E622"/>
    <mergeCell ref="V621:Y621"/>
    <mergeCell ref="Z621:AA621"/>
    <mergeCell ref="V622:Y622"/>
    <mergeCell ref="B619:B620"/>
    <mergeCell ref="C619:C620"/>
    <mergeCell ref="D619:D620"/>
    <mergeCell ref="E619:E620"/>
    <mergeCell ref="V619:Y619"/>
    <mergeCell ref="I611:I616"/>
    <mergeCell ref="J611:J616"/>
    <mergeCell ref="K611:K616"/>
    <mergeCell ref="L611:L616"/>
    <mergeCell ref="M611:N611"/>
    <mergeCell ref="M612:N612"/>
    <mergeCell ref="L609:L610"/>
    <mergeCell ref="M609:N610"/>
    <mergeCell ref="O609:Z609"/>
    <mergeCell ref="AA609:AA610"/>
    <mergeCell ref="B611:B616"/>
    <mergeCell ref="C611:C616"/>
    <mergeCell ref="D611:D616"/>
    <mergeCell ref="E611:E616"/>
    <mergeCell ref="F611:F616"/>
    <mergeCell ref="G611:G616"/>
    <mergeCell ref="Z608:AA608"/>
    <mergeCell ref="B609:B610"/>
    <mergeCell ref="C609:C610"/>
    <mergeCell ref="D609:D610"/>
    <mergeCell ref="E609:E610"/>
    <mergeCell ref="F609:F610"/>
    <mergeCell ref="G609:G610"/>
    <mergeCell ref="H609:H610"/>
    <mergeCell ref="I609:I610"/>
    <mergeCell ref="J609:K609"/>
    <mergeCell ref="Z605:AA605"/>
    <mergeCell ref="V606:Y606"/>
    <mergeCell ref="Z606:AA606"/>
    <mergeCell ref="B607:B608"/>
    <mergeCell ref="C607:C608"/>
    <mergeCell ref="D607:D608"/>
    <mergeCell ref="E607:E608"/>
    <mergeCell ref="V607:Y607"/>
    <mergeCell ref="Z607:AA607"/>
    <mergeCell ref="V608:Y608"/>
    <mergeCell ref="C603:H603"/>
    <mergeCell ref="B605:B606"/>
    <mergeCell ref="C605:C606"/>
    <mergeCell ref="D605:D606"/>
    <mergeCell ref="E605:E606"/>
    <mergeCell ref="V605:Y605"/>
    <mergeCell ref="H597:H602"/>
    <mergeCell ref="I597:I602"/>
    <mergeCell ref="J597:J602"/>
    <mergeCell ref="K597:K602"/>
    <mergeCell ref="L597:L602"/>
    <mergeCell ref="M597:N597"/>
    <mergeCell ref="M598:N598"/>
    <mergeCell ref="AA595:AA596"/>
    <mergeCell ref="B597:B602"/>
    <mergeCell ref="C597:C602"/>
    <mergeCell ref="D597:D602"/>
    <mergeCell ref="E597:E602"/>
    <mergeCell ref="F597:F602"/>
    <mergeCell ref="G597:G602"/>
    <mergeCell ref="E595:E596"/>
    <mergeCell ref="F595:F596"/>
    <mergeCell ref="G595:G596"/>
    <mergeCell ref="H595:H596"/>
    <mergeCell ref="I595:I596"/>
    <mergeCell ref="J595:K595"/>
    <mergeCell ref="Z591:AA591"/>
    <mergeCell ref="W592:Y592"/>
    <mergeCell ref="Z592:AA592"/>
    <mergeCell ref="B593:B594"/>
    <mergeCell ref="C593:C594"/>
    <mergeCell ref="D593:D594"/>
    <mergeCell ref="E593:E594"/>
    <mergeCell ref="U593:V594"/>
    <mergeCell ref="W593:Y593"/>
    <mergeCell ref="Z593:AA593"/>
    <mergeCell ref="A590:A602"/>
    <mergeCell ref="C590:Y590"/>
    <mergeCell ref="B591:B592"/>
    <mergeCell ref="C591:C592"/>
    <mergeCell ref="D591:D592"/>
    <mergeCell ref="E591:E592"/>
    <mergeCell ref="W591:Y591"/>
    <mergeCell ref="B595:B596"/>
    <mergeCell ref="C595:C596"/>
    <mergeCell ref="D595:D596"/>
    <mergeCell ref="A585:A589"/>
    <mergeCell ref="C585:F585"/>
    <mergeCell ref="C586:Y586"/>
    <mergeCell ref="C587:N587"/>
    <mergeCell ref="C588:Y588"/>
    <mergeCell ref="C589:H589"/>
    <mergeCell ref="J557:J583"/>
    <mergeCell ref="K557:K583"/>
    <mergeCell ref="L557:L583"/>
    <mergeCell ref="M557:N557"/>
    <mergeCell ref="M558:N558"/>
    <mergeCell ref="A584:Y584"/>
    <mergeCell ref="L595:L596"/>
    <mergeCell ref="M595:N596"/>
    <mergeCell ref="O595:Z595"/>
    <mergeCell ref="O555:Z555"/>
    <mergeCell ref="AA555:AA556"/>
    <mergeCell ref="B557:B583"/>
    <mergeCell ref="C557:C583"/>
    <mergeCell ref="D557:D583"/>
    <mergeCell ref="E557:E583"/>
    <mergeCell ref="F557:F583"/>
    <mergeCell ref="G557:G583"/>
    <mergeCell ref="H557:H583"/>
    <mergeCell ref="I557:I583"/>
    <mergeCell ref="H555:H556"/>
    <mergeCell ref="I555:I556"/>
    <mergeCell ref="J555:K555"/>
    <mergeCell ref="L555:L556"/>
    <mergeCell ref="M555:M556"/>
    <mergeCell ref="N555:N556"/>
    <mergeCell ref="K519:K554"/>
    <mergeCell ref="L519:L554"/>
    <mergeCell ref="M519:N519"/>
    <mergeCell ref="M520:N520"/>
    <mergeCell ref="B555:B556"/>
    <mergeCell ref="C555:C556"/>
    <mergeCell ref="D555:D556"/>
    <mergeCell ref="E555:E556"/>
    <mergeCell ref="F555:F556"/>
    <mergeCell ref="G555:G556"/>
    <mergeCell ref="AA517:AA518"/>
    <mergeCell ref="B519:B554"/>
    <mergeCell ref="C519:C554"/>
    <mergeCell ref="D519:D554"/>
    <mergeCell ref="E519:E554"/>
    <mergeCell ref="F519:F554"/>
    <mergeCell ref="G519:G554"/>
    <mergeCell ref="H519:H554"/>
    <mergeCell ref="I519:I554"/>
    <mergeCell ref="J519:J554"/>
    <mergeCell ref="H517:H518"/>
    <mergeCell ref="I517:I518"/>
    <mergeCell ref="J517:K517"/>
    <mergeCell ref="L517:L518"/>
    <mergeCell ref="M517:N518"/>
    <mergeCell ref="O517:Z517"/>
    <mergeCell ref="K504:K516"/>
    <mergeCell ref="L504:L516"/>
    <mergeCell ref="M504:N504"/>
    <mergeCell ref="M505:N505"/>
    <mergeCell ref="B517:B518"/>
    <mergeCell ref="C517:C518"/>
    <mergeCell ref="D517:D518"/>
    <mergeCell ref="E517:E518"/>
    <mergeCell ref="F517:F518"/>
    <mergeCell ref="G517:G518"/>
    <mergeCell ref="AA502:AA503"/>
    <mergeCell ref="B504:B516"/>
    <mergeCell ref="C504:C516"/>
    <mergeCell ref="D504:D516"/>
    <mergeCell ref="E504:E516"/>
    <mergeCell ref="F504:F516"/>
    <mergeCell ref="G504:G516"/>
    <mergeCell ref="H504:H516"/>
    <mergeCell ref="I504:I516"/>
    <mergeCell ref="J504:J516"/>
    <mergeCell ref="H502:H503"/>
    <mergeCell ref="I502:I503"/>
    <mergeCell ref="J502:K502"/>
    <mergeCell ref="L502:L503"/>
    <mergeCell ref="M502:N503"/>
    <mergeCell ref="O502:Z502"/>
    <mergeCell ref="B502:B503"/>
    <mergeCell ref="C502:C503"/>
    <mergeCell ref="D502:D503"/>
    <mergeCell ref="E502:E503"/>
    <mergeCell ref="F502:F503"/>
    <mergeCell ref="G502:G503"/>
    <mergeCell ref="Z497:AA497"/>
    <mergeCell ref="V498:Y499"/>
    <mergeCell ref="Z498:AA499"/>
    <mergeCell ref="B500:B501"/>
    <mergeCell ref="C500:C501"/>
    <mergeCell ref="D500:D501"/>
    <mergeCell ref="E500:E501"/>
    <mergeCell ref="V500:Y500"/>
    <mergeCell ref="Z500:AA500"/>
    <mergeCell ref="C496:Y496"/>
    <mergeCell ref="B497:B499"/>
    <mergeCell ref="C497:C499"/>
    <mergeCell ref="D497:D499"/>
    <mergeCell ref="E497:E499"/>
    <mergeCell ref="V497:Y497"/>
    <mergeCell ref="J488:J494"/>
    <mergeCell ref="K488:K494"/>
    <mergeCell ref="L488:L494"/>
    <mergeCell ref="M488:N488"/>
    <mergeCell ref="M489:N489"/>
    <mergeCell ref="C495:H495"/>
    <mergeCell ref="O486:Z486"/>
    <mergeCell ref="AA486:AA487"/>
    <mergeCell ref="B488:B494"/>
    <mergeCell ref="C488:C494"/>
    <mergeCell ref="D488:D494"/>
    <mergeCell ref="E488:E494"/>
    <mergeCell ref="F488:F494"/>
    <mergeCell ref="G488:G494"/>
    <mergeCell ref="H488:H494"/>
    <mergeCell ref="I488:I494"/>
    <mergeCell ref="G486:G487"/>
    <mergeCell ref="H486:H487"/>
    <mergeCell ref="I486:I487"/>
    <mergeCell ref="J486:K486"/>
    <mergeCell ref="L486:L487"/>
    <mergeCell ref="M486:N487"/>
    <mergeCell ref="B484:B485"/>
    <mergeCell ref="C484:C485"/>
    <mergeCell ref="D484:D485"/>
    <mergeCell ref="E484:L485"/>
    <mergeCell ref="V485:Y485"/>
    <mergeCell ref="B486:B487"/>
    <mergeCell ref="C486:C487"/>
    <mergeCell ref="D486:D487"/>
    <mergeCell ref="E486:E487"/>
    <mergeCell ref="F486:F487"/>
    <mergeCell ref="K461:K479"/>
    <mergeCell ref="L461:L479"/>
    <mergeCell ref="M462:N462"/>
    <mergeCell ref="C480:H480"/>
    <mergeCell ref="A481:A494"/>
    <mergeCell ref="C481:Y481"/>
    <mergeCell ref="B482:B483"/>
    <mergeCell ref="C482:H483"/>
    <mergeCell ref="V482:Y482"/>
    <mergeCell ref="V483:Y483"/>
    <mergeCell ref="AA459:AA460"/>
    <mergeCell ref="B461:B479"/>
    <mergeCell ref="C461:C479"/>
    <mergeCell ref="D461:D479"/>
    <mergeCell ref="E461:E479"/>
    <mergeCell ref="F461:F479"/>
    <mergeCell ref="G461:G479"/>
    <mergeCell ref="H461:H479"/>
    <mergeCell ref="I461:I479"/>
    <mergeCell ref="J461:J479"/>
    <mergeCell ref="H459:H460"/>
    <mergeCell ref="I459:I460"/>
    <mergeCell ref="J459:K459"/>
    <mergeCell ref="L459:L460"/>
    <mergeCell ref="M459:N460"/>
    <mergeCell ref="O459:Z459"/>
    <mergeCell ref="B459:B460"/>
    <mergeCell ref="C459:C460"/>
    <mergeCell ref="D459:D460"/>
    <mergeCell ref="E459:E460"/>
    <mergeCell ref="F459:F460"/>
    <mergeCell ref="G459:G460"/>
    <mergeCell ref="Z454:AA454"/>
    <mergeCell ref="V455:Y456"/>
    <mergeCell ref="Z455:AA456"/>
    <mergeCell ref="B457:B458"/>
    <mergeCell ref="C457:C458"/>
    <mergeCell ref="D457:P458"/>
    <mergeCell ref="V457:Y457"/>
    <mergeCell ref="Z457:AA457"/>
    <mergeCell ref="V458:Y458"/>
    <mergeCell ref="Z458:AA458"/>
    <mergeCell ref="C451:V451"/>
    <mergeCell ref="C453:V453"/>
    <mergeCell ref="B454:B456"/>
    <mergeCell ref="C454:C456"/>
    <mergeCell ref="D454:P456"/>
    <mergeCell ref="Q454:U456"/>
    <mergeCell ref="V454:Y454"/>
    <mergeCell ref="H447:H450"/>
    <mergeCell ref="I447:I450"/>
    <mergeCell ref="J447:J450"/>
    <mergeCell ref="K447:K450"/>
    <mergeCell ref="L447:L450"/>
    <mergeCell ref="M447:N447"/>
    <mergeCell ref="M448:N448"/>
    <mergeCell ref="B447:B450"/>
    <mergeCell ref="C447:C450"/>
    <mergeCell ref="D447:D450"/>
    <mergeCell ref="E447:E450"/>
    <mergeCell ref="F447:F450"/>
    <mergeCell ref="G447:G450"/>
    <mergeCell ref="H443:H446"/>
    <mergeCell ref="I443:I446"/>
    <mergeCell ref="J443:J446"/>
    <mergeCell ref="K443:K446"/>
    <mergeCell ref="L443:L446"/>
    <mergeCell ref="M443:N443"/>
    <mergeCell ref="M444:N444"/>
    <mergeCell ref="B443:B446"/>
    <mergeCell ref="C443:C446"/>
    <mergeCell ref="D443:D446"/>
    <mergeCell ref="E443:E446"/>
    <mergeCell ref="F443:F446"/>
    <mergeCell ref="G443:G446"/>
    <mergeCell ref="H440:H442"/>
    <mergeCell ref="I440:I442"/>
    <mergeCell ref="J440:J442"/>
    <mergeCell ref="K440:K442"/>
    <mergeCell ref="L440:L442"/>
    <mergeCell ref="M440:N440"/>
    <mergeCell ref="M441:N441"/>
    <mergeCell ref="B440:B442"/>
    <mergeCell ref="C440:C442"/>
    <mergeCell ref="D440:D442"/>
    <mergeCell ref="E440:E442"/>
    <mergeCell ref="F440:F442"/>
    <mergeCell ref="G440:G442"/>
    <mergeCell ref="H435:H439"/>
    <mergeCell ref="I435:I439"/>
    <mergeCell ref="J435:J439"/>
    <mergeCell ref="K435:K439"/>
    <mergeCell ref="L435:L439"/>
    <mergeCell ref="M435:N435"/>
    <mergeCell ref="M436:N436"/>
    <mergeCell ref="B435:B439"/>
    <mergeCell ref="C435:C439"/>
    <mergeCell ref="D435:D439"/>
    <mergeCell ref="E435:E439"/>
    <mergeCell ref="F435:F439"/>
    <mergeCell ref="G435:G439"/>
    <mergeCell ref="H431:H434"/>
    <mergeCell ref="I431:I434"/>
    <mergeCell ref="J431:J434"/>
    <mergeCell ref="K431:K434"/>
    <mergeCell ref="L431:L434"/>
    <mergeCell ref="M431:N431"/>
    <mergeCell ref="M432:N432"/>
    <mergeCell ref="B431:B434"/>
    <mergeCell ref="C431:C434"/>
    <mergeCell ref="D431:D434"/>
    <mergeCell ref="E431:E434"/>
    <mergeCell ref="F431:F434"/>
    <mergeCell ref="G431:G434"/>
    <mergeCell ref="H425:H430"/>
    <mergeCell ref="I425:I430"/>
    <mergeCell ref="J425:J430"/>
    <mergeCell ref="K425:K430"/>
    <mergeCell ref="L425:L430"/>
    <mergeCell ref="M425:N425"/>
    <mergeCell ref="M426:N426"/>
    <mergeCell ref="B425:B430"/>
    <mergeCell ref="C425:C430"/>
    <mergeCell ref="D425:D430"/>
    <mergeCell ref="E425:E430"/>
    <mergeCell ref="F425:F430"/>
    <mergeCell ref="G425:G430"/>
    <mergeCell ref="G421:G424"/>
    <mergeCell ref="H421:H424"/>
    <mergeCell ref="I421:I424"/>
    <mergeCell ref="J421:J424"/>
    <mergeCell ref="K421:K424"/>
    <mergeCell ref="L421:L424"/>
    <mergeCell ref="J407:J420"/>
    <mergeCell ref="K407:K420"/>
    <mergeCell ref="L407:L420"/>
    <mergeCell ref="M407:N407"/>
    <mergeCell ref="M408:N408"/>
    <mergeCell ref="B421:B424"/>
    <mergeCell ref="C421:C424"/>
    <mergeCell ref="D421:D424"/>
    <mergeCell ref="E421:E424"/>
    <mergeCell ref="F421:F424"/>
    <mergeCell ref="O405:Z405"/>
    <mergeCell ref="AA405:AA406"/>
    <mergeCell ref="B407:B420"/>
    <mergeCell ref="C407:C420"/>
    <mergeCell ref="D407:D420"/>
    <mergeCell ref="E407:E420"/>
    <mergeCell ref="F407:F420"/>
    <mergeCell ref="G407:G420"/>
    <mergeCell ref="H407:H420"/>
    <mergeCell ref="I407:I420"/>
    <mergeCell ref="G405:G406"/>
    <mergeCell ref="H405:H406"/>
    <mergeCell ref="I405:I406"/>
    <mergeCell ref="J405:K405"/>
    <mergeCell ref="L405:L406"/>
    <mergeCell ref="M405:N406"/>
    <mergeCell ref="B403:B404"/>
    <mergeCell ref="C403:C404"/>
    <mergeCell ref="D403:D404"/>
    <mergeCell ref="E403:E404"/>
    <mergeCell ref="V404:Y404"/>
    <mergeCell ref="B405:B406"/>
    <mergeCell ref="C405:C406"/>
    <mergeCell ref="D405:D406"/>
    <mergeCell ref="E405:E406"/>
    <mergeCell ref="F405:F406"/>
    <mergeCell ref="C398:Y398"/>
    <mergeCell ref="C399:H399"/>
    <mergeCell ref="C400:Y400"/>
    <mergeCell ref="B401:B402"/>
    <mergeCell ref="C401:C402"/>
    <mergeCell ref="D401:H402"/>
    <mergeCell ref="V401:Y401"/>
    <mergeCell ref="V402:Y402"/>
    <mergeCell ref="K379:K397"/>
    <mergeCell ref="L379:L397"/>
    <mergeCell ref="M379:N379"/>
    <mergeCell ref="M380:N380"/>
    <mergeCell ref="M391:N391"/>
    <mergeCell ref="M392:N392"/>
    <mergeCell ref="AA377:AA378"/>
    <mergeCell ref="B379:B397"/>
    <mergeCell ref="C379:C397"/>
    <mergeCell ref="D379:D397"/>
    <mergeCell ref="E379:E397"/>
    <mergeCell ref="F379:F397"/>
    <mergeCell ref="G379:G397"/>
    <mergeCell ref="H379:H397"/>
    <mergeCell ref="I379:I397"/>
    <mergeCell ref="J379:J397"/>
    <mergeCell ref="H377:H378"/>
    <mergeCell ref="I377:I378"/>
    <mergeCell ref="J377:K377"/>
    <mergeCell ref="L377:L378"/>
    <mergeCell ref="M377:N378"/>
    <mergeCell ref="O377:Z377"/>
    <mergeCell ref="B377:B378"/>
    <mergeCell ref="C377:C378"/>
    <mergeCell ref="D377:D378"/>
    <mergeCell ref="E377:E378"/>
    <mergeCell ref="F377:F378"/>
    <mergeCell ref="G377:G378"/>
    <mergeCell ref="B375:B376"/>
    <mergeCell ref="C375:C376"/>
    <mergeCell ref="D375:T376"/>
    <mergeCell ref="V375:Y375"/>
    <mergeCell ref="Z375:AA375"/>
    <mergeCell ref="V376:Y376"/>
    <mergeCell ref="Z376:AA376"/>
    <mergeCell ref="C372:AA372"/>
    <mergeCell ref="B373:B374"/>
    <mergeCell ref="C373:C374"/>
    <mergeCell ref="D373:R374"/>
    <mergeCell ref="V373:Y373"/>
    <mergeCell ref="Z373:AA373"/>
    <mergeCell ref="V374:Y374"/>
    <mergeCell ref="Z374:AA374"/>
    <mergeCell ref="J363:J370"/>
    <mergeCell ref="K363:K370"/>
    <mergeCell ref="L363:L370"/>
    <mergeCell ref="M363:N363"/>
    <mergeCell ref="M364:N364"/>
    <mergeCell ref="C371:AA371"/>
    <mergeCell ref="M355:N355"/>
    <mergeCell ref="M356:N356"/>
    <mergeCell ref="B363:B370"/>
    <mergeCell ref="C363:C370"/>
    <mergeCell ref="D363:D370"/>
    <mergeCell ref="E363:E370"/>
    <mergeCell ref="F363:F370"/>
    <mergeCell ref="G363:G370"/>
    <mergeCell ref="H363:H370"/>
    <mergeCell ref="I363:I370"/>
    <mergeCell ref="G355:G362"/>
    <mergeCell ref="H355:H362"/>
    <mergeCell ref="I355:I362"/>
    <mergeCell ref="J355:J362"/>
    <mergeCell ref="K355:K362"/>
    <mergeCell ref="L355:L362"/>
    <mergeCell ref="J345:J354"/>
    <mergeCell ref="K345:K354"/>
    <mergeCell ref="L345:L354"/>
    <mergeCell ref="M345:N345"/>
    <mergeCell ref="M346:N346"/>
    <mergeCell ref="B355:B362"/>
    <mergeCell ref="C355:C362"/>
    <mergeCell ref="D355:D362"/>
    <mergeCell ref="E355:E362"/>
    <mergeCell ref="F355:F362"/>
    <mergeCell ref="O343:Z343"/>
    <mergeCell ref="AA343:AA344"/>
    <mergeCell ref="B345:B354"/>
    <mergeCell ref="C345:C354"/>
    <mergeCell ref="D345:D354"/>
    <mergeCell ref="E345:E354"/>
    <mergeCell ref="F345:F354"/>
    <mergeCell ref="G345:G354"/>
    <mergeCell ref="H345:H354"/>
    <mergeCell ref="I345:I354"/>
    <mergeCell ref="H343:H344"/>
    <mergeCell ref="I343:I344"/>
    <mergeCell ref="J343:K343"/>
    <mergeCell ref="L343:L344"/>
    <mergeCell ref="M343:M344"/>
    <mergeCell ref="N343:N344"/>
    <mergeCell ref="B343:B344"/>
    <mergeCell ref="C343:C344"/>
    <mergeCell ref="D343:D344"/>
    <mergeCell ref="E343:E344"/>
    <mergeCell ref="F343:F344"/>
    <mergeCell ref="G343:G344"/>
    <mergeCell ref="B341:B342"/>
    <mergeCell ref="C341:C342"/>
    <mergeCell ref="D341:D342"/>
    <mergeCell ref="E341:L342"/>
    <mergeCell ref="V341:Y341"/>
    <mergeCell ref="Z341:AA341"/>
    <mergeCell ref="V342:Y342"/>
    <mergeCell ref="C336:Y336"/>
    <mergeCell ref="C337:AA337"/>
    <mergeCell ref="C338:AA338"/>
    <mergeCell ref="B339:B340"/>
    <mergeCell ref="C339:H340"/>
    <mergeCell ref="V339:Y339"/>
    <mergeCell ref="Z339:AA339"/>
    <mergeCell ref="V340:Y340"/>
    <mergeCell ref="Z340:AA340"/>
    <mergeCell ref="H325:H335"/>
    <mergeCell ref="I325:I335"/>
    <mergeCell ref="J325:J335"/>
    <mergeCell ref="K325:K335"/>
    <mergeCell ref="L325:L335"/>
    <mergeCell ref="M325:N325"/>
    <mergeCell ref="M326:N326"/>
    <mergeCell ref="L323:L324"/>
    <mergeCell ref="M323:N324"/>
    <mergeCell ref="O323:Z323"/>
    <mergeCell ref="AA323:AA324"/>
    <mergeCell ref="B325:B335"/>
    <mergeCell ref="C325:C335"/>
    <mergeCell ref="D325:D335"/>
    <mergeCell ref="E325:E335"/>
    <mergeCell ref="F325:F335"/>
    <mergeCell ref="G325:G335"/>
    <mergeCell ref="Z322:AA322"/>
    <mergeCell ref="B323:B324"/>
    <mergeCell ref="C323:C324"/>
    <mergeCell ref="D323:D324"/>
    <mergeCell ref="E323:E324"/>
    <mergeCell ref="F323:F324"/>
    <mergeCell ref="G323:G324"/>
    <mergeCell ref="H323:H324"/>
    <mergeCell ref="I323:I324"/>
    <mergeCell ref="J323:K323"/>
    <mergeCell ref="V318:Y318"/>
    <mergeCell ref="Z318:AA318"/>
    <mergeCell ref="V319:Y320"/>
    <mergeCell ref="Z319:AA320"/>
    <mergeCell ref="B321:B322"/>
    <mergeCell ref="C321:C322"/>
    <mergeCell ref="D321:E322"/>
    <mergeCell ref="V321:Y321"/>
    <mergeCell ref="Z321:AA321"/>
    <mergeCell ref="V322:Y322"/>
    <mergeCell ref="K148:K167"/>
    <mergeCell ref="L148:L167"/>
    <mergeCell ref="M148:N148"/>
    <mergeCell ref="M149:N149"/>
    <mergeCell ref="C315:L315"/>
    <mergeCell ref="B318:B320"/>
    <mergeCell ref="C318:C320"/>
    <mergeCell ref="D318:E320"/>
    <mergeCell ref="B280:B282"/>
    <mergeCell ref="C280:C282"/>
    <mergeCell ref="D280:D282"/>
    <mergeCell ref="E280:E282"/>
    <mergeCell ref="F280:F282"/>
    <mergeCell ref="G280:G282"/>
    <mergeCell ref="H280:H282"/>
    <mergeCell ref="I280:I282"/>
    <mergeCell ref="J280:J282"/>
    <mergeCell ref="H278:H279"/>
    <mergeCell ref="I278:I279"/>
    <mergeCell ref="J278:K278"/>
    <mergeCell ref="L278:L279"/>
    <mergeCell ref="M278:N279"/>
    <mergeCell ref="M281:N281"/>
    <mergeCell ref="C283:N283"/>
    <mergeCell ref="C284:Y284"/>
    <mergeCell ref="AA278:AA279"/>
    <mergeCell ref="AA146:AA147"/>
    <mergeCell ref="B148:B167"/>
    <mergeCell ref="C148:C167"/>
    <mergeCell ref="D148:D167"/>
    <mergeCell ref="E148:E167"/>
    <mergeCell ref="F148:F167"/>
    <mergeCell ref="G148:G167"/>
    <mergeCell ref="H148:H167"/>
    <mergeCell ref="I148:I167"/>
    <mergeCell ref="J148:J167"/>
    <mergeCell ref="H146:H147"/>
    <mergeCell ref="I146:I147"/>
    <mergeCell ref="J146:K146"/>
    <mergeCell ref="L146:L147"/>
    <mergeCell ref="M146:N147"/>
    <mergeCell ref="O146:Z146"/>
    <mergeCell ref="B146:B147"/>
    <mergeCell ref="C146:C147"/>
    <mergeCell ref="D146:D147"/>
    <mergeCell ref="E146:E147"/>
    <mergeCell ref="F146:F147"/>
    <mergeCell ref="G146:G147"/>
    <mergeCell ref="O278:Z278"/>
    <mergeCell ref="B278:B279"/>
    <mergeCell ref="C278:C279"/>
    <mergeCell ref="D278:D279"/>
    <mergeCell ref="E278:E279"/>
    <mergeCell ref="F278:F279"/>
    <mergeCell ref="Z287:AA287"/>
    <mergeCell ref="V288:Y288"/>
    <mergeCell ref="Z288:AA288"/>
    <mergeCell ref="B289:B290"/>
    <mergeCell ref="C289:C290"/>
    <mergeCell ref="D289:D290"/>
    <mergeCell ref="E289:L290"/>
    <mergeCell ref="V289:Y289"/>
    <mergeCell ref="Z289:AA289"/>
    <mergeCell ref="B144:B145"/>
    <mergeCell ref="C144:C145"/>
    <mergeCell ref="D144:D145"/>
    <mergeCell ref="E144:L145"/>
    <mergeCell ref="Z144:AA144"/>
    <mergeCell ref="V145:Y145"/>
    <mergeCell ref="C141:Y141"/>
    <mergeCell ref="B142:B143"/>
    <mergeCell ref="C142:H143"/>
    <mergeCell ref="V142:Y142"/>
    <mergeCell ref="Z142:AA142"/>
    <mergeCell ref="V143:Y143"/>
    <mergeCell ref="Z143:AA143"/>
    <mergeCell ref="V290:Y290"/>
    <mergeCell ref="C285:H285"/>
    <mergeCell ref="C286:Y286"/>
    <mergeCell ref="B287:B288"/>
    <mergeCell ref="C287:C288"/>
    <mergeCell ref="D287:D288"/>
    <mergeCell ref="V287:Y287"/>
    <mergeCell ref="K280:K282"/>
    <mergeCell ref="L280:L282"/>
    <mergeCell ref="M280:N280"/>
    <mergeCell ref="O291:Z291"/>
    <mergeCell ref="AA291:AA292"/>
    <mergeCell ref="B293:B312"/>
    <mergeCell ref="C293:C312"/>
    <mergeCell ref="D293:D312"/>
    <mergeCell ref="E293:E312"/>
    <mergeCell ref="F293:F312"/>
    <mergeCell ref="G293:G312"/>
    <mergeCell ref="H293:H312"/>
    <mergeCell ref="I293:I312"/>
    <mergeCell ref="H291:H292"/>
    <mergeCell ref="I291:I292"/>
    <mergeCell ref="J291:K291"/>
    <mergeCell ref="L291:L292"/>
    <mergeCell ref="M291:M292"/>
    <mergeCell ref="N291:N292"/>
    <mergeCell ref="B291:B292"/>
    <mergeCell ref="C291:C292"/>
    <mergeCell ref="D291:D292"/>
    <mergeCell ref="E291:E292"/>
    <mergeCell ref="F291:F292"/>
    <mergeCell ref="G291:G292"/>
    <mergeCell ref="J293:J312"/>
    <mergeCell ref="K293:K312"/>
    <mergeCell ref="L293:L312"/>
    <mergeCell ref="M293:N293"/>
    <mergeCell ref="M294:N294"/>
    <mergeCell ref="G278:G279"/>
    <mergeCell ref="B276:B277"/>
    <mergeCell ref="C276:C277"/>
    <mergeCell ref="D276:P277"/>
    <mergeCell ref="V276:Y276"/>
    <mergeCell ref="Z276:AA276"/>
    <mergeCell ref="V277:Y277"/>
    <mergeCell ref="Z277:AA277"/>
    <mergeCell ref="B274:B275"/>
    <mergeCell ref="C274:C275"/>
    <mergeCell ref="D274:P275"/>
    <mergeCell ref="V274:Y274"/>
    <mergeCell ref="Z274:AA274"/>
    <mergeCell ref="V275:Y275"/>
    <mergeCell ref="Z275:AA275"/>
    <mergeCell ref="H270:H272"/>
    <mergeCell ref="I270:I272"/>
    <mergeCell ref="J270:J272"/>
    <mergeCell ref="K270:K272"/>
    <mergeCell ref="L270:L272"/>
    <mergeCell ref="M271:N271"/>
    <mergeCell ref="B270:B272"/>
    <mergeCell ref="C270:C272"/>
    <mergeCell ref="D270:D272"/>
    <mergeCell ref="E270:E272"/>
    <mergeCell ref="F270:F272"/>
    <mergeCell ref="G270:G272"/>
    <mergeCell ref="H255:H269"/>
    <mergeCell ref="I255:I269"/>
    <mergeCell ref="J255:J269"/>
    <mergeCell ref="K255:K269"/>
    <mergeCell ref="L255:L269"/>
    <mergeCell ref="M255:N255"/>
    <mergeCell ref="M256:N256"/>
    <mergeCell ref="B255:B269"/>
    <mergeCell ref="C255:C269"/>
    <mergeCell ref="D255:D269"/>
    <mergeCell ref="E255:E269"/>
    <mergeCell ref="F255:F269"/>
    <mergeCell ref="G255:G269"/>
    <mergeCell ref="H249:H254"/>
    <mergeCell ref="I249:I254"/>
    <mergeCell ref="J249:J254"/>
    <mergeCell ref="K249:K254"/>
    <mergeCell ref="L249:L254"/>
    <mergeCell ref="M250:N250"/>
    <mergeCell ref="B249:B254"/>
    <mergeCell ref="C249:C254"/>
    <mergeCell ref="D249:D254"/>
    <mergeCell ref="E249:E254"/>
    <mergeCell ref="F249:F254"/>
    <mergeCell ref="G249:G254"/>
    <mergeCell ref="H243:H248"/>
    <mergeCell ref="I243:I248"/>
    <mergeCell ref="J243:J248"/>
    <mergeCell ref="K243:K248"/>
    <mergeCell ref="L243:L248"/>
    <mergeCell ref="M244:N244"/>
    <mergeCell ref="B243:B248"/>
    <mergeCell ref="C243:C248"/>
    <mergeCell ref="D243:D248"/>
    <mergeCell ref="E243:E248"/>
    <mergeCell ref="F243:F248"/>
    <mergeCell ref="G243:G248"/>
    <mergeCell ref="M211:N211"/>
    <mergeCell ref="M212:N212"/>
    <mergeCell ref="B240:B242"/>
    <mergeCell ref="C240:C242"/>
    <mergeCell ref="D240:D242"/>
    <mergeCell ref="E240:E242"/>
    <mergeCell ref="F240:F242"/>
    <mergeCell ref="G240:G242"/>
    <mergeCell ref="H240:H242"/>
    <mergeCell ref="I240:I242"/>
    <mergeCell ref="G211:G239"/>
    <mergeCell ref="H211:H239"/>
    <mergeCell ref="I211:I239"/>
    <mergeCell ref="J211:J239"/>
    <mergeCell ref="K211:K239"/>
    <mergeCell ref="L211:L239"/>
    <mergeCell ref="B211:B239"/>
    <mergeCell ref="C211:C239"/>
    <mergeCell ref="D211:D239"/>
    <mergeCell ref="E211:E239"/>
    <mergeCell ref="F211:F239"/>
    <mergeCell ref="G194:G210"/>
    <mergeCell ref="H194:H210"/>
    <mergeCell ref="I194:I210"/>
    <mergeCell ref="G187:G193"/>
    <mergeCell ref="H187:H193"/>
    <mergeCell ref="I187:I193"/>
    <mergeCell ref="J187:J193"/>
    <mergeCell ref="K187:K193"/>
    <mergeCell ref="L187:L193"/>
    <mergeCell ref="B187:B193"/>
    <mergeCell ref="C187:C193"/>
    <mergeCell ref="D187:D193"/>
    <mergeCell ref="E187:E193"/>
    <mergeCell ref="F187:F193"/>
    <mergeCell ref="K240:K242"/>
    <mergeCell ref="L240:L242"/>
    <mergeCell ref="F194:F210"/>
    <mergeCell ref="M241:N241"/>
    <mergeCell ref="L175:L176"/>
    <mergeCell ref="M175:N176"/>
    <mergeCell ref="O175:Z175"/>
    <mergeCell ref="AA175:AA176"/>
    <mergeCell ref="B177:B186"/>
    <mergeCell ref="C177:C186"/>
    <mergeCell ref="D177:D186"/>
    <mergeCell ref="E177:E186"/>
    <mergeCell ref="F177:F186"/>
    <mergeCell ref="G177:G186"/>
    <mergeCell ref="J194:J210"/>
    <mergeCell ref="K194:K210"/>
    <mergeCell ref="L194:L210"/>
    <mergeCell ref="M194:N194"/>
    <mergeCell ref="M195:N195"/>
    <mergeCell ref="Z174:AA174"/>
    <mergeCell ref="B175:B176"/>
    <mergeCell ref="C175:C176"/>
    <mergeCell ref="D175:D176"/>
    <mergeCell ref="E175:E176"/>
    <mergeCell ref="F175:F176"/>
    <mergeCell ref="G175:G176"/>
    <mergeCell ref="H175:H176"/>
    <mergeCell ref="I175:I176"/>
    <mergeCell ref="J175:K175"/>
    <mergeCell ref="M187:N187"/>
    <mergeCell ref="M188:N188"/>
    <mergeCell ref="B194:B210"/>
    <mergeCell ref="C194:C210"/>
    <mergeCell ref="D194:D210"/>
    <mergeCell ref="E194:E210"/>
    <mergeCell ref="V170:Y170"/>
    <mergeCell ref="Z170:AA170"/>
    <mergeCell ref="V171:Y172"/>
    <mergeCell ref="Z171:AA172"/>
    <mergeCell ref="B173:B174"/>
    <mergeCell ref="C173:C174"/>
    <mergeCell ref="D173:E174"/>
    <mergeCell ref="V173:Y173"/>
    <mergeCell ref="Z173:AA173"/>
    <mergeCell ref="V174:Y174"/>
    <mergeCell ref="B170:B172"/>
    <mergeCell ref="C170:C172"/>
    <mergeCell ref="D170:E172"/>
    <mergeCell ref="Q125:Q126"/>
    <mergeCell ref="R125:R126"/>
    <mergeCell ref="S125:S126"/>
    <mergeCell ref="T125:T126"/>
    <mergeCell ref="U125:U126"/>
    <mergeCell ref="V125:V126"/>
    <mergeCell ref="W125:W126"/>
    <mergeCell ref="X125:X126"/>
    <mergeCell ref="C140:H140"/>
    <mergeCell ref="AA133:AA134"/>
    <mergeCell ref="B135:B139"/>
    <mergeCell ref="C135:C139"/>
    <mergeCell ref="D135:D139"/>
    <mergeCell ref="E135:E139"/>
    <mergeCell ref="F135:F139"/>
    <mergeCell ref="G135:G139"/>
    <mergeCell ref="H135:H139"/>
    <mergeCell ref="I135:I139"/>
    <mergeCell ref="J135:J139"/>
    <mergeCell ref="H133:H134"/>
    <mergeCell ref="I133:I134"/>
    <mergeCell ref="J133:K133"/>
    <mergeCell ref="L133:L134"/>
    <mergeCell ref="M133:N134"/>
    <mergeCell ref="O133:Z133"/>
    <mergeCell ref="B133:B134"/>
    <mergeCell ref="C133:C134"/>
    <mergeCell ref="D133:D134"/>
    <mergeCell ref="E133:E134"/>
    <mergeCell ref="F133:F134"/>
    <mergeCell ref="G133:G134"/>
    <mergeCell ref="B131:B132"/>
    <mergeCell ref="C131:C132"/>
    <mergeCell ref="D131:P132"/>
    <mergeCell ref="V131:Y131"/>
    <mergeCell ref="Z131:AA131"/>
    <mergeCell ref="V132:Y132"/>
    <mergeCell ref="Z132:AA132"/>
    <mergeCell ref="AA117:AA118"/>
    <mergeCell ref="C127:H127"/>
    <mergeCell ref="B129:B130"/>
    <mergeCell ref="C129:C130"/>
    <mergeCell ref="D129:P130"/>
    <mergeCell ref="V129:Y129"/>
    <mergeCell ref="Z129:AA129"/>
    <mergeCell ref="V130:Y130"/>
    <mergeCell ref="Z130:AA130"/>
    <mergeCell ref="U117:U118"/>
    <mergeCell ref="V117:V118"/>
    <mergeCell ref="W117:W118"/>
    <mergeCell ref="X117:X118"/>
    <mergeCell ref="Y117:Y118"/>
    <mergeCell ref="Z117:Z118"/>
    <mergeCell ref="O121:Z121"/>
    <mergeCell ref="V119:Y119"/>
    <mergeCell ref="Z119:AA119"/>
    <mergeCell ref="V120:Y120"/>
    <mergeCell ref="Z120:AA120"/>
    <mergeCell ref="T117:T118"/>
    <mergeCell ref="K115:K118"/>
    <mergeCell ref="L115:L118"/>
    <mergeCell ref="M115:N115"/>
    <mergeCell ref="M116:N116"/>
    <mergeCell ref="M117:M118"/>
    <mergeCell ref="N117:N118"/>
    <mergeCell ref="Y125:Y126"/>
    <mergeCell ref="AA121:AA122"/>
    <mergeCell ref="G121:G122"/>
    <mergeCell ref="O117:O118"/>
    <mergeCell ref="P117:P118"/>
    <mergeCell ref="Q117:Q118"/>
    <mergeCell ref="R117:R118"/>
    <mergeCell ref="S117:S118"/>
    <mergeCell ref="C113:C114"/>
    <mergeCell ref="D113:D114"/>
    <mergeCell ref="E113:E114"/>
    <mergeCell ref="F113:F114"/>
    <mergeCell ref="G113:G114"/>
    <mergeCell ref="B115:B118"/>
    <mergeCell ref="C115:C118"/>
    <mergeCell ref="D115:D118"/>
    <mergeCell ref="E115:E118"/>
    <mergeCell ref="F115:F118"/>
    <mergeCell ref="G115:G118"/>
    <mergeCell ref="H115:H118"/>
    <mergeCell ref="I115:I118"/>
    <mergeCell ref="J115:J118"/>
    <mergeCell ref="H113:H114"/>
    <mergeCell ref="I113:I114"/>
    <mergeCell ref="J113:K113"/>
    <mergeCell ref="L113:L114"/>
    <mergeCell ref="M113:N114"/>
    <mergeCell ref="O113:Z113"/>
    <mergeCell ref="B113:B114"/>
    <mergeCell ref="C101:C102"/>
    <mergeCell ref="D101:D102"/>
    <mergeCell ref="E101:E102"/>
    <mergeCell ref="F101:F102"/>
    <mergeCell ref="G101:G102"/>
    <mergeCell ref="B111:B112"/>
    <mergeCell ref="C111:C112"/>
    <mergeCell ref="D111:P112"/>
    <mergeCell ref="V111:Y111"/>
    <mergeCell ref="Z111:AA111"/>
    <mergeCell ref="V112:Y112"/>
    <mergeCell ref="Z112:AA112"/>
    <mergeCell ref="AA105:AA106"/>
    <mergeCell ref="A108:A118"/>
    <mergeCell ref="C108:AA108"/>
    <mergeCell ref="B109:B110"/>
    <mergeCell ref="C109:C110"/>
    <mergeCell ref="D109:P110"/>
    <mergeCell ref="V109:Y109"/>
    <mergeCell ref="Z109:AA109"/>
    <mergeCell ref="V110:Y110"/>
    <mergeCell ref="Z110:AA110"/>
    <mergeCell ref="U105:U106"/>
    <mergeCell ref="V105:V106"/>
    <mergeCell ref="W105:W106"/>
    <mergeCell ref="X105:X106"/>
    <mergeCell ref="Y105:Y106"/>
    <mergeCell ref="Z105:Z106"/>
    <mergeCell ref="O105:O106"/>
    <mergeCell ref="AA113:AA114"/>
    <mergeCell ref="M105:M106"/>
    <mergeCell ref="N105:N106"/>
    <mergeCell ref="C99:C100"/>
    <mergeCell ref="D99:E100"/>
    <mergeCell ref="V99:Y99"/>
    <mergeCell ref="Z99:AA99"/>
    <mergeCell ref="V100:Y100"/>
    <mergeCell ref="Z100:AA100"/>
    <mergeCell ref="A95:A107"/>
    <mergeCell ref="B96:B98"/>
    <mergeCell ref="C96:C98"/>
    <mergeCell ref="D96:E98"/>
    <mergeCell ref="V96:Y96"/>
    <mergeCell ref="Z96:AA96"/>
    <mergeCell ref="V97:Y98"/>
    <mergeCell ref="Z97:AA98"/>
    <mergeCell ref="M104:N104"/>
    <mergeCell ref="AA101:AA102"/>
    <mergeCell ref="B103:B107"/>
    <mergeCell ref="C103:C107"/>
    <mergeCell ref="D103:D107"/>
    <mergeCell ref="E103:E107"/>
    <mergeCell ref="F103:F107"/>
    <mergeCell ref="G103:G107"/>
    <mergeCell ref="H103:H107"/>
    <mergeCell ref="I103:I107"/>
    <mergeCell ref="J103:J107"/>
    <mergeCell ref="H101:H102"/>
    <mergeCell ref="I101:I102"/>
    <mergeCell ref="J101:K101"/>
    <mergeCell ref="L101:L102"/>
    <mergeCell ref="M101:N102"/>
    <mergeCell ref="O101:Z101"/>
    <mergeCell ref="B101:B102"/>
    <mergeCell ref="M49:N49"/>
    <mergeCell ref="M75:N75"/>
    <mergeCell ref="P105:P106"/>
    <mergeCell ref="Q105:Q106"/>
    <mergeCell ref="R105:R106"/>
    <mergeCell ref="S105:S106"/>
    <mergeCell ref="T105:T106"/>
    <mergeCell ref="K103:K107"/>
    <mergeCell ref="L103:L107"/>
    <mergeCell ref="M103:N103"/>
    <mergeCell ref="AA44:AA45"/>
    <mergeCell ref="B46:B93"/>
    <mergeCell ref="C46:C93"/>
    <mergeCell ref="D46:D93"/>
    <mergeCell ref="E46:E93"/>
    <mergeCell ref="F46:F93"/>
    <mergeCell ref="G46:G93"/>
    <mergeCell ref="H46:H93"/>
    <mergeCell ref="I46:I93"/>
    <mergeCell ref="J46:J93"/>
    <mergeCell ref="H44:H45"/>
    <mergeCell ref="I44:I45"/>
    <mergeCell ref="J44:K44"/>
    <mergeCell ref="L44:L45"/>
    <mergeCell ref="M44:N45"/>
    <mergeCell ref="O44:Z44"/>
    <mergeCell ref="B44:B45"/>
    <mergeCell ref="C44:C45"/>
    <mergeCell ref="D44:D45"/>
    <mergeCell ref="E44:E45"/>
    <mergeCell ref="F44:F45"/>
    <mergeCell ref="B99:B100"/>
    <mergeCell ref="V42:Y42"/>
    <mergeCell ref="Z42:AA42"/>
    <mergeCell ref="V43:Y43"/>
    <mergeCell ref="Z43:AA43"/>
    <mergeCell ref="A38:A93"/>
    <mergeCell ref="C38:AA38"/>
    <mergeCell ref="B39:B41"/>
    <mergeCell ref="C39:C41"/>
    <mergeCell ref="D39:U41"/>
    <mergeCell ref="V39:Y39"/>
    <mergeCell ref="Z39:AA39"/>
    <mergeCell ref="V40:Y41"/>
    <mergeCell ref="Z40:AA41"/>
    <mergeCell ref="B42:B43"/>
    <mergeCell ref="J34:J37"/>
    <mergeCell ref="K34:K37"/>
    <mergeCell ref="L34:L37"/>
    <mergeCell ref="M34:N34"/>
    <mergeCell ref="M35:N35"/>
    <mergeCell ref="M36:N36"/>
    <mergeCell ref="M37:N37"/>
    <mergeCell ref="A28:A37"/>
    <mergeCell ref="B28:B29"/>
    <mergeCell ref="C28:C29"/>
    <mergeCell ref="V28:Y28"/>
    <mergeCell ref="Z28:AA28"/>
    <mergeCell ref="V29:Y29"/>
    <mergeCell ref="Z29:AA29"/>
    <mergeCell ref="K46:K93"/>
    <mergeCell ref="L46:L93"/>
    <mergeCell ref="M46:N46"/>
    <mergeCell ref="M48:N48"/>
    <mergeCell ref="M47:N47"/>
    <mergeCell ref="B34:B37"/>
    <mergeCell ref="C34:C37"/>
    <mergeCell ref="D34:D37"/>
    <mergeCell ref="E34:E37"/>
    <mergeCell ref="F34:F37"/>
    <mergeCell ref="G34:G37"/>
    <mergeCell ref="H34:H37"/>
    <mergeCell ref="I34:I37"/>
    <mergeCell ref="G32:G33"/>
    <mergeCell ref="H32:H33"/>
    <mergeCell ref="I32:I33"/>
    <mergeCell ref="J32:K32"/>
    <mergeCell ref="L32:L33"/>
    <mergeCell ref="M32:N33"/>
    <mergeCell ref="V30:Y30"/>
    <mergeCell ref="Z30:AA30"/>
    <mergeCell ref="V31:Y31"/>
    <mergeCell ref="Z31:AA31"/>
    <mergeCell ref="B32:B33"/>
    <mergeCell ref="C32:C33"/>
    <mergeCell ref="D32:D33"/>
    <mergeCell ref="E32:E33"/>
    <mergeCell ref="F32:F33"/>
    <mergeCell ref="B30:B31"/>
    <mergeCell ref="C30:C31"/>
    <mergeCell ref="D30:E31"/>
    <mergeCell ref="C42:C43"/>
    <mergeCell ref="D42:U43"/>
    <mergeCell ref="O32:Z32"/>
    <mergeCell ref="AA32:AA33"/>
    <mergeCell ref="G44:G45"/>
    <mergeCell ref="D20:U21"/>
    <mergeCell ref="V20:Y20"/>
    <mergeCell ref="Z20:AA20"/>
    <mergeCell ref="V21:Y21"/>
    <mergeCell ref="J24:J27"/>
    <mergeCell ref="K24:K27"/>
    <mergeCell ref="L24:L27"/>
    <mergeCell ref="M24:N24"/>
    <mergeCell ref="M25:N25"/>
    <mergeCell ref="M26:N26"/>
    <mergeCell ref="M27:N27"/>
    <mergeCell ref="O22:Z22"/>
    <mergeCell ref="AA22:AA23"/>
    <mergeCell ref="B24:B27"/>
    <mergeCell ref="C24:C27"/>
    <mergeCell ref="D24:D27"/>
    <mergeCell ref="E24:E27"/>
    <mergeCell ref="F24:F27"/>
    <mergeCell ref="G24:G27"/>
    <mergeCell ref="H24:H27"/>
    <mergeCell ref="C7:AA7"/>
    <mergeCell ref="B8:B9"/>
    <mergeCell ref="C8:C9"/>
    <mergeCell ref="D8:U9"/>
    <mergeCell ref="V8:Y8"/>
    <mergeCell ref="Z8:AA8"/>
    <mergeCell ref="V9:Y9"/>
    <mergeCell ref="Z9:AA9"/>
    <mergeCell ref="B10:B11"/>
    <mergeCell ref="A1:AA1"/>
    <mergeCell ref="A2:A6"/>
    <mergeCell ref="C2:AA2"/>
    <mergeCell ref="C3:AA3"/>
    <mergeCell ref="C4:AA4"/>
    <mergeCell ref="C5:AA5"/>
    <mergeCell ref="K14:K17"/>
    <mergeCell ref="L14:L17"/>
    <mergeCell ref="M14:N14"/>
    <mergeCell ref="M15:N15"/>
    <mergeCell ref="B12:B13"/>
    <mergeCell ref="C12:C13"/>
    <mergeCell ref="D12:D13"/>
    <mergeCell ref="E12:E13"/>
    <mergeCell ref="F12:F13"/>
    <mergeCell ref="G12:G13"/>
    <mergeCell ref="A7:A11"/>
    <mergeCell ref="A18:A27"/>
    <mergeCell ref="B18:B19"/>
    <mergeCell ref="C18:C19"/>
    <mergeCell ref="D18:U19"/>
    <mergeCell ref="L22:L23"/>
    <mergeCell ref="M22:N23"/>
    <mergeCell ref="AA12:AA13"/>
    <mergeCell ref="B14:B17"/>
    <mergeCell ref="C14:C17"/>
    <mergeCell ref="D14:D17"/>
    <mergeCell ref="C10:C11"/>
    <mergeCell ref="D10:U11"/>
    <mergeCell ref="V10:Y10"/>
    <mergeCell ref="Z10:AA10"/>
    <mergeCell ref="V11:Y11"/>
    <mergeCell ref="Z11:AA11"/>
    <mergeCell ref="E22:E23"/>
    <mergeCell ref="F22:F23"/>
    <mergeCell ref="G22:G23"/>
    <mergeCell ref="H22:H23"/>
    <mergeCell ref="I22:I23"/>
    <mergeCell ref="J22:K22"/>
    <mergeCell ref="V18:Y18"/>
    <mergeCell ref="Z18:AA18"/>
    <mergeCell ref="V19:Y19"/>
    <mergeCell ref="Z19:AA19"/>
    <mergeCell ref="Z21:AA21"/>
    <mergeCell ref="B22:B23"/>
    <mergeCell ref="C22:C23"/>
    <mergeCell ref="D22:D23"/>
    <mergeCell ref="B20:B21"/>
    <mergeCell ref="C20:C21"/>
    <mergeCell ref="D28:G29"/>
    <mergeCell ref="E14:E17"/>
    <mergeCell ref="F14:F17"/>
    <mergeCell ref="G14:G17"/>
    <mergeCell ref="H14:H17"/>
    <mergeCell ref="I14:I17"/>
    <mergeCell ref="J14:J17"/>
    <mergeCell ref="H12:H13"/>
    <mergeCell ref="I12:I13"/>
    <mergeCell ref="J12:K12"/>
    <mergeCell ref="L12:L13"/>
    <mergeCell ref="M12:N13"/>
    <mergeCell ref="O12:Z12"/>
    <mergeCell ref="I24:I27"/>
    <mergeCell ref="B734:B738"/>
    <mergeCell ref="C734:C738"/>
    <mergeCell ref="D734:D738"/>
    <mergeCell ref="E734:E738"/>
    <mergeCell ref="F734:F738"/>
    <mergeCell ref="G734:G738"/>
    <mergeCell ref="H734:H738"/>
    <mergeCell ref="I734:I738"/>
    <mergeCell ref="J734:J738"/>
    <mergeCell ref="K734:K738"/>
    <mergeCell ref="F707:F717"/>
    <mergeCell ref="G707:G717"/>
    <mergeCell ref="H707:H717"/>
    <mergeCell ref="I707:I717"/>
    <mergeCell ref="J707:J717"/>
    <mergeCell ref="C699:H699"/>
    <mergeCell ref="C700:Y700"/>
    <mergeCell ref="E701:E702"/>
    <mergeCell ref="V701:Y701"/>
    <mergeCell ref="V702:Y702"/>
    <mergeCell ref="E703:E704"/>
    <mergeCell ref="V704:Y704"/>
    <mergeCell ref="I705:I706"/>
    <mergeCell ref="J705:K705"/>
    <mergeCell ref="N705:N706"/>
    <mergeCell ref="O705:Z705"/>
    <mergeCell ref="L732:L733"/>
    <mergeCell ref="M732:N732"/>
    <mergeCell ref="M733:N733"/>
    <mergeCell ref="Z701:AA701"/>
    <mergeCell ref="W703:Y703"/>
    <mergeCell ref="Z703:AA703"/>
    <mergeCell ref="J730:J731"/>
    <mergeCell ref="K730:K731"/>
    <mergeCell ref="B732:B733"/>
    <mergeCell ref="C732:C733"/>
    <mergeCell ref="D732:D733"/>
    <mergeCell ref="E732:E733"/>
    <mergeCell ref="F732:F733"/>
    <mergeCell ref="G732:G733"/>
    <mergeCell ref="H723:H729"/>
    <mergeCell ref="D730:D731"/>
    <mergeCell ref="B723:B729"/>
    <mergeCell ref="C723:C729"/>
    <mergeCell ref="E723:E728"/>
    <mergeCell ref="F723:F728"/>
    <mergeCell ref="G723:G728"/>
    <mergeCell ref="K723:K729"/>
    <mergeCell ref="B730:B731"/>
    <mergeCell ref="C730:C731"/>
    <mergeCell ref="H732:H733"/>
    <mergeCell ref="E730:E731"/>
    <mergeCell ref="B767:B770"/>
    <mergeCell ref="C767:C770"/>
    <mergeCell ref="D767:D770"/>
    <mergeCell ref="E767:E770"/>
    <mergeCell ref="F767:F770"/>
    <mergeCell ref="G767:G770"/>
    <mergeCell ref="I767:I770"/>
    <mergeCell ref="B771:B772"/>
    <mergeCell ref="C771:C772"/>
    <mergeCell ref="B739:B742"/>
    <mergeCell ref="C739:C742"/>
    <mergeCell ref="D739:D742"/>
    <mergeCell ref="E739:E742"/>
    <mergeCell ref="F739:F742"/>
    <mergeCell ref="G739:G742"/>
    <mergeCell ref="H739:H742"/>
    <mergeCell ref="I739:I742"/>
    <mergeCell ref="B743:B752"/>
    <mergeCell ref="B753:B761"/>
    <mergeCell ref="C753:C761"/>
    <mergeCell ref="D753:D761"/>
    <mergeCell ref="E753:E761"/>
    <mergeCell ref="F753:F761"/>
    <mergeCell ref="G753:G761"/>
    <mergeCell ref="H753:H761"/>
    <mergeCell ref="I753:I761"/>
    <mergeCell ref="D771:D772"/>
    <mergeCell ref="E771:E772"/>
    <mergeCell ref="F771:F772"/>
    <mergeCell ref="G771:G772"/>
    <mergeCell ref="B762:B766"/>
    <mergeCell ref="C762:C766"/>
    <mergeCell ref="D762:D766"/>
    <mergeCell ref="E762:E766"/>
    <mergeCell ref="F762:F766"/>
    <mergeCell ref="H762:H764"/>
    <mergeCell ref="I762:I764"/>
    <mergeCell ref="K762:K766"/>
    <mergeCell ref="H765:H766"/>
    <mergeCell ref="I765:I766"/>
    <mergeCell ref="C743:C752"/>
    <mergeCell ref="D743:D752"/>
    <mergeCell ref="E743:E752"/>
    <mergeCell ref="F743:F752"/>
    <mergeCell ref="H743:H747"/>
    <mergeCell ref="J743:J752"/>
    <mergeCell ref="K743:K752"/>
    <mergeCell ref="H748:H752"/>
    <mergeCell ref="I743:I747"/>
    <mergeCell ref="G743:G752"/>
    <mergeCell ref="J753:J761"/>
    <mergeCell ref="K753:K761"/>
    <mergeCell ref="B775:B777"/>
    <mergeCell ref="C775:C777"/>
    <mergeCell ref="D775:D777"/>
    <mergeCell ref="E775:E777"/>
    <mergeCell ref="F775:F777"/>
    <mergeCell ref="G775:G777"/>
    <mergeCell ref="H775:H777"/>
    <mergeCell ref="I775:I777"/>
    <mergeCell ref="J775:J777"/>
    <mergeCell ref="K775:K777"/>
    <mergeCell ref="L773:L774"/>
    <mergeCell ref="M773:N773"/>
    <mergeCell ref="M774:N774"/>
    <mergeCell ref="L775:L777"/>
    <mergeCell ref="M775:N775"/>
    <mergeCell ref="M776:N776"/>
    <mergeCell ref="B773:B774"/>
    <mergeCell ref="C773:C774"/>
    <mergeCell ref="D773:D774"/>
    <mergeCell ref="L753:L761"/>
    <mergeCell ref="M753:N753"/>
    <mergeCell ref="M754:N754"/>
    <mergeCell ref="G762:G766"/>
    <mergeCell ref="J762:J764"/>
    <mergeCell ref="L762:L766"/>
    <mergeCell ref="M762:N762"/>
    <mergeCell ref="M763:N763"/>
    <mergeCell ref="J765:J766"/>
    <mergeCell ref="L767:L770"/>
    <mergeCell ref="M767:N767"/>
    <mergeCell ref="M768:N768"/>
    <mergeCell ref="H767:H770"/>
    <mergeCell ref="E773:E774"/>
    <mergeCell ref="F773:F774"/>
    <mergeCell ref="G773:G774"/>
    <mergeCell ref="H773:H774"/>
    <mergeCell ref="I773:I774"/>
    <mergeCell ref="J773:J774"/>
    <mergeCell ref="K773:K774"/>
    <mergeCell ref="H771:H772"/>
    <mergeCell ref="I771:I772"/>
    <mergeCell ref="J771:J772"/>
    <mergeCell ref="K771:K772"/>
    <mergeCell ref="L771:L772"/>
    <mergeCell ref="M771:N771"/>
    <mergeCell ref="M772:N772"/>
    <mergeCell ref="J767:J770"/>
    <mergeCell ref="K767:K770"/>
    <mergeCell ref="L743:L752"/>
    <mergeCell ref="M743:N743"/>
    <mergeCell ref="M744:N744"/>
    <mergeCell ref="I748:I752"/>
    <mergeCell ref="L739:L742"/>
    <mergeCell ref="M739:N739"/>
    <mergeCell ref="M740:N740"/>
    <mergeCell ref="L730:L731"/>
    <mergeCell ref="I723:I729"/>
    <mergeCell ref="L734:L738"/>
    <mergeCell ref="M734:N734"/>
    <mergeCell ref="M735:N735"/>
    <mergeCell ref="I732:I733"/>
    <mergeCell ref="J732:J733"/>
    <mergeCell ref="K732:K733"/>
    <mergeCell ref="H121:H122"/>
    <mergeCell ref="I121:I122"/>
    <mergeCell ref="J121:K121"/>
    <mergeCell ref="L121:L122"/>
    <mergeCell ref="M121:N122"/>
    <mergeCell ref="J739:J742"/>
    <mergeCell ref="K739:K742"/>
    <mergeCell ref="K135:K139"/>
    <mergeCell ref="L135:L139"/>
    <mergeCell ref="M135:N135"/>
    <mergeCell ref="M136:N136"/>
    <mergeCell ref="H177:H186"/>
    <mergeCell ref="I177:I186"/>
    <mergeCell ref="J177:J186"/>
    <mergeCell ref="K177:K186"/>
    <mergeCell ref="L177:L186"/>
    <mergeCell ref="J240:J242"/>
    <mergeCell ref="M730:N730"/>
    <mergeCell ref="D723:D729"/>
    <mergeCell ref="J723:J728"/>
    <mergeCell ref="L723:L729"/>
    <mergeCell ref="M723:N723"/>
    <mergeCell ref="M724:N724"/>
    <mergeCell ref="B701:B702"/>
    <mergeCell ref="C701:C702"/>
    <mergeCell ref="D701:D702"/>
    <mergeCell ref="B703:B704"/>
    <mergeCell ref="C703:C704"/>
    <mergeCell ref="D703:D704"/>
    <mergeCell ref="B705:B706"/>
    <mergeCell ref="C705:C706"/>
    <mergeCell ref="D705:D706"/>
    <mergeCell ref="AA705:AA706"/>
    <mergeCell ref="K707:K717"/>
    <mergeCell ref="M707:N707"/>
    <mergeCell ref="M708:N708"/>
    <mergeCell ref="L718:L722"/>
    <mergeCell ref="M718:N718"/>
    <mergeCell ref="M719:N719"/>
    <mergeCell ref="E718:E722"/>
    <mergeCell ref="F718:F722"/>
    <mergeCell ref="G718:G722"/>
    <mergeCell ref="H718:H722"/>
    <mergeCell ref="I718:I722"/>
    <mergeCell ref="J718:J722"/>
    <mergeCell ref="F730:F731"/>
    <mergeCell ref="G730:G731"/>
    <mergeCell ref="H730:H731"/>
    <mergeCell ref="I730:I731"/>
    <mergeCell ref="M731:N731"/>
    <mergeCell ref="K718:K722"/>
    <mergeCell ref="Z125:Z126"/>
    <mergeCell ref="AA125:AA126"/>
    <mergeCell ref="P125:P126"/>
    <mergeCell ref="B718:B722"/>
    <mergeCell ref="C718:C722"/>
    <mergeCell ref="D718:D722"/>
    <mergeCell ref="D119:E120"/>
    <mergeCell ref="B123:B126"/>
    <mergeCell ref="C123:C126"/>
    <mergeCell ref="D123:D126"/>
    <mergeCell ref="E123:E126"/>
    <mergeCell ref="F123:F126"/>
    <mergeCell ref="G123:G126"/>
    <mergeCell ref="H123:H126"/>
    <mergeCell ref="I123:I126"/>
    <mergeCell ref="J123:J126"/>
    <mergeCell ref="K123:K126"/>
    <mergeCell ref="L123:L126"/>
    <mergeCell ref="M123:N123"/>
    <mergeCell ref="M124:N124"/>
    <mergeCell ref="M125:M126"/>
    <mergeCell ref="N125:N126"/>
    <mergeCell ref="O125:O126"/>
    <mergeCell ref="B119:B120"/>
    <mergeCell ref="C119:C120"/>
    <mergeCell ref="B121:B122"/>
    <mergeCell ref="C121:C122"/>
    <mergeCell ref="D121:D122"/>
    <mergeCell ref="E121:E122"/>
    <mergeCell ref="F121:F122"/>
    <mergeCell ref="AA784:AA785"/>
    <mergeCell ref="C778:H778"/>
    <mergeCell ref="C779:Y779"/>
    <mergeCell ref="B780:B781"/>
    <mergeCell ref="C780:C781"/>
    <mergeCell ref="D780:D781"/>
    <mergeCell ref="V780:Y780"/>
    <mergeCell ref="V781:Y781"/>
    <mergeCell ref="B782:B783"/>
    <mergeCell ref="C782:C783"/>
    <mergeCell ref="D782:D783"/>
    <mergeCell ref="E782:L783"/>
    <mergeCell ref="V783:Y783"/>
    <mergeCell ref="B784:B785"/>
    <mergeCell ref="C784:C785"/>
    <mergeCell ref="D784:D785"/>
    <mergeCell ref="E784:E785"/>
    <mergeCell ref="F784:F785"/>
    <mergeCell ref="G784:G785"/>
    <mergeCell ref="H784:H785"/>
    <mergeCell ref="I784:I785"/>
    <mergeCell ref="J784:K784"/>
    <mergeCell ref="L784:L785"/>
    <mergeCell ref="O784:Z784"/>
    <mergeCell ref="M784:N785"/>
    <mergeCell ref="Z780:AA780"/>
    <mergeCell ref="Z781:AA781"/>
    <mergeCell ref="Z782:AA782"/>
    <mergeCell ref="V782:Y782"/>
    <mergeCell ref="Z783:AA783"/>
    <mergeCell ref="B808:B810"/>
    <mergeCell ref="C808:C810"/>
    <mergeCell ref="D808:E810"/>
    <mergeCell ref="V808:Y808"/>
    <mergeCell ref="Z808:AA808"/>
    <mergeCell ref="V809:Y810"/>
    <mergeCell ref="Z809:AA810"/>
    <mergeCell ref="B811:B812"/>
    <mergeCell ref="C811:C812"/>
    <mergeCell ref="D811:E812"/>
    <mergeCell ref="V811:Y811"/>
    <mergeCell ref="Z811:AA811"/>
    <mergeCell ref="V812:Y812"/>
    <mergeCell ref="Z812:AA812"/>
    <mergeCell ref="B813:B814"/>
    <mergeCell ref="C813:C814"/>
    <mergeCell ref="D813:D814"/>
    <mergeCell ref="E813:E814"/>
    <mergeCell ref="F813:F814"/>
    <mergeCell ref="G813:G814"/>
    <mergeCell ref="H813:H814"/>
    <mergeCell ref="I813:I814"/>
    <mergeCell ref="J813:K813"/>
    <mergeCell ref="L813:L814"/>
    <mergeCell ref="M813:N814"/>
    <mergeCell ref="O813:Z813"/>
    <mergeCell ref="AA813:AA814"/>
    <mergeCell ref="B815:B827"/>
    <mergeCell ref="C815:C827"/>
    <mergeCell ref="D815:D827"/>
    <mergeCell ref="E815:E827"/>
    <mergeCell ref="F815:F827"/>
    <mergeCell ref="G815:G827"/>
    <mergeCell ref="H815:H827"/>
    <mergeCell ref="I815:I827"/>
    <mergeCell ref="J815:J827"/>
    <mergeCell ref="K815:K827"/>
    <mergeCell ref="L815:L827"/>
    <mergeCell ref="M815:N815"/>
    <mergeCell ref="M816:N816"/>
    <mergeCell ref="O816:Z816"/>
    <mergeCell ref="M827:Z827"/>
    <mergeCell ref="B828:B831"/>
    <mergeCell ref="C828:C831"/>
    <mergeCell ref="D828:D831"/>
    <mergeCell ref="E828:E831"/>
    <mergeCell ref="F828:F831"/>
    <mergeCell ref="G828:G831"/>
    <mergeCell ref="H828:H831"/>
    <mergeCell ref="I828:I831"/>
    <mergeCell ref="J828:J831"/>
    <mergeCell ref="K828:K831"/>
    <mergeCell ref="L828:L831"/>
    <mergeCell ref="B832:B837"/>
    <mergeCell ref="C832:C837"/>
    <mergeCell ref="D832:D837"/>
    <mergeCell ref="E832:E837"/>
    <mergeCell ref="F832:F837"/>
    <mergeCell ref="G832:G837"/>
    <mergeCell ref="H832:H837"/>
    <mergeCell ref="I832:I837"/>
    <mergeCell ref="J832:J837"/>
    <mergeCell ref="K832:K837"/>
    <mergeCell ref="L832:L837"/>
    <mergeCell ref="B838:B841"/>
    <mergeCell ref="C838:C841"/>
    <mergeCell ref="D838:D841"/>
    <mergeCell ref="E838:E841"/>
    <mergeCell ref="F838:F841"/>
    <mergeCell ref="G838:G841"/>
    <mergeCell ref="H838:H841"/>
    <mergeCell ref="I838:I841"/>
    <mergeCell ref="J838:J841"/>
    <mergeCell ref="K838:K841"/>
    <mergeCell ref="L838:L841"/>
    <mergeCell ref="B842:B845"/>
    <mergeCell ref="C842:C845"/>
    <mergeCell ref="D842:D845"/>
    <mergeCell ref="E842:E845"/>
    <mergeCell ref="F842:F845"/>
    <mergeCell ref="G842:G845"/>
    <mergeCell ref="H842:H845"/>
    <mergeCell ref="I842:I845"/>
    <mergeCell ref="J842:J845"/>
    <mergeCell ref="K842:K845"/>
    <mergeCell ref="L842:L845"/>
    <mergeCell ref="B846:B848"/>
    <mergeCell ref="C846:C848"/>
    <mergeCell ref="D846:D848"/>
    <mergeCell ref="E846:E848"/>
    <mergeCell ref="F846:F848"/>
    <mergeCell ref="G846:G848"/>
    <mergeCell ref="H846:H848"/>
    <mergeCell ref="I846:I848"/>
    <mergeCell ref="J846:J848"/>
    <mergeCell ref="K846:K848"/>
    <mergeCell ref="L846:L848"/>
    <mergeCell ref="B849:B851"/>
    <mergeCell ref="C849:C851"/>
    <mergeCell ref="D849:D851"/>
    <mergeCell ref="E849:E851"/>
    <mergeCell ref="F849:F851"/>
    <mergeCell ref="G849:G851"/>
    <mergeCell ref="H849:H851"/>
    <mergeCell ref="I849:I851"/>
    <mergeCell ref="J849:J851"/>
    <mergeCell ref="K849:K851"/>
    <mergeCell ref="L849:L851"/>
    <mergeCell ref="B852:B854"/>
    <mergeCell ref="C852:C854"/>
    <mergeCell ref="D852:D854"/>
    <mergeCell ref="E852:E854"/>
    <mergeCell ref="F852:F854"/>
    <mergeCell ref="G852:G854"/>
    <mergeCell ref="H852:H854"/>
    <mergeCell ref="I852:I854"/>
    <mergeCell ref="J852:J854"/>
    <mergeCell ref="K852:K854"/>
    <mergeCell ref="L852:L854"/>
    <mergeCell ref="B855:B857"/>
    <mergeCell ref="C855:C857"/>
    <mergeCell ref="D855:D857"/>
    <mergeCell ref="E855:E857"/>
    <mergeCell ref="F855:F857"/>
    <mergeCell ref="G855:G857"/>
    <mergeCell ref="H855:H857"/>
    <mergeCell ref="I855:I857"/>
    <mergeCell ref="J855:J857"/>
    <mergeCell ref="K855:K857"/>
    <mergeCell ref="L855:L857"/>
    <mergeCell ref="B858:B860"/>
    <mergeCell ref="C858:C860"/>
    <mergeCell ref="D858:D860"/>
    <mergeCell ref="E858:E860"/>
    <mergeCell ref="F858:F860"/>
    <mergeCell ref="G858:G860"/>
    <mergeCell ref="H858:H860"/>
    <mergeCell ref="I858:I860"/>
    <mergeCell ref="J858:J860"/>
    <mergeCell ref="K858:K860"/>
    <mergeCell ref="L858:L860"/>
    <mergeCell ref="B861:B866"/>
    <mergeCell ref="C861:C866"/>
    <mergeCell ref="D861:D866"/>
    <mergeCell ref="E861:E866"/>
    <mergeCell ref="F861:F866"/>
    <mergeCell ref="G861:G866"/>
    <mergeCell ref="H861:H866"/>
    <mergeCell ref="I861:I866"/>
    <mergeCell ref="J861:J866"/>
    <mergeCell ref="K861:K866"/>
    <mergeCell ref="L861:L866"/>
    <mergeCell ref="B867:B871"/>
    <mergeCell ref="C867:C871"/>
    <mergeCell ref="D867:D871"/>
    <mergeCell ref="E867:E871"/>
    <mergeCell ref="F867:F871"/>
    <mergeCell ref="G867:G871"/>
    <mergeCell ref="H867:H871"/>
    <mergeCell ref="I867:I871"/>
    <mergeCell ref="J867:J871"/>
    <mergeCell ref="K867:K871"/>
    <mergeCell ref="L867:L871"/>
    <mergeCell ref="B886:B888"/>
    <mergeCell ref="C886:C888"/>
    <mergeCell ref="B872:B875"/>
    <mergeCell ref="C872:C875"/>
    <mergeCell ref="D872:D875"/>
    <mergeCell ref="E872:E875"/>
    <mergeCell ref="F872:F875"/>
    <mergeCell ref="G872:G875"/>
    <mergeCell ref="H872:H875"/>
    <mergeCell ref="I872:I875"/>
    <mergeCell ref="J872:J875"/>
    <mergeCell ref="K872:K875"/>
    <mergeCell ref="L872:L875"/>
    <mergeCell ref="B876:B878"/>
    <mergeCell ref="C876:C878"/>
    <mergeCell ref="D876:D878"/>
    <mergeCell ref="E876:E878"/>
    <mergeCell ref="F876:F878"/>
    <mergeCell ref="G876:G878"/>
    <mergeCell ref="H876:H878"/>
    <mergeCell ref="I876:I878"/>
    <mergeCell ref="J876:J878"/>
    <mergeCell ref="K876:K878"/>
    <mergeCell ref="L876:L878"/>
    <mergeCell ref="B879:B882"/>
    <mergeCell ref="C879:C882"/>
    <mergeCell ref="D879:D882"/>
    <mergeCell ref="E879:E882"/>
    <mergeCell ref="F879:F882"/>
    <mergeCell ref="G879:G882"/>
    <mergeCell ref="H879:H882"/>
    <mergeCell ref="I879:I882"/>
    <mergeCell ref="J879:J882"/>
    <mergeCell ref="K879:K882"/>
    <mergeCell ref="L879:L882"/>
    <mergeCell ref="B883:B885"/>
    <mergeCell ref="C883:C885"/>
    <mergeCell ref="D883:D885"/>
    <mergeCell ref="E883:E885"/>
    <mergeCell ref="F883:F885"/>
    <mergeCell ref="G883:G885"/>
    <mergeCell ref="H883:H885"/>
    <mergeCell ref="I883:I885"/>
    <mergeCell ref="J883:J885"/>
    <mergeCell ref="K883:K885"/>
    <mergeCell ref="L883:L885"/>
    <mergeCell ref="D954:D955"/>
    <mergeCell ref="H914:H917"/>
    <mergeCell ref="I914:I917"/>
    <mergeCell ref="J914:J917"/>
    <mergeCell ref="D886:D888"/>
    <mergeCell ref="E886:E888"/>
    <mergeCell ref="F886:F888"/>
    <mergeCell ref="G886:G888"/>
    <mergeCell ref="H886:H888"/>
    <mergeCell ref="I886:I888"/>
    <mergeCell ref="J886:J888"/>
    <mergeCell ref="K886:K888"/>
    <mergeCell ref="L886:L888"/>
    <mergeCell ref="B889:B892"/>
    <mergeCell ref="C889:C892"/>
    <mergeCell ref="D889:D892"/>
    <mergeCell ref="E889:E892"/>
    <mergeCell ref="F889:F892"/>
    <mergeCell ref="G889:G892"/>
    <mergeCell ref="H889:H892"/>
    <mergeCell ref="I889:I892"/>
    <mergeCell ref="J889:J892"/>
    <mergeCell ref="K889:K892"/>
    <mergeCell ref="L889:L892"/>
    <mergeCell ref="A893:AA893"/>
    <mergeCell ref="A894:A898"/>
    <mergeCell ref="C894:F894"/>
    <mergeCell ref="C895:AA895"/>
    <mergeCell ref="C896:N896"/>
    <mergeCell ref="C897:AA897"/>
    <mergeCell ref="C898:H898"/>
    <mergeCell ref="A899:A909"/>
    <mergeCell ref="B962:B963"/>
    <mergeCell ref="C962:C963"/>
    <mergeCell ref="G962:G963"/>
    <mergeCell ref="H962:H963"/>
    <mergeCell ref="I962:I963"/>
    <mergeCell ref="J962:J963"/>
    <mergeCell ref="K962:K963"/>
    <mergeCell ref="K964:K965"/>
    <mergeCell ref="L964:L965"/>
    <mergeCell ref="M964:N964"/>
    <mergeCell ref="M965:N965"/>
    <mergeCell ref="B968:B969"/>
    <mergeCell ref="C968:C969"/>
    <mergeCell ref="I968:I969"/>
    <mergeCell ref="J968:J969"/>
    <mergeCell ref="K968:K969"/>
    <mergeCell ref="L968:L969"/>
    <mergeCell ref="M968:N968"/>
    <mergeCell ref="K914:K917"/>
    <mergeCell ref="L914:L917"/>
    <mergeCell ref="C918:C921"/>
    <mergeCell ref="D918:D921"/>
    <mergeCell ref="E918:E921"/>
    <mergeCell ref="F918:F921"/>
    <mergeCell ref="G918:G921"/>
    <mergeCell ref="H918:H921"/>
    <mergeCell ref="I918:I921"/>
    <mergeCell ref="J918:J921"/>
    <mergeCell ref="K918:K921"/>
    <mergeCell ref="L918:L921"/>
    <mergeCell ref="C906:C909"/>
    <mergeCell ref="D906:D909"/>
    <mergeCell ref="E906:E909"/>
    <mergeCell ref="F906:F909"/>
    <mergeCell ref="G906:G909"/>
    <mergeCell ref="H906:H909"/>
    <mergeCell ref="I906:I909"/>
    <mergeCell ref="J906:J909"/>
    <mergeCell ref="K906:K909"/>
    <mergeCell ref="L906:L909"/>
    <mergeCell ref="C910:C913"/>
    <mergeCell ref="D910:D913"/>
    <mergeCell ref="E910:E913"/>
    <mergeCell ref="F910:F913"/>
    <mergeCell ref="G910:G913"/>
    <mergeCell ref="H910:H913"/>
    <mergeCell ref="I910:I913"/>
    <mergeCell ref="J910:J913"/>
    <mergeCell ref="K910:K913"/>
    <mergeCell ref="L910:L913"/>
    <mergeCell ref="B900:B901"/>
    <mergeCell ref="D900:I901"/>
    <mergeCell ref="V900:Y900"/>
    <mergeCell ref="Z900:AA900"/>
    <mergeCell ref="V901:Y901"/>
    <mergeCell ref="Z901:AA901"/>
    <mergeCell ref="B902:B903"/>
    <mergeCell ref="D902:P903"/>
    <mergeCell ref="V902:Y902"/>
    <mergeCell ref="Z902:AA902"/>
    <mergeCell ref="C900:C901"/>
    <mergeCell ref="C902:C903"/>
    <mergeCell ref="D904:D905"/>
    <mergeCell ref="E904:E905"/>
    <mergeCell ref="F904:F905"/>
    <mergeCell ref="B904:B905"/>
    <mergeCell ref="C904:C905"/>
    <mergeCell ref="G904:G905"/>
    <mergeCell ref="H904:H905"/>
    <mergeCell ref="I904:I905"/>
    <mergeCell ref="V903:Y903"/>
    <mergeCell ref="Z903:AA903"/>
    <mergeCell ref="J904:K904"/>
    <mergeCell ref="L904:L905"/>
    <mergeCell ref="AA904:AA905"/>
    <mergeCell ref="M904:N905"/>
    <mergeCell ref="O904:Z904"/>
    <mergeCell ref="B906:B909"/>
    <mergeCell ref="M906:N906"/>
    <mergeCell ref="M907:N907"/>
    <mergeCell ref="B910:B913"/>
    <mergeCell ref="M910:N910"/>
    <mergeCell ref="M911:N911"/>
    <mergeCell ref="B914:B917"/>
    <mergeCell ref="M914:N914"/>
    <mergeCell ref="M915:N915"/>
    <mergeCell ref="B918:B921"/>
    <mergeCell ref="M918:N918"/>
    <mergeCell ref="M919:N919"/>
    <mergeCell ref="A922:A925"/>
    <mergeCell ref="M922:N922"/>
    <mergeCell ref="M923:N923"/>
    <mergeCell ref="A926:AA926"/>
    <mergeCell ref="B922:B925"/>
    <mergeCell ref="C922:C925"/>
    <mergeCell ref="D922:D925"/>
    <mergeCell ref="E922:E925"/>
    <mergeCell ref="F922:F925"/>
    <mergeCell ref="G922:G925"/>
    <mergeCell ref="H922:H925"/>
    <mergeCell ref="I922:I925"/>
    <mergeCell ref="J922:J925"/>
    <mergeCell ref="K922:K925"/>
    <mergeCell ref="L922:L925"/>
    <mergeCell ref="C914:C917"/>
    <mergeCell ref="D914:D917"/>
    <mergeCell ref="E914:E917"/>
    <mergeCell ref="F914:F917"/>
    <mergeCell ref="G914:G917"/>
    <mergeCell ref="A927:A931"/>
    <mergeCell ref="C927:F927"/>
    <mergeCell ref="C929:N929"/>
    <mergeCell ref="C931:H931"/>
    <mergeCell ref="B933:B934"/>
    <mergeCell ref="V933:Y933"/>
    <mergeCell ref="V934:Y934"/>
    <mergeCell ref="B935:B936"/>
    <mergeCell ref="C935:C936"/>
    <mergeCell ref="V936:Y936"/>
    <mergeCell ref="B937:B938"/>
    <mergeCell ref="C937:C938"/>
    <mergeCell ref="D937:D938"/>
    <mergeCell ref="E937:E938"/>
    <mergeCell ref="F937:F938"/>
    <mergeCell ref="G937:G938"/>
    <mergeCell ref="H937:H938"/>
    <mergeCell ref="I937:I938"/>
    <mergeCell ref="J937:K937"/>
    <mergeCell ref="L937:L938"/>
    <mergeCell ref="C928:Y928"/>
    <mergeCell ref="C930:Y930"/>
    <mergeCell ref="K948:K949"/>
    <mergeCell ref="L948:L949"/>
    <mergeCell ref="M948:N948"/>
    <mergeCell ref="M949:N949"/>
    <mergeCell ref="A932:A949"/>
    <mergeCell ref="C932:Y932"/>
    <mergeCell ref="C933:O934"/>
    <mergeCell ref="D935:D936"/>
    <mergeCell ref="E935:L936"/>
    <mergeCell ref="M937:M938"/>
    <mergeCell ref="N937:N938"/>
    <mergeCell ref="B939:B946"/>
    <mergeCell ref="C939:C946"/>
    <mergeCell ref="D939:D946"/>
    <mergeCell ref="O937:Z937"/>
    <mergeCell ref="AA937:AA938"/>
    <mergeCell ref="M939:N939"/>
    <mergeCell ref="M940:N940"/>
    <mergeCell ref="E939:E946"/>
    <mergeCell ref="F939:F946"/>
    <mergeCell ref="G939:G946"/>
    <mergeCell ref="H939:H946"/>
    <mergeCell ref="I939:I946"/>
    <mergeCell ref="J939:J946"/>
    <mergeCell ref="K939:K946"/>
    <mergeCell ref="L939:L946"/>
    <mergeCell ref="B964:B965"/>
    <mergeCell ref="C964:C965"/>
    <mergeCell ref="D964:D965"/>
    <mergeCell ref="E964:E965"/>
    <mergeCell ref="F964:F965"/>
    <mergeCell ref="G964:G965"/>
    <mergeCell ref="H964:H965"/>
    <mergeCell ref="I964:I965"/>
    <mergeCell ref="J964:J965"/>
    <mergeCell ref="B948:B949"/>
    <mergeCell ref="C948:C949"/>
    <mergeCell ref="D948:D949"/>
    <mergeCell ref="E948:E949"/>
    <mergeCell ref="F948:F949"/>
    <mergeCell ref="G948:G949"/>
    <mergeCell ref="H948:H949"/>
    <mergeCell ref="I948:I949"/>
    <mergeCell ref="J948:J949"/>
    <mergeCell ref="E954:E955"/>
    <mergeCell ref="F954:F955"/>
    <mergeCell ref="G954:G955"/>
    <mergeCell ref="H954:H955"/>
    <mergeCell ref="I954:I955"/>
    <mergeCell ref="J954:J955"/>
    <mergeCell ref="B950:B951"/>
    <mergeCell ref="C950:C951"/>
    <mergeCell ref="D950:D951"/>
    <mergeCell ref="E950:E951"/>
    <mergeCell ref="F950:F951"/>
    <mergeCell ref="G950:G951"/>
    <mergeCell ref="H950:H951"/>
    <mergeCell ref="I950:I951"/>
    <mergeCell ref="J950:J951"/>
    <mergeCell ref="K950:K951"/>
    <mergeCell ref="L950:L951"/>
    <mergeCell ref="M950:N950"/>
    <mergeCell ref="M951:N951"/>
    <mergeCell ref="B952:B953"/>
    <mergeCell ref="C952:C953"/>
    <mergeCell ref="D952:D953"/>
    <mergeCell ref="E952:E953"/>
    <mergeCell ref="F952:F953"/>
    <mergeCell ref="G952:G953"/>
    <mergeCell ref="H952:H953"/>
    <mergeCell ref="I952:I953"/>
    <mergeCell ref="J952:J953"/>
    <mergeCell ref="K952:K953"/>
    <mergeCell ref="L952:L953"/>
    <mergeCell ref="M952:N952"/>
    <mergeCell ref="M953:N953"/>
    <mergeCell ref="L954:L955"/>
    <mergeCell ref="M954:N954"/>
    <mergeCell ref="M955:N955"/>
    <mergeCell ref="B956:B957"/>
    <mergeCell ref="C956:C957"/>
    <mergeCell ref="D956:D957"/>
    <mergeCell ref="E956:E957"/>
    <mergeCell ref="F956:F957"/>
    <mergeCell ref="G956:G957"/>
    <mergeCell ref="H956:H957"/>
    <mergeCell ref="I956:I957"/>
    <mergeCell ref="J956:J957"/>
    <mergeCell ref="K956:K957"/>
    <mergeCell ref="L956:L957"/>
    <mergeCell ref="M956:N956"/>
    <mergeCell ref="M957:N957"/>
    <mergeCell ref="D958:D959"/>
    <mergeCell ref="E958:E959"/>
    <mergeCell ref="F958:F959"/>
    <mergeCell ref="G958:G959"/>
    <mergeCell ref="H958:H959"/>
    <mergeCell ref="I958:I959"/>
    <mergeCell ref="J958:J959"/>
    <mergeCell ref="K958:K959"/>
    <mergeCell ref="L958:L959"/>
    <mergeCell ref="M958:N958"/>
    <mergeCell ref="M959:N959"/>
    <mergeCell ref="B958:B959"/>
    <mergeCell ref="C958:C959"/>
    <mergeCell ref="K954:K955"/>
    <mergeCell ref="B954:B955"/>
    <mergeCell ref="C954:C955"/>
    <mergeCell ref="D960:D961"/>
    <mergeCell ref="E960:E961"/>
    <mergeCell ref="F960:F961"/>
    <mergeCell ref="G960:G961"/>
    <mergeCell ref="H960:H961"/>
    <mergeCell ref="I960:I961"/>
    <mergeCell ref="J960:J961"/>
    <mergeCell ref="K960:K961"/>
    <mergeCell ref="L960:L961"/>
    <mergeCell ref="M960:N960"/>
    <mergeCell ref="M961:N961"/>
    <mergeCell ref="M962:N962"/>
    <mergeCell ref="M963:N963"/>
    <mergeCell ref="B966:B967"/>
    <mergeCell ref="C966:C967"/>
    <mergeCell ref="D966:D967"/>
    <mergeCell ref="E966:E967"/>
    <mergeCell ref="F966:F967"/>
    <mergeCell ref="G966:G967"/>
    <mergeCell ref="H966:H967"/>
    <mergeCell ref="I966:I967"/>
    <mergeCell ref="J966:J967"/>
    <mergeCell ref="K966:K967"/>
    <mergeCell ref="L966:L967"/>
    <mergeCell ref="M966:N966"/>
    <mergeCell ref="M967:N967"/>
    <mergeCell ref="B960:B961"/>
    <mergeCell ref="C960:C961"/>
    <mergeCell ref="D962:D963"/>
    <mergeCell ref="E962:E963"/>
    <mergeCell ref="F962:F963"/>
    <mergeCell ref="L962:L963"/>
    <mergeCell ref="M969:N969"/>
    <mergeCell ref="B970:B971"/>
    <mergeCell ref="C970:C971"/>
    <mergeCell ref="D970:D971"/>
    <mergeCell ref="E970:E971"/>
    <mergeCell ref="F970:F971"/>
    <mergeCell ref="G970:G971"/>
    <mergeCell ref="H970:H971"/>
    <mergeCell ref="I970:I971"/>
    <mergeCell ref="J970:J971"/>
    <mergeCell ref="K970:K971"/>
    <mergeCell ref="L970:L971"/>
    <mergeCell ref="M970:N970"/>
    <mergeCell ref="M971:N971"/>
    <mergeCell ref="B972:B973"/>
    <mergeCell ref="C972:C973"/>
    <mergeCell ref="D972:D973"/>
    <mergeCell ref="E972:E973"/>
    <mergeCell ref="F972:F973"/>
    <mergeCell ref="G972:G973"/>
    <mergeCell ref="H972:H973"/>
    <mergeCell ref="I972:I973"/>
    <mergeCell ref="J972:J973"/>
    <mergeCell ref="K972:K973"/>
    <mergeCell ref="L972:L973"/>
    <mergeCell ref="M972:N972"/>
    <mergeCell ref="M973:N973"/>
    <mergeCell ref="D968:D969"/>
    <mergeCell ref="E968:E969"/>
    <mergeCell ref="F968:F969"/>
    <mergeCell ref="G968:G969"/>
    <mergeCell ref="H968:H969"/>
    <mergeCell ref="B974:B975"/>
    <mergeCell ref="C974:C975"/>
    <mergeCell ref="D974:D975"/>
    <mergeCell ref="E974:E975"/>
    <mergeCell ref="F974:F975"/>
    <mergeCell ref="G974:G975"/>
    <mergeCell ref="H974:H975"/>
    <mergeCell ref="I974:I975"/>
    <mergeCell ref="J974:J975"/>
    <mergeCell ref="K974:K975"/>
    <mergeCell ref="L974:L975"/>
    <mergeCell ref="M975:N975"/>
    <mergeCell ref="B976:B977"/>
    <mergeCell ref="C976:C977"/>
    <mergeCell ref="D976:D977"/>
    <mergeCell ref="E976:E977"/>
    <mergeCell ref="F976:F977"/>
    <mergeCell ref="G976:G977"/>
    <mergeCell ref="H976:H977"/>
    <mergeCell ref="I976:I977"/>
    <mergeCell ref="J976:J977"/>
    <mergeCell ref="K976:K977"/>
    <mergeCell ref="L976:L977"/>
    <mergeCell ref="M976:N976"/>
    <mergeCell ref="M977:N977"/>
    <mergeCell ref="M974:N974"/>
    <mergeCell ref="B978:B979"/>
    <mergeCell ref="C978:C979"/>
    <mergeCell ref="D978:D979"/>
    <mergeCell ref="E978:E979"/>
    <mergeCell ref="F978:F979"/>
    <mergeCell ref="G978:G979"/>
    <mergeCell ref="H978:H979"/>
    <mergeCell ref="I978:I979"/>
    <mergeCell ref="J978:J979"/>
    <mergeCell ref="K978:K979"/>
    <mergeCell ref="L978:L979"/>
    <mergeCell ref="M978:N978"/>
    <mergeCell ref="M979:N979"/>
    <mergeCell ref="C980:C981"/>
    <mergeCell ref="M980:N980"/>
    <mergeCell ref="M981:N981"/>
    <mergeCell ref="C982:C983"/>
    <mergeCell ref="M982:N982"/>
    <mergeCell ref="M983:N983"/>
    <mergeCell ref="L980:L981"/>
    <mergeCell ref="K980:K981"/>
    <mergeCell ref="B980:B981"/>
    <mergeCell ref="D980:D981"/>
    <mergeCell ref="E980:E981"/>
    <mergeCell ref="F980:F981"/>
    <mergeCell ref="G980:G981"/>
    <mergeCell ref="H980:H981"/>
    <mergeCell ref="I980:I981"/>
    <mergeCell ref="J980:J981"/>
    <mergeCell ref="M984:N984"/>
    <mergeCell ref="M985:N985"/>
    <mergeCell ref="C986:C987"/>
    <mergeCell ref="M986:N986"/>
    <mergeCell ref="M987:N987"/>
    <mergeCell ref="C988:C989"/>
    <mergeCell ref="M988:N988"/>
    <mergeCell ref="M989:N989"/>
    <mergeCell ref="C990:C991"/>
    <mergeCell ref="M990:N990"/>
    <mergeCell ref="M991:N991"/>
    <mergeCell ref="A992:A993"/>
    <mergeCell ref="B992:B993"/>
    <mergeCell ref="C992:C993"/>
    <mergeCell ref="D992:D993"/>
    <mergeCell ref="E992:E993"/>
    <mergeCell ref="F992:F993"/>
    <mergeCell ref="G992:G993"/>
    <mergeCell ref="H992:H993"/>
    <mergeCell ref="I992:I993"/>
    <mergeCell ref="J992:J993"/>
    <mergeCell ref="K992:K993"/>
    <mergeCell ref="L992:L993"/>
    <mergeCell ref="M992:N992"/>
    <mergeCell ref="M993:N993"/>
    <mergeCell ref="B986:B987"/>
    <mergeCell ref="D986:D987"/>
    <mergeCell ref="E986:E987"/>
    <mergeCell ref="F986:F987"/>
    <mergeCell ref="G986:G987"/>
    <mergeCell ref="H986:H987"/>
    <mergeCell ref="I986:I987"/>
    <mergeCell ref="A994:Y994"/>
    <mergeCell ref="A995:A999"/>
    <mergeCell ref="C995:F995"/>
    <mergeCell ref="C996:Y996"/>
    <mergeCell ref="C997:N997"/>
    <mergeCell ref="C998:Y998"/>
    <mergeCell ref="C999:H999"/>
    <mergeCell ref="A1000:A1048"/>
    <mergeCell ref="C1000:Y1000"/>
    <mergeCell ref="B1001:B1002"/>
    <mergeCell ref="C1001:C1002"/>
    <mergeCell ref="D1001:I1002"/>
    <mergeCell ref="V1001:Y1001"/>
    <mergeCell ref="V1002:Y1002"/>
    <mergeCell ref="B1003:B1004"/>
    <mergeCell ref="C1003:C1004"/>
    <mergeCell ref="D1003:D1004"/>
    <mergeCell ref="E1003:E1004"/>
    <mergeCell ref="V1004:Y1004"/>
    <mergeCell ref="B1005:B1006"/>
    <mergeCell ref="C1005:C1006"/>
    <mergeCell ref="D1005:D1006"/>
    <mergeCell ref="E1005:E1006"/>
    <mergeCell ref="F1005:F1006"/>
    <mergeCell ref="G1005:G1006"/>
    <mergeCell ref="H1005:H1006"/>
    <mergeCell ref="I1005:I1006"/>
    <mergeCell ref="J1005:K1005"/>
    <mergeCell ref="L1005:L1006"/>
    <mergeCell ref="M1005:N1006"/>
    <mergeCell ref="O1005:Z1005"/>
    <mergeCell ref="B1021:B1027"/>
    <mergeCell ref="AA1005:AA1006"/>
    <mergeCell ref="B1007:B1013"/>
    <mergeCell ref="C1007:C1013"/>
    <mergeCell ref="D1007:D1013"/>
    <mergeCell ref="E1007:E1013"/>
    <mergeCell ref="F1007:F1013"/>
    <mergeCell ref="G1007:G1013"/>
    <mergeCell ref="H1007:H1013"/>
    <mergeCell ref="I1007:I1013"/>
    <mergeCell ref="J1007:J1013"/>
    <mergeCell ref="K1007:K1013"/>
    <mergeCell ref="L1007:L1013"/>
    <mergeCell ref="M1007:N1007"/>
    <mergeCell ref="M1008:N1008"/>
    <mergeCell ref="B1014:B1020"/>
    <mergeCell ref="C1014:C1020"/>
    <mergeCell ref="D1014:D1020"/>
    <mergeCell ref="E1014:E1020"/>
    <mergeCell ref="F1014:F1020"/>
    <mergeCell ref="G1014:G1020"/>
    <mergeCell ref="H1014:H1020"/>
    <mergeCell ref="I1014:I1020"/>
    <mergeCell ref="J1014:J1020"/>
    <mergeCell ref="K1014:K1020"/>
    <mergeCell ref="L1014:L1020"/>
    <mergeCell ref="M1014:N1014"/>
    <mergeCell ref="M1015:N1015"/>
    <mergeCell ref="C1021:C1027"/>
    <mergeCell ref="D1021:D1027"/>
    <mergeCell ref="E1021:E1027"/>
    <mergeCell ref="F1021:F1027"/>
    <mergeCell ref="G1021:G1027"/>
    <mergeCell ref="H1021:H1027"/>
    <mergeCell ref="I1021:I1027"/>
    <mergeCell ref="J1021:J1027"/>
    <mergeCell ref="K1021:K1027"/>
    <mergeCell ref="L1021:L1027"/>
    <mergeCell ref="M1021:N1021"/>
    <mergeCell ref="M1022:N1022"/>
    <mergeCell ref="B1028:B1034"/>
    <mergeCell ref="C1028:C1034"/>
    <mergeCell ref="D1028:D1034"/>
    <mergeCell ref="E1028:E1034"/>
    <mergeCell ref="F1028:F1034"/>
    <mergeCell ref="G1028:G1034"/>
    <mergeCell ref="H1028:H1034"/>
    <mergeCell ref="I1028:I1034"/>
    <mergeCell ref="J1028:J1034"/>
    <mergeCell ref="K1028:K1034"/>
    <mergeCell ref="L1028:L1034"/>
    <mergeCell ref="M1028:N1028"/>
    <mergeCell ref="M1029:N1029"/>
    <mergeCell ref="B1035:B1041"/>
    <mergeCell ref="C1035:C1041"/>
    <mergeCell ref="D1035:D1041"/>
    <mergeCell ref="E1035:E1041"/>
    <mergeCell ref="F1035:F1041"/>
    <mergeCell ref="G1035:G1041"/>
    <mergeCell ref="H1035:H1041"/>
    <mergeCell ref="I1035:I1041"/>
    <mergeCell ref="J1035:J1041"/>
    <mergeCell ref="K1035:K1041"/>
    <mergeCell ref="L1035:L1041"/>
    <mergeCell ref="M1035:N1035"/>
    <mergeCell ref="M1036:N1036"/>
    <mergeCell ref="B1042:B1048"/>
    <mergeCell ref="C1042:C1048"/>
    <mergeCell ref="D1042:D1048"/>
    <mergeCell ref="E1042:E1048"/>
    <mergeCell ref="F1042:F1048"/>
    <mergeCell ref="G1042:G1048"/>
    <mergeCell ref="H1042:H1048"/>
    <mergeCell ref="I1042:I1048"/>
    <mergeCell ref="J1042:J1048"/>
    <mergeCell ref="K1042:K1048"/>
    <mergeCell ref="L1042:L1048"/>
    <mergeCell ref="M1042:N1042"/>
    <mergeCell ref="M1043:N1043"/>
    <mergeCell ref="B1049:B1055"/>
    <mergeCell ref="C1049:C1055"/>
    <mergeCell ref="D1049:D1055"/>
    <mergeCell ref="E1049:E1055"/>
    <mergeCell ref="F1049:F1055"/>
    <mergeCell ref="G1049:G1055"/>
    <mergeCell ref="H1049:H1055"/>
    <mergeCell ref="I1049:I1055"/>
    <mergeCell ref="J1049:J1055"/>
    <mergeCell ref="K1049:K1055"/>
    <mergeCell ref="L1049:L1055"/>
    <mergeCell ref="M1049:N1049"/>
    <mergeCell ref="M1050:N1050"/>
    <mergeCell ref="B1056:B1062"/>
    <mergeCell ref="C1056:C1062"/>
    <mergeCell ref="D1056:D1062"/>
    <mergeCell ref="E1056:E1062"/>
    <mergeCell ref="F1056:F1062"/>
    <mergeCell ref="G1056:G1062"/>
    <mergeCell ref="H1056:H1062"/>
    <mergeCell ref="I1056:I1062"/>
    <mergeCell ref="J1056:J1062"/>
    <mergeCell ref="K1056:K1062"/>
    <mergeCell ref="L1056:L1062"/>
    <mergeCell ref="M1056:N1056"/>
    <mergeCell ref="M1057:N1057"/>
    <mergeCell ref="B1063:B1069"/>
    <mergeCell ref="C1063:C1069"/>
    <mergeCell ref="D1063:D1069"/>
    <mergeCell ref="E1063:E1069"/>
    <mergeCell ref="F1063:F1069"/>
    <mergeCell ref="G1063:G1069"/>
    <mergeCell ref="H1063:H1069"/>
    <mergeCell ref="I1063:I1069"/>
    <mergeCell ref="J1063:J1069"/>
    <mergeCell ref="K1063:K1069"/>
    <mergeCell ref="L1063:L1069"/>
    <mergeCell ref="M1063:N1063"/>
    <mergeCell ref="M1064:N1064"/>
    <mergeCell ref="B1070:B1076"/>
    <mergeCell ref="C1070:C1076"/>
    <mergeCell ref="D1070:D1076"/>
    <mergeCell ref="E1070:E1076"/>
    <mergeCell ref="F1070:F1076"/>
    <mergeCell ref="G1070:G1076"/>
    <mergeCell ref="H1070:H1076"/>
    <mergeCell ref="I1070:I1076"/>
    <mergeCell ref="J1070:J1076"/>
    <mergeCell ref="K1070:K1076"/>
    <mergeCell ref="L1070:L1076"/>
    <mergeCell ref="M1070:N1070"/>
    <mergeCell ref="M1071:N1071"/>
    <mergeCell ref="B1077:B1083"/>
    <mergeCell ref="C1077:C1083"/>
    <mergeCell ref="D1077:D1083"/>
    <mergeCell ref="E1077:E1083"/>
    <mergeCell ref="F1077:F1083"/>
    <mergeCell ref="G1077:G1083"/>
    <mergeCell ref="H1077:H1083"/>
    <mergeCell ref="I1077:I1083"/>
    <mergeCell ref="J1077:J1083"/>
    <mergeCell ref="K1077:K1083"/>
    <mergeCell ref="L1077:L1083"/>
    <mergeCell ref="M1077:N1077"/>
    <mergeCell ref="M1078:N1078"/>
    <mergeCell ref="B1084:B1090"/>
    <mergeCell ref="C1084:C1090"/>
    <mergeCell ref="D1084:D1090"/>
    <mergeCell ref="E1084:E1090"/>
    <mergeCell ref="F1084:F1090"/>
    <mergeCell ref="G1084:G1090"/>
    <mergeCell ref="H1084:H1090"/>
    <mergeCell ref="I1084:I1090"/>
    <mergeCell ref="J1084:J1090"/>
    <mergeCell ref="K1084:K1090"/>
    <mergeCell ref="L1084:L1090"/>
    <mergeCell ref="M1084:N1084"/>
    <mergeCell ref="M1085:N1085"/>
    <mergeCell ref="Z1101:AA1101"/>
    <mergeCell ref="V1102:Y1102"/>
    <mergeCell ref="Z1102:AA1102"/>
    <mergeCell ref="C1103:C1104"/>
    <mergeCell ref="D1103:P1104"/>
    <mergeCell ref="V1103:Y1103"/>
    <mergeCell ref="Z1103:AA1103"/>
    <mergeCell ref="V1104:Y1104"/>
    <mergeCell ref="Z1104:AA1104"/>
    <mergeCell ref="I1105:I1106"/>
    <mergeCell ref="J1105:K1105"/>
    <mergeCell ref="L1105:L1106"/>
    <mergeCell ref="M1105:N1106"/>
    <mergeCell ref="O1105:Z1105"/>
    <mergeCell ref="AA1105:AA1106"/>
    <mergeCell ref="B1091:B1097"/>
    <mergeCell ref="C1091:C1097"/>
    <mergeCell ref="D1091:D1097"/>
    <mergeCell ref="E1091:E1097"/>
    <mergeCell ref="F1091:F1097"/>
    <mergeCell ref="G1091:G1097"/>
    <mergeCell ref="H1091:H1097"/>
    <mergeCell ref="I1091:I1097"/>
    <mergeCell ref="J1091:J1097"/>
    <mergeCell ref="K1091:K1097"/>
    <mergeCell ref="L1091:L1097"/>
    <mergeCell ref="M1091:N1091"/>
    <mergeCell ref="M1092:N1092"/>
    <mergeCell ref="B1101:B1102"/>
    <mergeCell ref="B1103:B1104"/>
    <mergeCell ref="B1105:B1106"/>
    <mergeCell ref="C1105:C1106"/>
    <mergeCell ref="B1114:B1119"/>
    <mergeCell ref="C1114:C1119"/>
    <mergeCell ref="D1114:D1119"/>
    <mergeCell ref="E1114:E1119"/>
    <mergeCell ref="F1114:F1119"/>
    <mergeCell ref="D1105:D1106"/>
    <mergeCell ref="E1105:E1106"/>
    <mergeCell ref="F1105:F1106"/>
    <mergeCell ref="G1105:G1106"/>
    <mergeCell ref="H1105:H1106"/>
    <mergeCell ref="C1101:C1102"/>
    <mergeCell ref="D1101:P1102"/>
    <mergeCell ref="V1101:Y1101"/>
    <mergeCell ref="B1107:B1113"/>
    <mergeCell ref="C1107:C1113"/>
    <mergeCell ref="D1107:D1113"/>
    <mergeCell ref="E1107:E1113"/>
    <mergeCell ref="F1107:F1113"/>
    <mergeCell ref="G1107:G1113"/>
    <mergeCell ref="H1107:H1113"/>
    <mergeCell ref="I1107:I1113"/>
    <mergeCell ref="J1107:J1113"/>
    <mergeCell ref="K1107:K1113"/>
    <mergeCell ref="M1107:N1107"/>
    <mergeCell ref="M1108:N1108"/>
    <mergeCell ref="E1126:E1131"/>
    <mergeCell ref="F1126:F1131"/>
    <mergeCell ref="G1126:G1131"/>
    <mergeCell ref="H1126:H1131"/>
    <mergeCell ref="I1126:I1131"/>
    <mergeCell ref="J1126:J1131"/>
    <mergeCell ref="K1126:K1131"/>
    <mergeCell ref="H1132:H1137"/>
    <mergeCell ref="I1132:I1137"/>
    <mergeCell ref="J1132:J1137"/>
    <mergeCell ref="K1132:K1137"/>
    <mergeCell ref="B1120:B1125"/>
    <mergeCell ref="C1120:C1125"/>
    <mergeCell ref="D1120:D1125"/>
    <mergeCell ref="E1120:E1125"/>
    <mergeCell ref="F1120:F1125"/>
    <mergeCell ref="G1120:G1125"/>
    <mergeCell ref="M1126:N1126"/>
    <mergeCell ref="M1127:N1127"/>
    <mergeCell ref="B1132:B1137"/>
    <mergeCell ref="C1132:C1137"/>
    <mergeCell ref="D1132:D1137"/>
    <mergeCell ref="M1132:N1132"/>
    <mergeCell ref="M1133:N1133"/>
    <mergeCell ref="L1138:L1143"/>
    <mergeCell ref="M1138:N1138"/>
    <mergeCell ref="M1139:N1139"/>
    <mergeCell ref="B1162:B1168"/>
    <mergeCell ref="C1162:C1168"/>
    <mergeCell ref="D1162:D1168"/>
    <mergeCell ref="E1162:E1168"/>
    <mergeCell ref="F1162:F1168"/>
    <mergeCell ref="G1162:G1168"/>
    <mergeCell ref="H1162:H1168"/>
    <mergeCell ref="I1162:I1168"/>
    <mergeCell ref="J1162:J1168"/>
    <mergeCell ref="K1162:K1168"/>
    <mergeCell ref="L1156:L1161"/>
    <mergeCell ref="M1156:N1156"/>
    <mergeCell ref="M1157:N1157"/>
    <mergeCell ref="L1162:L1168"/>
    <mergeCell ref="M1162:N1162"/>
    <mergeCell ref="M1163:N1163"/>
    <mergeCell ref="C1144:C1149"/>
    <mergeCell ref="D1144:D1149"/>
    <mergeCell ref="E1144:E1149"/>
    <mergeCell ref="F1144:F1149"/>
    <mergeCell ref="G1144:G1149"/>
    <mergeCell ref="H1144:H1149"/>
    <mergeCell ref="B1150:B1155"/>
    <mergeCell ref="C1150:C1155"/>
    <mergeCell ref="D1150:D1155"/>
    <mergeCell ref="E1150:E1155"/>
    <mergeCell ref="F1150:F1155"/>
    <mergeCell ref="G1150:G1155"/>
    <mergeCell ref="L1107:L1113"/>
    <mergeCell ref="B1138:B1143"/>
    <mergeCell ref="C1138:C1143"/>
    <mergeCell ref="D1138:D1143"/>
    <mergeCell ref="E1138:E1143"/>
    <mergeCell ref="F1138:F1143"/>
    <mergeCell ref="G1138:G1143"/>
    <mergeCell ref="H1138:H1143"/>
    <mergeCell ref="I1138:I1143"/>
    <mergeCell ref="J1138:J1143"/>
    <mergeCell ref="K1138:K1143"/>
    <mergeCell ref="L1132:L1137"/>
    <mergeCell ref="H1120:H1125"/>
    <mergeCell ref="I1120:I1125"/>
    <mergeCell ref="J1120:J1125"/>
    <mergeCell ref="K1120:K1125"/>
    <mergeCell ref="B1126:B1131"/>
    <mergeCell ref="L1126:L1131"/>
    <mergeCell ref="G1114:G1119"/>
    <mergeCell ref="H1114:H1119"/>
    <mergeCell ref="I1114:I1119"/>
    <mergeCell ref="J1114:J1119"/>
    <mergeCell ref="L1114:L1119"/>
    <mergeCell ref="K1114:K1119"/>
    <mergeCell ref="C1126:C1131"/>
    <mergeCell ref="D1126:D1131"/>
    <mergeCell ref="M1114:N1114"/>
    <mergeCell ref="M1115:N1115"/>
    <mergeCell ref="L1120:L1125"/>
    <mergeCell ref="M1120:N1120"/>
    <mergeCell ref="M1121:N1121"/>
    <mergeCell ref="B1156:B1161"/>
    <mergeCell ref="C1156:C1161"/>
    <mergeCell ref="D1156:D1161"/>
    <mergeCell ref="E1156:E1161"/>
    <mergeCell ref="F1156:F1161"/>
    <mergeCell ref="G1156:G1161"/>
    <mergeCell ref="H1156:H1161"/>
    <mergeCell ref="I1156:I1161"/>
    <mergeCell ref="J1156:J1161"/>
    <mergeCell ref="K1156:K1161"/>
    <mergeCell ref="H1150:H1155"/>
    <mergeCell ref="I1150:I1155"/>
    <mergeCell ref="J1150:J1155"/>
    <mergeCell ref="K1150:K1155"/>
    <mergeCell ref="L1144:L1149"/>
    <mergeCell ref="M1144:N1144"/>
    <mergeCell ref="M1145:N1145"/>
    <mergeCell ref="L1150:L1155"/>
    <mergeCell ref="M1150:N1150"/>
    <mergeCell ref="M1151:N1151"/>
    <mergeCell ref="E1132:E1137"/>
    <mergeCell ref="F1132:F1137"/>
    <mergeCell ref="G1132:G1137"/>
    <mergeCell ref="B1144:B1149"/>
    <mergeCell ref="I1144:I1149"/>
    <mergeCell ref="J1144:J1149"/>
    <mergeCell ref="K1144:K1149"/>
  </mergeCells>
  <conditionalFormatting sqref="O906:AA925">
    <cfRule type="cellIs" dxfId="0" priority="1" operator="equal">
      <formula>0</formula>
    </cfRule>
  </conditionalFormatting>
  <printOptions horizontalCentered="1" verticalCentered="1"/>
  <pageMargins left="0.55118110236220474" right="0.70866141732283472" top="0.98425196850393704" bottom="0.98425196850393704" header="0.31496062992125984" footer="0.31496062992125984"/>
  <pageSetup paperSize="9" scale="41" orientation="landscape" r:id="rId1"/>
  <headerFooter>
    <oddHeader>&amp;C&amp;G</oddHeader>
    <oddFooter>&amp;C&amp;G</oddFooter>
  </headerFooter>
  <rowBreaks count="12" manualBreakCount="12">
    <brk id="87" max="26" man="1"/>
    <brk id="239" max="26" man="1"/>
    <brk id="266" max="26" man="1"/>
    <brk id="433" max="26" man="1"/>
    <brk id="583" max="26" man="1"/>
    <brk id="616" max="26" man="1"/>
    <brk id="698" max="26" man="1"/>
    <brk id="756" max="26" man="1"/>
    <brk id="806" max="26" man="1"/>
    <brk id="859" max="26" man="1"/>
    <brk id="916" max="26" man="1"/>
    <brk id="1098" max="26" man="1"/>
  </rowBreaks>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Eje economico</vt:lpstr>
      <vt:lpstr>Eje. socio cultural</vt:lpstr>
      <vt:lpstr>Eje.Ambiental</vt:lpstr>
      <vt:lpstr>Eje. Institucional</vt:lpstr>
      <vt:lpstr>'Eje economico'!Área_de_impresión</vt:lpstr>
      <vt:lpstr>'Eje. Institucional'!Área_de_impresión</vt:lpstr>
      <vt:lpstr>'Eje. socio cultural'!Área_de_impresión</vt:lpstr>
      <vt:lpstr>Eje.Ambiental!Área_de_impresión</vt:lpstr>
      <vt:lpstr>'Eje economico'!Títulos_a_imprimir</vt:lpstr>
      <vt:lpstr>'Eje. Institucional'!Títulos_a_imprimir</vt:lpstr>
      <vt:lpstr>'Eje. socio cultural'!Títulos_a_imprimir</vt:lpstr>
      <vt:lpstr>Eje.Ambiental!Títulos_a_imprimir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Yeison Vásquez Castillo</dc:creator>
  <cp:lastModifiedBy>Segundo R. Velasquez Zegarra</cp:lastModifiedBy>
  <cp:lastPrinted>2016-01-10T22:32:09Z</cp:lastPrinted>
  <dcterms:created xsi:type="dcterms:W3CDTF">2015-12-16T13:04:25Z</dcterms:created>
  <dcterms:modified xsi:type="dcterms:W3CDTF">2016-01-11T12:35:41Z</dcterms:modified>
</cp:coreProperties>
</file>